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C:\Users\kmm13\Desktop\"/>
    </mc:Choice>
  </mc:AlternateContent>
  <bookViews>
    <workbookView xWindow="0" yWindow="0" windowWidth="20520" windowHeight="9465"/>
  </bookViews>
  <sheets>
    <sheet name="Funds Flow Summary" sheetId="1" r:id="rId1"/>
    <sheet name="Funds Flow - Partner Detail" sheetId="2" r:id="rId2"/>
    <sheet name="2nd Tier Funds Flow" sheetId="18" r:id="rId3"/>
    <sheet name="Partner Engagement" sheetId="3" r:id="rId4"/>
    <sheet name="Sinai Perf Network 032017" sheetId="17" state="hidden" r:id="rId5"/>
  </sheets>
  <externalReferences>
    <externalReference r:id="rId6"/>
  </externalReferences>
  <definedNames>
    <definedName name="_xlnm.Print_Area" localSheetId="2">'2nd Tier Funds Flow'!$A$1:$J$300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8" i="2" l="1"/>
  <c r="B47" i="2"/>
  <c r="B46" i="2"/>
  <c r="B45" i="2"/>
  <c r="B30" i="2" l="1"/>
  <c r="B29" i="2"/>
  <c r="B10" i="2"/>
  <c r="B40" i="2"/>
  <c r="B39" i="2"/>
  <c r="B38" i="2"/>
  <c r="B37" i="2"/>
  <c r="B22" i="2"/>
  <c r="B21" i="2"/>
  <c r="B14" i="2"/>
  <c r="B13" i="2"/>
  <c r="B9" i="2"/>
  <c r="B8" i="2"/>
  <c r="B7" i="2"/>
  <c r="B6" i="2"/>
  <c r="B5" i="2"/>
  <c r="J10" i="2" l="1"/>
  <c r="J9" i="2"/>
  <c r="J8" i="2"/>
  <c r="J7" i="2"/>
  <c r="J6" i="2"/>
  <c r="J5" i="2"/>
  <c r="J18" i="2"/>
  <c r="J17" i="2"/>
  <c r="J16" i="2"/>
  <c r="J15" i="2"/>
  <c r="J14" i="2"/>
  <c r="J13" i="2"/>
  <c r="J26" i="2"/>
  <c r="J25" i="2"/>
  <c r="J24" i="2"/>
  <c r="J23" i="2"/>
  <c r="J22" i="2"/>
  <c r="J21" i="2"/>
  <c r="J34" i="2"/>
  <c r="J33" i="2"/>
  <c r="J32" i="2"/>
  <c r="J31" i="2"/>
  <c r="J30" i="2"/>
  <c r="J29" i="2"/>
  <c r="J42" i="2"/>
  <c r="J41" i="2"/>
  <c r="J40" i="2"/>
  <c r="J39" i="2"/>
  <c r="J38" i="2"/>
  <c r="J37" i="2"/>
  <c r="J50" i="2"/>
  <c r="J49" i="2"/>
  <c r="J48" i="2"/>
  <c r="J47" i="2"/>
  <c r="J46" i="2"/>
  <c r="J45" i="2"/>
  <c r="J58" i="2"/>
  <c r="J57" i="2"/>
  <c r="J56" i="2"/>
  <c r="J55" i="2"/>
  <c r="J54" i="2"/>
  <c r="J53" i="2"/>
  <c r="J66" i="2"/>
  <c r="J65" i="2"/>
  <c r="J64" i="2"/>
  <c r="J63" i="2"/>
  <c r="J62" i="2"/>
  <c r="J61" i="2"/>
  <c r="J74" i="2"/>
  <c r="J73" i="2"/>
  <c r="J72" i="2"/>
  <c r="J71" i="2"/>
  <c r="J70" i="2"/>
  <c r="J69" i="2"/>
  <c r="J82" i="2"/>
  <c r="J81" i="2"/>
  <c r="J80" i="2"/>
  <c r="J79" i="2"/>
  <c r="J78" i="2"/>
  <c r="J77" i="2"/>
  <c r="J90" i="2"/>
  <c r="J89" i="2"/>
  <c r="J88" i="2"/>
  <c r="J87" i="2"/>
  <c r="J86" i="2"/>
  <c r="J85" i="2"/>
  <c r="J98" i="2"/>
  <c r="J97" i="2"/>
  <c r="J96" i="2"/>
  <c r="J95" i="2"/>
  <c r="J94" i="2"/>
  <c r="J93" i="2"/>
  <c r="J106" i="2"/>
  <c r="J105" i="2"/>
  <c r="J104" i="2"/>
  <c r="J103" i="2"/>
  <c r="J102" i="2"/>
  <c r="J101" i="2"/>
  <c r="J114" i="2"/>
  <c r="J113" i="2"/>
  <c r="J112" i="2"/>
  <c r="J111" i="2"/>
  <c r="J110" i="2"/>
  <c r="J109" i="2"/>
  <c r="J122" i="2"/>
  <c r="J121" i="2"/>
  <c r="J120" i="2"/>
  <c r="J119" i="2"/>
  <c r="J118" i="2"/>
  <c r="J117" i="2"/>
  <c r="J130" i="2"/>
  <c r="J129" i="2"/>
  <c r="J128" i="2"/>
  <c r="J127" i="2"/>
  <c r="J126" i="2"/>
  <c r="J125" i="2"/>
  <c r="J138" i="2"/>
  <c r="J137" i="2"/>
  <c r="J136" i="2"/>
  <c r="J135" i="2"/>
  <c r="J134" i="2"/>
  <c r="J133" i="2"/>
  <c r="J146" i="2"/>
  <c r="J145" i="2"/>
  <c r="J144" i="2"/>
  <c r="J143" i="2"/>
  <c r="J142" i="2"/>
  <c r="J141" i="2"/>
  <c r="J12" i="2" l="1"/>
  <c r="I12" i="2"/>
  <c r="D5" i="1" s="1"/>
  <c r="H12" i="2"/>
  <c r="C5" i="1" s="1"/>
  <c r="J20" i="2"/>
  <c r="I20" i="2"/>
  <c r="D6" i="1" s="1"/>
  <c r="H20" i="2"/>
  <c r="C6" i="1" s="1"/>
  <c r="J28" i="2"/>
  <c r="I28" i="2"/>
  <c r="D7" i="1" s="1"/>
  <c r="H28" i="2"/>
  <c r="C7" i="1" s="1"/>
  <c r="J36" i="2"/>
  <c r="I36" i="2"/>
  <c r="D8" i="1" s="1"/>
  <c r="H36" i="2"/>
  <c r="C8" i="1" s="1"/>
  <c r="J44" i="2"/>
  <c r="I44" i="2"/>
  <c r="D9" i="1" s="1"/>
  <c r="H44" i="2"/>
  <c r="C9" i="1" s="1"/>
  <c r="J52" i="2"/>
  <c r="I52" i="2"/>
  <c r="D10" i="1" s="1"/>
  <c r="H52" i="2"/>
  <c r="C10" i="1" s="1"/>
  <c r="J60" i="2"/>
  <c r="I60" i="2"/>
  <c r="D11" i="1" s="1"/>
  <c r="H60" i="2"/>
  <c r="C11" i="1" s="1"/>
  <c r="J68" i="2"/>
  <c r="I68" i="2"/>
  <c r="D12" i="1" s="1"/>
  <c r="H68" i="2"/>
  <c r="C12" i="1" s="1"/>
  <c r="J76" i="2"/>
  <c r="I76" i="2"/>
  <c r="D13" i="1" s="1"/>
  <c r="H76" i="2"/>
  <c r="C13" i="1" s="1"/>
  <c r="J84" i="2"/>
  <c r="I84" i="2"/>
  <c r="D14" i="1" s="1"/>
  <c r="H84" i="2"/>
  <c r="C14" i="1" s="1"/>
  <c r="J92" i="2"/>
  <c r="I92" i="2"/>
  <c r="D15" i="1" s="1"/>
  <c r="H92" i="2"/>
  <c r="C15" i="1" s="1"/>
  <c r="J100" i="2"/>
  <c r="I100" i="2"/>
  <c r="D16" i="1" s="1"/>
  <c r="H100" i="2"/>
  <c r="C16" i="1" s="1"/>
  <c r="J108" i="2"/>
  <c r="I108" i="2"/>
  <c r="D17" i="1" s="1"/>
  <c r="H108" i="2"/>
  <c r="C17" i="1" s="1"/>
  <c r="J116" i="2"/>
  <c r="I116" i="2"/>
  <c r="D18" i="1" s="1"/>
  <c r="H116" i="2"/>
  <c r="C18" i="1" s="1"/>
  <c r="J124" i="2"/>
  <c r="I124" i="2"/>
  <c r="D20" i="1" s="1"/>
  <c r="H124" i="2"/>
  <c r="C20" i="1" s="1"/>
  <c r="J132" i="2"/>
  <c r="I132" i="2"/>
  <c r="D21" i="1" s="1"/>
  <c r="H132" i="2"/>
  <c r="C21" i="1" s="1"/>
  <c r="J140" i="2"/>
  <c r="I140" i="2"/>
  <c r="D22" i="1" s="1"/>
  <c r="H140" i="2"/>
  <c r="C22" i="1" s="1"/>
  <c r="J148" i="2"/>
  <c r="I148" i="2"/>
  <c r="D23" i="1" s="1"/>
  <c r="H148" i="2"/>
  <c r="C23" i="1" s="1"/>
  <c r="H21" i="1"/>
  <c r="G21" i="1"/>
  <c r="E21" i="1"/>
  <c r="I21" i="1" s="1"/>
  <c r="D109" i="2" l="1"/>
  <c r="F101" i="2"/>
  <c r="E94" i="2"/>
  <c r="D87" i="2"/>
  <c r="F71" i="2"/>
  <c r="E64" i="2"/>
  <c r="D57" i="2"/>
  <c r="F49" i="2"/>
  <c r="E42" i="2"/>
  <c r="D37" i="2"/>
  <c r="F29" i="2"/>
  <c r="E22" i="2"/>
  <c r="D15" i="2"/>
  <c r="F7" i="2"/>
  <c r="B11212" i="17"/>
  <c r="A11212" i="17"/>
  <c r="B11211" i="17"/>
  <c r="A11211" i="17"/>
  <c r="B11208" i="17"/>
  <c r="A11208" i="17"/>
  <c r="B11207" i="17"/>
  <c r="A11207" i="17"/>
  <c r="B11206" i="17"/>
  <c r="A11206" i="17"/>
  <c r="B11205" i="17"/>
  <c r="A11205" i="17"/>
  <c r="A11204" i="17"/>
  <c r="B11203" i="17"/>
  <c r="A11203" i="17"/>
  <c r="B11202" i="17"/>
  <c r="A11202" i="17"/>
  <c r="A11201" i="17"/>
  <c r="B11200" i="17"/>
  <c r="A11200" i="17"/>
  <c r="A11199" i="17"/>
  <c r="B11198" i="17"/>
  <c r="A11198" i="17"/>
  <c r="B11197" i="17"/>
  <c r="A11197" i="17"/>
  <c r="A11196" i="17"/>
  <c r="A11195" i="17"/>
  <c r="B11194" i="17"/>
  <c r="A11194" i="17"/>
  <c r="B11193" i="17"/>
  <c r="A11193" i="17"/>
  <c r="A11192" i="17"/>
  <c r="A11191" i="17"/>
  <c r="B11190" i="17"/>
  <c r="A11190" i="17"/>
  <c r="B11189" i="17"/>
  <c r="A11189" i="17"/>
  <c r="B11188" i="17"/>
  <c r="A11188" i="17"/>
  <c r="A11187" i="17"/>
  <c r="B11186" i="17"/>
  <c r="A11186" i="17"/>
  <c r="B11185" i="17"/>
  <c r="A11185" i="17"/>
  <c r="B11184" i="17"/>
  <c r="A11184" i="17"/>
  <c r="B11183" i="17"/>
  <c r="A11183" i="17"/>
  <c r="B11180" i="17"/>
  <c r="A11180" i="17"/>
  <c r="B11179" i="17"/>
  <c r="A11179" i="17"/>
  <c r="B11178" i="17"/>
  <c r="A11178" i="17"/>
  <c r="B11172" i="17"/>
  <c r="A11172" i="17"/>
  <c r="B11171" i="17"/>
  <c r="B11170" i="17"/>
  <c r="A11170" i="17"/>
  <c r="B11169" i="17"/>
  <c r="A11169" i="17"/>
  <c r="A11168" i="17"/>
  <c r="B11167" i="17"/>
  <c r="A11167" i="17"/>
  <c r="B11166" i="17"/>
  <c r="A11166" i="17"/>
  <c r="B11165" i="17"/>
  <c r="A11165" i="17"/>
  <c r="B11164" i="17"/>
  <c r="A11163" i="17"/>
  <c r="B11162" i="17"/>
  <c r="A11162" i="17"/>
  <c r="B11161" i="17"/>
  <c r="A11161" i="17"/>
  <c r="B11160" i="17"/>
  <c r="A11160" i="17"/>
  <c r="B11159" i="17"/>
  <c r="A11159" i="17"/>
  <c r="B11158" i="17"/>
  <c r="A11158" i="17"/>
  <c r="B11157" i="17"/>
  <c r="A11157" i="17"/>
  <c r="B11156" i="17"/>
  <c r="A11156" i="17"/>
  <c r="B11154" i="17"/>
  <c r="A11154" i="17"/>
  <c r="B11153" i="17"/>
  <c r="A11153" i="17"/>
  <c r="A11152" i="17"/>
  <c r="A11150" i="17"/>
  <c r="B11149" i="17"/>
  <c r="A11148" i="17"/>
  <c r="B11147" i="17"/>
  <c r="A11147" i="17"/>
  <c r="B11146" i="17"/>
  <c r="A11146" i="17"/>
  <c r="B11145" i="17"/>
  <c r="A11145" i="17"/>
  <c r="A11144" i="17"/>
  <c r="B11143" i="17"/>
  <c r="A11143" i="17"/>
  <c r="B11142" i="17"/>
  <c r="A11142" i="17"/>
  <c r="B11141" i="17"/>
  <c r="A11141" i="17"/>
  <c r="B11140" i="17"/>
  <c r="A11140" i="17"/>
  <c r="B11139" i="17"/>
  <c r="A11139" i="17"/>
  <c r="B11138" i="17"/>
  <c r="A11138" i="17"/>
  <c r="B11137" i="17"/>
  <c r="A11137" i="17"/>
  <c r="B11136" i="17"/>
  <c r="A11136" i="17"/>
  <c r="B11135" i="17"/>
  <c r="A11135" i="17"/>
  <c r="B11134" i="17"/>
  <c r="A11134" i="17"/>
  <c r="B11133" i="17"/>
  <c r="A11133" i="17"/>
  <c r="B11132" i="17"/>
  <c r="A11132" i="17"/>
  <c r="B11131" i="17"/>
  <c r="A11131" i="17"/>
  <c r="B11130" i="17"/>
  <c r="A11130" i="17"/>
  <c r="B11129" i="17"/>
  <c r="A11129" i="17"/>
  <c r="B11128" i="17"/>
  <c r="A11128" i="17"/>
  <c r="A11127" i="17"/>
  <c r="A11126" i="17"/>
  <c r="A11125" i="17"/>
  <c r="A11124" i="17"/>
  <c r="A11123" i="17"/>
  <c r="A11122" i="17"/>
  <c r="B11121" i="17"/>
  <c r="A11121" i="17"/>
  <c r="A11120" i="17"/>
  <c r="A11119" i="17"/>
  <c r="A11118" i="17"/>
  <c r="B11117" i="17"/>
  <c r="A11117" i="17"/>
  <c r="A11116" i="17"/>
  <c r="B11115" i="17"/>
  <c r="A11115" i="17"/>
  <c r="B11114" i="17"/>
  <c r="A11114" i="17"/>
  <c r="B11113" i="17"/>
  <c r="A11113" i="17"/>
  <c r="B11112" i="17"/>
  <c r="B11111" i="17"/>
  <c r="A11111" i="17"/>
  <c r="B11110" i="17"/>
  <c r="A11110" i="17"/>
  <c r="B11109" i="17"/>
  <c r="A11109" i="17"/>
  <c r="B11108" i="17"/>
  <c r="A11108" i="17"/>
  <c r="B11107" i="17"/>
  <c r="A11107" i="17"/>
  <c r="A11104" i="17"/>
  <c r="B11103" i="17"/>
  <c r="A11103" i="17"/>
  <c r="B11102" i="17"/>
  <c r="B11101" i="17"/>
  <c r="A11101" i="17"/>
  <c r="A11100" i="17"/>
  <c r="B11099" i="17"/>
  <c r="A11099" i="17"/>
  <c r="B11098" i="17"/>
  <c r="A11098" i="17"/>
  <c r="B11097" i="17"/>
  <c r="A11097" i="17"/>
  <c r="B11096" i="17"/>
  <c r="A11096" i="17"/>
  <c r="B11095" i="17"/>
  <c r="A11095" i="17"/>
  <c r="B11094" i="17"/>
  <c r="A11094" i="17"/>
  <c r="B11093" i="17"/>
  <c r="A11093" i="17"/>
  <c r="B11088" i="17"/>
  <c r="A11088" i="17"/>
  <c r="B11087" i="17"/>
  <c r="A11087" i="17"/>
  <c r="A11086" i="17"/>
  <c r="A11085" i="17"/>
  <c r="A11084" i="17"/>
  <c r="A11083" i="17"/>
  <c r="A11082" i="17"/>
  <c r="B11081" i="17"/>
  <c r="A11081" i="17"/>
  <c r="A11080" i="17"/>
  <c r="A11079" i="17"/>
  <c r="B11078" i="17"/>
  <c r="A11078" i="17"/>
  <c r="A11077" i="17"/>
  <c r="B11076" i="17"/>
  <c r="A11076" i="17"/>
  <c r="B11075" i="17"/>
  <c r="A11075" i="17"/>
  <c r="B11074" i="17"/>
  <c r="B11073" i="17"/>
  <c r="B11072" i="17"/>
  <c r="A11072" i="17"/>
  <c r="B11071" i="17"/>
  <c r="B11070" i="17"/>
  <c r="B11069" i="17"/>
  <c r="B11068" i="17"/>
  <c r="B11067" i="17"/>
  <c r="B11066" i="17"/>
  <c r="B11065" i="17"/>
  <c r="B11064" i="17"/>
  <c r="A11064" i="17"/>
  <c r="A11059" i="17"/>
  <c r="B11050" i="17"/>
  <c r="A11050" i="17"/>
  <c r="B11044" i="17"/>
  <c r="A11044" i="17"/>
  <c r="A11039" i="17"/>
  <c r="B11038" i="17"/>
  <c r="A11038" i="17"/>
  <c r="B11037" i="17"/>
  <c r="A11037" i="17"/>
  <c r="B11036" i="17"/>
  <c r="B11035" i="17"/>
  <c r="B11034" i="17"/>
  <c r="A11034" i="17"/>
  <c r="B11033" i="17"/>
  <c r="A11033" i="17"/>
  <c r="B11032" i="17"/>
  <c r="A11032" i="17"/>
  <c r="B11031" i="17"/>
  <c r="A11031" i="17"/>
  <c r="B11030" i="17"/>
  <c r="A11030" i="17"/>
  <c r="B11029" i="17"/>
  <c r="A11029" i="17"/>
  <c r="B11028" i="17"/>
  <c r="A11028" i="17"/>
  <c r="B11027" i="17"/>
  <c r="A11027" i="17"/>
  <c r="B11026" i="17"/>
  <c r="A11026" i="17"/>
  <c r="B11025" i="17"/>
  <c r="A11025" i="17"/>
  <c r="B11024" i="17"/>
  <c r="A11024" i="17"/>
  <c r="B11023" i="17"/>
  <c r="A11023" i="17"/>
  <c r="B11022" i="17"/>
  <c r="A11022" i="17"/>
  <c r="B11021" i="17"/>
  <c r="A11021" i="17"/>
  <c r="B11020" i="17"/>
  <c r="A11020" i="17"/>
  <c r="B11019" i="17"/>
  <c r="A11019" i="17"/>
  <c r="B11018" i="17"/>
  <c r="A11018" i="17"/>
  <c r="B11017" i="17"/>
  <c r="A11017" i="17"/>
  <c r="B11016" i="17"/>
  <c r="A11016" i="17"/>
  <c r="B11015" i="17"/>
  <c r="A11015" i="17"/>
  <c r="B11014" i="17"/>
  <c r="A11014" i="17"/>
  <c r="B11013" i="17"/>
  <c r="A11013" i="17"/>
  <c r="B11012" i="17"/>
  <c r="A11012" i="17"/>
  <c r="B11011" i="17"/>
  <c r="A11011" i="17"/>
  <c r="B11010" i="17"/>
  <c r="A11010" i="17"/>
  <c r="B11009" i="17"/>
  <c r="A11009" i="17"/>
  <c r="B11008" i="17"/>
  <c r="A11008" i="17"/>
  <c r="B11007" i="17"/>
  <c r="A11007" i="17"/>
  <c r="A11006" i="17"/>
  <c r="A11005" i="17"/>
  <c r="B11004" i="17"/>
  <c r="A11004" i="17"/>
  <c r="A11003" i="17"/>
  <c r="B11002" i="17"/>
  <c r="A11002" i="17"/>
  <c r="A11001" i="17"/>
  <c r="A11000" i="17"/>
  <c r="A10999" i="17"/>
  <c r="A10998" i="17"/>
  <c r="B10997" i="17"/>
  <c r="A10997" i="17"/>
  <c r="B10996" i="17"/>
  <c r="A10996" i="17"/>
  <c r="B10995" i="17"/>
  <c r="A10995" i="17"/>
  <c r="B10994" i="17"/>
  <c r="A10994" i="17"/>
  <c r="B10993" i="17"/>
  <c r="A10993" i="17"/>
  <c r="B10992" i="17"/>
  <c r="A10992" i="17"/>
  <c r="B10991" i="17"/>
  <c r="A10991" i="17"/>
  <c r="B10990" i="17"/>
  <c r="A10990" i="17"/>
  <c r="B10989" i="17"/>
  <c r="A10989" i="17"/>
  <c r="B10988" i="17"/>
  <c r="A10988" i="17"/>
  <c r="B10987" i="17"/>
  <c r="A10987" i="17"/>
  <c r="B10986" i="17"/>
  <c r="A10986" i="17"/>
  <c r="A10985" i="17"/>
  <c r="B10981" i="17"/>
  <c r="A10981" i="17"/>
  <c r="B10980" i="17"/>
  <c r="A10980" i="17"/>
  <c r="B10979" i="17"/>
  <c r="A10979" i="17"/>
  <c r="B10978" i="17"/>
  <c r="A10978" i="17"/>
  <c r="B10977" i="17"/>
  <c r="A10977" i="17"/>
  <c r="A10976" i="17"/>
  <c r="B10975" i="17"/>
  <c r="A10975" i="17"/>
  <c r="B10974" i="17"/>
  <c r="A10974" i="17"/>
  <c r="A10973" i="17"/>
  <c r="A10972" i="17"/>
  <c r="A10971" i="17"/>
  <c r="A10970" i="17"/>
  <c r="A10969" i="17"/>
  <c r="A10968" i="17"/>
  <c r="B10967" i="17"/>
  <c r="A10967" i="17"/>
  <c r="A10966" i="17"/>
  <c r="A10965" i="17"/>
  <c r="A10964" i="17"/>
  <c r="B10963" i="17"/>
  <c r="A10963" i="17"/>
  <c r="A10962" i="17"/>
  <c r="A10961" i="17"/>
  <c r="A10960" i="17"/>
  <c r="B10959" i="17"/>
  <c r="A10959" i="17"/>
  <c r="A10958" i="17"/>
  <c r="A10957" i="17"/>
  <c r="A10956" i="17"/>
  <c r="B10955" i="17"/>
  <c r="A10955" i="17"/>
  <c r="A10954" i="17"/>
  <c r="A10953" i="17"/>
  <c r="B10952" i="17"/>
  <c r="A10952" i="17"/>
  <c r="B10951" i="17"/>
  <c r="A10951" i="17"/>
  <c r="A10950" i="17"/>
  <c r="A10949" i="17"/>
  <c r="B10948" i="17"/>
  <c r="A10948" i="17"/>
  <c r="A10947" i="17"/>
  <c r="A10946" i="17"/>
  <c r="B10945" i="17"/>
  <c r="A10945" i="17"/>
  <c r="A10944" i="17"/>
  <c r="A10943" i="17"/>
  <c r="B10942" i="17"/>
  <c r="A10942" i="17"/>
  <c r="A10941" i="17"/>
  <c r="A10940" i="17"/>
  <c r="A10939" i="17"/>
  <c r="A10938" i="17"/>
  <c r="A10937" i="17"/>
  <c r="B10936" i="17"/>
  <c r="A10936" i="17"/>
  <c r="B10935" i="17"/>
  <c r="A10935" i="17"/>
  <c r="A10934" i="17"/>
  <c r="B10933" i="17"/>
  <c r="A10933" i="17"/>
  <c r="B10932" i="17"/>
  <c r="A10932" i="17"/>
  <c r="B10931" i="17"/>
  <c r="A10931" i="17"/>
  <c r="B10930" i="17"/>
  <c r="A10930" i="17"/>
  <c r="B10929" i="17"/>
  <c r="A10929" i="17"/>
  <c r="B10928" i="17"/>
  <c r="A10928" i="17"/>
  <c r="B10927" i="17"/>
  <c r="A10927" i="17"/>
  <c r="B10926" i="17"/>
  <c r="A10926" i="17"/>
  <c r="B10925" i="17"/>
  <c r="A10925" i="17"/>
  <c r="B10924" i="17"/>
  <c r="A10924" i="17"/>
  <c r="B10923" i="17"/>
  <c r="A10923" i="17"/>
  <c r="B10922" i="17"/>
  <c r="A10922" i="17"/>
  <c r="B10921" i="17"/>
  <c r="A10921" i="17"/>
  <c r="B10920" i="17"/>
  <c r="A10920" i="17"/>
  <c r="B10919" i="17"/>
  <c r="A10919" i="17"/>
  <c r="B10918" i="17"/>
  <c r="A10918" i="17"/>
  <c r="B10917" i="17"/>
  <c r="A10917" i="17"/>
  <c r="B10916" i="17"/>
  <c r="A10916" i="17"/>
  <c r="A10915" i="17"/>
  <c r="B10914" i="17"/>
  <c r="A10914" i="17"/>
  <c r="B10913" i="17"/>
  <c r="A10913" i="17"/>
  <c r="B10912" i="17"/>
  <c r="A10912" i="17"/>
  <c r="B10911" i="17"/>
  <c r="A10911" i="17"/>
  <c r="B10910" i="17"/>
  <c r="A10910" i="17"/>
  <c r="B10909" i="17"/>
  <c r="A10909" i="17"/>
  <c r="B10908" i="17"/>
  <c r="A10908" i="17"/>
  <c r="A10907" i="17"/>
  <c r="A10906" i="17"/>
  <c r="B10905" i="17"/>
  <c r="A10905" i="17"/>
  <c r="B10904" i="17"/>
  <c r="A10904" i="17"/>
  <c r="B10903" i="17"/>
  <c r="A10903" i="17"/>
  <c r="B10902" i="17"/>
  <c r="A10902" i="17"/>
  <c r="B10901" i="17"/>
  <c r="A10901" i="17"/>
  <c r="A10900" i="17"/>
  <c r="B10899" i="17"/>
  <c r="A10899" i="17"/>
  <c r="B10898" i="17"/>
  <c r="A10898" i="17"/>
  <c r="B10897" i="17"/>
  <c r="A10897" i="17"/>
  <c r="B10896" i="17"/>
  <c r="A10896" i="17"/>
  <c r="B10895" i="17"/>
  <c r="A10895" i="17"/>
  <c r="B10894" i="17"/>
  <c r="A10894" i="17"/>
  <c r="B10893" i="17"/>
  <c r="A10893" i="17"/>
  <c r="B10892" i="17"/>
  <c r="A10892" i="17"/>
  <c r="B10891" i="17"/>
  <c r="A10891" i="17"/>
  <c r="B10890" i="17"/>
  <c r="A10890" i="17"/>
  <c r="B10889" i="17"/>
  <c r="A10889" i="17"/>
  <c r="B10888" i="17"/>
  <c r="A10888" i="17"/>
  <c r="B10887" i="17"/>
  <c r="A10887" i="17"/>
  <c r="A10886" i="17"/>
  <c r="B10885" i="17"/>
  <c r="A10885" i="17"/>
  <c r="B10884" i="17"/>
  <c r="A10884" i="17"/>
  <c r="B10883" i="17"/>
  <c r="A10883" i="17"/>
  <c r="A10882" i="17"/>
  <c r="B10881" i="17"/>
  <c r="A10881" i="17"/>
  <c r="B10880" i="17"/>
  <c r="A10880" i="17"/>
  <c r="B10879" i="17"/>
  <c r="A10879" i="17"/>
  <c r="B10878" i="17"/>
  <c r="A10878" i="17"/>
  <c r="B10877" i="17"/>
  <c r="A10877" i="17"/>
  <c r="A10876" i="17"/>
  <c r="B10875" i="17"/>
  <c r="A10875" i="17"/>
  <c r="B10874" i="17"/>
  <c r="A10874" i="17"/>
  <c r="B10873" i="17"/>
  <c r="A10873" i="17"/>
  <c r="B10872" i="17"/>
  <c r="A10872" i="17"/>
  <c r="B10871" i="17"/>
  <c r="A10871" i="17"/>
  <c r="B10870" i="17"/>
  <c r="A10870" i="17"/>
  <c r="B10869" i="17"/>
  <c r="A10869" i="17"/>
  <c r="B10868" i="17"/>
  <c r="A10868" i="17"/>
  <c r="B10867" i="17"/>
  <c r="A10867" i="17"/>
  <c r="B10866" i="17"/>
  <c r="A10866" i="17"/>
  <c r="B10865" i="17"/>
  <c r="A10865" i="17"/>
  <c r="B10864" i="17"/>
  <c r="A10864" i="17"/>
  <c r="B10863" i="17"/>
  <c r="A10863" i="17"/>
  <c r="B10862" i="17"/>
  <c r="A10862" i="17"/>
  <c r="B10861" i="17"/>
  <c r="A10861" i="17"/>
  <c r="B10860" i="17"/>
  <c r="A10860" i="17"/>
  <c r="B10859" i="17"/>
  <c r="A10859" i="17"/>
  <c r="B10858" i="17"/>
  <c r="A10858" i="17"/>
  <c r="B10857" i="17"/>
  <c r="A10857" i="17"/>
  <c r="B10856" i="17"/>
  <c r="A10856" i="17"/>
  <c r="B10855" i="17"/>
  <c r="A10855" i="17"/>
  <c r="B10851" i="17"/>
  <c r="A10851" i="17"/>
  <c r="B10850" i="17"/>
  <c r="A10850" i="17"/>
  <c r="B10848" i="17"/>
  <c r="A10848" i="17"/>
  <c r="B10847" i="17"/>
  <c r="A10847" i="17"/>
  <c r="B10846" i="17"/>
  <c r="A10846" i="17"/>
  <c r="B10845" i="17"/>
  <c r="A10845" i="17"/>
  <c r="B10844" i="17"/>
  <c r="A10844" i="17"/>
  <c r="B10843" i="17"/>
  <c r="A10843" i="17"/>
  <c r="B10842" i="17"/>
  <c r="A10842" i="17"/>
  <c r="B10841" i="17"/>
  <c r="A10841" i="17"/>
  <c r="B10840" i="17"/>
  <c r="A10840" i="17"/>
  <c r="B10839" i="17"/>
  <c r="A10839" i="17"/>
  <c r="B10838" i="17"/>
  <c r="A10838" i="17"/>
  <c r="B10837" i="17"/>
  <c r="A10837" i="17"/>
  <c r="B10835" i="17"/>
  <c r="A10835" i="17"/>
  <c r="B10834" i="17"/>
  <c r="A10834" i="17"/>
  <c r="B10833" i="17"/>
  <c r="A10833" i="17"/>
  <c r="B10832" i="17"/>
  <c r="A10832" i="17"/>
  <c r="A10827" i="17"/>
  <c r="A10826" i="17"/>
  <c r="A10825" i="17"/>
  <c r="A10824" i="17"/>
  <c r="B10823" i="17"/>
  <c r="A10823" i="17"/>
  <c r="A10822" i="17"/>
  <c r="A10821" i="17"/>
  <c r="A10820" i="17"/>
  <c r="B10819" i="17"/>
  <c r="A10819" i="17"/>
  <c r="A10818" i="17"/>
  <c r="B10817" i="17"/>
  <c r="A10817" i="17"/>
  <c r="B10816" i="17"/>
  <c r="A10816" i="17"/>
  <c r="B10815" i="17"/>
  <c r="A10815" i="17"/>
  <c r="A10814" i="17"/>
  <c r="B10813" i="17"/>
  <c r="A10813" i="17"/>
  <c r="B10812" i="17"/>
  <c r="A10812" i="17"/>
  <c r="B10811" i="17"/>
  <c r="A10811" i="17"/>
  <c r="B10810" i="17"/>
  <c r="A10810" i="17"/>
  <c r="B10809" i="17"/>
  <c r="A10809" i="17"/>
  <c r="B10808" i="17"/>
  <c r="A10808" i="17"/>
  <c r="B10807" i="17"/>
  <c r="A10807" i="17"/>
  <c r="B10806" i="17"/>
  <c r="A10806" i="17"/>
  <c r="B10805" i="17"/>
  <c r="A10805" i="17"/>
  <c r="B10804" i="17"/>
  <c r="A10804" i="17"/>
  <c r="B10803" i="17"/>
  <c r="A10803" i="17"/>
  <c r="B10802" i="17"/>
  <c r="A10802" i="17"/>
  <c r="B10801" i="17"/>
  <c r="A10801" i="17"/>
  <c r="B10800" i="17"/>
  <c r="A10800" i="17"/>
  <c r="B10799" i="17"/>
  <c r="A10799" i="17"/>
  <c r="B10798" i="17"/>
  <c r="A10798" i="17"/>
  <c r="B10797" i="17"/>
  <c r="A10797" i="17"/>
  <c r="B10796" i="17"/>
  <c r="A10796" i="17"/>
  <c r="B10795" i="17"/>
  <c r="A10795" i="17"/>
  <c r="B10794" i="17"/>
  <c r="A10794" i="17"/>
  <c r="B10793" i="17"/>
  <c r="A10793" i="17"/>
  <c r="B10792" i="17"/>
  <c r="A10792" i="17"/>
  <c r="B10791" i="17"/>
  <c r="A10791" i="17"/>
  <c r="B10790" i="17"/>
  <c r="A10790" i="17"/>
  <c r="B10789" i="17"/>
  <c r="A10789" i="17"/>
  <c r="B10788" i="17"/>
  <c r="A10788" i="17"/>
  <c r="B10787" i="17"/>
  <c r="A10787" i="17"/>
  <c r="B10786" i="17"/>
  <c r="A10786" i="17"/>
  <c r="B10785" i="17"/>
  <c r="A10785" i="17"/>
  <c r="A10784" i="17"/>
  <c r="B10783" i="17"/>
  <c r="A10783" i="17"/>
  <c r="A10782" i="17"/>
  <c r="B10781" i="17"/>
  <c r="A10781" i="17"/>
  <c r="B10780" i="17"/>
  <c r="A10780" i="17"/>
  <c r="B10779" i="17"/>
  <c r="A10779" i="17"/>
  <c r="A10778" i="17"/>
  <c r="A10777" i="17"/>
  <c r="A10776" i="17"/>
  <c r="A10775" i="17"/>
  <c r="B10774" i="17"/>
  <c r="A10774" i="17"/>
  <c r="A10773" i="17"/>
  <c r="A10772" i="17"/>
  <c r="A10771" i="17"/>
  <c r="A10770" i="17"/>
  <c r="A10769" i="17"/>
  <c r="A10768" i="17"/>
  <c r="A10767" i="17"/>
  <c r="A10766" i="17"/>
  <c r="A10765" i="17"/>
  <c r="A10764" i="17"/>
  <c r="A10763" i="17"/>
  <c r="A10762" i="17"/>
  <c r="A10761" i="17"/>
  <c r="A10760" i="17"/>
  <c r="B10759" i="17"/>
  <c r="A10759" i="17"/>
  <c r="A10758" i="17"/>
  <c r="A10757" i="17"/>
  <c r="A10756" i="17"/>
  <c r="B10755" i="17"/>
  <c r="A10755" i="17"/>
  <c r="A10754" i="17"/>
  <c r="A10753" i="17"/>
  <c r="A10752" i="17"/>
  <c r="A10751" i="17"/>
  <c r="A10750" i="17"/>
  <c r="A10749" i="17"/>
  <c r="A10748" i="17"/>
  <c r="A10747" i="17"/>
  <c r="A10746" i="17"/>
  <c r="A10745" i="17"/>
  <c r="A10744" i="17"/>
  <c r="A10743" i="17"/>
  <c r="B10742" i="17"/>
  <c r="A10742" i="17"/>
  <c r="A10741" i="17"/>
  <c r="B10740" i="17"/>
  <c r="A10740" i="17"/>
  <c r="B10739" i="17"/>
  <c r="A10739" i="17"/>
  <c r="B10738" i="17"/>
  <c r="A10738" i="17"/>
  <c r="B10737" i="17"/>
  <c r="A10737" i="17"/>
  <c r="B10736" i="17"/>
  <c r="A10736" i="17"/>
  <c r="A10735" i="17"/>
  <c r="B10734" i="17"/>
  <c r="A10734" i="17"/>
  <c r="B10733" i="17"/>
  <c r="A10733" i="17"/>
  <c r="B10732" i="17"/>
  <c r="A10732" i="17"/>
  <c r="B10731" i="17"/>
  <c r="A10731" i="17"/>
  <c r="B10730" i="17"/>
  <c r="A10730" i="17"/>
  <c r="B10729" i="17"/>
  <c r="A10729" i="17"/>
  <c r="B10728" i="17"/>
  <c r="A10728" i="17"/>
  <c r="B10727" i="17"/>
  <c r="A10727" i="17"/>
  <c r="B10726" i="17"/>
  <c r="A10726" i="17"/>
  <c r="B10725" i="17"/>
  <c r="A10725" i="17"/>
  <c r="B10724" i="17"/>
  <c r="A10724" i="17"/>
  <c r="B10723" i="17"/>
  <c r="A10723" i="17"/>
  <c r="B10722" i="17"/>
  <c r="A10722" i="17"/>
  <c r="B10721" i="17"/>
  <c r="A10721" i="17"/>
  <c r="B10720" i="17"/>
  <c r="A10720" i="17"/>
  <c r="A10719" i="17"/>
  <c r="A10718" i="17"/>
  <c r="A10717" i="17"/>
  <c r="B10716" i="17"/>
  <c r="A10716" i="17"/>
  <c r="B10715" i="17"/>
  <c r="A10715" i="17"/>
  <c r="A10714" i="17"/>
  <c r="A10713" i="17"/>
  <c r="A10712" i="17"/>
  <c r="A10711" i="17"/>
  <c r="B10710" i="17"/>
  <c r="A10710" i="17"/>
  <c r="B10709" i="17"/>
  <c r="A10709" i="17"/>
  <c r="B10708" i="17"/>
  <c r="A10708" i="17"/>
  <c r="B10707" i="17"/>
  <c r="A10707" i="17"/>
  <c r="B10706" i="17"/>
  <c r="A10706" i="17"/>
  <c r="B10705" i="17"/>
  <c r="A10705" i="17"/>
  <c r="B10704" i="17"/>
  <c r="A10704" i="17"/>
  <c r="B10703" i="17"/>
  <c r="A10703" i="17"/>
  <c r="A10702" i="17"/>
  <c r="B10700" i="17"/>
  <c r="A10700" i="17"/>
  <c r="B10699" i="17"/>
  <c r="A10699" i="17"/>
  <c r="B10695" i="17"/>
  <c r="A10695" i="17"/>
  <c r="B10694" i="17"/>
  <c r="A10694" i="17"/>
  <c r="B10693" i="17"/>
  <c r="A10693" i="17"/>
  <c r="B10692" i="17"/>
  <c r="A10692" i="17"/>
  <c r="B10691" i="17"/>
  <c r="A10691" i="17"/>
  <c r="B10690" i="17"/>
  <c r="A10690" i="17"/>
  <c r="B10689" i="17"/>
  <c r="A10689" i="17"/>
  <c r="B10688" i="17"/>
  <c r="A10688" i="17"/>
  <c r="B10687" i="17"/>
  <c r="A10687" i="17"/>
  <c r="B10686" i="17"/>
  <c r="A10686" i="17"/>
  <c r="B10685" i="17"/>
  <c r="A10685" i="17"/>
  <c r="B10684" i="17"/>
  <c r="A10684" i="17"/>
  <c r="B10683" i="17"/>
  <c r="A10683" i="17"/>
  <c r="B10682" i="17"/>
  <c r="A10682" i="17"/>
  <c r="B10681" i="17"/>
  <c r="A10681" i="17"/>
  <c r="B10680" i="17"/>
  <c r="A10680" i="17"/>
  <c r="B10679" i="17"/>
  <c r="A10679" i="17"/>
  <c r="B10678" i="17"/>
  <c r="A10678" i="17"/>
  <c r="B10677" i="17"/>
  <c r="A10677" i="17"/>
  <c r="B10676" i="17"/>
  <c r="A10676" i="17"/>
  <c r="B10675" i="17"/>
  <c r="A10675" i="17"/>
  <c r="B10674" i="17"/>
  <c r="A10674" i="17"/>
  <c r="B10673" i="17"/>
  <c r="A10673" i="17"/>
  <c r="B10672" i="17"/>
  <c r="A10672" i="17"/>
  <c r="B10671" i="17"/>
  <c r="A10671" i="17"/>
  <c r="B10670" i="17"/>
  <c r="A10670" i="17"/>
  <c r="B10669" i="17"/>
  <c r="A10669" i="17"/>
  <c r="B10668" i="17"/>
  <c r="A10668" i="17"/>
  <c r="B10667" i="17"/>
  <c r="A10667" i="17"/>
  <c r="B10666" i="17"/>
  <c r="A10666" i="17"/>
  <c r="B10665" i="17"/>
  <c r="A10665" i="17"/>
  <c r="B10664" i="17"/>
  <c r="A10664" i="17"/>
  <c r="B10663" i="17"/>
  <c r="A10663" i="17"/>
  <c r="B10662" i="17"/>
  <c r="A10662" i="17"/>
  <c r="A10661" i="17"/>
  <c r="B10660" i="17"/>
  <c r="A10660" i="17"/>
  <c r="B10659" i="17"/>
  <c r="A10659" i="17"/>
  <c r="B10658" i="17"/>
  <c r="A10658" i="17"/>
  <c r="B10657" i="17"/>
  <c r="A10657" i="17"/>
  <c r="B10656" i="17"/>
  <c r="A10656" i="17"/>
  <c r="B10655" i="17"/>
  <c r="A10655" i="17"/>
  <c r="B10654" i="17"/>
  <c r="A10654" i="17"/>
  <c r="B10653" i="17"/>
  <c r="A10653" i="17"/>
  <c r="B10652" i="17"/>
  <c r="A10652" i="17"/>
  <c r="B10651" i="17"/>
  <c r="A10651" i="17"/>
  <c r="A10650" i="17"/>
  <c r="B10649" i="17"/>
  <c r="A10649" i="17"/>
  <c r="B10648" i="17"/>
  <c r="A10648" i="17"/>
  <c r="B10647" i="17"/>
  <c r="A10647" i="17"/>
  <c r="B10646" i="17"/>
  <c r="A10646" i="17"/>
  <c r="A10645" i="17"/>
  <c r="B10644" i="17"/>
  <c r="A10644" i="17"/>
  <c r="B10643" i="17"/>
  <c r="A10643" i="17"/>
  <c r="B10642" i="17"/>
  <c r="A10642" i="17"/>
  <c r="B10641" i="17"/>
  <c r="A10641" i="17"/>
  <c r="B10640" i="17"/>
  <c r="A10640" i="17"/>
  <c r="B10639" i="17"/>
  <c r="A10639" i="17"/>
  <c r="B10638" i="17"/>
  <c r="A10638" i="17"/>
  <c r="B10633" i="17"/>
  <c r="A10633" i="17"/>
  <c r="B10632" i="17"/>
  <c r="A10632" i="17"/>
  <c r="B10631" i="17"/>
  <c r="A10631" i="17"/>
  <c r="A10630" i="17"/>
  <c r="B10629" i="17"/>
  <c r="A10629" i="17"/>
  <c r="B10628" i="17"/>
  <c r="A10628" i="17"/>
  <c r="B10627" i="17"/>
  <c r="A10627" i="17"/>
  <c r="B10626" i="17"/>
  <c r="A10626" i="17"/>
  <c r="B10625" i="17"/>
  <c r="A10625" i="17"/>
  <c r="B10624" i="17"/>
  <c r="A10624" i="17"/>
  <c r="B10623" i="17"/>
  <c r="A10623" i="17"/>
  <c r="A10622" i="17"/>
  <c r="B10621" i="17"/>
  <c r="A10621" i="17"/>
  <c r="B10620" i="17"/>
  <c r="A10620" i="17"/>
  <c r="A10619" i="17"/>
  <c r="B10618" i="17"/>
  <c r="A10618" i="17"/>
  <c r="B10617" i="17"/>
  <c r="A10617" i="17"/>
  <c r="B10616" i="17"/>
  <c r="A10616" i="17"/>
  <c r="B10615" i="17"/>
  <c r="A10615" i="17"/>
  <c r="B10614" i="17"/>
  <c r="A10614" i="17"/>
  <c r="B10613" i="17"/>
  <c r="A10613" i="17"/>
  <c r="A10612" i="17"/>
  <c r="B10611" i="17"/>
  <c r="A10611" i="17"/>
  <c r="B10610" i="17"/>
  <c r="A10610" i="17"/>
  <c r="A10609" i="17"/>
  <c r="A10608" i="17"/>
  <c r="A10607" i="17"/>
  <c r="B10606" i="17"/>
  <c r="A10606" i="17"/>
  <c r="A10605" i="17"/>
  <c r="A10604" i="17"/>
  <c r="A10603" i="17"/>
  <c r="A10602" i="17"/>
  <c r="B10601" i="17"/>
  <c r="A10601" i="17"/>
  <c r="A10600" i="17"/>
  <c r="A10599" i="17"/>
  <c r="B10598" i="17"/>
  <c r="A10598" i="17"/>
  <c r="B10597" i="17"/>
  <c r="A10597" i="17"/>
  <c r="B10596" i="17"/>
  <c r="A10596" i="17"/>
  <c r="B10595" i="17"/>
  <c r="A10595" i="17"/>
  <c r="B10594" i="17"/>
  <c r="A10594" i="17"/>
  <c r="B10593" i="17"/>
  <c r="A10593" i="17"/>
  <c r="B10592" i="17"/>
  <c r="A10592" i="17"/>
  <c r="B10591" i="17"/>
  <c r="A10591" i="17"/>
  <c r="B10590" i="17"/>
  <c r="A10590" i="17"/>
  <c r="B10589" i="17"/>
  <c r="A10589" i="17"/>
  <c r="B10588" i="17"/>
  <c r="A10588" i="17"/>
  <c r="B10587" i="17"/>
  <c r="A10587" i="17"/>
  <c r="B10586" i="17"/>
  <c r="A10586" i="17"/>
  <c r="B10585" i="17"/>
  <c r="A10585" i="17"/>
  <c r="B10584" i="17"/>
  <c r="A10584" i="17"/>
  <c r="B10583" i="17"/>
  <c r="A10583" i="17"/>
  <c r="B10582" i="17"/>
  <c r="A10582" i="17"/>
  <c r="B10581" i="17"/>
  <c r="A10581" i="17"/>
  <c r="B10580" i="17"/>
  <c r="A10580" i="17"/>
  <c r="A10579" i="17"/>
  <c r="A10578" i="17"/>
  <c r="A10577" i="17"/>
  <c r="B10576" i="17"/>
  <c r="A10576" i="17"/>
  <c r="B10575" i="17"/>
  <c r="A10575" i="17"/>
  <c r="A10574" i="17"/>
  <c r="A10573" i="17"/>
  <c r="A10572" i="17"/>
  <c r="B10561" i="17"/>
  <c r="A10561" i="17"/>
  <c r="B10560" i="17"/>
  <c r="A10560" i="17"/>
  <c r="B10559" i="17"/>
  <c r="A10559" i="17"/>
  <c r="B10558" i="17"/>
  <c r="A10558" i="17"/>
  <c r="B10557" i="17"/>
  <c r="B10556" i="17"/>
  <c r="A10556" i="17"/>
  <c r="B10555" i="17"/>
  <c r="A10555" i="17"/>
  <c r="B10554" i="17"/>
  <c r="A10554" i="17"/>
  <c r="B10553" i="17"/>
  <c r="A10553" i="17"/>
  <c r="B10552" i="17"/>
  <c r="A10552" i="17"/>
  <c r="B10551" i="17"/>
  <c r="A10551" i="17"/>
  <c r="B10550" i="17"/>
  <c r="A10550" i="17"/>
  <c r="B10549" i="17"/>
  <c r="A10549" i="17"/>
  <c r="B10548" i="17"/>
  <c r="A10548" i="17"/>
  <c r="B10547" i="17"/>
  <c r="A10547" i="17"/>
  <c r="B10546" i="17"/>
  <c r="A10546" i="17"/>
  <c r="B10545" i="17"/>
  <c r="A10545" i="17"/>
  <c r="B10544" i="17"/>
  <c r="A10544" i="17"/>
  <c r="A10543" i="17"/>
  <c r="B10542" i="17"/>
  <c r="A10542" i="17"/>
  <c r="B10541" i="17"/>
  <c r="A10541" i="17"/>
  <c r="B10540" i="17"/>
  <c r="A10540" i="17"/>
  <c r="B10539" i="17"/>
  <c r="A10539" i="17"/>
  <c r="B10538" i="17"/>
  <c r="A10538" i="17"/>
  <c r="B10537" i="17"/>
  <c r="A10537" i="17"/>
  <c r="B10536" i="17"/>
  <c r="A10536" i="17"/>
  <c r="B10535" i="17"/>
  <c r="A10535" i="17"/>
  <c r="B10534" i="17"/>
  <c r="A10534" i="17"/>
  <c r="B10533" i="17"/>
  <c r="A10533" i="17"/>
  <c r="B10532" i="17"/>
  <c r="A10532" i="17"/>
  <c r="B10531" i="17"/>
  <c r="A10531" i="17"/>
  <c r="B10530" i="17"/>
  <c r="A10530" i="17"/>
  <c r="A10529" i="17"/>
  <c r="B10528" i="17"/>
  <c r="A10528" i="17"/>
  <c r="A10527" i="17"/>
  <c r="A10526" i="17"/>
  <c r="A10525" i="17"/>
  <c r="B10524" i="17"/>
  <c r="A10524" i="17"/>
  <c r="B10523" i="17"/>
  <c r="A10523" i="17"/>
  <c r="B10522" i="17"/>
  <c r="A10522" i="17"/>
  <c r="B10521" i="17"/>
  <c r="A10521" i="17"/>
  <c r="B10520" i="17"/>
  <c r="A10520" i="17"/>
  <c r="B10519" i="17"/>
  <c r="A10519" i="17"/>
  <c r="B10518" i="17"/>
  <c r="A10518" i="17"/>
  <c r="B10517" i="17"/>
  <c r="A10517" i="17"/>
  <c r="B10516" i="17"/>
  <c r="A10516" i="17"/>
  <c r="B10515" i="17"/>
  <c r="A10515" i="17"/>
  <c r="B10514" i="17"/>
  <c r="A10514" i="17"/>
  <c r="B10513" i="17"/>
  <c r="A10513" i="17"/>
  <c r="B10512" i="17"/>
  <c r="A10512" i="17"/>
  <c r="A10511" i="17"/>
  <c r="B10510" i="17"/>
  <c r="A10510" i="17"/>
  <c r="B10509" i="17"/>
  <c r="A10509" i="17"/>
  <c r="A10508" i="17"/>
  <c r="B10507" i="17"/>
  <c r="A10507" i="17"/>
  <c r="B10506" i="17"/>
  <c r="A10506" i="17"/>
  <c r="B10505" i="17"/>
  <c r="A10505" i="17"/>
  <c r="B10504" i="17"/>
  <c r="A10504" i="17"/>
  <c r="B10503" i="17"/>
  <c r="A10503" i="17"/>
  <c r="B10502" i="17"/>
  <c r="A10502" i="17"/>
  <c r="A10501" i="17"/>
  <c r="B10500" i="17"/>
  <c r="A10500" i="17"/>
  <c r="B10499" i="17"/>
  <c r="A10499" i="17"/>
  <c r="B10498" i="17"/>
  <c r="A10498" i="17"/>
  <c r="A10497" i="17"/>
  <c r="A10496" i="17"/>
  <c r="A10495" i="17"/>
  <c r="A10494" i="17"/>
  <c r="B10493" i="17"/>
  <c r="A10493" i="17"/>
  <c r="B10492" i="17"/>
  <c r="A10492" i="17"/>
  <c r="B10491" i="17"/>
  <c r="A10491" i="17"/>
  <c r="B10490" i="17"/>
  <c r="A10490" i="17"/>
  <c r="A10489" i="17"/>
  <c r="B10488" i="17"/>
  <c r="A10488" i="17"/>
  <c r="B10487" i="17"/>
  <c r="A10487" i="17"/>
  <c r="B10486" i="17"/>
  <c r="A10486" i="17"/>
  <c r="B10485" i="17"/>
  <c r="A10485" i="17"/>
  <c r="B10483" i="17"/>
  <c r="A10483" i="17"/>
  <c r="B10482" i="17"/>
  <c r="A10482" i="17"/>
  <c r="B10481" i="17"/>
  <c r="A10481" i="17"/>
  <c r="B10480" i="17"/>
  <c r="A10480" i="17"/>
  <c r="A10479" i="17"/>
  <c r="B10478" i="17"/>
  <c r="A10478" i="17"/>
  <c r="A10477" i="17"/>
  <c r="B10476" i="17"/>
  <c r="A10476" i="17"/>
  <c r="B10475" i="17"/>
  <c r="A10475" i="17"/>
  <c r="B10474" i="17"/>
  <c r="A10474" i="17"/>
  <c r="B10473" i="17"/>
  <c r="A10473" i="17"/>
  <c r="B10472" i="17"/>
  <c r="A10472" i="17"/>
  <c r="A10468" i="17"/>
  <c r="A10467" i="17"/>
  <c r="A10465" i="17"/>
  <c r="A10464" i="17"/>
  <c r="B10463" i="17"/>
  <c r="A10463" i="17"/>
  <c r="A10462" i="17"/>
  <c r="B10461" i="17"/>
  <c r="A10461" i="17"/>
  <c r="B10460" i="17"/>
  <c r="A10460" i="17"/>
  <c r="B10459" i="17"/>
  <c r="A10459" i="17"/>
  <c r="B10458" i="17"/>
  <c r="A10458" i="17"/>
  <c r="B10457" i="17"/>
  <c r="A10457" i="17"/>
  <c r="B10456" i="17"/>
  <c r="A10456" i="17"/>
  <c r="B10455" i="17"/>
  <c r="A10455" i="17"/>
  <c r="B10454" i="17"/>
  <c r="A10454" i="17"/>
  <c r="B10453" i="17"/>
  <c r="A10453" i="17"/>
  <c r="B10452" i="17"/>
  <c r="A10452" i="17"/>
  <c r="B10451" i="17"/>
  <c r="A10451" i="17"/>
  <c r="B10450" i="17"/>
  <c r="A10450" i="17"/>
  <c r="A10449" i="17"/>
  <c r="B10448" i="17"/>
  <c r="A10448" i="17"/>
  <c r="B10447" i="17"/>
  <c r="A10447" i="17"/>
  <c r="B10446" i="17"/>
  <c r="A10446" i="17"/>
  <c r="B10445" i="17"/>
  <c r="A10445" i="17"/>
  <c r="B10444" i="17"/>
  <c r="A10444" i="17"/>
  <c r="B10443" i="17"/>
  <c r="A10443" i="17"/>
  <c r="B10442" i="17"/>
  <c r="A10442" i="17"/>
  <c r="B10441" i="17"/>
  <c r="A10441" i="17"/>
  <c r="B10440" i="17"/>
  <c r="A10440" i="17"/>
  <c r="B10439" i="17"/>
  <c r="A10439" i="17"/>
  <c r="B10438" i="17"/>
  <c r="A10438" i="17"/>
  <c r="B10437" i="17"/>
  <c r="A10437" i="17"/>
  <c r="B10436" i="17"/>
  <c r="A10436" i="17"/>
  <c r="A10435" i="17"/>
  <c r="B10434" i="17"/>
  <c r="A10434" i="17"/>
  <c r="B10433" i="17"/>
  <c r="A10433" i="17"/>
  <c r="B10432" i="17"/>
  <c r="A10432" i="17"/>
  <c r="B10431" i="17"/>
  <c r="A10431" i="17"/>
  <c r="B10430" i="17"/>
  <c r="A10430" i="17"/>
  <c r="B10429" i="17"/>
  <c r="A10429" i="17"/>
  <c r="B10428" i="17"/>
  <c r="A10428" i="17"/>
  <c r="B10426" i="17"/>
  <c r="A10426" i="17"/>
  <c r="B10425" i="17"/>
  <c r="A10425" i="17"/>
  <c r="B10424" i="17"/>
  <c r="A10424" i="17"/>
  <c r="B10423" i="17"/>
  <c r="A10423" i="17"/>
  <c r="B10422" i="17"/>
  <c r="A10422" i="17"/>
  <c r="B10421" i="17"/>
  <c r="A10421" i="17"/>
  <c r="B10420" i="17"/>
  <c r="A10420" i="17"/>
  <c r="A10419" i="17"/>
  <c r="A10418" i="17"/>
  <c r="A10417" i="17"/>
  <c r="B10416" i="17"/>
  <c r="A10416" i="17"/>
  <c r="B10415" i="17"/>
  <c r="A10415" i="17"/>
  <c r="B10414" i="17"/>
  <c r="A10414" i="17"/>
  <c r="A10413" i="17"/>
  <c r="B10412" i="17"/>
  <c r="A10412" i="17"/>
  <c r="B10411" i="17"/>
  <c r="A10411" i="17"/>
  <c r="B10410" i="17"/>
  <c r="A10410" i="17"/>
  <c r="A10409" i="17"/>
  <c r="B10408" i="17"/>
  <c r="A10408" i="17"/>
  <c r="B10407" i="17"/>
  <c r="A10407" i="17"/>
  <c r="B10399" i="17"/>
  <c r="A10399" i="17"/>
  <c r="B10398" i="17"/>
  <c r="A10398" i="17"/>
  <c r="B10397" i="17"/>
  <c r="A10397" i="17"/>
  <c r="B10396" i="17"/>
  <c r="A10396" i="17"/>
  <c r="B10395" i="17"/>
  <c r="A10395" i="17"/>
  <c r="B10394" i="17"/>
  <c r="A10394" i="17"/>
  <c r="B10393" i="17"/>
  <c r="A10393" i="17"/>
  <c r="B10392" i="17"/>
  <c r="A10392" i="17"/>
  <c r="B10391" i="17"/>
  <c r="A10391" i="17"/>
  <c r="B10390" i="17"/>
  <c r="A10390" i="17"/>
  <c r="B10389" i="17"/>
  <c r="A10389" i="17"/>
  <c r="B10388" i="17"/>
  <c r="A10388" i="17"/>
  <c r="B10387" i="17"/>
  <c r="A10387" i="17"/>
  <c r="B10386" i="17"/>
  <c r="A10386" i="17"/>
  <c r="B10385" i="17"/>
  <c r="A10385" i="17"/>
  <c r="B10384" i="17"/>
  <c r="A10384" i="17"/>
  <c r="B10383" i="17"/>
  <c r="A10383" i="17"/>
  <c r="B10382" i="17"/>
  <c r="A10382" i="17"/>
  <c r="B10381" i="17"/>
  <c r="A10381" i="17"/>
  <c r="B10380" i="17"/>
  <c r="A10380" i="17"/>
  <c r="B10379" i="17"/>
  <c r="A10379" i="17"/>
  <c r="B10378" i="17"/>
  <c r="A10378" i="17"/>
  <c r="B10377" i="17"/>
  <c r="A10377" i="17"/>
  <c r="B10376" i="17"/>
  <c r="A10376" i="17"/>
  <c r="B10375" i="17"/>
  <c r="A10375" i="17"/>
  <c r="B10374" i="17"/>
  <c r="A10374" i="17"/>
  <c r="B10369" i="17"/>
  <c r="A10369" i="17"/>
  <c r="B10366" i="17"/>
  <c r="A10366" i="17"/>
  <c r="A10365" i="17"/>
  <c r="B10364" i="17"/>
  <c r="A10364" i="17"/>
  <c r="B10362" i="17"/>
  <c r="A10362" i="17"/>
  <c r="B10361" i="17"/>
  <c r="A10361" i="17"/>
  <c r="B10360" i="17"/>
  <c r="A10360" i="17"/>
  <c r="B10359" i="17"/>
  <c r="A10359" i="17"/>
  <c r="B10358" i="17"/>
  <c r="A10358" i="17"/>
  <c r="B10357" i="17"/>
  <c r="A10357" i="17"/>
  <c r="B10356" i="17"/>
  <c r="A10356" i="17"/>
  <c r="B10355" i="17"/>
  <c r="A10355" i="17"/>
  <c r="B10354" i="17"/>
  <c r="A10354" i="17"/>
  <c r="B10353" i="17"/>
  <c r="A10353" i="17"/>
  <c r="B10352" i="17"/>
  <c r="A10352" i="17"/>
  <c r="B10351" i="17"/>
  <c r="A10351" i="17"/>
  <c r="B10350" i="17"/>
  <c r="A10350" i="17"/>
  <c r="B10349" i="17"/>
  <c r="A10349" i="17"/>
  <c r="B10348" i="17"/>
  <c r="A10348" i="17"/>
  <c r="B10347" i="17"/>
  <c r="A10347" i="17"/>
  <c r="B10346" i="17"/>
  <c r="A10346" i="17"/>
  <c r="B10345" i="17"/>
  <c r="A10345" i="17"/>
  <c r="B10344" i="17"/>
  <c r="A10344" i="17"/>
  <c r="B10343" i="17"/>
  <c r="A10343" i="17"/>
  <c r="B10342" i="17"/>
  <c r="A10342" i="17"/>
  <c r="B10341" i="17"/>
  <c r="A10341" i="17"/>
  <c r="B10340" i="17"/>
  <c r="A10340" i="17"/>
  <c r="B10339" i="17"/>
  <c r="A10339" i="17"/>
  <c r="B10338" i="17"/>
  <c r="A10338" i="17"/>
  <c r="A10337" i="17"/>
  <c r="B10334" i="17"/>
  <c r="A10334" i="17"/>
  <c r="B10329" i="17"/>
  <c r="A10329" i="17"/>
  <c r="B10328" i="17"/>
  <c r="A10328" i="17"/>
  <c r="B10327" i="17"/>
  <c r="A10327" i="17"/>
  <c r="B10326" i="17"/>
  <c r="A10326" i="17"/>
  <c r="B10325" i="17"/>
  <c r="A10325" i="17"/>
  <c r="B10324" i="17"/>
  <c r="A10324" i="17"/>
  <c r="B10323" i="17"/>
  <c r="A10323" i="17"/>
  <c r="B10322" i="17"/>
  <c r="A10322" i="17"/>
  <c r="B10321" i="17"/>
  <c r="A10321" i="17"/>
  <c r="B10320" i="17"/>
  <c r="A10320" i="17"/>
  <c r="B10319" i="17"/>
  <c r="A10319" i="17"/>
  <c r="B10318" i="17"/>
  <c r="A10318" i="17"/>
  <c r="B10317" i="17"/>
  <c r="A10317" i="17"/>
  <c r="B10316" i="17"/>
  <c r="A10316" i="17"/>
  <c r="B10315" i="17"/>
  <c r="A10315" i="17"/>
  <c r="B10314" i="17"/>
  <c r="A10314" i="17"/>
  <c r="B10313" i="17"/>
  <c r="A10313" i="17"/>
  <c r="B10312" i="17"/>
  <c r="A10312" i="17"/>
  <c r="B10311" i="17"/>
  <c r="A10311" i="17"/>
  <c r="B10310" i="17"/>
  <c r="A10310" i="17"/>
  <c r="B10309" i="17"/>
  <c r="A10309" i="17"/>
  <c r="B10308" i="17"/>
  <c r="A10308" i="17"/>
  <c r="B10307" i="17"/>
  <c r="A10307" i="17"/>
  <c r="B10306" i="17"/>
  <c r="A10306" i="17"/>
  <c r="A10305" i="17"/>
  <c r="B10304" i="17"/>
  <c r="B10303" i="17"/>
  <c r="B10302" i="17"/>
  <c r="B10301" i="17"/>
  <c r="A10301" i="17"/>
  <c r="B10300" i="17"/>
  <c r="A10300" i="17"/>
  <c r="B10299" i="17"/>
  <c r="A10299" i="17"/>
  <c r="B10298" i="17"/>
  <c r="A10298" i="17"/>
  <c r="B10297" i="17"/>
  <c r="A10297" i="17"/>
  <c r="B10296" i="17"/>
  <c r="A10296" i="17"/>
  <c r="A10295" i="17"/>
  <c r="B10294" i="17"/>
  <c r="A10294" i="17"/>
  <c r="B10293" i="17"/>
  <c r="A10293" i="17"/>
  <c r="B10292" i="17"/>
  <c r="A10292" i="17"/>
  <c r="B10291" i="17"/>
  <c r="A10291" i="17"/>
  <c r="B10290" i="17"/>
  <c r="B10289" i="17"/>
  <c r="A10289" i="17"/>
  <c r="B10288" i="17"/>
  <c r="A10288" i="17"/>
  <c r="B10287" i="17"/>
  <c r="A10287" i="17"/>
  <c r="B10286" i="17"/>
  <c r="B10285" i="17"/>
  <c r="B10284" i="17"/>
  <c r="A10284" i="17"/>
  <c r="B10283" i="17"/>
  <c r="B10281" i="17"/>
  <c r="A10281" i="17"/>
  <c r="B10280" i="17"/>
  <c r="A10280" i="17"/>
  <c r="B10279" i="17"/>
  <c r="A10279" i="17"/>
  <c r="B10278" i="17"/>
  <c r="A10278" i="17"/>
  <c r="A10277" i="17"/>
  <c r="B10276" i="17"/>
  <c r="A10276" i="17"/>
  <c r="B10275" i="17"/>
  <c r="A10275" i="17"/>
  <c r="B10273" i="17"/>
  <c r="A10273" i="17"/>
  <c r="B10272" i="17"/>
  <c r="A10272" i="17"/>
  <c r="B10271" i="17"/>
  <c r="A10271" i="17"/>
  <c r="B10270" i="17"/>
  <c r="A10270" i="17"/>
  <c r="B10269" i="17"/>
  <c r="A10269" i="17"/>
  <c r="B10268" i="17"/>
  <c r="A10268" i="17"/>
  <c r="B10267" i="17"/>
  <c r="A10267" i="17"/>
  <c r="B10266" i="17"/>
  <c r="A10266" i="17"/>
  <c r="B10265" i="17"/>
  <c r="A10265" i="17"/>
  <c r="A10264" i="17"/>
  <c r="B10263" i="17"/>
  <c r="A10263" i="17"/>
  <c r="A10262" i="17"/>
  <c r="B10261" i="17"/>
  <c r="A10261" i="17"/>
  <c r="B10260" i="17"/>
  <c r="A10260" i="17"/>
  <c r="B10259" i="17"/>
  <c r="A10259" i="17"/>
  <c r="B10258" i="17"/>
  <c r="A10258" i="17"/>
  <c r="B10257" i="17"/>
  <c r="A10257" i="17"/>
  <c r="B10256" i="17"/>
  <c r="B10255" i="17"/>
  <c r="A10255" i="17"/>
  <c r="B10254" i="17"/>
  <c r="A10254" i="17"/>
  <c r="B10253" i="17"/>
  <c r="A10253" i="17"/>
  <c r="B10252" i="17"/>
  <c r="A10252" i="17"/>
  <c r="B10251" i="17"/>
  <c r="A10251" i="17"/>
  <c r="B10250" i="17"/>
  <c r="A10250" i="17"/>
  <c r="B10249" i="17"/>
  <c r="A10249" i="17"/>
  <c r="B10248" i="17"/>
  <c r="A10248" i="17"/>
  <c r="B10247" i="17"/>
  <c r="B10246" i="17"/>
  <c r="B10245" i="17"/>
  <c r="B10244" i="17"/>
  <c r="B10243" i="17"/>
  <c r="B10242" i="17"/>
  <c r="B10241" i="17"/>
  <c r="B10240" i="17"/>
  <c r="B10239" i="17"/>
  <c r="B10238" i="17"/>
  <c r="B10237" i="17"/>
  <c r="B10236" i="17"/>
  <c r="A10236" i="17"/>
  <c r="B10235" i="17"/>
  <c r="A10235" i="17"/>
  <c r="B10234" i="17"/>
  <c r="A10234" i="17"/>
  <c r="B10233" i="17"/>
  <c r="A10233" i="17"/>
  <c r="B10232" i="17"/>
  <c r="A10232" i="17"/>
  <c r="A10231" i="17"/>
  <c r="B10230" i="17"/>
  <c r="A10230" i="17"/>
  <c r="B10229" i="17"/>
  <c r="A10229" i="17"/>
  <c r="B10228" i="17"/>
  <c r="A10228" i="17"/>
  <c r="B10227" i="17"/>
  <c r="A10227" i="17"/>
  <c r="A10226" i="17"/>
  <c r="B10225" i="17"/>
  <c r="A10225" i="17"/>
  <c r="B10224" i="17"/>
  <c r="A10224" i="17"/>
  <c r="A10223" i="17"/>
  <c r="B10222" i="17"/>
  <c r="A10222" i="17"/>
  <c r="A10221" i="17"/>
  <c r="A10220" i="17"/>
  <c r="A10219" i="17"/>
  <c r="A10218" i="17"/>
  <c r="B10217" i="17"/>
  <c r="A10217" i="17"/>
  <c r="A10216" i="17"/>
  <c r="A10215" i="17"/>
  <c r="B10214" i="17"/>
  <c r="A10214" i="17"/>
  <c r="B10213" i="17"/>
  <c r="A10213" i="17"/>
  <c r="B10212" i="17"/>
  <c r="A10212" i="17"/>
  <c r="B10211" i="17"/>
  <c r="A10211" i="17"/>
  <c r="B10210" i="17"/>
  <c r="A10210" i="17"/>
  <c r="B10209" i="17"/>
  <c r="A10209" i="17"/>
  <c r="B10208" i="17"/>
  <c r="A10208" i="17"/>
  <c r="B10207" i="17"/>
  <c r="A10207" i="17"/>
  <c r="A10206" i="17"/>
  <c r="B10205" i="17"/>
  <c r="A10205" i="17"/>
  <c r="B10204" i="17"/>
  <c r="A10204" i="17"/>
  <c r="A10203" i="17"/>
  <c r="B10202" i="17"/>
  <c r="A10202" i="17"/>
  <c r="B10201" i="17"/>
  <c r="A10201" i="17"/>
  <c r="B10200" i="17"/>
  <c r="A10200" i="17"/>
  <c r="B10199" i="17"/>
  <c r="A10199" i="17"/>
  <c r="B10198" i="17"/>
  <c r="A10198" i="17"/>
  <c r="B10197" i="17"/>
  <c r="A10197" i="17"/>
  <c r="B10196" i="17"/>
  <c r="A10196" i="17"/>
  <c r="B10195" i="17"/>
  <c r="A10195" i="17"/>
  <c r="B10194" i="17"/>
  <c r="A10194" i="17"/>
  <c r="B10193" i="17"/>
  <c r="A10193" i="17"/>
  <c r="B10192" i="17"/>
  <c r="A10192" i="17"/>
  <c r="B10191" i="17"/>
  <c r="A10191" i="17"/>
  <c r="B10190" i="17"/>
  <c r="A10190" i="17"/>
  <c r="B10189" i="17"/>
  <c r="A10189" i="17"/>
  <c r="B10188" i="17"/>
  <c r="A10188" i="17"/>
  <c r="B10187" i="17"/>
  <c r="A10187" i="17"/>
  <c r="A10186" i="17"/>
  <c r="B10185" i="17"/>
  <c r="B10183" i="17"/>
  <c r="A10183" i="17"/>
  <c r="B10182" i="17"/>
  <c r="A10182" i="17"/>
  <c r="A10181" i="17"/>
  <c r="B10180" i="17"/>
  <c r="A10180" i="17"/>
  <c r="B10179" i="17"/>
  <c r="A10179" i="17"/>
  <c r="B10178" i="17"/>
  <c r="A10178" i="17"/>
  <c r="B10177" i="17"/>
  <c r="A10177" i="17"/>
  <c r="B10176" i="17"/>
  <c r="A10176" i="17"/>
  <c r="B10175" i="17"/>
  <c r="A10175" i="17"/>
  <c r="B10174" i="17"/>
  <c r="A10174" i="17"/>
  <c r="B10173" i="17"/>
  <c r="A10173" i="17"/>
  <c r="B10172" i="17"/>
  <c r="A10172" i="17"/>
  <c r="B10171" i="17"/>
  <c r="A10171" i="17"/>
  <c r="B10170" i="17"/>
  <c r="A10170" i="17"/>
  <c r="B10169" i="17"/>
  <c r="A10169" i="17"/>
  <c r="B10168" i="17"/>
  <c r="A10168" i="17"/>
  <c r="B10167" i="17"/>
  <c r="A10167" i="17"/>
  <c r="B10166" i="17"/>
  <c r="A10166" i="17"/>
  <c r="B10165" i="17"/>
  <c r="A10165" i="17"/>
  <c r="B10164" i="17"/>
  <c r="A10164" i="17"/>
  <c r="B10163" i="17"/>
  <c r="A10163" i="17"/>
  <c r="A10162" i="17"/>
  <c r="A10161" i="17"/>
  <c r="A10160" i="17"/>
  <c r="A10159" i="17"/>
  <c r="B10158" i="17"/>
  <c r="A10158" i="17"/>
  <c r="A10157" i="17"/>
  <c r="A10156" i="17"/>
  <c r="A10155" i="17"/>
  <c r="A10154" i="17"/>
  <c r="A10153" i="17"/>
  <c r="B10152" i="17"/>
  <c r="A10152" i="17"/>
  <c r="B10151" i="17"/>
  <c r="A10151" i="17"/>
  <c r="A10150" i="17"/>
  <c r="B10149" i="17"/>
  <c r="A10149" i="17"/>
  <c r="B10147" i="17"/>
  <c r="A10147" i="17"/>
  <c r="B10146" i="17"/>
  <c r="A10146" i="17"/>
  <c r="B10145" i="17"/>
  <c r="A10145" i="17"/>
  <c r="B10144" i="17"/>
  <c r="A10144" i="17"/>
  <c r="B10143" i="17"/>
  <c r="A10143" i="17"/>
  <c r="B10142" i="17"/>
  <c r="A10142" i="17"/>
  <c r="A10141" i="17"/>
  <c r="A10140" i="17"/>
  <c r="A10139" i="17"/>
  <c r="A10138" i="17"/>
  <c r="B10137" i="17"/>
  <c r="A10137" i="17"/>
  <c r="B10136" i="17"/>
  <c r="A10136" i="17"/>
  <c r="B10135" i="17"/>
  <c r="A10135" i="17"/>
  <c r="A10134" i="17"/>
  <c r="B10133" i="17"/>
  <c r="A10133" i="17"/>
  <c r="A10132" i="17"/>
  <c r="A10131" i="17"/>
  <c r="B10130" i="17"/>
  <c r="A10130" i="17"/>
  <c r="B10129" i="17"/>
  <c r="A10129" i="17"/>
  <c r="B10128" i="17"/>
  <c r="A10128" i="17"/>
  <c r="B10127" i="17"/>
  <c r="A10127" i="17"/>
  <c r="B10126" i="17"/>
  <c r="A10126" i="17"/>
  <c r="B10125" i="17"/>
  <c r="A10125" i="17"/>
  <c r="B10124" i="17"/>
  <c r="A10124" i="17"/>
  <c r="B10123" i="17"/>
  <c r="A10123" i="17"/>
  <c r="A10122" i="17"/>
  <c r="B10121" i="17"/>
  <c r="A10121" i="17"/>
  <c r="B10120" i="17"/>
  <c r="A10120" i="17"/>
  <c r="B10119" i="17"/>
  <c r="A10119" i="17"/>
  <c r="B10118" i="17"/>
  <c r="A10118" i="17"/>
  <c r="B10117" i="17"/>
  <c r="A10117" i="17"/>
  <c r="B10116" i="17"/>
  <c r="A10116" i="17"/>
  <c r="A10115" i="17"/>
  <c r="A10114" i="17"/>
  <c r="A10113" i="17"/>
  <c r="B10112" i="17"/>
  <c r="A10112" i="17"/>
  <c r="A10111" i="17"/>
  <c r="B10110" i="17"/>
  <c r="A10110" i="17"/>
  <c r="B10109" i="17"/>
  <c r="A10109" i="17"/>
  <c r="A10108" i="17"/>
  <c r="B10107" i="17"/>
  <c r="A10107" i="17"/>
  <c r="B10106" i="17"/>
  <c r="A10106" i="17"/>
  <c r="B10105" i="17"/>
  <c r="A10105" i="17"/>
  <c r="B10104" i="17"/>
  <c r="A10104" i="17"/>
  <c r="B10103" i="17"/>
  <c r="A10103" i="17"/>
  <c r="B10102" i="17"/>
  <c r="A10102" i="17"/>
  <c r="B10101" i="17"/>
  <c r="A10101" i="17"/>
  <c r="A10100" i="17"/>
  <c r="B10099" i="17"/>
  <c r="A10099" i="17"/>
  <c r="B10098" i="17"/>
  <c r="A10098" i="17"/>
  <c r="B10097" i="17"/>
  <c r="A10097" i="17"/>
  <c r="B10096" i="17"/>
  <c r="A10096" i="17"/>
  <c r="B10095" i="17"/>
  <c r="A10095" i="17"/>
  <c r="A10094" i="17"/>
  <c r="A10093" i="17"/>
  <c r="B10092" i="17"/>
  <c r="A10092" i="17"/>
  <c r="B10091" i="17"/>
  <c r="A10091" i="17"/>
  <c r="A10090" i="17"/>
  <c r="B10089" i="17"/>
  <c r="A10089" i="17"/>
  <c r="A10087" i="17"/>
  <c r="A10086" i="17"/>
  <c r="B10085" i="17"/>
  <c r="A10085" i="17"/>
  <c r="B10084" i="17"/>
  <c r="A10084" i="17"/>
  <c r="B10083" i="17"/>
  <c r="A10083" i="17"/>
  <c r="B10082" i="17"/>
  <c r="A10082" i="17"/>
  <c r="B10081" i="17"/>
  <c r="A10081" i="17"/>
  <c r="B10080" i="17"/>
  <c r="A10080" i="17"/>
  <c r="B10079" i="17"/>
  <c r="A10079" i="17"/>
  <c r="B10078" i="17"/>
  <c r="A10078" i="17"/>
  <c r="B10077" i="17"/>
  <c r="A10077" i="17"/>
  <c r="B10076" i="17"/>
  <c r="A10076" i="17"/>
  <c r="B10075" i="17"/>
  <c r="A10075" i="17"/>
  <c r="B10074" i="17"/>
  <c r="A10074" i="17"/>
  <c r="B10073" i="17"/>
  <c r="A10073" i="17"/>
  <c r="B10072" i="17"/>
  <c r="A10072" i="17"/>
  <c r="B10071" i="17"/>
  <c r="A10071" i="17"/>
  <c r="B10070" i="17"/>
  <c r="A10070" i="17"/>
  <c r="A10069" i="17"/>
  <c r="A10068" i="17"/>
  <c r="A10067" i="17"/>
  <c r="B10066" i="17"/>
  <c r="A10066" i="17"/>
  <c r="A10065" i="17"/>
  <c r="A10064" i="17"/>
  <c r="B10063" i="17"/>
  <c r="A10063" i="17"/>
  <c r="B10062" i="17"/>
  <c r="A10062" i="17"/>
  <c r="B10061" i="17"/>
  <c r="A10061" i="17"/>
  <c r="B10060" i="17"/>
  <c r="A10060" i="17"/>
  <c r="B10059" i="17"/>
  <c r="A10059" i="17"/>
  <c r="B10058" i="17"/>
  <c r="A10058" i="17"/>
  <c r="B10057" i="17"/>
  <c r="A10057" i="17"/>
  <c r="B10056" i="17"/>
  <c r="A10056" i="17"/>
  <c r="B10055" i="17"/>
  <c r="A10055" i="17"/>
  <c r="A10054" i="17"/>
  <c r="A10053" i="17"/>
  <c r="A10052" i="17"/>
  <c r="A10051" i="17"/>
  <c r="A10050" i="17"/>
  <c r="A10049" i="17"/>
  <c r="A10048" i="17"/>
  <c r="B10047" i="17"/>
  <c r="A10047" i="17"/>
  <c r="B10046" i="17"/>
  <c r="A10046" i="17"/>
  <c r="B10045" i="17"/>
  <c r="A10045" i="17"/>
  <c r="B10044" i="17"/>
  <c r="A10044" i="17"/>
  <c r="A10043" i="17"/>
  <c r="A10042" i="17"/>
  <c r="A10041" i="17"/>
  <c r="B10040" i="17"/>
  <c r="A10040" i="17"/>
  <c r="B10039" i="17"/>
  <c r="A10039" i="17"/>
  <c r="B10038" i="17"/>
  <c r="A10038" i="17"/>
  <c r="B10037" i="17"/>
  <c r="A10037" i="17"/>
  <c r="B10036" i="17"/>
  <c r="A10036" i="17"/>
  <c r="B10035" i="17"/>
  <c r="A10035" i="17"/>
  <c r="B10034" i="17"/>
  <c r="A10034" i="17"/>
  <c r="B10033" i="17"/>
  <c r="A10033" i="17"/>
  <c r="B10032" i="17"/>
  <c r="A10032" i="17"/>
  <c r="A10031" i="17"/>
  <c r="A10030" i="17"/>
  <c r="B10029" i="17"/>
  <c r="A10029" i="17"/>
  <c r="B10028" i="17"/>
  <c r="A10028" i="17"/>
  <c r="B10027" i="17"/>
  <c r="A10027" i="17"/>
  <c r="B10026" i="17"/>
  <c r="A10026" i="17"/>
  <c r="A10025" i="17"/>
  <c r="A10024" i="17"/>
  <c r="A10023" i="17"/>
  <c r="B10022" i="17"/>
  <c r="A10022" i="17"/>
  <c r="B10021" i="17"/>
  <c r="A10021" i="17"/>
  <c r="B10020" i="17"/>
  <c r="A10020" i="17"/>
  <c r="A10019" i="17"/>
  <c r="A10018" i="17"/>
  <c r="B10017" i="17"/>
  <c r="A10017" i="17"/>
  <c r="B10016" i="17"/>
  <c r="A10016" i="17"/>
  <c r="B10015" i="17"/>
  <c r="A10015" i="17"/>
  <c r="B10014" i="17"/>
  <c r="A10014" i="17"/>
  <c r="B10013" i="17"/>
  <c r="A10013" i="17"/>
  <c r="B10012" i="17"/>
  <c r="A10012" i="17"/>
  <c r="A10011" i="17"/>
  <c r="B10010" i="17"/>
  <c r="A10010" i="17"/>
  <c r="B10009" i="17"/>
  <c r="B10008" i="17"/>
  <c r="B10007" i="17"/>
  <c r="B10006" i="17"/>
  <c r="B10005" i="17"/>
  <c r="B10004" i="17"/>
  <c r="B10003" i="17"/>
  <c r="B10002" i="17"/>
  <c r="B10001" i="17"/>
  <c r="B10000" i="17"/>
  <c r="B9999" i="17"/>
  <c r="A9999" i="17"/>
  <c r="B9998" i="17"/>
  <c r="B9997" i="17"/>
  <c r="A9997" i="17"/>
  <c r="B9996" i="17"/>
  <c r="A9995" i="17"/>
  <c r="B9994" i="17"/>
  <c r="A9994" i="17"/>
  <c r="A9993" i="17"/>
  <c r="B9992" i="17"/>
  <c r="A9992" i="17"/>
  <c r="B9991" i="17"/>
  <c r="A9991" i="17"/>
  <c r="A9990" i="17"/>
  <c r="B9989" i="17"/>
  <c r="A9989" i="17"/>
  <c r="B9988" i="17"/>
  <c r="A9988" i="17"/>
  <c r="B9987" i="17"/>
  <c r="A9987" i="17"/>
  <c r="B9986" i="17"/>
  <c r="A9986" i="17"/>
  <c r="B9985" i="17"/>
  <c r="A9985" i="17"/>
  <c r="A9984" i="17"/>
  <c r="A9983" i="17"/>
  <c r="A9982" i="17"/>
  <c r="B9981" i="17"/>
  <c r="A9981" i="17"/>
  <c r="A9980" i="17"/>
  <c r="B9979" i="17"/>
  <c r="A9979" i="17"/>
  <c r="B9978" i="17"/>
  <c r="A9978" i="17"/>
  <c r="B9977" i="17"/>
  <c r="A9977" i="17"/>
  <c r="B9976" i="17"/>
  <c r="A9976" i="17"/>
  <c r="B9975" i="17"/>
  <c r="A9975" i="17"/>
  <c r="B9974" i="17"/>
  <c r="A9974" i="17"/>
  <c r="B9973" i="17"/>
  <c r="A9973" i="17"/>
  <c r="B9972" i="17"/>
  <c r="A9972" i="17"/>
  <c r="B9971" i="17"/>
  <c r="A9971" i="17"/>
  <c r="B9970" i="17"/>
  <c r="A9970" i="17"/>
  <c r="B9969" i="17"/>
  <c r="A9969" i="17"/>
  <c r="B9968" i="17"/>
  <c r="A9968" i="17"/>
  <c r="B9967" i="17"/>
  <c r="A9967" i="17"/>
  <c r="B9966" i="17"/>
  <c r="A9966" i="17"/>
  <c r="B9965" i="17"/>
  <c r="A9965" i="17"/>
  <c r="B9964" i="17"/>
  <c r="A9964" i="17"/>
  <c r="B9963" i="17"/>
  <c r="A9963" i="17"/>
  <c r="B9962" i="17"/>
  <c r="A9962" i="17"/>
  <c r="B9961" i="17"/>
  <c r="A9961" i="17"/>
  <c r="A9960" i="17"/>
  <c r="B9959" i="17"/>
  <c r="A9959" i="17"/>
  <c r="B9958" i="17"/>
  <c r="A9958" i="17"/>
  <c r="B9957" i="17"/>
  <c r="A9957" i="17"/>
  <c r="B9956" i="17"/>
  <c r="A9956" i="17"/>
  <c r="B9955" i="17"/>
  <c r="A9955" i="17"/>
  <c r="B9954" i="17"/>
  <c r="A9954" i="17"/>
  <c r="B9953" i="17"/>
  <c r="A9953" i="17"/>
  <c r="A9952" i="17"/>
  <c r="B9951" i="17"/>
  <c r="A9951" i="17"/>
  <c r="B9950" i="17"/>
  <c r="A9950" i="17"/>
  <c r="B9949" i="17"/>
  <c r="A9949" i="17"/>
  <c r="B9948" i="17"/>
  <c r="A9948" i="17"/>
  <c r="B9947" i="17"/>
  <c r="A9947" i="17"/>
  <c r="A9946" i="17"/>
  <c r="B9945" i="17"/>
  <c r="A9945" i="17"/>
  <c r="B9944" i="17"/>
  <c r="A9944" i="17"/>
  <c r="B9943" i="17"/>
  <c r="A9943" i="17"/>
  <c r="A9942" i="17"/>
  <c r="B9941" i="17"/>
  <c r="A9941" i="17"/>
  <c r="B9940" i="17"/>
  <c r="A9940" i="17"/>
  <c r="B9939" i="17"/>
  <c r="A9939" i="17"/>
  <c r="B9938" i="17"/>
  <c r="A9938" i="17"/>
  <c r="B9937" i="17"/>
  <c r="A9937" i="17"/>
  <c r="B9936" i="17"/>
  <c r="A9936" i="17"/>
  <c r="B9935" i="17"/>
  <c r="B9934" i="17"/>
  <c r="A9934" i="17"/>
  <c r="B9933" i="17"/>
  <c r="A9933" i="17"/>
  <c r="B9932" i="17"/>
  <c r="A9932" i="17"/>
  <c r="B9931" i="17"/>
  <c r="A9931" i="17"/>
  <c r="A9930" i="17"/>
  <c r="A9929" i="17"/>
  <c r="A9928" i="17"/>
  <c r="A9927" i="17"/>
  <c r="A9926" i="17"/>
  <c r="A9925" i="17"/>
  <c r="A9924" i="17"/>
  <c r="A9923" i="17"/>
  <c r="A9922" i="17"/>
  <c r="B9921" i="17"/>
  <c r="A9921" i="17"/>
  <c r="B9920" i="17"/>
  <c r="A9920" i="17"/>
  <c r="B9919" i="17"/>
  <c r="A9919" i="17"/>
  <c r="B9918" i="17"/>
  <c r="A9918" i="17"/>
  <c r="A9917" i="17"/>
  <c r="B9916" i="17"/>
  <c r="A9916" i="17"/>
  <c r="B9915" i="17"/>
  <c r="A9915" i="17"/>
  <c r="A9914" i="17"/>
  <c r="A9913" i="17"/>
  <c r="B9912" i="17"/>
  <c r="A9912" i="17"/>
  <c r="B9911" i="17"/>
  <c r="A9911" i="17"/>
  <c r="B9910" i="17"/>
  <c r="A9910" i="17"/>
  <c r="B9909" i="17"/>
  <c r="A9909" i="17"/>
  <c r="B9908" i="17"/>
  <c r="A9908" i="17"/>
  <c r="A9907" i="17"/>
  <c r="A9906" i="17"/>
  <c r="B9905" i="17"/>
  <c r="A9905" i="17"/>
  <c r="A9904" i="17"/>
  <c r="B9903" i="17"/>
  <c r="A9903" i="17"/>
  <c r="A9902" i="17"/>
  <c r="A9901" i="17"/>
  <c r="A9900" i="17"/>
  <c r="A9899" i="17"/>
  <c r="B9898" i="17"/>
  <c r="A9898" i="17"/>
  <c r="A9897" i="17"/>
  <c r="B9896" i="17"/>
  <c r="A9896" i="17"/>
  <c r="B9895" i="17"/>
  <c r="A9895" i="17"/>
  <c r="A9894" i="17"/>
  <c r="B9893" i="17"/>
  <c r="A9893" i="17"/>
  <c r="A9892" i="17"/>
  <c r="B9891" i="17"/>
  <c r="A9891" i="17"/>
  <c r="B9890" i="17"/>
  <c r="A9890" i="17"/>
  <c r="B9889" i="17"/>
  <c r="A9889" i="17"/>
  <c r="B9888" i="17"/>
  <c r="A9888" i="17"/>
  <c r="B9887" i="17"/>
  <c r="A9887" i="17"/>
  <c r="B9886" i="17"/>
  <c r="A9886" i="17"/>
  <c r="B9885" i="17"/>
  <c r="A9885" i="17"/>
  <c r="B9884" i="17"/>
  <c r="A9884" i="17"/>
  <c r="B9883" i="17"/>
  <c r="A9883" i="17"/>
  <c r="A9882" i="17"/>
  <c r="A9881" i="17"/>
  <c r="B9880" i="17"/>
  <c r="A9880" i="17"/>
  <c r="B9879" i="17"/>
  <c r="A9879" i="17"/>
  <c r="B9878" i="17"/>
  <c r="A9878" i="17"/>
  <c r="B9877" i="17"/>
  <c r="A9877" i="17"/>
  <c r="A9876" i="17"/>
  <c r="A9875" i="17"/>
  <c r="A9874" i="17"/>
  <c r="A9873" i="17"/>
  <c r="A9872" i="17"/>
  <c r="A9871" i="17"/>
  <c r="A9870" i="17"/>
  <c r="B9869" i="17"/>
  <c r="A9869" i="17"/>
  <c r="B9868" i="17"/>
  <c r="A9868" i="17"/>
  <c r="A9867" i="17"/>
  <c r="B9866" i="17"/>
  <c r="A9866" i="17"/>
  <c r="A9865" i="17"/>
  <c r="A9864" i="17"/>
  <c r="B9863" i="17"/>
  <c r="A9863" i="17"/>
  <c r="A9862" i="17"/>
  <c r="A9861" i="17"/>
  <c r="B9860" i="17"/>
  <c r="A9860" i="17"/>
  <c r="B9859" i="17"/>
  <c r="A9859" i="17"/>
  <c r="B9858" i="17"/>
  <c r="A9858" i="17"/>
  <c r="B9857" i="17"/>
  <c r="A9857" i="17"/>
  <c r="B9856" i="17"/>
  <c r="A9856" i="17"/>
  <c r="B9855" i="17"/>
  <c r="A9855" i="17"/>
  <c r="B9854" i="17"/>
  <c r="A9854" i="17"/>
  <c r="B9853" i="17"/>
  <c r="A9853" i="17"/>
  <c r="B9852" i="17"/>
  <c r="A9852" i="17"/>
  <c r="B9851" i="17"/>
  <c r="A9851" i="17"/>
  <c r="B9850" i="17"/>
  <c r="A9850" i="17"/>
  <c r="B9849" i="17"/>
  <c r="A9849" i="17"/>
  <c r="B9848" i="17"/>
  <c r="A9848" i="17"/>
  <c r="A9847" i="17"/>
  <c r="A9846" i="17"/>
  <c r="B9845" i="17"/>
  <c r="A9845" i="17"/>
  <c r="B9844" i="17"/>
  <c r="A9844" i="17"/>
  <c r="B9843" i="17"/>
  <c r="A9843" i="17"/>
  <c r="B9842" i="17"/>
  <c r="A9842" i="17"/>
  <c r="B9841" i="17"/>
  <c r="A9841" i="17"/>
  <c r="B9840" i="17"/>
  <c r="B9839" i="17"/>
  <c r="A9839" i="17"/>
  <c r="A9838" i="17"/>
  <c r="B9837" i="17"/>
  <c r="A9837" i="17"/>
  <c r="B9836" i="17"/>
  <c r="A9836" i="17"/>
  <c r="B9835" i="17"/>
  <c r="A9835" i="17"/>
  <c r="B9834" i="17"/>
  <c r="A9834" i="17"/>
  <c r="B9833" i="17"/>
  <c r="A9833" i="17"/>
  <c r="A9832" i="17"/>
  <c r="B9831" i="17"/>
  <c r="A9831" i="17"/>
  <c r="B9830" i="17"/>
  <c r="A9830" i="17"/>
  <c r="B9829" i="17"/>
  <c r="A9829" i="17"/>
  <c r="B9828" i="17"/>
  <c r="A9828" i="17"/>
  <c r="B9827" i="17"/>
  <c r="A9827" i="17"/>
  <c r="B9826" i="17"/>
  <c r="A9826" i="17"/>
  <c r="B9825" i="17"/>
  <c r="A9825" i="17"/>
  <c r="B9824" i="17"/>
  <c r="A9824" i="17"/>
  <c r="B9823" i="17"/>
  <c r="A9823" i="17"/>
  <c r="B9822" i="17"/>
  <c r="A9822" i="17"/>
  <c r="B9821" i="17"/>
  <c r="A9821" i="17"/>
  <c r="B9820" i="17"/>
  <c r="A9820" i="17"/>
  <c r="B9819" i="17"/>
  <c r="A9819" i="17"/>
  <c r="A9818" i="17"/>
  <c r="B9817" i="17"/>
  <c r="A9817" i="17"/>
  <c r="B9816" i="17"/>
  <c r="A9816" i="17"/>
  <c r="B9815" i="17"/>
  <c r="A9815" i="17"/>
  <c r="B9814" i="17"/>
  <c r="A9814" i="17"/>
  <c r="B9810" i="17"/>
  <c r="A9810" i="17"/>
  <c r="B9809" i="17"/>
  <c r="A9809" i="17"/>
  <c r="B9808" i="17"/>
  <c r="A9808" i="17"/>
  <c r="B9807" i="17"/>
  <c r="A9807" i="17"/>
  <c r="B9806" i="17"/>
  <c r="A9806" i="17"/>
  <c r="B9805" i="17"/>
  <c r="A9805" i="17"/>
  <c r="A9804" i="17"/>
  <c r="A9803" i="17"/>
  <c r="A9802" i="17"/>
  <c r="A9801" i="17"/>
  <c r="A9800" i="17"/>
  <c r="B9799" i="17"/>
  <c r="A9799" i="17"/>
  <c r="B9798" i="17"/>
  <c r="A9798" i="17"/>
  <c r="B9797" i="17"/>
  <c r="A9797" i="17"/>
  <c r="A9796" i="17"/>
  <c r="B9795" i="17"/>
  <c r="A9795" i="17"/>
  <c r="B9794" i="17"/>
  <c r="A9794" i="17"/>
  <c r="A9793" i="17"/>
  <c r="B9792" i="17"/>
  <c r="A9792" i="17"/>
  <c r="B9791" i="17"/>
  <c r="A9791" i="17"/>
  <c r="B9790" i="17"/>
  <c r="A9790" i="17"/>
  <c r="B9789" i="17"/>
  <c r="A9789" i="17"/>
  <c r="B9788" i="17"/>
  <c r="A9788" i="17"/>
  <c r="B9787" i="17"/>
  <c r="A9787" i="17"/>
  <c r="B9786" i="17"/>
  <c r="B9785" i="17"/>
  <c r="A9785" i="17"/>
  <c r="B9784" i="17"/>
  <c r="A9784" i="17"/>
  <c r="B9783" i="17"/>
  <c r="A9783" i="17"/>
  <c r="B9782" i="17"/>
  <c r="A9782" i="17"/>
  <c r="B9781" i="17"/>
  <c r="A9781" i="17"/>
  <c r="B9780" i="17"/>
  <c r="A9780" i="17"/>
  <c r="A9779" i="17"/>
  <c r="B9778" i="17"/>
  <c r="A9778" i="17"/>
  <c r="B9777" i="17"/>
  <c r="A9777" i="17"/>
  <c r="B9776" i="17"/>
  <c r="A9776" i="17"/>
  <c r="B9774" i="17"/>
  <c r="A9774" i="17"/>
  <c r="B9773" i="17"/>
  <c r="A9773" i="17"/>
  <c r="B9772" i="17"/>
  <c r="A9772" i="17"/>
  <c r="B9771" i="17"/>
  <c r="A9771" i="17"/>
  <c r="B9770" i="17"/>
  <c r="A9770" i="17"/>
  <c r="B9769" i="17"/>
  <c r="A9769" i="17"/>
  <c r="B9768" i="17"/>
  <c r="A9768" i="17"/>
  <c r="B9767" i="17"/>
  <c r="A9767" i="17"/>
  <c r="B9766" i="17"/>
  <c r="A9766" i="17"/>
  <c r="B9765" i="17"/>
  <c r="A9765" i="17"/>
  <c r="A9764" i="17"/>
  <c r="A9763" i="17"/>
  <c r="A9762" i="17"/>
  <c r="B9761" i="17"/>
  <c r="A9761" i="17"/>
  <c r="A9760" i="17"/>
  <c r="B9759" i="17"/>
  <c r="A9759" i="17"/>
  <c r="B9758" i="17"/>
  <c r="A9758" i="17"/>
  <c r="B9757" i="17"/>
  <c r="A9757" i="17"/>
  <c r="B9756" i="17"/>
  <c r="A9756" i="17"/>
  <c r="B9755" i="17"/>
  <c r="A9755" i="17"/>
  <c r="B9754" i="17"/>
  <c r="A9754" i="17"/>
  <c r="B9753" i="17"/>
  <c r="A9753" i="17"/>
  <c r="B9752" i="17"/>
  <c r="A9752" i="17"/>
  <c r="B9751" i="17"/>
  <c r="A9751" i="17"/>
  <c r="B9750" i="17"/>
  <c r="A9750" i="17"/>
  <c r="B9749" i="17"/>
  <c r="A9749" i="17"/>
  <c r="B9748" i="17"/>
  <c r="A9748" i="17"/>
  <c r="B9747" i="17"/>
  <c r="A9747" i="17"/>
  <c r="B9746" i="17"/>
  <c r="A9746" i="17"/>
  <c r="B9745" i="17"/>
  <c r="A9745" i="17"/>
  <c r="B9744" i="17"/>
  <c r="A9744" i="17"/>
  <c r="B9743" i="17"/>
  <c r="A9743" i="17"/>
  <c r="A9742" i="17"/>
  <c r="B9741" i="17"/>
  <c r="A9741" i="17"/>
  <c r="B9740" i="17"/>
  <c r="A9740" i="17"/>
  <c r="B9739" i="17"/>
  <c r="A9739" i="17"/>
  <c r="B9738" i="17"/>
  <c r="A9738" i="17"/>
  <c r="B9737" i="17"/>
  <c r="A9737" i="17"/>
  <c r="B9736" i="17"/>
  <c r="A9736" i="17"/>
  <c r="B9735" i="17"/>
  <c r="A9735" i="17"/>
  <c r="A9734" i="17"/>
  <c r="B9733" i="17"/>
  <c r="A9733" i="17"/>
  <c r="B9732" i="17"/>
  <c r="A9732" i="17"/>
  <c r="B9731" i="17"/>
  <c r="A9731" i="17"/>
  <c r="B9730" i="17"/>
  <c r="A9730" i="17"/>
  <c r="B9729" i="17"/>
  <c r="A9729" i="17"/>
  <c r="B9728" i="17"/>
  <c r="A9728" i="17"/>
  <c r="B9727" i="17"/>
  <c r="B9726" i="17"/>
  <c r="A9726" i="17"/>
  <c r="B9725" i="17"/>
  <c r="A9725" i="17"/>
  <c r="A9724" i="17"/>
  <c r="B9723" i="17"/>
  <c r="A9723" i="17"/>
  <c r="B9722" i="17"/>
  <c r="A9722" i="17"/>
  <c r="B9721" i="17"/>
  <c r="A9721" i="17"/>
  <c r="B9720" i="17"/>
  <c r="A9720" i="17"/>
  <c r="B9719" i="17"/>
  <c r="A9719" i="17"/>
  <c r="B9718" i="17"/>
  <c r="A9718" i="17"/>
  <c r="B9717" i="17"/>
  <c r="A9717" i="17"/>
  <c r="A9716" i="17"/>
  <c r="B9715" i="17"/>
  <c r="A9715" i="17"/>
  <c r="B9714" i="17"/>
  <c r="A9714" i="17"/>
  <c r="B9713" i="17"/>
  <c r="A9713" i="17"/>
  <c r="B9712" i="17"/>
  <c r="A9712" i="17"/>
  <c r="B9711" i="17"/>
  <c r="A9711" i="17"/>
  <c r="B9710" i="17"/>
  <c r="A9710" i="17"/>
  <c r="B9709" i="17"/>
  <c r="A9709" i="17"/>
  <c r="A9708" i="17"/>
  <c r="A9707" i="17"/>
  <c r="A9706" i="17"/>
  <c r="A9705" i="17"/>
  <c r="B9704" i="17"/>
  <c r="A9704" i="17"/>
  <c r="B9703" i="17"/>
  <c r="A9703" i="17"/>
  <c r="B9702" i="17"/>
  <c r="A9702" i="17"/>
  <c r="A9701" i="17"/>
  <c r="B9700" i="17"/>
  <c r="A9700" i="17"/>
  <c r="B9699" i="17"/>
  <c r="A9699" i="17"/>
  <c r="B9698" i="17"/>
  <c r="A9698" i="17"/>
  <c r="B9697" i="17"/>
  <c r="A9697" i="17"/>
  <c r="A9696" i="17"/>
  <c r="A9695" i="17"/>
  <c r="A9694" i="17"/>
  <c r="A9693" i="17"/>
  <c r="B9692" i="17"/>
  <c r="A9692" i="17"/>
  <c r="B9691" i="17"/>
  <c r="A9691" i="17"/>
  <c r="B9690" i="17"/>
  <c r="A9690" i="17"/>
  <c r="B9689" i="17"/>
  <c r="A9689" i="17"/>
  <c r="B9688" i="17"/>
  <c r="A9688" i="17"/>
  <c r="B9687" i="17"/>
  <c r="A9687" i="17"/>
  <c r="B9686" i="17"/>
  <c r="A9686" i="17"/>
  <c r="B9685" i="17"/>
  <c r="A9685" i="17"/>
  <c r="B9684" i="17"/>
  <c r="A9684" i="17"/>
  <c r="B9683" i="17"/>
  <c r="A9683" i="17"/>
  <c r="B9682" i="17"/>
  <c r="A9682" i="17"/>
  <c r="B9681" i="17"/>
  <c r="A9681" i="17"/>
  <c r="B9680" i="17"/>
  <c r="A9680" i="17"/>
  <c r="B9679" i="17"/>
  <c r="A9679" i="17"/>
  <c r="B9678" i="17"/>
  <c r="A9678" i="17"/>
  <c r="B9677" i="17"/>
  <c r="A9677" i="17"/>
  <c r="B9676" i="17"/>
  <c r="A9676" i="17"/>
  <c r="B9675" i="17"/>
  <c r="A9675" i="17"/>
  <c r="B9674" i="17"/>
  <c r="A9674" i="17"/>
  <c r="A9673" i="17"/>
  <c r="A9672" i="17"/>
  <c r="B9671" i="17"/>
  <c r="A9671" i="17"/>
  <c r="B9670" i="17"/>
  <c r="A9670" i="17"/>
  <c r="B9669" i="17"/>
  <c r="A9669" i="17"/>
  <c r="B9668" i="17"/>
  <c r="A9668" i="17"/>
  <c r="B9667" i="17"/>
  <c r="A9667" i="17"/>
  <c r="B9666" i="17"/>
  <c r="A9666" i="17"/>
  <c r="B9665" i="17"/>
  <c r="A9665" i="17"/>
  <c r="B9664" i="17"/>
  <c r="A9664" i="17"/>
  <c r="A9663" i="17"/>
  <c r="A9662" i="17"/>
  <c r="A9661" i="17"/>
  <c r="B9660" i="17"/>
  <c r="A9660" i="17"/>
  <c r="A9659" i="17"/>
  <c r="A9658" i="17"/>
  <c r="A9657" i="17"/>
  <c r="B9656" i="17"/>
  <c r="A9656" i="17"/>
  <c r="B9655" i="17"/>
  <c r="A9655" i="17"/>
  <c r="B9654" i="17"/>
  <c r="A9654" i="17"/>
  <c r="B9653" i="17"/>
  <c r="A9653" i="17"/>
  <c r="B9652" i="17"/>
  <c r="A9652" i="17"/>
  <c r="A9651" i="17"/>
  <c r="B9650" i="17"/>
  <c r="A9650" i="17"/>
  <c r="A9649" i="17"/>
  <c r="A9648" i="17"/>
  <c r="B9647" i="17"/>
  <c r="A9647" i="17"/>
  <c r="B9646" i="17"/>
  <c r="A9646" i="17"/>
  <c r="B9645" i="17"/>
  <c r="A9645" i="17"/>
  <c r="A9644" i="17"/>
  <c r="A9643" i="17"/>
  <c r="A9642" i="17"/>
  <c r="A9641" i="17"/>
  <c r="B9640" i="17"/>
  <c r="B9639" i="17"/>
  <c r="A9639" i="17"/>
  <c r="A9638" i="17"/>
  <c r="B9637" i="17"/>
  <c r="A9637" i="17"/>
  <c r="B9636" i="17"/>
  <c r="A9636" i="17"/>
  <c r="B9635" i="17"/>
  <c r="A9635" i="17"/>
  <c r="B9634" i="17"/>
  <c r="A9634" i="17"/>
  <c r="B9633" i="17"/>
  <c r="A9633" i="17"/>
  <c r="B9632" i="17"/>
  <c r="A9632" i="17"/>
  <c r="B9631" i="17"/>
  <c r="A9631" i="17"/>
  <c r="B9630" i="17"/>
  <c r="A9630" i="17"/>
  <c r="B9629" i="17"/>
  <c r="A9629" i="17"/>
  <c r="A9628" i="17"/>
  <c r="B9627" i="17"/>
  <c r="A9627" i="17"/>
  <c r="B9626" i="17"/>
  <c r="A9626" i="17"/>
  <c r="B9625" i="17"/>
  <c r="A9625" i="17"/>
  <c r="B9624" i="17"/>
  <c r="A9624" i="17"/>
  <c r="B9623" i="17"/>
  <c r="A9623" i="17"/>
  <c r="B9622" i="17"/>
  <c r="A9622" i="17"/>
  <c r="B9621" i="17"/>
  <c r="A9621" i="17"/>
  <c r="B9620" i="17"/>
  <c r="A9620" i="17"/>
  <c r="B9619" i="17"/>
  <c r="A9619" i="17"/>
  <c r="B9618" i="17"/>
  <c r="A9618" i="17"/>
  <c r="B9617" i="17"/>
  <c r="A9617" i="17"/>
  <c r="B9616" i="17"/>
  <c r="A9616" i="17"/>
  <c r="A9615" i="17"/>
  <c r="B9614" i="17"/>
  <c r="A9614" i="17"/>
  <c r="B9613" i="17"/>
  <c r="A9613" i="17"/>
  <c r="B9612" i="17"/>
  <c r="A9612" i="17"/>
  <c r="B9611" i="17"/>
  <c r="A9611" i="17"/>
  <c r="B9610" i="17"/>
  <c r="A9610" i="17"/>
  <c r="B9609" i="17"/>
  <c r="A9609" i="17"/>
  <c r="B9608" i="17"/>
  <c r="A9608" i="17"/>
  <c r="B9607" i="17"/>
  <c r="A9607" i="17"/>
  <c r="B9606" i="17"/>
  <c r="A9606" i="17"/>
  <c r="B9605" i="17"/>
  <c r="A9605" i="17"/>
  <c r="B9604" i="17"/>
  <c r="A9604" i="17"/>
  <c r="B9603" i="17"/>
  <c r="A9603" i="17"/>
  <c r="A9602" i="17"/>
  <c r="B9601" i="17"/>
  <c r="A9601" i="17"/>
  <c r="B9600" i="17"/>
  <c r="A9600" i="17"/>
  <c r="A9599" i="17"/>
  <c r="A9593" i="17"/>
  <c r="B9592" i="17"/>
  <c r="A9592" i="17"/>
  <c r="B9591" i="17"/>
  <c r="A9591" i="17"/>
  <c r="B9590" i="17"/>
  <c r="A9590" i="17"/>
  <c r="B9589" i="17"/>
  <c r="A9589" i="17"/>
  <c r="B9588" i="17"/>
  <c r="A9588" i="17"/>
  <c r="B9587" i="17"/>
  <c r="A9587" i="17"/>
  <c r="B9586" i="17"/>
  <c r="A9586" i="17"/>
  <c r="B9585" i="17"/>
  <c r="A9585" i="17"/>
  <c r="B9584" i="17"/>
  <c r="A9584" i="17"/>
  <c r="B9583" i="17"/>
  <c r="A9583" i="17"/>
  <c r="B9582" i="17"/>
  <c r="A9582" i="17"/>
  <c r="B9581" i="17"/>
  <c r="A9581" i="17"/>
  <c r="A9580" i="17"/>
  <c r="A9579" i="17"/>
  <c r="B9578" i="17"/>
  <c r="A9578" i="17"/>
  <c r="B9577" i="17"/>
  <c r="A9577" i="17"/>
  <c r="B9576" i="17"/>
  <c r="A9576" i="17"/>
  <c r="B9575" i="17"/>
  <c r="A9575" i="17"/>
  <c r="A9574" i="17"/>
  <c r="B9573" i="17"/>
  <c r="A9573" i="17"/>
  <c r="B9572" i="17"/>
  <c r="A9572" i="17"/>
  <c r="A9571" i="17"/>
  <c r="B9570" i="17"/>
  <c r="A9570" i="17"/>
  <c r="A9569" i="17"/>
  <c r="A9568" i="17"/>
  <c r="A9567" i="17"/>
  <c r="B9566" i="17"/>
  <c r="A9566" i="17"/>
  <c r="B9565" i="17"/>
  <c r="A9565" i="17"/>
  <c r="B9564" i="17"/>
  <c r="A9564" i="17"/>
  <c r="B9563" i="17"/>
  <c r="A9563" i="17"/>
  <c r="B9562" i="17"/>
  <c r="A9562" i="17"/>
  <c r="B9561" i="17"/>
  <c r="A9561" i="17"/>
  <c r="B9560" i="17"/>
  <c r="A9560" i="17"/>
  <c r="B9559" i="17"/>
  <c r="A9559" i="17"/>
  <c r="B9558" i="17"/>
  <c r="A9558" i="17"/>
  <c r="A9557" i="17"/>
  <c r="A9556" i="17"/>
  <c r="B9555" i="17"/>
  <c r="A9555" i="17"/>
  <c r="B9554" i="17"/>
  <c r="A9554" i="17"/>
  <c r="B9553" i="17"/>
  <c r="A9553" i="17"/>
  <c r="B9552" i="17"/>
  <c r="A9552" i="17"/>
  <c r="B9551" i="17"/>
  <c r="A9551" i="17"/>
  <c r="B9550" i="17"/>
  <c r="A9550" i="17"/>
  <c r="B9549" i="17"/>
  <c r="A9549" i="17"/>
  <c r="B9548" i="17"/>
  <c r="A9548" i="17"/>
  <c r="A9547" i="17"/>
  <c r="A9546" i="17"/>
  <c r="B9545" i="17"/>
  <c r="A9545" i="17"/>
  <c r="B9544" i="17"/>
  <c r="A9544" i="17"/>
  <c r="B9543" i="17"/>
  <c r="A9543" i="17"/>
  <c r="B9542" i="17"/>
  <c r="A9542" i="17"/>
  <c r="B9541" i="17"/>
  <c r="A9541" i="17"/>
  <c r="A9540" i="17"/>
  <c r="B9539" i="17"/>
  <c r="A9539" i="17"/>
  <c r="B9538" i="17"/>
  <c r="A9538" i="17"/>
  <c r="B9537" i="17"/>
  <c r="A9537" i="17"/>
  <c r="B9536" i="17"/>
  <c r="A9536" i="17"/>
  <c r="B9535" i="17"/>
  <c r="A9535" i="17"/>
  <c r="B9534" i="17"/>
  <c r="A9534" i="17"/>
  <c r="B9533" i="17"/>
  <c r="A9533" i="17"/>
  <c r="A9532" i="17"/>
  <c r="A9531" i="17"/>
  <c r="A9530" i="17"/>
  <c r="B9529" i="17"/>
  <c r="A9529" i="17"/>
  <c r="B9528" i="17"/>
  <c r="A9528" i="17"/>
  <c r="A9527" i="17"/>
  <c r="A9526" i="17"/>
  <c r="B9525" i="17"/>
  <c r="A9525" i="17"/>
  <c r="A9524" i="17"/>
  <c r="B9523" i="17"/>
  <c r="A9523" i="17"/>
  <c r="B9522" i="17"/>
  <c r="A9522" i="17"/>
  <c r="B9521" i="17"/>
  <c r="A9521" i="17"/>
  <c r="A9520" i="17"/>
  <c r="B9519" i="17"/>
  <c r="A9519" i="17"/>
  <c r="A9518" i="17"/>
  <c r="A9517" i="17"/>
  <c r="B9516" i="17"/>
  <c r="A9516" i="17"/>
  <c r="B9515" i="17"/>
  <c r="A9515" i="17"/>
  <c r="B9514" i="17"/>
  <c r="A9514" i="17"/>
  <c r="B9513" i="17"/>
  <c r="A9513" i="17"/>
  <c r="B9512" i="17"/>
  <c r="A9512" i="17"/>
  <c r="A9511" i="17"/>
  <c r="B9510" i="17"/>
  <c r="A9510" i="17"/>
  <c r="B9509" i="17"/>
  <c r="A9509" i="17"/>
  <c r="B9508" i="17"/>
  <c r="A9508" i="17"/>
  <c r="B9507" i="17"/>
  <c r="A9507" i="17"/>
  <c r="B9506" i="17"/>
  <c r="A9506" i="17"/>
  <c r="B9505" i="17"/>
  <c r="A9505" i="17"/>
  <c r="B9504" i="17"/>
  <c r="A9504" i="17"/>
  <c r="B9503" i="17"/>
  <c r="A9503" i="17"/>
  <c r="A9502" i="17"/>
  <c r="A9501" i="17"/>
  <c r="B9500" i="17"/>
  <c r="A9500" i="17"/>
  <c r="B9499" i="17"/>
  <c r="A9499" i="17"/>
  <c r="B9498" i="17"/>
  <c r="A9498" i="17"/>
  <c r="B9497" i="17"/>
  <c r="A9497" i="17"/>
  <c r="A9496" i="17"/>
  <c r="B9495" i="17"/>
  <c r="A9495" i="17"/>
  <c r="B9494" i="17"/>
  <c r="A9494" i="17"/>
  <c r="B9493" i="17"/>
  <c r="A9493" i="17"/>
  <c r="B9492" i="17"/>
  <c r="A9492" i="17"/>
  <c r="B9491" i="17"/>
  <c r="A9491" i="17"/>
  <c r="B9490" i="17"/>
  <c r="A9490" i="17"/>
  <c r="B9489" i="17"/>
  <c r="A9489" i="17"/>
  <c r="B9488" i="17"/>
  <c r="A9488" i="17"/>
  <c r="B9487" i="17"/>
  <c r="A9487" i="17"/>
  <c r="A9486" i="17"/>
  <c r="A9485" i="17"/>
  <c r="B9484" i="17"/>
  <c r="A9484" i="17"/>
  <c r="B9483" i="17"/>
  <c r="A9483" i="17"/>
  <c r="B9482" i="17"/>
  <c r="A9482" i="17"/>
  <c r="B9481" i="17"/>
  <c r="A9481" i="17"/>
  <c r="B9480" i="17"/>
  <c r="A9480" i="17"/>
  <c r="A9479" i="17"/>
  <c r="A9478" i="17"/>
  <c r="B9477" i="17"/>
  <c r="A9477" i="17"/>
  <c r="B9476" i="17"/>
  <c r="A9476" i="17"/>
  <c r="A9475" i="17"/>
  <c r="B9474" i="17"/>
  <c r="A9474" i="17"/>
  <c r="B9473" i="17"/>
  <c r="A9473" i="17"/>
  <c r="B9472" i="17"/>
  <c r="A9472" i="17"/>
  <c r="B9471" i="17"/>
  <c r="A9471" i="17"/>
  <c r="B9470" i="17"/>
  <c r="A9470" i="17"/>
  <c r="B9469" i="17"/>
  <c r="A9469" i="17"/>
  <c r="B9468" i="17"/>
  <c r="A9468" i="17"/>
  <c r="B9467" i="17"/>
  <c r="A9467" i="17"/>
  <c r="B9466" i="17"/>
  <c r="A9466" i="17"/>
  <c r="B9465" i="17"/>
  <c r="A9465" i="17"/>
  <c r="A9464" i="17"/>
  <c r="A9463" i="17"/>
  <c r="B9462" i="17"/>
  <c r="A9462" i="17"/>
  <c r="B9461" i="17"/>
  <c r="A9461" i="17"/>
  <c r="B9460" i="17"/>
  <c r="A9460" i="17"/>
  <c r="B9459" i="17"/>
  <c r="A9459" i="17"/>
  <c r="B9458" i="17"/>
  <c r="A9458" i="17"/>
  <c r="B9457" i="17"/>
  <c r="A9457" i="17"/>
  <c r="A9456" i="17"/>
  <c r="B9455" i="17"/>
  <c r="A9455" i="17"/>
  <c r="B9454" i="17"/>
  <c r="A9454" i="17"/>
  <c r="B9453" i="17"/>
  <c r="A9453" i="17"/>
  <c r="B9452" i="17"/>
  <c r="A9452" i="17"/>
  <c r="B9451" i="17"/>
  <c r="A9451" i="17"/>
  <c r="A9450" i="17"/>
  <c r="B9449" i="17"/>
  <c r="A9449" i="17"/>
  <c r="B9448" i="17"/>
  <c r="A9448" i="17"/>
  <c r="B9447" i="17"/>
  <c r="A9447" i="17"/>
  <c r="A9446" i="17"/>
  <c r="B9445" i="17"/>
  <c r="A9445" i="17"/>
  <c r="B9444" i="17"/>
  <c r="A9444" i="17"/>
  <c r="A9443" i="17"/>
  <c r="A9442" i="17"/>
  <c r="B9441" i="17"/>
  <c r="A9441" i="17"/>
  <c r="B9440" i="17"/>
  <c r="A9440" i="17"/>
  <c r="A9439" i="17"/>
  <c r="B9438" i="17"/>
  <c r="A9438" i="17"/>
  <c r="B9437" i="17"/>
  <c r="A9437" i="17"/>
  <c r="A9436" i="17"/>
  <c r="A9435" i="17"/>
  <c r="A9434" i="17"/>
  <c r="B9433" i="17"/>
  <c r="A9433" i="17"/>
  <c r="A9432" i="17"/>
  <c r="A9431" i="17"/>
  <c r="B9430" i="17"/>
  <c r="A9430" i="17"/>
  <c r="B9429" i="17"/>
  <c r="A9429" i="17"/>
  <c r="A9428" i="17"/>
  <c r="A9427" i="17"/>
  <c r="A9426" i="17"/>
  <c r="A9425" i="17"/>
  <c r="A9424" i="17"/>
  <c r="A9423" i="17"/>
  <c r="B9422" i="17"/>
  <c r="A9422" i="17"/>
  <c r="B9421" i="17"/>
  <c r="A9421" i="17"/>
  <c r="B9420" i="17"/>
  <c r="A9420" i="17"/>
  <c r="A9419" i="17"/>
  <c r="A9418" i="17"/>
  <c r="A9417" i="17"/>
  <c r="A9416" i="17"/>
  <c r="B9415" i="17"/>
  <c r="A9415" i="17"/>
  <c r="B9414" i="17"/>
  <c r="A9414" i="17"/>
  <c r="A9413" i="17"/>
  <c r="B9412" i="17"/>
  <c r="A9412" i="17"/>
  <c r="B9411" i="17"/>
  <c r="A9411" i="17"/>
  <c r="B9410" i="17"/>
  <c r="A9410" i="17"/>
  <c r="B9409" i="17"/>
  <c r="A9409" i="17"/>
  <c r="A9408" i="17"/>
  <c r="A9407" i="17"/>
  <c r="B9406" i="17"/>
  <c r="A9406" i="17"/>
  <c r="B9405" i="17"/>
  <c r="A9405" i="17"/>
  <c r="B9404" i="17"/>
  <c r="A9404" i="17"/>
  <c r="B9403" i="17"/>
  <c r="A9403" i="17"/>
  <c r="B9402" i="17"/>
  <c r="A9402" i="17"/>
  <c r="B9401" i="17"/>
  <c r="A9401" i="17"/>
  <c r="B9400" i="17"/>
  <c r="A9400" i="17"/>
  <c r="B9399" i="17"/>
  <c r="A9399" i="17"/>
  <c r="A9398" i="17"/>
  <c r="B9397" i="17"/>
  <c r="A9397" i="17"/>
  <c r="A9396" i="17"/>
  <c r="A9395" i="17"/>
  <c r="B9394" i="17"/>
  <c r="A9394" i="17"/>
  <c r="B9393" i="17"/>
  <c r="A9393" i="17"/>
  <c r="B9392" i="17"/>
  <c r="A9392" i="17"/>
  <c r="A9391" i="17"/>
  <c r="A9390" i="17"/>
  <c r="A9389" i="17"/>
  <c r="A9388" i="17"/>
  <c r="B9387" i="17"/>
  <c r="A9387" i="17"/>
  <c r="B9386" i="17"/>
  <c r="A9386" i="17"/>
  <c r="B9385" i="17"/>
  <c r="A9385" i="17"/>
  <c r="B9384" i="17"/>
  <c r="A9384" i="17"/>
  <c r="B9383" i="17"/>
  <c r="A9383" i="17"/>
  <c r="B9382" i="17"/>
  <c r="A9382" i="17"/>
  <c r="B9381" i="17"/>
  <c r="A9381" i="17"/>
  <c r="B9380" i="17"/>
  <c r="A9380" i="17"/>
  <c r="A9379" i="17"/>
  <c r="A9378" i="17"/>
  <c r="B9377" i="17"/>
  <c r="A9377" i="17"/>
  <c r="B9376" i="17"/>
  <c r="A9376" i="17"/>
  <c r="B9375" i="17"/>
  <c r="A9375" i="17"/>
  <c r="B9374" i="17"/>
  <c r="A9374" i="17"/>
  <c r="A9373" i="17"/>
  <c r="A9372" i="17"/>
  <c r="A9371" i="17"/>
  <c r="A9370" i="17"/>
  <c r="B9369" i="17"/>
  <c r="A9369" i="17"/>
  <c r="B9368" i="17"/>
  <c r="A9368" i="17"/>
  <c r="B9367" i="17"/>
  <c r="A9367" i="17"/>
  <c r="B9366" i="17"/>
  <c r="A9366" i="17"/>
  <c r="B9365" i="17"/>
  <c r="A9365" i="17"/>
  <c r="A9364" i="17"/>
  <c r="A9363" i="17"/>
  <c r="B9362" i="17"/>
  <c r="A9362" i="17"/>
  <c r="B9361" i="17"/>
  <c r="A9361" i="17"/>
  <c r="A9360" i="17"/>
  <c r="B9359" i="17"/>
  <c r="A9359" i="17"/>
  <c r="B9358" i="17"/>
  <c r="A9358" i="17"/>
  <c r="A9357" i="17"/>
  <c r="B9356" i="17"/>
  <c r="A9356" i="17"/>
  <c r="A9355" i="17"/>
  <c r="A9354" i="17"/>
  <c r="A9353" i="17"/>
  <c r="A9352" i="17"/>
  <c r="B9351" i="17"/>
  <c r="A9351" i="17"/>
  <c r="B9350" i="17"/>
  <c r="A9350" i="17"/>
  <c r="B9349" i="17"/>
  <c r="A9349" i="17"/>
  <c r="B9348" i="17"/>
  <c r="A9348" i="17"/>
  <c r="A9347" i="17"/>
  <c r="A9346" i="17"/>
  <c r="A9345" i="17"/>
  <c r="B9344" i="17"/>
  <c r="A9344" i="17"/>
  <c r="B9343" i="17"/>
  <c r="A9343" i="17"/>
  <c r="B9342" i="17"/>
  <c r="A9342" i="17"/>
  <c r="A9341" i="17"/>
  <c r="B9340" i="17"/>
  <c r="A9340" i="17"/>
  <c r="B9339" i="17"/>
  <c r="A9339" i="17"/>
  <c r="B9338" i="17"/>
  <c r="A9338" i="17"/>
  <c r="B9337" i="17"/>
  <c r="A9337" i="17"/>
  <c r="A9336" i="17"/>
  <c r="B9335" i="17"/>
  <c r="A9335" i="17"/>
  <c r="B9334" i="17"/>
  <c r="A9334" i="17"/>
  <c r="B9333" i="17"/>
  <c r="A9333" i="17"/>
  <c r="A9332" i="17"/>
  <c r="A9331" i="17"/>
  <c r="A9330" i="17"/>
  <c r="A9329" i="17"/>
  <c r="B9328" i="17"/>
  <c r="A9328" i="17"/>
  <c r="B9327" i="17"/>
  <c r="A9327" i="17"/>
  <c r="B9326" i="17"/>
  <c r="A9326" i="17"/>
  <c r="B9325" i="17"/>
  <c r="A9325" i="17"/>
  <c r="B9324" i="17"/>
  <c r="A9324" i="17"/>
  <c r="B9323" i="17"/>
  <c r="A9323" i="17"/>
  <c r="B9322" i="17"/>
  <c r="A9322" i="17"/>
  <c r="B9321" i="17"/>
  <c r="B9320" i="17"/>
  <c r="A9320" i="17"/>
  <c r="B9319" i="17"/>
  <c r="A9319" i="17"/>
  <c r="B9318" i="17"/>
  <c r="A9318" i="17"/>
  <c r="A9317" i="17"/>
  <c r="A9316" i="17"/>
  <c r="A9315" i="17"/>
  <c r="B9314" i="17"/>
  <c r="A9314" i="17"/>
  <c r="B9313" i="17"/>
  <c r="A9313" i="17"/>
  <c r="B9312" i="17"/>
  <c r="A9312" i="17"/>
  <c r="B9311" i="17"/>
  <c r="A9311" i="17"/>
  <c r="B9310" i="17"/>
  <c r="A9310" i="17"/>
  <c r="B9309" i="17"/>
  <c r="A9309" i="17"/>
  <c r="B9308" i="17"/>
  <c r="A9308" i="17"/>
  <c r="B9307" i="17"/>
  <c r="A9307" i="17"/>
  <c r="B9306" i="17"/>
  <c r="A9306" i="17"/>
  <c r="B9305" i="17"/>
  <c r="A9305" i="17"/>
  <c r="B9304" i="17"/>
  <c r="A9304" i="17"/>
  <c r="B9303" i="17"/>
  <c r="A9303" i="17"/>
  <c r="B9302" i="17"/>
  <c r="A9302" i="17"/>
  <c r="B9301" i="17"/>
  <c r="A9301" i="17"/>
  <c r="B9300" i="17"/>
  <c r="A9300" i="17"/>
  <c r="B9299" i="17"/>
  <c r="A9299" i="17"/>
  <c r="B9298" i="17"/>
  <c r="A9298" i="17"/>
  <c r="A9297" i="17"/>
  <c r="B9296" i="17"/>
  <c r="A9296" i="17"/>
  <c r="A9295" i="17"/>
  <c r="A9294" i="17"/>
  <c r="B9293" i="17"/>
  <c r="A9293" i="17"/>
  <c r="B9292" i="17"/>
  <c r="A9292" i="17"/>
  <c r="A9291" i="17"/>
  <c r="B9290" i="17"/>
  <c r="A9290" i="17"/>
  <c r="B9289" i="17"/>
  <c r="A9289" i="17"/>
  <c r="B9288" i="17"/>
  <c r="A9288" i="17"/>
  <c r="B9287" i="17"/>
  <c r="A9287" i="17"/>
  <c r="B9286" i="17"/>
  <c r="A9286" i="17"/>
  <c r="B9285" i="17"/>
  <c r="A9285" i="17"/>
  <c r="B9284" i="17"/>
  <c r="A9284" i="17"/>
  <c r="B9283" i="17"/>
  <c r="A9283" i="17"/>
  <c r="B9282" i="17"/>
  <c r="A9282" i="17"/>
  <c r="B9281" i="17"/>
  <c r="A9281" i="17"/>
  <c r="A9280" i="17"/>
  <c r="A9279" i="17"/>
  <c r="B9278" i="17"/>
  <c r="A9278" i="17"/>
  <c r="B9277" i="17"/>
  <c r="A9277" i="17"/>
  <c r="B9276" i="17"/>
  <c r="A9276" i="17"/>
  <c r="A9275" i="17"/>
  <c r="B9274" i="17"/>
  <c r="A9274" i="17"/>
  <c r="B9273" i="17"/>
  <c r="A9273" i="17"/>
  <c r="B9272" i="17"/>
  <c r="A9272" i="17"/>
  <c r="B9271" i="17"/>
  <c r="A9271" i="17"/>
  <c r="B9270" i="17"/>
  <c r="A9270" i="17"/>
  <c r="B9269" i="17"/>
  <c r="A9269" i="17"/>
  <c r="B9268" i="17"/>
  <c r="A9268" i="17"/>
  <c r="B9267" i="17"/>
  <c r="A9267" i="17"/>
  <c r="B9266" i="17"/>
  <c r="A9266" i="17"/>
  <c r="A9265" i="17"/>
  <c r="A9264" i="17"/>
  <c r="A9263" i="17"/>
  <c r="A9262" i="17"/>
  <c r="A9261" i="17"/>
  <c r="B9260" i="17"/>
  <c r="A9260" i="17"/>
  <c r="A9259" i="17"/>
  <c r="B9258" i="17"/>
  <c r="A9258" i="17"/>
  <c r="B9257" i="17"/>
  <c r="A9257" i="17"/>
  <c r="B9256" i="17"/>
  <c r="A9256" i="17"/>
  <c r="B9255" i="17"/>
  <c r="A9255" i="17"/>
  <c r="B9254" i="17"/>
  <c r="A9254" i="17"/>
  <c r="B9253" i="17"/>
  <c r="A9253" i="17"/>
  <c r="B9252" i="17"/>
  <c r="A9252" i="17"/>
  <c r="B9251" i="17"/>
  <c r="A9251" i="17"/>
  <c r="B9250" i="17"/>
  <c r="A9250" i="17"/>
  <c r="B9249" i="17"/>
  <c r="A9249" i="17"/>
  <c r="A9248" i="17"/>
  <c r="B9247" i="17"/>
  <c r="A9247" i="17"/>
  <c r="B9246" i="17"/>
  <c r="A9246" i="17"/>
  <c r="B9245" i="17"/>
  <c r="A9245" i="17"/>
  <c r="B9244" i="17"/>
  <c r="A9244" i="17"/>
  <c r="B9243" i="17"/>
  <c r="A9243" i="17"/>
  <c r="A9242" i="17"/>
  <c r="A9241" i="17"/>
  <c r="B9240" i="17"/>
  <c r="A9240" i="17"/>
  <c r="B9239" i="17"/>
  <c r="A9239" i="17"/>
  <c r="B9238" i="17"/>
  <c r="A9238" i="17"/>
  <c r="B9237" i="17"/>
  <c r="A9237" i="17"/>
  <c r="B9236" i="17"/>
  <c r="A9236" i="17"/>
  <c r="B9235" i="17"/>
  <c r="A9235" i="17"/>
  <c r="B9234" i="17"/>
  <c r="A9234" i="17"/>
  <c r="B9233" i="17"/>
  <c r="A9233" i="17"/>
  <c r="B9232" i="17"/>
  <c r="A9232" i="17"/>
  <c r="B9231" i="17"/>
  <c r="A9231" i="17"/>
  <c r="B9230" i="17"/>
  <c r="A9230" i="17"/>
  <c r="B9229" i="17"/>
  <c r="A9229" i="17"/>
  <c r="B9228" i="17"/>
  <c r="A9228" i="17"/>
  <c r="A9227" i="17"/>
  <c r="B9226" i="17"/>
  <c r="A9226" i="17"/>
  <c r="A9225" i="17"/>
  <c r="B9224" i="17"/>
  <c r="A9224" i="17"/>
  <c r="A9223" i="17"/>
  <c r="B9222" i="17"/>
  <c r="A9222" i="17"/>
  <c r="A9221" i="17"/>
  <c r="B9220" i="17"/>
  <c r="A9220" i="17"/>
  <c r="B9219" i="17"/>
  <c r="A9219" i="17"/>
  <c r="B9218" i="17"/>
  <c r="A9218" i="17"/>
  <c r="A9217" i="17"/>
  <c r="B9216" i="17"/>
  <c r="A9216" i="17"/>
  <c r="B9215" i="17"/>
  <c r="A9215" i="17"/>
  <c r="A9214" i="17"/>
  <c r="A9213" i="17"/>
  <c r="A9212" i="17"/>
  <c r="A9211" i="17"/>
  <c r="A9210" i="17"/>
  <c r="A9209" i="17"/>
  <c r="B9208" i="17"/>
  <c r="A9208" i="17"/>
  <c r="B9207" i="17"/>
  <c r="A9207" i="17"/>
  <c r="A9206" i="17"/>
  <c r="A9205" i="17"/>
  <c r="A9204" i="17"/>
  <c r="A9203" i="17"/>
  <c r="B9202" i="17"/>
  <c r="A9202" i="17"/>
  <c r="B9201" i="17"/>
  <c r="A9201" i="17"/>
  <c r="B9200" i="17"/>
  <c r="A9200" i="17"/>
  <c r="B9199" i="17"/>
  <c r="B9198" i="17"/>
  <c r="A9197" i="17"/>
  <c r="B9196" i="17"/>
  <c r="A9196" i="17"/>
  <c r="B9195" i="17"/>
  <c r="A9195" i="17"/>
  <c r="B9194" i="17"/>
  <c r="A9194" i="17"/>
  <c r="B9193" i="17"/>
  <c r="A9192" i="17"/>
  <c r="B9191" i="17"/>
  <c r="A9191" i="17"/>
  <c r="B9190" i="17"/>
  <c r="A9190" i="17"/>
  <c r="B9189" i="17"/>
  <c r="A9189" i="17"/>
  <c r="B9188" i="17"/>
  <c r="A9188" i="17"/>
  <c r="B9187" i="17"/>
  <c r="A9187" i="17"/>
  <c r="B9186" i="17"/>
  <c r="A9186" i="17"/>
  <c r="A9185" i="17"/>
  <c r="B9184" i="17"/>
  <c r="A9184" i="17"/>
  <c r="B9183" i="17"/>
  <c r="A9183" i="17"/>
  <c r="B9182" i="17"/>
  <c r="A9182" i="17"/>
  <c r="B9181" i="17"/>
  <c r="A9181" i="17"/>
  <c r="B9180" i="17"/>
  <c r="A9180" i="17"/>
  <c r="B9179" i="17"/>
  <c r="A9179" i="17"/>
  <c r="B9178" i="17"/>
  <c r="A9178" i="17"/>
  <c r="B9177" i="17"/>
  <c r="A9177" i="17"/>
  <c r="A9176" i="17"/>
  <c r="B9175" i="17"/>
  <c r="A9175" i="17"/>
  <c r="B9174" i="17"/>
  <c r="A9174" i="17"/>
  <c r="B9173" i="17"/>
  <c r="A9173" i="17"/>
  <c r="A9172" i="17"/>
  <c r="A9171" i="17"/>
  <c r="B9170" i="17"/>
  <c r="A9170" i="17"/>
  <c r="B9169" i="17"/>
  <c r="A9169" i="17"/>
  <c r="B9168" i="17"/>
  <c r="A9168" i="17"/>
  <c r="B9167" i="17"/>
  <c r="A9167" i="17"/>
  <c r="B9166" i="17"/>
  <c r="A9166" i="17"/>
  <c r="B9165" i="17"/>
  <c r="A9165" i="17"/>
  <c r="B9164" i="17"/>
  <c r="A9164" i="17"/>
  <c r="A9163" i="17"/>
  <c r="B9162" i="17"/>
  <c r="A9162" i="17"/>
  <c r="A9161" i="17"/>
  <c r="A9160" i="17"/>
  <c r="A9159" i="17"/>
  <c r="B9158" i="17"/>
  <c r="A9158" i="17"/>
  <c r="B9157" i="17"/>
  <c r="A9157" i="17"/>
  <c r="A9156" i="17"/>
  <c r="B9155" i="17"/>
  <c r="A9155" i="17"/>
  <c r="B9154" i="17"/>
  <c r="A9154" i="17"/>
  <c r="B9153" i="17"/>
  <c r="A9153" i="17"/>
  <c r="B9152" i="17"/>
  <c r="A9152" i="17"/>
  <c r="A9151" i="17"/>
  <c r="A9150" i="17"/>
  <c r="A9149" i="17"/>
  <c r="A9148" i="17"/>
  <c r="B9147" i="17"/>
  <c r="A9147" i="17"/>
  <c r="B9146" i="17"/>
  <c r="A9146" i="17"/>
  <c r="B9145" i="17"/>
  <c r="A9145" i="17"/>
  <c r="B9144" i="17"/>
  <c r="A9144" i="17"/>
  <c r="B9143" i="17"/>
  <c r="A9143" i="17"/>
  <c r="B9142" i="17"/>
  <c r="A9142" i="17"/>
  <c r="B9141" i="17"/>
  <c r="A9141" i="17"/>
  <c r="B9140" i="17"/>
  <c r="A9140" i="17"/>
  <c r="A9139" i="17"/>
  <c r="A9138" i="17"/>
  <c r="A9137" i="17"/>
  <c r="B9136" i="17"/>
  <c r="A9136" i="17"/>
  <c r="B9135" i="17"/>
  <c r="A9135" i="17"/>
  <c r="B9134" i="17"/>
  <c r="A9134" i="17"/>
  <c r="B9133" i="17"/>
  <c r="A9133" i="17"/>
  <c r="B9132" i="17"/>
  <c r="A9132" i="17"/>
  <c r="B9131" i="17"/>
  <c r="A9131" i="17"/>
  <c r="A9130" i="17"/>
  <c r="B9129" i="17"/>
  <c r="A9129" i="17"/>
  <c r="B9128" i="17"/>
  <c r="A9128" i="17"/>
  <c r="B9127" i="17"/>
  <c r="A9127" i="17"/>
  <c r="A9126" i="17"/>
  <c r="B9125" i="17"/>
  <c r="A9125" i="17"/>
  <c r="A9124" i="17"/>
  <c r="B9123" i="17"/>
  <c r="A9123" i="17"/>
  <c r="B9122" i="17"/>
  <c r="A9122" i="17"/>
  <c r="B9121" i="17"/>
  <c r="A9121" i="17"/>
  <c r="A9120" i="17"/>
  <c r="B9119" i="17"/>
  <c r="A9119" i="17"/>
  <c r="A9118" i="17"/>
  <c r="B9117" i="17"/>
  <c r="A9117" i="17"/>
  <c r="A9116" i="17"/>
  <c r="A9115" i="17"/>
  <c r="B9114" i="17"/>
  <c r="A9114" i="17"/>
  <c r="B9113" i="17"/>
  <c r="A9113" i="17"/>
  <c r="B9112" i="17"/>
  <c r="A9112" i="17"/>
  <c r="B9111" i="17"/>
  <c r="A9111" i="17"/>
  <c r="A9110" i="17"/>
  <c r="B9109" i="17"/>
  <c r="A9109" i="17"/>
  <c r="B9108" i="17"/>
  <c r="A9108" i="17"/>
  <c r="A9107" i="17"/>
  <c r="B9106" i="17"/>
  <c r="A9106" i="17"/>
  <c r="B9105" i="17"/>
  <c r="A9105" i="17"/>
  <c r="B9104" i="17"/>
  <c r="A9104" i="17"/>
  <c r="A9103" i="17"/>
  <c r="B9102" i="17"/>
  <c r="A9102" i="17"/>
  <c r="B9101" i="17"/>
  <c r="A9101" i="17"/>
  <c r="B9100" i="17"/>
  <c r="A9100" i="17"/>
  <c r="B9099" i="17"/>
  <c r="A9099" i="17"/>
  <c r="B9098" i="17"/>
  <c r="A9098" i="17"/>
  <c r="B9097" i="17"/>
  <c r="A9097" i="17"/>
  <c r="B9096" i="17"/>
  <c r="A9096" i="17"/>
  <c r="B9095" i="17"/>
  <c r="A9095" i="17"/>
  <c r="A9094" i="17"/>
  <c r="B9093" i="17"/>
  <c r="A9093" i="17"/>
  <c r="B9092" i="17"/>
  <c r="A9092" i="17"/>
  <c r="B9091" i="17"/>
  <c r="A9091" i="17"/>
  <c r="B9090" i="17"/>
  <c r="A9090" i="17"/>
  <c r="A9089" i="17"/>
  <c r="B9088" i="17"/>
  <c r="A9088" i="17"/>
  <c r="B9087" i="17"/>
  <c r="A9087" i="17"/>
  <c r="B9086" i="17"/>
  <c r="A9086" i="17"/>
  <c r="B9085" i="17"/>
  <c r="A9085" i="17"/>
  <c r="B9084" i="17"/>
  <c r="A9084" i="17"/>
  <c r="B9083" i="17"/>
  <c r="A9083" i="17"/>
  <c r="A9082" i="17"/>
  <c r="B9081" i="17"/>
  <c r="A9081" i="17"/>
  <c r="A9080" i="17"/>
  <c r="A9079" i="17"/>
  <c r="B9078" i="17"/>
  <c r="A9078" i="17"/>
  <c r="A9077" i="17"/>
  <c r="B9076" i="17"/>
  <c r="A9076" i="17"/>
  <c r="B9075" i="17"/>
  <c r="A9075" i="17"/>
  <c r="B9074" i="17"/>
  <c r="A9074" i="17"/>
  <c r="B9073" i="17"/>
  <c r="A9073" i="17"/>
  <c r="B9072" i="17"/>
  <c r="A9072" i="17"/>
  <c r="B9071" i="17"/>
  <c r="A9071" i="17"/>
  <c r="B9070" i="17"/>
  <c r="A9070" i="17"/>
  <c r="B9069" i="17"/>
  <c r="A9069" i="17"/>
  <c r="B9068" i="17"/>
  <c r="A9068" i="17"/>
  <c r="B9067" i="17"/>
  <c r="A9067" i="17"/>
  <c r="B9066" i="17"/>
  <c r="A9066" i="17"/>
  <c r="A9065" i="17"/>
  <c r="B9064" i="17"/>
  <c r="A9064" i="17"/>
  <c r="B9063" i="17"/>
  <c r="A9063" i="17"/>
  <c r="B9062" i="17"/>
  <c r="A9062" i="17"/>
  <c r="B9061" i="17"/>
  <c r="A9061" i="17"/>
  <c r="B9060" i="17"/>
  <c r="A9060" i="17"/>
  <c r="B9059" i="17"/>
  <c r="A9059" i="17"/>
  <c r="B9058" i="17"/>
  <c r="A9058" i="17"/>
  <c r="B9057" i="17"/>
  <c r="A9057" i="17"/>
  <c r="B9056" i="17"/>
  <c r="A9056" i="17"/>
  <c r="B9055" i="17"/>
  <c r="A9055" i="17"/>
  <c r="B9054" i="17"/>
  <c r="A9054" i="17"/>
  <c r="A9053" i="17"/>
  <c r="B9052" i="17"/>
  <c r="A9052" i="17"/>
  <c r="B9051" i="17"/>
  <c r="A9051" i="17"/>
  <c r="B9050" i="17"/>
  <c r="A9050" i="17"/>
  <c r="B9049" i="17"/>
  <c r="A9049" i="17"/>
  <c r="A9048" i="17"/>
  <c r="B9047" i="17"/>
  <c r="A9047" i="17"/>
  <c r="B9046" i="17"/>
  <c r="A9046" i="17"/>
  <c r="A9045" i="17"/>
  <c r="B9044" i="17"/>
  <c r="A9044" i="17"/>
  <c r="A9043" i="17"/>
  <c r="A9042" i="17"/>
  <c r="B9041" i="17"/>
  <c r="A9041" i="17"/>
  <c r="A9040" i="17"/>
  <c r="B9039" i="17"/>
  <c r="A9039" i="17"/>
  <c r="B9038" i="17"/>
  <c r="A9038" i="17"/>
  <c r="B9037" i="17"/>
  <c r="A9037" i="17"/>
  <c r="A9036" i="17"/>
  <c r="B9035" i="17"/>
  <c r="A9035" i="17"/>
  <c r="B9034" i="17"/>
  <c r="A9034" i="17"/>
  <c r="B9033" i="17"/>
  <c r="A9033" i="17"/>
  <c r="B9032" i="17"/>
  <c r="A9032" i="17"/>
  <c r="B9031" i="17"/>
  <c r="A9031" i="17"/>
  <c r="B9030" i="17"/>
  <c r="A9030" i="17"/>
  <c r="B9029" i="17"/>
  <c r="A9029" i="17"/>
  <c r="B9028" i="17"/>
  <c r="A9028" i="17"/>
  <c r="B9027" i="17"/>
  <c r="A9027" i="17"/>
  <c r="B9026" i="17"/>
  <c r="A9026" i="17"/>
  <c r="B9025" i="17"/>
  <c r="A9025" i="17"/>
  <c r="B9024" i="17"/>
  <c r="A9024" i="17"/>
  <c r="A9023" i="17"/>
  <c r="A9022" i="17"/>
  <c r="B9021" i="17"/>
  <c r="A9021" i="17"/>
  <c r="B9020" i="17"/>
  <c r="A9020" i="17"/>
  <c r="B9019" i="17"/>
  <c r="A9019" i="17"/>
  <c r="B9018" i="17"/>
  <c r="A9018" i="17"/>
  <c r="B9017" i="17"/>
  <c r="A9017" i="17"/>
  <c r="B9016" i="17"/>
  <c r="A9016" i="17"/>
  <c r="B9015" i="17"/>
  <c r="A9015" i="17"/>
  <c r="B9014" i="17"/>
  <c r="A9014" i="17"/>
  <c r="B9013" i="17"/>
  <c r="A9013" i="17"/>
  <c r="A9012" i="17"/>
  <c r="B9011" i="17"/>
  <c r="A9011" i="17"/>
  <c r="B9010" i="17"/>
  <c r="A9010" i="17"/>
  <c r="B9009" i="17"/>
  <c r="A9009" i="17"/>
  <c r="B9008" i="17"/>
  <c r="A9008" i="17"/>
  <c r="A9007" i="17"/>
  <c r="A9006" i="17"/>
  <c r="A9005" i="17"/>
  <c r="A9004" i="17"/>
  <c r="B9003" i="17"/>
  <c r="A9003" i="17"/>
  <c r="B9002" i="17"/>
  <c r="A9002" i="17"/>
  <c r="B9001" i="17"/>
  <c r="A9001" i="17"/>
  <c r="B9000" i="17"/>
  <c r="A9000" i="17"/>
  <c r="B8999" i="17"/>
  <c r="A8999" i="17"/>
  <c r="B8998" i="17"/>
  <c r="A8998" i="17"/>
  <c r="B8997" i="17"/>
  <c r="A8997" i="17"/>
  <c r="A8996" i="17"/>
  <c r="B8995" i="17"/>
  <c r="A8995" i="17"/>
  <c r="B8994" i="17"/>
  <c r="A8994" i="17"/>
  <c r="B8993" i="17"/>
  <c r="A8993" i="17"/>
  <c r="B8992" i="17"/>
  <c r="A8992" i="17"/>
  <c r="B8991" i="17"/>
  <c r="A8991" i="17"/>
  <c r="B8990" i="17"/>
  <c r="A8990" i="17"/>
  <c r="B8989" i="17"/>
  <c r="A8989" i="17"/>
  <c r="B8988" i="17"/>
  <c r="A8988" i="17"/>
  <c r="B8987" i="17"/>
  <c r="A8987" i="17"/>
  <c r="A8986" i="17"/>
  <c r="A8985" i="17"/>
  <c r="A8984" i="17"/>
  <c r="A8983" i="17"/>
  <c r="B8982" i="17"/>
  <c r="A8982" i="17"/>
  <c r="B8981" i="17"/>
  <c r="A8981" i="17"/>
  <c r="B8980" i="17"/>
  <c r="A8980" i="17"/>
  <c r="B8979" i="17"/>
  <c r="A8979" i="17"/>
  <c r="B8978" i="17"/>
  <c r="A8978" i="17"/>
  <c r="B8977" i="17"/>
  <c r="A8977" i="17"/>
  <c r="B8976" i="17"/>
  <c r="A8976" i="17"/>
  <c r="B8975" i="17"/>
  <c r="A8975" i="17"/>
  <c r="B8974" i="17"/>
  <c r="A8974" i="17"/>
  <c r="A8973" i="17"/>
  <c r="B8972" i="17"/>
  <c r="A8972" i="17"/>
  <c r="A8971" i="17"/>
  <c r="A8970" i="17"/>
  <c r="B8969" i="17"/>
  <c r="A8969" i="17"/>
  <c r="B8968" i="17"/>
  <c r="A8968" i="17"/>
  <c r="A8967" i="17"/>
  <c r="B8966" i="17"/>
  <c r="A8966" i="17"/>
  <c r="B8965" i="17"/>
  <c r="A8965" i="17"/>
  <c r="A8964" i="17"/>
  <c r="A8963" i="17"/>
  <c r="A8962" i="17"/>
  <c r="A8961" i="17"/>
  <c r="B8960" i="17"/>
  <c r="A8960" i="17"/>
  <c r="A8959" i="17"/>
  <c r="B8958" i="17"/>
  <c r="A8958" i="17"/>
  <c r="B8957" i="17"/>
  <c r="A8957" i="17"/>
  <c r="B8956" i="17"/>
  <c r="A8956" i="17"/>
  <c r="B8955" i="17"/>
  <c r="A8955" i="17"/>
  <c r="B8954" i="17"/>
  <c r="A8954" i="17"/>
  <c r="A8953" i="17"/>
  <c r="A8952" i="17"/>
  <c r="A8951" i="17"/>
  <c r="A8950" i="17"/>
  <c r="A8949" i="17"/>
  <c r="A8948" i="17"/>
  <c r="B8947" i="17"/>
  <c r="A8947" i="17"/>
  <c r="B8946" i="17"/>
  <c r="A8946" i="17"/>
  <c r="B8945" i="17"/>
  <c r="A8945" i="17"/>
  <c r="A8944" i="17"/>
  <c r="A8943" i="17"/>
  <c r="A8942" i="17"/>
  <c r="A8941" i="17"/>
  <c r="B8940" i="17"/>
  <c r="A8940" i="17"/>
  <c r="A8939" i="17"/>
  <c r="A8938" i="17"/>
  <c r="A8937" i="17"/>
  <c r="B8936" i="17"/>
  <c r="A8936" i="17"/>
  <c r="A8935" i="17"/>
  <c r="A8934" i="17"/>
  <c r="A8933" i="17"/>
  <c r="A8932" i="17"/>
  <c r="A8931" i="17"/>
  <c r="A8930" i="17"/>
  <c r="B8929" i="17"/>
  <c r="A8929" i="17"/>
  <c r="B8928" i="17"/>
  <c r="A8928" i="17"/>
  <c r="B8927" i="17"/>
  <c r="B8926" i="17"/>
  <c r="A8926" i="17"/>
  <c r="B8925" i="17"/>
  <c r="A8925" i="17"/>
  <c r="B8924" i="17"/>
  <c r="A8924" i="17"/>
  <c r="B8923" i="17"/>
  <c r="A8923" i="17"/>
  <c r="A8922" i="17"/>
  <c r="A8921" i="17"/>
  <c r="A8920" i="17"/>
  <c r="B8919" i="17"/>
  <c r="A8919" i="17"/>
  <c r="B8918" i="17"/>
  <c r="A8918" i="17"/>
  <c r="A8917" i="17"/>
  <c r="B8916" i="17"/>
  <c r="A8916" i="17"/>
  <c r="A8915" i="17"/>
  <c r="B8914" i="17"/>
  <c r="A8914" i="17"/>
  <c r="B8913" i="17"/>
  <c r="A8913" i="17"/>
  <c r="B8912" i="17"/>
  <c r="A8912" i="17"/>
  <c r="B8911" i="17"/>
  <c r="A8911" i="17"/>
  <c r="B8910" i="17"/>
  <c r="A8910" i="17"/>
  <c r="A8909" i="17"/>
  <c r="B8907" i="17"/>
  <c r="A8907" i="17"/>
  <c r="B8906" i="17"/>
  <c r="A8906" i="17"/>
  <c r="B8905" i="17"/>
  <c r="A8905" i="17"/>
  <c r="B8904" i="17"/>
  <c r="A8904" i="17"/>
  <c r="B8903" i="17"/>
  <c r="A8903" i="17"/>
  <c r="B8902" i="17"/>
  <c r="A8902" i="17"/>
  <c r="B8901" i="17"/>
  <c r="A8901" i="17"/>
  <c r="B8900" i="17"/>
  <c r="A8900" i="17"/>
  <c r="B8899" i="17"/>
  <c r="A8899" i="17"/>
  <c r="B8898" i="17"/>
  <c r="A8898" i="17"/>
  <c r="B8897" i="17"/>
  <c r="A8897" i="17"/>
  <c r="B8896" i="17"/>
  <c r="A8896" i="17"/>
  <c r="B8895" i="17"/>
  <c r="A8895" i="17"/>
  <c r="B8894" i="17"/>
  <c r="A8894" i="17"/>
  <c r="B8893" i="17"/>
  <c r="A8893" i="17"/>
  <c r="B8892" i="17"/>
  <c r="A8892" i="17"/>
  <c r="B8891" i="17"/>
  <c r="A8891" i="17"/>
  <c r="B8890" i="17"/>
  <c r="A8890" i="17"/>
  <c r="B8889" i="17"/>
  <c r="A8889" i="17"/>
  <c r="B8888" i="17"/>
  <c r="A8888" i="17"/>
  <c r="B8887" i="17"/>
  <c r="A8887" i="17"/>
  <c r="B8886" i="17"/>
  <c r="A8886" i="17"/>
  <c r="A8885" i="17"/>
  <c r="A8884" i="17"/>
  <c r="A8883" i="17"/>
  <c r="A8882" i="17"/>
  <c r="A8881" i="17"/>
  <c r="B8880" i="17"/>
  <c r="A8880" i="17"/>
  <c r="A8879" i="17"/>
  <c r="B8878" i="17"/>
  <c r="A8878" i="17"/>
  <c r="A8877" i="17"/>
  <c r="A8876" i="17"/>
  <c r="A8875" i="17"/>
  <c r="B8874" i="17"/>
  <c r="A8874" i="17"/>
  <c r="B8873" i="17"/>
  <c r="A8873" i="17"/>
  <c r="B8872" i="17"/>
  <c r="A8872" i="17"/>
  <c r="B8871" i="17"/>
  <c r="A8871" i="17"/>
  <c r="B8870" i="17"/>
  <c r="A8870" i="17"/>
  <c r="A8866" i="17"/>
  <c r="B8865" i="17"/>
  <c r="A8865" i="17"/>
  <c r="A8864" i="17"/>
  <c r="B8863" i="17"/>
  <c r="A8863" i="17"/>
  <c r="B8862" i="17"/>
  <c r="A8862" i="17"/>
  <c r="A8861" i="17"/>
  <c r="B8860" i="17"/>
  <c r="A8860" i="17"/>
  <c r="B8859" i="17"/>
  <c r="A8859" i="17"/>
  <c r="B8858" i="17"/>
  <c r="A8858" i="17"/>
  <c r="A8857" i="17"/>
  <c r="B8856" i="17"/>
  <c r="A8856" i="17"/>
  <c r="B8855" i="17"/>
  <c r="A8855" i="17"/>
  <c r="B8854" i="17"/>
  <c r="A8854" i="17"/>
  <c r="A8853" i="17"/>
  <c r="B8852" i="17"/>
  <c r="A8852" i="17"/>
  <c r="B8851" i="17"/>
  <c r="A8851" i="17"/>
  <c r="B8850" i="17"/>
  <c r="A8850" i="17"/>
  <c r="A8849" i="17"/>
  <c r="B8848" i="17"/>
  <c r="A8848" i="17"/>
  <c r="B8847" i="17"/>
  <c r="A8847" i="17"/>
  <c r="B8846" i="17"/>
  <c r="A8846" i="17"/>
  <c r="B8845" i="17"/>
  <c r="A8845" i="17"/>
  <c r="A8844" i="17"/>
  <c r="B8843" i="17"/>
  <c r="A8843" i="17"/>
  <c r="A8842" i="17"/>
  <c r="B8841" i="17"/>
  <c r="A8841" i="17"/>
  <c r="B8840" i="17"/>
  <c r="A8840" i="17"/>
  <c r="A8839" i="17"/>
  <c r="B8838" i="17"/>
  <c r="A8838" i="17"/>
  <c r="A8837" i="17"/>
  <c r="A8836" i="17"/>
  <c r="A8835" i="17"/>
  <c r="A8834" i="17"/>
  <c r="A8833" i="17"/>
  <c r="B8832" i="17"/>
  <c r="A8832" i="17"/>
  <c r="A8831" i="17"/>
  <c r="B8830" i="17"/>
  <c r="A8830" i="17"/>
  <c r="A8829" i="17"/>
  <c r="B8828" i="17"/>
  <c r="A8828" i="17"/>
  <c r="B8827" i="17"/>
  <c r="A8827" i="17"/>
  <c r="B8826" i="17"/>
  <c r="A8826" i="17"/>
  <c r="B8825" i="17"/>
  <c r="A8825" i="17"/>
  <c r="B8824" i="17"/>
  <c r="A8824" i="17"/>
  <c r="A8823" i="17"/>
  <c r="B8822" i="17"/>
  <c r="A8822" i="17"/>
  <c r="B8821" i="17"/>
  <c r="A8821" i="17"/>
  <c r="B8820" i="17"/>
  <c r="A8820" i="17"/>
  <c r="B8819" i="17"/>
  <c r="A8819" i="17"/>
  <c r="B8818" i="17"/>
  <c r="A8818" i="17"/>
  <c r="A8817" i="17"/>
  <c r="B8816" i="17"/>
  <c r="A8816" i="17"/>
  <c r="B8815" i="17"/>
  <c r="A8815" i="17"/>
  <c r="B8814" i="17"/>
  <c r="A8814" i="17"/>
  <c r="A8813" i="17"/>
  <c r="A8812" i="17"/>
  <c r="B8811" i="17"/>
  <c r="A8811" i="17"/>
  <c r="A8810" i="17"/>
  <c r="A8809" i="17"/>
  <c r="A8808" i="17"/>
  <c r="B8807" i="17"/>
  <c r="A8807" i="17"/>
  <c r="B8806" i="17"/>
  <c r="A8806" i="17"/>
  <c r="B8805" i="17"/>
  <c r="A8805" i="17"/>
  <c r="A8804" i="17"/>
  <c r="B8803" i="17"/>
  <c r="A8803" i="17"/>
  <c r="B8802" i="17"/>
  <c r="A8802" i="17"/>
  <c r="B8801" i="17"/>
  <c r="A8801" i="17"/>
  <c r="B8800" i="17"/>
  <c r="A8800" i="17"/>
  <c r="B8799" i="17"/>
  <c r="A8799" i="17"/>
  <c r="B8798" i="17"/>
  <c r="A8798" i="17"/>
  <c r="B8797" i="17"/>
  <c r="A8797" i="17"/>
  <c r="A8796" i="17"/>
  <c r="B8786" i="17"/>
  <c r="A8786" i="17"/>
  <c r="B8785" i="17"/>
  <c r="A8785" i="17"/>
  <c r="B8784" i="17"/>
  <c r="A8784" i="17"/>
  <c r="B8783" i="17"/>
  <c r="A8783" i="17"/>
  <c r="B8782" i="17"/>
  <c r="A8782" i="17"/>
  <c r="B8781" i="17"/>
  <c r="A8781" i="17"/>
  <c r="B8780" i="17"/>
  <c r="A8780" i="17"/>
  <c r="A8779" i="17"/>
  <c r="A8778" i="17"/>
  <c r="A8777" i="17"/>
  <c r="B8776" i="17"/>
  <c r="A8776" i="17"/>
  <c r="A8775" i="17"/>
  <c r="B8774" i="17"/>
  <c r="A8774" i="17"/>
  <c r="A8773" i="17"/>
  <c r="A8772" i="17"/>
  <c r="B8771" i="17"/>
  <c r="A8771" i="17"/>
  <c r="B8770" i="17"/>
  <c r="A8770" i="17"/>
  <c r="B8769" i="17"/>
  <c r="A8769" i="17"/>
  <c r="B8768" i="17"/>
  <c r="A8768" i="17"/>
  <c r="A8767" i="17"/>
  <c r="B8766" i="17"/>
  <c r="A8766" i="17"/>
  <c r="B8765" i="17"/>
  <c r="A8765" i="17"/>
  <c r="B8764" i="17"/>
  <c r="A8764" i="17"/>
  <c r="A8763" i="17"/>
  <c r="A8762" i="17"/>
  <c r="B8761" i="17"/>
  <c r="A8761" i="17"/>
  <c r="A8760" i="17"/>
  <c r="B8759" i="17"/>
  <c r="A8759" i="17"/>
  <c r="A8758" i="17"/>
  <c r="B8757" i="17"/>
  <c r="A8757" i="17"/>
  <c r="B8756" i="17"/>
  <c r="A8756" i="17"/>
  <c r="B8755" i="17"/>
  <c r="A8755" i="17"/>
  <c r="B8754" i="17"/>
  <c r="A8754" i="17"/>
  <c r="B8753" i="17"/>
  <c r="A8753" i="17"/>
  <c r="B8752" i="17"/>
  <c r="A8752" i="17"/>
  <c r="A8751" i="17"/>
  <c r="A8750" i="17"/>
  <c r="B8749" i="17"/>
  <c r="A8749" i="17"/>
  <c r="B8748" i="17"/>
  <c r="A8748" i="17"/>
  <c r="B8747" i="17"/>
  <c r="A8747" i="17"/>
  <c r="B8746" i="17"/>
  <c r="A8746" i="17"/>
  <c r="B8745" i="17"/>
  <c r="A8745" i="17"/>
  <c r="B8744" i="17"/>
  <c r="A8744" i="17"/>
  <c r="B8743" i="17"/>
  <c r="A8743" i="17"/>
  <c r="A8742" i="17"/>
  <c r="B8741" i="17"/>
  <c r="A8741" i="17"/>
  <c r="A8740" i="17"/>
  <c r="A8739" i="17"/>
  <c r="A8738" i="17"/>
  <c r="A8737" i="17"/>
  <c r="B8736" i="17"/>
  <c r="A8736" i="17"/>
  <c r="B8735" i="17"/>
  <c r="A8735" i="17"/>
  <c r="B8734" i="17"/>
  <c r="A8734" i="17"/>
  <c r="B8733" i="17"/>
  <c r="A8733" i="17"/>
  <c r="A8732" i="17"/>
  <c r="A8731" i="17"/>
  <c r="A8730" i="17"/>
  <c r="B8729" i="17"/>
  <c r="A8729" i="17"/>
  <c r="B8728" i="17"/>
  <c r="A8728" i="17"/>
  <c r="B8727" i="17"/>
  <c r="A8727" i="17"/>
  <c r="B8726" i="17"/>
  <c r="A8726" i="17"/>
  <c r="A8725" i="17"/>
  <c r="B8724" i="17"/>
  <c r="A8724" i="17"/>
  <c r="B8723" i="17"/>
  <c r="A8723" i="17"/>
  <c r="A8722" i="17"/>
  <c r="B8721" i="17"/>
  <c r="A8721" i="17"/>
  <c r="B8720" i="17"/>
  <c r="A8720" i="17"/>
  <c r="B8719" i="17"/>
  <c r="A8719" i="17"/>
  <c r="A8718" i="17"/>
  <c r="B8717" i="17"/>
  <c r="A8717" i="17"/>
  <c r="B8716" i="17"/>
  <c r="A8716" i="17"/>
  <c r="B8715" i="17"/>
  <c r="A8715" i="17"/>
  <c r="B8714" i="17"/>
  <c r="A8714" i="17"/>
  <c r="B8713" i="17"/>
  <c r="A8713" i="17"/>
  <c r="B8712" i="17"/>
  <c r="A8712" i="17"/>
  <c r="B8711" i="17"/>
  <c r="A8711" i="17"/>
  <c r="B8710" i="17"/>
  <c r="A8710" i="17"/>
  <c r="B8709" i="17"/>
  <c r="A8709" i="17"/>
  <c r="B8708" i="17"/>
  <c r="A8708" i="17"/>
  <c r="B8707" i="17"/>
  <c r="A8707" i="17"/>
  <c r="B8706" i="17"/>
  <c r="A8706" i="17"/>
  <c r="A8705" i="17"/>
  <c r="B8704" i="17"/>
  <c r="A8704" i="17"/>
  <c r="B8703" i="17"/>
  <c r="A8703" i="17"/>
  <c r="B8702" i="17"/>
  <c r="A8702" i="17"/>
  <c r="B8701" i="17"/>
  <c r="A8701" i="17"/>
  <c r="B8700" i="17"/>
  <c r="A8700" i="17"/>
  <c r="B8699" i="17"/>
  <c r="A8699" i="17"/>
  <c r="B8698" i="17"/>
  <c r="A8698" i="17"/>
  <c r="B8697" i="17"/>
  <c r="A8697" i="17"/>
  <c r="B8696" i="17"/>
  <c r="A8696" i="17"/>
  <c r="B8695" i="17"/>
  <c r="A8695" i="17"/>
  <c r="B8694" i="17"/>
  <c r="A8694" i="17"/>
  <c r="B8693" i="17"/>
  <c r="A8693" i="17"/>
  <c r="B8692" i="17"/>
  <c r="A8692" i="17"/>
  <c r="B8691" i="17"/>
  <c r="A8691" i="17"/>
  <c r="A8690" i="17"/>
  <c r="A8689" i="17"/>
  <c r="B8688" i="17"/>
  <c r="A8688" i="17"/>
  <c r="A8687" i="17"/>
  <c r="B8686" i="17"/>
  <c r="A8686" i="17"/>
  <c r="B8685" i="17"/>
  <c r="A8685" i="17"/>
  <c r="B8684" i="17"/>
  <c r="A8684" i="17"/>
  <c r="A8683" i="17"/>
  <c r="A8682" i="17"/>
  <c r="A8681" i="17"/>
  <c r="A8680" i="17"/>
  <c r="A8679" i="17"/>
  <c r="B8678" i="17"/>
  <c r="A8678" i="17"/>
  <c r="B8677" i="17"/>
  <c r="A8677" i="17"/>
  <c r="B8676" i="17"/>
  <c r="A8676" i="17"/>
  <c r="B8675" i="17"/>
  <c r="A8675" i="17"/>
  <c r="B8674" i="17"/>
  <c r="A8674" i="17"/>
  <c r="B8673" i="17"/>
  <c r="A8673" i="17"/>
  <c r="B8672" i="17"/>
  <c r="A8672" i="17"/>
  <c r="B8671" i="17"/>
  <c r="A8671" i="17"/>
  <c r="A8670" i="17"/>
  <c r="A8669" i="17"/>
  <c r="B8668" i="17"/>
  <c r="A8668" i="17"/>
  <c r="B8667" i="17"/>
  <c r="A8667" i="17"/>
  <c r="B8666" i="17"/>
  <c r="A8666" i="17"/>
  <c r="B8665" i="17"/>
  <c r="A8665" i="17"/>
  <c r="B8664" i="17"/>
  <c r="A8664" i="17"/>
  <c r="B8663" i="17"/>
  <c r="A8663" i="17"/>
  <c r="B8662" i="17"/>
  <c r="A8662" i="17"/>
  <c r="B8661" i="17"/>
  <c r="A8661" i="17"/>
  <c r="B8660" i="17"/>
  <c r="A8660" i="17"/>
  <c r="B8659" i="17"/>
  <c r="A8659" i="17"/>
  <c r="B8658" i="17"/>
  <c r="A8658" i="17"/>
  <c r="B8657" i="17"/>
  <c r="A8657" i="17"/>
  <c r="A8656" i="17"/>
  <c r="B8655" i="17"/>
  <c r="A8655" i="17"/>
  <c r="B8654" i="17"/>
  <c r="A8654" i="17"/>
  <c r="B8653" i="17"/>
  <c r="A8653" i="17"/>
  <c r="B8652" i="17"/>
  <c r="A8652" i="17"/>
  <c r="B8651" i="17"/>
  <c r="A8651" i="17"/>
  <c r="B8650" i="17"/>
  <c r="A8650" i="17"/>
  <c r="B8649" i="17"/>
  <c r="A8649" i="17"/>
  <c r="B8648" i="17"/>
  <c r="A8648" i="17"/>
  <c r="B8647" i="17"/>
  <c r="A8647" i="17"/>
  <c r="B8646" i="17"/>
  <c r="A8646" i="17"/>
  <c r="B8645" i="17"/>
  <c r="A8645" i="17"/>
  <c r="B8644" i="17"/>
  <c r="B8643" i="17"/>
  <c r="B8642" i="17"/>
  <c r="B8641" i="17"/>
  <c r="A8641" i="17"/>
  <c r="A8640" i="17"/>
  <c r="A8639" i="17"/>
  <c r="A8638" i="17"/>
  <c r="B8637" i="17"/>
  <c r="A8637" i="17"/>
  <c r="A8636" i="17"/>
  <c r="A8635" i="17"/>
  <c r="A8634" i="17"/>
  <c r="B8633" i="17"/>
  <c r="A8633" i="17"/>
  <c r="B8632" i="17"/>
  <c r="A8632" i="17"/>
  <c r="B8631" i="17"/>
  <c r="A8631" i="17"/>
  <c r="B8630" i="17"/>
  <c r="A8630" i="17"/>
  <c r="A8629" i="17"/>
  <c r="A8628" i="17"/>
  <c r="A8627" i="17"/>
  <c r="B8626" i="17"/>
  <c r="A8626" i="17"/>
  <c r="B8625" i="17"/>
  <c r="A8625" i="17"/>
  <c r="A8624" i="17"/>
  <c r="A8623" i="17"/>
  <c r="A8622" i="17"/>
  <c r="B8621" i="17"/>
  <c r="A8621" i="17"/>
  <c r="B8620" i="17"/>
  <c r="A8620" i="17"/>
  <c r="A8619" i="17"/>
  <c r="A8618" i="17"/>
  <c r="B8617" i="17"/>
  <c r="A8617" i="17"/>
  <c r="B8616" i="17"/>
  <c r="A8616" i="17"/>
  <c r="B8615" i="17"/>
  <c r="A8615" i="17"/>
  <c r="B8614" i="17"/>
  <c r="A8614" i="17"/>
  <c r="A8613" i="17"/>
  <c r="B8612" i="17"/>
  <c r="A8612" i="17"/>
  <c r="B8611" i="17"/>
  <c r="A8611" i="17"/>
  <c r="B8610" i="17"/>
  <c r="A8610" i="17"/>
  <c r="A8609" i="17"/>
  <c r="A8608" i="17"/>
  <c r="A8607" i="17"/>
  <c r="B8606" i="17"/>
  <c r="A8606" i="17"/>
  <c r="B8605" i="17"/>
  <c r="A8605" i="17"/>
  <c r="B8604" i="17"/>
  <c r="A8604" i="17"/>
  <c r="B8603" i="17"/>
  <c r="A8603" i="17"/>
  <c r="B8602" i="17"/>
  <c r="A8602" i="17"/>
  <c r="B8601" i="17"/>
  <c r="A8601" i="17"/>
  <c r="B8600" i="17"/>
  <c r="A8600" i="17"/>
  <c r="B8599" i="17"/>
  <c r="A8599" i="17"/>
  <c r="A8598" i="17"/>
  <c r="B8597" i="17"/>
  <c r="A8597" i="17"/>
  <c r="B8596" i="17"/>
  <c r="A8596" i="17"/>
  <c r="B8595" i="17"/>
  <c r="A8595" i="17"/>
  <c r="A8594" i="17"/>
  <c r="A8593" i="17"/>
  <c r="B8592" i="17"/>
  <c r="A8592" i="17"/>
  <c r="B8591" i="17"/>
  <c r="A8591" i="17"/>
  <c r="A8590" i="17"/>
  <c r="B8589" i="17"/>
  <c r="A8589" i="17"/>
  <c r="B8588" i="17"/>
  <c r="A8588" i="17"/>
  <c r="B8587" i="17"/>
  <c r="A8587" i="17"/>
  <c r="B8586" i="17"/>
  <c r="A8586" i="17"/>
  <c r="B8585" i="17"/>
  <c r="A8585" i="17"/>
  <c r="A8584" i="17"/>
  <c r="A8583" i="17"/>
  <c r="A8582" i="17"/>
  <c r="A8581" i="17"/>
  <c r="B8580" i="17"/>
  <c r="A8580" i="17"/>
  <c r="B8579" i="17"/>
  <c r="A8579" i="17"/>
  <c r="B8578" i="17"/>
  <c r="A8578" i="17"/>
  <c r="B8577" i="17"/>
  <c r="A8577" i="17"/>
  <c r="A8576" i="17"/>
  <c r="A8575" i="17"/>
  <c r="B8574" i="17"/>
  <c r="A8574" i="17"/>
  <c r="B8573" i="17"/>
  <c r="A8573" i="17"/>
  <c r="B8572" i="17"/>
  <c r="A8572" i="17"/>
  <c r="B8571" i="17"/>
  <c r="A8571" i="17"/>
  <c r="B8570" i="17"/>
  <c r="A8570" i="17"/>
  <c r="B8569" i="17"/>
  <c r="A8569" i="17"/>
  <c r="A8568" i="17"/>
  <c r="A8567" i="17"/>
  <c r="B8566" i="17"/>
  <c r="A8566" i="17"/>
  <c r="B8565" i="17"/>
  <c r="A8565" i="17"/>
  <c r="B8564" i="17"/>
  <c r="A8564" i="17"/>
  <c r="B8563" i="17"/>
  <c r="A8563" i="17"/>
  <c r="B8562" i="17"/>
  <c r="A8562" i="17"/>
  <c r="A8561" i="17"/>
  <c r="A8560" i="17"/>
  <c r="A8559" i="17"/>
  <c r="B8558" i="17"/>
  <c r="A8558" i="17"/>
  <c r="B8554" i="17"/>
  <c r="A8554" i="17"/>
  <c r="B8553" i="17"/>
  <c r="A8553" i="17"/>
  <c r="B8552" i="17"/>
  <c r="A8552" i="17"/>
  <c r="B8551" i="17"/>
  <c r="A8551" i="17"/>
  <c r="B8550" i="17"/>
  <c r="A8550" i="17"/>
  <c r="B8549" i="17"/>
  <c r="A8549" i="17"/>
  <c r="B8548" i="17"/>
  <c r="A8548" i="17"/>
  <c r="A8547" i="17"/>
  <c r="B8546" i="17"/>
  <c r="A8546" i="17"/>
  <c r="B8545" i="17"/>
  <c r="A8545" i="17"/>
  <c r="A8544" i="17"/>
  <c r="A8543" i="17"/>
  <c r="A8542" i="17"/>
  <c r="A8541" i="17"/>
  <c r="A8540" i="17"/>
  <c r="B8539" i="17"/>
  <c r="A8539" i="17"/>
  <c r="B8538" i="17"/>
  <c r="A8538" i="17"/>
  <c r="B8537" i="17"/>
  <c r="A8537" i="17"/>
  <c r="B8536" i="17"/>
  <c r="A8536" i="17"/>
  <c r="A8535" i="17"/>
  <c r="A8534" i="17"/>
  <c r="B8533" i="17"/>
  <c r="A8533" i="17"/>
  <c r="B8532" i="17"/>
  <c r="A8532" i="17"/>
  <c r="B8531" i="17"/>
  <c r="A8531" i="17"/>
  <c r="A8530" i="17"/>
  <c r="A8529" i="17"/>
  <c r="B8528" i="17"/>
  <c r="A8528" i="17"/>
  <c r="B8527" i="17"/>
  <c r="A8527" i="17"/>
  <c r="A8526" i="17"/>
  <c r="B8525" i="17"/>
  <c r="A8525" i="17"/>
  <c r="A8524" i="17"/>
  <c r="B8523" i="17"/>
  <c r="A8523" i="17"/>
  <c r="B8522" i="17"/>
  <c r="A8522" i="17"/>
  <c r="B8521" i="17"/>
  <c r="A8521" i="17"/>
  <c r="B8520" i="17"/>
  <c r="A8520" i="17"/>
  <c r="B8519" i="17"/>
  <c r="A8519" i="17"/>
  <c r="B8518" i="17"/>
  <c r="A8518" i="17"/>
  <c r="B8517" i="17"/>
  <c r="A8517" i="17"/>
  <c r="B8516" i="17"/>
  <c r="A8516" i="17"/>
  <c r="A8515" i="17"/>
  <c r="B8514" i="17"/>
  <c r="A8514" i="17"/>
  <c r="A8513" i="17"/>
  <c r="B8512" i="17"/>
  <c r="A8512" i="17"/>
  <c r="B8511" i="17"/>
  <c r="A8511" i="17"/>
  <c r="A8510" i="17"/>
  <c r="A8509" i="17"/>
  <c r="A8508" i="17"/>
  <c r="B8507" i="17"/>
  <c r="A8507" i="17"/>
  <c r="B8506" i="17"/>
  <c r="A8506" i="17"/>
  <c r="B8505" i="17"/>
  <c r="A8505" i="17"/>
  <c r="A8504" i="17"/>
  <c r="A8503" i="17"/>
  <c r="A8502" i="17"/>
  <c r="A8501" i="17"/>
  <c r="B8500" i="17"/>
  <c r="A8500" i="17"/>
  <c r="B8499" i="17"/>
  <c r="A8499" i="17"/>
  <c r="A8498" i="17"/>
  <c r="B8497" i="17"/>
  <c r="A8497" i="17"/>
  <c r="B8496" i="17"/>
  <c r="A8496" i="17"/>
  <c r="B8495" i="17"/>
  <c r="A8495" i="17"/>
  <c r="B8494" i="17"/>
  <c r="A8494" i="17"/>
  <c r="B8493" i="17"/>
  <c r="A8493" i="17"/>
  <c r="B8492" i="17"/>
  <c r="A8492" i="17"/>
  <c r="B8491" i="17"/>
  <c r="A8491" i="17"/>
  <c r="B8490" i="17"/>
  <c r="A8490" i="17"/>
  <c r="A8489" i="17"/>
  <c r="B8488" i="17"/>
  <c r="A8488" i="17"/>
  <c r="A8487" i="17"/>
  <c r="A8486" i="17"/>
  <c r="B8485" i="17"/>
  <c r="A8485" i="17"/>
  <c r="B8484" i="17"/>
  <c r="A8484" i="17"/>
  <c r="B8483" i="17"/>
  <c r="A8483" i="17"/>
  <c r="A8482" i="17"/>
  <c r="B8481" i="17"/>
  <c r="A8481" i="17"/>
  <c r="A8480" i="17"/>
  <c r="A8479" i="17"/>
  <c r="A8478" i="17"/>
  <c r="A8477" i="17"/>
  <c r="A8476" i="17"/>
  <c r="A8475" i="17"/>
  <c r="B8474" i="17"/>
  <c r="A8474" i="17"/>
  <c r="B8473" i="17"/>
  <c r="A8473" i="17"/>
  <c r="B8472" i="17"/>
  <c r="A8472" i="17"/>
  <c r="B8471" i="17"/>
  <c r="A8471" i="17"/>
  <c r="B8470" i="17"/>
  <c r="A8470" i="17"/>
  <c r="B8469" i="17"/>
  <c r="A8469" i="17"/>
  <c r="A8468" i="17"/>
  <c r="B8467" i="17"/>
  <c r="A8467" i="17"/>
  <c r="A8466" i="17"/>
  <c r="B8465" i="17"/>
  <c r="A8465" i="17"/>
  <c r="A8464" i="17"/>
  <c r="A8463" i="17"/>
  <c r="B8462" i="17"/>
  <c r="A8462" i="17"/>
  <c r="B8461" i="17"/>
  <c r="A8461" i="17"/>
  <c r="B8460" i="17"/>
  <c r="A8460" i="17"/>
  <c r="A8459" i="17"/>
  <c r="A8458" i="17"/>
  <c r="A8457" i="17"/>
  <c r="A8456" i="17"/>
  <c r="A8455" i="17"/>
  <c r="B8454" i="17"/>
  <c r="A8454" i="17"/>
  <c r="A8453" i="17"/>
  <c r="B8452" i="17"/>
  <c r="A8452" i="17"/>
  <c r="B8451" i="17"/>
  <c r="A8451" i="17"/>
  <c r="B8450" i="17"/>
  <c r="A8450" i="17"/>
  <c r="B8449" i="17"/>
  <c r="A8449" i="17"/>
  <c r="B8448" i="17"/>
  <c r="A8448" i="17"/>
  <c r="B8447" i="17"/>
  <c r="A8447" i="17"/>
  <c r="B8446" i="17"/>
  <c r="A8446" i="17"/>
  <c r="B8445" i="17"/>
  <c r="A8445" i="17"/>
  <c r="B8444" i="17"/>
  <c r="A8444" i="17"/>
  <c r="B8443" i="17"/>
  <c r="A8443" i="17"/>
  <c r="B8442" i="17"/>
  <c r="A8442" i="17"/>
  <c r="B8441" i="17"/>
  <c r="A8441" i="17"/>
  <c r="B8440" i="17"/>
  <c r="A8440" i="17"/>
  <c r="B8439" i="17"/>
  <c r="A8439" i="17"/>
  <c r="B8438" i="17"/>
  <c r="A8438" i="17"/>
  <c r="B8437" i="17"/>
  <c r="A8437" i="17"/>
  <c r="B8436" i="17"/>
  <c r="A8436" i="17"/>
  <c r="B8435" i="17"/>
  <c r="A8435" i="17"/>
  <c r="A8434" i="17"/>
  <c r="B8433" i="17"/>
  <c r="A8433" i="17"/>
  <c r="B8432" i="17"/>
  <c r="A8432" i="17"/>
  <c r="B8431" i="17"/>
  <c r="A8431" i="17"/>
  <c r="B8430" i="17"/>
  <c r="A8430" i="17"/>
  <c r="B8429" i="17"/>
  <c r="A8429" i="17"/>
  <c r="B8428" i="17"/>
  <c r="A8428" i="17"/>
  <c r="B8427" i="17"/>
  <c r="A8427" i="17"/>
  <c r="B8426" i="17"/>
  <c r="A8426" i="17"/>
  <c r="B8425" i="17"/>
  <c r="A8425" i="17"/>
  <c r="B8424" i="17"/>
  <c r="A8424" i="17"/>
  <c r="B8423" i="17"/>
  <c r="A8423" i="17"/>
  <c r="B8422" i="17"/>
  <c r="A8422" i="17"/>
  <c r="B8421" i="17"/>
  <c r="A8421" i="17"/>
  <c r="B8420" i="17"/>
  <c r="A8420" i="17"/>
  <c r="B8419" i="17"/>
  <c r="A8419" i="17"/>
  <c r="B8418" i="17"/>
  <c r="A8418" i="17"/>
  <c r="B8417" i="17"/>
  <c r="A8417" i="17"/>
  <c r="A8416" i="17"/>
  <c r="A8415" i="17"/>
  <c r="A8414" i="17"/>
  <c r="A8413" i="17"/>
  <c r="A8412" i="17"/>
  <c r="A8411" i="17"/>
  <c r="A8410" i="17"/>
  <c r="A8409" i="17"/>
  <c r="B8408" i="17"/>
  <c r="A8408" i="17"/>
  <c r="B8407" i="17"/>
  <c r="A8407" i="17"/>
  <c r="B8406" i="17"/>
  <c r="A8406" i="17"/>
  <c r="B8405" i="17"/>
  <c r="A8405" i="17"/>
  <c r="B8404" i="17"/>
  <c r="A8404" i="17"/>
  <c r="B8403" i="17"/>
  <c r="A8403" i="17"/>
  <c r="B8402" i="17"/>
  <c r="A8402" i="17"/>
  <c r="B8401" i="17"/>
  <c r="A8401" i="17"/>
  <c r="B8400" i="17"/>
  <c r="A8400" i="17"/>
  <c r="B8399" i="17"/>
  <c r="A8399" i="17"/>
  <c r="A8398" i="17"/>
  <c r="B8397" i="17"/>
  <c r="A8397" i="17"/>
  <c r="B8396" i="17"/>
  <c r="A8396" i="17"/>
  <c r="B8395" i="17"/>
  <c r="A8395" i="17"/>
  <c r="B8394" i="17"/>
  <c r="A8394" i="17"/>
  <c r="A8393" i="17"/>
  <c r="A8392" i="17"/>
  <c r="A8391" i="17"/>
  <c r="B8390" i="17"/>
  <c r="A8390" i="17"/>
  <c r="B8389" i="17"/>
  <c r="A8389" i="17"/>
  <c r="A8388" i="17"/>
  <c r="B8387" i="17"/>
  <c r="A8387" i="17"/>
  <c r="B8386" i="17"/>
  <c r="A8386" i="17"/>
  <c r="B8385" i="17"/>
  <c r="A8385" i="17"/>
  <c r="B8384" i="17"/>
  <c r="A8384" i="17"/>
  <c r="B8383" i="17"/>
  <c r="A8383" i="17"/>
  <c r="A8382" i="17"/>
  <c r="B8381" i="17"/>
  <c r="A8381" i="17"/>
  <c r="B8380" i="17"/>
  <c r="A8380" i="17"/>
  <c r="B8379" i="17"/>
  <c r="A8379" i="17"/>
  <c r="B8378" i="17"/>
  <c r="A8378" i="17"/>
  <c r="B8377" i="17"/>
  <c r="A8377" i="17"/>
  <c r="A8376" i="17"/>
  <c r="B8375" i="17"/>
  <c r="A8375" i="17"/>
  <c r="A8374" i="17"/>
  <c r="A8373" i="17"/>
  <c r="B8372" i="17"/>
  <c r="A8372" i="17"/>
  <c r="B8371" i="17"/>
  <c r="A8371" i="17"/>
  <c r="B8370" i="17"/>
  <c r="A8370" i="17"/>
  <c r="B8369" i="17"/>
  <c r="A8369" i="17"/>
  <c r="A8368" i="17"/>
  <c r="B8367" i="17"/>
  <c r="A8367" i="17"/>
  <c r="B8366" i="17"/>
  <c r="A8366" i="17"/>
  <c r="B8365" i="17"/>
  <c r="A8365" i="17"/>
  <c r="B8364" i="17"/>
  <c r="A8364" i="17"/>
  <c r="B8363" i="17"/>
  <c r="A8363" i="17"/>
  <c r="B8362" i="17"/>
  <c r="A8362" i="17"/>
  <c r="B8361" i="17"/>
  <c r="A8361" i="17"/>
  <c r="B8360" i="17"/>
  <c r="A8360" i="17"/>
  <c r="B8359" i="17"/>
  <c r="A8359" i="17"/>
  <c r="B8358" i="17"/>
  <c r="A8358" i="17"/>
  <c r="A8357" i="17"/>
  <c r="B8356" i="17"/>
  <c r="A8356" i="17"/>
  <c r="A8355" i="17"/>
  <c r="A8354" i="17"/>
  <c r="A8353" i="17"/>
  <c r="A8352" i="17"/>
  <c r="A8351" i="17"/>
  <c r="A8350" i="17"/>
  <c r="A8349" i="17"/>
  <c r="A8348" i="17"/>
  <c r="A8347" i="17"/>
  <c r="A8346" i="17"/>
  <c r="B8345" i="17"/>
  <c r="A8345" i="17"/>
  <c r="B8344" i="17"/>
  <c r="A8344" i="17"/>
  <c r="A8343" i="17"/>
  <c r="A8342" i="17"/>
  <c r="B8341" i="17"/>
  <c r="A8341" i="17"/>
  <c r="A8340" i="17"/>
  <c r="A8339" i="17"/>
  <c r="B8338" i="17"/>
  <c r="A8338" i="17"/>
  <c r="B8337" i="17"/>
  <c r="A8337" i="17"/>
  <c r="A8336" i="17"/>
  <c r="B8335" i="17"/>
  <c r="A8335" i="17"/>
  <c r="B8334" i="17"/>
  <c r="A8334" i="17"/>
  <c r="B8333" i="17"/>
  <c r="A8333" i="17"/>
  <c r="B8332" i="17"/>
  <c r="A8332" i="17"/>
  <c r="B8331" i="17"/>
  <c r="A8331" i="17"/>
  <c r="B8330" i="17"/>
  <c r="A8330" i="17"/>
  <c r="B8329" i="17"/>
  <c r="A8329" i="17"/>
  <c r="B8328" i="17"/>
  <c r="A8328" i="17"/>
  <c r="B8327" i="17"/>
  <c r="A8327" i="17"/>
  <c r="B8326" i="17"/>
  <c r="A8326" i="17"/>
  <c r="B8325" i="17"/>
  <c r="A8325" i="17"/>
  <c r="B8324" i="17"/>
  <c r="A8324" i="17"/>
  <c r="B8323" i="17"/>
  <c r="A8323" i="17"/>
  <c r="A8322" i="17"/>
  <c r="B8321" i="17"/>
  <c r="A8321" i="17"/>
  <c r="B8320" i="17"/>
  <c r="A8320" i="17"/>
  <c r="B8319" i="17"/>
  <c r="A8319" i="17"/>
  <c r="B8318" i="17"/>
  <c r="A8318" i="17"/>
  <c r="B8317" i="17"/>
  <c r="A8317" i="17"/>
  <c r="B8316" i="17"/>
  <c r="A8316" i="17"/>
  <c r="B8315" i="17"/>
  <c r="A8315" i="17"/>
  <c r="B8314" i="17"/>
  <c r="A8314" i="17"/>
  <c r="B8313" i="17"/>
  <c r="A8313" i="17"/>
  <c r="B8312" i="17"/>
  <c r="A8312" i="17"/>
  <c r="A8311" i="17"/>
  <c r="B8310" i="17"/>
  <c r="A8310" i="17"/>
  <c r="B8309" i="17"/>
  <c r="A8309" i="17"/>
  <c r="B8308" i="17"/>
  <c r="A8308" i="17"/>
  <c r="B8307" i="17"/>
  <c r="A8307" i="17"/>
  <c r="B8306" i="17"/>
  <c r="A8306" i="17"/>
  <c r="B8305" i="17"/>
  <c r="A8305" i="17"/>
  <c r="B8304" i="17"/>
  <c r="A8304" i="17"/>
  <c r="B8303" i="17"/>
  <c r="A8303" i="17"/>
  <c r="B8302" i="17"/>
  <c r="A8302" i="17"/>
  <c r="B8301" i="17"/>
  <c r="A8301" i="17"/>
  <c r="B8300" i="17"/>
  <c r="A8300" i="17"/>
  <c r="B8299" i="17"/>
  <c r="A8299" i="17"/>
  <c r="B8298" i="17"/>
  <c r="A8298" i="17"/>
  <c r="A8297" i="17"/>
  <c r="B8296" i="17"/>
  <c r="A8296" i="17"/>
  <c r="B8295" i="17"/>
  <c r="A8295" i="17"/>
  <c r="A8294" i="17"/>
  <c r="A8293" i="17"/>
  <c r="A8292" i="17"/>
  <c r="B8291" i="17"/>
  <c r="A8291" i="17"/>
  <c r="A8290" i="17"/>
  <c r="B8289" i="17"/>
  <c r="A8289" i="17"/>
  <c r="A8288" i="17"/>
  <c r="B8287" i="17"/>
  <c r="A8287" i="17"/>
  <c r="B8286" i="17"/>
  <c r="A8286" i="17"/>
  <c r="B8285" i="17"/>
  <c r="A8285" i="17"/>
  <c r="B8284" i="17"/>
  <c r="A8284" i="17"/>
  <c r="B8283" i="17"/>
  <c r="A8283" i="17"/>
  <c r="B8282" i="17"/>
  <c r="A8282" i="17"/>
  <c r="B8281" i="17"/>
  <c r="A8281" i="17"/>
  <c r="B8280" i="17"/>
  <c r="A8280" i="17"/>
  <c r="A8279" i="17"/>
  <c r="B8278" i="17"/>
  <c r="A8278" i="17"/>
  <c r="B8277" i="17"/>
  <c r="A8277" i="17"/>
  <c r="A8276" i="17"/>
  <c r="A8275" i="17"/>
  <c r="A8274" i="17"/>
  <c r="B8273" i="17"/>
  <c r="A8273" i="17"/>
  <c r="B8272" i="17"/>
  <c r="A8272" i="17"/>
  <c r="B8271" i="17"/>
  <c r="A8271" i="17"/>
  <c r="A8270" i="17"/>
  <c r="A8269" i="17"/>
  <c r="A8268" i="17"/>
  <c r="B8267" i="17"/>
  <c r="A8267" i="17"/>
  <c r="A8266" i="17"/>
  <c r="A8265" i="17"/>
  <c r="A8264" i="17"/>
  <c r="A8263" i="17"/>
  <c r="B8262" i="17"/>
  <c r="A8262" i="17"/>
  <c r="B8261" i="17"/>
  <c r="A8261" i="17"/>
  <c r="A8260" i="17"/>
  <c r="A8259" i="17"/>
  <c r="B8258" i="17"/>
  <c r="A8258" i="17"/>
  <c r="A8257" i="17"/>
  <c r="A8256" i="17"/>
  <c r="A8255" i="17"/>
  <c r="B8254" i="17"/>
  <c r="A8254" i="17"/>
  <c r="B8253" i="17"/>
  <c r="A8253" i="17"/>
  <c r="B8252" i="17"/>
  <c r="A8252" i="17"/>
  <c r="B8251" i="17"/>
  <c r="A8251" i="17"/>
  <c r="B8250" i="17"/>
  <c r="A8250" i="17"/>
  <c r="B8249" i="17"/>
  <c r="A8249" i="17"/>
  <c r="A8248" i="17"/>
  <c r="B8247" i="17"/>
  <c r="A8247" i="17"/>
  <c r="B8246" i="17"/>
  <c r="A8246" i="17"/>
  <c r="B8245" i="17"/>
  <c r="A8245" i="17"/>
  <c r="B8244" i="17"/>
  <c r="A8244" i="17"/>
  <c r="B8243" i="17"/>
  <c r="A8243" i="17"/>
  <c r="B8242" i="17"/>
  <c r="A8242" i="17"/>
  <c r="B8241" i="17"/>
  <c r="A8241" i="17"/>
  <c r="B8240" i="17"/>
  <c r="A8240" i="17"/>
  <c r="B8239" i="17"/>
  <c r="A8239" i="17"/>
  <c r="B8238" i="17"/>
  <c r="A8238" i="17"/>
  <c r="B8237" i="17"/>
  <c r="A8237" i="17"/>
  <c r="B8236" i="17"/>
  <c r="A8236" i="17"/>
  <c r="B8235" i="17"/>
  <c r="A8235" i="17"/>
  <c r="A8234" i="17"/>
  <c r="A8233" i="17"/>
  <c r="A8232" i="17"/>
  <c r="A8231" i="17"/>
  <c r="B8230" i="17"/>
  <c r="A8230" i="17"/>
  <c r="B8229" i="17"/>
  <c r="A8229" i="17"/>
  <c r="A8228" i="17"/>
  <c r="B8226" i="17"/>
  <c r="A8226" i="17"/>
  <c r="B8225" i="17"/>
  <c r="A8225" i="17"/>
  <c r="A8224" i="17"/>
  <c r="A8223" i="17"/>
  <c r="A8222" i="17"/>
  <c r="A8221" i="17"/>
  <c r="A8220" i="17"/>
  <c r="B8219" i="17"/>
  <c r="A8219" i="17"/>
  <c r="B8218" i="17"/>
  <c r="A8218" i="17"/>
  <c r="B8217" i="17"/>
  <c r="A8217" i="17"/>
  <c r="B8216" i="17"/>
  <c r="A8216" i="17"/>
  <c r="B8215" i="17"/>
  <c r="A8215" i="17"/>
  <c r="B8214" i="17"/>
  <c r="A8214" i="17"/>
  <c r="B8213" i="17"/>
  <c r="A8213" i="17"/>
  <c r="B8212" i="17"/>
  <c r="A8212" i="17"/>
  <c r="B8211" i="17"/>
  <c r="A8211" i="17"/>
  <c r="B8210" i="17"/>
  <c r="A8210" i="17"/>
  <c r="B8209" i="17"/>
  <c r="A8209" i="17"/>
  <c r="B8208" i="17"/>
  <c r="A8208" i="17"/>
  <c r="B8207" i="17"/>
  <c r="A8207" i="17"/>
  <c r="B8206" i="17"/>
  <c r="A8206" i="17"/>
  <c r="B8205" i="17"/>
  <c r="B8204" i="17"/>
  <c r="B8203" i="17"/>
  <c r="A8203" i="17"/>
  <c r="B8202" i="17"/>
  <c r="A8202" i="17"/>
  <c r="A8201" i="17"/>
  <c r="B8200" i="17"/>
  <c r="A8200" i="17"/>
  <c r="B8199" i="17"/>
  <c r="A8199" i="17"/>
  <c r="B8198" i="17"/>
  <c r="A8198" i="17"/>
  <c r="B8197" i="17"/>
  <c r="A8197" i="17"/>
  <c r="B8196" i="17"/>
  <c r="A8196" i="17"/>
  <c r="B8195" i="17"/>
  <c r="A8195" i="17"/>
  <c r="B8194" i="17"/>
  <c r="A8194" i="17"/>
  <c r="A8193" i="17"/>
  <c r="B8192" i="17"/>
  <c r="A8192" i="17"/>
  <c r="A8191" i="17"/>
  <c r="B8190" i="17"/>
  <c r="A8190" i="17"/>
  <c r="B8189" i="17"/>
  <c r="A8189" i="17"/>
  <c r="B8188" i="17"/>
  <c r="A8188" i="17"/>
  <c r="B8187" i="17"/>
  <c r="A8187" i="17"/>
  <c r="B8186" i="17"/>
  <c r="A8186" i="17"/>
  <c r="B8185" i="17"/>
  <c r="A8185" i="17"/>
  <c r="B8184" i="17"/>
  <c r="A8184" i="17"/>
  <c r="B8183" i="17"/>
  <c r="A8183" i="17"/>
  <c r="B8182" i="17"/>
  <c r="A8182" i="17"/>
  <c r="B8181" i="17"/>
  <c r="A8181" i="17"/>
  <c r="A8180" i="17"/>
  <c r="B8179" i="17"/>
  <c r="A8179" i="17"/>
  <c r="B8178" i="17"/>
  <c r="A8178" i="17"/>
  <c r="B8177" i="17"/>
  <c r="A8177" i="17"/>
  <c r="B8176" i="17"/>
  <c r="A8176" i="17"/>
  <c r="B8175" i="17"/>
  <c r="A8175" i="17"/>
  <c r="B8174" i="17"/>
  <c r="A8174" i="17"/>
  <c r="B8173" i="17"/>
  <c r="A8173" i="17"/>
  <c r="B8172" i="17"/>
  <c r="A8172" i="17"/>
  <c r="B8171" i="17"/>
  <c r="A8171" i="17"/>
  <c r="B8170" i="17"/>
  <c r="A8170" i="17"/>
  <c r="B8169" i="17"/>
  <c r="A8169" i="17"/>
  <c r="B8168" i="17"/>
  <c r="A8168" i="17"/>
  <c r="B8167" i="17"/>
  <c r="A8167" i="17"/>
  <c r="B8166" i="17"/>
  <c r="A8166" i="17"/>
  <c r="B8165" i="17"/>
  <c r="A8165" i="17"/>
  <c r="B8164" i="17"/>
  <c r="A8164" i="17"/>
  <c r="B8163" i="17"/>
  <c r="A8163" i="17"/>
  <c r="B8162" i="17"/>
  <c r="A8162" i="17"/>
  <c r="B8161" i="17"/>
  <c r="A8161" i="17"/>
  <c r="B8160" i="17"/>
  <c r="A8160" i="17"/>
  <c r="B8159" i="17"/>
  <c r="A8159" i="17"/>
  <c r="B8158" i="17"/>
  <c r="A8158" i="17"/>
  <c r="B8157" i="17"/>
  <c r="A8157" i="17"/>
  <c r="A8156" i="17"/>
  <c r="B8155" i="17"/>
  <c r="A8155" i="17"/>
  <c r="A8154" i="17"/>
  <c r="B8153" i="17"/>
  <c r="A8153" i="17"/>
  <c r="B8152" i="17"/>
  <c r="A8152" i="17"/>
  <c r="B8151" i="17"/>
  <c r="A8151" i="17"/>
  <c r="A8150" i="17"/>
  <c r="A8149" i="17"/>
  <c r="B8148" i="17"/>
  <c r="A8148" i="17"/>
  <c r="B8147" i="17"/>
  <c r="A8147" i="17"/>
  <c r="A8146" i="17"/>
  <c r="A8145" i="17"/>
  <c r="A8144" i="17"/>
  <c r="A8143" i="17"/>
  <c r="B8142" i="17"/>
  <c r="A8142" i="17"/>
  <c r="B8141" i="17"/>
  <c r="A8141" i="17"/>
  <c r="A8140" i="17"/>
  <c r="B8139" i="17"/>
  <c r="A8139" i="17"/>
  <c r="B8138" i="17"/>
  <c r="B8137" i="17"/>
  <c r="A8137" i="17"/>
  <c r="A8136" i="17"/>
  <c r="B8135" i="17"/>
  <c r="B8134" i="17"/>
  <c r="A8134" i="17"/>
  <c r="B8133" i="17"/>
  <c r="A8133" i="17"/>
  <c r="B8132" i="17"/>
  <c r="A8132" i="17"/>
  <c r="B8131" i="17"/>
  <c r="A8131" i="17"/>
  <c r="A8130" i="17"/>
  <c r="A8129" i="17"/>
  <c r="B8128" i="17"/>
  <c r="A8128" i="17"/>
  <c r="A8127" i="17"/>
  <c r="B8126" i="17"/>
  <c r="A8126" i="17"/>
  <c r="B8125" i="17"/>
  <c r="A8125" i="17"/>
  <c r="B8124" i="17"/>
  <c r="A8124" i="17"/>
  <c r="B8123" i="17"/>
  <c r="A8123" i="17"/>
  <c r="B8122" i="17"/>
  <c r="A8122" i="17"/>
  <c r="B8121" i="17"/>
  <c r="A8121" i="17"/>
  <c r="A8120" i="17"/>
  <c r="B8119" i="17"/>
  <c r="A8119" i="17"/>
  <c r="B8118" i="17"/>
  <c r="A8118" i="17"/>
  <c r="B8117" i="17"/>
  <c r="A8117" i="17"/>
  <c r="B8116" i="17"/>
  <c r="A8116" i="17"/>
  <c r="B8115" i="17"/>
  <c r="B8114" i="17"/>
  <c r="A8114" i="17"/>
  <c r="B8113" i="17"/>
  <c r="A8113" i="17"/>
  <c r="B8112" i="17"/>
  <c r="A8112" i="17"/>
  <c r="B8111" i="17"/>
  <c r="A8111" i="17"/>
  <c r="B8110" i="17"/>
  <c r="A8110" i="17"/>
  <c r="B8109" i="17"/>
  <c r="A8109" i="17"/>
  <c r="A8108" i="17"/>
  <c r="A8107" i="17"/>
  <c r="B8106" i="17"/>
  <c r="A8106" i="17"/>
  <c r="A8105" i="17"/>
  <c r="B8104" i="17"/>
  <c r="A8104" i="17"/>
  <c r="B8103" i="17"/>
  <c r="A8103" i="17"/>
  <c r="B8102" i="17"/>
  <c r="A8102" i="17"/>
  <c r="A8101" i="17"/>
  <c r="A8100" i="17"/>
  <c r="A8099" i="17"/>
  <c r="A8098" i="17"/>
  <c r="A8097" i="17"/>
  <c r="B8096" i="17"/>
  <c r="A8096" i="17"/>
  <c r="B8095" i="17"/>
  <c r="A8095" i="17"/>
  <c r="B8094" i="17"/>
  <c r="A8094" i="17"/>
  <c r="A8093" i="17"/>
  <c r="A8092" i="17"/>
  <c r="B8091" i="17"/>
  <c r="A8091" i="17"/>
  <c r="B8090" i="17"/>
  <c r="A8090" i="17"/>
  <c r="A8089" i="17"/>
  <c r="B8088" i="17"/>
  <c r="A8088" i="17"/>
  <c r="B8087" i="17"/>
  <c r="A8087" i="17"/>
  <c r="B8086" i="17"/>
  <c r="A8086" i="17"/>
  <c r="B8085" i="17"/>
  <c r="A8085" i="17"/>
  <c r="B8084" i="17"/>
  <c r="A8084" i="17"/>
  <c r="B8083" i="17"/>
  <c r="A8083" i="17"/>
  <c r="B8082" i="17"/>
  <c r="A8082" i="17"/>
  <c r="B8081" i="17"/>
  <c r="A8081" i="17"/>
  <c r="B8080" i="17"/>
  <c r="A8080" i="17"/>
  <c r="B8079" i="17"/>
  <c r="A8079" i="17"/>
  <c r="B8078" i="17"/>
  <c r="A8078" i="17"/>
  <c r="B8077" i="17"/>
  <c r="A8077" i="17"/>
  <c r="B8076" i="17"/>
  <c r="A8076" i="17"/>
  <c r="B8075" i="17"/>
  <c r="A8075" i="17"/>
  <c r="B8074" i="17"/>
  <c r="A8074" i="17"/>
  <c r="B8073" i="17"/>
  <c r="A8073" i="17"/>
  <c r="B8072" i="17"/>
  <c r="A8072" i="17"/>
  <c r="B8071" i="17"/>
  <c r="A8071" i="17"/>
  <c r="A8070" i="17"/>
  <c r="B8069" i="17"/>
  <c r="A8069" i="17"/>
  <c r="B8068" i="17"/>
  <c r="A8068" i="17"/>
  <c r="A8067" i="17"/>
  <c r="A8066" i="17"/>
  <c r="B8065" i="17"/>
  <c r="A8065" i="17"/>
  <c r="B8064" i="17"/>
  <c r="A8064" i="17"/>
  <c r="A8063" i="17"/>
  <c r="B8062" i="17"/>
  <c r="A8062" i="17"/>
  <c r="B8061" i="17"/>
  <c r="A8061" i="17"/>
  <c r="B8060" i="17"/>
  <c r="A8060" i="17"/>
  <c r="B8059" i="17"/>
  <c r="A8059" i="17"/>
  <c r="B8058" i="17"/>
  <c r="A8058" i="17"/>
  <c r="B8057" i="17"/>
  <c r="A8057" i="17"/>
  <c r="B8056" i="17"/>
  <c r="A8056" i="17"/>
  <c r="B8055" i="17"/>
  <c r="A8055" i="17"/>
  <c r="B8054" i="17"/>
  <c r="A8054" i="17"/>
  <c r="B8053" i="17"/>
  <c r="A8053" i="17"/>
  <c r="A8052" i="17"/>
  <c r="A8051" i="17"/>
  <c r="A8050" i="17"/>
  <c r="B8049" i="17"/>
  <c r="A8049" i="17"/>
  <c r="B8048" i="17"/>
  <c r="A8048" i="17"/>
  <c r="B8047" i="17"/>
  <c r="A8047" i="17"/>
  <c r="B8046" i="17"/>
  <c r="A8046" i="17"/>
  <c r="B8045" i="17"/>
  <c r="A8045" i="17"/>
  <c r="B8044" i="17"/>
  <c r="A8044" i="17"/>
  <c r="B8043" i="17"/>
  <c r="A8043" i="17"/>
  <c r="B8042" i="17"/>
  <c r="A8042" i="17"/>
  <c r="B8041" i="17"/>
  <c r="A8041" i="17"/>
  <c r="B8040" i="17"/>
  <c r="A8040" i="17"/>
  <c r="B8038" i="17"/>
  <c r="A8038" i="17"/>
  <c r="B8037" i="17"/>
  <c r="A8037" i="17"/>
  <c r="B8036" i="17"/>
  <c r="A8036" i="17"/>
  <c r="B8035" i="17"/>
  <c r="A8035" i="17"/>
  <c r="B8034" i="17"/>
  <c r="A8034" i="17"/>
  <c r="B8033" i="17"/>
  <c r="A8033" i="17"/>
  <c r="B8032" i="17"/>
  <c r="A8032" i="17"/>
  <c r="B8031" i="17"/>
  <c r="A8031" i="17"/>
  <c r="B8030" i="17"/>
  <c r="A8030" i="17"/>
  <c r="B8029" i="17"/>
  <c r="A8029" i="17"/>
  <c r="A8028" i="17"/>
  <c r="B8027" i="17"/>
  <c r="A8027" i="17"/>
  <c r="B8026" i="17"/>
  <c r="A8026" i="17"/>
  <c r="B8025" i="17"/>
  <c r="A8025" i="17"/>
  <c r="B8024" i="17"/>
  <c r="A8024" i="17"/>
  <c r="A8023" i="17"/>
  <c r="B8022" i="17"/>
  <c r="A8022" i="17"/>
  <c r="B8021" i="17"/>
  <c r="A8021" i="17"/>
  <c r="B8020" i="17"/>
  <c r="A8020" i="17"/>
  <c r="B8019" i="17"/>
  <c r="A8019" i="17"/>
  <c r="B8018" i="17"/>
  <c r="A8018" i="17"/>
  <c r="B8017" i="17"/>
  <c r="A8017" i="17"/>
  <c r="B8016" i="17"/>
  <c r="A8016" i="17"/>
  <c r="A8015" i="17"/>
  <c r="A8014" i="17"/>
  <c r="B8013" i="17"/>
  <c r="A8013" i="17"/>
  <c r="A8012" i="17"/>
  <c r="A8011" i="17"/>
  <c r="B8010" i="17"/>
  <c r="A8010" i="17"/>
  <c r="B8009" i="17"/>
  <c r="A8009" i="17"/>
  <c r="B8008" i="17"/>
  <c r="A8008" i="17"/>
  <c r="B8007" i="17"/>
  <c r="A8007" i="17"/>
  <c r="B8006" i="17"/>
  <c r="A8006" i="17"/>
  <c r="A8005" i="17"/>
  <c r="A8004" i="17"/>
  <c r="A8003" i="17"/>
  <c r="A8002" i="17"/>
  <c r="B8001" i="17"/>
  <c r="A8001" i="17"/>
  <c r="B8000" i="17"/>
  <c r="A8000" i="17"/>
  <c r="B7999" i="17"/>
  <c r="A7999" i="17"/>
  <c r="B7998" i="17"/>
  <c r="A7998" i="17"/>
  <c r="B7997" i="17"/>
  <c r="A7997" i="17"/>
  <c r="B7996" i="17"/>
  <c r="A7996" i="17"/>
  <c r="B7995" i="17"/>
  <c r="A7995" i="17"/>
  <c r="A7994" i="17"/>
  <c r="B7993" i="17"/>
  <c r="A7993" i="17"/>
  <c r="B7992" i="17"/>
  <c r="A7992" i="17"/>
  <c r="B7991" i="17"/>
  <c r="A7991" i="17"/>
  <c r="B7990" i="17"/>
  <c r="A7990" i="17"/>
  <c r="B7989" i="17"/>
  <c r="A7989" i="17"/>
  <c r="A7988" i="17"/>
  <c r="B7987" i="17"/>
  <c r="A7987" i="17"/>
  <c r="B7986" i="17"/>
  <c r="A7986" i="17"/>
  <c r="B7985" i="17"/>
  <c r="A7985" i="17"/>
  <c r="B7984" i="17"/>
  <c r="A7984" i="17"/>
  <c r="B7983" i="17"/>
  <c r="A7983" i="17"/>
  <c r="B7982" i="17"/>
  <c r="A7982" i="17"/>
  <c r="A7981" i="17"/>
  <c r="B7980" i="17"/>
  <c r="A7980" i="17"/>
  <c r="B7979" i="17"/>
  <c r="A7979" i="17"/>
  <c r="A7978" i="17"/>
  <c r="B7977" i="17"/>
  <c r="A7977" i="17"/>
  <c r="A7976" i="17"/>
  <c r="B7975" i="17"/>
  <c r="A7975" i="17"/>
  <c r="B7974" i="17"/>
  <c r="A7974" i="17"/>
  <c r="B7973" i="17"/>
  <c r="A7973" i="17"/>
  <c r="B7972" i="17"/>
  <c r="A7972" i="17"/>
  <c r="B7971" i="17"/>
  <c r="A7971" i="17"/>
  <c r="A7970" i="17"/>
  <c r="B7969" i="17"/>
  <c r="A7969" i="17"/>
  <c r="B7968" i="17"/>
  <c r="A7968" i="17"/>
  <c r="B7967" i="17"/>
  <c r="A7967" i="17"/>
  <c r="B7966" i="17"/>
  <c r="A7966" i="17"/>
  <c r="B7965" i="17"/>
  <c r="A7965" i="17"/>
  <c r="B7964" i="17"/>
  <c r="A7964" i="17"/>
  <c r="B7963" i="17"/>
  <c r="A7963" i="17"/>
  <c r="B7962" i="17"/>
  <c r="A7962" i="17"/>
  <c r="B7961" i="17"/>
  <c r="A7961" i="17"/>
  <c r="B7960" i="17"/>
  <c r="A7960" i="17"/>
  <c r="B7959" i="17"/>
  <c r="A7959" i="17"/>
  <c r="B7958" i="17"/>
  <c r="A7958" i="17"/>
  <c r="B7957" i="17"/>
  <c r="A7957" i="17"/>
  <c r="B7956" i="17"/>
  <c r="A7956" i="17"/>
  <c r="A7955" i="17"/>
  <c r="A7954" i="17"/>
  <c r="B7953" i="17"/>
  <c r="A7953" i="17"/>
  <c r="A7952" i="17"/>
  <c r="B7951" i="17"/>
  <c r="A7951" i="17"/>
  <c r="B7950" i="17"/>
  <c r="A7950" i="17"/>
  <c r="B7949" i="17"/>
  <c r="A7949" i="17"/>
  <c r="B7948" i="17"/>
  <c r="A7948" i="17"/>
  <c r="A7947" i="17"/>
  <c r="B7946" i="17"/>
  <c r="A7946" i="17"/>
  <c r="A7945" i="17"/>
  <c r="A7944" i="17"/>
  <c r="A7943" i="17"/>
  <c r="A7942" i="17"/>
  <c r="A7941" i="17"/>
  <c r="A7940" i="17"/>
  <c r="B7939" i="17"/>
  <c r="A7939" i="17"/>
  <c r="B7938" i="17"/>
  <c r="A7938" i="17"/>
  <c r="A7937" i="17"/>
  <c r="A7936" i="17"/>
  <c r="A7935" i="17"/>
  <c r="A7934" i="17"/>
  <c r="A7933" i="17"/>
  <c r="B7932" i="17"/>
  <c r="A7932" i="17"/>
  <c r="B7931" i="17"/>
  <c r="A7931" i="17"/>
  <c r="B7930" i="17"/>
  <c r="A7930" i="17"/>
  <c r="B7929" i="17"/>
  <c r="A7929" i="17"/>
  <c r="A7928" i="17"/>
  <c r="A7927" i="17"/>
  <c r="A7926" i="17"/>
  <c r="A7925" i="17"/>
  <c r="A7924" i="17"/>
  <c r="A7923" i="17"/>
  <c r="A7922" i="17"/>
  <c r="A7921" i="17"/>
  <c r="A7920" i="17"/>
  <c r="B7919" i="17"/>
  <c r="A7919" i="17"/>
  <c r="B7918" i="17"/>
  <c r="A7918" i="17"/>
  <c r="A7917" i="17"/>
  <c r="A7916" i="17"/>
  <c r="B7915" i="17"/>
  <c r="A7915" i="17"/>
  <c r="A7914" i="17"/>
  <c r="A7913" i="17"/>
  <c r="B7912" i="17"/>
  <c r="A7912" i="17"/>
  <c r="B7911" i="17"/>
  <c r="A7911" i="17"/>
  <c r="A7910" i="17"/>
  <c r="B7909" i="17"/>
  <c r="A7909" i="17"/>
  <c r="B7908" i="17"/>
  <c r="A7908" i="17"/>
  <c r="A7907" i="17"/>
  <c r="A7906" i="17"/>
  <c r="B7905" i="17"/>
  <c r="A7905" i="17"/>
  <c r="A7904" i="17"/>
  <c r="B7903" i="17"/>
  <c r="A7903" i="17"/>
  <c r="B7902" i="17"/>
  <c r="A7902" i="17"/>
  <c r="B7901" i="17"/>
  <c r="A7901" i="17"/>
  <c r="B7900" i="17"/>
  <c r="A7900" i="17"/>
  <c r="A7899" i="17"/>
  <c r="B7898" i="17"/>
  <c r="A7898" i="17"/>
  <c r="B7897" i="17"/>
  <c r="A7897" i="17"/>
  <c r="A7896" i="17"/>
  <c r="B7895" i="17"/>
  <c r="A7895" i="17"/>
  <c r="B7894" i="17"/>
  <c r="A7894" i="17"/>
  <c r="B7893" i="17"/>
  <c r="A7893" i="17"/>
  <c r="B7892" i="17"/>
  <c r="A7892" i="17"/>
  <c r="B7891" i="17"/>
  <c r="A7891" i="17"/>
  <c r="B7890" i="17"/>
  <c r="A7890" i="17"/>
  <c r="B7889" i="17"/>
  <c r="A7889" i="17"/>
  <c r="B7888" i="17"/>
  <c r="A7888" i="17"/>
  <c r="B7887" i="17"/>
  <c r="A7887" i="17"/>
  <c r="B7886" i="17"/>
  <c r="A7886" i="17"/>
  <c r="B7885" i="17"/>
  <c r="A7885" i="17"/>
  <c r="A7884" i="17"/>
  <c r="B7883" i="17"/>
  <c r="A7883" i="17"/>
  <c r="B7882" i="17"/>
  <c r="A7882" i="17"/>
  <c r="B7881" i="17"/>
  <c r="A7881" i="17"/>
  <c r="B7880" i="17"/>
  <c r="A7880" i="17"/>
  <c r="B7879" i="17"/>
  <c r="A7879" i="17"/>
  <c r="A7878" i="17"/>
  <c r="B7877" i="17"/>
  <c r="A7877" i="17"/>
  <c r="A7876" i="17"/>
  <c r="A7875" i="17"/>
  <c r="B7874" i="17"/>
  <c r="A7874" i="17"/>
  <c r="B7873" i="17"/>
  <c r="A7873" i="17"/>
  <c r="B7872" i="17"/>
  <c r="A7872" i="17"/>
  <c r="B7871" i="17"/>
  <c r="A7871" i="17"/>
  <c r="B7870" i="17"/>
  <c r="A7870" i="17"/>
  <c r="B7869" i="17"/>
  <c r="A7869" i="17"/>
  <c r="B7868" i="17"/>
  <c r="A7868" i="17"/>
  <c r="A7867" i="17"/>
  <c r="B7866" i="17"/>
  <c r="A7866" i="17"/>
  <c r="A7865" i="17"/>
  <c r="B7864" i="17"/>
  <c r="A7864" i="17"/>
  <c r="A7863" i="17"/>
  <c r="A7862" i="17"/>
  <c r="A7861" i="17"/>
  <c r="A7860" i="17"/>
  <c r="A7859" i="17"/>
  <c r="B7858" i="17"/>
  <c r="A7858" i="17"/>
  <c r="B7857" i="17"/>
  <c r="A7857" i="17"/>
  <c r="A7856" i="17"/>
  <c r="A7855" i="17"/>
  <c r="A7854" i="17"/>
  <c r="A7853" i="17"/>
  <c r="B7852" i="17"/>
  <c r="A7852" i="17"/>
  <c r="B7851" i="17"/>
  <c r="A7851" i="17"/>
  <c r="B7850" i="17"/>
  <c r="A7850" i="17"/>
  <c r="A7849" i="17"/>
  <c r="B7848" i="17"/>
  <c r="A7848" i="17"/>
  <c r="B7847" i="17"/>
  <c r="A7847" i="17"/>
  <c r="B7846" i="17"/>
  <c r="A7846" i="17"/>
  <c r="A7845" i="17"/>
  <c r="B7844" i="17"/>
  <c r="A7844" i="17"/>
  <c r="B7843" i="17"/>
  <c r="A7843" i="17"/>
  <c r="B7842" i="17"/>
  <c r="A7842" i="17"/>
  <c r="B7841" i="17"/>
  <c r="A7841" i="17"/>
  <c r="A7840" i="17"/>
  <c r="A7839" i="17"/>
  <c r="B7838" i="17"/>
  <c r="A7838" i="17"/>
  <c r="B7837" i="17"/>
  <c r="A7837" i="17"/>
  <c r="B7836" i="17"/>
  <c r="A7836" i="17"/>
  <c r="B7835" i="17"/>
  <c r="A7835" i="17"/>
  <c r="B7834" i="17"/>
  <c r="A7834" i="17"/>
  <c r="B7833" i="17"/>
  <c r="A7833" i="17"/>
  <c r="B7832" i="17"/>
  <c r="A7832" i="17"/>
  <c r="A7831" i="17"/>
  <c r="B7830" i="17"/>
  <c r="A7830" i="17"/>
  <c r="B7829" i="17"/>
  <c r="A7829" i="17"/>
  <c r="A7828" i="17"/>
  <c r="B7827" i="17"/>
  <c r="A7827" i="17"/>
  <c r="B7826" i="17"/>
  <c r="A7826" i="17"/>
  <c r="A7825" i="17"/>
  <c r="B7824" i="17"/>
  <c r="A7824" i="17"/>
  <c r="A7823" i="17"/>
  <c r="A7822" i="17"/>
  <c r="B7821" i="17"/>
  <c r="A7821" i="17"/>
  <c r="B7820" i="17"/>
  <c r="A7820" i="17"/>
  <c r="B7819" i="17"/>
  <c r="A7819" i="17"/>
  <c r="B7818" i="17"/>
  <c r="A7818" i="17"/>
  <c r="B7817" i="17"/>
  <c r="A7817" i="17"/>
  <c r="A7816" i="17"/>
  <c r="B7815" i="17"/>
  <c r="A7815" i="17"/>
  <c r="B7814" i="17"/>
  <c r="A7814" i="17"/>
  <c r="B7813" i="17"/>
  <c r="A7813" i="17"/>
  <c r="B7812" i="17"/>
  <c r="A7812" i="17"/>
  <c r="B7811" i="17"/>
  <c r="A7811" i="17"/>
  <c r="B7810" i="17"/>
  <c r="A7810" i="17"/>
  <c r="B7809" i="17"/>
  <c r="A7809" i="17"/>
  <c r="A7808" i="17"/>
  <c r="B7807" i="17"/>
  <c r="A7807" i="17"/>
  <c r="B7806" i="17"/>
  <c r="A7806" i="17"/>
  <c r="B7805" i="17"/>
  <c r="A7805" i="17"/>
  <c r="B7804" i="17"/>
  <c r="A7804" i="17"/>
  <c r="A7803" i="17"/>
  <c r="B7802" i="17"/>
  <c r="A7802" i="17"/>
  <c r="A7801" i="17"/>
  <c r="A7800" i="17"/>
  <c r="B7799" i="17"/>
  <c r="A7799" i="17"/>
  <c r="B7798" i="17"/>
  <c r="A7798" i="17"/>
  <c r="B7797" i="17"/>
  <c r="A7797" i="17"/>
  <c r="B7796" i="17"/>
  <c r="A7796" i="17"/>
  <c r="B7795" i="17"/>
  <c r="A7795" i="17"/>
  <c r="A7794" i="17"/>
  <c r="B7793" i="17"/>
  <c r="A7793" i="17"/>
  <c r="B7792" i="17"/>
  <c r="A7792" i="17"/>
  <c r="B7791" i="17"/>
  <c r="A7791" i="17"/>
  <c r="A7790" i="17"/>
  <c r="B7789" i="17"/>
  <c r="A7789" i="17"/>
  <c r="B7788" i="17"/>
  <c r="A7788" i="17"/>
  <c r="B7787" i="17"/>
  <c r="A7787" i="17"/>
  <c r="B7786" i="17"/>
  <c r="A7786" i="17"/>
  <c r="B7785" i="17"/>
  <c r="A7785" i="17"/>
  <c r="B7784" i="17"/>
  <c r="A7784" i="17"/>
  <c r="B7783" i="17"/>
  <c r="A7783" i="17"/>
  <c r="B7782" i="17"/>
  <c r="A7782" i="17"/>
  <c r="B7781" i="17"/>
  <c r="A7781" i="17"/>
  <c r="B7780" i="17"/>
  <c r="A7780" i="17"/>
  <c r="B7779" i="17"/>
  <c r="A7779" i="17"/>
  <c r="B7778" i="17"/>
  <c r="A7778" i="17"/>
  <c r="B7777" i="17"/>
  <c r="A7777" i="17"/>
  <c r="B7776" i="17"/>
  <c r="A7776" i="17"/>
  <c r="B7775" i="17"/>
  <c r="A7775" i="17"/>
  <c r="B7774" i="17"/>
  <c r="A7774" i="17"/>
  <c r="B7773" i="17"/>
  <c r="A7773" i="17"/>
  <c r="B7772" i="17"/>
  <c r="A7772" i="17"/>
  <c r="B7771" i="17"/>
  <c r="A7771" i="17"/>
  <c r="B7770" i="17"/>
  <c r="A7770" i="17"/>
  <c r="B7769" i="17"/>
  <c r="A7769" i="17"/>
  <c r="A7768" i="17"/>
  <c r="B7767" i="17"/>
  <c r="A7767" i="17"/>
  <c r="B7766" i="17"/>
  <c r="A7766" i="17"/>
  <c r="B7765" i="17"/>
  <c r="A7765" i="17"/>
  <c r="B7764" i="17"/>
  <c r="A7764" i="17"/>
  <c r="B7763" i="17"/>
  <c r="A7763" i="17"/>
  <c r="B7762" i="17"/>
  <c r="A7762" i="17"/>
  <c r="B7761" i="17"/>
  <c r="A7761" i="17"/>
  <c r="B7760" i="17"/>
  <c r="A7760" i="17"/>
  <c r="B7759" i="17"/>
  <c r="A7759" i="17"/>
  <c r="B7758" i="17"/>
  <c r="A7758" i="17"/>
  <c r="B7757" i="17"/>
  <c r="A7757" i="17"/>
  <c r="B7756" i="17"/>
  <c r="A7756" i="17"/>
  <c r="B7755" i="17"/>
  <c r="A7755" i="17"/>
  <c r="B7754" i="17"/>
  <c r="A7754" i="17"/>
  <c r="B7753" i="17"/>
  <c r="A7753" i="17"/>
  <c r="B7752" i="17"/>
  <c r="A7752" i="17"/>
  <c r="A7751" i="17"/>
  <c r="B7750" i="17"/>
  <c r="A7750" i="17"/>
  <c r="B7749" i="17"/>
  <c r="A7749" i="17"/>
  <c r="A7748" i="17"/>
  <c r="A7747" i="17"/>
  <c r="B7746" i="17"/>
  <c r="A7746" i="17"/>
  <c r="B7745" i="17"/>
  <c r="A7745" i="17"/>
  <c r="B7744" i="17"/>
  <c r="A7744" i="17"/>
  <c r="A7743" i="17"/>
  <c r="B7742" i="17"/>
  <c r="A7742" i="17"/>
  <c r="B7741" i="17"/>
  <c r="A7741" i="17"/>
  <c r="B7740" i="17"/>
  <c r="A7740" i="17"/>
  <c r="A7739" i="17"/>
  <c r="A7738" i="17"/>
  <c r="A7737" i="17"/>
  <c r="B7736" i="17"/>
  <c r="A7736" i="17"/>
  <c r="A7735" i="17"/>
  <c r="B7734" i="17"/>
  <c r="A7734" i="17"/>
  <c r="A7733" i="17"/>
  <c r="A7732" i="17"/>
  <c r="B7731" i="17"/>
  <c r="A7731" i="17"/>
  <c r="A7730" i="17"/>
  <c r="B7729" i="17"/>
  <c r="A7729" i="17"/>
  <c r="B7728" i="17"/>
  <c r="A7728" i="17"/>
  <c r="B7727" i="17"/>
  <c r="A7727" i="17"/>
  <c r="B7726" i="17"/>
  <c r="A7726" i="17"/>
  <c r="B7725" i="17"/>
  <c r="A7725" i="17"/>
  <c r="A7724" i="17"/>
  <c r="A7723" i="17"/>
  <c r="A7722" i="17"/>
  <c r="B7721" i="17"/>
  <c r="A7721" i="17"/>
  <c r="B7720" i="17"/>
  <c r="A7720" i="17"/>
  <c r="B7719" i="17"/>
  <c r="A7719" i="17"/>
  <c r="B7718" i="17"/>
  <c r="A7718" i="17"/>
  <c r="B7717" i="17"/>
  <c r="A7717" i="17"/>
  <c r="B7716" i="17"/>
  <c r="A7716" i="17"/>
  <c r="B7715" i="17"/>
  <c r="A7715" i="17"/>
  <c r="B7714" i="17"/>
  <c r="A7714" i="17"/>
  <c r="B7713" i="17"/>
  <c r="A7713" i="17"/>
  <c r="B7712" i="17"/>
  <c r="A7712" i="17"/>
  <c r="B7711" i="17"/>
  <c r="A7711" i="17"/>
  <c r="A7710" i="17"/>
  <c r="A7709" i="17"/>
  <c r="B7708" i="17"/>
  <c r="A7708" i="17"/>
  <c r="A7707" i="17"/>
  <c r="A7706" i="17"/>
  <c r="A7705" i="17"/>
  <c r="B7704" i="17"/>
  <c r="A7704" i="17"/>
  <c r="B7703" i="17"/>
  <c r="A7703" i="17"/>
  <c r="B7702" i="17"/>
  <c r="A7702" i="17"/>
  <c r="B7701" i="17"/>
  <c r="A7701" i="17"/>
  <c r="A7700" i="17"/>
  <c r="A7699" i="17"/>
  <c r="A7698" i="17"/>
  <c r="A7697" i="17"/>
  <c r="B7696" i="17"/>
  <c r="A7696" i="17"/>
  <c r="A7695" i="17"/>
  <c r="A7694" i="17"/>
  <c r="B7693" i="17"/>
  <c r="A7693" i="17"/>
  <c r="A7692" i="17"/>
  <c r="A7691" i="17"/>
  <c r="A7690" i="17"/>
  <c r="B7689" i="17"/>
  <c r="A7689" i="17"/>
  <c r="B7688" i="17"/>
  <c r="A7688" i="17"/>
  <c r="A7687" i="17"/>
  <c r="B7686" i="17"/>
  <c r="A7686" i="17"/>
  <c r="B7685" i="17"/>
  <c r="A7685" i="17"/>
  <c r="B7684" i="17"/>
  <c r="A7684" i="17"/>
  <c r="A7683" i="17"/>
  <c r="B7682" i="17"/>
  <c r="A7682" i="17"/>
  <c r="B7681" i="17"/>
  <c r="A7681" i="17"/>
  <c r="B7680" i="17"/>
  <c r="A7680" i="17"/>
  <c r="B7679" i="17"/>
  <c r="A7679" i="17"/>
  <c r="B7678" i="17"/>
  <c r="A7678" i="17"/>
  <c r="B7677" i="17"/>
  <c r="A7677" i="17"/>
  <c r="A7676" i="17"/>
  <c r="B7675" i="17"/>
  <c r="A7675" i="17"/>
  <c r="B7674" i="17"/>
  <c r="A7674" i="17"/>
  <c r="B7673" i="17"/>
  <c r="A7673" i="17"/>
  <c r="B7672" i="17"/>
  <c r="A7672" i="17"/>
  <c r="B7671" i="17"/>
  <c r="A7671" i="17"/>
  <c r="B7670" i="17"/>
  <c r="A7670" i="17"/>
  <c r="B7669" i="17"/>
  <c r="A7669" i="17"/>
  <c r="A7668" i="17"/>
  <c r="B7667" i="17"/>
  <c r="A7667" i="17"/>
  <c r="B7666" i="17"/>
  <c r="A7666" i="17"/>
  <c r="B7665" i="17"/>
  <c r="A7665" i="17"/>
  <c r="B7663" i="17"/>
  <c r="A7663" i="17"/>
  <c r="B7662" i="17"/>
  <c r="A7662" i="17"/>
  <c r="A7661" i="17"/>
  <c r="B7660" i="17"/>
  <c r="A7660" i="17"/>
  <c r="B7659" i="17"/>
  <c r="A7659" i="17"/>
  <c r="B7658" i="17"/>
  <c r="A7658" i="17"/>
  <c r="A7657" i="17"/>
  <c r="B7656" i="17"/>
  <c r="A7656" i="17"/>
  <c r="B7655" i="17"/>
  <c r="A7655" i="17"/>
  <c r="B7654" i="17"/>
  <c r="A7654" i="17"/>
  <c r="B7653" i="17"/>
  <c r="A7653" i="17"/>
  <c r="B7652" i="17"/>
  <c r="A7652" i="17"/>
  <c r="B7651" i="17"/>
  <c r="A7651" i="17"/>
  <c r="B7650" i="17"/>
  <c r="A7650" i="17"/>
  <c r="B7649" i="17"/>
  <c r="A7649" i="17"/>
  <c r="B7648" i="17"/>
  <c r="A7648" i="17"/>
  <c r="B7647" i="17"/>
  <c r="A7647" i="17"/>
  <c r="B7646" i="17"/>
  <c r="A7646" i="17"/>
  <c r="A7645" i="17"/>
  <c r="B7644" i="17"/>
  <c r="A7644" i="17"/>
  <c r="B7643" i="17"/>
  <c r="A7643" i="17"/>
  <c r="B7642" i="17"/>
  <c r="A7642" i="17"/>
  <c r="B7641" i="17"/>
  <c r="A7641" i="17"/>
  <c r="B7640" i="17"/>
  <c r="A7640" i="17"/>
  <c r="B7639" i="17"/>
  <c r="A7639" i="17"/>
  <c r="B7638" i="17"/>
  <c r="A7638" i="17"/>
  <c r="B7637" i="17"/>
  <c r="A7637" i="17"/>
  <c r="B7636" i="17"/>
  <c r="A7636" i="17"/>
  <c r="A7635" i="17"/>
  <c r="A7634" i="17"/>
  <c r="B7633" i="17"/>
  <c r="A7633" i="17"/>
  <c r="B7632" i="17"/>
  <c r="A7632" i="17"/>
  <c r="B7631" i="17"/>
  <c r="A7631" i="17"/>
  <c r="A7630" i="17"/>
  <c r="B7629" i="17"/>
  <c r="A7629" i="17"/>
  <c r="B7628" i="17"/>
  <c r="A7628" i="17"/>
  <c r="A7627" i="17"/>
  <c r="A7626" i="17"/>
  <c r="B7625" i="17"/>
  <c r="A7625" i="17"/>
  <c r="A7624" i="17"/>
  <c r="B7623" i="17"/>
  <c r="A7623" i="17"/>
  <c r="A7622" i="17"/>
  <c r="B7621" i="17"/>
  <c r="A7621" i="17"/>
  <c r="B7620" i="17"/>
  <c r="A7620" i="17"/>
  <c r="B7619" i="17"/>
  <c r="A7619" i="17"/>
  <c r="B7618" i="17"/>
  <c r="A7618" i="17"/>
  <c r="B7617" i="17"/>
  <c r="A7617" i="17"/>
  <c r="B7616" i="17"/>
  <c r="A7616" i="17"/>
  <c r="B7615" i="17"/>
  <c r="A7615" i="17"/>
  <c r="A7614" i="17"/>
  <c r="A7613" i="17"/>
  <c r="A7612" i="17"/>
  <c r="B7611" i="17"/>
  <c r="A7611" i="17"/>
  <c r="B7610" i="17"/>
  <c r="A7610" i="17"/>
  <c r="B7609" i="17"/>
  <c r="A7609" i="17"/>
  <c r="B7608" i="17"/>
  <c r="A7608" i="17"/>
  <c r="B7607" i="17"/>
  <c r="B7606" i="17"/>
  <c r="B7605" i="17"/>
  <c r="A7605" i="17"/>
  <c r="B7604" i="17"/>
  <c r="A7604" i="17"/>
  <c r="B7603" i="17"/>
  <c r="A7603" i="17"/>
  <c r="B7602" i="17"/>
  <c r="A7602" i="17"/>
  <c r="A7601" i="17"/>
  <c r="B7600" i="17"/>
  <c r="A7600" i="17"/>
  <c r="A7599" i="17"/>
  <c r="A7598" i="17"/>
  <c r="B7597" i="17"/>
  <c r="A7597" i="17"/>
  <c r="B7596" i="17"/>
  <c r="A7596" i="17"/>
  <c r="B7595" i="17"/>
  <c r="A7595" i="17"/>
  <c r="B7594" i="17"/>
  <c r="A7594" i="17"/>
  <c r="B7593" i="17"/>
  <c r="A7593" i="17"/>
  <c r="B7592" i="17"/>
  <c r="A7592" i="17"/>
  <c r="B7591" i="17"/>
  <c r="A7591" i="17"/>
  <c r="A7590" i="17"/>
  <c r="B7589" i="17"/>
  <c r="A7589" i="17"/>
  <c r="B7588" i="17"/>
  <c r="A7588" i="17"/>
  <c r="B7587" i="17"/>
  <c r="A7587" i="17"/>
  <c r="B7586" i="17"/>
  <c r="A7586" i="17"/>
  <c r="B7585" i="17"/>
  <c r="A7585" i="17"/>
  <c r="B7584" i="17"/>
  <c r="A7584" i="17"/>
  <c r="B7583" i="17"/>
  <c r="A7583" i="17"/>
  <c r="B7582" i="17"/>
  <c r="A7582" i="17"/>
  <c r="B7581" i="17"/>
  <c r="A7581" i="17"/>
  <c r="B7580" i="17"/>
  <c r="A7580" i="17"/>
  <c r="B7579" i="17"/>
  <c r="A7579" i="17"/>
  <c r="A7578" i="17"/>
  <c r="A7577" i="17"/>
  <c r="A7576" i="17"/>
  <c r="B7575" i="17"/>
  <c r="A7575" i="17"/>
  <c r="B7574" i="17"/>
  <c r="A7574" i="17"/>
  <c r="B7573" i="17"/>
  <c r="A7573" i="17"/>
  <c r="B7572" i="17"/>
  <c r="A7572" i="17"/>
  <c r="A7571" i="17"/>
  <c r="B7570" i="17"/>
  <c r="A7570" i="17"/>
  <c r="A7569" i="17"/>
  <c r="A7568" i="17"/>
  <c r="B7567" i="17"/>
  <c r="A7567" i="17"/>
  <c r="A7566" i="17"/>
  <c r="A7565" i="17"/>
  <c r="A7564" i="17"/>
  <c r="B7563" i="17"/>
  <c r="A7563" i="17"/>
  <c r="A7562" i="17"/>
  <c r="B7561" i="17"/>
  <c r="A7561" i="17"/>
  <c r="B7560" i="17"/>
  <c r="A7560" i="17"/>
  <c r="B7559" i="17"/>
  <c r="A7559" i="17"/>
  <c r="B7558" i="17"/>
  <c r="A7558" i="17"/>
  <c r="A7557" i="17"/>
  <c r="A7556" i="17"/>
  <c r="A7555" i="17"/>
  <c r="A7554" i="17"/>
  <c r="A7553" i="17"/>
  <c r="A7552" i="17"/>
  <c r="A7551" i="17"/>
  <c r="A7550" i="17"/>
  <c r="A7549" i="17"/>
  <c r="A7548" i="17"/>
  <c r="A7547" i="17"/>
  <c r="A7546" i="17"/>
  <c r="A7545" i="17"/>
  <c r="A7544" i="17"/>
  <c r="A7543" i="17"/>
  <c r="A7542" i="17"/>
  <c r="A7541" i="17"/>
  <c r="B7540" i="17"/>
  <c r="A7540" i="17"/>
  <c r="A7539" i="17"/>
  <c r="A7538" i="17"/>
  <c r="B7537" i="17"/>
  <c r="A7537" i="17"/>
  <c r="B7536" i="17"/>
  <c r="A7536" i="17"/>
  <c r="B7535" i="17"/>
  <c r="A7535" i="17"/>
  <c r="B7534" i="17"/>
  <c r="A7534" i="17"/>
  <c r="A7533" i="17"/>
  <c r="B7532" i="17"/>
  <c r="A7532" i="17"/>
  <c r="A7531" i="17"/>
  <c r="A7530" i="17"/>
  <c r="A7529" i="17"/>
  <c r="B7528" i="17"/>
  <c r="A7528" i="17"/>
  <c r="A7527" i="17"/>
  <c r="A7526" i="17"/>
  <c r="B7525" i="17"/>
  <c r="A7525" i="17"/>
  <c r="A7524" i="17"/>
  <c r="A7523" i="17"/>
  <c r="A7522" i="17"/>
  <c r="B7521" i="17"/>
  <c r="A7521" i="17"/>
  <c r="B7520" i="17"/>
  <c r="A7520" i="17"/>
  <c r="B7519" i="17"/>
  <c r="A7519" i="17"/>
  <c r="B7518" i="17"/>
  <c r="A7518" i="17"/>
  <c r="A7517" i="17"/>
  <c r="A7516" i="17"/>
  <c r="B7515" i="17"/>
  <c r="A7515" i="17"/>
  <c r="B7514" i="17"/>
  <c r="A7514" i="17"/>
  <c r="A7513" i="17"/>
  <c r="B7512" i="17"/>
  <c r="A7512" i="17"/>
  <c r="B7511" i="17"/>
  <c r="A7511" i="17"/>
  <c r="B7510" i="17"/>
  <c r="A7510" i="17"/>
  <c r="B7509" i="17"/>
  <c r="A7509" i="17"/>
  <c r="B7508" i="17"/>
  <c r="A7508" i="17"/>
  <c r="B7507" i="17"/>
  <c r="A7507" i="17"/>
  <c r="A7506" i="17"/>
  <c r="A7505" i="17"/>
  <c r="B7504" i="17"/>
  <c r="A7504" i="17"/>
  <c r="B7503" i="17"/>
  <c r="A7503" i="17"/>
  <c r="B7502" i="17"/>
  <c r="A7502" i="17"/>
  <c r="A7501" i="17"/>
  <c r="B7500" i="17"/>
  <c r="A7500" i="17"/>
  <c r="B7499" i="17"/>
  <c r="A7499" i="17"/>
  <c r="B7498" i="17"/>
  <c r="A7498" i="17"/>
  <c r="B7497" i="17"/>
  <c r="A7497" i="17"/>
  <c r="A7496" i="17"/>
  <c r="B7495" i="17"/>
  <c r="A7495" i="17"/>
  <c r="B7494" i="17"/>
  <c r="A7494" i="17"/>
  <c r="B7493" i="17"/>
  <c r="A7493" i="17"/>
  <c r="A7492" i="17"/>
  <c r="A7491" i="17"/>
  <c r="A7490" i="17"/>
  <c r="A7489" i="17"/>
  <c r="B7488" i="17"/>
  <c r="A7488" i="17"/>
  <c r="B7487" i="17"/>
  <c r="A7487" i="17"/>
  <c r="B7486" i="17"/>
  <c r="A7486" i="17"/>
  <c r="B7485" i="17"/>
  <c r="A7485" i="17"/>
  <c r="B7484" i="17"/>
  <c r="A7484" i="17"/>
  <c r="B7483" i="17"/>
  <c r="A7483" i="17"/>
  <c r="B7482" i="17"/>
  <c r="A7482" i="17"/>
  <c r="B7481" i="17"/>
  <c r="A7481" i="17"/>
  <c r="A7480" i="17"/>
  <c r="B7479" i="17"/>
  <c r="A7479" i="17"/>
  <c r="B7478" i="17"/>
  <c r="A7478" i="17"/>
  <c r="B7477" i="17"/>
  <c r="A7477" i="17"/>
  <c r="A7476" i="17"/>
  <c r="A7475" i="17"/>
  <c r="A7474" i="17"/>
  <c r="B7473" i="17"/>
  <c r="A7473" i="17"/>
  <c r="B7472" i="17"/>
  <c r="A7472" i="17"/>
  <c r="A7471" i="17"/>
  <c r="B7470" i="17"/>
  <c r="A7470" i="17"/>
  <c r="B7469" i="17"/>
  <c r="A7469" i="17"/>
  <c r="B7468" i="17"/>
  <c r="A7468" i="17"/>
  <c r="B7467" i="17"/>
  <c r="A7467" i="17"/>
  <c r="B7466" i="17"/>
  <c r="A7466" i="17"/>
  <c r="B7465" i="17"/>
  <c r="A7465" i="17"/>
  <c r="B7464" i="17"/>
  <c r="A7464" i="17"/>
  <c r="B7463" i="17"/>
  <c r="A7463" i="17"/>
  <c r="B7462" i="17"/>
  <c r="A7462" i="17"/>
  <c r="A7461" i="17"/>
  <c r="B7460" i="17"/>
  <c r="A7460" i="17"/>
  <c r="B7459" i="17"/>
  <c r="A7459" i="17"/>
  <c r="B7458" i="17"/>
  <c r="A7458" i="17"/>
  <c r="B7457" i="17"/>
  <c r="A7457" i="17"/>
  <c r="B7456" i="17"/>
  <c r="A7456" i="17"/>
  <c r="B7455" i="17"/>
  <c r="A7455" i="17"/>
  <c r="B7454" i="17"/>
  <c r="A7454" i="17"/>
  <c r="B7453" i="17"/>
  <c r="A7453" i="17"/>
  <c r="B7452" i="17"/>
  <c r="A7452" i="17"/>
  <c r="B7451" i="17"/>
  <c r="A7451" i="17"/>
  <c r="B7450" i="17"/>
  <c r="A7450" i="17"/>
  <c r="B7448" i="17"/>
  <c r="A7448" i="17"/>
  <c r="B7447" i="17"/>
  <c r="A7447" i="17"/>
  <c r="B7446" i="17"/>
  <c r="A7446" i="17"/>
  <c r="B7445" i="17"/>
  <c r="A7445" i="17"/>
  <c r="B7444" i="17"/>
  <c r="A7444" i="17"/>
  <c r="B7443" i="17"/>
  <c r="A7443" i="17"/>
  <c r="A7442" i="17"/>
  <c r="B7441" i="17"/>
  <c r="A7441" i="17"/>
  <c r="B7440" i="17"/>
  <c r="A7440" i="17"/>
  <c r="A7439" i="17"/>
  <c r="B7438" i="17"/>
  <c r="A7438" i="17"/>
  <c r="B7437" i="17"/>
  <c r="A7437" i="17"/>
  <c r="B7436" i="17"/>
  <c r="A7436" i="17"/>
  <c r="B7435" i="17"/>
  <c r="A7435" i="17"/>
  <c r="B7434" i="17"/>
  <c r="A7434" i="17"/>
  <c r="B7433" i="17"/>
  <c r="A7433" i="17"/>
  <c r="B7432" i="17"/>
  <c r="A7432" i="17"/>
  <c r="A7431" i="17"/>
  <c r="A7430" i="17"/>
  <c r="A7429" i="17"/>
  <c r="B7428" i="17"/>
  <c r="A7428" i="17"/>
  <c r="A7427" i="17"/>
  <c r="B7426" i="17"/>
  <c r="A7426" i="17"/>
  <c r="A7425" i="17"/>
  <c r="B7424" i="17"/>
  <c r="A7424" i="17"/>
  <c r="A7423" i="17"/>
  <c r="B7422" i="17"/>
  <c r="A7422" i="17"/>
  <c r="B7421" i="17"/>
  <c r="A7421" i="17"/>
  <c r="B7420" i="17"/>
  <c r="A7420" i="17"/>
  <c r="A7419" i="17"/>
  <c r="A7418" i="17"/>
  <c r="A7417" i="17"/>
  <c r="B7416" i="17"/>
  <c r="A7416" i="17"/>
  <c r="B7415" i="17"/>
  <c r="A7415" i="17"/>
  <c r="A7414" i="17"/>
  <c r="B7413" i="17"/>
  <c r="A7413" i="17"/>
  <c r="A7412" i="17"/>
  <c r="B7411" i="17"/>
  <c r="A7411" i="17"/>
  <c r="B7410" i="17"/>
  <c r="A7410" i="17"/>
  <c r="B7409" i="17"/>
  <c r="A7409" i="17"/>
  <c r="B7408" i="17"/>
  <c r="A7408" i="17"/>
  <c r="A7407" i="17"/>
  <c r="A7406" i="17"/>
  <c r="A7404" i="17"/>
  <c r="B7403" i="17"/>
  <c r="A7403" i="17"/>
  <c r="B7402" i="17"/>
  <c r="A7402" i="17"/>
  <c r="B7401" i="17"/>
  <c r="A7401" i="17"/>
  <c r="B7400" i="17"/>
  <c r="A7400" i="17"/>
  <c r="B7399" i="17"/>
  <c r="A7399" i="17"/>
  <c r="B7398" i="17"/>
  <c r="A7398" i="17"/>
  <c r="B7397" i="17"/>
  <c r="A7397" i="17"/>
  <c r="B7396" i="17"/>
  <c r="A7396" i="17"/>
  <c r="B7395" i="17"/>
  <c r="A7395" i="17"/>
  <c r="B7394" i="17"/>
  <c r="A7394" i="17"/>
  <c r="A7393" i="17"/>
  <c r="A7392" i="17"/>
  <c r="A7391" i="17"/>
  <c r="B7390" i="17"/>
  <c r="A7390" i="17"/>
  <c r="B7389" i="17"/>
  <c r="A7389" i="17"/>
  <c r="A7388" i="17"/>
  <c r="A7387" i="17"/>
  <c r="A7386" i="17"/>
  <c r="A7385" i="17"/>
  <c r="A7384" i="17"/>
  <c r="B7383" i="17"/>
  <c r="A7383" i="17"/>
  <c r="A7382" i="17"/>
  <c r="B7381" i="17"/>
  <c r="A7381" i="17"/>
  <c r="B7380" i="17"/>
  <c r="A7380" i="17"/>
  <c r="A7379" i="17"/>
  <c r="B7378" i="17"/>
  <c r="A7378" i="17"/>
  <c r="B7377" i="17"/>
  <c r="A7377" i="17"/>
  <c r="B7376" i="17"/>
  <c r="A7376" i="17"/>
  <c r="B7375" i="17"/>
  <c r="A7375" i="17"/>
  <c r="B7374" i="17"/>
  <c r="A7374" i="17"/>
  <c r="B7373" i="17"/>
  <c r="A7373" i="17"/>
  <c r="A7372" i="17"/>
  <c r="A7371" i="17"/>
  <c r="B7370" i="17"/>
  <c r="A7370" i="17"/>
  <c r="B7369" i="17"/>
  <c r="A7369" i="17"/>
  <c r="B7368" i="17"/>
  <c r="A7368" i="17"/>
  <c r="A7367" i="17"/>
  <c r="B7366" i="17"/>
  <c r="A7366" i="17"/>
  <c r="B7365" i="17"/>
  <c r="A7365" i="17"/>
  <c r="A7364" i="17"/>
  <c r="A7363" i="17"/>
  <c r="A7362" i="17"/>
  <c r="A7361" i="17"/>
  <c r="A7360" i="17"/>
  <c r="B7359" i="17"/>
  <c r="A7359" i="17"/>
  <c r="B7358" i="17"/>
  <c r="A7358" i="17"/>
  <c r="B7357" i="17"/>
  <c r="A7357" i="17"/>
  <c r="B7356" i="17"/>
  <c r="A7356" i="17"/>
  <c r="B7355" i="17"/>
  <c r="A7355" i="17"/>
  <c r="B7354" i="17"/>
  <c r="A7354" i="17"/>
  <c r="A7353" i="17"/>
  <c r="A7352" i="17"/>
  <c r="B7351" i="17"/>
  <c r="A7351" i="17"/>
  <c r="B7350" i="17"/>
  <c r="A7350" i="17"/>
  <c r="B7349" i="17"/>
  <c r="A7349" i="17"/>
  <c r="A7348" i="17"/>
  <c r="A7347" i="17"/>
  <c r="A7346" i="17"/>
  <c r="A7345" i="17"/>
  <c r="B7344" i="17"/>
  <c r="A7344" i="17"/>
  <c r="B7343" i="17"/>
  <c r="A7343" i="17"/>
  <c r="B7342" i="17"/>
  <c r="A7342" i="17"/>
  <c r="B7341" i="17"/>
  <c r="A7341" i="17"/>
  <c r="B7340" i="17"/>
  <c r="A7340" i="17"/>
  <c r="A7339" i="17"/>
  <c r="A7338" i="17"/>
  <c r="A7337" i="17"/>
  <c r="A7336" i="17"/>
  <c r="A7335" i="17"/>
  <c r="A7334" i="17"/>
  <c r="B7333" i="17"/>
  <c r="A7333" i="17"/>
  <c r="B7332" i="17"/>
  <c r="A7332" i="17"/>
  <c r="B7331" i="17"/>
  <c r="A7331" i="17"/>
  <c r="B7330" i="17"/>
  <c r="A7330" i="17"/>
  <c r="B7329" i="17"/>
  <c r="A7329" i="17"/>
  <c r="B7328" i="17"/>
  <c r="A7328" i="17"/>
  <c r="A7327" i="17"/>
  <c r="B7326" i="17"/>
  <c r="A7326" i="17"/>
  <c r="A7325" i="17"/>
  <c r="B7323" i="17"/>
  <c r="A7323" i="17"/>
  <c r="A7322" i="17"/>
  <c r="A7321" i="17"/>
  <c r="B7320" i="17"/>
  <c r="A7320" i="17"/>
  <c r="B7319" i="17"/>
  <c r="A7319" i="17"/>
  <c r="A7318" i="17"/>
  <c r="B7317" i="17"/>
  <c r="A7317" i="17"/>
  <c r="B7316" i="17"/>
  <c r="A7316" i="17"/>
  <c r="B7315" i="17"/>
  <c r="A7315" i="17"/>
  <c r="B7314" i="17"/>
  <c r="A7314" i="17"/>
  <c r="B7313" i="17"/>
  <c r="A7313" i="17"/>
  <c r="B7312" i="17"/>
  <c r="A7312" i="17"/>
  <c r="B7311" i="17"/>
  <c r="A7311" i="17"/>
  <c r="A7310" i="17"/>
  <c r="A7309" i="17"/>
  <c r="A7308" i="17"/>
  <c r="A7307" i="17"/>
  <c r="A7306" i="17"/>
  <c r="B7305" i="17"/>
  <c r="A7305" i="17"/>
  <c r="B7304" i="17"/>
  <c r="A7304" i="17"/>
  <c r="B7303" i="17"/>
  <c r="A7303" i="17"/>
  <c r="A7302" i="17"/>
  <c r="A7301" i="17"/>
  <c r="A7300" i="17"/>
  <c r="A7299" i="17"/>
  <c r="A7298" i="17"/>
  <c r="B7297" i="17"/>
  <c r="A7297" i="17"/>
  <c r="B7296" i="17"/>
  <c r="A7296" i="17"/>
  <c r="B7295" i="17"/>
  <c r="A7295" i="17"/>
  <c r="A7294" i="17"/>
  <c r="A7293" i="17"/>
  <c r="B7292" i="17"/>
  <c r="A7292" i="17"/>
  <c r="B7291" i="17"/>
  <c r="A7291" i="17"/>
  <c r="B7290" i="17"/>
  <c r="A7290" i="17"/>
  <c r="B7289" i="17"/>
  <c r="A7289" i="17"/>
  <c r="B7288" i="17"/>
  <c r="A7288" i="17"/>
  <c r="A7287" i="17"/>
  <c r="A7286" i="17"/>
  <c r="B7285" i="17"/>
  <c r="A7285" i="17"/>
  <c r="A7284" i="17"/>
  <c r="A7283" i="17"/>
  <c r="A7282" i="17"/>
  <c r="A7281" i="17"/>
  <c r="B7280" i="17"/>
  <c r="A7280" i="17"/>
  <c r="B7279" i="17"/>
  <c r="A7279" i="17"/>
  <c r="A7278" i="17"/>
  <c r="A7277" i="17"/>
  <c r="A7276" i="17"/>
  <c r="B7275" i="17"/>
  <c r="A7275" i="17"/>
  <c r="A7274" i="17"/>
  <c r="A7273" i="17"/>
  <c r="B7272" i="17"/>
  <c r="A7272" i="17"/>
  <c r="B7271" i="17"/>
  <c r="A7271" i="17"/>
  <c r="B7270" i="17"/>
  <c r="A7270" i="17"/>
  <c r="B7269" i="17"/>
  <c r="A7269" i="17"/>
  <c r="B7268" i="17"/>
  <c r="A7268" i="17"/>
  <c r="B7267" i="17"/>
  <c r="A7267" i="17"/>
  <c r="B7266" i="17"/>
  <c r="A7266" i="17"/>
  <c r="B7265" i="17"/>
  <c r="A7265" i="17"/>
  <c r="B7264" i="17"/>
  <c r="A7264" i="17"/>
  <c r="B7263" i="17"/>
  <c r="A7263" i="17"/>
  <c r="B7262" i="17"/>
  <c r="A7262" i="17"/>
  <c r="B7261" i="17"/>
  <c r="A7261" i="17"/>
  <c r="A7260" i="17"/>
  <c r="A7259" i="17"/>
  <c r="A7258" i="17"/>
  <c r="B7257" i="17"/>
  <c r="A7257" i="17"/>
  <c r="B7256" i="17"/>
  <c r="A7256" i="17"/>
  <c r="B7255" i="17"/>
  <c r="A7255" i="17"/>
  <c r="B7254" i="17"/>
  <c r="A7254" i="17"/>
  <c r="B7253" i="17"/>
  <c r="A7253" i="17"/>
  <c r="B7252" i="17"/>
  <c r="A7252" i="17"/>
  <c r="A7251" i="17"/>
  <c r="B7250" i="17"/>
  <c r="A7250" i="17"/>
  <c r="B7249" i="17"/>
  <c r="A7249" i="17"/>
  <c r="A7248" i="17"/>
  <c r="B7247" i="17"/>
  <c r="A7247" i="17"/>
  <c r="B7246" i="17"/>
  <c r="A7246" i="17"/>
  <c r="A7245" i="17"/>
  <c r="A7244" i="17"/>
  <c r="A7243" i="17"/>
  <c r="A7242" i="17"/>
  <c r="B7241" i="17"/>
  <c r="A7241" i="17"/>
  <c r="B7240" i="17"/>
  <c r="A7240" i="17"/>
  <c r="B7239" i="17"/>
  <c r="A7239" i="17"/>
  <c r="B7238" i="17"/>
  <c r="A7238" i="17"/>
  <c r="B7237" i="17"/>
  <c r="A7237" i="17"/>
  <c r="B7236" i="17"/>
  <c r="A7236" i="17"/>
  <c r="B7235" i="17"/>
  <c r="A7235" i="17"/>
  <c r="B7234" i="17"/>
  <c r="A7234" i="17"/>
  <c r="B7233" i="17"/>
  <c r="A7233" i="17"/>
  <c r="A7232" i="17"/>
  <c r="A7231" i="17"/>
  <c r="A7230" i="17"/>
  <c r="A7229" i="17"/>
  <c r="A7228" i="17"/>
  <c r="A7227" i="17"/>
  <c r="A7226" i="17"/>
  <c r="A7225" i="17"/>
  <c r="A7224" i="17"/>
  <c r="B7223" i="17"/>
  <c r="A7223" i="17"/>
  <c r="B7222" i="17"/>
  <c r="A7222" i="17"/>
  <c r="B7221" i="17"/>
  <c r="A7221" i="17"/>
  <c r="B7220" i="17"/>
  <c r="A7220" i="17"/>
  <c r="A7219" i="17"/>
  <c r="B7218" i="17"/>
  <c r="A7218" i="17"/>
  <c r="B7217" i="17"/>
  <c r="A7217" i="17"/>
  <c r="A7216" i="17"/>
  <c r="B7215" i="17"/>
  <c r="A7215" i="17"/>
  <c r="A7214" i="17"/>
  <c r="A7213" i="17"/>
  <c r="A7212" i="17"/>
  <c r="A7211" i="17"/>
  <c r="A7210" i="17"/>
  <c r="B7209" i="17"/>
  <c r="A7209" i="17"/>
  <c r="B7208" i="17"/>
  <c r="A7208" i="17"/>
  <c r="B7207" i="17"/>
  <c r="A7207" i="17"/>
  <c r="B7206" i="17"/>
  <c r="A7206" i="17"/>
  <c r="B7205" i="17"/>
  <c r="A7205" i="17"/>
  <c r="A7204" i="17"/>
  <c r="A7203" i="17"/>
  <c r="A7202" i="17"/>
  <c r="A7201" i="17"/>
  <c r="A7200" i="17"/>
  <c r="A7199" i="17"/>
  <c r="B7198" i="17"/>
  <c r="A7198" i="17"/>
  <c r="A7197" i="17"/>
  <c r="B7196" i="17"/>
  <c r="A7196" i="17"/>
  <c r="B7195" i="17"/>
  <c r="A7195" i="17"/>
  <c r="B7194" i="17"/>
  <c r="A7194" i="17"/>
  <c r="B7193" i="17"/>
  <c r="A7193" i="17"/>
  <c r="B7192" i="17"/>
  <c r="A7192" i="17"/>
  <c r="B7191" i="17"/>
  <c r="A7191" i="17"/>
  <c r="B7190" i="17"/>
  <c r="A7190" i="17"/>
  <c r="A7189" i="17"/>
  <c r="A7188" i="17"/>
  <c r="B7187" i="17"/>
  <c r="A7187" i="17"/>
  <c r="A7186" i="17"/>
  <c r="A7185" i="17"/>
  <c r="A7184" i="17"/>
  <c r="A7183" i="17"/>
  <c r="B7182" i="17"/>
  <c r="A7182" i="17"/>
  <c r="A7181" i="17"/>
  <c r="B7180" i="17"/>
  <c r="A7180" i="17"/>
  <c r="B7179" i="17"/>
  <c r="A7179" i="17"/>
  <c r="A7178" i="17"/>
  <c r="A7177" i="17"/>
  <c r="B7176" i="17"/>
  <c r="A7176" i="17"/>
  <c r="B7175" i="17"/>
  <c r="A7175" i="17"/>
  <c r="B7174" i="17"/>
  <c r="A7174" i="17"/>
  <c r="B7173" i="17"/>
  <c r="A7173" i="17"/>
  <c r="B7172" i="17"/>
  <c r="A7172" i="17"/>
  <c r="B7171" i="17"/>
  <c r="A7171" i="17"/>
  <c r="B7170" i="17"/>
  <c r="A7170" i="17"/>
  <c r="B7169" i="17"/>
  <c r="A7169" i="17"/>
  <c r="B7168" i="17"/>
  <c r="A7168" i="17"/>
  <c r="A7167" i="17"/>
  <c r="A7166" i="17"/>
  <c r="A7165" i="17"/>
  <c r="A7164" i="17"/>
  <c r="B7163" i="17"/>
  <c r="A7163" i="17"/>
  <c r="B7162" i="17"/>
  <c r="A7162" i="17"/>
  <c r="B7161" i="17"/>
  <c r="A7161" i="17"/>
  <c r="A7160" i="17"/>
  <c r="B7159" i="17"/>
  <c r="A7159" i="17"/>
  <c r="A7158" i="17"/>
  <c r="B7157" i="17"/>
  <c r="A7157" i="17"/>
  <c r="B7156" i="17"/>
  <c r="A7156" i="17"/>
  <c r="B7155" i="17"/>
  <c r="A7155" i="17"/>
  <c r="B7154" i="17"/>
  <c r="A7154" i="17"/>
  <c r="A7153" i="17"/>
  <c r="B7152" i="17"/>
  <c r="A7152" i="17"/>
  <c r="B7151" i="17"/>
  <c r="A7151" i="17"/>
  <c r="B7150" i="17"/>
  <c r="A7150" i="17"/>
  <c r="B7149" i="17"/>
  <c r="A7149" i="17"/>
  <c r="B7148" i="17"/>
  <c r="A7148" i="17"/>
  <c r="B7147" i="17"/>
  <c r="A7147" i="17"/>
  <c r="A7146" i="17"/>
  <c r="B7145" i="17"/>
  <c r="A7145" i="17"/>
  <c r="B7144" i="17"/>
  <c r="A7144" i="17"/>
  <c r="B7143" i="17"/>
  <c r="A7143" i="17"/>
  <c r="B7142" i="17"/>
  <c r="A7142" i="17"/>
  <c r="A7141" i="17"/>
  <c r="A7140" i="17"/>
  <c r="A7139" i="17"/>
  <c r="B7138" i="17"/>
  <c r="A7138" i="17"/>
  <c r="B7137" i="17"/>
  <c r="A7137" i="17"/>
  <c r="A7136" i="17"/>
  <c r="B7135" i="17"/>
  <c r="A7135" i="17"/>
  <c r="A7133" i="17"/>
  <c r="A7132" i="17"/>
  <c r="B7131" i="17"/>
  <c r="A7131" i="17"/>
  <c r="A7130" i="17"/>
  <c r="B7129" i="17"/>
  <c r="A7129" i="17"/>
  <c r="B7128" i="17"/>
  <c r="A7128" i="17"/>
  <c r="B7127" i="17"/>
  <c r="A7127" i="17"/>
  <c r="A7126" i="17"/>
  <c r="B7125" i="17"/>
  <c r="A7125" i="17"/>
  <c r="B7124" i="17"/>
  <c r="A7124" i="17"/>
  <c r="B7123" i="17"/>
  <c r="A7123" i="17"/>
  <c r="A7122" i="17"/>
  <c r="B7121" i="17"/>
  <c r="A7121" i="17"/>
  <c r="A7120" i="17"/>
  <c r="A7119" i="17"/>
  <c r="A7118" i="17"/>
  <c r="A7117" i="17"/>
  <c r="A7116" i="17"/>
  <c r="B7115" i="17"/>
  <c r="A7115" i="17"/>
  <c r="B7114" i="17"/>
  <c r="A7114" i="17"/>
  <c r="B7113" i="17"/>
  <c r="A7113" i="17"/>
  <c r="A7112" i="17"/>
  <c r="A7111" i="17"/>
  <c r="A7110" i="17"/>
  <c r="A7109" i="17"/>
  <c r="A7108" i="17"/>
  <c r="A7107" i="17"/>
  <c r="A7106" i="17"/>
  <c r="B7105" i="17"/>
  <c r="A7105" i="17"/>
  <c r="A7104" i="17"/>
  <c r="B7103" i="17"/>
  <c r="A7103" i="17"/>
  <c r="B7102" i="17"/>
  <c r="A7102" i="17"/>
  <c r="B7101" i="17"/>
  <c r="A7101" i="17"/>
  <c r="B7100" i="17"/>
  <c r="A7100" i="17"/>
  <c r="B7099" i="17"/>
  <c r="A7099" i="17"/>
  <c r="B7098" i="17"/>
  <c r="A7098" i="17"/>
  <c r="B7097" i="17"/>
  <c r="A7097" i="17"/>
  <c r="B7096" i="17"/>
  <c r="A7096" i="17"/>
  <c r="B7095" i="17"/>
  <c r="A7095" i="17"/>
  <c r="B7094" i="17"/>
  <c r="A7094" i="17"/>
  <c r="B7093" i="17"/>
  <c r="A7093" i="17"/>
  <c r="B7092" i="17"/>
  <c r="A7092" i="17"/>
  <c r="B7091" i="17"/>
  <c r="A7091" i="17"/>
  <c r="B7090" i="17"/>
  <c r="A7090" i="17"/>
  <c r="B7089" i="17"/>
  <c r="A7089" i="17"/>
  <c r="A7088" i="17"/>
  <c r="A7087" i="17"/>
  <c r="A7086" i="17"/>
  <c r="B7085" i="17"/>
  <c r="A7085" i="17"/>
  <c r="B7084" i="17"/>
  <c r="A7084" i="17"/>
  <c r="B7083" i="17"/>
  <c r="A7083" i="17"/>
  <c r="B7082" i="17"/>
  <c r="A7082" i="17"/>
  <c r="B7081" i="17"/>
  <c r="A7081" i="17"/>
  <c r="B7080" i="17"/>
  <c r="A7080" i="17"/>
  <c r="B7079" i="17"/>
  <c r="A7079" i="17"/>
  <c r="B7078" i="17"/>
  <c r="A7078" i="17"/>
  <c r="A7077" i="17"/>
  <c r="B7076" i="17"/>
  <c r="A7076" i="17"/>
  <c r="B7075" i="17"/>
  <c r="A7075" i="17"/>
  <c r="B7074" i="17"/>
  <c r="A7074" i="17"/>
  <c r="B7073" i="17"/>
  <c r="A7073" i="17"/>
  <c r="B7072" i="17"/>
  <c r="A7072" i="17"/>
  <c r="B7071" i="17"/>
  <c r="A7071" i="17"/>
  <c r="B7070" i="17"/>
  <c r="A7070" i="17"/>
  <c r="B7069" i="17"/>
  <c r="A7069" i="17"/>
  <c r="B7068" i="17"/>
  <c r="A7068" i="17"/>
  <c r="B7067" i="17"/>
  <c r="A7067" i="17"/>
  <c r="B7066" i="17"/>
  <c r="A7066" i="17"/>
  <c r="B7065" i="17"/>
  <c r="A7065" i="17"/>
  <c r="A7064" i="17"/>
  <c r="A7063" i="17"/>
  <c r="B7062" i="17"/>
  <c r="A7062" i="17"/>
  <c r="B7061" i="17"/>
  <c r="A7061" i="17"/>
  <c r="B7060" i="17"/>
  <c r="A7060" i="17"/>
  <c r="A7059" i="17"/>
  <c r="A7058" i="17"/>
  <c r="A7057" i="17"/>
  <c r="A7056" i="17"/>
  <c r="A7055" i="17"/>
  <c r="A7054" i="17"/>
  <c r="B7053" i="17"/>
  <c r="A7053" i="17"/>
  <c r="A7052" i="17"/>
  <c r="B7051" i="17"/>
  <c r="A7051" i="17"/>
  <c r="A7050" i="17"/>
  <c r="B7049" i="17"/>
  <c r="A7049" i="17"/>
  <c r="B7048" i="17"/>
  <c r="A7048" i="17"/>
  <c r="B7047" i="17"/>
  <c r="A7047" i="17"/>
  <c r="B7046" i="17"/>
  <c r="A7046" i="17"/>
  <c r="B7045" i="17"/>
  <c r="A7045" i="17"/>
  <c r="B7044" i="17"/>
  <c r="A7044" i="17"/>
  <c r="B7043" i="17"/>
  <c r="A7043" i="17"/>
  <c r="B7042" i="17"/>
  <c r="A7042" i="17"/>
  <c r="B7041" i="17"/>
  <c r="A7041" i="17"/>
  <c r="A7040" i="17"/>
  <c r="A7039" i="17"/>
  <c r="B7038" i="17"/>
  <c r="A7038" i="17"/>
  <c r="A7037" i="17"/>
  <c r="B7036" i="17"/>
  <c r="A7036" i="17"/>
  <c r="A7035" i="17"/>
  <c r="A7034" i="17"/>
  <c r="A7033" i="17"/>
  <c r="A7032" i="17"/>
  <c r="A7031" i="17"/>
  <c r="B7030" i="17"/>
  <c r="A7030" i="17"/>
  <c r="B7029" i="17"/>
  <c r="A7029" i="17"/>
  <c r="A7028" i="17"/>
  <c r="B7027" i="17"/>
  <c r="A7027" i="17"/>
  <c r="A7026" i="17"/>
  <c r="B7025" i="17"/>
  <c r="A7025" i="17"/>
  <c r="A7024" i="17"/>
  <c r="B7023" i="17"/>
  <c r="A7023" i="17"/>
  <c r="B7022" i="17"/>
  <c r="A7022" i="17"/>
  <c r="B7021" i="17"/>
  <c r="A7021" i="17"/>
  <c r="B7020" i="17"/>
  <c r="A7020" i="17"/>
  <c r="B7019" i="17"/>
  <c r="A7019" i="17"/>
  <c r="B7018" i="17"/>
  <c r="A7018" i="17"/>
  <c r="B7017" i="17"/>
  <c r="A7017" i="17"/>
  <c r="B7016" i="17"/>
  <c r="A7016" i="17"/>
  <c r="B7015" i="17"/>
  <c r="A7015" i="17"/>
  <c r="B7014" i="17"/>
  <c r="A7014" i="17"/>
  <c r="B7013" i="17"/>
  <c r="A7013" i="17"/>
  <c r="B7012" i="17"/>
  <c r="A7012" i="17"/>
  <c r="B7011" i="17"/>
  <c r="A7011" i="17"/>
  <c r="B7010" i="17"/>
  <c r="A7010" i="17"/>
  <c r="B7009" i="17"/>
  <c r="A7009" i="17"/>
  <c r="B7008" i="17"/>
  <c r="A7008" i="17"/>
  <c r="B7007" i="17"/>
  <c r="A7007" i="17"/>
  <c r="B7006" i="17"/>
  <c r="A7006" i="17"/>
  <c r="B7005" i="17"/>
  <c r="A7005" i="17"/>
  <c r="B7004" i="17"/>
  <c r="A7004" i="17"/>
  <c r="B7003" i="17"/>
  <c r="A7003" i="17"/>
  <c r="B7002" i="17"/>
  <c r="A7002" i="17"/>
  <c r="B7001" i="17"/>
  <c r="A7001" i="17"/>
  <c r="B7000" i="17"/>
  <c r="A7000" i="17"/>
  <c r="A6999" i="17"/>
  <c r="B6998" i="17"/>
  <c r="A6998" i="17"/>
  <c r="B6997" i="17"/>
  <c r="A6997" i="17"/>
  <c r="B6996" i="17"/>
  <c r="A6996" i="17"/>
  <c r="A6995" i="17"/>
  <c r="B6994" i="17"/>
  <c r="A6994" i="17"/>
  <c r="B6993" i="17"/>
  <c r="A6993" i="17"/>
  <c r="A6992" i="17"/>
  <c r="A6991" i="17"/>
  <c r="A6990" i="17"/>
  <c r="A6989" i="17"/>
  <c r="B6988" i="17"/>
  <c r="A6988" i="17"/>
  <c r="A6987" i="17"/>
  <c r="A6986" i="17"/>
  <c r="B6985" i="17"/>
  <c r="A6985" i="17"/>
  <c r="A6984" i="17"/>
  <c r="B6983" i="17"/>
  <c r="A6983" i="17"/>
  <c r="B6982" i="17"/>
  <c r="A6982" i="17"/>
  <c r="B6981" i="17"/>
  <c r="A6981" i="17"/>
  <c r="B6980" i="17"/>
  <c r="A6980" i="17"/>
  <c r="B6979" i="17"/>
  <c r="A6979" i="17"/>
  <c r="B6978" i="17"/>
  <c r="A6978" i="17"/>
  <c r="B6977" i="17"/>
  <c r="A6977" i="17"/>
  <c r="B6976" i="17"/>
  <c r="A6976" i="17"/>
  <c r="A6975" i="17"/>
  <c r="A6974" i="17"/>
  <c r="A6973" i="17"/>
  <c r="B6972" i="17"/>
  <c r="A6972" i="17"/>
  <c r="B6971" i="17"/>
  <c r="A6971" i="17"/>
  <c r="B6970" i="17"/>
  <c r="A6970" i="17"/>
  <c r="B6969" i="17"/>
  <c r="A6969" i="17"/>
  <c r="A6968" i="17"/>
  <c r="B6967" i="17"/>
  <c r="A6967" i="17"/>
  <c r="B6966" i="17"/>
  <c r="A6966" i="17"/>
  <c r="B6965" i="17"/>
  <c r="A6965" i="17"/>
  <c r="A6964" i="17"/>
  <c r="B6963" i="17"/>
  <c r="A6963" i="17"/>
  <c r="B6962" i="17"/>
  <c r="A6962" i="17"/>
  <c r="B6961" i="17"/>
  <c r="A6961" i="17"/>
  <c r="A6960" i="17"/>
  <c r="B6958" i="17"/>
  <c r="A6958" i="17"/>
  <c r="B6957" i="17"/>
  <c r="A6957" i="17"/>
  <c r="B6956" i="17"/>
  <c r="A6956" i="17"/>
  <c r="B6955" i="17"/>
  <c r="A6955" i="17"/>
  <c r="B6954" i="17"/>
  <c r="A6954" i="17"/>
  <c r="B6953" i="17"/>
  <c r="A6953" i="17"/>
  <c r="B6952" i="17"/>
  <c r="A6952" i="17"/>
  <c r="B6951" i="17"/>
  <c r="A6951" i="17"/>
  <c r="B6950" i="17"/>
  <c r="A6950" i="17"/>
  <c r="B6949" i="17"/>
  <c r="A6949" i="17"/>
  <c r="B6948" i="17"/>
  <c r="A6948" i="17"/>
  <c r="B6947" i="17"/>
  <c r="A6947" i="17"/>
  <c r="B6946" i="17"/>
  <c r="A6946" i="17"/>
  <c r="B6945" i="17"/>
  <c r="A6945" i="17"/>
  <c r="B6944" i="17"/>
  <c r="A6944" i="17"/>
  <c r="B6943" i="17"/>
  <c r="A6943" i="17"/>
  <c r="B6942" i="17"/>
  <c r="A6942" i="17"/>
  <c r="A6941" i="17"/>
  <c r="A6940" i="17"/>
  <c r="B6939" i="17"/>
  <c r="A6939" i="17"/>
  <c r="B6938" i="17"/>
  <c r="A6938" i="17"/>
  <c r="A6937" i="17"/>
  <c r="B6936" i="17"/>
  <c r="A6936" i="17"/>
  <c r="B6935" i="17"/>
  <c r="A6935" i="17"/>
  <c r="B6934" i="17"/>
  <c r="A6934" i="17"/>
  <c r="A6933" i="17"/>
  <c r="B6932" i="17"/>
  <c r="A6932" i="17"/>
  <c r="A6931" i="17"/>
  <c r="B6930" i="17"/>
  <c r="A6930" i="17"/>
  <c r="B6929" i="17"/>
  <c r="A6929" i="17"/>
  <c r="B6928" i="17"/>
  <c r="A6928" i="17"/>
  <c r="A6927" i="17"/>
  <c r="B6926" i="17"/>
  <c r="A6926" i="17"/>
  <c r="A6925" i="17"/>
  <c r="A6924" i="17"/>
  <c r="A6923" i="17"/>
  <c r="A6922" i="17"/>
  <c r="A6921" i="17"/>
  <c r="A6920" i="17"/>
  <c r="B6919" i="17"/>
  <c r="A6919" i="17"/>
  <c r="B6918" i="17"/>
  <c r="A6918" i="17"/>
  <c r="A6917" i="17"/>
  <c r="B6916" i="17"/>
  <c r="A6916" i="17"/>
  <c r="B6915" i="17"/>
  <c r="A6915" i="17"/>
  <c r="B6914" i="17"/>
  <c r="A6914" i="17"/>
  <c r="B6913" i="17"/>
  <c r="A6913" i="17"/>
  <c r="B6912" i="17"/>
  <c r="A6912" i="17"/>
  <c r="B6911" i="17"/>
  <c r="A6911" i="17"/>
  <c r="B6910" i="17"/>
  <c r="A6910" i="17"/>
  <c r="B6909" i="17"/>
  <c r="A6909" i="17"/>
  <c r="B6908" i="17"/>
  <c r="A6908" i="17"/>
  <c r="B6907" i="17"/>
  <c r="A6907" i="17"/>
  <c r="B6906" i="17"/>
  <c r="A6906" i="17"/>
  <c r="B6905" i="17"/>
  <c r="A6905" i="17"/>
  <c r="A6904" i="17"/>
  <c r="A6903" i="17"/>
  <c r="A6902" i="17"/>
  <c r="A6901" i="17"/>
  <c r="A6900" i="17"/>
  <c r="A6899" i="17"/>
  <c r="A6898" i="17"/>
  <c r="A6897" i="17"/>
  <c r="A6896" i="17"/>
  <c r="A6895" i="17"/>
  <c r="A6894" i="17"/>
  <c r="A6893" i="17"/>
  <c r="B6892" i="17"/>
  <c r="A6892" i="17"/>
  <c r="B6891" i="17"/>
  <c r="A6891" i="17"/>
  <c r="B6890" i="17"/>
  <c r="A6890" i="17"/>
  <c r="B6889" i="17"/>
  <c r="A6889" i="17"/>
  <c r="A6888" i="17"/>
  <c r="B6887" i="17"/>
  <c r="A6887" i="17"/>
  <c r="A6886" i="17"/>
  <c r="B6885" i="17"/>
  <c r="A6885" i="17"/>
  <c r="A6884" i="17"/>
  <c r="B6883" i="17"/>
  <c r="A6883" i="17"/>
  <c r="A6882" i="17"/>
  <c r="A6881" i="17"/>
  <c r="B6880" i="17"/>
  <c r="A6880" i="17"/>
  <c r="A6879" i="17"/>
  <c r="A6878" i="17"/>
  <c r="A6877" i="17"/>
  <c r="A6876" i="17"/>
  <c r="B6875" i="17"/>
  <c r="A6875" i="17"/>
  <c r="B6874" i="17"/>
  <c r="A6874" i="17"/>
  <c r="B6873" i="17"/>
  <c r="A6873" i="17"/>
  <c r="B6872" i="17"/>
  <c r="A6872" i="17"/>
  <c r="B6871" i="17"/>
  <c r="A6871" i="17"/>
  <c r="B6870" i="17"/>
  <c r="A6870" i="17"/>
  <c r="A6869" i="17"/>
  <c r="B6868" i="17"/>
  <c r="A6868" i="17"/>
  <c r="B6867" i="17"/>
  <c r="A6867" i="17"/>
  <c r="B6866" i="17"/>
  <c r="A6866" i="17"/>
  <c r="B6865" i="17"/>
  <c r="A6865" i="17"/>
  <c r="B6864" i="17"/>
  <c r="A6864" i="17"/>
  <c r="B6863" i="17"/>
  <c r="A6863" i="17"/>
  <c r="B6862" i="17"/>
  <c r="A6862" i="17"/>
  <c r="A6861" i="17"/>
  <c r="B6860" i="17"/>
  <c r="A6860" i="17"/>
  <c r="B6859" i="17"/>
  <c r="A6859" i="17"/>
  <c r="A6858" i="17"/>
  <c r="B6857" i="17"/>
  <c r="A6857" i="17"/>
  <c r="B6856" i="17"/>
  <c r="A6856" i="17"/>
  <c r="B6855" i="17"/>
  <c r="A6855" i="17"/>
  <c r="A6854" i="17"/>
  <c r="A6853" i="17"/>
  <c r="B6852" i="17"/>
  <c r="A6852" i="17"/>
  <c r="B6851" i="17"/>
  <c r="A6851" i="17"/>
  <c r="B6850" i="17"/>
  <c r="A6850" i="17"/>
  <c r="B6849" i="17"/>
  <c r="A6849" i="17"/>
  <c r="A6848" i="17"/>
  <c r="B6847" i="17"/>
  <c r="A6847" i="17"/>
  <c r="B6846" i="17"/>
  <c r="A6846" i="17"/>
  <c r="B6845" i="17"/>
  <c r="A6845" i="17"/>
  <c r="A6844" i="17"/>
  <c r="B6843" i="17"/>
  <c r="A6843" i="17"/>
  <c r="B6842" i="17"/>
  <c r="A6842" i="17"/>
  <c r="B6841" i="17"/>
  <c r="A6841" i="17"/>
  <c r="A6840" i="17"/>
  <c r="B6839" i="17"/>
  <c r="A6839" i="17"/>
  <c r="B6838" i="17"/>
  <c r="A6838" i="17"/>
  <c r="B6837" i="17"/>
  <c r="A6837" i="17"/>
  <c r="B6836" i="17"/>
  <c r="A6836" i="17"/>
  <c r="B6835" i="17"/>
  <c r="A6835" i="17"/>
  <c r="A6834" i="17"/>
  <c r="B6833" i="17"/>
  <c r="A6833" i="17"/>
  <c r="B6832" i="17"/>
  <c r="A6832" i="17"/>
  <c r="B6831" i="17"/>
  <c r="A6831" i="17"/>
  <c r="B6830" i="17"/>
  <c r="A6830" i="17"/>
  <c r="B6829" i="17"/>
  <c r="A6829" i="17"/>
  <c r="B6828" i="17"/>
  <c r="A6828" i="17"/>
  <c r="A6827" i="17"/>
  <c r="B6826" i="17"/>
  <c r="A6826" i="17"/>
  <c r="B6825" i="17"/>
  <c r="A6825" i="17"/>
  <c r="B6824" i="17"/>
  <c r="A6824" i="17"/>
  <c r="A6823" i="17"/>
  <c r="B6822" i="17"/>
  <c r="A6822" i="17"/>
  <c r="B6821" i="17"/>
  <c r="A6821" i="17"/>
  <c r="A6820" i="17"/>
  <c r="A6819" i="17"/>
  <c r="A6818" i="17"/>
  <c r="B6817" i="17"/>
  <c r="A6817" i="17"/>
  <c r="B6816" i="17"/>
  <c r="A6816" i="17"/>
  <c r="B6815" i="17"/>
  <c r="A6815" i="17"/>
  <c r="B6814" i="17"/>
  <c r="A6814" i="17"/>
  <c r="B6813" i="17"/>
  <c r="A6813" i="17"/>
  <c r="B6812" i="17"/>
  <c r="A6812" i="17"/>
  <c r="B6811" i="17"/>
  <c r="A6811" i="17"/>
  <c r="B6810" i="17"/>
  <c r="A6810" i="17"/>
  <c r="B6809" i="17"/>
  <c r="A6809" i="17"/>
  <c r="B6808" i="17"/>
  <c r="A6808" i="17"/>
  <c r="B6807" i="17"/>
  <c r="A6807" i="17"/>
  <c r="B6806" i="17"/>
  <c r="A6806" i="17"/>
  <c r="A6805" i="17"/>
  <c r="A6804" i="17"/>
  <c r="A6803" i="17"/>
  <c r="B6802" i="17"/>
  <c r="A6802" i="17"/>
  <c r="A6801" i="17"/>
  <c r="A6800" i="17"/>
  <c r="B6799" i="17"/>
  <c r="A6799" i="17"/>
  <c r="A6798" i="17"/>
  <c r="B6797" i="17"/>
  <c r="A6797" i="17"/>
  <c r="A6796" i="17"/>
  <c r="A6795" i="17"/>
  <c r="B6794" i="17"/>
  <c r="A6794" i="17"/>
  <c r="B6793" i="17"/>
  <c r="A6793" i="17"/>
  <c r="A6792" i="17"/>
  <c r="B6791" i="17"/>
  <c r="A6791" i="17"/>
  <c r="B6790" i="17"/>
  <c r="A6790" i="17"/>
  <c r="B6789" i="17"/>
  <c r="A6789" i="17"/>
  <c r="A6788" i="17"/>
  <c r="B6787" i="17"/>
  <c r="A6787" i="17"/>
  <c r="B6786" i="17"/>
  <c r="A6786" i="17"/>
  <c r="B6785" i="17"/>
  <c r="A6785" i="17"/>
  <c r="B6784" i="17"/>
  <c r="A6784" i="17"/>
  <c r="B6783" i="17"/>
  <c r="A6783" i="17"/>
  <c r="B6782" i="17"/>
  <c r="A6782" i="17"/>
  <c r="A6781" i="17"/>
  <c r="B6780" i="17"/>
  <c r="A6780" i="17"/>
  <c r="B6779" i="17"/>
  <c r="A6779" i="17"/>
  <c r="A6778" i="17"/>
  <c r="B6777" i="17"/>
  <c r="A6777" i="17"/>
  <c r="A6776" i="17"/>
  <c r="B6775" i="17"/>
  <c r="A6775" i="17"/>
  <c r="B6774" i="17"/>
  <c r="A6774" i="17"/>
  <c r="B6773" i="17"/>
  <c r="A6773" i="17"/>
  <c r="A6772" i="17"/>
  <c r="B6771" i="17"/>
  <c r="A6771" i="17"/>
  <c r="B6770" i="17"/>
  <c r="A6770" i="17"/>
  <c r="B6769" i="17"/>
  <c r="A6769" i="17"/>
  <c r="B6768" i="17"/>
  <c r="A6768" i="17"/>
  <c r="A6767" i="17"/>
  <c r="B6766" i="17"/>
  <c r="A6766" i="17"/>
  <c r="B6765" i="17"/>
  <c r="A6765" i="17"/>
  <c r="B6764" i="17"/>
  <c r="A6764" i="17"/>
  <c r="B6763" i="17"/>
  <c r="A6763" i="17"/>
  <c r="B6762" i="17"/>
  <c r="A6762" i="17"/>
  <c r="B6761" i="17"/>
  <c r="A6761" i="17"/>
  <c r="B6760" i="17"/>
  <c r="A6760" i="17"/>
  <c r="B6759" i="17"/>
  <c r="A6759" i="17"/>
  <c r="B6758" i="17"/>
  <c r="A6758" i="17"/>
  <c r="B6757" i="17"/>
  <c r="A6757" i="17"/>
  <c r="A6756" i="17"/>
  <c r="B6755" i="17"/>
  <c r="A6755" i="17"/>
  <c r="A6754" i="17"/>
  <c r="A6753" i="17"/>
  <c r="A6752" i="17"/>
  <c r="B6751" i="17"/>
  <c r="A6751" i="17"/>
  <c r="B6750" i="17"/>
  <c r="A6750" i="17"/>
  <c r="B6749" i="17"/>
  <c r="A6749" i="17"/>
  <c r="B6748" i="17"/>
  <c r="A6748" i="17"/>
  <c r="B6747" i="17"/>
  <c r="A6747" i="17"/>
  <c r="B6746" i="17"/>
  <c r="A6746" i="17"/>
  <c r="B6745" i="17"/>
  <c r="A6745" i="17"/>
  <c r="B6744" i="17"/>
  <c r="A6744" i="17"/>
  <c r="B6743" i="17"/>
  <c r="A6743" i="17"/>
  <c r="B6742" i="17"/>
  <c r="A6742" i="17"/>
  <c r="B6741" i="17"/>
  <c r="A6741" i="17"/>
  <c r="B6740" i="17"/>
  <c r="A6740" i="17"/>
  <c r="A6739" i="17"/>
  <c r="B6738" i="17"/>
  <c r="A6738" i="17"/>
  <c r="B6737" i="17"/>
  <c r="A6737" i="17"/>
  <c r="B6736" i="17"/>
  <c r="A6736" i="17"/>
  <c r="A6735" i="17"/>
  <c r="B6734" i="17"/>
  <c r="A6734" i="17"/>
  <c r="A6733" i="17"/>
  <c r="A6732" i="17"/>
  <c r="A6731" i="17"/>
  <c r="A6730" i="17"/>
  <c r="A6729" i="17"/>
  <c r="A6728" i="17"/>
  <c r="A6727" i="17"/>
  <c r="B6726" i="17"/>
  <c r="A6726" i="17"/>
  <c r="A6725" i="17"/>
  <c r="A6724" i="17"/>
  <c r="B6723" i="17"/>
  <c r="A6723" i="17"/>
  <c r="B6722" i="17"/>
  <c r="A6722" i="17"/>
  <c r="A6721" i="17"/>
  <c r="A6720" i="17"/>
  <c r="B6719" i="17"/>
  <c r="A6719" i="17"/>
  <c r="B6718" i="17"/>
  <c r="A6718" i="17"/>
  <c r="B6717" i="17"/>
  <c r="A6717" i="17"/>
  <c r="B6716" i="17"/>
  <c r="A6716" i="17"/>
  <c r="B6715" i="17"/>
  <c r="A6715" i="17"/>
  <c r="B6714" i="17"/>
  <c r="A6714" i="17"/>
  <c r="B6713" i="17"/>
  <c r="A6713" i="17"/>
  <c r="A6712" i="17"/>
  <c r="A6711" i="17"/>
  <c r="A6710" i="17"/>
  <c r="A6709" i="17"/>
  <c r="A6708" i="17"/>
  <c r="A6707" i="17"/>
  <c r="B6706" i="17"/>
  <c r="A6706" i="17"/>
  <c r="A6705" i="17"/>
  <c r="A6704" i="17"/>
  <c r="B6703" i="17"/>
  <c r="A6703" i="17"/>
  <c r="B6702" i="17"/>
  <c r="A6702" i="17"/>
  <c r="B6701" i="17"/>
  <c r="A6701" i="17"/>
  <c r="B6700" i="17"/>
  <c r="A6700" i="17"/>
  <c r="A6699" i="17"/>
  <c r="B6698" i="17"/>
  <c r="A6698" i="17"/>
  <c r="B6697" i="17"/>
  <c r="A6697" i="17"/>
  <c r="B6696" i="17"/>
  <c r="A6696" i="17"/>
  <c r="A6695" i="17"/>
  <c r="A6694" i="17"/>
  <c r="A6693" i="17"/>
  <c r="B6692" i="17"/>
  <c r="A6692" i="17"/>
  <c r="B6691" i="17"/>
  <c r="A6691" i="17"/>
  <c r="B6690" i="17"/>
  <c r="A6690" i="17"/>
  <c r="B6689" i="17"/>
  <c r="A6689" i="17"/>
  <c r="B6688" i="17"/>
  <c r="A6688" i="17"/>
  <c r="B6687" i="17"/>
  <c r="A6687" i="17"/>
  <c r="B6686" i="17"/>
  <c r="A6686" i="17"/>
  <c r="B6685" i="17"/>
  <c r="A6685" i="17"/>
  <c r="B6684" i="17"/>
  <c r="A6684" i="17"/>
  <c r="A6683" i="17"/>
  <c r="A6682" i="17"/>
  <c r="A6681" i="17"/>
  <c r="B6680" i="17"/>
  <c r="A6680" i="17"/>
  <c r="B6679" i="17"/>
  <c r="A6679" i="17"/>
  <c r="B6678" i="17"/>
  <c r="A6678" i="17"/>
  <c r="B6677" i="17"/>
  <c r="A6677" i="17"/>
  <c r="A6676" i="17"/>
  <c r="B6675" i="17"/>
  <c r="A6675" i="17"/>
  <c r="B6674" i="17"/>
  <c r="A6674" i="17"/>
  <c r="B6673" i="17"/>
  <c r="A6673" i="17"/>
  <c r="B6672" i="17"/>
  <c r="A6672" i="17"/>
  <c r="B6671" i="17"/>
  <c r="A6671" i="17"/>
  <c r="B6670" i="17"/>
  <c r="A6670" i="17"/>
  <c r="B6669" i="17"/>
  <c r="A6669" i="17"/>
  <c r="B6668" i="17"/>
  <c r="A6668" i="17"/>
  <c r="B6667" i="17"/>
  <c r="A6667" i="17"/>
  <c r="B6666" i="17"/>
  <c r="A6666" i="17"/>
  <c r="B6665" i="17"/>
  <c r="A6665" i="17"/>
  <c r="A6664" i="17"/>
  <c r="B6663" i="17"/>
  <c r="A6663" i="17"/>
  <c r="B6662" i="17"/>
  <c r="A6662" i="17"/>
  <c r="B6661" i="17"/>
  <c r="A6661" i="17"/>
  <c r="B6660" i="17"/>
  <c r="A6660" i="17"/>
  <c r="B6659" i="17"/>
  <c r="A6659" i="17"/>
  <c r="B6658" i="17"/>
  <c r="A6658" i="17"/>
  <c r="B6657" i="17"/>
  <c r="A6657" i="17"/>
  <c r="A6656" i="17"/>
  <c r="B6655" i="17"/>
  <c r="A6655" i="17"/>
  <c r="B6654" i="17"/>
  <c r="A6654" i="17"/>
  <c r="B6653" i="17"/>
  <c r="A6653" i="17"/>
  <c r="B6652" i="17"/>
  <c r="A6652" i="17"/>
  <c r="B6651" i="17"/>
  <c r="A6651" i="17"/>
  <c r="B6650" i="17"/>
  <c r="A6650" i="17"/>
  <c r="B6649" i="17"/>
  <c r="A6649" i="17"/>
  <c r="B6648" i="17"/>
  <c r="A6648" i="17"/>
  <c r="B6647" i="17"/>
  <c r="A6647" i="17"/>
  <c r="B6646" i="17"/>
  <c r="A6646" i="17"/>
  <c r="B6645" i="17"/>
  <c r="A6645" i="17"/>
  <c r="B6644" i="17"/>
  <c r="A6644" i="17"/>
  <c r="A6643" i="17"/>
  <c r="A6642" i="17"/>
  <c r="B6641" i="17"/>
  <c r="A6641" i="17"/>
  <c r="B6640" i="17"/>
  <c r="A6640" i="17"/>
  <c r="A6639" i="17"/>
  <c r="B6638" i="17"/>
  <c r="A6638" i="17"/>
  <c r="A6637" i="17"/>
  <c r="A6636" i="17"/>
  <c r="A6635" i="17"/>
  <c r="B6634" i="17"/>
  <c r="A6634" i="17"/>
  <c r="B6633" i="17"/>
  <c r="A6633" i="17"/>
  <c r="A6632" i="17"/>
  <c r="B6631" i="17"/>
  <c r="A6631" i="17"/>
  <c r="B6630" i="17"/>
  <c r="A6630" i="17"/>
  <c r="B6629" i="17"/>
  <c r="A6629" i="17"/>
  <c r="A6628" i="17"/>
  <c r="B6627" i="17"/>
  <c r="A6627" i="17"/>
  <c r="B6626" i="17"/>
  <c r="A6626" i="17"/>
  <c r="B6625" i="17"/>
  <c r="A6625" i="17"/>
  <c r="B6624" i="17"/>
  <c r="A6624" i="17"/>
  <c r="A6623" i="17"/>
  <c r="B6622" i="17"/>
  <c r="A6622" i="17"/>
  <c r="B6621" i="17"/>
  <c r="A6621" i="17"/>
  <c r="B6620" i="17"/>
  <c r="A6620" i="17"/>
  <c r="B6619" i="17"/>
  <c r="A6619" i="17"/>
  <c r="B6618" i="17"/>
  <c r="A6618" i="17"/>
  <c r="B6617" i="17"/>
  <c r="A6617" i="17"/>
  <c r="B6616" i="17"/>
  <c r="A6616" i="17"/>
  <c r="A6615" i="17"/>
  <c r="A6614" i="17"/>
  <c r="A6613" i="17"/>
  <c r="A6612" i="17"/>
  <c r="B6611" i="17"/>
  <c r="A6611" i="17"/>
  <c r="A6610" i="17"/>
  <c r="A6609" i="17"/>
  <c r="A6608" i="17"/>
  <c r="B6605" i="17"/>
  <c r="A6605" i="17"/>
  <c r="B6604" i="17"/>
  <c r="A6604" i="17"/>
  <c r="A6603" i="17"/>
  <c r="B6602" i="17"/>
  <c r="A6602" i="17"/>
  <c r="B6601" i="17"/>
  <c r="A6601" i="17"/>
  <c r="B6600" i="17"/>
  <c r="A6600" i="17"/>
  <c r="B6599" i="17"/>
  <c r="A6599" i="17"/>
  <c r="B6598" i="17"/>
  <c r="A6598" i="17"/>
  <c r="B6597" i="17"/>
  <c r="A6597" i="17"/>
  <c r="B6596" i="17"/>
  <c r="A6596" i="17"/>
  <c r="A6595" i="17"/>
  <c r="B6594" i="17"/>
  <c r="A6594" i="17"/>
  <c r="A6593" i="17"/>
  <c r="A6592" i="17"/>
  <c r="B6591" i="17"/>
  <c r="A6591" i="17"/>
  <c r="B6590" i="17"/>
  <c r="A6590" i="17"/>
  <c r="B6589" i="17"/>
  <c r="A6589" i="17"/>
  <c r="B6588" i="17"/>
  <c r="A6588" i="17"/>
  <c r="B6587" i="17"/>
  <c r="A6587" i="17"/>
  <c r="B6586" i="17"/>
  <c r="A6586" i="17"/>
  <c r="B6585" i="17"/>
  <c r="A6584" i="17"/>
  <c r="A6583" i="17"/>
  <c r="A6582" i="17"/>
  <c r="A6581" i="17"/>
  <c r="A6580" i="17"/>
  <c r="A6579" i="17"/>
  <c r="B6578" i="17"/>
  <c r="A6578" i="17"/>
  <c r="A6577" i="17"/>
  <c r="A6576" i="17"/>
  <c r="B6575" i="17"/>
  <c r="A6575" i="17"/>
  <c r="A6574" i="17"/>
  <c r="B6573" i="17"/>
  <c r="A6573" i="17"/>
  <c r="A6572" i="17"/>
  <c r="B6571" i="17"/>
  <c r="A6571" i="17"/>
  <c r="B6570" i="17"/>
  <c r="A6570" i="17"/>
  <c r="B6569" i="17"/>
  <c r="A6569" i="17"/>
  <c r="B6568" i="17"/>
  <c r="A6568" i="17"/>
  <c r="B6567" i="17"/>
  <c r="A6567" i="17"/>
  <c r="B6566" i="17"/>
  <c r="A6566" i="17"/>
  <c r="B6565" i="17"/>
  <c r="A6565" i="17"/>
  <c r="B6564" i="17"/>
  <c r="A6564" i="17"/>
  <c r="B6563" i="17"/>
  <c r="A6563" i="17"/>
  <c r="B6562" i="17"/>
  <c r="A6562" i="17"/>
  <c r="B6561" i="17"/>
  <c r="A6561" i="17"/>
  <c r="A6560" i="17"/>
  <c r="A6559" i="17"/>
  <c r="B6558" i="17"/>
  <c r="A6558" i="17"/>
  <c r="A6557" i="17"/>
  <c r="A6556" i="17"/>
  <c r="A6555" i="17"/>
  <c r="B6554" i="17"/>
  <c r="A6554" i="17"/>
  <c r="A6553" i="17"/>
  <c r="B6552" i="17"/>
  <c r="A6552" i="17"/>
  <c r="B6551" i="17"/>
  <c r="A6551" i="17"/>
  <c r="B6550" i="17"/>
  <c r="A6550" i="17"/>
  <c r="A6549" i="17"/>
  <c r="A6548" i="17"/>
  <c r="B6547" i="17"/>
  <c r="A6547" i="17"/>
  <c r="B6546" i="17"/>
  <c r="A6546" i="17"/>
  <c r="B6545" i="17"/>
  <c r="A6545" i="17"/>
  <c r="A6544" i="17"/>
  <c r="A6543" i="17"/>
  <c r="B6542" i="17"/>
  <c r="A6542" i="17"/>
  <c r="B6541" i="17"/>
  <c r="A6541" i="17"/>
  <c r="B6540" i="17"/>
  <c r="A6540" i="17"/>
  <c r="B6539" i="17"/>
  <c r="A6539" i="17"/>
  <c r="B6538" i="17"/>
  <c r="A6538" i="17"/>
  <c r="B6537" i="17"/>
  <c r="A6537" i="17"/>
  <c r="A6536" i="17"/>
  <c r="A6535" i="17"/>
  <c r="A6534" i="17"/>
  <c r="A6533" i="17"/>
  <c r="A6532" i="17"/>
  <c r="B6531" i="17"/>
  <c r="A6531" i="17"/>
  <c r="B6530" i="17"/>
  <c r="A6530" i="17"/>
  <c r="B6529" i="17"/>
  <c r="A6529" i="17"/>
  <c r="B6528" i="17"/>
  <c r="A6528" i="17"/>
  <c r="B6527" i="17"/>
  <c r="A6527" i="17"/>
  <c r="B6526" i="17"/>
  <c r="A6526" i="17"/>
  <c r="B6525" i="17"/>
  <c r="A6525" i="17"/>
  <c r="B6524" i="17"/>
  <c r="A6524" i="17"/>
  <c r="B6523" i="17"/>
  <c r="A6523" i="17"/>
  <c r="A6522" i="17"/>
  <c r="B6521" i="17"/>
  <c r="A6521" i="17"/>
  <c r="B6520" i="17"/>
  <c r="A6520" i="17"/>
  <c r="B6519" i="17"/>
  <c r="A6519" i="17"/>
  <c r="B6518" i="17"/>
  <c r="A6518" i="17"/>
  <c r="B6517" i="17"/>
  <c r="A6517" i="17"/>
  <c r="B6516" i="17"/>
  <c r="A6516" i="17"/>
  <c r="B6515" i="17"/>
  <c r="A6515" i="17"/>
  <c r="B6514" i="17"/>
  <c r="A6514" i="17"/>
  <c r="B6513" i="17"/>
  <c r="A6513" i="17"/>
  <c r="A6512" i="17"/>
  <c r="B6511" i="17"/>
  <c r="A6511" i="17"/>
  <c r="A6510" i="17"/>
  <c r="B6509" i="17"/>
  <c r="A6509" i="17"/>
  <c r="A6508" i="17"/>
  <c r="B6507" i="17"/>
  <c r="A6507" i="17"/>
  <c r="B6506" i="17"/>
  <c r="A6506" i="17"/>
  <c r="B6505" i="17"/>
  <c r="A6505" i="17"/>
  <c r="B6504" i="17"/>
  <c r="A6504" i="17"/>
  <c r="B6503" i="17"/>
  <c r="A6503" i="17"/>
  <c r="B6502" i="17"/>
  <c r="A6502" i="17"/>
  <c r="B6501" i="17"/>
  <c r="A6501" i="17"/>
  <c r="B6500" i="17"/>
  <c r="A6500" i="17"/>
  <c r="B6499" i="17"/>
  <c r="A6499" i="17"/>
  <c r="B6498" i="17"/>
  <c r="A6498" i="17"/>
  <c r="B6497" i="17"/>
  <c r="A6497" i="17"/>
  <c r="B6496" i="17"/>
  <c r="A6496" i="17"/>
  <c r="B6495" i="17"/>
  <c r="A6495" i="17"/>
  <c r="B6494" i="17"/>
  <c r="A6494" i="17"/>
  <c r="A6493" i="17"/>
  <c r="A6492" i="17"/>
  <c r="B6491" i="17"/>
  <c r="A6491" i="17"/>
  <c r="A6490" i="17"/>
  <c r="A6489" i="17"/>
  <c r="A6488" i="17"/>
  <c r="B6487" i="17"/>
  <c r="A6487" i="17"/>
  <c r="B6486" i="17"/>
  <c r="A6486" i="17"/>
  <c r="B6485" i="17"/>
  <c r="A6485" i="17"/>
  <c r="B6484" i="17"/>
  <c r="A6484" i="17"/>
  <c r="B6483" i="17"/>
  <c r="A6483" i="17"/>
  <c r="A6482" i="17"/>
  <c r="A6481" i="17"/>
  <c r="A6480" i="17"/>
  <c r="B6479" i="17"/>
  <c r="A6479" i="17"/>
  <c r="B6478" i="17"/>
  <c r="A6478" i="17"/>
  <c r="A6477" i="17"/>
  <c r="B6476" i="17"/>
  <c r="A6476" i="17"/>
  <c r="B6475" i="17"/>
  <c r="A6475" i="17"/>
  <c r="B6474" i="17"/>
  <c r="A6474" i="17"/>
  <c r="B6473" i="17"/>
  <c r="A6473" i="17"/>
  <c r="B6472" i="17"/>
  <c r="A6472" i="17"/>
  <c r="A6471" i="17"/>
  <c r="A6470" i="17"/>
  <c r="A6469" i="17"/>
  <c r="B6468" i="17"/>
  <c r="A6468" i="17"/>
  <c r="B6467" i="17"/>
  <c r="A6467" i="17"/>
  <c r="B6466" i="17"/>
  <c r="A6466" i="17"/>
  <c r="B6465" i="17"/>
  <c r="A6465" i="17"/>
  <c r="A6464" i="17"/>
  <c r="A6463" i="17"/>
  <c r="A6462" i="17"/>
  <c r="A6461" i="17"/>
  <c r="B6460" i="17"/>
  <c r="A6460" i="17"/>
  <c r="A6459" i="17"/>
  <c r="B6458" i="17"/>
  <c r="A6458" i="17"/>
  <c r="B6457" i="17"/>
  <c r="A6457" i="17"/>
  <c r="B6456" i="17"/>
  <c r="A6456" i="17"/>
  <c r="A6455" i="17"/>
  <c r="A6454" i="17"/>
  <c r="B6453" i="17"/>
  <c r="A6453" i="17"/>
  <c r="A6452" i="17"/>
  <c r="B6451" i="17"/>
  <c r="A6451" i="17"/>
  <c r="B6450" i="17"/>
  <c r="A6450" i="17"/>
  <c r="B6449" i="17"/>
  <c r="A6449" i="17"/>
  <c r="A6448" i="17"/>
  <c r="A6447" i="17"/>
  <c r="B6446" i="17"/>
  <c r="A6446" i="17"/>
  <c r="A6445" i="17"/>
  <c r="A6444" i="17"/>
  <c r="B6443" i="17"/>
  <c r="A6443" i="17"/>
  <c r="B6442" i="17"/>
  <c r="A6442" i="17"/>
  <c r="B6441" i="17"/>
  <c r="A6441" i="17"/>
  <c r="B6440" i="17"/>
  <c r="A6440" i="17"/>
  <c r="B6439" i="17"/>
  <c r="A6439" i="17"/>
  <c r="B6438" i="17"/>
  <c r="A6438" i="17"/>
  <c r="B6437" i="17"/>
  <c r="A6437" i="17"/>
  <c r="B6436" i="17"/>
  <c r="A6436" i="17"/>
  <c r="A6435" i="17"/>
  <c r="B6434" i="17"/>
  <c r="A6434" i="17"/>
  <c r="B6433" i="17"/>
  <c r="A6433" i="17"/>
  <c r="B6432" i="17"/>
  <c r="A6432" i="17"/>
  <c r="B6431" i="17"/>
  <c r="A6431" i="17"/>
  <c r="B6430" i="17"/>
  <c r="A6430" i="17"/>
  <c r="B6429" i="17"/>
  <c r="A6429" i="17"/>
  <c r="B6428" i="17"/>
  <c r="A6428" i="17"/>
  <c r="B6427" i="17"/>
  <c r="A6427" i="17"/>
  <c r="B6426" i="17"/>
  <c r="A6426" i="17"/>
  <c r="B6425" i="17"/>
  <c r="A6425" i="17"/>
  <c r="B6424" i="17"/>
  <c r="A6424" i="17"/>
  <c r="B6423" i="17"/>
  <c r="A6423" i="17"/>
  <c r="B6422" i="17"/>
  <c r="A6422" i="17"/>
  <c r="A6421" i="17"/>
  <c r="B6420" i="17"/>
  <c r="A6420" i="17"/>
  <c r="B6419" i="17"/>
  <c r="A6419" i="17"/>
  <c r="B6418" i="17"/>
  <c r="A6418" i="17"/>
  <c r="B6417" i="17"/>
  <c r="A6417" i="17"/>
  <c r="B6416" i="17"/>
  <c r="A6416" i="17"/>
  <c r="B6415" i="17"/>
  <c r="A6415" i="17"/>
  <c r="B6414" i="17"/>
  <c r="A6414" i="17"/>
  <c r="A6413" i="17"/>
  <c r="B6412" i="17"/>
  <c r="A6412" i="17"/>
  <c r="B6411" i="17"/>
  <c r="A6411" i="17"/>
  <c r="B6410" i="17"/>
  <c r="A6410" i="17"/>
  <c r="B6409" i="17"/>
  <c r="A6409" i="17"/>
  <c r="B6408" i="17"/>
  <c r="A6408" i="17"/>
  <c r="B6407" i="17"/>
  <c r="A6407" i="17"/>
  <c r="B6406" i="17"/>
  <c r="A6406" i="17"/>
  <c r="B6405" i="17"/>
  <c r="A6405" i="17"/>
  <c r="B6404" i="17"/>
  <c r="A6404" i="17"/>
  <c r="B6403" i="17"/>
  <c r="A6403" i="17"/>
  <c r="B6402" i="17"/>
  <c r="A6402" i="17"/>
  <c r="B6401" i="17"/>
  <c r="A6401" i="17"/>
  <c r="B6400" i="17"/>
  <c r="A6400" i="17"/>
  <c r="B6399" i="17"/>
  <c r="A6399" i="17"/>
  <c r="B6398" i="17"/>
  <c r="A6398" i="17"/>
  <c r="B6397" i="17"/>
  <c r="A6397" i="17"/>
  <c r="B6396" i="17"/>
  <c r="A6396" i="17"/>
  <c r="A6395" i="17"/>
  <c r="A6394" i="17"/>
  <c r="B6393" i="17"/>
  <c r="A6393" i="17"/>
  <c r="B6392" i="17"/>
  <c r="A6392" i="17"/>
  <c r="B6391" i="17"/>
  <c r="A6391" i="17"/>
  <c r="B6390" i="17"/>
  <c r="A6390" i="17"/>
  <c r="B6389" i="17"/>
  <c r="A6389" i="17"/>
  <c r="B6388" i="17"/>
  <c r="A6388" i="17"/>
  <c r="B6387" i="17"/>
  <c r="A6387" i="17"/>
  <c r="B6386" i="17"/>
  <c r="A6386" i="17"/>
  <c r="B6385" i="17"/>
  <c r="A6385" i="17"/>
  <c r="B6384" i="17"/>
  <c r="A6384" i="17"/>
  <c r="B6383" i="17"/>
  <c r="A6383" i="17"/>
  <c r="B6382" i="17"/>
  <c r="A6382" i="17"/>
  <c r="B6381" i="17"/>
  <c r="A6381" i="17"/>
  <c r="B6380" i="17"/>
  <c r="A6380" i="17"/>
  <c r="B6379" i="17"/>
  <c r="A6379" i="17"/>
  <c r="B6378" i="17"/>
  <c r="A6378" i="17"/>
  <c r="A6377" i="17"/>
  <c r="B6376" i="17"/>
  <c r="A6376" i="17"/>
  <c r="B6375" i="17"/>
  <c r="A6375" i="17"/>
  <c r="B6374" i="17"/>
  <c r="A6374" i="17"/>
  <c r="B6373" i="17"/>
  <c r="A6373" i="17"/>
  <c r="B6372" i="17"/>
  <c r="A6372" i="17"/>
  <c r="B6371" i="17"/>
  <c r="A6371" i="17"/>
  <c r="B6370" i="17"/>
  <c r="A6370" i="17"/>
  <c r="B6369" i="17"/>
  <c r="A6369" i="17"/>
  <c r="B6368" i="17"/>
  <c r="A6368" i="17"/>
  <c r="B6367" i="17"/>
  <c r="A6367" i="17"/>
  <c r="B6366" i="17"/>
  <c r="A6366" i="17"/>
  <c r="B6365" i="17"/>
  <c r="A6365" i="17"/>
  <c r="B6364" i="17"/>
  <c r="A6364" i="17"/>
  <c r="B6363" i="17"/>
  <c r="A6363" i="17"/>
  <c r="B6362" i="17"/>
  <c r="A6362" i="17"/>
  <c r="B6361" i="17"/>
  <c r="A6361" i="17"/>
  <c r="B6360" i="17"/>
  <c r="A6360" i="17"/>
  <c r="B6359" i="17"/>
  <c r="A6359" i="17"/>
  <c r="A6358" i="17"/>
  <c r="A6357" i="17"/>
  <c r="A6356" i="17"/>
  <c r="B6355" i="17"/>
  <c r="A6355" i="17"/>
  <c r="B6354" i="17"/>
  <c r="A6354" i="17"/>
  <c r="B6353" i="17"/>
  <c r="A6353" i="17"/>
  <c r="B6352" i="17"/>
  <c r="A6352" i="17"/>
  <c r="B6351" i="17"/>
  <c r="A6351" i="17"/>
  <c r="B6350" i="17"/>
  <c r="A6350" i="17"/>
  <c r="B6349" i="17"/>
  <c r="A6349" i="17"/>
  <c r="B6348" i="17"/>
  <c r="A6348" i="17"/>
  <c r="B6347" i="17"/>
  <c r="A6347" i="17"/>
  <c r="B6346" i="17"/>
  <c r="A6346" i="17"/>
  <c r="B6345" i="17"/>
  <c r="A6345" i="17"/>
  <c r="B6344" i="17"/>
  <c r="A6344" i="17"/>
  <c r="B6343" i="17"/>
  <c r="A6343" i="17"/>
  <c r="B6342" i="17"/>
  <c r="A6342" i="17"/>
  <c r="B6341" i="17"/>
  <c r="A6341" i="17"/>
  <c r="B6340" i="17"/>
  <c r="A6340" i="17"/>
  <c r="B6339" i="17"/>
  <c r="A6339" i="17"/>
  <c r="B6338" i="17"/>
  <c r="A6338" i="17"/>
  <c r="B6337" i="17"/>
  <c r="A6337" i="17"/>
  <c r="B6336" i="17"/>
  <c r="A6336" i="17"/>
  <c r="B6335" i="17"/>
  <c r="A6335" i="17"/>
  <c r="B6334" i="17"/>
  <c r="A6334" i="17"/>
  <c r="B6333" i="17"/>
  <c r="A6333" i="17"/>
  <c r="B6332" i="17"/>
  <c r="A6332" i="17"/>
  <c r="B6331" i="17"/>
  <c r="A6331" i="17"/>
  <c r="B6330" i="17"/>
  <c r="A6330" i="17"/>
  <c r="B6329" i="17"/>
  <c r="A6329" i="17"/>
  <c r="B6328" i="17"/>
  <c r="A6328" i="17"/>
  <c r="B6327" i="17"/>
  <c r="A6327" i="17"/>
  <c r="B6326" i="17"/>
  <c r="A6326" i="17"/>
  <c r="B6325" i="17"/>
  <c r="A6325" i="17"/>
  <c r="B6324" i="17"/>
  <c r="A6324" i="17"/>
  <c r="B6323" i="17"/>
  <c r="A6323" i="17"/>
  <c r="B6322" i="17"/>
  <c r="A6322" i="17"/>
  <c r="B6321" i="17"/>
  <c r="A6321" i="17"/>
  <c r="B6320" i="17"/>
  <c r="A6320" i="17"/>
  <c r="B6319" i="17"/>
  <c r="A6319" i="17"/>
  <c r="B6318" i="17"/>
  <c r="A6318" i="17"/>
  <c r="B6317" i="17"/>
  <c r="A6317" i="17"/>
  <c r="B6316" i="17"/>
  <c r="A6316" i="17"/>
  <c r="A6315" i="17"/>
  <c r="B6314" i="17"/>
  <c r="A6314" i="17"/>
  <c r="B6313" i="17"/>
  <c r="A6313" i="17"/>
  <c r="B6312" i="17"/>
  <c r="A6312" i="17"/>
  <c r="B6311" i="17"/>
  <c r="A6311" i="17"/>
  <c r="A6310" i="17"/>
  <c r="A6309" i="17"/>
  <c r="A6308" i="17"/>
  <c r="B6307" i="17"/>
  <c r="A6307" i="17"/>
  <c r="B6306" i="17"/>
  <c r="A6306" i="17"/>
  <c r="B6305" i="17"/>
  <c r="A6305" i="17"/>
  <c r="B6304" i="17"/>
  <c r="A6304" i="17"/>
  <c r="B6303" i="17"/>
  <c r="A6303" i="17"/>
  <c r="B6302" i="17"/>
  <c r="A6302" i="17"/>
  <c r="A6301" i="17"/>
  <c r="B6300" i="17"/>
  <c r="A6300" i="17"/>
  <c r="B6299" i="17"/>
  <c r="A6299" i="17"/>
  <c r="B6298" i="17"/>
  <c r="A6298" i="17"/>
  <c r="B6297" i="17"/>
  <c r="A6297" i="17"/>
  <c r="B6296" i="17"/>
  <c r="A6296" i="17"/>
  <c r="B6295" i="17"/>
  <c r="A6295" i="17"/>
  <c r="B6294" i="17"/>
  <c r="A6294" i="17"/>
  <c r="B6293" i="17"/>
  <c r="A6293" i="17"/>
  <c r="A6292" i="17"/>
  <c r="B6291" i="17"/>
  <c r="A6291" i="17"/>
  <c r="B6290" i="17"/>
  <c r="A6290" i="17"/>
  <c r="B6289" i="17"/>
  <c r="A6289" i="17"/>
  <c r="B6288" i="17"/>
  <c r="A6288" i="17"/>
  <c r="B6287" i="17"/>
  <c r="A6287" i="17"/>
  <c r="A6286" i="17"/>
  <c r="A6285" i="17"/>
  <c r="A6284" i="17"/>
  <c r="B6283" i="17"/>
  <c r="A6283" i="17"/>
  <c r="B6282" i="17"/>
  <c r="A6282" i="17"/>
  <c r="B6281" i="17"/>
  <c r="A6281" i="17"/>
  <c r="B6280" i="17"/>
  <c r="A6280" i="17"/>
  <c r="A6279" i="17"/>
  <c r="B6278" i="17"/>
  <c r="A6278" i="17"/>
  <c r="B6277" i="17"/>
  <c r="A6277" i="17"/>
  <c r="A6276" i="17"/>
  <c r="A6275" i="17"/>
  <c r="B6274" i="17"/>
  <c r="A6274" i="17"/>
  <c r="B6273" i="17"/>
  <c r="A6273" i="17"/>
  <c r="B6272" i="17"/>
  <c r="A6272" i="17"/>
  <c r="A6271" i="17"/>
  <c r="A6270" i="17"/>
  <c r="A6269" i="17"/>
  <c r="A6268" i="17"/>
  <c r="A6267" i="17"/>
  <c r="B6266" i="17"/>
  <c r="A6266" i="17"/>
  <c r="B6265" i="17"/>
  <c r="A6265" i="17"/>
  <c r="B6264" i="17"/>
  <c r="A6264" i="17"/>
  <c r="A6263" i="17"/>
  <c r="B6262" i="17"/>
  <c r="A6262" i="17"/>
  <c r="B6261" i="17"/>
  <c r="A6261" i="17"/>
  <c r="B6260" i="17"/>
  <c r="A6260" i="17"/>
  <c r="B6259" i="17"/>
  <c r="A6259" i="17"/>
  <c r="B6258" i="17"/>
  <c r="A6258" i="17"/>
  <c r="B6257" i="17"/>
  <c r="A6257" i="17"/>
  <c r="B6256" i="17"/>
  <c r="A6256" i="17"/>
  <c r="B6255" i="17"/>
  <c r="A6255" i="17"/>
  <c r="B6254" i="17"/>
  <c r="A6254" i="17"/>
  <c r="B6253" i="17"/>
  <c r="A6253" i="17"/>
  <c r="B6252" i="17"/>
  <c r="A6252" i="17"/>
  <c r="B6251" i="17"/>
  <c r="A6251" i="17"/>
  <c r="B6250" i="17"/>
  <c r="A6250" i="17"/>
  <c r="B6249" i="17"/>
  <c r="A6249" i="17"/>
  <c r="B6248" i="17"/>
  <c r="A6248" i="17"/>
  <c r="B6247" i="17"/>
  <c r="A6247" i="17"/>
  <c r="B6246" i="17"/>
  <c r="A6246" i="17"/>
  <c r="B6245" i="17"/>
  <c r="A6245" i="17"/>
  <c r="B6244" i="17"/>
  <c r="A6244" i="17"/>
  <c r="B6243" i="17"/>
  <c r="A6243" i="17"/>
  <c r="B6242" i="17"/>
  <c r="A6242" i="17"/>
  <c r="B6241" i="17"/>
  <c r="A6241" i="17"/>
  <c r="B6240" i="17"/>
  <c r="A6240" i="17"/>
  <c r="B6239" i="17"/>
  <c r="A6239" i="17"/>
  <c r="A6238" i="17"/>
  <c r="A6237" i="17"/>
  <c r="A6236" i="17"/>
  <c r="A6235" i="17"/>
  <c r="B6234" i="17"/>
  <c r="A6234" i="17"/>
  <c r="B6233" i="17"/>
  <c r="A6233" i="17"/>
  <c r="B6232" i="17"/>
  <c r="A6232" i="17"/>
  <c r="B6231" i="17"/>
  <c r="A6231" i="17"/>
  <c r="B6230" i="17"/>
  <c r="A6230" i="17"/>
  <c r="B6229" i="17"/>
  <c r="A6229" i="17"/>
  <c r="B6228" i="17"/>
  <c r="A6228" i="17"/>
  <c r="B6227" i="17"/>
  <c r="A6227" i="17"/>
  <c r="B6226" i="17"/>
  <c r="A6226" i="17"/>
  <c r="B6225" i="17"/>
  <c r="A6225" i="17"/>
  <c r="B6224" i="17"/>
  <c r="A6224" i="17"/>
  <c r="A6223" i="17"/>
  <c r="A6222" i="17"/>
  <c r="A6221" i="17"/>
  <c r="B6220" i="17"/>
  <c r="A6220" i="17"/>
  <c r="B6219" i="17"/>
  <c r="A6219" i="17"/>
  <c r="B6218" i="17"/>
  <c r="A6218" i="17"/>
  <c r="B6217" i="17"/>
  <c r="A6217" i="17"/>
  <c r="B6216" i="17"/>
  <c r="A6216" i="17"/>
  <c r="B6215" i="17"/>
  <c r="A6215" i="17"/>
  <c r="B6214" i="17"/>
  <c r="A6214" i="17"/>
  <c r="B6213" i="17"/>
  <c r="A6213" i="17"/>
  <c r="B6212" i="17"/>
  <c r="A6212" i="17"/>
  <c r="B6211" i="17"/>
  <c r="A6211" i="17"/>
  <c r="B6210" i="17"/>
  <c r="A6210" i="17"/>
  <c r="B6209" i="17"/>
  <c r="A6209" i="17"/>
  <c r="B6208" i="17"/>
  <c r="A6208" i="17"/>
  <c r="B6207" i="17"/>
  <c r="A6207" i="17"/>
  <c r="B6206" i="17"/>
  <c r="A6206" i="17"/>
  <c r="B6205" i="17"/>
  <c r="A6205" i="17"/>
  <c r="A6204" i="17"/>
  <c r="B6203" i="17"/>
  <c r="A6203" i="17"/>
  <c r="B6202" i="17"/>
  <c r="A6202" i="17"/>
  <c r="B6201" i="17"/>
  <c r="A6201" i="17"/>
  <c r="A6200" i="17"/>
  <c r="B6199" i="17"/>
  <c r="A6199" i="17"/>
  <c r="A6198" i="17"/>
  <c r="B6197" i="17"/>
  <c r="A6197" i="17"/>
  <c r="B6196" i="17"/>
  <c r="A6196" i="17"/>
  <c r="B6195" i="17"/>
  <c r="A6195" i="17"/>
  <c r="B6194" i="17"/>
  <c r="A6194" i="17"/>
  <c r="B6193" i="17"/>
  <c r="A6193" i="17"/>
  <c r="B6192" i="17"/>
  <c r="A6192" i="17"/>
  <c r="B6191" i="17"/>
  <c r="A6191" i="17"/>
  <c r="B6190" i="17"/>
  <c r="A6190" i="17"/>
  <c r="B6189" i="17"/>
  <c r="A6189" i="17"/>
  <c r="B6188" i="17"/>
  <c r="A6188" i="17"/>
  <c r="B6187" i="17"/>
  <c r="A6187" i="17"/>
  <c r="B6186" i="17"/>
  <c r="A6186" i="17"/>
  <c r="B6185" i="17"/>
  <c r="A6185" i="17"/>
  <c r="B6184" i="17"/>
  <c r="A6184" i="17"/>
  <c r="B6183" i="17"/>
  <c r="A6183" i="17"/>
  <c r="A6182" i="17"/>
  <c r="A6181" i="17"/>
  <c r="B6180" i="17"/>
  <c r="A6180" i="17"/>
  <c r="A6179" i="17"/>
  <c r="B6178" i="17"/>
  <c r="A6178" i="17"/>
  <c r="B6177" i="17"/>
  <c r="A6177" i="17"/>
  <c r="B6176" i="17"/>
  <c r="A6176" i="17"/>
  <c r="B6175" i="17"/>
  <c r="A6175" i="17"/>
  <c r="B6174" i="17"/>
  <c r="A6174" i="17"/>
  <c r="A6173" i="17"/>
  <c r="A6172" i="17"/>
  <c r="B6171" i="17"/>
  <c r="A6171" i="17"/>
  <c r="A6170" i="17"/>
  <c r="B6169" i="17"/>
  <c r="A6169" i="17"/>
  <c r="B6168" i="17"/>
  <c r="A6168" i="17"/>
  <c r="B6167" i="17"/>
  <c r="A6167" i="17"/>
  <c r="B6166" i="17"/>
  <c r="A6166" i="17"/>
  <c r="B6165" i="17"/>
  <c r="A6165" i="17"/>
  <c r="B6164" i="17"/>
  <c r="A6164" i="17"/>
  <c r="B6163" i="17"/>
  <c r="A6163" i="17"/>
  <c r="B6162" i="17"/>
  <c r="A6162" i="17"/>
  <c r="B6161" i="17"/>
  <c r="A6161" i="17"/>
  <c r="B6160" i="17"/>
  <c r="A6160" i="17"/>
  <c r="B6159" i="17"/>
  <c r="A6159" i="17"/>
  <c r="B6158" i="17"/>
  <c r="A6158" i="17"/>
  <c r="B6157" i="17"/>
  <c r="A6157" i="17"/>
  <c r="B6156" i="17"/>
  <c r="A6156" i="17"/>
  <c r="B6155" i="17"/>
  <c r="A6155" i="17"/>
  <c r="B6154" i="17"/>
  <c r="A6154" i="17"/>
  <c r="B6153" i="17"/>
  <c r="A6153" i="17"/>
  <c r="B6152" i="17"/>
  <c r="A6152" i="17"/>
  <c r="B6151" i="17"/>
  <c r="A6151" i="17"/>
  <c r="B6150" i="17"/>
  <c r="A6150" i="17"/>
  <c r="B6149" i="17"/>
  <c r="A6149" i="17"/>
  <c r="B6148" i="17"/>
  <c r="A6148" i="17"/>
  <c r="B6147" i="17"/>
  <c r="A6147" i="17"/>
  <c r="B6146" i="17"/>
  <c r="A6146" i="17"/>
  <c r="B6145" i="17"/>
  <c r="A6145" i="17"/>
  <c r="B6144" i="17"/>
  <c r="A6144" i="17"/>
  <c r="B6143" i="17"/>
  <c r="A6143" i="17"/>
  <c r="B6142" i="17"/>
  <c r="A6142" i="17"/>
  <c r="B6141" i="17"/>
  <c r="A6141" i="17"/>
  <c r="B6140" i="17"/>
  <c r="A6140" i="17"/>
  <c r="A6139" i="17"/>
  <c r="A6138" i="17"/>
  <c r="B6137" i="17"/>
  <c r="A6137" i="17"/>
  <c r="B6136" i="17"/>
  <c r="A6136" i="17"/>
  <c r="B6135" i="17"/>
  <c r="A6135" i="17"/>
  <c r="B6134" i="17"/>
  <c r="A6134" i="17"/>
  <c r="B6133" i="17"/>
  <c r="A6133" i="17"/>
  <c r="B6132" i="17"/>
  <c r="A6132" i="17"/>
  <c r="B6131" i="17"/>
  <c r="A6131" i="17"/>
  <c r="B6130" i="17"/>
  <c r="A6130" i="17"/>
  <c r="B6129" i="17"/>
  <c r="A6129" i="17"/>
  <c r="B6128" i="17"/>
  <c r="A6128" i="17"/>
  <c r="B6127" i="17"/>
  <c r="A6127" i="17"/>
  <c r="A6126" i="17"/>
  <c r="B6125" i="17"/>
  <c r="A6125" i="17"/>
  <c r="A6124" i="17"/>
  <c r="B6123" i="17"/>
  <c r="A6123" i="17"/>
  <c r="B6122" i="17"/>
  <c r="A6122" i="17"/>
  <c r="B6121" i="17"/>
  <c r="A6121" i="17"/>
  <c r="A6120" i="17"/>
  <c r="A6119" i="17"/>
  <c r="A6118" i="17"/>
  <c r="A6117" i="17"/>
  <c r="A6116" i="17"/>
  <c r="A6115" i="17"/>
  <c r="A6114" i="17"/>
  <c r="B6113" i="17"/>
  <c r="A6113" i="17"/>
  <c r="B6112" i="17"/>
  <c r="A6112" i="17"/>
  <c r="B6111" i="17"/>
  <c r="A6111" i="17"/>
  <c r="B6110" i="17"/>
  <c r="A6110" i="17"/>
  <c r="B6108" i="17"/>
  <c r="A6108" i="17"/>
  <c r="B6107" i="17"/>
  <c r="A6107" i="17"/>
  <c r="B6106" i="17"/>
  <c r="A6106" i="17"/>
  <c r="B6105" i="17"/>
  <c r="A6105" i="17"/>
  <c r="B6104" i="17"/>
  <c r="A6104" i="17"/>
  <c r="B6103" i="17"/>
  <c r="A6103" i="17"/>
  <c r="B6102" i="17"/>
  <c r="A6102" i="17"/>
  <c r="A6101" i="17"/>
  <c r="B6100" i="17"/>
  <c r="A6100" i="17"/>
  <c r="B6099" i="17"/>
  <c r="A6099" i="17"/>
  <c r="B6098" i="17"/>
  <c r="A6098" i="17"/>
  <c r="B6097" i="17"/>
  <c r="A6097" i="17"/>
  <c r="B6096" i="17"/>
  <c r="A6096" i="17"/>
  <c r="B6095" i="17"/>
  <c r="A6095" i="17"/>
  <c r="B6094" i="17"/>
  <c r="A6094" i="17"/>
  <c r="B6093" i="17"/>
  <c r="A6093" i="17"/>
  <c r="B6092" i="17"/>
  <c r="A6092" i="17"/>
  <c r="B6091" i="17"/>
  <c r="A6091" i="17"/>
  <c r="A6090" i="17"/>
  <c r="A6089" i="17"/>
  <c r="B6088" i="17"/>
  <c r="A6088" i="17"/>
  <c r="B6087" i="17"/>
  <c r="A6087" i="17"/>
  <c r="B6086" i="17"/>
  <c r="A6086" i="17"/>
  <c r="B6085" i="17"/>
  <c r="A6085" i="17"/>
  <c r="B6084" i="17"/>
  <c r="A6084" i="17"/>
  <c r="B6083" i="17"/>
  <c r="A6083" i="17"/>
  <c r="B6082" i="17"/>
  <c r="A6082" i="17"/>
  <c r="B6081" i="17"/>
  <c r="A6081" i="17"/>
  <c r="B6080" i="17"/>
  <c r="A6080" i="17"/>
  <c r="B6079" i="17"/>
  <c r="A6079" i="17"/>
  <c r="B6078" i="17"/>
  <c r="A6078" i="17"/>
  <c r="B6077" i="17"/>
  <c r="A6077" i="17"/>
  <c r="A6076" i="17"/>
  <c r="A6075" i="17"/>
  <c r="A6074" i="17"/>
  <c r="A6073" i="17"/>
  <c r="B6072" i="17"/>
  <c r="A6072" i="17"/>
  <c r="A6071" i="17"/>
  <c r="A6070" i="17"/>
  <c r="A6069" i="17"/>
  <c r="B6068" i="17"/>
  <c r="A6068" i="17"/>
  <c r="A6067" i="17"/>
  <c r="B6066" i="17"/>
  <c r="A6066" i="17"/>
  <c r="B6065" i="17"/>
  <c r="A6065" i="17"/>
  <c r="B6064" i="17"/>
  <c r="A6064" i="17"/>
  <c r="B6063" i="17"/>
  <c r="A6063" i="17"/>
  <c r="B6062" i="17"/>
  <c r="A6062" i="17"/>
  <c r="B6061" i="17"/>
  <c r="A6061" i="17"/>
  <c r="A6060" i="17"/>
  <c r="B6059" i="17"/>
  <c r="A6059" i="17"/>
  <c r="B6058" i="17"/>
  <c r="A6058" i="17"/>
  <c r="B6057" i="17"/>
  <c r="A6057" i="17"/>
  <c r="B6056" i="17"/>
  <c r="A6056" i="17"/>
  <c r="A6055" i="17"/>
  <c r="A6054" i="17"/>
  <c r="A6053" i="17"/>
  <c r="B6052" i="17"/>
  <c r="A6052" i="17"/>
  <c r="B6051" i="17"/>
  <c r="A6051" i="17"/>
  <c r="B6050" i="17"/>
  <c r="A6050" i="17"/>
  <c r="B6049" i="17"/>
  <c r="A6049" i="17"/>
  <c r="B6048" i="17"/>
  <c r="A6048" i="17"/>
  <c r="B6047" i="17"/>
  <c r="A6047" i="17"/>
  <c r="B6046" i="17"/>
  <c r="A6046" i="17"/>
  <c r="B6045" i="17"/>
  <c r="A6045" i="17"/>
  <c r="B6044" i="17"/>
  <c r="A6044" i="17"/>
  <c r="B6043" i="17"/>
  <c r="A6043" i="17"/>
  <c r="B6042" i="17"/>
  <c r="A6042" i="17"/>
  <c r="B6041" i="17"/>
  <c r="A6041" i="17"/>
  <c r="B6040" i="17"/>
  <c r="A6040" i="17"/>
  <c r="B6039" i="17"/>
  <c r="A6039" i="17"/>
  <c r="B6038" i="17"/>
  <c r="A6038" i="17"/>
  <c r="B6037" i="17"/>
  <c r="A6037" i="17"/>
  <c r="B6036" i="17"/>
  <c r="A6036" i="17"/>
  <c r="B6035" i="17"/>
  <c r="A6035" i="17"/>
  <c r="B6034" i="17"/>
  <c r="A6034" i="17"/>
  <c r="B6033" i="17"/>
  <c r="A6033" i="17"/>
  <c r="B6032" i="17"/>
  <c r="A6032" i="17"/>
  <c r="B6031" i="17"/>
  <c r="A6031" i="17"/>
  <c r="B6030" i="17"/>
  <c r="A6030" i="17"/>
  <c r="B6029" i="17"/>
  <c r="A6029" i="17"/>
  <c r="B6028" i="17"/>
  <c r="A6028" i="17"/>
  <c r="B6027" i="17"/>
  <c r="A6027" i="17"/>
  <c r="B6026" i="17"/>
  <c r="A6026" i="17"/>
  <c r="B6025" i="17"/>
  <c r="A6025" i="17"/>
  <c r="B6024" i="17"/>
  <c r="A6024" i="17"/>
  <c r="B6023" i="17"/>
  <c r="A6023" i="17"/>
  <c r="B6022" i="17"/>
  <c r="A6022" i="17"/>
  <c r="B6021" i="17"/>
  <c r="A6021" i="17"/>
  <c r="B6020" i="17"/>
  <c r="A6020" i="17"/>
  <c r="A6019" i="17"/>
  <c r="B6018" i="17"/>
  <c r="A6018" i="17"/>
  <c r="B6017" i="17"/>
  <c r="A6017" i="17"/>
  <c r="B6016" i="17"/>
  <c r="A6016" i="17"/>
  <c r="B6015" i="17"/>
  <c r="A6015" i="17"/>
  <c r="B6014" i="17"/>
  <c r="A6014" i="17"/>
  <c r="B6013" i="17"/>
  <c r="A6013" i="17"/>
  <c r="B6012" i="17"/>
  <c r="A6012" i="17"/>
  <c r="B6011" i="17"/>
  <c r="A6011" i="17"/>
  <c r="A6010" i="17"/>
  <c r="B6009" i="17"/>
  <c r="A6009" i="17"/>
  <c r="B6008" i="17"/>
  <c r="A6008" i="17"/>
  <c r="B6007" i="17"/>
  <c r="A6007" i="17"/>
  <c r="A6006" i="17"/>
  <c r="B6005" i="17"/>
  <c r="A6005" i="17"/>
  <c r="B6004" i="17"/>
  <c r="A6004" i="17"/>
  <c r="A6003" i="17"/>
  <c r="A6002" i="17"/>
  <c r="B6001" i="17"/>
  <c r="A6001" i="17"/>
  <c r="B6000" i="17"/>
  <c r="A6000" i="17"/>
  <c r="A5999" i="17"/>
  <c r="B5998" i="17"/>
  <c r="A5998" i="17"/>
  <c r="B5997" i="17"/>
  <c r="A5997" i="17"/>
  <c r="B5996" i="17"/>
  <c r="A5996" i="17"/>
  <c r="A5995" i="17"/>
  <c r="A5994" i="17"/>
  <c r="A5993" i="17"/>
  <c r="A5992" i="17"/>
  <c r="B5991" i="17"/>
  <c r="A5991" i="17"/>
  <c r="A5990" i="17"/>
  <c r="A5989" i="17"/>
  <c r="B5988" i="17"/>
  <c r="A5988" i="17"/>
  <c r="B5987" i="17"/>
  <c r="A5987" i="17"/>
  <c r="B5986" i="17"/>
  <c r="A5986" i="17"/>
  <c r="B5985" i="17"/>
  <c r="A5985" i="17"/>
  <c r="B5984" i="17"/>
  <c r="A5984" i="17"/>
  <c r="B5983" i="17"/>
  <c r="A5983" i="17"/>
  <c r="B5982" i="17"/>
  <c r="A5982" i="17"/>
  <c r="B5981" i="17"/>
  <c r="A5981" i="17"/>
  <c r="B5980" i="17"/>
  <c r="A5980" i="17"/>
  <c r="B5979" i="17"/>
  <c r="A5979" i="17"/>
  <c r="B5978" i="17"/>
  <c r="A5978" i="17"/>
  <c r="B5977" i="17"/>
  <c r="A5977" i="17"/>
  <c r="B5976" i="17"/>
  <c r="A5976" i="17"/>
  <c r="B5975" i="17"/>
  <c r="A5975" i="17"/>
  <c r="B5974" i="17"/>
  <c r="A5974" i="17"/>
  <c r="A5973" i="17"/>
  <c r="B5972" i="17"/>
  <c r="A5972" i="17"/>
  <c r="A5971" i="17"/>
  <c r="A5970" i="17"/>
  <c r="B5969" i="17"/>
  <c r="A5969" i="17"/>
  <c r="B5968" i="17"/>
  <c r="A5968" i="17"/>
  <c r="A5967" i="17"/>
  <c r="B5966" i="17"/>
  <c r="A5966" i="17"/>
  <c r="A5965" i="17"/>
  <c r="B5964" i="17"/>
  <c r="A5964" i="17"/>
  <c r="B5963" i="17"/>
  <c r="A5963" i="17"/>
  <c r="A5962" i="17"/>
  <c r="B5961" i="17"/>
  <c r="A5961" i="17"/>
  <c r="B5960" i="17"/>
  <c r="A5960" i="17"/>
  <c r="A5959" i="17"/>
  <c r="A5958" i="17"/>
  <c r="A5957" i="17"/>
  <c r="A5956" i="17"/>
  <c r="B5955" i="17"/>
  <c r="A5955" i="17"/>
  <c r="B5954" i="17"/>
  <c r="A5954" i="17"/>
  <c r="B5953" i="17"/>
  <c r="A5953" i="17"/>
  <c r="B5952" i="17"/>
  <c r="A5952" i="17"/>
  <c r="B5951" i="17"/>
  <c r="A5951" i="17"/>
  <c r="A5950" i="17"/>
  <c r="A5949" i="17"/>
  <c r="A5948" i="17"/>
  <c r="A5947" i="17"/>
  <c r="A5946" i="17"/>
  <c r="B5945" i="17"/>
  <c r="A5945" i="17"/>
  <c r="A5944" i="17"/>
  <c r="A5943" i="17"/>
  <c r="A5942" i="17"/>
  <c r="B5941" i="17"/>
  <c r="A5941" i="17"/>
  <c r="B5940" i="17"/>
  <c r="A5940" i="17"/>
  <c r="A5939" i="17"/>
  <c r="A5938" i="17"/>
  <c r="A5937" i="17"/>
  <c r="B5936" i="17"/>
  <c r="A5936" i="17"/>
  <c r="B5935" i="17"/>
  <c r="A5935" i="17"/>
  <c r="A5934" i="17"/>
  <c r="A5933" i="17"/>
  <c r="B5932" i="17"/>
  <c r="A5932" i="17"/>
  <c r="B5931" i="17"/>
  <c r="A5931" i="17"/>
  <c r="A5930" i="17"/>
  <c r="A5929" i="17"/>
  <c r="B5928" i="17"/>
  <c r="A5928" i="17"/>
  <c r="B5927" i="17"/>
  <c r="A5927" i="17"/>
  <c r="B5926" i="17"/>
  <c r="A5926" i="17"/>
  <c r="B5925" i="17"/>
  <c r="A5925" i="17"/>
  <c r="B5924" i="17"/>
  <c r="A5924" i="17"/>
  <c r="B5923" i="17"/>
  <c r="A5923" i="17"/>
  <c r="B5922" i="17"/>
  <c r="A5922" i="17"/>
  <c r="B5921" i="17"/>
  <c r="A5921" i="17"/>
  <c r="B5920" i="17"/>
  <c r="A5920" i="17"/>
  <c r="B5919" i="17"/>
  <c r="A5919" i="17"/>
  <c r="A5918" i="17"/>
  <c r="A5917" i="17"/>
  <c r="A5916" i="17"/>
  <c r="A5915" i="17"/>
  <c r="B5914" i="17"/>
  <c r="A5914" i="17"/>
  <c r="A5913" i="17"/>
  <c r="A5912" i="17"/>
  <c r="A5911" i="17"/>
  <c r="A5910" i="17"/>
  <c r="A5909" i="17"/>
  <c r="A5908" i="17"/>
  <c r="A5907" i="17"/>
  <c r="B5906" i="17"/>
  <c r="A5906" i="17"/>
  <c r="B5905" i="17"/>
  <c r="A5905" i="17"/>
  <c r="B5904" i="17"/>
  <c r="A5904" i="17"/>
  <c r="B5903" i="17"/>
  <c r="A5903" i="17"/>
  <c r="B5902" i="17"/>
  <c r="A5902" i="17"/>
  <c r="B5901" i="17"/>
  <c r="A5901" i="17"/>
  <c r="B5900" i="17"/>
  <c r="A5900" i="17"/>
  <c r="B5899" i="17"/>
  <c r="A5899" i="17"/>
  <c r="B5898" i="17"/>
  <c r="A5898" i="17"/>
  <c r="B5897" i="17"/>
  <c r="A5897" i="17"/>
  <c r="A5896" i="17"/>
  <c r="A5895" i="17"/>
  <c r="A5894" i="17"/>
  <c r="A5893" i="17"/>
  <c r="A5892" i="17"/>
  <c r="A5891" i="17"/>
  <c r="A5890" i="17"/>
  <c r="A5889" i="17"/>
  <c r="A5888" i="17"/>
  <c r="A5887" i="17"/>
  <c r="B5886" i="17"/>
  <c r="A5886" i="17"/>
  <c r="B5885" i="17"/>
  <c r="A5885" i="17"/>
  <c r="B5884" i="17"/>
  <c r="A5884" i="17"/>
  <c r="B5883" i="17"/>
  <c r="A5883" i="17"/>
  <c r="B5882" i="17"/>
  <c r="A5882" i="17"/>
  <c r="B5881" i="17"/>
  <c r="A5881" i="17"/>
  <c r="B5880" i="17"/>
  <c r="A5880" i="17"/>
  <c r="B5879" i="17"/>
  <c r="A5879" i="17"/>
  <c r="A5878" i="17"/>
  <c r="A5877" i="17"/>
  <c r="B5876" i="17"/>
  <c r="A5876" i="17"/>
  <c r="B5875" i="17"/>
  <c r="A5875" i="17"/>
  <c r="B5874" i="17"/>
  <c r="A5874" i="17"/>
  <c r="B5873" i="17"/>
  <c r="A5873" i="17"/>
  <c r="A5872" i="17"/>
  <c r="B5871" i="17"/>
  <c r="A5871" i="17"/>
  <c r="B5870" i="17"/>
  <c r="A5870" i="17"/>
  <c r="B5869" i="17"/>
  <c r="A5869" i="17"/>
  <c r="B5868" i="17"/>
  <c r="A5868" i="17"/>
  <c r="B5867" i="17"/>
  <c r="A5867" i="17"/>
  <c r="B5866" i="17"/>
  <c r="A5866" i="17"/>
  <c r="B5865" i="17"/>
  <c r="A5865" i="17"/>
  <c r="A5864" i="17"/>
  <c r="B5863" i="17"/>
  <c r="A5863" i="17"/>
  <c r="B5862" i="17"/>
  <c r="A5862" i="17"/>
  <c r="B5861" i="17"/>
  <c r="A5861" i="17"/>
  <c r="B5860" i="17"/>
  <c r="A5860" i="17"/>
  <c r="B5859" i="17"/>
  <c r="A5859" i="17"/>
  <c r="B5858" i="17"/>
  <c r="A5858" i="17"/>
  <c r="B5857" i="17"/>
  <c r="A5857" i="17"/>
  <c r="B5856" i="17"/>
  <c r="A5856" i="17"/>
  <c r="B5855" i="17"/>
  <c r="A5855" i="17"/>
  <c r="B5854" i="17"/>
  <c r="A5854" i="17"/>
  <c r="B5853" i="17"/>
  <c r="A5853" i="17"/>
  <c r="A5852" i="17"/>
  <c r="B5851" i="17"/>
  <c r="A5851" i="17"/>
  <c r="B5850" i="17"/>
  <c r="A5850" i="17"/>
  <c r="B5849" i="17"/>
  <c r="A5849" i="17"/>
  <c r="B5848" i="17"/>
  <c r="A5848" i="17"/>
  <c r="B5847" i="17"/>
  <c r="A5847" i="17"/>
  <c r="B5846" i="17"/>
  <c r="A5846" i="17"/>
  <c r="B5845" i="17"/>
  <c r="A5845" i="17"/>
  <c r="B5844" i="17"/>
  <c r="A5844" i="17"/>
  <c r="B5843" i="17"/>
  <c r="A5843" i="17"/>
  <c r="B5842" i="17"/>
  <c r="A5842" i="17"/>
  <c r="A5841" i="17"/>
  <c r="A5840" i="17"/>
  <c r="A5839" i="17"/>
  <c r="A5838" i="17"/>
  <c r="B5837" i="17"/>
  <c r="A5837" i="17"/>
  <c r="B5836" i="17"/>
  <c r="A5836" i="17"/>
  <c r="A5835" i="17"/>
  <c r="A5834" i="17"/>
  <c r="B5833" i="17"/>
  <c r="A5833" i="17"/>
  <c r="B5832" i="17"/>
  <c r="A5832" i="17"/>
  <c r="B5831" i="17"/>
  <c r="A5831" i="17"/>
  <c r="B5830" i="17"/>
  <c r="A5830" i="17"/>
  <c r="B5829" i="17"/>
  <c r="A5829" i="17"/>
  <c r="A5828" i="17"/>
  <c r="B5827" i="17"/>
  <c r="A5827" i="17"/>
  <c r="B5826" i="17"/>
  <c r="A5826" i="17"/>
  <c r="B5825" i="17"/>
  <c r="A5825" i="17"/>
  <c r="B5824" i="17"/>
  <c r="A5824" i="17"/>
  <c r="A5823" i="17"/>
  <c r="A5822" i="17"/>
  <c r="A5821" i="17"/>
  <c r="A5820" i="17"/>
  <c r="B5819" i="17"/>
  <c r="A5819" i="17"/>
  <c r="B5818" i="17"/>
  <c r="A5818" i="17"/>
  <c r="A5817" i="17"/>
  <c r="B5816" i="17"/>
  <c r="A5816" i="17"/>
  <c r="B5815" i="17"/>
  <c r="A5815" i="17"/>
  <c r="B5814" i="17"/>
  <c r="A5814" i="17"/>
  <c r="A5813" i="17"/>
  <c r="A5812" i="17"/>
  <c r="A5811" i="17"/>
  <c r="A5810" i="17"/>
  <c r="B5809" i="17"/>
  <c r="A5809" i="17"/>
  <c r="B5808" i="17"/>
  <c r="A5808" i="17"/>
  <c r="B5807" i="17"/>
  <c r="A5807" i="17"/>
  <c r="A5806" i="17"/>
  <c r="A5805" i="17"/>
  <c r="A5804" i="17"/>
  <c r="B5803" i="17"/>
  <c r="A5803" i="17"/>
  <c r="B5802" i="17"/>
  <c r="A5802" i="17"/>
  <c r="B5801" i="17"/>
  <c r="A5801" i="17"/>
  <c r="B5800" i="17"/>
  <c r="A5800" i="17"/>
  <c r="B5799" i="17"/>
  <c r="A5799" i="17"/>
  <c r="A5798" i="17"/>
  <c r="B5797" i="17"/>
  <c r="A5797" i="17"/>
  <c r="B5796" i="17"/>
  <c r="A5796" i="17"/>
  <c r="B5795" i="17"/>
  <c r="A5795" i="17"/>
  <c r="B5794" i="17"/>
  <c r="A5794" i="17"/>
  <c r="B5793" i="17"/>
  <c r="A5793" i="17"/>
  <c r="B5792" i="17"/>
  <c r="A5792" i="17"/>
  <c r="B5791" i="17"/>
  <c r="A5791" i="17"/>
  <c r="B5790" i="17"/>
  <c r="A5790" i="17"/>
  <c r="B5789" i="17"/>
  <c r="A5789" i="17"/>
  <c r="B5788" i="17"/>
  <c r="B5787" i="17"/>
  <c r="B5786" i="17"/>
  <c r="A5786" i="17"/>
  <c r="B5785" i="17"/>
  <c r="A5785" i="17"/>
  <c r="B5784" i="17"/>
  <c r="A5784" i="17"/>
  <c r="B5783" i="17"/>
  <c r="A5783" i="17"/>
  <c r="B5782" i="17"/>
  <c r="A5782" i="17"/>
  <c r="B5781" i="17"/>
  <c r="A5781" i="17"/>
  <c r="B5780" i="17"/>
  <c r="A5780" i="17"/>
  <c r="B5779" i="17"/>
  <c r="A5779" i="17"/>
  <c r="B5778" i="17"/>
  <c r="A5778" i="17"/>
  <c r="B5777" i="17"/>
  <c r="A5777" i="17"/>
  <c r="B5776" i="17"/>
  <c r="A5776" i="17"/>
  <c r="B5775" i="17"/>
  <c r="A5775" i="17"/>
  <c r="B5774" i="17"/>
  <c r="A5774" i="17"/>
  <c r="B5773" i="17"/>
  <c r="A5773" i="17"/>
  <c r="B5772" i="17"/>
  <c r="A5772" i="17"/>
  <c r="B5771" i="17"/>
  <c r="A5771" i="17"/>
  <c r="B5770" i="17"/>
  <c r="A5770" i="17"/>
  <c r="B5769" i="17"/>
  <c r="A5769" i="17"/>
  <c r="B5768" i="17"/>
  <c r="A5768" i="17"/>
  <c r="B5767" i="17"/>
  <c r="A5767" i="17"/>
  <c r="B5766" i="17"/>
  <c r="A5766" i="17"/>
  <c r="B5765" i="17"/>
  <c r="A5765" i="17"/>
  <c r="B5764" i="17"/>
  <c r="A5764" i="17"/>
  <c r="A5763" i="17"/>
  <c r="A5762" i="17"/>
  <c r="A5761" i="17"/>
  <c r="B5760" i="17"/>
  <c r="A5760" i="17"/>
  <c r="B5759" i="17"/>
  <c r="A5759" i="17"/>
  <c r="A5758" i="17"/>
  <c r="B5757" i="17"/>
  <c r="A5757" i="17"/>
  <c r="B5756" i="17"/>
  <c r="A5756" i="17"/>
  <c r="B5755" i="17"/>
  <c r="A5755" i="17"/>
  <c r="B5754" i="17"/>
  <c r="A5754" i="17"/>
  <c r="B5753" i="17"/>
  <c r="A5753" i="17"/>
  <c r="B5752" i="17"/>
  <c r="A5752" i="17"/>
  <c r="A5751" i="17"/>
  <c r="A5750" i="17"/>
  <c r="A5749" i="17"/>
  <c r="A5748" i="17"/>
  <c r="A5747" i="17"/>
  <c r="B5746" i="17"/>
  <c r="A5746" i="17"/>
  <c r="A5745" i="17"/>
  <c r="B5744" i="17"/>
  <c r="A5744" i="17"/>
  <c r="A5743" i="17"/>
  <c r="A5742" i="17"/>
  <c r="B5741" i="17"/>
  <c r="A5741" i="17"/>
  <c r="B5740" i="17"/>
  <c r="A5740" i="17"/>
  <c r="A5739" i="17"/>
  <c r="A5738" i="17"/>
  <c r="A5737" i="17"/>
  <c r="B5736" i="17"/>
  <c r="A5736" i="17"/>
  <c r="A5735" i="17"/>
  <c r="B5734" i="17"/>
  <c r="A5734" i="17"/>
  <c r="B5733" i="17"/>
  <c r="A5733" i="17"/>
  <c r="A5732" i="17"/>
  <c r="A5731" i="17"/>
  <c r="B5730" i="17"/>
  <c r="A5730" i="17"/>
  <c r="A5729" i="17"/>
  <c r="A5728" i="17"/>
  <c r="B5727" i="17"/>
  <c r="A5727" i="17"/>
  <c r="A5726" i="17"/>
  <c r="A5725" i="17"/>
  <c r="A5724" i="17"/>
  <c r="B5723" i="17"/>
  <c r="A5723" i="17"/>
  <c r="B5722" i="17"/>
  <c r="A5722" i="17"/>
  <c r="B5721" i="17"/>
  <c r="A5721" i="17"/>
  <c r="B5720" i="17"/>
  <c r="A5720" i="17"/>
  <c r="A5719" i="17"/>
  <c r="A5718" i="17"/>
  <c r="B5717" i="17"/>
  <c r="A5717" i="17"/>
  <c r="B5716" i="17"/>
  <c r="A5716" i="17"/>
  <c r="A5715" i="17"/>
  <c r="B5714" i="17"/>
  <c r="A5714" i="17"/>
  <c r="A5713" i="17"/>
  <c r="B5712" i="17"/>
  <c r="A5712" i="17"/>
  <c r="B5711" i="17"/>
  <c r="A5711" i="17"/>
  <c r="B5710" i="17"/>
  <c r="A5710" i="17"/>
  <c r="B5709" i="17"/>
  <c r="A5709" i="17"/>
  <c r="B5708" i="17"/>
  <c r="A5708" i="17"/>
  <c r="B5707" i="17"/>
  <c r="A5707" i="17"/>
  <c r="B5706" i="17"/>
  <c r="A5706" i="17"/>
  <c r="B5705" i="17"/>
  <c r="A5705" i="17"/>
  <c r="B5704" i="17"/>
  <c r="A5704" i="17"/>
  <c r="B5703" i="17"/>
  <c r="A5703" i="17"/>
  <c r="B5702" i="17"/>
  <c r="A5702" i="17"/>
  <c r="A5701" i="17"/>
  <c r="B5700" i="17"/>
  <c r="A5700" i="17"/>
  <c r="A5699" i="17"/>
  <c r="B5698" i="17"/>
  <c r="A5698" i="17"/>
  <c r="A5697" i="17"/>
  <c r="B5696" i="17"/>
  <c r="A5696" i="17"/>
  <c r="A5695" i="17"/>
  <c r="B5694" i="17"/>
  <c r="A5694" i="17"/>
  <c r="B5693" i="17"/>
  <c r="A5693" i="17"/>
  <c r="B5692" i="17"/>
  <c r="A5692" i="17"/>
  <c r="A5691" i="17"/>
  <c r="A5690" i="17"/>
  <c r="A5689" i="17"/>
  <c r="A5688" i="17"/>
  <c r="B5687" i="17"/>
  <c r="A5687" i="17"/>
  <c r="B5686" i="17"/>
  <c r="A5686" i="17"/>
  <c r="B5685" i="17"/>
  <c r="A5685" i="17"/>
  <c r="B5684" i="17"/>
  <c r="A5684" i="17"/>
  <c r="B5683" i="17"/>
  <c r="A5683" i="17"/>
  <c r="B5682" i="17"/>
  <c r="A5682" i="17"/>
  <c r="B5681" i="17"/>
  <c r="A5681" i="17"/>
  <c r="B5680" i="17"/>
  <c r="A5680" i="17"/>
  <c r="B5679" i="17"/>
  <c r="A5679" i="17"/>
  <c r="B5678" i="17"/>
  <c r="A5678" i="17"/>
  <c r="B5677" i="17"/>
  <c r="A5677" i="17"/>
  <c r="B5676" i="17"/>
  <c r="A5676" i="17"/>
  <c r="B5675" i="17"/>
  <c r="A5675" i="17"/>
  <c r="B5674" i="17"/>
  <c r="A5674" i="17"/>
  <c r="B5673" i="17"/>
  <c r="A5673" i="17"/>
  <c r="A5672" i="17"/>
  <c r="A5671" i="17"/>
  <c r="A5670" i="17"/>
  <c r="B5669" i="17"/>
  <c r="A5669" i="17"/>
  <c r="A5668" i="17"/>
  <c r="A5667" i="17"/>
  <c r="B5666" i="17"/>
  <c r="A5666" i="17"/>
  <c r="B5665" i="17"/>
  <c r="A5665" i="17"/>
  <c r="B5664" i="17"/>
  <c r="A5664" i="17"/>
  <c r="B5663" i="17"/>
  <c r="A5663" i="17"/>
  <c r="B5662" i="17"/>
  <c r="A5662" i="17"/>
  <c r="B5661" i="17"/>
  <c r="A5661" i="17"/>
  <c r="B5660" i="17"/>
  <c r="A5660" i="17"/>
  <c r="B5659" i="17"/>
  <c r="A5659" i="17"/>
  <c r="B5658" i="17"/>
  <c r="A5658" i="17"/>
  <c r="B5657" i="17"/>
  <c r="A5657" i="17"/>
  <c r="B5656" i="17"/>
  <c r="A5656" i="17"/>
  <c r="B5655" i="17"/>
  <c r="A5655" i="17"/>
  <c r="B5654" i="17"/>
  <c r="A5654" i="17"/>
  <c r="B5653" i="17"/>
  <c r="A5653" i="17"/>
  <c r="B5652" i="17"/>
  <c r="A5652" i="17"/>
  <c r="B5651" i="17"/>
  <c r="A5651" i="17"/>
  <c r="B5650" i="17"/>
  <c r="A5650" i="17"/>
  <c r="A5649" i="17"/>
  <c r="A5648" i="17"/>
  <c r="A5647" i="17"/>
  <c r="B5646" i="17"/>
  <c r="A5646" i="17"/>
  <c r="B5645" i="17"/>
  <c r="A5645" i="17"/>
  <c r="A5644" i="17"/>
  <c r="B5643" i="17"/>
  <c r="A5643" i="17"/>
  <c r="B5642" i="17"/>
  <c r="A5642" i="17"/>
  <c r="A5641" i="17"/>
  <c r="B5640" i="17"/>
  <c r="A5640" i="17"/>
  <c r="B5639" i="17"/>
  <c r="A5639" i="17"/>
  <c r="B5638" i="17"/>
  <c r="A5638" i="17"/>
  <c r="A5637" i="17"/>
  <c r="A5636" i="17"/>
  <c r="B5635" i="17"/>
  <c r="A5635" i="17"/>
  <c r="A5634" i="17"/>
  <c r="B5633" i="17"/>
  <c r="A5633" i="17"/>
  <c r="B5632" i="17"/>
  <c r="A5632" i="17"/>
  <c r="A5631" i="17"/>
  <c r="A5630" i="17"/>
  <c r="B5629" i="17"/>
  <c r="A5629" i="17"/>
  <c r="A5628" i="17"/>
  <c r="A5627" i="17"/>
  <c r="B5626" i="17"/>
  <c r="A5626" i="17"/>
  <c r="B5625" i="17"/>
  <c r="A5625" i="17"/>
  <c r="B5624" i="17"/>
  <c r="A5624" i="17"/>
  <c r="A5623" i="17"/>
  <c r="A5622" i="17"/>
  <c r="A5621" i="17"/>
  <c r="A5620" i="17"/>
  <c r="B5619" i="17"/>
  <c r="A5619" i="17"/>
  <c r="B5618" i="17"/>
  <c r="A5618" i="17"/>
  <c r="B5617" i="17"/>
  <c r="A5617" i="17"/>
  <c r="B5616" i="17"/>
  <c r="A5616" i="17"/>
  <c r="A5615" i="17"/>
  <c r="A5614" i="17"/>
  <c r="B5613" i="17"/>
  <c r="A5613" i="17"/>
  <c r="A5612" i="17"/>
  <c r="A5611" i="17"/>
  <c r="B5610" i="17"/>
  <c r="A5610" i="17"/>
  <c r="B5609" i="17"/>
  <c r="A5609" i="17"/>
  <c r="B5608" i="17"/>
  <c r="A5608" i="17"/>
  <c r="B5607" i="17"/>
  <c r="A5607" i="17"/>
  <c r="B5606" i="17"/>
  <c r="A5606" i="17"/>
  <c r="B5605" i="17"/>
  <c r="A5605" i="17"/>
  <c r="B5604" i="17"/>
  <c r="A5604" i="17"/>
  <c r="B5603" i="17"/>
  <c r="A5603" i="17"/>
  <c r="B5602" i="17"/>
  <c r="A5602" i="17"/>
  <c r="B5601" i="17"/>
  <c r="A5601" i="17"/>
  <c r="B5600" i="17"/>
  <c r="A5600" i="17"/>
  <c r="B5599" i="17"/>
  <c r="A5599" i="17"/>
  <c r="B5598" i="17"/>
  <c r="A5598" i="17"/>
  <c r="B5597" i="17"/>
  <c r="A5597" i="17"/>
  <c r="A5596" i="17"/>
  <c r="B5595" i="17"/>
  <c r="A5595" i="17"/>
  <c r="A5594" i="17"/>
  <c r="B5593" i="17"/>
  <c r="A5593" i="17"/>
  <c r="B5592" i="17"/>
  <c r="A5592" i="17"/>
  <c r="B5591" i="17"/>
  <c r="A5591" i="17"/>
  <c r="B5590" i="17"/>
  <c r="A5590" i="17"/>
  <c r="B5589" i="17"/>
  <c r="A5589" i="17"/>
  <c r="B5588" i="17"/>
  <c r="A5588" i="17"/>
  <c r="B5587" i="17"/>
  <c r="A5587" i="17"/>
  <c r="A5586" i="17"/>
  <c r="A5585" i="17"/>
  <c r="A5584" i="17"/>
  <c r="A5583" i="17"/>
  <c r="A5582" i="17"/>
  <c r="A5581" i="17"/>
  <c r="B5580" i="17"/>
  <c r="A5580" i="17"/>
  <c r="B5579" i="17"/>
  <c r="A5579" i="17"/>
  <c r="B5578" i="17"/>
  <c r="A5577" i="17"/>
  <c r="A5576" i="17"/>
  <c r="B5575" i="17"/>
  <c r="A5575" i="17"/>
  <c r="A5574" i="17"/>
  <c r="B5573" i="17"/>
  <c r="A5573" i="17"/>
  <c r="A5572" i="17"/>
  <c r="A5571" i="17"/>
  <c r="A5570" i="17"/>
  <c r="A5569" i="17"/>
  <c r="A5568" i="17"/>
  <c r="B5567" i="17"/>
  <c r="A5567" i="17"/>
  <c r="B5566" i="17"/>
  <c r="A5566" i="17"/>
  <c r="A5565" i="17"/>
  <c r="A5564" i="17"/>
  <c r="B5563" i="17"/>
  <c r="A5563" i="17"/>
  <c r="B5562" i="17"/>
  <c r="A5562" i="17"/>
  <c r="B5561" i="17"/>
  <c r="A5561" i="17"/>
  <c r="B5560" i="17"/>
  <c r="A5560" i="17"/>
  <c r="B5559" i="17"/>
  <c r="A5559" i="17"/>
  <c r="B5558" i="17"/>
  <c r="A5558" i="17"/>
  <c r="B5557" i="17"/>
  <c r="A5557" i="17"/>
  <c r="A5556" i="17"/>
  <c r="B5555" i="17"/>
  <c r="A5555" i="17"/>
  <c r="B5554" i="17"/>
  <c r="A5554" i="17"/>
  <c r="B5553" i="17"/>
  <c r="A5553" i="17"/>
  <c r="B5552" i="17"/>
  <c r="A5552" i="17"/>
  <c r="B5551" i="17"/>
  <c r="A5551" i="17"/>
  <c r="B5550" i="17"/>
  <c r="A5550" i="17"/>
  <c r="A5549" i="17"/>
  <c r="B5548" i="17"/>
  <c r="A5548" i="17"/>
  <c r="B5547" i="17"/>
  <c r="A5547" i="17"/>
  <c r="B5546" i="17"/>
  <c r="A5546" i="17"/>
  <c r="B5545" i="17"/>
  <c r="A5545" i="17"/>
  <c r="B5544" i="17"/>
  <c r="A5544" i="17"/>
  <c r="B5543" i="17"/>
  <c r="A5543" i="17"/>
  <c r="B5542" i="17"/>
  <c r="A5542" i="17"/>
  <c r="A5541" i="17"/>
  <c r="B5540" i="17"/>
  <c r="A5540" i="17"/>
  <c r="B5539" i="17"/>
  <c r="A5539" i="17"/>
  <c r="A5538" i="17"/>
  <c r="B5537" i="17"/>
  <c r="A5537" i="17"/>
  <c r="B5536" i="17"/>
  <c r="A5536" i="17"/>
  <c r="B5535" i="17"/>
  <c r="A5535" i="17"/>
  <c r="B5534" i="17"/>
  <c r="A5534" i="17"/>
  <c r="B5533" i="17"/>
  <c r="A5533" i="17"/>
  <c r="B5532" i="17"/>
  <c r="A5532" i="17"/>
  <c r="B5531" i="17"/>
  <c r="A5531" i="17"/>
  <c r="B5530" i="17"/>
  <c r="A5530" i="17"/>
  <c r="A5529" i="17"/>
  <c r="B5528" i="17"/>
  <c r="A5528" i="17"/>
  <c r="B5527" i="17"/>
  <c r="A5527" i="17"/>
  <c r="B5526" i="17"/>
  <c r="A5526" i="17"/>
  <c r="B5525" i="17"/>
  <c r="A5525" i="17"/>
  <c r="B5524" i="17"/>
  <c r="A5524" i="17"/>
  <c r="B5523" i="17"/>
  <c r="A5523" i="17"/>
  <c r="B5522" i="17"/>
  <c r="A5522" i="17"/>
  <c r="B5521" i="17"/>
  <c r="A5521" i="17"/>
  <c r="B5520" i="17"/>
  <c r="A5520" i="17"/>
  <c r="B5519" i="17"/>
  <c r="A5519" i="17"/>
  <c r="B5518" i="17"/>
  <c r="A5518" i="17"/>
  <c r="B5517" i="17"/>
  <c r="A5517" i="17"/>
  <c r="B5516" i="17"/>
  <c r="A5516" i="17"/>
  <c r="B5515" i="17"/>
  <c r="A5515" i="17"/>
  <c r="B5514" i="17"/>
  <c r="A5514" i="17"/>
  <c r="B5513" i="17"/>
  <c r="A5513" i="17"/>
  <c r="B5512" i="17"/>
  <c r="A5512" i="17"/>
  <c r="A5511" i="17"/>
  <c r="B5510" i="17"/>
  <c r="A5510" i="17"/>
  <c r="B5509" i="17"/>
  <c r="A5509" i="17"/>
  <c r="B5508" i="17"/>
  <c r="A5508" i="17"/>
  <c r="B5507" i="17"/>
  <c r="A5507" i="17"/>
  <c r="B5506" i="17"/>
  <c r="A5506" i="17"/>
  <c r="B5505" i="17"/>
  <c r="A5505" i="17"/>
  <c r="B5504" i="17"/>
  <c r="A5504" i="17"/>
  <c r="B5503" i="17"/>
  <c r="A5503" i="17"/>
  <c r="B5502" i="17"/>
  <c r="A5502" i="17"/>
  <c r="B5501" i="17"/>
  <c r="A5501" i="17"/>
  <c r="B5500" i="17"/>
  <c r="A5500" i="17"/>
  <c r="B5499" i="17"/>
  <c r="A5499" i="17"/>
  <c r="B5498" i="17"/>
  <c r="A5498" i="17"/>
  <c r="B5497" i="17"/>
  <c r="A5497" i="17"/>
  <c r="B5496" i="17"/>
  <c r="A5496" i="17"/>
  <c r="B5495" i="17"/>
  <c r="A5495" i="17"/>
  <c r="B5494" i="17"/>
  <c r="A5494" i="17"/>
  <c r="B5493" i="17"/>
  <c r="A5493" i="17"/>
  <c r="B5492" i="17"/>
  <c r="A5492" i="17"/>
  <c r="B5491" i="17"/>
  <c r="A5491" i="17"/>
  <c r="A5490" i="17"/>
  <c r="B5489" i="17"/>
  <c r="A5489" i="17"/>
  <c r="B5488" i="17"/>
  <c r="A5488" i="17"/>
  <c r="B5487" i="17"/>
  <c r="A5487" i="17"/>
  <c r="B5486" i="17"/>
  <c r="A5486" i="17"/>
  <c r="B5485" i="17"/>
  <c r="A5485" i="17"/>
  <c r="A5484" i="17"/>
  <c r="A5483" i="17"/>
  <c r="B5482" i="17"/>
  <c r="A5482" i="17"/>
  <c r="B5481" i="17"/>
  <c r="A5481" i="17"/>
  <c r="B5480" i="17"/>
  <c r="A5480" i="17"/>
  <c r="B5479" i="17"/>
  <c r="A5479" i="17"/>
  <c r="B5478" i="17"/>
  <c r="A5478" i="17"/>
  <c r="B5477" i="17"/>
  <c r="A5477" i="17"/>
  <c r="B5476" i="17"/>
  <c r="A5476" i="17"/>
  <c r="B5475" i="17"/>
  <c r="A5475" i="17"/>
  <c r="B5474" i="17"/>
  <c r="A5474" i="17"/>
  <c r="B5473" i="17"/>
  <c r="A5473" i="17"/>
  <c r="B5472" i="17"/>
  <c r="A5472" i="17"/>
  <c r="B5471" i="17"/>
  <c r="A5471" i="17"/>
  <c r="B5470" i="17"/>
  <c r="A5470" i="17"/>
  <c r="B5469" i="17"/>
  <c r="A5469" i="17"/>
  <c r="B5468" i="17"/>
  <c r="A5468" i="17"/>
  <c r="B5467" i="17"/>
  <c r="A5467" i="17"/>
  <c r="B5466" i="17"/>
  <c r="A5466" i="17"/>
  <c r="B5465" i="17"/>
  <c r="A5465" i="17"/>
  <c r="B5464" i="17"/>
  <c r="A5464" i="17"/>
  <c r="B5463" i="17"/>
  <c r="A5463" i="17"/>
  <c r="B5462" i="17"/>
  <c r="A5462" i="17"/>
  <c r="B5461" i="17"/>
  <c r="A5461" i="17"/>
  <c r="A5460" i="17"/>
  <c r="A5459" i="17"/>
  <c r="A5458" i="17"/>
  <c r="B5457" i="17"/>
  <c r="A5457" i="17"/>
  <c r="B5456" i="17"/>
  <c r="A5456" i="17"/>
  <c r="B5455" i="17"/>
  <c r="A5455" i="17"/>
  <c r="B5454" i="17"/>
  <c r="A5454" i="17"/>
  <c r="A5453" i="17"/>
  <c r="A5452" i="17"/>
  <c r="A5451" i="17"/>
  <c r="B5450" i="17"/>
  <c r="A5450" i="17"/>
  <c r="B5449" i="17"/>
  <c r="A5449" i="17"/>
  <c r="B5448" i="17"/>
  <c r="A5448" i="17"/>
  <c r="B5447" i="17"/>
  <c r="A5447" i="17"/>
  <c r="A5446" i="17"/>
  <c r="A5445" i="17"/>
  <c r="B5444" i="17"/>
  <c r="A5444" i="17"/>
  <c r="B5443" i="17"/>
  <c r="A5443" i="17"/>
  <c r="B5442" i="17"/>
  <c r="A5442" i="17"/>
  <c r="B5441" i="17"/>
  <c r="A5441" i="17"/>
  <c r="B5440" i="17"/>
  <c r="A5440" i="17"/>
  <c r="A5439" i="17"/>
  <c r="A5438" i="17"/>
  <c r="B5437" i="17"/>
  <c r="A5437" i="17"/>
  <c r="B5436" i="17"/>
  <c r="A5436" i="17"/>
  <c r="B5435" i="17"/>
  <c r="A5435" i="17"/>
  <c r="B5434" i="17"/>
  <c r="A5434" i="17"/>
  <c r="B5433" i="17"/>
  <c r="A5433" i="17"/>
  <c r="B5432" i="17"/>
  <c r="A5432" i="17"/>
  <c r="B5431" i="17"/>
  <c r="A5431" i="17"/>
  <c r="A5430" i="17"/>
  <c r="B5429" i="17"/>
  <c r="A5429" i="17"/>
  <c r="A5428" i="17"/>
  <c r="A5427" i="17"/>
  <c r="B5426" i="17"/>
  <c r="A5426" i="17"/>
  <c r="B5425" i="17"/>
  <c r="A5425" i="17"/>
  <c r="B5424" i="17"/>
  <c r="A5424" i="17"/>
  <c r="B5423" i="17"/>
  <c r="A5423" i="17"/>
  <c r="A5422" i="17"/>
  <c r="B5421" i="17"/>
  <c r="A5421" i="17"/>
  <c r="B5420" i="17"/>
  <c r="A5420" i="17"/>
  <c r="B5419" i="17"/>
  <c r="A5419" i="17"/>
  <c r="A5418" i="17"/>
  <c r="A5417" i="17"/>
  <c r="A5416" i="17"/>
  <c r="B5415" i="17"/>
  <c r="A5415" i="17"/>
  <c r="B5414" i="17"/>
  <c r="A5414" i="17"/>
  <c r="B5413" i="17"/>
  <c r="A5413" i="17"/>
  <c r="B5412" i="17"/>
  <c r="A5412" i="17"/>
  <c r="B5411" i="17"/>
  <c r="A5411" i="17"/>
  <c r="B5410" i="17"/>
  <c r="A5410" i="17"/>
  <c r="A5409" i="17"/>
  <c r="A5408" i="17"/>
  <c r="A5407" i="17"/>
  <c r="B5406" i="17"/>
  <c r="A5406" i="17"/>
  <c r="B5405" i="17"/>
  <c r="A5405" i="17"/>
  <c r="A5404" i="17"/>
  <c r="B5403" i="17"/>
  <c r="A5403" i="17"/>
  <c r="B5402" i="17"/>
  <c r="A5402" i="17"/>
  <c r="B5401" i="17"/>
  <c r="A5401" i="17"/>
  <c r="A5400" i="17"/>
  <c r="A5399" i="17"/>
  <c r="A5398" i="17"/>
  <c r="B5397" i="17"/>
  <c r="A5397" i="17"/>
  <c r="B5396" i="17"/>
  <c r="A5396" i="17"/>
  <c r="B5395" i="17"/>
  <c r="A5395" i="17"/>
  <c r="B5394" i="17"/>
  <c r="A5394" i="17"/>
  <c r="B5393" i="17"/>
  <c r="A5393" i="17"/>
  <c r="B5392" i="17"/>
  <c r="A5392" i="17"/>
  <c r="B5391" i="17"/>
  <c r="A5391" i="17"/>
  <c r="B5390" i="17"/>
  <c r="A5390" i="17"/>
  <c r="A5389" i="17"/>
  <c r="A5388" i="17"/>
  <c r="B5387" i="17"/>
  <c r="A5387" i="17"/>
  <c r="B5386" i="17"/>
  <c r="A5386" i="17"/>
  <c r="B5385" i="17"/>
  <c r="A5385" i="17"/>
  <c r="B5384" i="17"/>
  <c r="A5384" i="17"/>
  <c r="B5383" i="17"/>
  <c r="A5383" i="17"/>
  <c r="A5382" i="17"/>
  <c r="B5381" i="17"/>
  <c r="A5381" i="17"/>
  <c r="B5380" i="17"/>
  <c r="A5380" i="17"/>
  <c r="B5379" i="17"/>
  <c r="A5379" i="17"/>
  <c r="B5378" i="17"/>
  <c r="A5378" i="17"/>
  <c r="B5377" i="17"/>
  <c r="A5377" i="17"/>
  <c r="A5376" i="17"/>
  <c r="B5375" i="17"/>
  <c r="A5375" i="17"/>
  <c r="B5374" i="17"/>
  <c r="A5374" i="17"/>
  <c r="B5373" i="17"/>
  <c r="A5373" i="17"/>
  <c r="B5372" i="17"/>
  <c r="A5372" i="17"/>
  <c r="B5371" i="17"/>
  <c r="A5371" i="17"/>
  <c r="B5370" i="17"/>
  <c r="A5370" i="17"/>
  <c r="B5369" i="17"/>
  <c r="A5369" i="17"/>
  <c r="B5368" i="17"/>
  <c r="A5368" i="17"/>
  <c r="B5367" i="17"/>
  <c r="A5367" i="17"/>
  <c r="B5366" i="17"/>
  <c r="A5366" i="17"/>
  <c r="B5365" i="17"/>
  <c r="A5365" i="17"/>
  <c r="B5364" i="17"/>
  <c r="A5364" i="17"/>
  <c r="B5363" i="17"/>
  <c r="A5363" i="17"/>
  <c r="B5362" i="17"/>
  <c r="A5362" i="17"/>
  <c r="B5361" i="17"/>
  <c r="A5361" i="17"/>
  <c r="B5360" i="17"/>
  <c r="A5360" i="17"/>
  <c r="B5359" i="17"/>
  <c r="A5359" i="17"/>
  <c r="B5358" i="17"/>
  <c r="A5358" i="17"/>
  <c r="B5357" i="17"/>
  <c r="A5357" i="17"/>
  <c r="B5356" i="17"/>
  <c r="A5356" i="17"/>
  <c r="B5355" i="17"/>
  <c r="A5355" i="17"/>
  <c r="B5354" i="17"/>
  <c r="A5354" i="17"/>
  <c r="B5353" i="17"/>
  <c r="A5353" i="17"/>
  <c r="B5352" i="17"/>
  <c r="A5352" i="17"/>
  <c r="B5351" i="17"/>
  <c r="A5351" i="17"/>
  <c r="B5350" i="17"/>
  <c r="A5350" i="17"/>
  <c r="B5349" i="17"/>
  <c r="A5349" i="17"/>
  <c r="B5348" i="17"/>
  <c r="A5348" i="17"/>
  <c r="B5347" i="17"/>
  <c r="A5347" i="17"/>
  <c r="A5346" i="17"/>
  <c r="A5345" i="17"/>
  <c r="B5344" i="17"/>
  <c r="A5344" i="17"/>
  <c r="A5343" i="17"/>
  <c r="B5342" i="17"/>
  <c r="A5342" i="17"/>
  <c r="B5341" i="17"/>
  <c r="A5341" i="17"/>
  <c r="B5340" i="17"/>
  <c r="A5340" i="17"/>
  <c r="A5339" i="17"/>
  <c r="A5338" i="17"/>
  <c r="B5337" i="17"/>
  <c r="A5337" i="17"/>
  <c r="B5336" i="17"/>
  <c r="A5336" i="17"/>
  <c r="B5335" i="17"/>
  <c r="A5335" i="17"/>
  <c r="B5334" i="17"/>
  <c r="A5334" i="17"/>
  <c r="A5333" i="17"/>
  <c r="B5332" i="17"/>
  <c r="A5332" i="17"/>
  <c r="B5331" i="17"/>
  <c r="A5331" i="17"/>
  <c r="B5330" i="17"/>
  <c r="A5330" i="17"/>
  <c r="B5329" i="17"/>
  <c r="A5329" i="17"/>
  <c r="B5328" i="17"/>
  <c r="A5328" i="17"/>
  <c r="A5327" i="17"/>
  <c r="B5326" i="17"/>
  <c r="A5326" i="17"/>
  <c r="B5325" i="17"/>
  <c r="A5325" i="17"/>
  <c r="B5324" i="17"/>
  <c r="A5324" i="17"/>
  <c r="B5323" i="17"/>
  <c r="A5323" i="17"/>
  <c r="B5322" i="17"/>
  <c r="A5322" i="17"/>
  <c r="B5321" i="17"/>
  <c r="A5321" i="17"/>
  <c r="B5320" i="17"/>
  <c r="A5320" i="17"/>
  <c r="B5319" i="17"/>
  <c r="A5319" i="17"/>
  <c r="B5318" i="17"/>
  <c r="A5318" i="17"/>
  <c r="A5317" i="17"/>
  <c r="A5316" i="17"/>
  <c r="A5315" i="17"/>
  <c r="A5314" i="17"/>
  <c r="B5313" i="17"/>
  <c r="A5313" i="17"/>
  <c r="A5312" i="17"/>
  <c r="A5311" i="17"/>
  <c r="A5310" i="17"/>
  <c r="B5309" i="17"/>
  <c r="A5309" i="17"/>
  <c r="A5308" i="17"/>
  <c r="A5307" i="17"/>
  <c r="B5306" i="17"/>
  <c r="A5306" i="17"/>
  <c r="B5305" i="17"/>
  <c r="A5305" i="17"/>
  <c r="B5304" i="17"/>
  <c r="A5304" i="17"/>
  <c r="B5303" i="17"/>
  <c r="A5303" i="17"/>
  <c r="B5302" i="17"/>
  <c r="A5302" i="17"/>
  <c r="B5301" i="17"/>
  <c r="A5301" i="17"/>
  <c r="A5300" i="17"/>
  <c r="B5299" i="17"/>
  <c r="A5299" i="17"/>
  <c r="B5298" i="17"/>
  <c r="A5298" i="17"/>
  <c r="B5297" i="17"/>
  <c r="A5297" i="17"/>
  <c r="B5296" i="17"/>
  <c r="A5296" i="17"/>
  <c r="A5295" i="17"/>
  <c r="B5294" i="17"/>
  <c r="A5294" i="17"/>
  <c r="B5293" i="17"/>
  <c r="A5293" i="17"/>
  <c r="B5292" i="17"/>
  <c r="A5292" i="17"/>
  <c r="B5291" i="17"/>
  <c r="A5291" i="17"/>
  <c r="B5290" i="17"/>
  <c r="A5290" i="17"/>
  <c r="B5289" i="17"/>
  <c r="A5289" i="17"/>
  <c r="B5288" i="17"/>
  <c r="A5288" i="17"/>
  <c r="B5287" i="17"/>
  <c r="A5287" i="17"/>
  <c r="B5286" i="17"/>
  <c r="A5286" i="17"/>
  <c r="B5285" i="17"/>
  <c r="A5285" i="17"/>
  <c r="B5284" i="17"/>
  <c r="A5284" i="17"/>
  <c r="B5283" i="17"/>
  <c r="A5283" i="17"/>
  <c r="B5282" i="17"/>
  <c r="A5282" i="17"/>
  <c r="B5281" i="17"/>
  <c r="A5281" i="17"/>
  <c r="B5280" i="17"/>
  <c r="A5280" i="17"/>
  <c r="A5279" i="17"/>
  <c r="B5278" i="17"/>
  <c r="A5278" i="17"/>
  <c r="B5277" i="17"/>
  <c r="A5277" i="17"/>
  <c r="B5276" i="17"/>
  <c r="A5276" i="17"/>
  <c r="B5275" i="17"/>
  <c r="A5275" i="17"/>
  <c r="B5274" i="17"/>
  <c r="A5274" i="17"/>
  <c r="B5273" i="17"/>
  <c r="A5273" i="17"/>
  <c r="B5272" i="17"/>
  <c r="A5272" i="17"/>
  <c r="B5271" i="17"/>
  <c r="A5271" i="17"/>
  <c r="B5270" i="17"/>
  <c r="A5270" i="17"/>
  <c r="B5269" i="17"/>
  <c r="A5269" i="17"/>
  <c r="B5268" i="17"/>
  <c r="A5268" i="17"/>
  <c r="B5267" i="17"/>
  <c r="A5267" i="17"/>
  <c r="B5266" i="17"/>
  <c r="A5266" i="17"/>
  <c r="B5265" i="17"/>
  <c r="A5265" i="17"/>
  <c r="B5264" i="17"/>
  <c r="A5264" i="17"/>
  <c r="B5263" i="17"/>
  <c r="A5263" i="17"/>
  <c r="A5262" i="17"/>
  <c r="B5261" i="17"/>
  <c r="A5261" i="17"/>
  <c r="B5260" i="17"/>
  <c r="A5260" i="17"/>
  <c r="B5259" i="17"/>
  <c r="A5259" i="17"/>
  <c r="B5258" i="17"/>
  <c r="A5258" i="17"/>
  <c r="B5257" i="17"/>
  <c r="A5257" i="17"/>
  <c r="B5256" i="17"/>
  <c r="A5256" i="17"/>
  <c r="B5255" i="17"/>
  <c r="A5255" i="17"/>
  <c r="B5254" i="17"/>
  <c r="A5254" i="17"/>
  <c r="B5253" i="17"/>
  <c r="A5253" i="17"/>
  <c r="B5252" i="17"/>
  <c r="A5252" i="17"/>
  <c r="B5251" i="17"/>
  <c r="A5251" i="17"/>
  <c r="B5250" i="17"/>
  <c r="A5250" i="17"/>
  <c r="B5249" i="17"/>
  <c r="A5249" i="17"/>
  <c r="B5248" i="17"/>
  <c r="A5248" i="17"/>
  <c r="B5247" i="17"/>
  <c r="A5247" i="17"/>
  <c r="B5246" i="17"/>
  <c r="A5246" i="17"/>
  <c r="B5245" i="17"/>
  <c r="A5245" i="17"/>
  <c r="B5244" i="17"/>
  <c r="A5244" i="17"/>
  <c r="B5243" i="17"/>
  <c r="A5243" i="17"/>
  <c r="B5242" i="17"/>
  <c r="A5242" i="17"/>
  <c r="B5241" i="17"/>
  <c r="A5241" i="17"/>
  <c r="B5240" i="17"/>
  <c r="A5240" i="17"/>
  <c r="B5239" i="17"/>
  <c r="A5239" i="17"/>
  <c r="A5238" i="17"/>
  <c r="B5237" i="17"/>
  <c r="A5237" i="17"/>
  <c r="B5236" i="17"/>
  <c r="A5236" i="17"/>
  <c r="B5235" i="17"/>
  <c r="A5235" i="17"/>
  <c r="A5234" i="17"/>
  <c r="B5233" i="17"/>
  <c r="A5233" i="17"/>
  <c r="B5232" i="17"/>
  <c r="A5232" i="17"/>
  <c r="B5231" i="17"/>
  <c r="A5231" i="17"/>
  <c r="B5230" i="17"/>
  <c r="A5230" i="17"/>
  <c r="B5229" i="17"/>
  <c r="A5229" i="17"/>
  <c r="B5228" i="17"/>
  <c r="A5228" i="17"/>
  <c r="B5227" i="17"/>
  <c r="A5227" i="17"/>
  <c r="B5226" i="17"/>
  <c r="A5226" i="17"/>
  <c r="B5225" i="17"/>
  <c r="A5225" i="17"/>
  <c r="B5224" i="17"/>
  <c r="A5224" i="17"/>
  <c r="B5223" i="17"/>
  <c r="A5223" i="17"/>
  <c r="B5222" i="17"/>
  <c r="A5222" i="17"/>
  <c r="B5221" i="17"/>
  <c r="A5221" i="17"/>
  <c r="B5220" i="17"/>
  <c r="A5220" i="17"/>
  <c r="B5219" i="17"/>
  <c r="A5219" i="17"/>
  <c r="B5218" i="17"/>
  <c r="A5218" i="17"/>
  <c r="B5217" i="17"/>
  <c r="A5217" i="17"/>
  <c r="B5216" i="17"/>
  <c r="A5216" i="17"/>
  <c r="B5215" i="17"/>
  <c r="A5215" i="17"/>
  <c r="B5214" i="17"/>
  <c r="A5214" i="17"/>
  <c r="B5213" i="17"/>
  <c r="A5213" i="17"/>
  <c r="B5212" i="17"/>
  <c r="A5212" i="17"/>
  <c r="A5211" i="17"/>
  <c r="B5210" i="17"/>
  <c r="A5210" i="17"/>
  <c r="B5209" i="17"/>
  <c r="A5209" i="17"/>
  <c r="B5208" i="17"/>
  <c r="A5208" i="17"/>
  <c r="B5207" i="17"/>
  <c r="A5207" i="17"/>
  <c r="B5206" i="17"/>
  <c r="A5206" i="17"/>
  <c r="B5205" i="17"/>
  <c r="A5205" i="17"/>
  <c r="A5204" i="17"/>
  <c r="B5203" i="17"/>
  <c r="A5203" i="17"/>
  <c r="B5202" i="17"/>
  <c r="A5202" i="17"/>
  <c r="B5201" i="17"/>
  <c r="A5201" i="17"/>
  <c r="B5200" i="17"/>
  <c r="A5200" i="17"/>
  <c r="B5199" i="17"/>
  <c r="A5199" i="17"/>
  <c r="B5198" i="17"/>
  <c r="A5198" i="17"/>
  <c r="B5197" i="17"/>
  <c r="A5197" i="17"/>
  <c r="B5196" i="17"/>
  <c r="A5196" i="17"/>
  <c r="B5195" i="17"/>
  <c r="A5195" i="17"/>
  <c r="B5194" i="17"/>
  <c r="A5194" i="17"/>
  <c r="B5193" i="17"/>
  <c r="A5193" i="17"/>
  <c r="B5192" i="17"/>
  <c r="A5192" i="17"/>
  <c r="B5191" i="17"/>
  <c r="A5191" i="17"/>
  <c r="B5190" i="17"/>
  <c r="A5190" i="17"/>
  <c r="B5189" i="17"/>
  <c r="A5189" i="17"/>
  <c r="B5188" i="17"/>
  <c r="A5188" i="17"/>
  <c r="B5187" i="17"/>
  <c r="A5187" i="17"/>
  <c r="B5186" i="17"/>
  <c r="A5186" i="17"/>
  <c r="B5185" i="17"/>
  <c r="A5185" i="17"/>
  <c r="B5184" i="17"/>
  <c r="A5184" i="17"/>
  <c r="B5183" i="17"/>
  <c r="A5183" i="17"/>
  <c r="B5182" i="17"/>
  <c r="A5182" i="17"/>
  <c r="B5181" i="17"/>
  <c r="A5181" i="17"/>
  <c r="B5180" i="17"/>
  <c r="A5180" i="17"/>
  <c r="B5179" i="17"/>
  <c r="A5179" i="17"/>
  <c r="B5178" i="17"/>
  <c r="A5178" i="17"/>
  <c r="B5177" i="17"/>
  <c r="A5177" i="17"/>
  <c r="B5176" i="17"/>
  <c r="A5176" i="17"/>
  <c r="B5175" i="17"/>
  <c r="A5175" i="17"/>
  <c r="B5174" i="17"/>
  <c r="A5174" i="17"/>
  <c r="B5173" i="17"/>
  <c r="A5173" i="17"/>
  <c r="B5172" i="17"/>
  <c r="A5172" i="17"/>
  <c r="B5171" i="17"/>
  <c r="A5171" i="17"/>
  <c r="B5170" i="17"/>
  <c r="A5170" i="17"/>
  <c r="B5169" i="17"/>
  <c r="A5169" i="17"/>
  <c r="B5168" i="17"/>
  <c r="A5168" i="17"/>
  <c r="B5167" i="17"/>
  <c r="A5167" i="17"/>
  <c r="B5166" i="17"/>
  <c r="A5166" i="17"/>
  <c r="B5165" i="17"/>
  <c r="A5165" i="17"/>
  <c r="B5164" i="17"/>
  <c r="A5164" i="17"/>
  <c r="B5163" i="17"/>
  <c r="A5163" i="17"/>
  <c r="B5162" i="17"/>
  <c r="A5162" i="17"/>
  <c r="B5161" i="17"/>
  <c r="A5161" i="17"/>
  <c r="B5160" i="17"/>
  <c r="A5160" i="17"/>
  <c r="B5159" i="17"/>
  <c r="A5159" i="17"/>
  <c r="B5158" i="17"/>
  <c r="A5158" i="17"/>
  <c r="B5157" i="17"/>
  <c r="A5157" i="17"/>
  <c r="B5156" i="17"/>
  <c r="A5156" i="17"/>
  <c r="B5155" i="17"/>
  <c r="A5155" i="17"/>
  <c r="B5154" i="17"/>
  <c r="A5154" i="17"/>
  <c r="B5153" i="17"/>
  <c r="A5153" i="17"/>
  <c r="B5152" i="17"/>
  <c r="A5152" i="17"/>
  <c r="B5151" i="17"/>
  <c r="A5151" i="17"/>
  <c r="B5150" i="17"/>
  <c r="A5150" i="17"/>
  <c r="B5149" i="17"/>
  <c r="A5149" i="17"/>
  <c r="A5148" i="17"/>
  <c r="B5147" i="17"/>
  <c r="A5147" i="17"/>
  <c r="B5146" i="17"/>
  <c r="A5146" i="17"/>
  <c r="B5145" i="17"/>
  <c r="A5145" i="17"/>
  <c r="B5144" i="17"/>
  <c r="A5144" i="17"/>
  <c r="B5143" i="17"/>
  <c r="A5143" i="17"/>
  <c r="B5142" i="17"/>
  <c r="A5142" i="17"/>
  <c r="B5141" i="17"/>
  <c r="A5141" i="17"/>
  <c r="B5140" i="17"/>
  <c r="A5140" i="17"/>
  <c r="B5139" i="17"/>
  <c r="A5139" i="17"/>
  <c r="B5138" i="17"/>
  <c r="A5138" i="17"/>
  <c r="B5137" i="17"/>
  <c r="A5137" i="17"/>
  <c r="B5136" i="17"/>
  <c r="A5136" i="17"/>
  <c r="A5135" i="17"/>
  <c r="B5134" i="17"/>
  <c r="A5134" i="17"/>
  <c r="B5133" i="17"/>
  <c r="A5133" i="17"/>
  <c r="B5132" i="17"/>
  <c r="A5132" i="17"/>
  <c r="B5131" i="17"/>
  <c r="A5131" i="17"/>
  <c r="B5130" i="17"/>
  <c r="A5130" i="17"/>
  <c r="B5129" i="17"/>
  <c r="A5129" i="17"/>
  <c r="B5128" i="17"/>
  <c r="A5128" i="17"/>
  <c r="B5127" i="17"/>
  <c r="A5127" i="17"/>
  <c r="B5126" i="17"/>
  <c r="A5126" i="17"/>
  <c r="B5125" i="17"/>
  <c r="A5125" i="17"/>
  <c r="B5124" i="17"/>
  <c r="A5124" i="17"/>
  <c r="B5123" i="17"/>
  <c r="A5123" i="17"/>
  <c r="A5122" i="17"/>
  <c r="B5121" i="17"/>
  <c r="A5121" i="17"/>
  <c r="B5120" i="17"/>
  <c r="A5120" i="17"/>
  <c r="A5119" i="17"/>
  <c r="B5118" i="17"/>
  <c r="A5118" i="17"/>
  <c r="B5117" i="17"/>
  <c r="A5117" i="17"/>
  <c r="B5116" i="17"/>
  <c r="A5116" i="17"/>
  <c r="B5115" i="17"/>
  <c r="A5115" i="17"/>
  <c r="A5114" i="17"/>
  <c r="B5113" i="17"/>
  <c r="A5113" i="17"/>
  <c r="B5112" i="17"/>
  <c r="A5112" i="17"/>
  <c r="B5111" i="17"/>
  <c r="A5111" i="17"/>
  <c r="B5110" i="17"/>
  <c r="A5110" i="17"/>
  <c r="B5109" i="17"/>
  <c r="A5109" i="17"/>
  <c r="B5108" i="17"/>
  <c r="A5108" i="17"/>
  <c r="B5107" i="17"/>
  <c r="A5107" i="17"/>
  <c r="B5106" i="17"/>
  <c r="A5106" i="17"/>
  <c r="B5105" i="17"/>
  <c r="A5105" i="17"/>
  <c r="B5104" i="17"/>
  <c r="A5104" i="17"/>
  <c r="B5103" i="17"/>
  <c r="A5103" i="17"/>
  <c r="B5102" i="17"/>
  <c r="A5102" i="17"/>
  <c r="B5101" i="17"/>
  <c r="A5101" i="17"/>
  <c r="B5100" i="17"/>
  <c r="A5100" i="17"/>
  <c r="B5099" i="17"/>
  <c r="A5099" i="17"/>
  <c r="B5098" i="17"/>
  <c r="A5098" i="17"/>
  <c r="B5097" i="17"/>
  <c r="A5097" i="17"/>
  <c r="B5096" i="17"/>
  <c r="A5096" i="17"/>
  <c r="B5095" i="17"/>
  <c r="A5095" i="17"/>
  <c r="B5094" i="17"/>
  <c r="A5094" i="17"/>
  <c r="A5093" i="17"/>
  <c r="B5092" i="17"/>
  <c r="A5092" i="17"/>
  <c r="A5091" i="17"/>
  <c r="A5090" i="17"/>
  <c r="B5089" i="17"/>
  <c r="A5089" i="17"/>
  <c r="B5088" i="17"/>
  <c r="A5088" i="17"/>
  <c r="B5087" i="17"/>
  <c r="A5087" i="17"/>
  <c r="B5086" i="17"/>
  <c r="A5086" i="17"/>
  <c r="B5085" i="17"/>
  <c r="A5085" i="17"/>
  <c r="B5084" i="17"/>
  <c r="A5084" i="17"/>
  <c r="B5083" i="17"/>
  <c r="A5083" i="17"/>
  <c r="B5082" i="17"/>
  <c r="A5082" i="17"/>
  <c r="B5081" i="17"/>
  <c r="A5081" i="17"/>
  <c r="B5080" i="17"/>
  <c r="A5080" i="17"/>
  <c r="B5079" i="17"/>
  <c r="A5079" i="17"/>
  <c r="B5078" i="17"/>
  <c r="A5078" i="17"/>
  <c r="B5077" i="17"/>
  <c r="A5077" i="17"/>
  <c r="B5076" i="17"/>
  <c r="A5076" i="17"/>
  <c r="B5075" i="17"/>
  <c r="A5075" i="17"/>
  <c r="B5074" i="17"/>
  <c r="A5074" i="17"/>
  <c r="B5073" i="17"/>
  <c r="A5073" i="17"/>
  <c r="B5072" i="17"/>
  <c r="A5072" i="17"/>
  <c r="B5071" i="17"/>
  <c r="A5071" i="17"/>
  <c r="B5070" i="17"/>
  <c r="A5070" i="17"/>
  <c r="B5069" i="17"/>
  <c r="A5069" i="17"/>
  <c r="B5068" i="17"/>
  <c r="A5068" i="17"/>
  <c r="B5067" i="17"/>
  <c r="A5067" i="17"/>
  <c r="B5066" i="17"/>
  <c r="A5066" i="17"/>
  <c r="B5065" i="17"/>
  <c r="A5065" i="17"/>
  <c r="B5064" i="17"/>
  <c r="A5064" i="17"/>
  <c r="B5063" i="17"/>
  <c r="A5063" i="17"/>
  <c r="B5062" i="17"/>
  <c r="A5062" i="17"/>
  <c r="B5061" i="17"/>
  <c r="A5061" i="17"/>
  <c r="B5060" i="17"/>
  <c r="A5060" i="17"/>
  <c r="B5059" i="17"/>
  <c r="A5059" i="17"/>
  <c r="B5058" i="17"/>
  <c r="A5058" i="17"/>
  <c r="B5057" i="17"/>
  <c r="A5057" i="17"/>
  <c r="B5056" i="17"/>
  <c r="A5056" i="17"/>
  <c r="B5055" i="17"/>
  <c r="A5055" i="17"/>
  <c r="B5054" i="17"/>
  <c r="A5054" i="17"/>
  <c r="B5053" i="17"/>
  <c r="A5053" i="17"/>
  <c r="B5052" i="17"/>
  <c r="A5052" i="17"/>
  <c r="B5051" i="17"/>
  <c r="A5051" i="17"/>
  <c r="B5050" i="17"/>
  <c r="A5050" i="17"/>
  <c r="B5049" i="17"/>
  <c r="A5049" i="17"/>
  <c r="B5048" i="17"/>
  <c r="A5048" i="17"/>
  <c r="B5047" i="17"/>
  <c r="A5047" i="17"/>
  <c r="B5046" i="17"/>
  <c r="A5046" i="17"/>
  <c r="B5045" i="17"/>
  <c r="A5045" i="17"/>
  <c r="B5044" i="17"/>
  <c r="A5044" i="17"/>
  <c r="B5043" i="17"/>
  <c r="A5043" i="17"/>
  <c r="B5042" i="17"/>
  <c r="A5042" i="17"/>
  <c r="A5041" i="17"/>
  <c r="B5040" i="17"/>
  <c r="A5040" i="17"/>
  <c r="B5039" i="17"/>
  <c r="A5039" i="17"/>
  <c r="B5038" i="17"/>
  <c r="A5038" i="17"/>
  <c r="B5037" i="17"/>
  <c r="A5037" i="17"/>
  <c r="B5036" i="17"/>
  <c r="A5036" i="17"/>
  <c r="B5035" i="17"/>
  <c r="A5035" i="17"/>
  <c r="B5034" i="17"/>
  <c r="A5034" i="17"/>
  <c r="B5033" i="17"/>
  <c r="A5033" i="17"/>
  <c r="B5032" i="17"/>
  <c r="A5032" i="17"/>
  <c r="B5031" i="17"/>
  <c r="A5031" i="17"/>
  <c r="B5030" i="17"/>
  <c r="A5030" i="17"/>
  <c r="B5029" i="17"/>
  <c r="A5029" i="17"/>
  <c r="B5028" i="17"/>
  <c r="A5028" i="17"/>
  <c r="B5025" i="17"/>
  <c r="A5025" i="17"/>
  <c r="B5024" i="17"/>
  <c r="A5024" i="17"/>
  <c r="B5023" i="17"/>
  <c r="A5023" i="17"/>
  <c r="A5022" i="17"/>
  <c r="B5021" i="17"/>
  <c r="A5021" i="17"/>
  <c r="A5020" i="17"/>
  <c r="B5019" i="17"/>
  <c r="A5019" i="17"/>
  <c r="B5018" i="17"/>
  <c r="A5018" i="17"/>
  <c r="B5017" i="17"/>
  <c r="A5017" i="17"/>
  <c r="B5016" i="17"/>
  <c r="A5016" i="17"/>
  <c r="B5015" i="17"/>
  <c r="A5015" i="17"/>
  <c r="B5014" i="17"/>
  <c r="A5014" i="17"/>
  <c r="B5013" i="17"/>
  <c r="A5013" i="17"/>
  <c r="B5012" i="17"/>
  <c r="A5012" i="17"/>
  <c r="B5011" i="17"/>
  <c r="A5011" i="17"/>
  <c r="B5010" i="17"/>
  <c r="A5010" i="17"/>
  <c r="B5009" i="17"/>
  <c r="A5009" i="17"/>
  <c r="B5008" i="17"/>
  <c r="A5008" i="17"/>
  <c r="B5007" i="17"/>
  <c r="A5007" i="17"/>
  <c r="A5006" i="17"/>
  <c r="B5005" i="17"/>
  <c r="A5005" i="17"/>
  <c r="B5004" i="17"/>
  <c r="A5004" i="17"/>
  <c r="B5003" i="17"/>
  <c r="A5003" i="17"/>
  <c r="B5002" i="17"/>
  <c r="A5002" i="17"/>
  <c r="A5001" i="17"/>
  <c r="A5000" i="17"/>
  <c r="A4999" i="17"/>
  <c r="A4998" i="17"/>
  <c r="B4997" i="17"/>
  <c r="A4997" i="17"/>
  <c r="B4996" i="17"/>
  <c r="A4996" i="17"/>
  <c r="B4995" i="17"/>
  <c r="A4995" i="17"/>
  <c r="B4994" i="17"/>
  <c r="A4994" i="17"/>
  <c r="B4993" i="17"/>
  <c r="A4993" i="17"/>
  <c r="B4992" i="17"/>
  <c r="A4992" i="17"/>
  <c r="B4991" i="17"/>
  <c r="A4991" i="17"/>
  <c r="B4990" i="17"/>
  <c r="A4990" i="17"/>
  <c r="B4989" i="17"/>
  <c r="A4989" i="17"/>
  <c r="B4987" i="17"/>
  <c r="A4987" i="17"/>
  <c r="B4986" i="17"/>
  <c r="A4986" i="17"/>
  <c r="B4985" i="17"/>
  <c r="A4985" i="17"/>
  <c r="B4984" i="17"/>
  <c r="A4984" i="17"/>
  <c r="B4983" i="17"/>
  <c r="A4983" i="17"/>
  <c r="B4982" i="17"/>
  <c r="A4982" i="17"/>
  <c r="B4981" i="17"/>
  <c r="A4981" i="17"/>
  <c r="B4980" i="17"/>
  <c r="A4980" i="17"/>
  <c r="B4979" i="17"/>
  <c r="A4979" i="17"/>
  <c r="B4978" i="17"/>
  <c r="A4978" i="17"/>
  <c r="B4977" i="17"/>
  <c r="A4977" i="17"/>
  <c r="B4976" i="17"/>
  <c r="A4976" i="17"/>
  <c r="B4975" i="17"/>
  <c r="A4975" i="17"/>
  <c r="B4974" i="17"/>
  <c r="A4974" i="17"/>
  <c r="B4973" i="17"/>
  <c r="A4973" i="17"/>
  <c r="B4972" i="17"/>
  <c r="A4972" i="17"/>
  <c r="B4971" i="17"/>
  <c r="A4971" i="17"/>
  <c r="B4970" i="17"/>
  <c r="A4970" i="17"/>
  <c r="B4969" i="17"/>
  <c r="A4969" i="17"/>
  <c r="B4968" i="17"/>
  <c r="A4968" i="17"/>
  <c r="B4967" i="17"/>
  <c r="A4967" i="17"/>
  <c r="B4966" i="17"/>
  <c r="A4966" i="17"/>
  <c r="B4965" i="17"/>
  <c r="A4965" i="17"/>
  <c r="B4964" i="17"/>
  <c r="A4964" i="17"/>
  <c r="B4962" i="17"/>
  <c r="A4962" i="17"/>
  <c r="B4961" i="17"/>
  <c r="A4961" i="17"/>
  <c r="B4960" i="17"/>
  <c r="A4960" i="17"/>
  <c r="B4959" i="17"/>
  <c r="A4959" i="17"/>
  <c r="B4958" i="17"/>
  <c r="A4958" i="17"/>
  <c r="B4957" i="17"/>
  <c r="A4957" i="17"/>
  <c r="B4956" i="17"/>
  <c r="A4956" i="17"/>
  <c r="B4955" i="17"/>
  <c r="A4955" i="17"/>
  <c r="B4954" i="17"/>
  <c r="A4954" i="17"/>
  <c r="B4953" i="17"/>
  <c r="A4953" i="17"/>
  <c r="B4952" i="17"/>
  <c r="A4952" i="17"/>
  <c r="B4951" i="17"/>
  <c r="A4951" i="17"/>
  <c r="A4950" i="17"/>
  <c r="A4949" i="17"/>
  <c r="B4948" i="17"/>
  <c r="A4948" i="17"/>
  <c r="A4947" i="17"/>
  <c r="A4946" i="17"/>
  <c r="B4945" i="17"/>
  <c r="A4945" i="17"/>
  <c r="B4944" i="17"/>
  <c r="A4944" i="17"/>
  <c r="B4943" i="17"/>
  <c r="A4943" i="17"/>
  <c r="B4942" i="17"/>
  <c r="A4942" i="17"/>
  <c r="B4941" i="17"/>
  <c r="A4941" i="17"/>
  <c r="B4940" i="17"/>
  <c r="A4940" i="17"/>
  <c r="B4939" i="17"/>
  <c r="A4939" i="17"/>
  <c r="B4938" i="17"/>
  <c r="A4938" i="17"/>
  <c r="B4937" i="17"/>
  <c r="A4937" i="17"/>
  <c r="A4936" i="17"/>
  <c r="B4935" i="17"/>
  <c r="A4935" i="17"/>
  <c r="B4934" i="17"/>
  <c r="A4934" i="17"/>
  <c r="B4933" i="17"/>
  <c r="A4933" i="17"/>
  <c r="B4932" i="17"/>
  <c r="A4932" i="17"/>
  <c r="B4931" i="17"/>
  <c r="A4931" i="17"/>
  <c r="B4930" i="17"/>
  <c r="A4930" i="17"/>
  <c r="B4929" i="17"/>
  <c r="A4929" i="17"/>
  <c r="A4928" i="17"/>
  <c r="B4927" i="17"/>
  <c r="A4927" i="17"/>
  <c r="B4926" i="17"/>
  <c r="A4926" i="17"/>
  <c r="B4925" i="17"/>
  <c r="A4925" i="17"/>
  <c r="B4924" i="17"/>
  <c r="A4924" i="17"/>
  <c r="B4923" i="17"/>
  <c r="A4923" i="17"/>
  <c r="B4922" i="17"/>
  <c r="A4922" i="17"/>
  <c r="B4921" i="17"/>
  <c r="A4921" i="17"/>
  <c r="B4920" i="17"/>
  <c r="A4920" i="17"/>
  <c r="B4919" i="17"/>
  <c r="A4919" i="17"/>
  <c r="B4918" i="17"/>
  <c r="A4918" i="17"/>
  <c r="B4917" i="17"/>
  <c r="A4917" i="17"/>
  <c r="B4916" i="17"/>
  <c r="A4916" i="17"/>
  <c r="B4915" i="17"/>
  <c r="A4915" i="17"/>
  <c r="B4914" i="17"/>
  <c r="A4914" i="17"/>
  <c r="B4913" i="17"/>
  <c r="A4913" i="17"/>
  <c r="B4912" i="17"/>
  <c r="A4912" i="17"/>
  <c r="B4911" i="17"/>
  <c r="A4911" i="17"/>
  <c r="B4910" i="17"/>
  <c r="A4910" i="17"/>
  <c r="B4909" i="17"/>
  <c r="A4909" i="17"/>
  <c r="B4908" i="17"/>
  <c r="A4908" i="17"/>
  <c r="B4907" i="17"/>
  <c r="A4907" i="17"/>
  <c r="B4906" i="17"/>
  <c r="A4906" i="17"/>
  <c r="B4905" i="17"/>
  <c r="A4905" i="17"/>
  <c r="A4904" i="17"/>
  <c r="B4903" i="17"/>
  <c r="A4903" i="17"/>
  <c r="B4902" i="17"/>
  <c r="A4902" i="17"/>
  <c r="B4901" i="17"/>
  <c r="A4901" i="17"/>
  <c r="B4900" i="17"/>
  <c r="A4900" i="17"/>
  <c r="B4899" i="17"/>
  <c r="A4899" i="17"/>
  <c r="B4898" i="17"/>
  <c r="A4898" i="17"/>
  <c r="B4897" i="17"/>
  <c r="A4897" i="17"/>
  <c r="B4896" i="17"/>
  <c r="A4896" i="17"/>
  <c r="B4895" i="17"/>
  <c r="A4895" i="17"/>
  <c r="B4894" i="17"/>
  <c r="A4894" i="17"/>
  <c r="B4893" i="17"/>
  <c r="A4893" i="17"/>
  <c r="B4892" i="17"/>
  <c r="A4892" i="17"/>
  <c r="B4891" i="17"/>
  <c r="A4891" i="17"/>
  <c r="B4890" i="17"/>
  <c r="A4890" i="17"/>
  <c r="B4889" i="17"/>
  <c r="A4889" i="17"/>
  <c r="B4888" i="17"/>
  <c r="A4888" i="17"/>
  <c r="A4887" i="17"/>
  <c r="A4886" i="17"/>
  <c r="B4885" i="17"/>
  <c r="A4885" i="17"/>
  <c r="A4884" i="17"/>
  <c r="B4883" i="17"/>
  <c r="A4883" i="17"/>
  <c r="B4882" i="17"/>
  <c r="A4882" i="17"/>
  <c r="B4881" i="17"/>
  <c r="A4881" i="17"/>
  <c r="B4880" i="17"/>
  <c r="A4880" i="17"/>
  <c r="B4879" i="17"/>
  <c r="A4879" i="17"/>
  <c r="B4878" i="17"/>
  <c r="A4878" i="17"/>
  <c r="B4877" i="17"/>
  <c r="A4877" i="17"/>
  <c r="B4876" i="17"/>
  <c r="A4876" i="17"/>
  <c r="B4875" i="17"/>
  <c r="A4875" i="17"/>
  <c r="B4874" i="17"/>
  <c r="A4874" i="17"/>
  <c r="A4873" i="17"/>
  <c r="B4872" i="17"/>
  <c r="A4872" i="17"/>
  <c r="B4871" i="17"/>
  <c r="A4871" i="17"/>
  <c r="B4870" i="17"/>
  <c r="A4870" i="17"/>
  <c r="B4869" i="17"/>
  <c r="A4869" i="17"/>
  <c r="B4868" i="17"/>
  <c r="A4868" i="17"/>
  <c r="B4867" i="17"/>
  <c r="A4867" i="17"/>
  <c r="A4866" i="17"/>
  <c r="B4865" i="17"/>
  <c r="A4865" i="17"/>
  <c r="B4864" i="17"/>
  <c r="A4864" i="17"/>
  <c r="A4863" i="17"/>
  <c r="B4862" i="17"/>
  <c r="A4862" i="17"/>
  <c r="B4861" i="17"/>
  <c r="A4861" i="17"/>
  <c r="B4860" i="17"/>
  <c r="A4860" i="17"/>
  <c r="B4859" i="17"/>
  <c r="A4859" i="17"/>
  <c r="B4858" i="17"/>
  <c r="A4858" i="17"/>
  <c r="B4857" i="17"/>
  <c r="A4857" i="17"/>
  <c r="B4856" i="17"/>
  <c r="A4856" i="17"/>
  <c r="B4855" i="17"/>
  <c r="A4855" i="17"/>
  <c r="B4854" i="17"/>
  <c r="A4854" i="17"/>
  <c r="B4853" i="17"/>
  <c r="A4853" i="17"/>
  <c r="B4852" i="17"/>
  <c r="A4852" i="17"/>
  <c r="B4851" i="17"/>
  <c r="A4851" i="17"/>
  <c r="B4850" i="17"/>
  <c r="A4850" i="17"/>
  <c r="B4849" i="17"/>
  <c r="A4849" i="17"/>
  <c r="A4848" i="17"/>
  <c r="A4847" i="17"/>
  <c r="A4846" i="17"/>
  <c r="A4845" i="17"/>
  <c r="B4844" i="17"/>
  <c r="A4844" i="17"/>
  <c r="B4843" i="17"/>
  <c r="A4843" i="17"/>
  <c r="A4842" i="17"/>
  <c r="A4841" i="17"/>
  <c r="B4840" i="17"/>
  <c r="A4840" i="17"/>
  <c r="B4839" i="17"/>
  <c r="A4839" i="17"/>
  <c r="B4838" i="17"/>
  <c r="A4838" i="17"/>
  <c r="B4837" i="17"/>
  <c r="A4837" i="17"/>
  <c r="B4836" i="17"/>
  <c r="A4836" i="17"/>
  <c r="B4835" i="17"/>
  <c r="A4835" i="17"/>
  <c r="B4834" i="17"/>
  <c r="A4834" i="17"/>
  <c r="B4833" i="17"/>
  <c r="A4833" i="17"/>
  <c r="B4832" i="17"/>
  <c r="A4832" i="17"/>
  <c r="B4831" i="17"/>
  <c r="A4831" i="17"/>
  <c r="B4830" i="17"/>
  <c r="A4830" i="17"/>
  <c r="B4829" i="17"/>
  <c r="A4829" i="17"/>
  <c r="B4828" i="17"/>
  <c r="A4828" i="17"/>
  <c r="B4827" i="17"/>
  <c r="A4827" i="17"/>
  <c r="B4826" i="17"/>
  <c r="A4826" i="17"/>
  <c r="B4825" i="17"/>
  <c r="A4825" i="17"/>
  <c r="A4824" i="17"/>
  <c r="A4823" i="17"/>
  <c r="B4822" i="17"/>
  <c r="A4822" i="17"/>
  <c r="B4821" i="17"/>
  <c r="A4821" i="17"/>
  <c r="B4820" i="17"/>
  <c r="A4820" i="17"/>
  <c r="B4819" i="17"/>
  <c r="A4819" i="17"/>
  <c r="B4818" i="17"/>
  <c r="A4818" i="17"/>
  <c r="B4817" i="17"/>
  <c r="A4817" i="17"/>
  <c r="B4816" i="17"/>
  <c r="A4816" i="17"/>
  <c r="B4815" i="17"/>
  <c r="A4815" i="17"/>
  <c r="B4814" i="17"/>
  <c r="A4814" i="17"/>
  <c r="A4813" i="17"/>
  <c r="B4812" i="17"/>
  <c r="A4812" i="17"/>
  <c r="B4811" i="17"/>
  <c r="A4811" i="17"/>
  <c r="B4810" i="17"/>
  <c r="A4810" i="17"/>
  <c r="A4809" i="17"/>
  <c r="B4808" i="17"/>
  <c r="A4808" i="17"/>
  <c r="A4807" i="17"/>
  <c r="B4806" i="17"/>
  <c r="A4806" i="17"/>
  <c r="B4805" i="17"/>
  <c r="A4805" i="17"/>
  <c r="B4804" i="17"/>
  <c r="A4804" i="17"/>
  <c r="B4803" i="17"/>
  <c r="A4803" i="17"/>
  <c r="B4802" i="17"/>
  <c r="A4802" i="17"/>
  <c r="B4801" i="17"/>
  <c r="A4801" i="17"/>
  <c r="A4800" i="17"/>
  <c r="B4799" i="17"/>
  <c r="A4799" i="17"/>
  <c r="B4798" i="17"/>
  <c r="A4798" i="17"/>
  <c r="B4797" i="17"/>
  <c r="A4797" i="17"/>
  <c r="B4796" i="17"/>
  <c r="A4796" i="17"/>
  <c r="B4795" i="17"/>
  <c r="A4795" i="17"/>
  <c r="B4794" i="17"/>
  <c r="A4794" i="17"/>
  <c r="B4793" i="17"/>
  <c r="A4793" i="17"/>
  <c r="B4792" i="17"/>
  <c r="A4792" i="17"/>
  <c r="B4791" i="17"/>
  <c r="A4791" i="17"/>
  <c r="B4789" i="17"/>
  <c r="A4789" i="17"/>
  <c r="B4788" i="17"/>
  <c r="A4788" i="17"/>
  <c r="B4787" i="17"/>
  <c r="A4787" i="17"/>
  <c r="B4786" i="17"/>
  <c r="A4786" i="17"/>
  <c r="B4785" i="17"/>
  <c r="A4785" i="17"/>
  <c r="B4784" i="17"/>
  <c r="A4784" i="17"/>
  <c r="B4783" i="17"/>
  <c r="A4783" i="17"/>
  <c r="A4782" i="17"/>
  <c r="B4781" i="17"/>
  <c r="A4781" i="17"/>
  <c r="B4780" i="17"/>
  <c r="A4780" i="17"/>
  <c r="B4779" i="17"/>
  <c r="A4779" i="17"/>
  <c r="B4778" i="17"/>
  <c r="A4778" i="17"/>
  <c r="B4777" i="17"/>
  <c r="A4777" i="17"/>
  <c r="A4776" i="17"/>
  <c r="B4775" i="17"/>
  <c r="A4775" i="17"/>
  <c r="B4774" i="17"/>
  <c r="A4774" i="17"/>
  <c r="B4773" i="17"/>
  <c r="A4773" i="17"/>
  <c r="B4772" i="17"/>
  <c r="A4772" i="17"/>
  <c r="B4771" i="17"/>
  <c r="A4771" i="17"/>
  <c r="B4770" i="17"/>
  <c r="A4770" i="17"/>
  <c r="B4769" i="17"/>
  <c r="A4769" i="17"/>
  <c r="B4768" i="17"/>
  <c r="A4768" i="17"/>
  <c r="A4767" i="17"/>
  <c r="B4766" i="17"/>
  <c r="A4766" i="17"/>
  <c r="B4765" i="17"/>
  <c r="A4765" i="17"/>
  <c r="B4764" i="17"/>
  <c r="A4764" i="17"/>
  <c r="B4763" i="17"/>
  <c r="A4763" i="17"/>
  <c r="B4762" i="17"/>
  <c r="A4762" i="17"/>
  <c r="A4761" i="17"/>
  <c r="A4760" i="17"/>
  <c r="B4759" i="17"/>
  <c r="A4759" i="17"/>
  <c r="B4758" i="17"/>
  <c r="A4758" i="17"/>
  <c r="B4757" i="17"/>
  <c r="A4757" i="17"/>
  <c r="B4756" i="17"/>
  <c r="A4756" i="17"/>
  <c r="B4755" i="17"/>
  <c r="A4755" i="17"/>
  <c r="B4754" i="17"/>
  <c r="A4754" i="17"/>
  <c r="B4753" i="17"/>
  <c r="A4753" i="17"/>
  <c r="B4752" i="17"/>
  <c r="A4752" i="17"/>
  <c r="B4751" i="17"/>
  <c r="A4751" i="17"/>
  <c r="B4750" i="17"/>
  <c r="A4750" i="17"/>
  <c r="B4749" i="17"/>
  <c r="A4749" i="17"/>
  <c r="B4748" i="17"/>
  <c r="A4748" i="17"/>
  <c r="B4747" i="17"/>
  <c r="A4747" i="17"/>
  <c r="B4746" i="17"/>
  <c r="A4746" i="17"/>
  <c r="A4745" i="17"/>
  <c r="A4744" i="17"/>
  <c r="B4743" i="17"/>
  <c r="A4743" i="17"/>
  <c r="A4742" i="17"/>
  <c r="A4741" i="17"/>
  <c r="A4740" i="17"/>
  <c r="B4739" i="17"/>
  <c r="A4739" i="17"/>
  <c r="B4738" i="17"/>
  <c r="A4738" i="17"/>
  <c r="B4737" i="17"/>
  <c r="A4737" i="17"/>
  <c r="B4736" i="17"/>
  <c r="A4736" i="17"/>
  <c r="B4735" i="17"/>
  <c r="A4735" i="17"/>
  <c r="B4734" i="17"/>
  <c r="A4734" i="17"/>
  <c r="A4733" i="17"/>
  <c r="B4732" i="17"/>
  <c r="A4732" i="17"/>
  <c r="B4731" i="17"/>
  <c r="A4731" i="17"/>
  <c r="B4730" i="17"/>
  <c r="A4730" i="17"/>
  <c r="B4729" i="17"/>
  <c r="A4729" i="17"/>
  <c r="A4728" i="17"/>
  <c r="B4727" i="17"/>
  <c r="A4727" i="17"/>
  <c r="B4726" i="17"/>
  <c r="A4726" i="17"/>
  <c r="A4725" i="17"/>
  <c r="B4724" i="17"/>
  <c r="A4724" i="17"/>
  <c r="B4723" i="17"/>
  <c r="A4723" i="17"/>
  <c r="B4722" i="17"/>
  <c r="A4722" i="17"/>
  <c r="B4721" i="17"/>
  <c r="A4721" i="17"/>
  <c r="B4720" i="17"/>
  <c r="A4720" i="17"/>
  <c r="B4719" i="17"/>
  <c r="A4719" i="17"/>
  <c r="B4718" i="17"/>
  <c r="A4718" i="17"/>
  <c r="B4717" i="17"/>
  <c r="A4717" i="17"/>
  <c r="B4716" i="17"/>
  <c r="A4716" i="17"/>
  <c r="B4715" i="17"/>
  <c r="A4715" i="17"/>
  <c r="B4714" i="17"/>
  <c r="A4714" i="17"/>
  <c r="B4713" i="17"/>
  <c r="A4713" i="17"/>
  <c r="B4712" i="17"/>
  <c r="A4712" i="17"/>
  <c r="B4711" i="17"/>
  <c r="A4711" i="17"/>
  <c r="B4710" i="17"/>
  <c r="A4710" i="17"/>
  <c r="B4709" i="17"/>
  <c r="A4709" i="17"/>
  <c r="B4708" i="17"/>
  <c r="A4708" i="17"/>
  <c r="B4707" i="17"/>
  <c r="A4707" i="17"/>
  <c r="B4705" i="17"/>
  <c r="A4705" i="17"/>
  <c r="B4704" i="17"/>
  <c r="A4704" i="17"/>
  <c r="B4703" i="17"/>
  <c r="A4703" i="17"/>
  <c r="B4702" i="17"/>
  <c r="A4702" i="17"/>
  <c r="B4701" i="17"/>
  <c r="A4701" i="17"/>
  <c r="B4700" i="17"/>
  <c r="A4700" i="17"/>
  <c r="B4699" i="17"/>
  <c r="A4699" i="17"/>
  <c r="B4698" i="17"/>
  <c r="A4698" i="17"/>
  <c r="B4697" i="17"/>
  <c r="A4697" i="17"/>
  <c r="B4696" i="17"/>
  <c r="A4696" i="17"/>
  <c r="B4695" i="17"/>
  <c r="A4695" i="17"/>
  <c r="B4694" i="17"/>
  <c r="A4694" i="17"/>
  <c r="B4693" i="17"/>
  <c r="A4693" i="17"/>
  <c r="B4692" i="17"/>
  <c r="A4692" i="17"/>
  <c r="B4691" i="17"/>
  <c r="A4691" i="17"/>
  <c r="B4690" i="17"/>
  <c r="A4690" i="17"/>
  <c r="B4689" i="17"/>
  <c r="A4689" i="17"/>
  <c r="B4688" i="17"/>
  <c r="A4688" i="17"/>
  <c r="B4687" i="17"/>
  <c r="A4687" i="17"/>
  <c r="B4686" i="17"/>
  <c r="A4686" i="17"/>
  <c r="A4685" i="17"/>
  <c r="A4684" i="17"/>
  <c r="A4683" i="17"/>
  <c r="B4682" i="17"/>
  <c r="A4682" i="17"/>
  <c r="B4681" i="17"/>
  <c r="A4681" i="17"/>
  <c r="A4680" i="17"/>
  <c r="B4679" i="17"/>
  <c r="A4679" i="17"/>
  <c r="B4678" i="17"/>
  <c r="A4678" i="17"/>
  <c r="B4677" i="17"/>
  <c r="A4677" i="17"/>
  <c r="B4676" i="17"/>
  <c r="A4676" i="17"/>
  <c r="B4675" i="17"/>
  <c r="A4675" i="17"/>
  <c r="B4674" i="17"/>
  <c r="A4674" i="17"/>
  <c r="B4673" i="17"/>
  <c r="A4673" i="17"/>
  <c r="B4672" i="17"/>
  <c r="A4672" i="17"/>
  <c r="A4671" i="17"/>
  <c r="A4670" i="17"/>
  <c r="A4669" i="17"/>
  <c r="A4668" i="17"/>
  <c r="B4667" i="17"/>
  <c r="A4667" i="17"/>
  <c r="B4666" i="17"/>
  <c r="A4666" i="17"/>
  <c r="B4665" i="17"/>
  <c r="A4665" i="17"/>
  <c r="B4664" i="17"/>
  <c r="A4664" i="17"/>
  <c r="A4663" i="17"/>
  <c r="B4661" i="17"/>
  <c r="A4661" i="17"/>
  <c r="B4660" i="17"/>
  <c r="A4660" i="17"/>
  <c r="B4659" i="17"/>
  <c r="A4659" i="17"/>
  <c r="B4658" i="17"/>
  <c r="A4658" i="17"/>
  <c r="B4657" i="17"/>
  <c r="A4657" i="17"/>
  <c r="B4656" i="17"/>
  <c r="A4656" i="17"/>
  <c r="B4655" i="17"/>
  <c r="A4655" i="17"/>
  <c r="B4654" i="17"/>
  <c r="A4654" i="17"/>
  <c r="B4653" i="17"/>
  <c r="A4653" i="17"/>
  <c r="B4652" i="17"/>
  <c r="A4652" i="17"/>
  <c r="B4651" i="17"/>
  <c r="A4651" i="17"/>
  <c r="B4650" i="17"/>
  <c r="A4650" i="17"/>
  <c r="B4649" i="17"/>
  <c r="A4649" i="17"/>
  <c r="B4648" i="17"/>
  <c r="A4648" i="17"/>
  <c r="B4647" i="17"/>
  <c r="A4647" i="17"/>
  <c r="B4646" i="17"/>
  <c r="A4646" i="17"/>
  <c r="B4645" i="17"/>
  <c r="A4645" i="17"/>
  <c r="B4644" i="17"/>
  <c r="A4644" i="17"/>
  <c r="B4642" i="17"/>
  <c r="A4642" i="17"/>
  <c r="B4641" i="17"/>
  <c r="A4641" i="17"/>
  <c r="B4640" i="17"/>
  <c r="A4640" i="17"/>
  <c r="B4639" i="17"/>
  <c r="A4639" i="17"/>
  <c r="B4638" i="17"/>
  <c r="A4638" i="17"/>
  <c r="A4637" i="17"/>
  <c r="A4636" i="17"/>
  <c r="B4635" i="17"/>
  <c r="A4635" i="17"/>
  <c r="B4634" i="17"/>
  <c r="A4634" i="17"/>
  <c r="B4633" i="17"/>
  <c r="A4633" i="17"/>
  <c r="B4632" i="17"/>
  <c r="A4632" i="17"/>
  <c r="A4631" i="17"/>
  <c r="A4630" i="17"/>
  <c r="B4629" i="17"/>
  <c r="A4629" i="17"/>
  <c r="B4628" i="17"/>
  <c r="A4628" i="17"/>
  <c r="A4627" i="17"/>
  <c r="B4626" i="17"/>
  <c r="A4626" i="17"/>
  <c r="B4625" i="17"/>
  <c r="A4625" i="17"/>
  <c r="B4624" i="17"/>
  <c r="A4624" i="17"/>
  <c r="B4623" i="17"/>
  <c r="A4623" i="17"/>
  <c r="B4622" i="17"/>
  <c r="A4622" i="17"/>
  <c r="B4621" i="17"/>
  <c r="A4621" i="17"/>
  <c r="A4620" i="17"/>
  <c r="A4619" i="17"/>
  <c r="A4618" i="17"/>
  <c r="A4617" i="17"/>
  <c r="A4616" i="17"/>
  <c r="A4615" i="17"/>
  <c r="B4614" i="17"/>
  <c r="A4614" i="17"/>
  <c r="B4613" i="17"/>
  <c r="A4613" i="17"/>
  <c r="B4612" i="17"/>
  <c r="A4612" i="17"/>
  <c r="B4611" i="17"/>
  <c r="A4611" i="17"/>
  <c r="A4610" i="17"/>
  <c r="B4609" i="17"/>
  <c r="A4609" i="17"/>
  <c r="B4608" i="17"/>
  <c r="A4608" i="17"/>
  <c r="B4607" i="17"/>
  <c r="A4607" i="17"/>
  <c r="B4606" i="17"/>
  <c r="A4606" i="17"/>
  <c r="B4605" i="17"/>
  <c r="A4605" i="17"/>
  <c r="B4604" i="17"/>
  <c r="A4604" i="17"/>
  <c r="B4603" i="17"/>
  <c r="A4603" i="17"/>
  <c r="B4602" i="17"/>
  <c r="A4602" i="17"/>
  <c r="B4601" i="17"/>
  <c r="A4601" i="17"/>
  <c r="B4600" i="17"/>
  <c r="A4600" i="17"/>
  <c r="B4599" i="17"/>
  <c r="A4599" i="17"/>
  <c r="B4598" i="17"/>
  <c r="A4598" i="17"/>
  <c r="B4597" i="17"/>
  <c r="A4597" i="17"/>
  <c r="B4596" i="17"/>
  <c r="A4596" i="17"/>
  <c r="B4595" i="17"/>
  <c r="A4595" i="17"/>
  <c r="B4594" i="17"/>
  <c r="A4594" i="17"/>
  <c r="A4593" i="17"/>
  <c r="B4592" i="17"/>
  <c r="A4592" i="17"/>
  <c r="B4591" i="17"/>
  <c r="A4591" i="17"/>
  <c r="A4590" i="17"/>
  <c r="A4589" i="17"/>
  <c r="A4588" i="17"/>
  <c r="A4587" i="17"/>
  <c r="A4586" i="17"/>
  <c r="A4585" i="17"/>
  <c r="A4584" i="17"/>
  <c r="A4583" i="17"/>
  <c r="B4582" i="17"/>
  <c r="A4582" i="17"/>
  <c r="B4581" i="17"/>
  <c r="A4581" i="17"/>
  <c r="B4580" i="17"/>
  <c r="A4580" i="17"/>
  <c r="B4579" i="17"/>
  <c r="A4579" i="17"/>
  <c r="B4578" i="17"/>
  <c r="A4578" i="17"/>
  <c r="B4577" i="17"/>
  <c r="A4577" i="17"/>
  <c r="B4576" i="17"/>
  <c r="A4576" i="17"/>
  <c r="B4575" i="17"/>
  <c r="A4575" i="17"/>
  <c r="B4574" i="17"/>
  <c r="A4574" i="17"/>
  <c r="B4573" i="17"/>
  <c r="A4573" i="17"/>
  <c r="B4572" i="17"/>
  <c r="A4572" i="17"/>
  <c r="B4571" i="17"/>
  <c r="A4571" i="17"/>
  <c r="A4570" i="17"/>
  <c r="B4569" i="17"/>
  <c r="A4569" i="17"/>
  <c r="A4568" i="17"/>
  <c r="B4567" i="17"/>
  <c r="A4567" i="17"/>
  <c r="B4566" i="17"/>
  <c r="A4566" i="17"/>
  <c r="A4565" i="17"/>
  <c r="B4564" i="17"/>
  <c r="A4564" i="17"/>
  <c r="B4563" i="17"/>
  <c r="A4563" i="17"/>
  <c r="B4562" i="17"/>
  <c r="A4562" i="17"/>
  <c r="B4561" i="17"/>
  <c r="A4561" i="17"/>
  <c r="B4560" i="17"/>
  <c r="A4560" i="17"/>
  <c r="B4559" i="17"/>
  <c r="A4559" i="17"/>
  <c r="B4558" i="17"/>
  <c r="A4558" i="17"/>
  <c r="B4557" i="17"/>
  <c r="A4557" i="17"/>
  <c r="B4556" i="17"/>
  <c r="A4556" i="17"/>
  <c r="B4555" i="17"/>
  <c r="A4555" i="17"/>
  <c r="A4554" i="17"/>
  <c r="B4553" i="17"/>
  <c r="A4553" i="17"/>
  <c r="B4552" i="17"/>
  <c r="A4552" i="17"/>
  <c r="B4551" i="17"/>
  <c r="A4551" i="17"/>
  <c r="B4550" i="17"/>
  <c r="A4550" i="17"/>
  <c r="B4549" i="17"/>
  <c r="A4549" i="17"/>
  <c r="B4548" i="17"/>
  <c r="A4548" i="17"/>
  <c r="B4547" i="17"/>
  <c r="A4547" i="17"/>
  <c r="A4546" i="17"/>
  <c r="A4545" i="17"/>
  <c r="A4544" i="17"/>
  <c r="B4543" i="17"/>
  <c r="A4543" i="17"/>
  <c r="B4542" i="17"/>
  <c r="A4542" i="17"/>
  <c r="B4541" i="17"/>
  <c r="A4541" i="17"/>
  <c r="B4540" i="17"/>
  <c r="A4540" i="17"/>
  <c r="B4539" i="17"/>
  <c r="A4539" i="17"/>
  <c r="B4538" i="17"/>
  <c r="A4538" i="17"/>
  <c r="B4537" i="17"/>
  <c r="A4537" i="17"/>
  <c r="B4536" i="17"/>
  <c r="A4536" i="17"/>
  <c r="B4535" i="17"/>
  <c r="A4535" i="17"/>
  <c r="B4534" i="17"/>
  <c r="A4534" i="17"/>
  <c r="B4533" i="17"/>
  <c r="A4533" i="17"/>
  <c r="B4532" i="17"/>
  <c r="A4532" i="17"/>
  <c r="B4531" i="17"/>
  <c r="A4531" i="17"/>
  <c r="B4530" i="17"/>
  <c r="A4530" i="17"/>
  <c r="B4529" i="17"/>
  <c r="A4529" i="17"/>
  <c r="B4528" i="17"/>
  <c r="A4528" i="17"/>
  <c r="B4527" i="17"/>
  <c r="A4527" i="17"/>
  <c r="B4526" i="17"/>
  <c r="A4526" i="17"/>
  <c r="B4525" i="17"/>
  <c r="A4525" i="17"/>
  <c r="A4524" i="17"/>
  <c r="B4523" i="17"/>
  <c r="A4523" i="17"/>
  <c r="B4522" i="17"/>
  <c r="A4522" i="17"/>
  <c r="B4521" i="17"/>
  <c r="A4521" i="17"/>
  <c r="B4520" i="17"/>
  <c r="A4520" i="17"/>
  <c r="A4519" i="17"/>
  <c r="B4518" i="17"/>
  <c r="A4518" i="17"/>
  <c r="B4517" i="17"/>
  <c r="A4517" i="17"/>
  <c r="B4516" i="17"/>
  <c r="A4516" i="17"/>
  <c r="B4515" i="17"/>
  <c r="A4515" i="17"/>
  <c r="B4514" i="17"/>
  <c r="A4514" i="17"/>
  <c r="B4513" i="17"/>
  <c r="A4513" i="17"/>
  <c r="B4512" i="17"/>
  <c r="A4512" i="17"/>
  <c r="B4511" i="17"/>
  <c r="A4511" i="17"/>
  <c r="B4510" i="17"/>
  <c r="A4510" i="17"/>
  <c r="B4509" i="17"/>
  <c r="A4509" i="17"/>
  <c r="B4508" i="17"/>
  <c r="A4508" i="17"/>
  <c r="B4507" i="17"/>
  <c r="A4507" i="17"/>
  <c r="B4506" i="17"/>
  <c r="A4506" i="17"/>
  <c r="B4505" i="17"/>
  <c r="A4505" i="17"/>
  <c r="B4504" i="17"/>
  <c r="A4504" i="17"/>
  <c r="B4503" i="17"/>
  <c r="A4503" i="17"/>
  <c r="B4502" i="17"/>
  <c r="A4502" i="17"/>
  <c r="B4501" i="17"/>
  <c r="A4501" i="17"/>
  <c r="B4500" i="17"/>
  <c r="A4500" i="17"/>
  <c r="B4499" i="17"/>
  <c r="A4499" i="17"/>
  <c r="B4498" i="17"/>
  <c r="A4498" i="17"/>
  <c r="B4497" i="17"/>
  <c r="A4497" i="17"/>
  <c r="B4496" i="17"/>
  <c r="A4496" i="17"/>
  <c r="B4495" i="17"/>
  <c r="A4495" i="17"/>
  <c r="B4494" i="17"/>
  <c r="A4494" i="17"/>
  <c r="B4493" i="17"/>
  <c r="A4493" i="17"/>
  <c r="B4492" i="17"/>
  <c r="A4492" i="17"/>
  <c r="A4491" i="17"/>
  <c r="B4490" i="17"/>
  <c r="A4490" i="17"/>
  <c r="B4489" i="17"/>
  <c r="A4489" i="17"/>
  <c r="B4488" i="17"/>
  <c r="A4488" i="17"/>
  <c r="B4487" i="17"/>
  <c r="A4487" i="17"/>
  <c r="B4486" i="17"/>
  <c r="A4486" i="17"/>
  <c r="B4485" i="17"/>
  <c r="A4485" i="17"/>
  <c r="B4484" i="17"/>
  <c r="A4484" i="17"/>
  <c r="B4483" i="17"/>
  <c r="A4483" i="17"/>
  <c r="B4482" i="17"/>
  <c r="A4482" i="17"/>
  <c r="B4481" i="17"/>
  <c r="A4481" i="17"/>
  <c r="B4480" i="17"/>
  <c r="A4480" i="17"/>
  <c r="B4479" i="17"/>
  <c r="A4479" i="17"/>
  <c r="B4478" i="17"/>
  <c r="A4478" i="17"/>
  <c r="B4477" i="17"/>
  <c r="A4477" i="17"/>
  <c r="B4476" i="17"/>
  <c r="A4476" i="17"/>
  <c r="B4475" i="17"/>
  <c r="A4475" i="17"/>
  <c r="B4474" i="17"/>
  <c r="A4474" i="17"/>
  <c r="B4473" i="17"/>
  <c r="A4473" i="17"/>
  <c r="B4472" i="17"/>
  <c r="A4472" i="17"/>
  <c r="A4470" i="17"/>
  <c r="B4469" i="17"/>
  <c r="A4469" i="17"/>
  <c r="B4468" i="17"/>
  <c r="A4468" i="17"/>
  <c r="B4467" i="17"/>
  <c r="A4467" i="17"/>
  <c r="B4466" i="17"/>
  <c r="A4466" i="17"/>
  <c r="B4465" i="17"/>
  <c r="A4465" i="17"/>
  <c r="B4464" i="17"/>
  <c r="A4464" i="17"/>
  <c r="B4463" i="17"/>
  <c r="A4463" i="17"/>
  <c r="B4462" i="17"/>
  <c r="A4462" i="17"/>
  <c r="B4461" i="17"/>
  <c r="A4461" i="17"/>
  <c r="B4460" i="17"/>
  <c r="A4460" i="17"/>
  <c r="B4459" i="17"/>
  <c r="A4459" i="17"/>
  <c r="B4458" i="17"/>
  <c r="A4458" i="17"/>
  <c r="B4457" i="17"/>
  <c r="A4457" i="17"/>
  <c r="B4456" i="17"/>
  <c r="A4456" i="17"/>
  <c r="B4455" i="17"/>
  <c r="A4455" i="17"/>
  <c r="B4454" i="17"/>
  <c r="A4454" i="17"/>
  <c r="B4453" i="17"/>
  <c r="A4453" i="17"/>
  <c r="B4452" i="17"/>
  <c r="A4452" i="17"/>
  <c r="B4451" i="17"/>
  <c r="A4451" i="17"/>
  <c r="B4450" i="17"/>
  <c r="A4450" i="17"/>
  <c r="B4449" i="17"/>
  <c r="A4449" i="17"/>
  <c r="B4448" i="17"/>
  <c r="A4448" i="17"/>
  <c r="A4447" i="17"/>
  <c r="B4446" i="17"/>
  <c r="A4446" i="17"/>
  <c r="B4445" i="17"/>
  <c r="A4445" i="17"/>
  <c r="B4444" i="17"/>
  <c r="A4444" i="17"/>
  <c r="B4443" i="17"/>
  <c r="A4443" i="17"/>
  <c r="B4442" i="17"/>
  <c r="A4442" i="17"/>
  <c r="B4441" i="17"/>
  <c r="A4441" i="17"/>
  <c r="B4440" i="17"/>
  <c r="A4440" i="17"/>
  <c r="B4439" i="17"/>
  <c r="A4439" i="17"/>
  <c r="B4438" i="17"/>
  <c r="A4438" i="17"/>
  <c r="B4437" i="17"/>
  <c r="A4437" i="17"/>
  <c r="B4436" i="17"/>
  <c r="A4436" i="17"/>
  <c r="B4435" i="17"/>
  <c r="A4435" i="17"/>
  <c r="B4434" i="17"/>
  <c r="A4434" i="17"/>
  <c r="B4433" i="17"/>
  <c r="A4433" i="17"/>
  <c r="B4432" i="17"/>
  <c r="A4432" i="17"/>
  <c r="B4431" i="17"/>
  <c r="A4431" i="17"/>
  <c r="B4430" i="17"/>
  <c r="A4430" i="17"/>
  <c r="B4429" i="17"/>
  <c r="A4429" i="17"/>
  <c r="B4428" i="17"/>
  <c r="A4428" i="17"/>
  <c r="B4427" i="17"/>
  <c r="A4427" i="17"/>
  <c r="B4426" i="17"/>
  <c r="A4426" i="17"/>
  <c r="B4425" i="17"/>
  <c r="A4425" i="17"/>
  <c r="B4424" i="17"/>
  <c r="A4424" i="17"/>
  <c r="B4423" i="17"/>
  <c r="A4423" i="17"/>
  <c r="B4422" i="17"/>
  <c r="A4422" i="17"/>
  <c r="B4421" i="17"/>
  <c r="A4421" i="17"/>
  <c r="B4420" i="17"/>
  <c r="A4420" i="17"/>
  <c r="B4419" i="17"/>
  <c r="A4419" i="17"/>
  <c r="A4418" i="17"/>
  <c r="B4417" i="17"/>
  <c r="A4417" i="17"/>
  <c r="B4416" i="17"/>
  <c r="A4416" i="17"/>
  <c r="A4415" i="17"/>
  <c r="B4414" i="17"/>
  <c r="A4414" i="17"/>
  <c r="B4413" i="17"/>
  <c r="A4413" i="17"/>
  <c r="B4412" i="17"/>
  <c r="A4412" i="17"/>
  <c r="B4411" i="17"/>
  <c r="A4411" i="17"/>
  <c r="B4410" i="17"/>
  <c r="A4410" i="17"/>
  <c r="B4409" i="17"/>
  <c r="A4409" i="17"/>
  <c r="B4408" i="17"/>
  <c r="A4408" i="17"/>
  <c r="B4407" i="17"/>
  <c r="A4407" i="17"/>
  <c r="B4406" i="17"/>
  <c r="A4406" i="17"/>
  <c r="A4405" i="17"/>
  <c r="B4404" i="17"/>
  <c r="A4404" i="17"/>
  <c r="B4403" i="17"/>
  <c r="A4403" i="17"/>
  <c r="B4402" i="17"/>
  <c r="A4402" i="17"/>
  <c r="B4401" i="17"/>
  <c r="A4401" i="17"/>
  <c r="B4400" i="17"/>
  <c r="A4400" i="17"/>
  <c r="B4399" i="17"/>
  <c r="A4399" i="17"/>
  <c r="B4398" i="17"/>
  <c r="A4398" i="17"/>
  <c r="B4397" i="17"/>
  <c r="A4397" i="17"/>
  <c r="B4396" i="17"/>
  <c r="A4396" i="17"/>
  <c r="B4395" i="17"/>
  <c r="A4395" i="17"/>
  <c r="A4394" i="17"/>
  <c r="B4393" i="17"/>
  <c r="A4393" i="17"/>
  <c r="B4392" i="17"/>
  <c r="A4392" i="17"/>
  <c r="B4391" i="17"/>
  <c r="A4391" i="17"/>
  <c r="B4390" i="17"/>
  <c r="A4390" i="17"/>
  <c r="B4389" i="17"/>
  <c r="A4389" i="17"/>
  <c r="B4388" i="17"/>
  <c r="A4388" i="17"/>
  <c r="B4387" i="17"/>
  <c r="A4387" i="17"/>
  <c r="B4386" i="17"/>
  <c r="A4386" i="17"/>
  <c r="B4385" i="17"/>
  <c r="A4385" i="17"/>
  <c r="B4384" i="17"/>
  <c r="A4384" i="17"/>
  <c r="B4383" i="17"/>
  <c r="A4383" i="17"/>
  <c r="B4382" i="17"/>
  <c r="A4382" i="17"/>
  <c r="B4381" i="17"/>
  <c r="A4381" i="17"/>
  <c r="B4380" i="17"/>
  <c r="A4380" i="17"/>
  <c r="B4379" i="17"/>
  <c r="A4379" i="17"/>
  <c r="B4378" i="17"/>
  <c r="A4378" i="17"/>
  <c r="B4377" i="17"/>
  <c r="A4377" i="17"/>
  <c r="B4376" i="17"/>
  <c r="A4376" i="17"/>
  <c r="B4375" i="17"/>
  <c r="A4375" i="17"/>
  <c r="B4374" i="17"/>
  <c r="A4374" i="17"/>
  <c r="B4373" i="17"/>
  <c r="A4373" i="17"/>
  <c r="B4372" i="17"/>
  <c r="A4372" i="17"/>
  <c r="B4371" i="17"/>
  <c r="A4371" i="17"/>
  <c r="A4370" i="17"/>
  <c r="B4369" i="17"/>
  <c r="A4369" i="17"/>
  <c r="A4368" i="17"/>
  <c r="B4367" i="17"/>
  <c r="A4367" i="17"/>
  <c r="B4366" i="17"/>
  <c r="A4366" i="17"/>
  <c r="A4365" i="17"/>
  <c r="B4364" i="17"/>
  <c r="A4364" i="17"/>
  <c r="B4363" i="17"/>
  <c r="A4363" i="17"/>
  <c r="B4362" i="17"/>
  <c r="A4362" i="17"/>
  <c r="B4361" i="17"/>
  <c r="A4361" i="17"/>
  <c r="B4360" i="17"/>
  <c r="A4360" i="17"/>
  <c r="A4359" i="17"/>
  <c r="B4358" i="17"/>
  <c r="A4358" i="17"/>
  <c r="B4357" i="17"/>
  <c r="A4357" i="17"/>
  <c r="B4356" i="17"/>
  <c r="A4356" i="17"/>
  <c r="B4355" i="17"/>
  <c r="A4355" i="17"/>
  <c r="B4354" i="17"/>
  <c r="A4354" i="17"/>
  <c r="B4353" i="17"/>
  <c r="A4353" i="17"/>
  <c r="B4352" i="17"/>
  <c r="A4352" i="17"/>
  <c r="A4351" i="17"/>
  <c r="B4350" i="17"/>
  <c r="A4350" i="17"/>
  <c r="B4349" i="17"/>
  <c r="A4349" i="17"/>
  <c r="A4348" i="17"/>
  <c r="B4347" i="17"/>
  <c r="A4347" i="17"/>
  <c r="B4346" i="17"/>
  <c r="A4346" i="17"/>
  <c r="B4345" i="17"/>
  <c r="A4345" i="17"/>
  <c r="B4344" i="17"/>
  <c r="A4344" i="17"/>
  <c r="B4343" i="17"/>
  <c r="A4343" i="17"/>
  <c r="B4342" i="17"/>
  <c r="A4342" i="17"/>
  <c r="B4341" i="17"/>
  <c r="A4341" i="17"/>
  <c r="B4340" i="17"/>
  <c r="A4340" i="17"/>
  <c r="B4339" i="17"/>
  <c r="A4339" i="17"/>
  <c r="B4338" i="17"/>
  <c r="A4338" i="17"/>
  <c r="A4337" i="17"/>
  <c r="B4336" i="17"/>
  <c r="A4336" i="17"/>
  <c r="B4335" i="17"/>
  <c r="A4335" i="17"/>
  <c r="B4334" i="17"/>
  <c r="A4334" i="17"/>
  <c r="B4333" i="17"/>
  <c r="A4333" i="17"/>
  <c r="B4332" i="17"/>
  <c r="A4332" i="17"/>
  <c r="B4331" i="17"/>
  <c r="A4331" i="17"/>
  <c r="B4330" i="17"/>
  <c r="A4330" i="17"/>
  <c r="B4329" i="17"/>
  <c r="A4329" i="17"/>
  <c r="B4328" i="17"/>
  <c r="A4328" i="17"/>
  <c r="B4327" i="17"/>
  <c r="A4327" i="17"/>
  <c r="B4326" i="17"/>
  <c r="A4326" i="17"/>
  <c r="B4325" i="17"/>
  <c r="A4325" i="17"/>
  <c r="B4324" i="17"/>
  <c r="A4324" i="17"/>
  <c r="B4323" i="17"/>
  <c r="A4323" i="17"/>
  <c r="B4322" i="17"/>
  <c r="A4322" i="17"/>
  <c r="B4321" i="17"/>
  <c r="A4321" i="17"/>
  <c r="B4320" i="17"/>
  <c r="A4320" i="17"/>
  <c r="B4319" i="17"/>
  <c r="A4319" i="17"/>
  <c r="B4318" i="17"/>
  <c r="A4318" i="17"/>
  <c r="B4317" i="17"/>
  <c r="A4317" i="17"/>
  <c r="B4316" i="17"/>
  <c r="A4316" i="17"/>
  <c r="B4315" i="17"/>
  <c r="A4315" i="17"/>
  <c r="B4314" i="17"/>
  <c r="A4314" i="17"/>
  <c r="A4313" i="17"/>
  <c r="B4312" i="17"/>
  <c r="A4312" i="17"/>
  <c r="B4311" i="17"/>
  <c r="A4311" i="17"/>
  <c r="B4310" i="17"/>
  <c r="A4310" i="17"/>
  <c r="B4309" i="17"/>
  <c r="A4309" i="17"/>
  <c r="A4308" i="17"/>
  <c r="B4307" i="17"/>
  <c r="A4307" i="17"/>
  <c r="B4306" i="17"/>
  <c r="A4306" i="17"/>
  <c r="B4305" i="17"/>
  <c r="A4305" i="17"/>
  <c r="B4304" i="17"/>
  <c r="A4304" i="17"/>
  <c r="B4303" i="17"/>
  <c r="A4303" i="17"/>
  <c r="B4302" i="17"/>
  <c r="A4302" i="17"/>
  <c r="B4301" i="17"/>
  <c r="A4301" i="17"/>
  <c r="B4300" i="17"/>
  <c r="A4300" i="17"/>
  <c r="B4299" i="17"/>
  <c r="A4299" i="17"/>
  <c r="B4298" i="17"/>
  <c r="A4298" i="17"/>
  <c r="A4297" i="17"/>
  <c r="A4296" i="17"/>
  <c r="B4295" i="17"/>
  <c r="A4295" i="17"/>
  <c r="B4294" i="17"/>
  <c r="A4294" i="17"/>
  <c r="B4293" i="17"/>
  <c r="A4293" i="17"/>
  <c r="B4292" i="17"/>
  <c r="A4292" i="17"/>
  <c r="B4291" i="17"/>
  <c r="A4291" i="17"/>
  <c r="B4290" i="17"/>
  <c r="A4290" i="17"/>
  <c r="B4289" i="17"/>
  <c r="A4289" i="17"/>
  <c r="B4288" i="17"/>
  <c r="A4288" i="17"/>
  <c r="B4287" i="17"/>
  <c r="A4287" i="17"/>
  <c r="B4286" i="17"/>
  <c r="A4286" i="17"/>
  <c r="B4285" i="17"/>
  <c r="A4285" i="17"/>
  <c r="B4284" i="17"/>
  <c r="A4284" i="17"/>
  <c r="B4283" i="17"/>
  <c r="A4283" i="17"/>
  <c r="B4282" i="17"/>
  <c r="A4282" i="17"/>
  <c r="B4281" i="17"/>
  <c r="A4281" i="17"/>
  <c r="A4280" i="17"/>
  <c r="B4279" i="17"/>
  <c r="A4279" i="17"/>
  <c r="B4278" i="17"/>
  <c r="A4278" i="17"/>
  <c r="B4277" i="17"/>
  <c r="A4277" i="17"/>
  <c r="B4276" i="17"/>
  <c r="A4276" i="17"/>
  <c r="B4275" i="17"/>
  <c r="A4275" i="17"/>
  <c r="B4274" i="17"/>
  <c r="A4274" i="17"/>
  <c r="B4273" i="17"/>
  <c r="A4273" i="17"/>
  <c r="B4272" i="17"/>
  <c r="A4272" i="17"/>
  <c r="B4271" i="17"/>
  <c r="A4271" i="17"/>
  <c r="B4270" i="17"/>
  <c r="A4270" i="17"/>
  <c r="A4269" i="17"/>
  <c r="B4268" i="17"/>
  <c r="A4268" i="17"/>
  <c r="B4267" i="17"/>
  <c r="A4267" i="17"/>
  <c r="B4266" i="17"/>
  <c r="A4266" i="17"/>
  <c r="B4265" i="17"/>
  <c r="A4265" i="17"/>
  <c r="B4264" i="17"/>
  <c r="A4264" i="17"/>
  <c r="B4263" i="17"/>
  <c r="A4263" i="17"/>
  <c r="B4262" i="17"/>
  <c r="A4262" i="17"/>
  <c r="B4261" i="17"/>
  <c r="A4261" i="17"/>
  <c r="B4260" i="17"/>
  <c r="A4260" i="17"/>
  <c r="B4259" i="17"/>
  <c r="A4259" i="17"/>
  <c r="B4258" i="17"/>
  <c r="A4258" i="17"/>
  <c r="B4257" i="17"/>
  <c r="A4257" i="17"/>
  <c r="B4256" i="17"/>
  <c r="A4256" i="17"/>
  <c r="B4255" i="17"/>
  <c r="A4255" i="17"/>
  <c r="B4254" i="17"/>
  <c r="A4254" i="17"/>
  <c r="B4253" i="17"/>
  <c r="A4253" i="17"/>
  <c r="B4252" i="17"/>
  <c r="A4252" i="17"/>
  <c r="A4251" i="17"/>
  <c r="B4250" i="17"/>
  <c r="A4250" i="17"/>
  <c r="B4249" i="17"/>
  <c r="A4249" i="17"/>
  <c r="B4248" i="17"/>
  <c r="A4248" i="17"/>
  <c r="B4247" i="17"/>
  <c r="A4247" i="17"/>
  <c r="B4246" i="17"/>
  <c r="A4246" i="17"/>
  <c r="B4245" i="17"/>
  <c r="A4245" i="17"/>
  <c r="B4244" i="17"/>
  <c r="A4244" i="17"/>
  <c r="B4243" i="17"/>
  <c r="A4243" i="17"/>
  <c r="B4242" i="17"/>
  <c r="A4242" i="17"/>
  <c r="B4241" i="17"/>
  <c r="A4241" i="17"/>
  <c r="B4240" i="17"/>
  <c r="A4240" i="17"/>
  <c r="B4239" i="17"/>
  <c r="A4239" i="17"/>
  <c r="B4238" i="17"/>
  <c r="A4238" i="17"/>
  <c r="B4237" i="17"/>
  <c r="A4237" i="17"/>
  <c r="A4236" i="17"/>
  <c r="B4235" i="17"/>
  <c r="A4235" i="17"/>
  <c r="B4234" i="17"/>
  <c r="A4234" i="17"/>
  <c r="B4233" i="17"/>
  <c r="A4233" i="17"/>
  <c r="B4232" i="17"/>
  <c r="A4232" i="17"/>
  <c r="A4231" i="17"/>
  <c r="B4230" i="17"/>
  <c r="A4230" i="17"/>
  <c r="A4229" i="17"/>
  <c r="B4228" i="17"/>
  <c r="A4228" i="17"/>
  <c r="B4227" i="17"/>
  <c r="A4227" i="17"/>
  <c r="B4226" i="17"/>
  <c r="A4226" i="17"/>
  <c r="B4225" i="17"/>
  <c r="A4225" i="17"/>
  <c r="A4224" i="17"/>
  <c r="B4223" i="17"/>
  <c r="A4223" i="17"/>
  <c r="B4222" i="17"/>
  <c r="A4222" i="17"/>
  <c r="B4221" i="17"/>
  <c r="A4221" i="17"/>
  <c r="B4220" i="17"/>
  <c r="A4220" i="17"/>
  <c r="B4219" i="17"/>
  <c r="A4219" i="17"/>
  <c r="B4218" i="17"/>
  <c r="A4218" i="17"/>
  <c r="B4217" i="17"/>
  <c r="A4217" i="17"/>
  <c r="B4216" i="17"/>
  <c r="A4216" i="17"/>
  <c r="B4215" i="17"/>
  <c r="A4215" i="17"/>
  <c r="B4214" i="17"/>
  <c r="A4214" i="17"/>
  <c r="B4213" i="17"/>
  <c r="A4213" i="17"/>
  <c r="B4212" i="17"/>
  <c r="A4212" i="17"/>
  <c r="B4211" i="17"/>
  <c r="A4211" i="17"/>
  <c r="B4210" i="17"/>
  <c r="A4210" i="17"/>
  <c r="B4209" i="17"/>
  <c r="A4209" i="17"/>
  <c r="B4208" i="17"/>
  <c r="A4208" i="17"/>
  <c r="B4207" i="17"/>
  <c r="A4207" i="17"/>
  <c r="B4206" i="17"/>
  <c r="A4206" i="17"/>
  <c r="B4205" i="17"/>
  <c r="A4205" i="17"/>
  <c r="B4204" i="17"/>
  <c r="A4204" i="17"/>
  <c r="B4203" i="17"/>
  <c r="A4203" i="17"/>
  <c r="B4202" i="17"/>
  <c r="A4202" i="17"/>
  <c r="B4201" i="17"/>
  <c r="A4201" i="17"/>
  <c r="B4200" i="17"/>
  <c r="A4200" i="17"/>
  <c r="B4199" i="17"/>
  <c r="A4199" i="17"/>
  <c r="B4198" i="17"/>
  <c r="A4198" i="17"/>
  <c r="B4197" i="17"/>
  <c r="A4197" i="17"/>
  <c r="B4196" i="17"/>
  <c r="A4196" i="17"/>
  <c r="B4195" i="17"/>
  <c r="A4195" i="17"/>
  <c r="B4194" i="17"/>
  <c r="A4194" i="17"/>
  <c r="B4193" i="17"/>
  <c r="A4193" i="17"/>
  <c r="B4192" i="17"/>
  <c r="A4192" i="17"/>
  <c r="B4191" i="17"/>
  <c r="A4191" i="17"/>
  <c r="B4190" i="17"/>
  <c r="A4190" i="17"/>
  <c r="B4189" i="17"/>
  <c r="A4189" i="17"/>
  <c r="B4188" i="17"/>
  <c r="A4188" i="17"/>
  <c r="B4187" i="17"/>
  <c r="A4187" i="17"/>
  <c r="B4186" i="17"/>
  <c r="A4186" i="17"/>
  <c r="B4185" i="17"/>
  <c r="A4185" i="17"/>
  <c r="B4184" i="17"/>
  <c r="A4184" i="17"/>
  <c r="B4183" i="17"/>
  <c r="A4183" i="17"/>
  <c r="B4182" i="17"/>
  <c r="A4182" i="17"/>
  <c r="B4181" i="17"/>
  <c r="A4181" i="17"/>
  <c r="B4180" i="17"/>
  <c r="A4180" i="17"/>
  <c r="B4179" i="17"/>
  <c r="A4179" i="17"/>
  <c r="A4178" i="17"/>
  <c r="B4177" i="17"/>
  <c r="A4177" i="17"/>
  <c r="B4176" i="17"/>
  <c r="A4176" i="17"/>
  <c r="B4175" i="17"/>
  <c r="A4175" i="17"/>
  <c r="B4174" i="17"/>
  <c r="A4174" i="17"/>
  <c r="B4173" i="17"/>
  <c r="A4173" i="17"/>
  <c r="B4172" i="17"/>
  <c r="A4172" i="17"/>
  <c r="A4171" i="17"/>
  <c r="B4170" i="17"/>
  <c r="A4170" i="17"/>
  <c r="A4169" i="17"/>
  <c r="B4168" i="17"/>
  <c r="A4168" i="17"/>
  <c r="B4167" i="17"/>
  <c r="A4167" i="17"/>
  <c r="B4166" i="17"/>
  <c r="A4166" i="17"/>
  <c r="B4165" i="17"/>
  <c r="A4165" i="17"/>
  <c r="B4164" i="17"/>
  <c r="A4164" i="17"/>
  <c r="A4163" i="17"/>
  <c r="B4162" i="17"/>
  <c r="A4162" i="17"/>
  <c r="B4161" i="17"/>
  <c r="A4161" i="17"/>
  <c r="B4160" i="17"/>
  <c r="A4160" i="17"/>
  <c r="B4159" i="17"/>
  <c r="A4159" i="17"/>
  <c r="A4158" i="17"/>
  <c r="B4157" i="17"/>
  <c r="A4157" i="17"/>
  <c r="B4156" i="17"/>
  <c r="A4156" i="17"/>
  <c r="A4155" i="17"/>
  <c r="B4154" i="17"/>
  <c r="A4154" i="17"/>
  <c r="B4153" i="17"/>
  <c r="A4153" i="17"/>
  <c r="B4152" i="17"/>
  <c r="A4152" i="17"/>
  <c r="B4151" i="17"/>
  <c r="A4151" i="17"/>
  <c r="B4150" i="17"/>
  <c r="A4150" i="17"/>
  <c r="B4149" i="17"/>
  <c r="A4149" i="17"/>
  <c r="B4148" i="17"/>
  <c r="A4148" i="17"/>
  <c r="B4147" i="17"/>
  <c r="A4147" i="17"/>
  <c r="B4146" i="17"/>
  <c r="A4146" i="17"/>
  <c r="B4145" i="17"/>
  <c r="A4145" i="17"/>
  <c r="B4144" i="17"/>
  <c r="A4144" i="17"/>
  <c r="B4143" i="17"/>
  <c r="A4143" i="17"/>
  <c r="B4142" i="17"/>
  <c r="A4142" i="17"/>
  <c r="B4141" i="17"/>
  <c r="A4141" i="17"/>
  <c r="B4140" i="17"/>
  <c r="A4140" i="17"/>
  <c r="B4139" i="17"/>
  <c r="A4139" i="17"/>
  <c r="B4138" i="17"/>
  <c r="A4138" i="17"/>
  <c r="B4137" i="17"/>
  <c r="A4137" i="17"/>
  <c r="B4136" i="17"/>
  <c r="A4136" i="17"/>
  <c r="B4135" i="17"/>
  <c r="A4135" i="17"/>
  <c r="B4134" i="17"/>
  <c r="A4134" i="17"/>
  <c r="B4133" i="17"/>
  <c r="A4133" i="17"/>
  <c r="B4132" i="17"/>
  <c r="A4132" i="17"/>
  <c r="B4131" i="17"/>
  <c r="A4131" i="17"/>
  <c r="B4130" i="17"/>
  <c r="A4130" i="17"/>
  <c r="B4129" i="17"/>
  <c r="A4129" i="17"/>
  <c r="B4128" i="17"/>
  <c r="A4128" i="17"/>
  <c r="B4127" i="17"/>
  <c r="A4127" i="17"/>
  <c r="B4126" i="17"/>
  <c r="A4126" i="17"/>
  <c r="B4125" i="17"/>
  <c r="A4125" i="17"/>
  <c r="B4124" i="17"/>
  <c r="A4124" i="17"/>
  <c r="B4123" i="17"/>
  <c r="A4123" i="17"/>
  <c r="B4122" i="17"/>
  <c r="A4122" i="17"/>
  <c r="A4121" i="17"/>
  <c r="B4120" i="17"/>
  <c r="A4120" i="17"/>
  <c r="B4119" i="17"/>
  <c r="A4119" i="17"/>
  <c r="B4118" i="17"/>
  <c r="A4118" i="17"/>
  <c r="B4117" i="17"/>
  <c r="A4117" i="17"/>
  <c r="B4116" i="17"/>
  <c r="A4116" i="17"/>
  <c r="B4115" i="17"/>
  <c r="A4115" i="17"/>
  <c r="B4114" i="17"/>
  <c r="A4114" i="17"/>
  <c r="B4113" i="17"/>
  <c r="A4113" i="17"/>
  <c r="A4112" i="17"/>
  <c r="B4111" i="17"/>
  <c r="A4111" i="17"/>
  <c r="B4110" i="17"/>
  <c r="A4110" i="17"/>
  <c r="A4109" i="17"/>
  <c r="B4108" i="17"/>
  <c r="A4108" i="17"/>
  <c r="B4107" i="17"/>
  <c r="A4107" i="17"/>
  <c r="B4105" i="17"/>
  <c r="A4105" i="17"/>
  <c r="B4103" i="17"/>
  <c r="A4103" i="17"/>
  <c r="B4102" i="17"/>
  <c r="A4102" i="17"/>
  <c r="B4101" i="17"/>
  <c r="A4101" i="17"/>
  <c r="B4100" i="17"/>
  <c r="A4100" i="17"/>
  <c r="B4099" i="17"/>
  <c r="A4099" i="17"/>
  <c r="B4098" i="17"/>
  <c r="A4098" i="17"/>
  <c r="B4097" i="17"/>
  <c r="A4097" i="17"/>
  <c r="B4096" i="17"/>
  <c r="A4096" i="17"/>
  <c r="B4095" i="17"/>
  <c r="A4095" i="17"/>
  <c r="B4094" i="17"/>
  <c r="A4094" i="17"/>
  <c r="B4093" i="17"/>
  <c r="A4093" i="17"/>
  <c r="B4092" i="17"/>
  <c r="A4092" i="17"/>
  <c r="A4091" i="17"/>
  <c r="B4087" i="17"/>
  <c r="A4087" i="17"/>
  <c r="B4086" i="17"/>
  <c r="A4086" i="17"/>
  <c r="B4085" i="17"/>
  <c r="A4085" i="17"/>
  <c r="B4084" i="17"/>
  <c r="A4084" i="17"/>
  <c r="B4083" i="17"/>
  <c r="A4083" i="17"/>
  <c r="B4082" i="17"/>
  <c r="A4082" i="17"/>
  <c r="A4081" i="17"/>
  <c r="A4080" i="17"/>
  <c r="A4079" i="17"/>
  <c r="A4078" i="17"/>
  <c r="A4077" i="17"/>
  <c r="A4076" i="17"/>
  <c r="A4075" i="17"/>
  <c r="A4074" i="17"/>
  <c r="A4073" i="17"/>
  <c r="A4072" i="17"/>
  <c r="A4071" i="17"/>
  <c r="A4070" i="17"/>
  <c r="A4069" i="17"/>
  <c r="A4068" i="17"/>
  <c r="A4067" i="17"/>
  <c r="A4066" i="17"/>
  <c r="A4065" i="17"/>
  <c r="B4064" i="17"/>
  <c r="A4064" i="17"/>
  <c r="A4063" i="17"/>
  <c r="A4062" i="17"/>
  <c r="B4061" i="17"/>
  <c r="A4061" i="17"/>
  <c r="B4060" i="17"/>
  <c r="A4060" i="17"/>
  <c r="B4059" i="17"/>
  <c r="A4059" i="17"/>
  <c r="B4058" i="17"/>
  <c r="A4058" i="17"/>
  <c r="B4057" i="17"/>
  <c r="A4057" i="17"/>
  <c r="B4056" i="17"/>
  <c r="A4056" i="17"/>
  <c r="B4055" i="17"/>
  <c r="A4055" i="17"/>
  <c r="B4054" i="17"/>
  <c r="A4054" i="17"/>
  <c r="B4041" i="17"/>
  <c r="A4041" i="17"/>
  <c r="A4040" i="17"/>
  <c r="B4039" i="17"/>
  <c r="A4039" i="17"/>
  <c r="B4038" i="17"/>
  <c r="A4038" i="17"/>
  <c r="B4037" i="17"/>
  <c r="A4037" i="17"/>
  <c r="A4036" i="17"/>
  <c r="B4035" i="17"/>
  <c r="A4035" i="17"/>
  <c r="B4034" i="17"/>
  <c r="A4034" i="17"/>
  <c r="B4033" i="17"/>
  <c r="A4033" i="17"/>
  <c r="B4032" i="17"/>
  <c r="A4032" i="17"/>
  <c r="B4031" i="17"/>
  <c r="A4031" i="17"/>
  <c r="B4030" i="17"/>
  <c r="A4030" i="17"/>
  <c r="B4029" i="17"/>
  <c r="A4029" i="17"/>
  <c r="B4028" i="17"/>
  <c r="A4028" i="17"/>
  <c r="B4027" i="17"/>
  <c r="A4027" i="17"/>
  <c r="B4026" i="17"/>
  <c r="A4026" i="17"/>
  <c r="B4025" i="17"/>
  <c r="A4025" i="17"/>
  <c r="B4024" i="17"/>
  <c r="A4024" i="17"/>
  <c r="B4023" i="17"/>
  <c r="A4023" i="17"/>
  <c r="B4022" i="17"/>
  <c r="A4022" i="17"/>
  <c r="B4021" i="17"/>
  <c r="A4021" i="17"/>
  <c r="B4020" i="17"/>
  <c r="A4020" i="17"/>
  <c r="B4019" i="17"/>
  <c r="A4019" i="17"/>
  <c r="B4018" i="17"/>
  <c r="A4018" i="17"/>
  <c r="B4017" i="17"/>
  <c r="A4017" i="17"/>
  <c r="B4016" i="17"/>
  <c r="A4016" i="17"/>
  <c r="B4015" i="17"/>
  <c r="A4015" i="17"/>
  <c r="B4014" i="17"/>
  <c r="A4014" i="17"/>
  <c r="B4013" i="17"/>
  <c r="A4013" i="17"/>
  <c r="B4012" i="17"/>
  <c r="A4012" i="17"/>
  <c r="B4011" i="17"/>
  <c r="A4011" i="17"/>
  <c r="B4010" i="17"/>
  <c r="A4010" i="17"/>
  <c r="B4009" i="17"/>
  <c r="A4009" i="17"/>
  <c r="B4008" i="17"/>
  <c r="A4008" i="17"/>
  <c r="B4007" i="17"/>
  <c r="A4007" i="17"/>
  <c r="A4006" i="17"/>
  <c r="B4002" i="17"/>
  <c r="A4002" i="17"/>
  <c r="B4001" i="17"/>
  <c r="A4001" i="17"/>
  <c r="B4000" i="17"/>
  <c r="A4000" i="17"/>
  <c r="B3999" i="17"/>
  <c r="A3999" i="17"/>
  <c r="B3998" i="17"/>
  <c r="A3998" i="17"/>
  <c r="B3997" i="17"/>
  <c r="A3997" i="17"/>
  <c r="B3996" i="17"/>
  <c r="A3996" i="17"/>
  <c r="B3995" i="17"/>
  <c r="A3995" i="17"/>
  <c r="B3994" i="17"/>
  <c r="A3994" i="17"/>
  <c r="B3993" i="17"/>
  <c r="A3993" i="17"/>
  <c r="B3992" i="17"/>
  <c r="A3992" i="17"/>
  <c r="B3991" i="17"/>
  <c r="A3991" i="17"/>
  <c r="B3990" i="17"/>
  <c r="A3990" i="17"/>
  <c r="B3989" i="17"/>
  <c r="A3989" i="17"/>
  <c r="B3988" i="17"/>
  <c r="A3988" i="17"/>
  <c r="B3987" i="17"/>
  <c r="A3987" i="17"/>
  <c r="B3986" i="17"/>
  <c r="A3986" i="17"/>
  <c r="A3985" i="17"/>
  <c r="B3984" i="17"/>
  <c r="A3984" i="17"/>
  <c r="A3983" i="17"/>
  <c r="A3982" i="17"/>
  <c r="B3979" i="17"/>
  <c r="A3979" i="17"/>
  <c r="B3978" i="17"/>
  <c r="A3978" i="17"/>
  <c r="B3977" i="17"/>
  <c r="A3977" i="17"/>
  <c r="B3976" i="17"/>
  <c r="A3976" i="17"/>
  <c r="B3975" i="17"/>
  <c r="A3975" i="17"/>
  <c r="B3974" i="17"/>
  <c r="A3974" i="17"/>
  <c r="B3973" i="17"/>
  <c r="A3973" i="17"/>
  <c r="B3972" i="17"/>
  <c r="A3972" i="17"/>
  <c r="B3971" i="17"/>
  <c r="A3971" i="17"/>
  <c r="B3970" i="17"/>
  <c r="A3970" i="17"/>
  <c r="B3969" i="17"/>
  <c r="A3969" i="17"/>
  <c r="B3968" i="17"/>
  <c r="A3968" i="17"/>
  <c r="B3967" i="17"/>
  <c r="A3967" i="17"/>
  <c r="B3966" i="17"/>
  <c r="A3966" i="17"/>
  <c r="B3965" i="17"/>
  <c r="A3965" i="17"/>
  <c r="B3964" i="17"/>
  <c r="A3964" i="17"/>
  <c r="A3963" i="17"/>
  <c r="A3962" i="17"/>
  <c r="A3961" i="17"/>
  <c r="B3960" i="17"/>
  <c r="A3960" i="17"/>
  <c r="B3959" i="17"/>
  <c r="A3959" i="17"/>
  <c r="B3958" i="17"/>
  <c r="A3958" i="17"/>
  <c r="B3957" i="17"/>
  <c r="A3957" i="17"/>
  <c r="B3956" i="17"/>
  <c r="A3956" i="17"/>
  <c r="B3955" i="17"/>
  <c r="A3955" i="17"/>
  <c r="B3954" i="17"/>
  <c r="A3954" i="17"/>
  <c r="B3953" i="17"/>
  <c r="A3953" i="17"/>
  <c r="B3952" i="17"/>
  <c r="A3952" i="17"/>
  <c r="B3951" i="17"/>
  <c r="A3951" i="17"/>
  <c r="B3950" i="17"/>
  <c r="A3950" i="17"/>
  <c r="B3949" i="17"/>
  <c r="A3949" i="17"/>
  <c r="B3948" i="17"/>
  <c r="A3948" i="17"/>
  <c r="B3947" i="17"/>
  <c r="A3947" i="17"/>
  <c r="A3946" i="17"/>
  <c r="A3945" i="17"/>
  <c r="A3944" i="17"/>
  <c r="B3943" i="17"/>
  <c r="A3943" i="17"/>
  <c r="B3942" i="17"/>
  <c r="A3942" i="17"/>
  <c r="B3941" i="17"/>
  <c r="A3941" i="17"/>
  <c r="B3940" i="17"/>
  <c r="A3940" i="17"/>
  <c r="B3939" i="17"/>
  <c r="A3939" i="17"/>
  <c r="B3938" i="17"/>
  <c r="A3938" i="17"/>
  <c r="B3937" i="17"/>
  <c r="A3937" i="17"/>
  <c r="B3936" i="17"/>
  <c r="A3936" i="17"/>
  <c r="B3935" i="17"/>
  <c r="A3935" i="17"/>
  <c r="B3934" i="17"/>
  <c r="A3934" i="17"/>
  <c r="B3933" i="17"/>
  <c r="A3933" i="17"/>
  <c r="B3932" i="17"/>
  <c r="A3932" i="17"/>
  <c r="B3931" i="17"/>
  <c r="A3931" i="17"/>
  <c r="A3930" i="17"/>
  <c r="B3929" i="17"/>
  <c r="A3929" i="17"/>
  <c r="A3928" i="17"/>
  <c r="B3927" i="17"/>
  <c r="A3927" i="17"/>
  <c r="B3926" i="17"/>
  <c r="A3926" i="17"/>
  <c r="B3925" i="17"/>
  <c r="A3925" i="17"/>
  <c r="B3924" i="17"/>
  <c r="A3924" i="17"/>
  <c r="B3923" i="17"/>
  <c r="A3923" i="17"/>
  <c r="B3922" i="17"/>
  <c r="A3922" i="17"/>
  <c r="B3921" i="17"/>
  <c r="A3921" i="17"/>
  <c r="B3920" i="17"/>
  <c r="A3920" i="17"/>
  <c r="B3919" i="17"/>
  <c r="A3919" i="17"/>
  <c r="A3918" i="17"/>
  <c r="B3917" i="17"/>
  <c r="A3917" i="17"/>
  <c r="A3916" i="17"/>
  <c r="B3915" i="17"/>
  <c r="A3915" i="17"/>
  <c r="B3914" i="17"/>
  <c r="A3914" i="17"/>
  <c r="B3913" i="17"/>
  <c r="A3913" i="17"/>
  <c r="B3912" i="17"/>
  <c r="A3912" i="17"/>
  <c r="B3911" i="17"/>
  <c r="A3911" i="17"/>
  <c r="B3910" i="17"/>
  <c r="A3910" i="17"/>
  <c r="B3909" i="17"/>
  <c r="A3909" i="17"/>
  <c r="B3908" i="17"/>
  <c r="A3908" i="17"/>
  <c r="B3907" i="17"/>
  <c r="A3907" i="17"/>
  <c r="B3906" i="17"/>
  <c r="A3906" i="17"/>
  <c r="B3905" i="17"/>
  <c r="A3905" i="17"/>
  <c r="B3904" i="17"/>
  <c r="A3904" i="17"/>
  <c r="B3903" i="17"/>
  <c r="A3903" i="17"/>
  <c r="B3902" i="17"/>
  <c r="A3902" i="17"/>
  <c r="B3901" i="17"/>
  <c r="A3901" i="17"/>
  <c r="B3900" i="17"/>
  <c r="A3900" i="17"/>
  <c r="B3899" i="17"/>
  <c r="A3899" i="17"/>
  <c r="B3898" i="17"/>
  <c r="A3898" i="17"/>
  <c r="B3897" i="17"/>
  <c r="A3897" i="17"/>
  <c r="B3896" i="17"/>
  <c r="A3896" i="17"/>
  <c r="B3895" i="17"/>
  <c r="A3895" i="17"/>
  <c r="B3894" i="17"/>
  <c r="A3894" i="17"/>
  <c r="B3893" i="17"/>
  <c r="A3893" i="17"/>
  <c r="B3892" i="17"/>
  <c r="A3892" i="17"/>
  <c r="B3891" i="17"/>
  <c r="A3891" i="17"/>
  <c r="B3890" i="17"/>
  <c r="A3890" i="17"/>
  <c r="B3889" i="17"/>
  <c r="A3889" i="17"/>
  <c r="B3888" i="17"/>
  <c r="A3888" i="17"/>
  <c r="B3887" i="17"/>
  <c r="A3887" i="17"/>
  <c r="B3886" i="17"/>
  <c r="A3886" i="17"/>
  <c r="B3885" i="17"/>
  <c r="A3885" i="17"/>
  <c r="B3884" i="17"/>
  <c r="A3884" i="17"/>
  <c r="B3883" i="17"/>
  <c r="A3883" i="17"/>
  <c r="B3882" i="17"/>
  <c r="A3882" i="17"/>
  <c r="B3881" i="17"/>
  <c r="A3881" i="17"/>
  <c r="B3880" i="17"/>
  <c r="A3880" i="17"/>
  <c r="A3879" i="17"/>
  <c r="B3878" i="17"/>
  <c r="A3878" i="17"/>
  <c r="B3877" i="17"/>
  <c r="A3877" i="17"/>
  <c r="B3876" i="17"/>
  <c r="A3876" i="17"/>
  <c r="B3875" i="17"/>
  <c r="A3875" i="17"/>
  <c r="B3874" i="17"/>
  <c r="A3874" i="17"/>
  <c r="B3873" i="17"/>
  <c r="A3873" i="17"/>
  <c r="B3872" i="17"/>
  <c r="A3872" i="17"/>
  <c r="B3871" i="17"/>
  <c r="A3871" i="17"/>
  <c r="B3870" i="17"/>
  <c r="A3870" i="17"/>
  <c r="B3869" i="17"/>
  <c r="A3869" i="17"/>
  <c r="B3868" i="17"/>
  <c r="A3868" i="17"/>
  <c r="A3867" i="17"/>
  <c r="B3866" i="17"/>
  <c r="A3866" i="17"/>
  <c r="B3865" i="17"/>
  <c r="A3865" i="17"/>
  <c r="B3864" i="17"/>
  <c r="A3864" i="17"/>
  <c r="B3863" i="17"/>
  <c r="A3863" i="17"/>
  <c r="B3862" i="17"/>
  <c r="A3862" i="17"/>
  <c r="B3861" i="17"/>
  <c r="A3861" i="17"/>
  <c r="B3860" i="17"/>
  <c r="A3860" i="17"/>
  <c r="B3859" i="17"/>
  <c r="A3859" i="17"/>
  <c r="B3858" i="17"/>
  <c r="A3858" i="17"/>
  <c r="A3857" i="17"/>
  <c r="B3856" i="17"/>
  <c r="A3856" i="17"/>
  <c r="B3855" i="17"/>
  <c r="A3855" i="17"/>
  <c r="B3854" i="17"/>
  <c r="A3854" i="17"/>
  <c r="B3853" i="17"/>
  <c r="A3853" i="17"/>
  <c r="B3852" i="17"/>
  <c r="A3852" i="17"/>
  <c r="A3851" i="17"/>
  <c r="B3850" i="17"/>
  <c r="A3850" i="17"/>
  <c r="B3849" i="17"/>
  <c r="A3849" i="17"/>
  <c r="B3848" i="17"/>
  <c r="A3848" i="17"/>
  <c r="B3847" i="17"/>
  <c r="A3847" i="17"/>
  <c r="B3846" i="17"/>
  <c r="A3846" i="17"/>
  <c r="B3845" i="17"/>
  <c r="A3845" i="17"/>
  <c r="B3844" i="17"/>
  <c r="A3844" i="17"/>
  <c r="B3843" i="17"/>
  <c r="A3843" i="17"/>
  <c r="B3842" i="17"/>
  <c r="A3842" i="17"/>
  <c r="B3841" i="17"/>
  <c r="A3841" i="17"/>
  <c r="B3840" i="17"/>
  <c r="A3840" i="17"/>
  <c r="B3839" i="17"/>
  <c r="A3839" i="17"/>
  <c r="B3838" i="17"/>
  <c r="A3838" i="17"/>
  <c r="B3837" i="17"/>
  <c r="A3837" i="17"/>
  <c r="B3836" i="17"/>
  <c r="A3836" i="17"/>
  <c r="B3835" i="17"/>
  <c r="A3835" i="17"/>
  <c r="A3834" i="17"/>
  <c r="B3833" i="17"/>
  <c r="A3833" i="17"/>
  <c r="B3832" i="17"/>
  <c r="A3832" i="17"/>
  <c r="B3831" i="17"/>
  <c r="A3831" i="17"/>
  <c r="B3830" i="17"/>
  <c r="A3830" i="17"/>
  <c r="B3829" i="17"/>
  <c r="A3829" i="17"/>
  <c r="A3828" i="17"/>
  <c r="A3827" i="17"/>
  <c r="B3826" i="17"/>
  <c r="A3826" i="17"/>
  <c r="A3825" i="17"/>
  <c r="A3824" i="17"/>
  <c r="A3823" i="17"/>
  <c r="A3822" i="17"/>
  <c r="B3821" i="17"/>
  <c r="A3821" i="17"/>
  <c r="B3820" i="17"/>
  <c r="A3820" i="17"/>
  <c r="B3819" i="17"/>
  <c r="A3819" i="17"/>
  <c r="B3818" i="17"/>
  <c r="A3818" i="17"/>
  <c r="B3817" i="17"/>
  <c r="A3817" i="17"/>
  <c r="B3816" i="17"/>
  <c r="A3816" i="17"/>
  <c r="B3815" i="17"/>
  <c r="A3815" i="17"/>
  <c r="B3814" i="17"/>
  <c r="A3814" i="17"/>
  <c r="B3813" i="17"/>
  <c r="A3813" i="17"/>
  <c r="B3812" i="17"/>
  <c r="A3812" i="17"/>
  <c r="B3811" i="17"/>
  <c r="A3811" i="17"/>
  <c r="B3810" i="17"/>
  <c r="A3810" i="17"/>
  <c r="B3809" i="17"/>
  <c r="A3809" i="17"/>
  <c r="B3808" i="17"/>
  <c r="A3808" i="17"/>
  <c r="B3807" i="17"/>
  <c r="A3807" i="17"/>
  <c r="A3806" i="17"/>
  <c r="B3805" i="17"/>
  <c r="A3805" i="17"/>
  <c r="B3804" i="17"/>
  <c r="A3804" i="17"/>
  <c r="B3803" i="17"/>
  <c r="A3803" i="17"/>
  <c r="B3802" i="17"/>
  <c r="A3802" i="17"/>
  <c r="B3801" i="17"/>
  <c r="A3801" i="17"/>
  <c r="B3800" i="17"/>
  <c r="A3800" i="17"/>
  <c r="B3799" i="17"/>
  <c r="A3799" i="17"/>
  <c r="A3798" i="17"/>
  <c r="B3797" i="17"/>
  <c r="A3797" i="17"/>
  <c r="B3796" i="17"/>
  <c r="A3796" i="17"/>
  <c r="B3795" i="17"/>
  <c r="A3795" i="17"/>
  <c r="B3794" i="17"/>
  <c r="A3794" i="17"/>
  <c r="B3793" i="17"/>
  <c r="A3793" i="17"/>
  <c r="A3792" i="17"/>
  <c r="B3791" i="17"/>
  <c r="A3791" i="17"/>
  <c r="A3789" i="17"/>
  <c r="B3788" i="17"/>
  <c r="A3788" i="17"/>
  <c r="B3787" i="17"/>
  <c r="A3787" i="17"/>
  <c r="B3786" i="17"/>
  <c r="A3786" i="17"/>
  <c r="A3785" i="17"/>
  <c r="B3784" i="17"/>
  <c r="A3784" i="17"/>
  <c r="B3783" i="17"/>
  <c r="A3783" i="17"/>
  <c r="B3782" i="17"/>
  <c r="A3782" i="17"/>
  <c r="B3781" i="17"/>
  <c r="A3781" i="17"/>
  <c r="B3780" i="17"/>
  <c r="A3780" i="17"/>
  <c r="B3779" i="17"/>
  <c r="A3779" i="17"/>
  <c r="B3778" i="17"/>
  <c r="A3778" i="17"/>
  <c r="B3777" i="17"/>
  <c r="A3777" i="17"/>
  <c r="B3776" i="17"/>
  <c r="A3776" i="17"/>
  <c r="B3775" i="17"/>
  <c r="A3775" i="17"/>
  <c r="B3774" i="17"/>
  <c r="A3774" i="17"/>
  <c r="B3773" i="17"/>
  <c r="A3773" i="17"/>
  <c r="B3772" i="17"/>
  <c r="A3772" i="17"/>
  <c r="B3771" i="17"/>
  <c r="A3771" i="17"/>
  <c r="B3770" i="17"/>
  <c r="A3770" i="17"/>
  <c r="B3769" i="17"/>
  <c r="A3769" i="17"/>
  <c r="B3768" i="17"/>
  <c r="A3768" i="17"/>
  <c r="B3767" i="17"/>
  <c r="A3767" i="17"/>
  <c r="B3766" i="17"/>
  <c r="A3766" i="17"/>
  <c r="A3765" i="17"/>
  <c r="A3764" i="17"/>
  <c r="B3763" i="17"/>
  <c r="A3763" i="17"/>
  <c r="B3762" i="17"/>
  <c r="A3762" i="17"/>
  <c r="B3761" i="17"/>
  <c r="A3761" i="17"/>
  <c r="B3760" i="17"/>
  <c r="A3760" i="17"/>
  <c r="B3759" i="17"/>
  <c r="A3759" i="17"/>
  <c r="B3758" i="17"/>
  <c r="A3758" i="17"/>
  <c r="B3757" i="17"/>
  <c r="A3757" i="17"/>
  <c r="B3756" i="17"/>
  <c r="A3756" i="17"/>
  <c r="B3755" i="17"/>
  <c r="A3755" i="17"/>
  <c r="B3754" i="17"/>
  <c r="A3754" i="17"/>
  <c r="B3753" i="17"/>
  <c r="A3753" i="17"/>
  <c r="B3752" i="17"/>
  <c r="A3752" i="17"/>
  <c r="B3751" i="17"/>
  <c r="A3751" i="17"/>
  <c r="A3750" i="17"/>
  <c r="B3749" i="17"/>
  <c r="A3749" i="17"/>
  <c r="B3748" i="17"/>
  <c r="A3748" i="17"/>
  <c r="B3747" i="17"/>
  <c r="A3747" i="17"/>
  <c r="B3746" i="17"/>
  <c r="A3746" i="17"/>
  <c r="B3745" i="17"/>
  <c r="A3745" i="17"/>
  <c r="B3744" i="17"/>
  <c r="A3744" i="17"/>
  <c r="B3743" i="17"/>
  <c r="A3743" i="17"/>
  <c r="A3742" i="17"/>
  <c r="B3741" i="17"/>
  <c r="A3741" i="17"/>
  <c r="B3740" i="17"/>
  <c r="A3740" i="17"/>
  <c r="B3739" i="17"/>
  <c r="A3739" i="17"/>
  <c r="B3738" i="17"/>
  <c r="A3738" i="17"/>
  <c r="B3737" i="17"/>
  <c r="A3737" i="17"/>
  <c r="B3736" i="17"/>
  <c r="A3736" i="17"/>
  <c r="B3735" i="17"/>
  <c r="A3735" i="17"/>
  <c r="B3734" i="17"/>
  <c r="A3734" i="17"/>
  <c r="B3733" i="17"/>
  <c r="A3733" i="17"/>
  <c r="A3732" i="17"/>
  <c r="B3731" i="17"/>
  <c r="A3731" i="17"/>
  <c r="B3730" i="17"/>
  <c r="A3730" i="17"/>
  <c r="B3729" i="17"/>
  <c r="A3729" i="17"/>
  <c r="B3728" i="17"/>
  <c r="A3728" i="17"/>
  <c r="B3727" i="17"/>
  <c r="A3727" i="17"/>
  <c r="B3726" i="17"/>
  <c r="A3726" i="17"/>
  <c r="B3725" i="17"/>
  <c r="A3725" i="17"/>
  <c r="B3724" i="17"/>
  <c r="A3724" i="17"/>
  <c r="B3723" i="17"/>
  <c r="A3723" i="17"/>
  <c r="B3722" i="17"/>
  <c r="A3722" i="17"/>
  <c r="B3721" i="17"/>
  <c r="A3721" i="17"/>
  <c r="B3720" i="17"/>
  <c r="A3720" i="17"/>
  <c r="B3719" i="17"/>
  <c r="A3719" i="17"/>
  <c r="B3718" i="17"/>
  <c r="A3718" i="17"/>
  <c r="B3717" i="17"/>
  <c r="A3717" i="17"/>
  <c r="B3716" i="17"/>
  <c r="A3716" i="17"/>
  <c r="B3715" i="17"/>
  <c r="A3715" i="17"/>
  <c r="B3714" i="17"/>
  <c r="A3714" i="17"/>
  <c r="B3713" i="17"/>
  <c r="A3713" i="17"/>
  <c r="B3712" i="17"/>
  <c r="A3712" i="17"/>
  <c r="A3711" i="17"/>
  <c r="B3710" i="17"/>
  <c r="A3710" i="17"/>
  <c r="B3709" i="17"/>
  <c r="A3709" i="17"/>
  <c r="A3708" i="17"/>
  <c r="A3707" i="17"/>
  <c r="B3706" i="17"/>
  <c r="A3706" i="17"/>
  <c r="B3705" i="17"/>
  <c r="A3705" i="17"/>
  <c r="B3704" i="17"/>
  <c r="A3704" i="17"/>
  <c r="A3703" i="17"/>
  <c r="A3702" i="17"/>
  <c r="B3701" i="17"/>
  <c r="A3701" i="17"/>
  <c r="B3700" i="17"/>
  <c r="A3700" i="17"/>
  <c r="B3699" i="17"/>
  <c r="A3699" i="17"/>
  <c r="B3698" i="17"/>
  <c r="A3698" i="17"/>
  <c r="A3697" i="17"/>
  <c r="A3696" i="17"/>
  <c r="A3695" i="17"/>
  <c r="A3694" i="17"/>
  <c r="B3693" i="17"/>
  <c r="A3693" i="17"/>
  <c r="B3692" i="17"/>
  <c r="A3692" i="17"/>
  <c r="B3691" i="17"/>
  <c r="A3691" i="17"/>
  <c r="B3690" i="17"/>
  <c r="A3690" i="17"/>
  <c r="B3689" i="17"/>
  <c r="A3689" i="17"/>
  <c r="B3688" i="17"/>
  <c r="A3688" i="17"/>
  <c r="B3687" i="17"/>
  <c r="A3687" i="17"/>
  <c r="B3686" i="17"/>
  <c r="A3686" i="17"/>
  <c r="B3685" i="17"/>
  <c r="A3685" i="17"/>
  <c r="B3683" i="17"/>
  <c r="A3683" i="17"/>
  <c r="B3682" i="17"/>
  <c r="A3682" i="17"/>
  <c r="B3681" i="17"/>
  <c r="A3681" i="17"/>
  <c r="B3680" i="17"/>
  <c r="A3680" i="17"/>
  <c r="B3679" i="17"/>
  <c r="A3679" i="17"/>
  <c r="B3678" i="17"/>
  <c r="A3678" i="17"/>
  <c r="B3677" i="17"/>
  <c r="A3677" i="17"/>
  <c r="B3676" i="17"/>
  <c r="A3676" i="17"/>
  <c r="B3675" i="17"/>
  <c r="A3675" i="17"/>
  <c r="B3674" i="17"/>
  <c r="A3674" i="17"/>
  <c r="B3673" i="17"/>
  <c r="A3673" i="17"/>
  <c r="B3672" i="17"/>
  <c r="A3672" i="17"/>
  <c r="B3671" i="17"/>
  <c r="A3671" i="17"/>
  <c r="B3670" i="17"/>
  <c r="A3670" i="17"/>
  <c r="B3669" i="17"/>
  <c r="A3669" i="17"/>
  <c r="B3668" i="17"/>
  <c r="A3668" i="17"/>
  <c r="B3667" i="17"/>
  <c r="A3667" i="17"/>
  <c r="B3666" i="17"/>
  <c r="A3666" i="17"/>
  <c r="A3665" i="17"/>
  <c r="B3664" i="17"/>
  <c r="A3664" i="17"/>
  <c r="B3663" i="17"/>
  <c r="A3663" i="17"/>
  <c r="B3662" i="17"/>
  <c r="A3662" i="17"/>
  <c r="B3661" i="17"/>
  <c r="A3661" i="17"/>
  <c r="B3660" i="17"/>
  <c r="A3660" i="17"/>
  <c r="A3659" i="17"/>
  <c r="A3658" i="17"/>
  <c r="B3657" i="17"/>
  <c r="A3657" i="17"/>
  <c r="B3656" i="17"/>
  <c r="A3656" i="17"/>
  <c r="B3655" i="17"/>
  <c r="A3655" i="17"/>
  <c r="B3654" i="17"/>
  <c r="A3654" i="17"/>
  <c r="B3653" i="17"/>
  <c r="A3653" i="17"/>
  <c r="B3652" i="17"/>
  <c r="A3652" i="17"/>
  <c r="B3651" i="17"/>
  <c r="A3651" i="17"/>
  <c r="B3650" i="17"/>
  <c r="A3650" i="17"/>
  <c r="B3649" i="17"/>
  <c r="A3649" i="17"/>
  <c r="B3648" i="17"/>
  <c r="A3648" i="17"/>
  <c r="B3647" i="17"/>
  <c r="A3647" i="17"/>
  <c r="B3646" i="17"/>
  <c r="A3646" i="17"/>
  <c r="B3645" i="17"/>
  <c r="A3645" i="17"/>
  <c r="B3644" i="17"/>
  <c r="A3644" i="17"/>
  <c r="B3643" i="17"/>
  <c r="A3643" i="17"/>
  <c r="B3642" i="17"/>
  <c r="A3642" i="17"/>
  <c r="B3641" i="17"/>
  <c r="A3641" i="17"/>
  <c r="B3640" i="17"/>
  <c r="A3640" i="17"/>
  <c r="B3639" i="17"/>
  <c r="A3639" i="17"/>
  <c r="B3638" i="17"/>
  <c r="A3638" i="17"/>
  <c r="B3637" i="17"/>
  <c r="A3637" i="17"/>
  <c r="B3636" i="17"/>
  <c r="A3636" i="17"/>
  <c r="B3635" i="17"/>
  <c r="A3635" i="17"/>
  <c r="B3634" i="17"/>
  <c r="A3634" i="17"/>
  <c r="B3633" i="17"/>
  <c r="A3633" i="17"/>
  <c r="B3632" i="17"/>
  <c r="A3632" i="17"/>
  <c r="B3631" i="17"/>
  <c r="A3631" i="17"/>
  <c r="B3630" i="17"/>
  <c r="A3630" i="17"/>
  <c r="B3629" i="17"/>
  <c r="A3629" i="17"/>
  <c r="B3628" i="17"/>
  <c r="A3628" i="17"/>
  <c r="B3627" i="17"/>
  <c r="A3627" i="17"/>
  <c r="B3625" i="17"/>
  <c r="A3625" i="17"/>
  <c r="B3624" i="17"/>
  <c r="A3624" i="17"/>
  <c r="B3623" i="17"/>
  <c r="A3623" i="17"/>
  <c r="B3622" i="17"/>
  <c r="A3622" i="17"/>
  <c r="A3621" i="17"/>
  <c r="B3620" i="17"/>
  <c r="A3620" i="17"/>
  <c r="B3619" i="17"/>
  <c r="A3619" i="17"/>
  <c r="B3618" i="17"/>
  <c r="A3618" i="17"/>
  <c r="B3617" i="17"/>
  <c r="A3617" i="17"/>
  <c r="B3616" i="17"/>
  <c r="A3616" i="17"/>
  <c r="B3615" i="17"/>
  <c r="A3615" i="17"/>
  <c r="B3614" i="17"/>
  <c r="A3614" i="17"/>
  <c r="B3613" i="17"/>
  <c r="A3613" i="17"/>
  <c r="B3612" i="17"/>
  <c r="A3612" i="17"/>
  <c r="B3611" i="17"/>
  <c r="A3611" i="17"/>
  <c r="B3610" i="17"/>
  <c r="A3610" i="17"/>
  <c r="B3609" i="17"/>
  <c r="A3609" i="17"/>
  <c r="A3608" i="17"/>
  <c r="B3607" i="17"/>
  <c r="A3607" i="17"/>
  <c r="B3606" i="17"/>
  <c r="A3606" i="17"/>
  <c r="B3605" i="17"/>
  <c r="A3605" i="17"/>
  <c r="B3604" i="17"/>
  <c r="A3604" i="17"/>
  <c r="B3603" i="17"/>
  <c r="A3603" i="17"/>
  <c r="B3602" i="17"/>
  <c r="A3602" i="17"/>
  <c r="B3601" i="17"/>
  <c r="A3601" i="17"/>
  <c r="B3600" i="17"/>
  <c r="A3600" i="17"/>
  <c r="B3599" i="17"/>
  <c r="A3599" i="17"/>
  <c r="B3598" i="17"/>
  <c r="A3598" i="17"/>
  <c r="B3597" i="17"/>
  <c r="A3597" i="17"/>
  <c r="B3596" i="17"/>
  <c r="A3596" i="17"/>
  <c r="B3595" i="17"/>
  <c r="A3595" i="17"/>
  <c r="B3594" i="17"/>
  <c r="A3594" i="17"/>
  <c r="B3593" i="17"/>
  <c r="A3593" i="17"/>
  <c r="B3592" i="17"/>
  <c r="A3592" i="17"/>
  <c r="B3591" i="17"/>
  <c r="A3591" i="17"/>
  <c r="B3590" i="17"/>
  <c r="A3590" i="17"/>
  <c r="B3589" i="17"/>
  <c r="A3589" i="17"/>
  <c r="B3588" i="17"/>
  <c r="A3588" i="17"/>
  <c r="B3587" i="17"/>
  <c r="A3587" i="17"/>
  <c r="B3586" i="17"/>
  <c r="A3586" i="17"/>
  <c r="B3585" i="17"/>
  <c r="A3585" i="17"/>
  <c r="A3584" i="17"/>
  <c r="A3583" i="17"/>
  <c r="A3582" i="17"/>
  <c r="A3581" i="17"/>
  <c r="A3580" i="17"/>
  <c r="A3579" i="17"/>
  <c r="A3578" i="17"/>
  <c r="B3577" i="17"/>
  <c r="A3577" i="17"/>
  <c r="B3576" i="17"/>
  <c r="A3576" i="17"/>
  <c r="B3575" i="17"/>
  <c r="A3575" i="17"/>
  <c r="B3574" i="17"/>
  <c r="A3574" i="17"/>
  <c r="B3573" i="17"/>
  <c r="A3573" i="17"/>
  <c r="B3572" i="17"/>
  <c r="A3572" i="17"/>
  <c r="B3571" i="17"/>
  <c r="A3571" i="17"/>
  <c r="B3570" i="17"/>
  <c r="A3570" i="17"/>
  <c r="B3569" i="17"/>
  <c r="A3569" i="17"/>
  <c r="B3568" i="17"/>
  <c r="A3568" i="17"/>
  <c r="B3567" i="17"/>
  <c r="A3567" i="17"/>
  <c r="B3566" i="17"/>
  <c r="A3566" i="17"/>
  <c r="A3565" i="17"/>
  <c r="B3564" i="17"/>
  <c r="A3564" i="17"/>
  <c r="B3563" i="17"/>
  <c r="A3563" i="17"/>
  <c r="B3562" i="17"/>
  <c r="A3562" i="17"/>
  <c r="B3561" i="17"/>
  <c r="A3561" i="17"/>
  <c r="B3560" i="17"/>
  <c r="A3560" i="17"/>
  <c r="B3559" i="17"/>
  <c r="A3559" i="17"/>
  <c r="A3558" i="17"/>
  <c r="B3557" i="17"/>
  <c r="A3557" i="17"/>
  <c r="B3556" i="17"/>
  <c r="A3556" i="17"/>
  <c r="B3555" i="17"/>
  <c r="A3555" i="17"/>
  <c r="B3554" i="17"/>
  <c r="A3554" i="17"/>
  <c r="B3553" i="17"/>
  <c r="A3553" i="17"/>
  <c r="B3552" i="17"/>
  <c r="A3552" i="17"/>
  <c r="B3551" i="17"/>
  <c r="A3551" i="17"/>
  <c r="B3550" i="17"/>
  <c r="A3550" i="17"/>
  <c r="B3549" i="17"/>
  <c r="A3549" i="17"/>
  <c r="A3548" i="17"/>
  <c r="B3547" i="17"/>
  <c r="A3547" i="17"/>
  <c r="B3546" i="17"/>
  <c r="A3546" i="17"/>
  <c r="B3545" i="17"/>
  <c r="A3545" i="17"/>
  <c r="B3544" i="17"/>
  <c r="A3544" i="17"/>
  <c r="B3543" i="17"/>
  <c r="A3543" i="17"/>
  <c r="B3542" i="17"/>
  <c r="A3542" i="17"/>
  <c r="B3541" i="17"/>
  <c r="A3541" i="17"/>
  <c r="B3540" i="17"/>
  <c r="A3540" i="17"/>
  <c r="B3539" i="17"/>
  <c r="A3539" i="17"/>
  <c r="B3538" i="17"/>
  <c r="A3538" i="17"/>
  <c r="B3537" i="17"/>
  <c r="A3537" i="17"/>
  <c r="B3536" i="17"/>
  <c r="A3536" i="17"/>
  <c r="B3535" i="17"/>
  <c r="A3535" i="17"/>
  <c r="B3534" i="17"/>
  <c r="A3534" i="17"/>
  <c r="B3533" i="17"/>
  <c r="A3533" i="17"/>
  <c r="B3532" i="17"/>
  <c r="A3532" i="17"/>
  <c r="B3531" i="17"/>
  <c r="A3531" i="17"/>
  <c r="B3530" i="17"/>
  <c r="A3530" i="17"/>
  <c r="B3529" i="17"/>
  <c r="A3529" i="17"/>
  <c r="B3528" i="17"/>
  <c r="A3528" i="17"/>
  <c r="B3527" i="17"/>
  <c r="A3527" i="17"/>
  <c r="B3526" i="17"/>
  <c r="A3526" i="17"/>
  <c r="B3525" i="17"/>
  <c r="A3525" i="17"/>
  <c r="B3524" i="17"/>
  <c r="A3524" i="17"/>
  <c r="B3523" i="17"/>
  <c r="A3523" i="17"/>
  <c r="B3522" i="17"/>
  <c r="A3522" i="17"/>
  <c r="B3521" i="17"/>
  <c r="A3521" i="17"/>
  <c r="B3520" i="17"/>
  <c r="A3520" i="17"/>
  <c r="B3519" i="17"/>
  <c r="A3519" i="17"/>
  <c r="B3518" i="17"/>
  <c r="A3518" i="17"/>
  <c r="B3517" i="17"/>
  <c r="A3517" i="17"/>
  <c r="B3516" i="17"/>
  <c r="A3516" i="17"/>
  <c r="B3515" i="17"/>
  <c r="A3515" i="17"/>
  <c r="B3514" i="17"/>
  <c r="A3514" i="17"/>
  <c r="B3513" i="17"/>
  <c r="A3513" i="17"/>
  <c r="A3512" i="17"/>
  <c r="A3511" i="17"/>
  <c r="A3510" i="17"/>
  <c r="A3509" i="17"/>
  <c r="A3508" i="17"/>
  <c r="B3507" i="17"/>
  <c r="A3507" i="17"/>
  <c r="B3506" i="17"/>
  <c r="A3506" i="17"/>
  <c r="B3505" i="17"/>
  <c r="A3505" i="17"/>
  <c r="B3504" i="17"/>
  <c r="A3504" i="17"/>
  <c r="B3503" i="17"/>
  <c r="A3503" i="17"/>
  <c r="B3502" i="17"/>
  <c r="A3502" i="17"/>
  <c r="B3501" i="17"/>
  <c r="A3501" i="17"/>
  <c r="B3500" i="17"/>
  <c r="A3500" i="17"/>
  <c r="B3499" i="17"/>
  <c r="A3499" i="17"/>
  <c r="B3498" i="17"/>
  <c r="A3498" i="17"/>
  <c r="B3497" i="17"/>
  <c r="A3497" i="17"/>
  <c r="B3496" i="17"/>
  <c r="A3496" i="17"/>
  <c r="B3495" i="17"/>
  <c r="A3495" i="17"/>
  <c r="B3494" i="17"/>
  <c r="A3494" i="17"/>
  <c r="B3493" i="17"/>
  <c r="A3493" i="17"/>
  <c r="A3492" i="17"/>
  <c r="B3491" i="17"/>
  <c r="A3491" i="17"/>
  <c r="B3490" i="17"/>
  <c r="A3490" i="17"/>
  <c r="B3489" i="17"/>
  <c r="A3489" i="17"/>
  <c r="B3488" i="17"/>
  <c r="A3488" i="17"/>
  <c r="B3487" i="17"/>
  <c r="A3487" i="17"/>
  <c r="B3486" i="17"/>
  <c r="A3486" i="17"/>
  <c r="B3485" i="17"/>
  <c r="A3485" i="17"/>
  <c r="B3484" i="17"/>
  <c r="A3484" i="17"/>
  <c r="B3483" i="17"/>
  <c r="A3483" i="17"/>
  <c r="B3482" i="17"/>
  <c r="A3482" i="17"/>
  <c r="B3481" i="17"/>
  <c r="A3481" i="17"/>
  <c r="B3480" i="17"/>
  <c r="A3480" i="17"/>
  <c r="B3479" i="17"/>
  <c r="A3479" i="17"/>
  <c r="B3478" i="17"/>
  <c r="A3478" i="17"/>
  <c r="B3477" i="17"/>
  <c r="A3477" i="17"/>
  <c r="B3476" i="17"/>
  <c r="A3476" i="17"/>
  <c r="B3475" i="17"/>
  <c r="A3475" i="17"/>
  <c r="B3474" i="17"/>
  <c r="A3474" i="17"/>
  <c r="B3473" i="17"/>
  <c r="A3473" i="17"/>
  <c r="B3472" i="17"/>
  <c r="A3472" i="17"/>
  <c r="B3471" i="17"/>
  <c r="A3471" i="17"/>
  <c r="B3470" i="17"/>
  <c r="A3470" i="17"/>
  <c r="B3469" i="17"/>
  <c r="A3469" i="17"/>
  <c r="B3468" i="17"/>
  <c r="A3468" i="17"/>
  <c r="B3467" i="17"/>
  <c r="A3467" i="17"/>
  <c r="B3466" i="17"/>
  <c r="A3466" i="17"/>
  <c r="B3461" i="17"/>
  <c r="A3461" i="17"/>
  <c r="B3460" i="17"/>
  <c r="A3460" i="17"/>
  <c r="B3459" i="17"/>
  <c r="A3459" i="17"/>
  <c r="B3458" i="17"/>
  <c r="A3458" i="17"/>
  <c r="B3457" i="17"/>
  <c r="A3457" i="17"/>
  <c r="B3456" i="17"/>
  <c r="A3456" i="17"/>
  <c r="B3455" i="17"/>
  <c r="A3455" i="17"/>
  <c r="B3454" i="17"/>
  <c r="A3454" i="17"/>
  <c r="B3453" i="17"/>
  <c r="A3453" i="17"/>
  <c r="B3452" i="17"/>
  <c r="A3452" i="17"/>
  <c r="A3451" i="17"/>
  <c r="B3449" i="17"/>
  <c r="A3449" i="17"/>
  <c r="B3448" i="17"/>
  <c r="A3448" i="17"/>
  <c r="A3447" i="17"/>
  <c r="B3446" i="17"/>
  <c r="A3446" i="17"/>
  <c r="B3445" i="17"/>
  <c r="A3445" i="17"/>
  <c r="B3444" i="17"/>
  <c r="A3444" i="17"/>
  <c r="B3443" i="17"/>
  <c r="A3443" i="17"/>
  <c r="B3442" i="17"/>
  <c r="A3442" i="17"/>
  <c r="A3441" i="17"/>
  <c r="A3440" i="17"/>
  <c r="A3439" i="17"/>
  <c r="B3438" i="17"/>
  <c r="A3438" i="17"/>
  <c r="B3437" i="17"/>
  <c r="A3437" i="17"/>
  <c r="B3436" i="17"/>
  <c r="A3436" i="17"/>
  <c r="B3435" i="17"/>
  <c r="A3435" i="17"/>
  <c r="B3434" i="17"/>
  <c r="A3434" i="17"/>
  <c r="B3433" i="17"/>
  <c r="A3433" i="17"/>
  <c r="B3432" i="17"/>
  <c r="A3432" i="17"/>
  <c r="B3431" i="17"/>
  <c r="A3431" i="17"/>
  <c r="B3430" i="17"/>
  <c r="A3430" i="17"/>
  <c r="B3429" i="17"/>
  <c r="A3429" i="17"/>
  <c r="B3428" i="17"/>
  <c r="A3428" i="17"/>
  <c r="B3427" i="17"/>
  <c r="A3427" i="17"/>
  <c r="B3426" i="17"/>
  <c r="A3426" i="17"/>
  <c r="B3425" i="17"/>
  <c r="A3425" i="17"/>
  <c r="B3424" i="17"/>
  <c r="A3424" i="17"/>
  <c r="B3423" i="17"/>
  <c r="A3423" i="17"/>
  <c r="B3422" i="17"/>
  <c r="A3422" i="17"/>
  <c r="B3421" i="17"/>
  <c r="A3421" i="17"/>
  <c r="B3420" i="17"/>
  <c r="A3420" i="17"/>
  <c r="B3419" i="17"/>
  <c r="A3419" i="17"/>
  <c r="B3418" i="17"/>
  <c r="A3418" i="17"/>
  <c r="B3417" i="17"/>
  <c r="A3417" i="17"/>
  <c r="B3416" i="17"/>
  <c r="A3416" i="17"/>
  <c r="B3415" i="17"/>
  <c r="A3415" i="17"/>
  <c r="B3414" i="17"/>
  <c r="A3414" i="17"/>
  <c r="B3413" i="17"/>
  <c r="A3413" i="17"/>
  <c r="B3412" i="17"/>
  <c r="A3412" i="17"/>
  <c r="B3411" i="17"/>
  <c r="A3411" i="17"/>
  <c r="B3410" i="17"/>
  <c r="A3410" i="17"/>
  <c r="B3409" i="17"/>
  <c r="A3409" i="17"/>
  <c r="B3408" i="17"/>
  <c r="A3408" i="17"/>
  <c r="B3407" i="17"/>
  <c r="A3407" i="17"/>
  <c r="B3406" i="17"/>
  <c r="A3406" i="17"/>
  <c r="B3405" i="17"/>
  <c r="A3405" i="17"/>
  <c r="B3404" i="17"/>
  <c r="A3404" i="17"/>
  <c r="A3403" i="17"/>
  <c r="B3402" i="17"/>
  <c r="A3402" i="17"/>
  <c r="B3401" i="17"/>
  <c r="A3401" i="17"/>
  <c r="B3400" i="17"/>
  <c r="A3400" i="17"/>
  <c r="B3399" i="17"/>
  <c r="A3399" i="17"/>
  <c r="A3398" i="17"/>
  <c r="B3397" i="17"/>
  <c r="A3397" i="17"/>
  <c r="A3396" i="17"/>
  <c r="A3395" i="17"/>
  <c r="A3394" i="17"/>
  <c r="B3393" i="17"/>
  <c r="A3393" i="17"/>
  <c r="B3392" i="17"/>
  <c r="A3392" i="17"/>
  <c r="B3391" i="17"/>
  <c r="A3391" i="17"/>
  <c r="B3390" i="17"/>
  <c r="A3390" i="17"/>
  <c r="B3389" i="17"/>
  <c r="A3389" i="17"/>
  <c r="B3388" i="17"/>
  <c r="A3388" i="17"/>
  <c r="B3387" i="17"/>
  <c r="A3387" i="17"/>
  <c r="B3386" i="17"/>
  <c r="A3386" i="17"/>
  <c r="B3385" i="17"/>
  <c r="A3385" i="17"/>
  <c r="B3384" i="17"/>
  <c r="A3384" i="17"/>
  <c r="A3383" i="17"/>
  <c r="B3382" i="17"/>
  <c r="A3382" i="17"/>
  <c r="B3381" i="17"/>
  <c r="A3381" i="17"/>
  <c r="B3380" i="17"/>
  <c r="A3380" i="17"/>
  <c r="A3379" i="17"/>
  <c r="B3377" i="17"/>
  <c r="A3377" i="17"/>
  <c r="A3376" i="17"/>
  <c r="A3375" i="17"/>
  <c r="B3374" i="17"/>
  <c r="A3374" i="17"/>
  <c r="A3373" i="17"/>
  <c r="B3372" i="17"/>
  <c r="A3372" i="17"/>
  <c r="A3371" i="17"/>
  <c r="B3370" i="17"/>
  <c r="A3370" i="17"/>
  <c r="B3369" i="17"/>
  <c r="A3369" i="17"/>
  <c r="B3368" i="17"/>
  <c r="A3368" i="17"/>
  <c r="B3367" i="17"/>
  <c r="A3367" i="17"/>
  <c r="B3366" i="17"/>
  <c r="A3366" i="17"/>
  <c r="B3365" i="17"/>
  <c r="A3365" i="17"/>
  <c r="B3364" i="17"/>
  <c r="A3364" i="17"/>
  <c r="B3363" i="17"/>
  <c r="A3363" i="17"/>
  <c r="B3362" i="17"/>
  <c r="A3362" i="17"/>
  <c r="B3361" i="17"/>
  <c r="A3361" i="17"/>
  <c r="B3360" i="17"/>
  <c r="A3360" i="17"/>
  <c r="B3359" i="17"/>
  <c r="A3359" i="17"/>
  <c r="A3358" i="17"/>
  <c r="B3357" i="17"/>
  <c r="A3357" i="17"/>
  <c r="B3356" i="17"/>
  <c r="A3356" i="17"/>
  <c r="B3355" i="17"/>
  <c r="A3355" i="17"/>
  <c r="B3354" i="17"/>
  <c r="A3354" i="17"/>
  <c r="B3353" i="17"/>
  <c r="A3353" i="17"/>
  <c r="B3352" i="17"/>
  <c r="A3352" i="17"/>
  <c r="B3351" i="17"/>
  <c r="A3351" i="17"/>
  <c r="B3350" i="17"/>
  <c r="A3350" i="17"/>
  <c r="B3349" i="17"/>
  <c r="A3349" i="17"/>
  <c r="B3348" i="17"/>
  <c r="A3348" i="17"/>
  <c r="B3347" i="17"/>
  <c r="A3347" i="17"/>
  <c r="A3346" i="17"/>
  <c r="A3345" i="17"/>
  <c r="B3344" i="17"/>
  <c r="A3344" i="17"/>
  <c r="B3343" i="17"/>
  <c r="A3343" i="17"/>
  <c r="A3342" i="17"/>
  <c r="B3341" i="17"/>
  <c r="A3341" i="17"/>
  <c r="B3340" i="17"/>
  <c r="A3340" i="17"/>
  <c r="B3339" i="17"/>
  <c r="A3339" i="17"/>
  <c r="B3338" i="17"/>
  <c r="A3338" i="17"/>
  <c r="B3337" i="17"/>
  <c r="A3337" i="17"/>
  <c r="B3336" i="17"/>
  <c r="A3336" i="17"/>
  <c r="B3335" i="17"/>
  <c r="A3335" i="17"/>
  <c r="B3334" i="17"/>
  <c r="A3334" i="17"/>
  <c r="B3333" i="17"/>
  <c r="A3333" i="17"/>
  <c r="B3332" i="17"/>
  <c r="A3332" i="17"/>
  <c r="A3331" i="17"/>
  <c r="B3330" i="17"/>
  <c r="A3330" i="17"/>
  <c r="B3329" i="17"/>
  <c r="A3329" i="17"/>
  <c r="B3328" i="17"/>
  <c r="A3328" i="17"/>
  <c r="A3327" i="17"/>
  <c r="A3326" i="17"/>
  <c r="B3325" i="17"/>
  <c r="A3325" i="17"/>
  <c r="B3324" i="17"/>
  <c r="A3324" i="17"/>
  <c r="B3323" i="17"/>
  <c r="A3323" i="17"/>
  <c r="B3322" i="17"/>
  <c r="A3322" i="17"/>
  <c r="B3321" i="17"/>
  <c r="A3321" i="17"/>
  <c r="B3320" i="17"/>
  <c r="A3320" i="17"/>
  <c r="B3319" i="17"/>
  <c r="A3319" i="17"/>
  <c r="B3318" i="17"/>
  <c r="A3318" i="17"/>
  <c r="B3317" i="17"/>
  <c r="A3317" i="17"/>
  <c r="B3316" i="17"/>
  <c r="A3316" i="17"/>
  <c r="B3315" i="17"/>
  <c r="A3315" i="17"/>
  <c r="B3314" i="17"/>
  <c r="A3314" i="17"/>
  <c r="B3313" i="17"/>
  <c r="A3313" i="17"/>
  <c r="B3312" i="17"/>
  <c r="A3312" i="17"/>
  <c r="B3311" i="17"/>
  <c r="A3311" i="17"/>
  <c r="B3310" i="17"/>
  <c r="A3310" i="17"/>
  <c r="B3309" i="17"/>
  <c r="A3309" i="17"/>
  <c r="B3308" i="17"/>
  <c r="A3308" i="17"/>
  <c r="B3307" i="17"/>
  <c r="A3307" i="17"/>
  <c r="B3306" i="17"/>
  <c r="A3306" i="17"/>
  <c r="B3305" i="17"/>
  <c r="A3305" i="17"/>
  <c r="B3304" i="17"/>
  <c r="A3304" i="17"/>
  <c r="B3303" i="17"/>
  <c r="A3303" i="17"/>
  <c r="B3302" i="17"/>
  <c r="A3302" i="17"/>
  <c r="B3301" i="17"/>
  <c r="A3301" i="17"/>
  <c r="B3300" i="17"/>
  <c r="A3300" i="17"/>
  <c r="B3299" i="17"/>
  <c r="A3299" i="17"/>
  <c r="B3298" i="17"/>
  <c r="A3298" i="17"/>
  <c r="B3297" i="17"/>
  <c r="A3297" i="17"/>
  <c r="B3296" i="17"/>
  <c r="A3296" i="17"/>
  <c r="B3295" i="17"/>
  <c r="A3295" i="17"/>
  <c r="B3294" i="17"/>
  <c r="A3294" i="17"/>
  <c r="B3293" i="17"/>
  <c r="A3293" i="17"/>
  <c r="B3292" i="17"/>
  <c r="A3292" i="17"/>
  <c r="B3291" i="17"/>
  <c r="A3291" i="17"/>
  <c r="B3290" i="17"/>
  <c r="A3290" i="17"/>
  <c r="B3289" i="17"/>
  <c r="A3289" i="17"/>
  <c r="B3288" i="17"/>
  <c r="A3288" i="17"/>
  <c r="B3287" i="17"/>
  <c r="A3287" i="17"/>
  <c r="B3286" i="17"/>
  <c r="A3286" i="17"/>
  <c r="B3285" i="17"/>
  <c r="A3285" i="17"/>
  <c r="B3284" i="17"/>
  <c r="A3284" i="17"/>
  <c r="B3283" i="17"/>
  <c r="A3283" i="17"/>
  <c r="B3282" i="17"/>
  <c r="A3282" i="17"/>
  <c r="B3281" i="17"/>
  <c r="A3281" i="17"/>
  <c r="B3280" i="17"/>
  <c r="A3280" i="17"/>
  <c r="B3279" i="17"/>
  <c r="A3279" i="17"/>
  <c r="A3278" i="17"/>
  <c r="B3277" i="17"/>
  <c r="A3277" i="17"/>
  <c r="B3276" i="17"/>
  <c r="A3276" i="17"/>
  <c r="B3275" i="17"/>
  <c r="A3275" i="17"/>
  <c r="B3274" i="17"/>
  <c r="A3274" i="17"/>
  <c r="B3273" i="17"/>
  <c r="A3273" i="17"/>
  <c r="B3272" i="17"/>
  <c r="A3272" i="17"/>
  <c r="A3270" i="17"/>
  <c r="B3269" i="17"/>
  <c r="A3269" i="17"/>
  <c r="B3267" i="17"/>
  <c r="A3267" i="17"/>
  <c r="B3266" i="17"/>
  <c r="A3266" i="17"/>
  <c r="B3265" i="17"/>
  <c r="A3265" i="17"/>
  <c r="B3264" i="17"/>
  <c r="A3264" i="17"/>
  <c r="B3263" i="17"/>
  <c r="A3263" i="17"/>
  <c r="B3262" i="17"/>
  <c r="A3262" i="17"/>
  <c r="A3261" i="17"/>
  <c r="A3260" i="17"/>
  <c r="B3259" i="17"/>
  <c r="A3259" i="17"/>
  <c r="B3258" i="17"/>
  <c r="A3258" i="17"/>
  <c r="B3257" i="17"/>
  <c r="A3257" i="17"/>
  <c r="B3256" i="17"/>
  <c r="A3256" i="17"/>
  <c r="B3255" i="17"/>
  <c r="A3255" i="17"/>
  <c r="B3254" i="17"/>
  <c r="A3254" i="17"/>
  <c r="B3253" i="17"/>
  <c r="A3253" i="17"/>
  <c r="B3252" i="17"/>
  <c r="A3252" i="17"/>
  <c r="B3251" i="17"/>
  <c r="A3251" i="17"/>
  <c r="B3250" i="17"/>
  <c r="A3250" i="17"/>
  <c r="A3249" i="17"/>
  <c r="B3248" i="17"/>
  <c r="A3248" i="17"/>
  <c r="B3247" i="17"/>
  <c r="A3247" i="17"/>
  <c r="B3246" i="17"/>
  <c r="A3246" i="17"/>
  <c r="B3245" i="17"/>
  <c r="A3245" i="17"/>
  <c r="B3244" i="17"/>
  <c r="A3244" i="17"/>
  <c r="B3243" i="17"/>
  <c r="A3243" i="17"/>
  <c r="B3242" i="17"/>
  <c r="A3242" i="17"/>
  <c r="B3241" i="17"/>
  <c r="A3241" i="17"/>
  <c r="B3240" i="17"/>
  <c r="A3240" i="17"/>
  <c r="B3239" i="17"/>
  <c r="A3239" i="17"/>
  <c r="B3238" i="17"/>
  <c r="A3238" i="17"/>
  <c r="B3237" i="17"/>
  <c r="A3237" i="17"/>
  <c r="B3236" i="17"/>
  <c r="A3236" i="17"/>
  <c r="B3235" i="17"/>
  <c r="A3235" i="17"/>
  <c r="B3234" i="17"/>
  <c r="A3234" i="17"/>
  <c r="B3233" i="17"/>
  <c r="A3233" i="17"/>
  <c r="B3232" i="17"/>
  <c r="A3232" i="17"/>
  <c r="B3231" i="17"/>
  <c r="A3231" i="17"/>
  <c r="B3230" i="17"/>
  <c r="A3230" i="17"/>
  <c r="A3229" i="17"/>
  <c r="B3228" i="17"/>
  <c r="A3228" i="17"/>
  <c r="A3227" i="17"/>
  <c r="A3226" i="17"/>
  <c r="A3225" i="17"/>
  <c r="A3224" i="17"/>
  <c r="B3223" i="17"/>
  <c r="A3223" i="17"/>
  <c r="B3222" i="17"/>
  <c r="A3222" i="17"/>
  <c r="A3221" i="17"/>
  <c r="B3220" i="17"/>
  <c r="A3220" i="17"/>
  <c r="A3219" i="17"/>
  <c r="B3218" i="17"/>
  <c r="A3218" i="17"/>
  <c r="A3217" i="17"/>
  <c r="A3216" i="17"/>
  <c r="B3215" i="17"/>
  <c r="A3215" i="17"/>
  <c r="B3214" i="17"/>
  <c r="A3214" i="17"/>
  <c r="B3213" i="17"/>
  <c r="A3213" i="17"/>
  <c r="B3212" i="17"/>
  <c r="A3212" i="17"/>
  <c r="B3211" i="17"/>
  <c r="A3211" i="17"/>
  <c r="B3210" i="17"/>
  <c r="A3210" i="17"/>
  <c r="B3209" i="17"/>
  <c r="A3209" i="17"/>
  <c r="B3208" i="17"/>
  <c r="A3208" i="17"/>
  <c r="B3207" i="17"/>
  <c r="A3207" i="17"/>
  <c r="B3206" i="17"/>
  <c r="A3206" i="17"/>
  <c r="B3205" i="17"/>
  <c r="A3205" i="17"/>
  <c r="B3204" i="17"/>
  <c r="A3204" i="17"/>
  <c r="B3203" i="17"/>
  <c r="A3203" i="17"/>
  <c r="B3202" i="17"/>
  <c r="A3202" i="17"/>
  <c r="B3201" i="17"/>
  <c r="A3201" i="17"/>
  <c r="B3200" i="17"/>
  <c r="A3200" i="17"/>
  <c r="B3198" i="17"/>
  <c r="A3198" i="17"/>
  <c r="A3197" i="17"/>
  <c r="B3196" i="17"/>
  <c r="A3196" i="17"/>
  <c r="B3195" i="17"/>
  <c r="A3195" i="17"/>
  <c r="B3194" i="17"/>
  <c r="A3194" i="17"/>
  <c r="B3193" i="17"/>
  <c r="A3193" i="17"/>
  <c r="B3192" i="17"/>
  <c r="A3192" i="17"/>
  <c r="B3191" i="17"/>
  <c r="A3191" i="17"/>
  <c r="B3190" i="17"/>
  <c r="A3190" i="17"/>
  <c r="B3189" i="17"/>
  <c r="A3189" i="17"/>
  <c r="B3188" i="17"/>
  <c r="A3188" i="17"/>
  <c r="A3187" i="17"/>
  <c r="B3186" i="17"/>
  <c r="A3186" i="17"/>
  <c r="B3185" i="17"/>
  <c r="A3185" i="17"/>
  <c r="B3184" i="17"/>
  <c r="A3184" i="17"/>
  <c r="B3183" i="17"/>
  <c r="A3183" i="17"/>
  <c r="B3182" i="17"/>
  <c r="A3182" i="17"/>
  <c r="B3181" i="17"/>
  <c r="A3181" i="17"/>
  <c r="B3180" i="17"/>
  <c r="A3180" i="17"/>
  <c r="B3179" i="17"/>
  <c r="A3179" i="17"/>
  <c r="B3176" i="17"/>
  <c r="A3176" i="17"/>
  <c r="B3175" i="17"/>
  <c r="A3175" i="17"/>
  <c r="B3174" i="17"/>
  <c r="A3174" i="17"/>
  <c r="B3173" i="17"/>
  <c r="A3173" i="17"/>
  <c r="B3172" i="17"/>
  <c r="A3172" i="17"/>
  <c r="B3171" i="17"/>
  <c r="A3171" i="17"/>
  <c r="B3170" i="17"/>
  <c r="A3170" i="17"/>
  <c r="B3169" i="17"/>
  <c r="A3169" i="17"/>
  <c r="B3168" i="17"/>
  <c r="A3168" i="17"/>
  <c r="B3167" i="17"/>
  <c r="A3167" i="17"/>
  <c r="B3166" i="17"/>
  <c r="A3166" i="17"/>
  <c r="B3165" i="17"/>
  <c r="A3165" i="17"/>
  <c r="B3164" i="17"/>
  <c r="A3164" i="17"/>
  <c r="B3163" i="17"/>
  <c r="A3163" i="17"/>
  <c r="B3162" i="17"/>
  <c r="A3162" i="17"/>
  <c r="B3161" i="17"/>
  <c r="A3161" i="17"/>
  <c r="A3160" i="17"/>
  <c r="B3159" i="17"/>
  <c r="A3159" i="17"/>
  <c r="B3158" i="17"/>
  <c r="A3158" i="17"/>
  <c r="B3157" i="17"/>
  <c r="A3157" i="17"/>
  <c r="B3156" i="17"/>
  <c r="A3156" i="17"/>
  <c r="B3155" i="17"/>
  <c r="A3155" i="17"/>
  <c r="B3154" i="17"/>
  <c r="A3154" i="17"/>
  <c r="B3153" i="17"/>
  <c r="A3153" i="17"/>
  <c r="B3152" i="17"/>
  <c r="A3152" i="17"/>
  <c r="B3151" i="17"/>
  <c r="A3151" i="17"/>
  <c r="B3150" i="17"/>
  <c r="A3150" i="17"/>
  <c r="B3149" i="17"/>
  <c r="A3149" i="17"/>
  <c r="B3148" i="17"/>
  <c r="A3148" i="17"/>
  <c r="B3147" i="17"/>
  <c r="A3147" i="17"/>
  <c r="B3146" i="17"/>
  <c r="A3146" i="17"/>
  <c r="B3145" i="17"/>
  <c r="A3145" i="17"/>
  <c r="B3144" i="17"/>
  <c r="A3144" i="17"/>
  <c r="B3143" i="17"/>
  <c r="A3143" i="17"/>
  <c r="B3142" i="17"/>
  <c r="A3142" i="17"/>
  <c r="B3141" i="17"/>
  <c r="A3141" i="17"/>
  <c r="B3140" i="17"/>
  <c r="A3140" i="17"/>
  <c r="A3139" i="17"/>
  <c r="B3138" i="17"/>
  <c r="A3138" i="17"/>
  <c r="B3137" i="17"/>
  <c r="A3137" i="17"/>
  <c r="B3136" i="17"/>
  <c r="A3136" i="17"/>
  <c r="B3135" i="17"/>
  <c r="A3135" i="17"/>
  <c r="B3134" i="17"/>
  <c r="A3134" i="17"/>
  <c r="B3133" i="17"/>
  <c r="A3133" i="17"/>
  <c r="B3132" i="17"/>
  <c r="A3132" i="17"/>
  <c r="B3131" i="17"/>
  <c r="A3131" i="17"/>
  <c r="B3130" i="17"/>
  <c r="A3130" i="17"/>
  <c r="A3129" i="17"/>
  <c r="B3127" i="17"/>
  <c r="A3127" i="17"/>
  <c r="B3126" i="17"/>
  <c r="A3126" i="17"/>
  <c r="B3125" i="17"/>
  <c r="A3125" i="17"/>
  <c r="B3124" i="17"/>
  <c r="A3124" i="17"/>
  <c r="A3123" i="17"/>
  <c r="B3122" i="17"/>
  <c r="A3122" i="17"/>
  <c r="B3121" i="17"/>
  <c r="A3121" i="17"/>
  <c r="A3120" i="17"/>
  <c r="B3119" i="17"/>
  <c r="A3119" i="17"/>
  <c r="B3118" i="17"/>
  <c r="A3118" i="17"/>
  <c r="B3117" i="17"/>
  <c r="A3117" i="17"/>
  <c r="B3116" i="17"/>
  <c r="A3116" i="17"/>
  <c r="B3115" i="17"/>
  <c r="A3115" i="17"/>
  <c r="B3114" i="17"/>
  <c r="A3114" i="17"/>
  <c r="B3113" i="17"/>
  <c r="A3113" i="17"/>
  <c r="A3112" i="17"/>
  <c r="B3111" i="17"/>
  <c r="A3111" i="17"/>
  <c r="B3110" i="17"/>
  <c r="A3110" i="17"/>
  <c r="B3109" i="17"/>
  <c r="A3109" i="17"/>
  <c r="B3108" i="17"/>
  <c r="A3108" i="17"/>
  <c r="B3107" i="17"/>
  <c r="A3107" i="17"/>
  <c r="B3106" i="17"/>
  <c r="A3106" i="17"/>
  <c r="B3105" i="17"/>
  <c r="A3105" i="17"/>
  <c r="B3104" i="17"/>
  <c r="A3104" i="17"/>
  <c r="B3103" i="17"/>
  <c r="A3103" i="17"/>
  <c r="A3102" i="17"/>
  <c r="A3101" i="17"/>
  <c r="A3100" i="17"/>
  <c r="A3099" i="17"/>
  <c r="B3098" i="17"/>
  <c r="A3098" i="17"/>
  <c r="B3097" i="17"/>
  <c r="A3097" i="17"/>
  <c r="B3096" i="17"/>
  <c r="A3096" i="17"/>
  <c r="B3095" i="17"/>
  <c r="A3095" i="17"/>
  <c r="A3094" i="17"/>
  <c r="B3093" i="17"/>
  <c r="A3093" i="17"/>
  <c r="B3092" i="17"/>
  <c r="A3092" i="17"/>
  <c r="B3091" i="17"/>
  <c r="A3091" i="17"/>
  <c r="B3090" i="17"/>
  <c r="A3090" i="17"/>
  <c r="B3089" i="17"/>
  <c r="A3089" i="17"/>
  <c r="B3088" i="17"/>
  <c r="A3088" i="17"/>
  <c r="B3087" i="17"/>
  <c r="A3087" i="17"/>
  <c r="B3086" i="17"/>
  <c r="A3086" i="17"/>
  <c r="B3085" i="17"/>
  <c r="A3085" i="17"/>
  <c r="B3084" i="17"/>
  <c r="A3084" i="17"/>
  <c r="A3083" i="17"/>
  <c r="B3082" i="17"/>
  <c r="A3082" i="17"/>
  <c r="B3081" i="17"/>
  <c r="A3081" i="17"/>
  <c r="B3080" i="17"/>
  <c r="A3080" i="17"/>
  <c r="B3079" i="17"/>
  <c r="A3079" i="17"/>
  <c r="B3078" i="17"/>
  <c r="A3078" i="17"/>
  <c r="B3077" i="17"/>
  <c r="A3077" i="17"/>
  <c r="B3076" i="17"/>
  <c r="A3076" i="17"/>
  <c r="B3075" i="17"/>
  <c r="A3075" i="17"/>
  <c r="B3074" i="17"/>
  <c r="A3074" i="17"/>
  <c r="B3073" i="17"/>
  <c r="A3073" i="17"/>
  <c r="B3072" i="17"/>
  <c r="A3072" i="17"/>
  <c r="B3071" i="17"/>
  <c r="A3071" i="17"/>
  <c r="B3070" i="17"/>
  <c r="A3070" i="17"/>
  <c r="B3069" i="17"/>
  <c r="A3069" i="17"/>
  <c r="B3068" i="17"/>
  <c r="A3068" i="17"/>
  <c r="B3067" i="17"/>
  <c r="A3067" i="17"/>
  <c r="A3066" i="17"/>
  <c r="B3065" i="17"/>
  <c r="A3065" i="17"/>
  <c r="B3064" i="17"/>
  <c r="A3064" i="17"/>
  <c r="B3063" i="17"/>
  <c r="A3063" i="17"/>
  <c r="B3062" i="17"/>
  <c r="A3062" i="17"/>
  <c r="B3061" i="17"/>
  <c r="A3061" i="17"/>
  <c r="B3060" i="17"/>
  <c r="A3060" i="17"/>
  <c r="B3059" i="17"/>
  <c r="A3059" i="17"/>
  <c r="B3058" i="17"/>
  <c r="A3058" i="17"/>
  <c r="B3057" i="17"/>
  <c r="A3057" i="17"/>
  <c r="B3056" i="17"/>
  <c r="A3056" i="17"/>
  <c r="B3055" i="17"/>
  <c r="A3055" i="17"/>
  <c r="B3054" i="17"/>
  <c r="A3054" i="17"/>
  <c r="B3053" i="17"/>
  <c r="A3053" i="17"/>
  <c r="B3052" i="17"/>
  <c r="A3052" i="17"/>
  <c r="B3051" i="17"/>
  <c r="A3051" i="17"/>
  <c r="B3050" i="17"/>
  <c r="A3050" i="17"/>
  <c r="B3049" i="17"/>
  <c r="A3049" i="17"/>
  <c r="B3048" i="17"/>
  <c r="A3048" i="17"/>
  <c r="A3047" i="17"/>
  <c r="B3046" i="17"/>
  <c r="A3046" i="17"/>
  <c r="B3045" i="17"/>
  <c r="A3045" i="17"/>
  <c r="B3044" i="17"/>
  <c r="A3044" i="17"/>
  <c r="B3043" i="17"/>
  <c r="A3043" i="17"/>
  <c r="B3042" i="17"/>
  <c r="A3042" i="17"/>
  <c r="B3041" i="17"/>
  <c r="A3041" i="17"/>
  <c r="B3040" i="17"/>
  <c r="A3040" i="17"/>
  <c r="B3039" i="17"/>
  <c r="A3039" i="17"/>
  <c r="B3038" i="17"/>
  <c r="A3038" i="17"/>
  <c r="A3037" i="17"/>
  <c r="B3036" i="17"/>
  <c r="A3036" i="17"/>
  <c r="B3035" i="17"/>
  <c r="A3035" i="17"/>
  <c r="B3034" i="17"/>
  <c r="A3034" i="17"/>
  <c r="B3033" i="17"/>
  <c r="A3033" i="17"/>
  <c r="B3032" i="17"/>
  <c r="A3032" i="17"/>
  <c r="B3031" i="17"/>
  <c r="A3031" i="17"/>
  <c r="A3030" i="17"/>
  <c r="B3029" i="17"/>
  <c r="A3029" i="17"/>
  <c r="B3028" i="17"/>
  <c r="A3028" i="17"/>
  <c r="B3027" i="17"/>
  <c r="A3027" i="17"/>
  <c r="B3026" i="17"/>
  <c r="A3026" i="17"/>
  <c r="B3025" i="17"/>
  <c r="A3025" i="17"/>
  <c r="B3024" i="17"/>
  <c r="A3024" i="17"/>
  <c r="B3023" i="17"/>
  <c r="A3023" i="17"/>
  <c r="A3022" i="17"/>
  <c r="B3021" i="17"/>
  <c r="A3021" i="17"/>
  <c r="B3020" i="17"/>
  <c r="A3020" i="17"/>
  <c r="A3019" i="17"/>
  <c r="B3018" i="17"/>
  <c r="A3018" i="17"/>
  <c r="B3017" i="17"/>
  <c r="A3017" i="17"/>
  <c r="A3016" i="17"/>
  <c r="A3015" i="17"/>
  <c r="A3014" i="17"/>
  <c r="B3013" i="17"/>
  <c r="A3013" i="17"/>
  <c r="B3012" i="17"/>
  <c r="A3012" i="17"/>
  <c r="A3011" i="17"/>
  <c r="A3010" i="17"/>
  <c r="B3009" i="17"/>
  <c r="A3009" i="17"/>
  <c r="B3008" i="17"/>
  <c r="A3008" i="17"/>
  <c r="B3007" i="17"/>
  <c r="A3007" i="17"/>
  <c r="B3006" i="17"/>
  <c r="A3006" i="17"/>
  <c r="B3005" i="17"/>
  <c r="A3005" i="17"/>
  <c r="B3004" i="17"/>
  <c r="A3004" i="17"/>
  <c r="B3003" i="17"/>
  <c r="A3003" i="17"/>
  <c r="B3002" i="17"/>
  <c r="A3002" i="17"/>
  <c r="B3001" i="17"/>
  <c r="A3001" i="17"/>
  <c r="B3000" i="17"/>
  <c r="A3000" i="17"/>
  <c r="B2999" i="17"/>
  <c r="A2999" i="17"/>
  <c r="B2998" i="17"/>
  <c r="A2998" i="17"/>
  <c r="B2997" i="17"/>
  <c r="A2997" i="17"/>
  <c r="B2996" i="17"/>
  <c r="A2996" i="17"/>
  <c r="B2995" i="17"/>
  <c r="A2995" i="17"/>
  <c r="B2994" i="17"/>
  <c r="A2994" i="17"/>
  <c r="B2993" i="17"/>
  <c r="A2993" i="17"/>
  <c r="B2992" i="17"/>
  <c r="A2992" i="17"/>
  <c r="A2991" i="17"/>
  <c r="A2990" i="17"/>
  <c r="A2989" i="17"/>
  <c r="A2988" i="17"/>
  <c r="B2987" i="17"/>
  <c r="A2987" i="17"/>
  <c r="B2986" i="17"/>
  <c r="A2986" i="17"/>
  <c r="B2985" i="17"/>
  <c r="A2985" i="17"/>
  <c r="B2984" i="17"/>
  <c r="A2984" i="17"/>
  <c r="B2983" i="17"/>
  <c r="A2983" i="17"/>
  <c r="A2982" i="17"/>
  <c r="B2981" i="17"/>
  <c r="A2981" i="17"/>
  <c r="B2980" i="17"/>
  <c r="A2980" i="17"/>
  <c r="B2979" i="17"/>
  <c r="A2979" i="17"/>
  <c r="B2978" i="17"/>
  <c r="A2978" i="17"/>
  <c r="B2977" i="17"/>
  <c r="A2977" i="17"/>
  <c r="B2976" i="17"/>
  <c r="A2976" i="17"/>
  <c r="B2975" i="17"/>
  <c r="A2975" i="17"/>
  <c r="B2974" i="17"/>
  <c r="A2974" i="17"/>
  <c r="B2973" i="17"/>
  <c r="A2973" i="17"/>
  <c r="B2972" i="17"/>
  <c r="A2972" i="17"/>
  <c r="B2971" i="17"/>
  <c r="A2971" i="17"/>
  <c r="B2970" i="17"/>
  <c r="A2970" i="17"/>
  <c r="A2969" i="17"/>
  <c r="A2968" i="17"/>
  <c r="A2967" i="17"/>
  <c r="B2966" i="17"/>
  <c r="A2966" i="17"/>
  <c r="B2965" i="17"/>
  <c r="A2965" i="17"/>
  <c r="B2964" i="17"/>
  <c r="A2964" i="17"/>
  <c r="B2963" i="17"/>
  <c r="A2963" i="17"/>
  <c r="B2962" i="17"/>
  <c r="A2962" i="17"/>
  <c r="B2961" i="17"/>
  <c r="A2961" i="17"/>
  <c r="B2960" i="17"/>
  <c r="A2960" i="17"/>
  <c r="B2959" i="17"/>
  <c r="A2959" i="17"/>
  <c r="B2958" i="17"/>
  <c r="A2958" i="17"/>
  <c r="A2957" i="17"/>
  <c r="A2956" i="17"/>
  <c r="B2955" i="17"/>
  <c r="A2955" i="17"/>
  <c r="B2954" i="17"/>
  <c r="A2954" i="17"/>
  <c r="B2953" i="17"/>
  <c r="A2953" i="17"/>
  <c r="B2952" i="17"/>
  <c r="A2952" i="17"/>
  <c r="B2951" i="17"/>
  <c r="A2951" i="17"/>
  <c r="B2950" i="17"/>
  <c r="A2950" i="17"/>
  <c r="B2949" i="17"/>
  <c r="A2949" i="17"/>
  <c r="B2948" i="17"/>
  <c r="A2948" i="17"/>
  <c r="A2947" i="17"/>
  <c r="B2946" i="17"/>
  <c r="A2946" i="17"/>
  <c r="B2945" i="17"/>
  <c r="A2945" i="17"/>
  <c r="B2944" i="17"/>
  <c r="A2944" i="17"/>
  <c r="B2943" i="17"/>
  <c r="A2943" i="17"/>
  <c r="B2942" i="17"/>
  <c r="A2942" i="17"/>
  <c r="B2941" i="17"/>
  <c r="A2941" i="17"/>
  <c r="B2940" i="17"/>
  <c r="A2940" i="17"/>
  <c r="B2939" i="17"/>
  <c r="A2939" i="17"/>
  <c r="B2938" i="17"/>
  <c r="A2938" i="17"/>
  <c r="A2937" i="17"/>
  <c r="A2936" i="17"/>
  <c r="A2935" i="17"/>
  <c r="B2934" i="17"/>
  <c r="A2934" i="17"/>
  <c r="B2933" i="17"/>
  <c r="A2933" i="17"/>
  <c r="B2932" i="17"/>
  <c r="A2932" i="17"/>
  <c r="B2931" i="17"/>
  <c r="A2931" i="17"/>
  <c r="A2930" i="17"/>
  <c r="B2929" i="17"/>
  <c r="A2929" i="17"/>
  <c r="B2928" i="17"/>
  <c r="A2928" i="17"/>
  <c r="B2927" i="17"/>
  <c r="A2927" i="17"/>
  <c r="B2926" i="17"/>
  <c r="A2926" i="17"/>
  <c r="B2925" i="17"/>
  <c r="A2925" i="17"/>
  <c r="B2924" i="17"/>
  <c r="A2924" i="17"/>
  <c r="B2923" i="17"/>
  <c r="A2923" i="17"/>
  <c r="B2922" i="17"/>
  <c r="A2922" i="17"/>
  <c r="B2921" i="17"/>
  <c r="A2921" i="17"/>
  <c r="B2920" i="17"/>
  <c r="A2920" i="17"/>
  <c r="B2919" i="17"/>
  <c r="A2919" i="17"/>
  <c r="B2918" i="17"/>
  <c r="A2918" i="17"/>
  <c r="A2917" i="17"/>
  <c r="A2916" i="17"/>
  <c r="B2915" i="17"/>
  <c r="A2915" i="17"/>
  <c r="A2914" i="17"/>
  <c r="B2913" i="17"/>
  <c r="A2913" i="17"/>
  <c r="B2912" i="17"/>
  <c r="A2912" i="17"/>
  <c r="B2911" i="17"/>
  <c r="A2911" i="17"/>
  <c r="B2910" i="17"/>
  <c r="A2910" i="17"/>
  <c r="B2909" i="17"/>
  <c r="A2909" i="17"/>
  <c r="B2908" i="17"/>
  <c r="A2908" i="17"/>
  <c r="B2907" i="17"/>
  <c r="A2907" i="17"/>
  <c r="B2906" i="17"/>
  <c r="A2906" i="17"/>
  <c r="B2905" i="17"/>
  <c r="A2905" i="17"/>
  <c r="B2904" i="17"/>
  <c r="A2904" i="17"/>
  <c r="A2903" i="17"/>
  <c r="B2902" i="17"/>
  <c r="A2902" i="17"/>
  <c r="B2901" i="17"/>
  <c r="A2901" i="17"/>
  <c r="B2900" i="17"/>
  <c r="A2900" i="17"/>
  <c r="B2899" i="17"/>
  <c r="A2899" i="17"/>
  <c r="B2898" i="17"/>
  <c r="A2898" i="17"/>
  <c r="B2897" i="17"/>
  <c r="A2897" i="17"/>
  <c r="A2896" i="17"/>
  <c r="B2895" i="17"/>
  <c r="A2895" i="17"/>
  <c r="B2894" i="17"/>
  <c r="A2894" i="17"/>
  <c r="A2893" i="17"/>
  <c r="B2892" i="17"/>
  <c r="A2892" i="17"/>
  <c r="B2891" i="17"/>
  <c r="A2891" i="17"/>
  <c r="A2890" i="17"/>
  <c r="B2889" i="17"/>
  <c r="A2889" i="17"/>
  <c r="A2888" i="17"/>
  <c r="B2887" i="17"/>
  <c r="A2887" i="17"/>
  <c r="B2886" i="17"/>
  <c r="A2886" i="17"/>
  <c r="B2885" i="17"/>
  <c r="A2885" i="17"/>
  <c r="B2884" i="17"/>
  <c r="A2884" i="17"/>
  <c r="B2883" i="17"/>
  <c r="A2883" i="17"/>
  <c r="B2882" i="17"/>
  <c r="A2882" i="17"/>
  <c r="A2881" i="17"/>
  <c r="B2880" i="17"/>
  <c r="A2880" i="17"/>
  <c r="B2879" i="17"/>
  <c r="A2879" i="17"/>
  <c r="B2878" i="17"/>
  <c r="A2878" i="17"/>
  <c r="B2877" i="17"/>
  <c r="A2877" i="17"/>
  <c r="B2876" i="17"/>
  <c r="A2876" i="17"/>
  <c r="B2875" i="17"/>
  <c r="A2875" i="17"/>
  <c r="A2874" i="17"/>
  <c r="A2873" i="17"/>
  <c r="A2872" i="17"/>
  <c r="B2871" i="17"/>
  <c r="A2871" i="17"/>
  <c r="A2870" i="17"/>
  <c r="B2869" i="17"/>
  <c r="A2869" i="17"/>
  <c r="B2868" i="17"/>
  <c r="A2868" i="17"/>
  <c r="B2867" i="17"/>
  <c r="A2867" i="17"/>
  <c r="B2866" i="17"/>
  <c r="A2866" i="17"/>
  <c r="B2865" i="17"/>
  <c r="A2865" i="17"/>
  <c r="B2864" i="17"/>
  <c r="A2864" i="17"/>
  <c r="B2863" i="17"/>
  <c r="A2863" i="17"/>
  <c r="B2862" i="17"/>
  <c r="A2862" i="17"/>
  <c r="B2860" i="17"/>
  <c r="A2860" i="17"/>
  <c r="B2859" i="17"/>
  <c r="A2859" i="17"/>
  <c r="B2858" i="17"/>
  <c r="A2858" i="17"/>
  <c r="B2857" i="17"/>
  <c r="A2857" i="17"/>
  <c r="B2856" i="17"/>
  <c r="A2856" i="17"/>
  <c r="B2855" i="17"/>
  <c r="A2855" i="17"/>
  <c r="B2854" i="17"/>
  <c r="A2854" i="17"/>
  <c r="B2853" i="17"/>
  <c r="A2853" i="17"/>
  <c r="B2852" i="17"/>
  <c r="A2852" i="17"/>
  <c r="B2851" i="17"/>
  <c r="A2851" i="17"/>
  <c r="B2850" i="17"/>
  <c r="A2850" i="17"/>
  <c r="B2849" i="17"/>
  <c r="A2849" i="17"/>
  <c r="B2848" i="17"/>
  <c r="A2848" i="17"/>
  <c r="B2847" i="17"/>
  <c r="A2847" i="17"/>
  <c r="B2846" i="17"/>
  <c r="A2846" i="17"/>
  <c r="B2845" i="17"/>
  <c r="A2845" i="17"/>
  <c r="B2844" i="17"/>
  <c r="A2844" i="17"/>
  <c r="B2843" i="17"/>
  <c r="A2843" i="17"/>
  <c r="B2842" i="17"/>
  <c r="A2842" i="17"/>
  <c r="B2841" i="17"/>
  <c r="A2841" i="17"/>
  <c r="B2840" i="17"/>
  <c r="A2840" i="17"/>
  <c r="B2839" i="17"/>
  <c r="A2839" i="17"/>
  <c r="B2838" i="17"/>
  <c r="A2838" i="17"/>
  <c r="B2837" i="17"/>
  <c r="A2837" i="17"/>
  <c r="B2836" i="17"/>
  <c r="A2836" i="17"/>
  <c r="A2835" i="17"/>
  <c r="A2834" i="17"/>
  <c r="A2833" i="17"/>
  <c r="B2832" i="17"/>
  <c r="A2832" i="17"/>
  <c r="A2831" i="17"/>
  <c r="A2830" i="17"/>
  <c r="B2829" i="17"/>
  <c r="A2829" i="17"/>
  <c r="B2828" i="17"/>
  <c r="A2828" i="17"/>
  <c r="B2827" i="17"/>
  <c r="A2827" i="17"/>
  <c r="B2826" i="17"/>
  <c r="A2826" i="17"/>
  <c r="B2825" i="17"/>
  <c r="A2825" i="17"/>
  <c r="B2824" i="17"/>
  <c r="A2824" i="17"/>
  <c r="B2823" i="17"/>
  <c r="A2823" i="17"/>
  <c r="B2822" i="17"/>
  <c r="A2822" i="17"/>
  <c r="B2821" i="17"/>
  <c r="A2821" i="17"/>
  <c r="B2820" i="17"/>
  <c r="A2820" i="17"/>
  <c r="B2819" i="17"/>
  <c r="A2819" i="17"/>
  <c r="B2818" i="17"/>
  <c r="A2818" i="17"/>
  <c r="B2817" i="17"/>
  <c r="A2817" i="17"/>
  <c r="B2816" i="17"/>
  <c r="A2816" i="17"/>
  <c r="A2815" i="17"/>
  <c r="A2814" i="17"/>
  <c r="A2813" i="17"/>
  <c r="B2812" i="17"/>
  <c r="A2812" i="17"/>
  <c r="B2811" i="17"/>
  <c r="A2811" i="17"/>
  <c r="B2810" i="17"/>
  <c r="A2810" i="17"/>
  <c r="B2809" i="17"/>
  <c r="A2809" i="17"/>
  <c r="B2808" i="17"/>
  <c r="A2808" i="17"/>
  <c r="B2807" i="17"/>
  <c r="A2807" i="17"/>
  <c r="B2806" i="17"/>
  <c r="A2806" i="17"/>
  <c r="A2805" i="17"/>
  <c r="A2804" i="17"/>
  <c r="A2803" i="17"/>
  <c r="B2802" i="17"/>
  <c r="A2802" i="17"/>
  <c r="B2801" i="17"/>
  <c r="A2801" i="17"/>
  <c r="B2800" i="17"/>
  <c r="A2800" i="17"/>
  <c r="B2799" i="17"/>
  <c r="A2799" i="17"/>
  <c r="B2798" i="17"/>
  <c r="A2798" i="17"/>
  <c r="B2797" i="17"/>
  <c r="A2797" i="17"/>
  <c r="B2796" i="17"/>
  <c r="A2796" i="17"/>
  <c r="B2795" i="17"/>
  <c r="A2795" i="17"/>
  <c r="B2794" i="17"/>
  <c r="A2794" i="17"/>
  <c r="B2793" i="17"/>
  <c r="A2793" i="17"/>
  <c r="B2792" i="17"/>
  <c r="A2792" i="17"/>
  <c r="B2791" i="17"/>
  <c r="A2791" i="17"/>
  <c r="B2790" i="17"/>
  <c r="A2790" i="17"/>
  <c r="B2789" i="17"/>
  <c r="A2789" i="17"/>
  <c r="B2788" i="17"/>
  <c r="A2788" i="17"/>
  <c r="B2787" i="17"/>
  <c r="A2787" i="17"/>
  <c r="B2786" i="17"/>
  <c r="A2786" i="17"/>
  <c r="A2785" i="17"/>
  <c r="A2784" i="17"/>
  <c r="A2783" i="17"/>
  <c r="A2782" i="17"/>
  <c r="A2781" i="17"/>
  <c r="B2780" i="17"/>
  <c r="A2780" i="17"/>
  <c r="B2779" i="17"/>
  <c r="A2779" i="17"/>
  <c r="B2778" i="17"/>
  <c r="A2778" i="17"/>
  <c r="B2777" i="17"/>
  <c r="A2777" i="17"/>
  <c r="B2776" i="17"/>
  <c r="A2776" i="17"/>
  <c r="B2775" i="17"/>
  <c r="A2775" i="17"/>
  <c r="B2774" i="17"/>
  <c r="A2774" i="17"/>
  <c r="B2773" i="17"/>
  <c r="A2773" i="17"/>
  <c r="B2772" i="17"/>
  <c r="A2772" i="17"/>
  <c r="B2771" i="17"/>
  <c r="A2771" i="17"/>
  <c r="B2770" i="17"/>
  <c r="A2770" i="17"/>
  <c r="A2769" i="17"/>
  <c r="B2768" i="17"/>
  <c r="A2768" i="17"/>
  <c r="B2767" i="17"/>
  <c r="A2767" i="17"/>
  <c r="A2766" i="17"/>
  <c r="B2765" i="17"/>
  <c r="A2765" i="17"/>
  <c r="B2764" i="17"/>
  <c r="A2764" i="17"/>
  <c r="B2763" i="17"/>
  <c r="A2763" i="17"/>
  <c r="B2762" i="17"/>
  <c r="A2762" i="17"/>
  <c r="B2761" i="17"/>
  <c r="A2761" i="17"/>
  <c r="B2760" i="17"/>
  <c r="A2760" i="17"/>
  <c r="B2759" i="17"/>
  <c r="A2759" i="17"/>
  <c r="B2758" i="17"/>
  <c r="A2758" i="17"/>
  <c r="B2757" i="17"/>
  <c r="A2757" i="17"/>
  <c r="B2756" i="17"/>
  <c r="A2756" i="17"/>
  <c r="B2755" i="17"/>
  <c r="A2755" i="17"/>
  <c r="B2754" i="17"/>
  <c r="A2754" i="17"/>
  <c r="B2753" i="17"/>
  <c r="A2753" i="17"/>
  <c r="B2752" i="17"/>
  <c r="A2752" i="17"/>
  <c r="B2751" i="17"/>
  <c r="A2751" i="17"/>
  <c r="B2750" i="17"/>
  <c r="A2750" i="17"/>
  <c r="B2749" i="17"/>
  <c r="A2749" i="17"/>
  <c r="B2748" i="17"/>
  <c r="A2748" i="17"/>
  <c r="B2747" i="17"/>
  <c r="A2747" i="17"/>
  <c r="B2746" i="17"/>
  <c r="A2746" i="17"/>
  <c r="B2745" i="17"/>
  <c r="A2745" i="17"/>
  <c r="B2744" i="17"/>
  <c r="A2744" i="17"/>
  <c r="B2743" i="17"/>
  <c r="A2743" i="17"/>
  <c r="B2742" i="17"/>
  <c r="A2742" i="17"/>
  <c r="B2741" i="17"/>
  <c r="A2741" i="17"/>
  <c r="B2740" i="17"/>
  <c r="A2740" i="17"/>
  <c r="B2739" i="17"/>
  <c r="A2739" i="17"/>
  <c r="B2738" i="17"/>
  <c r="A2738" i="17"/>
  <c r="B2737" i="17"/>
  <c r="A2737" i="17"/>
  <c r="B2736" i="17"/>
  <c r="A2736" i="17"/>
  <c r="B2735" i="17"/>
  <c r="A2735" i="17"/>
  <c r="B2734" i="17"/>
  <c r="A2734" i="17"/>
  <c r="B2733" i="17"/>
  <c r="A2733" i="17"/>
  <c r="B2732" i="17"/>
  <c r="A2732" i="17"/>
  <c r="B2731" i="17"/>
  <c r="A2731" i="17"/>
  <c r="B2730" i="17"/>
  <c r="A2730" i="17"/>
  <c r="B2729" i="17"/>
  <c r="A2729" i="17"/>
  <c r="B2728" i="17"/>
  <c r="A2728" i="17"/>
  <c r="B2727" i="17"/>
  <c r="A2727" i="17"/>
  <c r="B2726" i="17"/>
  <c r="A2726" i="17"/>
  <c r="A2725" i="17"/>
  <c r="B2724" i="17"/>
  <c r="A2724" i="17"/>
  <c r="B2723" i="17"/>
  <c r="A2723" i="17"/>
  <c r="B2722" i="17"/>
  <c r="A2722" i="17"/>
  <c r="B2721" i="17"/>
  <c r="A2721" i="17"/>
  <c r="B2720" i="17"/>
  <c r="A2720" i="17"/>
  <c r="B2719" i="17"/>
  <c r="A2719" i="17"/>
  <c r="B2718" i="17"/>
  <c r="A2718" i="17"/>
  <c r="A2717" i="17"/>
  <c r="B2716" i="17"/>
  <c r="A2716" i="17"/>
  <c r="B2715" i="17"/>
  <c r="A2715" i="17"/>
  <c r="A2714" i="17"/>
  <c r="B2713" i="17"/>
  <c r="A2713" i="17"/>
  <c r="B2712" i="17"/>
  <c r="A2712" i="17"/>
  <c r="B2711" i="17"/>
  <c r="A2711" i="17"/>
  <c r="B2710" i="17"/>
  <c r="A2710" i="17"/>
  <c r="B2709" i="17"/>
  <c r="A2709" i="17"/>
  <c r="B2708" i="17"/>
  <c r="A2708" i="17"/>
  <c r="B2707" i="17"/>
  <c r="A2707" i="17"/>
  <c r="B2706" i="17"/>
  <c r="A2706" i="17"/>
  <c r="B2705" i="17"/>
  <c r="A2705" i="17"/>
  <c r="B2704" i="17"/>
  <c r="A2704" i="17"/>
  <c r="A2703" i="17"/>
  <c r="B2702" i="17"/>
  <c r="A2702" i="17"/>
  <c r="B2701" i="17"/>
  <c r="A2701" i="17"/>
  <c r="B2700" i="17"/>
  <c r="A2700" i="17"/>
  <c r="B2699" i="17"/>
  <c r="A2699" i="17"/>
  <c r="B2698" i="17"/>
  <c r="A2698" i="17"/>
  <c r="B2697" i="17"/>
  <c r="A2697" i="17"/>
  <c r="B2696" i="17"/>
  <c r="A2696" i="17"/>
  <c r="B2695" i="17"/>
  <c r="A2695" i="17"/>
  <c r="B2694" i="17"/>
  <c r="A2694" i="17"/>
  <c r="B2693" i="17"/>
  <c r="A2693" i="17"/>
  <c r="B2692" i="17"/>
  <c r="A2692" i="17"/>
  <c r="B2691" i="17"/>
  <c r="A2691" i="17"/>
  <c r="B2690" i="17"/>
  <c r="A2690" i="17"/>
  <c r="B2689" i="17"/>
  <c r="A2689" i="17"/>
  <c r="B2688" i="17"/>
  <c r="A2688" i="17"/>
  <c r="B2687" i="17"/>
  <c r="A2687" i="17"/>
  <c r="B2686" i="17"/>
  <c r="A2686" i="17"/>
  <c r="B2685" i="17"/>
  <c r="A2685" i="17"/>
  <c r="B2684" i="17"/>
  <c r="A2684" i="17"/>
  <c r="B2683" i="17"/>
  <c r="A2683" i="17"/>
  <c r="B2682" i="17"/>
  <c r="A2682" i="17"/>
  <c r="B2681" i="17"/>
  <c r="A2681" i="17"/>
  <c r="B2680" i="17"/>
  <c r="A2680" i="17"/>
  <c r="B2679" i="17"/>
  <c r="A2679" i="17"/>
  <c r="B2678" i="17"/>
  <c r="A2678" i="17"/>
  <c r="B2677" i="17"/>
  <c r="A2677" i="17"/>
  <c r="B2676" i="17"/>
  <c r="A2676" i="17"/>
  <c r="B2675" i="17"/>
  <c r="A2675" i="17"/>
  <c r="B2674" i="17"/>
  <c r="A2674" i="17"/>
  <c r="B2673" i="17"/>
  <c r="A2673" i="17"/>
  <c r="A2672" i="17"/>
  <c r="A2671" i="17"/>
  <c r="B2670" i="17"/>
  <c r="A2670" i="17"/>
  <c r="B2669" i="17"/>
  <c r="A2669" i="17"/>
  <c r="B2668" i="17"/>
  <c r="A2668" i="17"/>
  <c r="B2667" i="17"/>
  <c r="A2667" i="17"/>
  <c r="B2666" i="17"/>
  <c r="A2666" i="17"/>
  <c r="A2665" i="17"/>
  <c r="A2664" i="17"/>
  <c r="B2663" i="17"/>
  <c r="A2663" i="17"/>
  <c r="A2662" i="17"/>
  <c r="A2661" i="17"/>
  <c r="B2660" i="17"/>
  <c r="A2660" i="17"/>
  <c r="B2659" i="17"/>
  <c r="A2659" i="17"/>
  <c r="B2658" i="17"/>
  <c r="A2658" i="17"/>
  <c r="B2657" i="17"/>
  <c r="A2657" i="17"/>
  <c r="B2656" i="17"/>
  <c r="A2656" i="17"/>
  <c r="A2655" i="17"/>
  <c r="A2654" i="17"/>
  <c r="A2653" i="17"/>
  <c r="A2652" i="17"/>
  <c r="B2651" i="17"/>
  <c r="A2651" i="17"/>
  <c r="B2650" i="17"/>
  <c r="A2650" i="17"/>
  <c r="B2649" i="17"/>
  <c r="A2649" i="17"/>
  <c r="B2648" i="17"/>
  <c r="A2648" i="17"/>
  <c r="B2647" i="17"/>
  <c r="A2647" i="17"/>
  <c r="B2646" i="17"/>
  <c r="A2646" i="17"/>
  <c r="B2645" i="17"/>
  <c r="A2645" i="17"/>
  <c r="B2644" i="17"/>
  <c r="A2644" i="17"/>
  <c r="B2643" i="17"/>
  <c r="A2643" i="17"/>
  <c r="B2642" i="17"/>
  <c r="A2642" i="17"/>
  <c r="B2641" i="17"/>
  <c r="A2641" i="17"/>
  <c r="B2640" i="17"/>
  <c r="A2640" i="17"/>
  <c r="B2639" i="17"/>
  <c r="A2639" i="17"/>
  <c r="B2638" i="17"/>
  <c r="A2638" i="17"/>
  <c r="B2637" i="17"/>
  <c r="A2637" i="17"/>
  <c r="B2636" i="17"/>
  <c r="A2636" i="17"/>
  <c r="B2635" i="17"/>
  <c r="A2635" i="17"/>
  <c r="B2634" i="17"/>
  <c r="A2634" i="17"/>
  <c r="B2633" i="17"/>
  <c r="A2633" i="17"/>
  <c r="B2632" i="17"/>
  <c r="A2632" i="17"/>
  <c r="B2631" i="17"/>
  <c r="A2631" i="17"/>
  <c r="B2630" i="17"/>
  <c r="A2630" i="17"/>
  <c r="B2629" i="17"/>
  <c r="A2629" i="17"/>
  <c r="B2626" i="17"/>
  <c r="A2626" i="17"/>
  <c r="B2625" i="17"/>
  <c r="A2625" i="17"/>
  <c r="B2624" i="17"/>
  <c r="A2624" i="17"/>
  <c r="B2623" i="17"/>
  <c r="A2623" i="17"/>
  <c r="B2622" i="17"/>
  <c r="A2622" i="17"/>
  <c r="B2621" i="17"/>
  <c r="A2621" i="17"/>
  <c r="B2620" i="17"/>
  <c r="A2620" i="17"/>
  <c r="A2619" i="17"/>
  <c r="B2618" i="17"/>
  <c r="A2618" i="17"/>
  <c r="B2617" i="17"/>
  <c r="A2617" i="17"/>
  <c r="A2616" i="17"/>
  <c r="B2615" i="17"/>
  <c r="A2615" i="17"/>
  <c r="B2614" i="17"/>
  <c r="A2614" i="17"/>
  <c r="B2613" i="17"/>
  <c r="A2613" i="17"/>
  <c r="B2612" i="17"/>
  <c r="A2612" i="17"/>
  <c r="B2611" i="17"/>
  <c r="A2611" i="17"/>
  <c r="B2610" i="17"/>
  <c r="A2610" i="17"/>
  <c r="B2609" i="17"/>
  <c r="A2609" i="17"/>
  <c r="B2608" i="17"/>
  <c r="A2608" i="17"/>
  <c r="A2607" i="17"/>
  <c r="B2606" i="17"/>
  <c r="A2606" i="17"/>
  <c r="B2605" i="17"/>
  <c r="A2605" i="17"/>
  <c r="B2604" i="17"/>
  <c r="A2604" i="17"/>
  <c r="B2603" i="17"/>
  <c r="A2603" i="17"/>
  <c r="B2602" i="17"/>
  <c r="A2602" i="17"/>
  <c r="B2601" i="17"/>
  <c r="A2601" i="17"/>
  <c r="B2600" i="17"/>
  <c r="A2600" i="17"/>
  <c r="B2599" i="17"/>
  <c r="A2599" i="17"/>
  <c r="B2598" i="17"/>
  <c r="A2598" i="17"/>
  <c r="B2597" i="17"/>
  <c r="A2597" i="17"/>
  <c r="A2596" i="17"/>
  <c r="B2595" i="17"/>
  <c r="A2595" i="17"/>
  <c r="B2594" i="17"/>
  <c r="A2594" i="17"/>
  <c r="B2593" i="17"/>
  <c r="A2593" i="17"/>
  <c r="B2592" i="17"/>
  <c r="A2592" i="17"/>
  <c r="B2591" i="17"/>
  <c r="A2591" i="17"/>
  <c r="B2590" i="17"/>
  <c r="A2590" i="17"/>
  <c r="B2589" i="17"/>
  <c r="A2589" i="17"/>
  <c r="B2588" i="17"/>
  <c r="A2588" i="17"/>
  <c r="B2587" i="17"/>
  <c r="A2587" i="17"/>
  <c r="B2585" i="17"/>
  <c r="A2585" i="17"/>
  <c r="B2584" i="17"/>
  <c r="A2584" i="17"/>
  <c r="B2583" i="17"/>
  <c r="A2583" i="17"/>
  <c r="B2582" i="17"/>
  <c r="A2582" i="17"/>
  <c r="B2581" i="17"/>
  <c r="A2581" i="17"/>
  <c r="B2580" i="17"/>
  <c r="A2580" i="17"/>
  <c r="B2579" i="17"/>
  <c r="A2579" i="17"/>
  <c r="B2578" i="17"/>
  <c r="A2578" i="17"/>
  <c r="B2577" i="17"/>
  <c r="A2577" i="17"/>
  <c r="B2576" i="17"/>
  <c r="A2576" i="17"/>
  <c r="B2575" i="17"/>
  <c r="A2575" i="17"/>
  <c r="B2574" i="17"/>
  <c r="A2574" i="17"/>
  <c r="B2573" i="17"/>
  <c r="A2573" i="17"/>
  <c r="B2572" i="17"/>
  <c r="A2572" i="17"/>
  <c r="B2571" i="17"/>
  <c r="A2571" i="17"/>
  <c r="B2570" i="17"/>
  <c r="A2570" i="17"/>
  <c r="B2569" i="17"/>
  <c r="A2569" i="17"/>
  <c r="B2568" i="17"/>
  <c r="A2568" i="17"/>
  <c r="B2567" i="17"/>
  <c r="A2567" i="17"/>
  <c r="B2566" i="17"/>
  <c r="A2566" i="17"/>
  <c r="B2565" i="17"/>
  <c r="A2565" i="17"/>
  <c r="B2564" i="17"/>
  <c r="A2564" i="17"/>
  <c r="B2563" i="17"/>
  <c r="A2563" i="17"/>
  <c r="B2562" i="17"/>
  <c r="A2562" i="17"/>
  <c r="B2561" i="17"/>
  <c r="A2561" i="17"/>
  <c r="B2560" i="17"/>
  <c r="A2560" i="17"/>
  <c r="B2559" i="17"/>
  <c r="A2559" i="17"/>
  <c r="B2558" i="17"/>
  <c r="A2558" i="17"/>
  <c r="B2557" i="17"/>
  <c r="A2557" i="17"/>
  <c r="B2556" i="17"/>
  <c r="A2556" i="17"/>
  <c r="B2555" i="17"/>
  <c r="A2555" i="17"/>
  <c r="B2554" i="17"/>
  <c r="A2554" i="17"/>
  <c r="B2553" i="17"/>
  <c r="A2553" i="17"/>
  <c r="B2552" i="17"/>
  <c r="A2552" i="17"/>
  <c r="B2551" i="17"/>
  <c r="A2551" i="17"/>
  <c r="A2550" i="17"/>
  <c r="B2549" i="17"/>
  <c r="A2549" i="17"/>
  <c r="A2548" i="17"/>
  <c r="A2547" i="17"/>
  <c r="B2546" i="17"/>
  <c r="A2546" i="17"/>
  <c r="B2545" i="17"/>
  <c r="A2545" i="17"/>
  <c r="B2544" i="17"/>
  <c r="A2544" i="17"/>
  <c r="B2543" i="17"/>
  <c r="A2543" i="17"/>
  <c r="B2542" i="17"/>
  <c r="A2542" i="17"/>
  <c r="B2541" i="17"/>
  <c r="A2541" i="17"/>
  <c r="B2540" i="17"/>
  <c r="A2540" i="17"/>
  <c r="B2539" i="17"/>
  <c r="A2539" i="17"/>
  <c r="B2538" i="17"/>
  <c r="A2538" i="17"/>
  <c r="B2537" i="17"/>
  <c r="A2537" i="17"/>
  <c r="B2536" i="17"/>
  <c r="A2536" i="17"/>
  <c r="B2535" i="17"/>
  <c r="A2535" i="17"/>
  <c r="B2534" i="17"/>
  <c r="A2534" i="17"/>
  <c r="B2533" i="17"/>
  <c r="A2533" i="17"/>
  <c r="B2532" i="17"/>
  <c r="A2532" i="17"/>
  <c r="B2531" i="17"/>
  <c r="A2531" i="17"/>
  <c r="B2530" i="17"/>
  <c r="A2530" i="17"/>
  <c r="B2529" i="17"/>
  <c r="A2529" i="17"/>
  <c r="B2527" i="17"/>
  <c r="A2527" i="17"/>
  <c r="B2526" i="17"/>
  <c r="A2526" i="17"/>
  <c r="B2525" i="17"/>
  <c r="A2525" i="17"/>
  <c r="B2524" i="17"/>
  <c r="A2524" i="17"/>
  <c r="A2523" i="17"/>
  <c r="B2522" i="17"/>
  <c r="A2522" i="17"/>
  <c r="A2521" i="17"/>
  <c r="B2520" i="17"/>
  <c r="A2520" i="17"/>
  <c r="B2519" i="17"/>
  <c r="A2519" i="17"/>
  <c r="B2518" i="17"/>
  <c r="A2518" i="17"/>
  <c r="B2517" i="17"/>
  <c r="A2517" i="17"/>
  <c r="B2516" i="17"/>
  <c r="A2516" i="17"/>
  <c r="B2515" i="17"/>
  <c r="A2515" i="17"/>
  <c r="B2514" i="17"/>
  <c r="A2514" i="17"/>
  <c r="B2513" i="17"/>
  <c r="A2513" i="17"/>
  <c r="B2512" i="17"/>
  <c r="A2512" i="17"/>
  <c r="B2511" i="17"/>
  <c r="A2511" i="17"/>
  <c r="B2510" i="17"/>
  <c r="A2510" i="17"/>
  <c r="B2509" i="17"/>
  <c r="A2509" i="17"/>
  <c r="B2508" i="17"/>
  <c r="A2508" i="17"/>
  <c r="B2507" i="17"/>
  <c r="A2507" i="17"/>
  <c r="B2506" i="17"/>
  <c r="A2506" i="17"/>
  <c r="B2505" i="17"/>
  <c r="A2505" i="17"/>
  <c r="A2504" i="17"/>
  <c r="B2503" i="17"/>
  <c r="A2503" i="17"/>
  <c r="B2502" i="17"/>
  <c r="A2502" i="17"/>
  <c r="B2501" i="17"/>
  <c r="A2501" i="17"/>
  <c r="B2500" i="17"/>
  <c r="A2500" i="17"/>
  <c r="B2499" i="17"/>
  <c r="A2499" i="17"/>
  <c r="B2498" i="17"/>
  <c r="A2498" i="17"/>
  <c r="A2497" i="17"/>
  <c r="A2496" i="17"/>
  <c r="B2495" i="17"/>
  <c r="A2495" i="17"/>
  <c r="B2494" i="17"/>
  <c r="A2494" i="17"/>
  <c r="A2493" i="17"/>
  <c r="B2492" i="17"/>
  <c r="A2492" i="17"/>
  <c r="B2491" i="17"/>
  <c r="A2491" i="17"/>
  <c r="B2490" i="17"/>
  <c r="A2490" i="17"/>
  <c r="B2489" i="17"/>
  <c r="A2489" i="17"/>
  <c r="B2488" i="17"/>
  <c r="A2488" i="17"/>
  <c r="B2487" i="17"/>
  <c r="A2487" i="17"/>
  <c r="B2486" i="17"/>
  <c r="A2486" i="17"/>
  <c r="B2485" i="17"/>
  <c r="A2485" i="17"/>
  <c r="B2484" i="17"/>
  <c r="A2484" i="17"/>
  <c r="B2483" i="17"/>
  <c r="A2483" i="17"/>
  <c r="B2482" i="17"/>
  <c r="A2482" i="17"/>
  <c r="B2481" i="17"/>
  <c r="A2481" i="17"/>
  <c r="B2480" i="17"/>
  <c r="A2480" i="17"/>
  <c r="B2479" i="17"/>
  <c r="A2479" i="17"/>
  <c r="B2478" i="17"/>
  <c r="A2478" i="17"/>
  <c r="B2477" i="17"/>
  <c r="A2477" i="17"/>
  <c r="B2476" i="17"/>
  <c r="A2476" i="17"/>
  <c r="B2475" i="17"/>
  <c r="A2475" i="17"/>
  <c r="B2474" i="17"/>
  <c r="A2474" i="17"/>
  <c r="B2473" i="17"/>
  <c r="A2473" i="17"/>
  <c r="A2472" i="17"/>
  <c r="A2471" i="17"/>
  <c r="A2470" i="17"/>
  <c r="B2469" i="17"/>
  <c r="A2469" i="17"/>
  <c r="B2468" i="17"/>
  <c r="A2468" i="17"/>
  <c r="A2467" i="17"/>
  <c r="B2466" i="17"/>
  <c r="A2466" i="17"/>
  <c r="B2465" i="17"/>
  <c r="A2465" i="17"/>
  <c r="B2464" i="17"/>
  <c r="A2464" i="17"/>
  <c r="B2463" i="17"/>
  <c r="A2463" i="17"/>
  <c r="A2462" i="17"/>
  <c r="B2460" i="17"/>
  <c r="A2460" i="17"/>
  <c r="B2459" i="17"/>
  <c r="A2459" i="17"/>
  <c r="B2458" i="17"/>
  <c r="A2458" i="17"/>
  <c r="B2457" i="17"/>
  <c r="A2457" i="17"/>
  <c r="B2456" i="17"/>
  <c r="A2456" i="17"/>
  <c r="B2455" i="17"/>
  <c r="A2455" i="17"/>
  <c r="B2454" i="17"/>
  <c r="A2454" i="17"/>
  <c r="A2453" i="17"/>
  <c r="A2452" i="17"/>
  <c r="A2451" i="17"/>
  <c r="B2450" i="17"/>
  <c r="A2450" i="17"/>
  <c r="B2449" i="17"/>
  <c r="A2449" i="17"/>
  <c r="B2448" i="17"/>
  <c r="A2448" i="17"/>
  <c r="B2447" i="17"/>
  <c r="A2447" i="17"/>
  <c r="B2446" i="17"/>
  <c r="A2446" i="17"/>
  <c r="B2445" i="17"/>
  <c r="A2445" i="17"/>
  <c r="B2444" i="17"/>
  <c r="A2444" i="17"/>
  <c r="B2443" i="17"/>
  <c r="A2443" i="17"/>
  <c r="A2442" i="17"/>
  <c r="A2441" i="17"/>
  <c r="A2440" i="17"/>
  <c r="A2439" i="17"/>
  <c r="B2438" i="17"/>
  <c r="A2438" i="17"/>
  <c r="B2437" i="17"/>
  <c r="A2437" i="17"/>
  <c r="B2436" i="17"/>
  <c r="A2436" i="17"/>
  <c r="B2435" i="17"/>
  <c r="A2435" i="17"/>
  <c r="B2434" i="17"/>
  <c r="A2434" i="17"/>
  <c r="B2433" i="17"/>
  <c r="A2433" i="17"/>
  <c r="A2432" i="17"/>
  <c r="B2431" i="17"/>
  <c r="A2431" i="17"/>
  <c r="B2430" i="17"/>
  <c r="A2430" i="17"/>
  <c r="B2429" i="17"/>
  <c r="A2429" i="17"/>
  <c r="B2428" i="17"/>
  <c r="A2428" i="17"/>
  <c r="B2427" i="17"/>
  <c r="A2427" i="17"/>
  <c r="B2426" i="17"/>
  <c r="A2426" i="17"/>
  <c r="B2424" i="17"/>
  <c r="A2424" i="17"/>
  <c r="B2423" i="17"/>
  <c r="A2423" i="17"/>
  <c r="B2422" i="17"/>
  <c r="A2422" i="17"/>
  <c r="B2421" i="17"/>
  <c r="A2421" i="17"/>
  <c r="A2420" i="17"/>
  <c r="B2419" i="17"/>
  <c r="A2419" i="17"/>
  <c r="B2417" i="17"/>
  <c r="A2417" i="17"/>
  <c r="B2416" i="17"/>
  <c r="A2416" i="17"/>
  <c r="B2415" i="17"/>
  <c r="A2415" i="17"/>
  <c r="B2414" i="17"/>
  <c r="A2414" i="17"/>
  <c r="B2413" i="17"/>
  <c r="A2413" i="17"/>
  <c r="B2412" i="17"/>
  <c r="A2412" i="17"/>
  <c r="B2411" i="17"/>
  <c r="A2411" i="17"/>
  <c r="A2410" i="17"/>
  <c r="B2409" i="17"/>
  <c r="A2409" i="17"/>
  <c r="B2408" i="17"/>
  <c r="A2408" i="17"/>
  <c r="B2407" i="17"/>
  <c r="A2407" i="17"/>
  <c r="B2406" i="17"/>
  <c r="A2406" i="17"/>
  <c r="B2405" i="17"/>
  <c r="A2405" i="17"/>
  <c r="B2404" i="17"/>
  <c r="A2404" i="17"/>
  <c r="B2403" i="17"/>
  <c r="A2403" i="17"/>
  <c r="B2402" i="17"/>
  <c r="A2402" i="17"/>
  <c r="B2401" i="17"/>
  <c r="A2401" i="17"/>
  <c r="B2400" i="17"/>
  <c r="A2400" i="17"/>
  <c r="B2399" i="17"/>
  <c r="A2399" i="17"/>
  <c r="B2398" i="17"/>
  <c r="A2398" i="17"/>
  <c r="B2397" i="17"/>
  <c r="A2397" i="17"/>
  <c r="B2396" i="17"/>
  <c r="A2396" i="17"/>
  <c r="B2395" i="17"/>
  <c r="A2395" i="17"/>
  <c r="B2394" i="17"/>
  <c r="A2394" i="17"/>
  <c r="B2393" i="17"/>
  <c r="A2393" i="17"/>
  <c r="A2392" i="17"/>
  <c r="B2391" i="17"/>
  <c r="A2391" i="17"/>
  <c r="B2390" i="17"/>
  <c r="A2390" i="17"/>
  <c r="B2389" i="17"/>
  <c r="A2389" i="17"/>
  <c r="B2388" i="17"/>
  <c r="A2388" i="17"/>
  <c r="B2387" i="17"/>
  <c r="A2387" i="17"/>
  <c r="B2386" i="17"/>
  <c r="A2386" i="17"/>
  <c r="B2385" i="17"/>
  <c r="A2385" i="17"/>
  <c r="B2384" i="17"/>
  <c r="A2384" i="17"/>
  <c r="B2383" i="17"/>
  <c r="A2383" i="17"/>
  <c r="B2382" i="17"/>
  <c r="A2382" i="17"/>
  <c r="B2381" i="17"/>
  <c r="A2381" i="17"/>
  <c r="B2380" i="17"/>
  <c r="A2380" i="17"/>
  <c r="B2379" i="17"/>
  <c r="A2379" i="17"/>
  <c r="B2378" i="17"/>
  <c r="A2378" i="17"/>
  <c r="A2377" i="17"/>
  <c r="A2376" i="17"/>
  <c r="B2375" i="17"/>
  <c r="A2375" i="17"/>
  <c r="B2374" i="17"/>
  <c r="A2374" i="17"/>
  <c r="B2373" i="17"/>
  <c r="A2373" i="17"/>
  <c r="B2372" i="17"/>
  <c r="A2372" i="17"/>
  <c r="B2371" i="17"/>
  <c r="A2371" i="17"/>
  <c r="A2370" i="17"/>
  <c r="B2369" i="17"/>
  <c r="A2369" i="17"/>
  <c r="B2368" i="17"/>
  <c r="A2368" i="17"/>
  <c r="B2367" i="17"/>
  <c r="A2367" i="17"/>
  <c r="B2366" i="17"/>
  <c r="A2366" i="17"/>
  <c r="B2365" i="17"/>
  <c r="A2365" i="17"/>
  <c r="B2364" i="17"/>
  <c r="A2364" i="17"/>
  <c r="B2363" i="17"/>
  <c r="A2363" i="17"/>
  <c r="B2362" i="17"/>
  <c r="A2362" i="17"/>
  <c r="B2361" i="17"/>
  <c r="A2361" i="17"/>
  <c r="B2360" i="17"/>
  <c r="A2360" i="17"/>
  <c r="A2359" i="17"/>
  <c r="A2358" i="17"/>
  <c r="B2357" i="17"/>
  <c r="A2357" i="17"/>
  <c r="B2356" i="17"/>
  <c r="A2356" i="17"/>
  <c r="B2353" i="17"/>
  <c r="A2353" i="17"/>
  <c r="B2352" i="17"/>
  <c r="A2352" i="17"/>
  <c r="B2351" i="17"/>
  <c r="A2351" i="17"/>
  <c r="A2350" i="17"/>
  <c r="B2349" i="17"/>
  <c r="A2349" i="17"/>
  <c r="A2348" i="17"/>
  <c r="A2347" i="17"/>
  <c r="A2346" i="17"/>
  <c r="B2345" i="17"/>
  <c r="A2345" i="17"/>
  <c r="A2344" i="17"/>
  <c r="B2343" i="17"/>
  <c r="A2343" i="17"/>
  <c r="B2342" i="17"/>
  <c r="A2342" i="17"/>
  <c r="B2341" i="17"/>
  <c r="A2341" i="17"/>
  <c r="B2340" i="17"/>
  <c r="A2340" i="17"/>
  <c r="B2339" i="17"/>
  <c r="A2339" i="17"/>
  <c r="A2338" i="17"/>
  <c r="A2337" i="17"/>
  <c r="B2336" i="17"/>
  <c r="A2336" i="17"/>
  <c r="A2335" i="17"/>
  <c r="B2334" i="17"/>
  <c r="A2334" i="17"/>
  <c r="B2333" i="17"/>
  <c r="A2333" i="17"/>
  <c r="A2332" i="17"/>
  <c r="B2331" i="17"/>
  <c r="A2331" i="17"/>
  <c r="B2330" i="17"/>
  <c r="A2330" i="17"/>
  <c r="B2329" i="17"/>
  <c r="A2329" i="17"/>
  <c r="B2328" i="17"/>
  <c r="A2328" i="17"/>
  <c r="B2327" i="17"/>
  <c r="A2327" i="17"/>
  <c r="B2326" i="17"/>
  <c r="A2326" i="17"/>
  <c r="B2325" i="17"/>
  <c r="A2325" i="17"/>
  <c r="B2324" i="17"/>
  <c r="A2324" i="17"/>
  <c r="B2323" i="17"/>
  <c r="A2323" i="17"/>
  <c r="B2322" i="17"/>
  <c r="A2322" i="17"/>
  <c r="B2321" i="17"/>
  <c r="A2321" i="17"/>
  <c r="B2320" i="17"/>
  <c r="A2320" i="17"/>
  <c r="A2319" i="17"/>
  <c r="B2318" i="17"/>
  <c r="A2318" i="17"/>
  <c r="A2317" i="17"/>
  <c r="B2316" i="17"/>
  <c r="A2316" i="17"/>
  <c r="B2315" i="17"/>
  <c r="A2315" i="17"/>
  <c r="B2314" i="17"/>
  <c r="A2314" i="17"/>
  <c r="A2313" i="17"/>
  <c r="A2312" i="17"/>
  <c r="B2311" i="17"/>
  <c r="A2311" i="17"/>
  <c r="B2310" i="17"/>
  <c r="A2310" i="17"/>
  <c r="B2309" i="17"/>
  <c r="A2309" i="17"/>
  <c r="B2308" i="17"/>
  <c r="A2308" i="17"/>
  <c r="B2307" i="17"/>
  <c r="A2307" i="17"/>
  <c r="B2306" i="17"/>
  <c r="A2306" i="17"/>
  <c r="B2305" i="17"/>
  <c r="A2305" i="17"/>
  <c r="B2304" i="17"/>
  <c r="A2304" i="17"/>
  <c r="B2303" i="17"/>
  <c r="A2303" i="17"/>
  <c r="A2302" i="17"/>
  <c r="A2301" i="17"/>
  <c r="B2300" i="17"/>
  <c r="A2300" i="17"/>
  <c r="A2299" i="17"/>
  <c r="B2298" i="17"/>
  <c r="A2298" i="17"/>
  <c r="B2297" i="17"/>
  <c r="A2297" i="17"/>
  <c r="B2296" i="17"/>
  <c r="A2296" i="17"/>
  <c r="B2295" i="17"/>
  <c r="A2295" i="17"/>
  <c r="B2294" i="17"/>
  <c r="A2294" i="17"/>
  <c r="A2293" i="17"/>
  <c r="A2292" i="17"/>
  <c r="A2291" i="17"/>
  <c r="A2290" i="17"/>
  <c r="A2289" i="17"/>
  <c r="A2288" i="17"/>
  <c r="B2287" i="17"/>
  <c r="A2287" i="17"/>
  <c r="A2286" i="17"/>
  <c r="A2285" i="17"/>
  <c r="A2284" i="17"/>
  <c r="B2283" i="17"/>
  <c r="A2283" i="17"/>
  <c r="B2282" i="17"/>
  <c r="A2282" i="17"/>
  <c r="B2281" i="17"/>
  <c r="A2281" i="17"/>
  <c r="B2280" i="17"/>
  <c r="A2280" i="17"/>
  <c r="B2279" i="17"/>
  <c r="A2279" i="17"/>
  <c r="B2278" i="17"/>
  <c r="A2278" i="17"/>
  <c r="B2277" i="17"/>
  <c r="A2277" i="17"/>
  <c r="A2276" i="17"/>
  <c r="B2275" i="17"/>
  <c r="A2275" i="17"/>
  <c r="B2274" i="17"/>
  <c r="A2274" i="17"/>
  <c r="B2273" i="17"/>
  <c r="A2273" i="17"/>
  <c r="A2272" i="17"/>
  <c r="B2271" i="17"/>
  <c r="A2271" i="17"/>
  <c r="B2270" i="17"/>
  <c r="A2270" i="17"/>
  <c r="A2269" i="17"/>
  <c r="A2268" i="17"/>
  <c r="B2267" i="17"/>
  <c r="A2267" i="17"/>
  <c r="B2266" i="17"/>
  <c r="A2266" i="17"/>
  <c r="B2265" i="17"/>
  <c r="A2265" i="17"/>
  <c r="A2264" i="17"/>
  <c r="A2263" i="17"/>
  <c r="A2262" i="17"/>
  <c r="B2261" i="17"/>
  <c r="A2261" i="17"/>
  <c r="A2260" i="17"/>
  <c r="A2259" i="17"/>
  <c r="B2258" i="17"/>
  <c r="A2258" i="17"/>
  <c r="B2257" i="17"/>
  <c r="A2257" i="17"/>
  <c r="B2256" i="17"/>
  <c r="A2256" i="17"/>
  <c r="B2255" i="17"/>
  <c r="A2255" i="17"/>
  <c r="B2254" i="17"/>
  <c r="A2254" i="17"/>
  <c r="B2253" i="17"/>
  <c r="A2253" i="17"/>
  <c r="B2252" i="17"/>
  <c r="A2252" i="17"/>
  <c r="B2251" i="17"/>
  <c r="A2251" i="17"/>
  <c r="B2250" i="17"/>
  <c r="A2250" i="17"/>
  <c r="A2249" i="17"/>
  <c r="B2248" i="17"/>
  <c r="A2248" i="17"/>
  <c r="B2247" i="17"/>
  <c r="A2247" i="17"/>
  <c r="B2246" i="17"/>
  <c r="A2246" i="17"/>
  <c r="B2245" i="17"/>
  <c r="A2245" i="17"/>
  <c r="A2244" i="17"/>
  <c r="B2243" i="17"/>
  <c r="A2243" i="17"/>
  <c r="B2242" i="17"/>
  <c r="A2242" i="17"/>
  <c r="B2240" i="17"/>
  <c r="A2240" i="17"/>
  <c r="B2239" i="17"/>
  <c r="A2239" i="17"/>
  <c r="B2238" i="17"/>
  <c r="A2238" i="17"/>
  <c r="B2237" i="17"/>
  <c r="A2237" i="17"/>
  <c r="A2236" i="17"/>
  <c r="A2235" i="17"/>
  <c r="A2234" i="17"/>
  <c r="A2233" i="17"/>
  <c r="A2232" i="17"/>
  <c r="B2231" i="17"/>
  <c r="A2231" i="17"/>
  <c r="B2230" i="17"/>
  <c r="A2230" i="17"/>
  <c r="B2229" i="17"/>
  <c r="A2229" i="17"/>
  <c r="B2228" i="17"/>
  <c r="A2228" i="17"/>
  <c r="B2227" i="17"/>
  <c r="A2227" i="17"/>
  <c r="B2226" i="17"/>
  <c r="A2226" i="17"/>
  <c r="B2225" i="17"/>
  <c r="A2225" i="17"/>
  <c r="B2224" i="17"/>
  <c r="A2224" i="17"/>
  <c r="A2223" i="17"/>
  <c r="A2222" i="17"/>
  <c r="A2221" i="17"/>
  <c r="A2220" i="17"/>
  <c r="B2219" i="17"/>
  <c r="A2219" i="17"/>
  <c r="B2218" i="17"/>
  <c r="A2218" i="17"/>
  <c r="B2217" i="17"/>
  <c r="A2217" i="17"/>
  <c r="B2216" i="17"/>
  <c r="A2216" i="17"/>
  <c r="B2215" i="17"/>
  <c r="A2215" i="17"/>
  <c r="A2214" i="17"/>
  <c r="B2213" i="17"/>
  <c r="A2213" i="17"/>
  <c r="B2212" i="17"/>
  <c r="A2212" i="17"/>
  <c r="B2211" i="17"/>
  <c r="A2211" i="17"/>
  <c r="A2210" i="17"/>
  <c r="A2209" i="17"/>
  <c r="A2208" i="17"/>
  <c r="B2207" i="17"/>
  <c r="A2207" i="17"/>
  <c r="B2206" i="17"/>
  <c r="A2206" i="17"/>
  <c r="B2205" i="17"/>
  <c r="A2205" i="17"/>
  <c r="B2204" i="17"/>
  <c r="A2204" i="17"/>
  <c r="B2203" i="17"/>
  <c r="A2203" i="17"/>
  <c r="B2202" i="17"/>
  <c r="A2202" i="17"/>
  <c r="B2201" i="17"/>
  <c r="A2201" i="17"/>
  <c r="B2200" i="17"/>
  <c r="A2200" i="17"/>
  <c r="B2199" i="17"/>
  <c r="A2199" i="17"/>
  <c r="B2198" i="17"/>
  <c r="A2198" i="17"/>
  <c r="B2197" i="17"/>
  <c r="A2197" i="17"/>
  <c r="B2196" i="17"/>
  <c r="A2196" i="17"/>
  <c r="B2195" i="17"/>
  <c r="A2195" i="17"/>
  <c r="B2194" i="17"/>
  <c r="A2194" i="17"/>
  <c r="B2193" i="17"/>
  <c r="A2193" i="17"/>
  <c r="A2192" i="17"/>
  <c r="B2191" i="17"/>
  <c r="A2191" i="17"/>
  <c r="B2190" i="17"/>
  <c r="A2190" i="17"/>
  <c r="B2189" i="17"/>
  <c r="A2189" i="17"/>
  <c r="B2188" i="17"/>
  <c r="A2188" i="17"/>
  <c r="B2187" i="17"/>
  <c r="A2187" i="17"/>
  <c r="B2186" i="17"/>
  <c r="A2186" i="17"/>
  <c r="B2185" i="17"/>
  <c r="A2185" i="17"/>
  <c r="B2184" i="17"/>
  <c r="A2184" i="17"/>
  <c r="B2183" i="17"/>
  <c r="A2183" i="17"/>
  <c r="A2182" i="17"/>
  <c r="B2181" i="17"/>
  <c r="A2181" i="17"/>
  <c r="B2180" i="17"/>
  <c r="A2180" i="17"/>
  <c r="B2179" i="17"/>
  <c r="A2179" i="17"/>
  <c r="B2178" i="17"/>
  <c r="A2178" i="17"/>
  <c r="B2177" i="17"/>
  <c r="A2177" i="17"/>
  <c r="B2176" i="17"/>
  <c r="A2176" i="17"/>
  <c r="B2175" i="17"/>
  <c r="A2175" i="17"/>
  <c r="B2174" i="17"/>
  <c r="A2174" i="17"/>
  <c r="B2173" i="17"/>
  <c r="A2173" i="17"/>
  <c r="B2172" i="17"/>
  <c r="A2172" i="17"/>
  <c r="B2171" i="17"/>
  <c r="A2171" i="17"/>
  <c r="B2170" i="17"/>
  <c r="A2170" i="17"/>
  <c r="B2169" i="17"/>
  <c r="A2169" i="17"/>
  <c r="B2166" i="17"/>
  <c r="A2166" i="17"/>
  <c r="B2165" i="17"/>
  <c r="A2165" i="17"/>
  <c r="B2164" i="17"/>
  <c r="A2164" i="17"/>
  <c r="B2163" i="17"/>
  <c r="A2163" i="17"/>
  <c r="A2162" i="17"/>
  <c r="B2161" i="17"/>
  <c r="A2161" i="17"/>
  <c r="A2160" i="17"/>
  <c r="A2159" i="17"/>
  <c r="B2158" i="17"/>
  <c r="A2158" i="17"/>
  <c r="A2157" i="17"/>
  <c r="A2156" i="17"/>
  <c r="B2155" i="17"/>
  <c r="A2155" i="17"/>
  <c r="A2154" i="17"/>
  <c r="A2152" i="17"/>
  <c r="A2151" i="17"/>
  <c r="A2150" i="17"/>
  <c r="B2149" i="17"/>
  <c r="A2149" i="17"/>
  <c r="B2148" i="17"/>
  <c r="A2148" i="17"/>
  <c r="B2147" i="17"/>
  <c r="A2147" i="17"/>
  <c r="B2146" i="17"/>
  <c r="A2146" i="17"/>
  <c r="B2145" i="17"/>
  <c r="A2145" i="17"/>
  <c r="A2144" i="17"/>
  <c r="B2143" i="17"/>
  <c r="A2143" i="17"/>
  <c r="B2142" i="17"/>
  <c r="A2142" i="17"/>
  <c r="B2141" i="17"/>
  <c r="A2141" i="17"/>
  <c r="B2140" i="17"/>
  <c r="A2140" i="17"/>
  <c r="B2139" i="17"/>
  <c r="A2139" i="17"/>
  <c r="B2138" i="17"/>
  <c r="A2138" i="17"/>
  <c r="B2137" i="17"/>
  <c r="A2137" i="17"/>
  <c r="B2136" i="17"/>
  <c r="A2136" i="17"/>
  <c r="B2135" i="17"/>
  <c r="A2135" i="17"/>
  <c r="B2134" i="17"/>
  <c r="A2134" i="17"/>
  <c r="B2133" i="17"/>
  <c r="A2133" i="17"/>
  <c r="B2132" i="17"/>
  <c r="A2132" i="17"/>
  <c r="B2131" i="17"/>
  <c r="A2131" i="17"/>
  <c r="B2130" i="17"/>
  <c r="A2130" i="17"/>
  <c r="B2129" i="17"/>
  <c r="A2129" i="17"/>
  <c r="B2128" i="17"/>
  <c r="A2128" i="17"/>
  <c r="A2127" i="17"/>
  <c r="A2126" i="17"/>
  <c r="B2125" i="17"/>
  <c r="A2125" i="17"/>
  <c r="B2124" i="17"/>
  <c r="A2124" i="17"/>
  <c r="B2123" i="17"/>
  <c r="A2123" i="17"/>
  <c r="B2122" i="17"/>
  <c r="A2122" i="17"/>
  <c r="B2121" i="17"/>
  <c r="A2121" i="17"/>
  <c r="B2120" i="17"/>
  <c r="A2120" i="17"/>
  <c r="B2119" i="17"/>
  <c r="A2119" i="17"/>
  <c r="A2118" i="17"/>
  <c r="B2117" i="17"/>
  <c r="A2117" i="17"/>
  <c r="B2116" i="17"/>
  <c r="A2116" i="17"/>
  <c r="B2115" i="17"/>
  <c r="A2115" i="17"/>
  <c r="A2114" i="17"/>
  <c r="A2113" i="17"/>
  <c r="A2112" i="17"/>
  <c r="A2111" i="17"/>
  <c r="A2110" i="17"/>
  <c r="B2109" i="17"/>
  <c r="A2109" i="17"/>
  <c r="B2108" i="17"/>
  <c r="A2108" i="17"/>
  <c r="A2107" i="17"/>
  <c r="B2106" i="17"/>
  <c r="A2106" i="17"/>
  <c r="B2105" i="17"/>
  <c r="A2105" i="17"/>
  <c r="B2104" i="17"/>
  <c r="A2104" i="17"/>
  <c r="B2103" i="17"/>
  <c r="A2103" i="17"/>
  <c r="B2102" i="17"/>
  <c r="A2102" i="17"/>
  <c r="B2101" i="17"/>
  <c r="A2101" i="17"/>
  <c r="B2100" i="17"/>
  <c r="A2100" i="17"/>
  <c r="B2099" i="17"/>
  <c r="A2099" i="17"/>
  <c r="B2098" i="17"/>
  <c r="A2098" i="17"/>
  <c r="A2097" i="17"/>
  <c r="A2096" i="17"/>
  <c r="A2095" i="17"/>
  <c r="B2094" i="17"/>
  <c r="A2094" i="17"/>
  <c r="A2093" i="17"/>
  <c r="B2092" i="17"/>
  <c r="A2092" i="17"/>
  <c r="B2091" i="17"/>
  <c r="A2091" i="17"/>
  <c r="B2090" i="17"/>
  <c r="A2090" i="17"/>
  <c r="B2089" i="17"/>
  <c r="A2089" i="17"/>
  <c r="A2088" i="17"/>
  <c r="B2087" i="17"/>
  <c r="A2087" i="17"/>
  <c r="A2086" i="17"/>
  <c r="A2085" i="17"/>
  <c r="B2084" i="17"/>
  <c r="A2084" i="17"/>
  <c r="B2083" i="17"/>
  <c r="A2083" i="17"/>
  <c r="B2082" i="17"/>
  <c r="A2082" i="17"/>
  <c r="B2081" i="17"/>
  <c r="A2081" i="17"/>
  <c r="B2080" i="17"/>
  <c r="A2080" i="17"/>
  <c r="B2079" i="17"/>
  <c r="A2079" i="17"/>
  <c r="B2078" i="17"/>
  <c r="A2078" i="17"/>
  <c r="B2077" i="17"/>
  <c r="A2077" i="17"/>
  <c r="A2076" i="17"/>
  <c r="A2075" i="17"/>
  <c r="A2074" i="17"/>
  <c r="A2073" i="17"/>
  <c r="A2072" i="17"/>
  <c r="A2071" i="17"/>
  <c r="A2070" i="17"/>
  <c r="A2069" i="17"/>
  <c r="B2068" i="17"/>
  <c r="A2068" i="17"/>
  <c r="A2067" i="17"/>
  <c r="A2066" i="17"/>
  <c r="A2065" i="17"/>
  <c r="A2064" i="17"/>
  <c r="A2063" i="17"/>
  <c r="A2062" i="17"/>
  <c r="A2061" i="17"/>
  <c r="A2060" i="17"/>
  <c r="A2059" i="17"/>
  <c r="B2058" i="17"/>
  <c r="A2058" i="17"/>
  <c r="B2057" i="17"/>
  <c r="A2057" i="17"/>
  <c r="B2056" i="17"/>
  <c r="A2056" i="17"/>
  <c r="B2055" i="17"/>
  <c r="A2055" i="17"/>
  <c r="A2054" i="17"/>
  <c r="A2053" i="17"/>
  <c r="B2052" i="17"/>
  <c r="A2052" i="17"/>
  <c r="B2051" i="17"/>
  <c r="A2051" i="17"/>
  <c r="A2050" i="17"/>
  <c r="A2049" i="17"/>
  <c r="A2048" i="17"/>
  <c r="A2047" i="17"/>
  <c r="A2046" i="17"/>
  <c r="B2045" i="17"/>
  <c r="A2045" i="17"/>
  <c r="A2044" i="17"/>
  <c r="A2043" i="17"/>
  <c r="B2042" i="17"/>
  <c r="A2042" i="17"/>
  <c r="A2041" i="17"/>
  <c r="B2040" i="17"/>
  <c r="A2040" i="17"/>
  <c r="A2039" i="17"/>
  <c r="B2038" i="17"/>
  <c r="A2038" i="17"/>
  <c r="B2037" i="17"/>
  <c r="A2037" i="17"/>
  <c r="B2036" i="17"/>
  <c r="A2036" i="17"/>
  <c r="B2035" i="17"/>
  <c r="A2035" i="17"/>
  <c r="B2034" i="17"/>
  <c r="A2034" i="17"/>
  <c r="B2033" i="17"/>
  <c r="A2033" i="17"/>
  <c r="B2032" i="17"/>
  <c r="A2032" i="17"/>
  <c r="A2031" i="17"/>
  <c r="A2030" i="17"/>
  <c r="A2029" i="17"/>
  <c r="B2028" i="17"/>
  <c r="A2028" i="17"/>
  <c r="A2027" i="17"/>
  <c r="A2026" i="17"/>
  <c r="A2025" i="17"/>
  <c r="B2024" i="17"/>
  <c r="A2024" i="17"/>
  <c r="B2023" i="17"/>
  <c r="A2023" i="17"/>
  <c r="B2022" i="17"/>
  <c r="A2022" i="17"/>
  <c r="B2021" i="17"/>
  <c r="A2021" i="17"/>
  <c r="A2020" i="17"/>
  <c r="B2019" i="17"/>
  <c r="A2019" i="17"/>
  <c r="B2018" i="17"/>
  <c r="A2018" i="17"/>
  <c r="B2017" i="17"/>
  <c r="A2017" i="17"/>
  <c r="A2016" i="17"/>
  <c r="A2015" i="17"/>
  <c r="B2014" i="17"/>
  <c r="A2014" i="17"/>
  <c r="A2013" i="17"/>
  <c r="B2012" i="17"/>
  <c r="A2012" i="17"/>
  <c r="B2011" i="17"/>
  <c r="A2011" i="17"/>
  <c r="A2010" i="17"/>
  <c r="A2009" i="17"/>
  <c r="A2008" i="17"/>
  <c r="A2007" i="17"/>
  <c r="B2006" i="17"/>
  <c r="A2006" i="17"/>
  <c r="B2005" i="17"/>
  <c r="A2005" i="17"/>
  <c r="B2004" i="17"/>
  <c r="A2004" i="17"/>
  <c r="B2003" i="17"/>
  <c r="A2003" i="17"/>
  <c r="B2002" i="17"/>
  <c r="A2002" i="17"/>
  <c r="B2001" i="17"/>
  <c r="A2001" i="17"/>
  <c r="A2000" i="17"/>
  <c r="B1999" i="17"/>
  <c r="A1999" i="17"/>
  <c r="B1998" i="17"/>
  <c r="A1998" i="17"/>
  <c r="A1997" i="17"/>
  <c r="A1996" i="17"/>
  <c r="A1995" i="17"/>
  <c r="B1994" i="17"/>
  <c r="A1994" i="17"/>
  <c r="A1993" i="17"/>
  <c r="B1992" i="17"/>
  <c r="A1992" i="17"/>
  <c r="A1991" i="17"/>
  <c r="A1990" i="17"/>
  <c r="B1989" i="17"/>
  <c r="A1989" i="17"/>
  <c r="A1988" i="17"/>
  <c r="A1987" i="17"/>
  <c r="A1986" i="17"/>
  <c r="B1985" i="17"/>
  <c r="A1985" i="17"/>
  <c r="A1984" i="17"/>
  <c r="B1983" i="17"/>
  <c r="A1983" i="17"/>
  <c r="B1982" i="17"/>
  <c r="A1982" i="17"/>
  <c r="B1981" i="17"/>
  <c r="A1981" i="17"/>
  <c r="B1980" i="17"/>
  <c r="A1980" i="17"/>
  <c r="B1979" i="17"/>
  <c r="A1979" i="17"/>
  <c r="B1978" i="17"/>
  <c r="A1978" i="17"/>
  <c r="B1977" i="17"/>
  <c r="A1977" i="17"/>
  <c r="B1976" i="17"/>
  <c r="A1976" i="17"/>
  <c r="B1975" i="17"/>
  <c r="A1975" i="17"/>
  <c r="B1974" i="17"/>
  <c r="A1974" i="17"/>
  <c r="A1973" i="17"/>
  <c r="A1972" i="17"/>
  <c r="B1971" i="17"/>
  <c r="A1971" i="17"/>
  <c r="A1970" i="17"/>
  <c r="A1969" i="17"/>
  <c r="A1968" i="17"/>
  <c r="B1967" i="17"/>
  <c r="A1967" i="17"/>
  <c r="A1966" i="17"/>
  <c r="A1965" i="17"/>
  <c r="A1964" i="17"/>
  <c r="A1963" i="17"/>
  <c r="A1962" i="17"/>
  <c r="A1961" i="17"/>
  <c r="A1960" i="17"/>
  <c r="A1959" i="17"/>
  <c r="A1958" i="17"/>
  <c r="B1957" i="17"/>
  <c r="A1957" i="17"/>
  <c r="A1956" i="17"/>
  <c r="B1955" i="17"/>
  <c r="A1955" i="17"/>
  <c r="A1954" i="17"/>
  <c r="A1953" i="17"/>
  <c r="B1952" i="17"/>
  <c r="A1952" i="17"/>
  <c r="A1951" i="17"/>
  <c r="B1950" i="17"/>
  <c r="A1950" i="17"/>
  <c r="A1949" i="17"/>
  <c r="B1948" i="17"/>
  <c r="A1948" i="17"/>
  <c r="B1947" i="17"/>
  <c r="A1947" i="17"/>
  <c r="B1946" i="17"/>
  <c r="A1946" i="17"/>
  <c r="B1945" i="17"/>
  <c r="A1945" i="17"/>
  <c r="A1944" i="17"/>
  <c r="B1943" i="17"/>
  <c r="A1943" i="17"/>
  <c r="A1942" i="17"/>
  <c r="A1941" i="17"/>
  <c r="A1940" i="17"/>
  <c r="A1939" i="17"/>
  <c r="A1938" i="17"/>
  <c r="A1937" i="17"/>
  <c r="A1936" i="17"/>
  <c r="B1935" i="17"/>
  <c r="A1935" i="17"/>
  <c r="A1934" i="17"/>
  <c r="B1933" i="17"/>
  <c r="A1933" i="17"/>
  <c r="B1932" i="17"/>
  <c r="A1932" i="17"/>
  <c r="A1931" i="17"/>
  <c r="A1930" i="17"/>
  <c r="A1929" i="17"/>
  <c r="A1928" i="17"/>
  <c r="B1927" i="17"/>
  <c r="A1927" i="17"/>
  <c r="B1926" i="17"/>
  <c r="A1926" i="17"/>
  <c r="A1925" i="17"/>
  <c r="A1924" i="17"/>
  <c r="A1923" i="17"/>
  <c r="A1922" i="17"/>
  <c r="A1921" i="17"/>
  <c r="B1920" i="17"/>
  <c r="A1920" i="17"/>
  <c r="B1919" i="17"/>
  <c r="A1919" i="17"/>
  <c r="B1918" i="17"/>
  <c r="A1918" i="17"/>
  <c r="A1917" i="17"/>
  <c r="B1916" i="17"/>
  <c r="A1916" i="17"/>
  <c r="B1915" i="17"/>
  <c r="A1915" i="17"/>
  <c r="A1914" i="17"/>
  <c r="A1913" i="17"/>
  <c r="A1912" i="17"/>
  <c r="B1911" i="17"/>
  <c r="A1911" i="17"/>
  <c r="B1910" i="17"/>
  <c r="A1910" i="17"/>
  <c r="B1909" i="17"/>
  <c r="A1909" i="17"/>
  <c r="B1908" i="17"/>
  <c r="A1908" i="17"/>
  <c r="B1907" i="17"/>
  <c r="A1907" i="17"/>
  <c r="B1906" i="17"/>
  <c r="A1906" i="17"/>
  <c r="B1905" i="17"/>
  <c r="A1905" i="17"/>
  <c r="A1904" i="17"/>
  <c r="B1903" i="17"/>
  <c r="A1903" i="17"/>
  <c r="B1902" i="17"/>
  <c r="A1902" i="17"/>
  <c r="B1901" i="17"/>
  <c r="A1901" i="17"/>
  <c r="B1900" i="17"/>
  <c r="A1900" i="17"/>
  <c r="B1899" i="17"/>
  <c r="A1899" i="17"/>
  <c r="A1898" i="17"/>
  <c r="A1897" i="17"/>
  <c r="A1896" i="17"/>
  <c r="B1895" i="17"/>
  <c r="A1895" i="17"/>
  <c r="B1894" i="17"/>
  <c r="A1894" i="17"/>
  <c r="B1893" i="17"/>
  <c r="A1893" i="17"/>
  <c r="A1892" i="17"/>
  <c r="A1891" i="17"/>
  <c r="B1890" i="17"/>
  <c r="A1890" i="17"/>
  <c r="A1889" i="17"/>
  <c r="B1888" i="17"/>
  <c r="A1888" i="17"/>
  <c r="A1887" i="17"/>
  <c r="B1886" i="17"/>
  <c r="A1886" i="17"/>
  <c r="A1885" i="17"/>
  <c r="B1884" i="17"/>
  <c r="A1884" i="17"/>
  <c r="A1883" i="17"/>
  <c r="B1882" i="17"/>
  <c r="A1882" i="17"/>
  <c r="B1881" i="17"/>
  <c r="A1881" i="17"/>
  <c r="B1880" i="17"/>
  <c r="A1880" i="17"/>
  <c r="B1879" i="17"/>
  <c r="A1879" i="17"/>
  <c r="B1878" i="17"/>
  <c r="A1878" i="17"/>
  <c r="A1877" i="17"/>
  <c r="A1876" i="17"/>
  <c r="A1875" i="17"/>
  <c r="A1874" i="17"/>
  <c r="B1873" i="17"/>
  <c r="A1873" i="17"/>
  <c r="B1872" i="17"/>
  <c r="A1872" i="17"/>
  <c r="A1871" i="17"/>
  <c r="A1870" i="17"/>
  <c r="A1869" i="17"/>
  <c r="A1868" i="17"/>
  <c r="A1867" i="17"/>
  <c r="B1866" i="17"/>
  <c r="A1866" i="17"/>
  <c r="B1865" i="17"/>
  <c r="A1865" i="17"/>
  <c r="B1864" i="17"/>
  <c r="A1864" i="17"/>
  <c r="A1863" i="17"/>
  <c r="A1862" i="17"/>
  <c r="B1861" i="17"/>
  <c r="A1861" i="17"/>
  <c r="A1860" i="17"/>
  <c r="A1859" i="17"/>
  <c r="B1858" i="17"/>
  <c r="A1858" i="17"/>
  <c r="A1857" i="17"/>
  <c r="B1856" i="17"/>
  <c r="A1856" i="17"/>
  <c r="A1855" i="17"/>
  <c r="B1854" i="17"/>
  <c r="A1854" i="17"/>
  <c r="B1853" i="17"/>
  <c r="A1853" i="17"/>
  <c r="A1852" i="17"/>
  <c r="A1851" i="17"/>
  <c r="A1850" i="17"/>
  <c r="B1849" i="17"/>
  <c r="A1849" i="17"/>
  <c r="A1848" i="17"/>
  <c r="A1847" i="17"/>
  <c r="A1846" i="17"/>
  <c r="A1845" i="17"/>
  <c r="B1844" i="17"/>
  <c r="A1844" i="17"/>
  <c r="B1843" i="17"/>
  <c r="A1843" i="17"/>
  <c r="A1842" i="17"/>
  <c r="A1841" i="17"/>
  <c r="B1839" i="17"/>
  <c r="A1839" i="17"/>
  <c r="A1838" i="17"/>
  <c r="A1837" i="17"/>
  <c r="A1836" i="17"/>
  <c r="A1835" i="17"/>
  <c r="B1834" i="17"/>
  <c r="A1834" i="17"/>
  <c r="A1833" i="17"/>
  <c r="A1832" i="17"/>
  <c r="A1831" i="17"/>
  <c r="A1830" i="17"/>
  <c r="A1829" i="17"/>
  <c r="A1828" i="17"/>
  <c r="A1827" i="17"/>
  <c r="B1826" i="17"/>
  <c r="A1826" i="17"/>
  <c r="B1825" i="17"/>
  <c r="A1825" i="17"/>
  <c r="B1824" i="17"/>
  <c r="A1824" i="17"/>
  <c r="A1823" i="17"/>
  <c r="A1822" i="17"/>
  <c r="A1821" i="17"/>
  <c r="A1820" i="17"/>
  <c r="A1819" i="17"/>
  <c r="A1818" i="17"/>
  <c r="A1817" i="17"/>
  <c r="B1816" i="17"/>
  <c r="A1816" i="17"/>
  <c r="B1815" i="17"/>
  <c r="A1815" i="17"/>
  <c r="A1814" i="17"/>
  <c r="A1813" i="17"/>
  <c r="B1812" i="17"/>
  <c r="A1812" i="17"/>
  <c r="A1811" i="17"/>
  <c r="A1810" i="17"/>
  <c r="A1809" i="17"/>
  <c r="A1808" i="17"/>
  <c r="A1807" i="17"/>
  <c r="A1806" i="17"/>
  <c r="A1805" i="17"/>
  <c r="B1804" i="17"/>
  <c r="A1804" i="17"/>
  <c r="A1803" i="17"/>
  <c r="B1802" i="17"/>
  <c r="A1802" i="17"/>
  <c r="B1801" i="17"/>
  <c r="A1801" i="17"/>
  <c r="B1800" i="17"/>
  <c r="A1800" i="17"/>
  <c r="A1799" i="17"/>
  <c r="A1798" i="17"/>
  <c r="B1797" i="17"/>
  <c r="A1797" i="17"/>
  <c r="B1796" i="17"/>
  <c r="A1796" i="17"/>
  <c r="B1795" i="17"/>
  <c r="A1795" i="17"/>
  <c r="B1794" i="17"/>
  <c r="A1794" i="17"/>
  <c r="B1793" i="17"/>
  <c r="A1793" i="17"/>
  <c r="B1792" i="17"/>
  <c r="A1792" i="17"/>
  <c r="B1791" i="17"/>
  <c r="A1791" i="17"/>
  <c r="B1790" i="17"/>
  <c r="A1790" i="17"/>
  <c r="A1789" i="17"/>
  <c r="A1788" i="17"/>
  <c r="A1787" i="17"/>
  <c r="B1786" i="17"/>
  <c r="A1786" i="17"/>
  <c r="B1785" i="17"/>
  <c r="A1785" i="17"/>
  <c r="B1784" i="17"/>
  <c r="A1784" i="17"/>
  <c r="B1783" i="17"/>
  <c r="A1783" i="17"/>
  <c r="B1782" i="17"/>
  <c r="A1782" i="17"/>
  <c r="B1781" i="17"/>
  <c r="A1781" i="17"/>
  <c r="B1780" i="17"/>
  <c r="A1780" i="17"/>
  <c r="B1779" i="17"/>
  <c r="A1779" i="17"/>
  <c r="B1778" i="17"/>
  <c r="A1778" i="17"/>
  <c r="B1777" i="17"/>
  <c r="A1777" i="17"/>
  <c r="B1776" i="17"/>
  <c r="A1776" i="17"/>
  <c r="B1775" i="17"/>
  <c r="A1775" i="17"/>
  <c r="A1774" i="17"/>
  <c r="B1773" i="17"/>
  <c r="A1773" i="17"/>
  <c r="B1772" i="17"/>
  <c r="A1772" i="17"/>
  <c r="A1771" i="17"/>
  <c r="B1770" i="17"/>
  <c r="A1770" i="17"/>
  <c r="B1769" i="17"/>
  <c r="A1769" i="17"/>
  <c r="B1768" i="17"/>
  <c r="A1768" i="17"/>
  <c r="B1767" i="17"/>
  <c r="A1767" i="17"/>
  <c r="A1766" i="17"/>
  <c r="B1765" i="17"/>
  <c r="A1765" i="17"/>
  <c r="A1764" i="17"/>
  <c r="A1763" i="17"/>
  <c r="B1762" i="17"/>
  <c r="A1762" i="17"/>
  <c r="B1761" i="17"/>
  <c r="A1761" i="17"/>
  <c r="A1760" i="17"/>
  <c r="B1759" i="17"/>
  <c r="A1759" i="17"/>
  <c r="B1758" i="17"/>
  <c r="A1758" i="17"/>
  <c r="B1757" i="17"/>
  <c r="A1757" i="17"/>
  <c r="B1756" i="17"/>
  <c r="A1756" i="17"/>
  <c r="B1755" i="17"/>
  <c r="A1755" i="17"/>
  <c r="A1754" i="17"/>
  <c r="B1753" i="17"/>
  <c r="A1753" i="17"/>
  <c r="B1752" i="17"/>
  <c r="A1752" i="17"/>
  <c r="B1751" i="17"/>
  <c r="A1751" i="17"/>
  <c r="B1750" i="17"/>
  <c r="A1750" i="17"/>
  <c r="A1749" i="17"/>
  <c r="A1748" i="17"/>
  <c r="A1747" i="17"/>
  <c r="A1746" i="17"/>
  <c r="A1745" i="17"/>
  <c r="A1744" i="17"/>
  <c r="B1743" i="17"/>
  <c r="A1743" i="17"/>
  <c r="B1742" i="17"/>
  <c r="A1742" i="17"/>
  <c r="B1741" i="17"/>
  <c r="A1741" i="17"/>
  <c r="B1740" i="17"/>
  <c r="A1740" i="17"/>
  <c r="A1739" i="17"/>
  <c r="A1738" i="17"/>
  <c r="B1737" i="17"/>
  <c r="A1737" i="17"/>
  <c r="A1736" i="17"/>
  <c r="B1735" i="17"/>
  <c r="A1735" i="17"/>
  <c r="B1734" i="17"/>
  <c r="A1734" i="17"/>
  <c r="B1733" i="17"/>
  <c r="A1733" i="17"/>
  <c r="B1732" i="17"/>
  <c r="A1732" i="17"/>
  <c r="B1731" i="17"/>
  <c r="A1731" i="17"/>
  <c r="B1730" i="17"/>
  <c r="A1730" i="17"/>
  <c r="B1729" i="17"/>
  <c r="A1729" i="17"/>
  <c r="A1728" i="17"/>
  <c r="A1727" i="17"/>
  <c r="B1726" i="17"/>
  <c r="A1726" i="17"/>
  <c r="B1725" i="17"/>
  <c r="A1725" i="17"/>
  <c r="A1724" i="17"/>
  <c r="B1723" i="17"/>
  <c r="A1723" i="17"/>
  <c r="A1722" i="17"/>
  <c r="A1721" i="17"/>
  <c r="A1720" i="17"/>
  <c r="B1719" i="17"/>
  <c r="A1719" i="17"/>
  <c r="B1718" i="17"/>
  <c r="A1718" i="17"/>
  <c r="B1717" i="17"/>
  <c r="A1717" i="17"/>
  <c r="A1716" i="17"/>
  <c r="A1715" i="17"/>
  <c r="A1714" i="17"/>
  <c r="A1713" i="17"/>
  <c r="B1712" i="17"/>
  <c r="A1712" i="17"/>
  <c r="B1711" i="17"/>
  <c r="A1711" i="17"/>
  <c r="A1710" i="17"/>
  <c r="A1709" i="17"/>
  <c r="B1708" i="17"/>
  <c r="A1708" i="17"/>
  <c r="B1707" i="17"/>
  <c r="A1707" i="17"/>
  <c r="B1706" i="17"/>
  <c r="A1706" i="17"/>
  <c r="B1705" i="17"/>
  <c r="A1705" i="17"/>
  <c r="B1704" i="17"/>
  <c r="A1704" i="17"/>
  <c r="A1703" i="17"/>
  <c r="B1702" i="17"/>
  <c r="A1702" i="17"/>
  <c r="A1701" i="17"/>
  <c r="A1700" i="17"/>
  <c r="B1699" i="17"/>
  <c r="A1699" i="17"/>
  <c r="B1698" i="17"/>
  <c r="A1698" i="17"/>
  <c r="B1697" i="17"/>
  <c r="A1697" i="17"/>
  <c r="B1696" i="17"/>
  <c r="A1696" i="17"/>
  <c r="B1695" i="17"/>
  <c r="A1695" i="17"/>
  <c r="A1694" i="17"/>
  <c r="A1693" i="17"/>
  <c r="A1692" i="17"/>
  <c r="A1691" i="17"/>
  <c r="A1690" i="17"/>
  <c r="B1689" i="17"/>
  <c r="A1689" i="17"/>
  <c r="A1688" i="17"/>
  <c r="A1687" i="17"/>
  <c r="A1686" i="17"/>
  <c r="A1685" i="17"/>
  <c r="A1684" i="17"/>
  <c r="A1683" i="17"/>
  <c r="B1682" i="17"/>
  <c r="A1682" i="17"/>
  <c r="A1681" i="17"/>
  <c r="A1680" i="17"/>
  <c r="A1679" i="17"/>
  <c r="A1678" i="17"/>
  <c r="B1677" i="17"/>
  <c r="A1677" i="17"/>
  <c r="A1676" i="17"/>
  <c r="A1675" i="17"/>
  <c r="A1674" i="17"/>
  <c r="B1673" i="17"/>
  <c r="A1673" i="17"/>
  <c r="B1672" i="17"/>
  <c r="A1672" i="17"/>
  <c r="B1671" i="17"/>
  <c r="A1671" i="17"/>
  <c r="A1670" i="17"/>
  <c r="B1669" i="17"/>
  <c r="A1669" i="17"/>
  <c r="B1668" i="17"/>
  <c r="A1668" i="17"/>
  <c r="A1667" i="17"/>
  <c r="B1666" i="17"/>
  <c r="A1666" i="17"/>
  <c r="B1665" i="17"/>
  <c r="A1665" i="17"/>
  <c r="B1664" i="17"/>
  <c r="A1664" i="17"/>
  <c r="B1663" i="17"/>
  <c r="A1663" i="17"/>
  <c r="B1662" i="17"/>
  <c r="A1662" i="17"/>
  <c r="B1661" i="17"/>
  <c r="A1661" i="17"/>
  <c r="A1660" i="17"/>
  <c r="A1659" i="17"/>
  <c r="B1658" i="17"/>
  <c r="A1658" i="17"/>
  <c r="A1657" i="17"/>
  <c r="A1656" i="17"/>
  <c r="A1655" i="17"/>
  <c r="B1654" i="17"/>
  <c r="A1654" i="17"/>
  <c r="B1653" i="17"/>
  <c r="A1653" i="17"/>
  <c r="B1652" i="17"/>
  <c r="A1652" i="17"/>
  <c r="B1651" i="17"/>
  <c r="A1651" i="17"/>
  <c r="B1650" i="17"/>
  <c r="A1650" i="17"/>
  <c r="B1649" i="17"/>
  <c r="A1649" i="17"/>
  <c r="B1648" i="17"/>
  <c r="A1648" i="17"/>
  <c r="A1647" i="17"/>
  <c r="B1646" i="17"/>
  <c r="A1646" i="17"/>
  <c r="B1645" i="17"/>
  <c r="A1645" i="17"/>
  <c r="B1644" i="17"/>
  <c r="A1644" i="17"/>
  <c r="B1643" i="17"/>
  <c r="A1643" i="17"/>
  <c r="A1642" i="17"/>
  <c r="A1641" i="17"/>
  <c r="B1640" i="17"/>
  <c r="A1640" i="17"/>
  <c r="B1637" i="17"/>
  <c r="A1637" i="17"/>
  <c r="B1636" i="17"/>
  <c r="A1636" i="17"/>
  <c r="A1635" i="17"/>
  <c r="B1634" i="17"/>
  <c r="A1634" i="17"/>
  <c r="A1633" i="17"/>
  <c r="A1632" i="17"/>
  <c r="A1631" i="17"/>
  <c r="A1630" i="17"/>
  <c r="B1629" i="17"/>
  <c r="A1629" i="17"/>
  <c r="B1628" i="17"/>
  <c r="A1628" i="17"/>
  <c r="B1627" i="17"/>
  <c r="A1627" i="17"/>
  <c r="A1626" i="17"/>
  <c r="B1625" i="17"/>
  <c r="A1625" i="17"/>
  <c r="B1624" i="17"/>
  <c r="A1624" i="17"/>
  <c r="B1623" i="17"/>
  <c r="A1623" i="17"/>
  <c r="B1622" i="17"/>
  <c r="A1622" i="17"/>
  <c r="B1621" i="17"/>
  <c r="A1621" i="17"/>
  <c r="B1620" i="17"/>
  <c r="A1620" i="17"/>
  <c r="B1619" i="17"/>
  <c r="A1619" i="17"/>
  <c r="B1618" i="17"/>
  <c r="A1618" i="17"/>
  <c r="B1617" i="17"/>
  <c r="A1617" i="17"/>
  <c r="A1616" i="17"/>
  <c r="A1615" i="17"/>
  <c r="A1614" i="17"/>
  <c r="B1613" i="17"/>
  <c r="A1613" i="17"/>
  <c r="A1612" i="17"/>
  <c r="A1611" i="17"/>
  <c r="A1610" i="17"/>
  <c r="A1609" i="17"/>
  <c r="A1608" i="17"/>
  <c r="B1607" i="17"/>
  <c r="A1607" i="17"/>
  <c r="A1606" i="17"/>
  <c r="B1605" i="17"/>
  <c r="A1605" i="17"/>
  <c r="B1604" i="17"/>
  <c r="A1604" i="17"/>
  <c r="B1603" i="17"/>
  <c r="A1603" i="17"/>
  <c r="B1602" i="17"/>
  <c r="A1602" i="17"/>
  <c r="B1601" i="17"/>
  <c r="A1601" i="17"/>
  <c r="B1600" i="17"/>
  <c r="A1600" i="17"/>
  <c r="A1599" i="17"/>
  <c r="B1598" i="17"/>
  <c r="A1598" i="17"/>
  <c r="A1597" i="17"/>
  <c r="A1596" i="17"/>
  <c r="A1595" i="17"/>
  <c r="B1594" i="17"/>
  <c r="A1594" i="17"/>
  <c r="A1593" i="17"/>
  <c r="A1592" i="17"/>
  <c r="A1591" i="17"/>
  <c r="A1590" i="17"/>
  <c r="A1589" i="17"/>
  <c r="A1588" i="17"/>
  <c r="A1587" i="17"/>
  <c r="B1586" i="17"/>
  <c r="A1586" i="17"/>
  <c r="B1585" i="17"/>
  <c r="A1585" i="17"/>
  <c r="A1584" i="17"/>
  <c r="B1583" i="17"/>
  <c r="A1583" i="17"/>
  <c r="B1582" i="17"/>
  <c r="A1582" i="17"/>
  <c r="A1581" i="17"/>
  <c r="A1580" i="17"/>
  <c r="A1579" i="17"/>
  <c r="A1578" i="17"/>
  <c r="A1577" i="17"/>
  <c r="B1576" i="17"/>
  <c r="A1576" i="17"/>
  <c r="B1575" i="17"/>
  <c r="A1575" i="17"/>
  <c r="B1574" i="17"/>
  <c r="A1574" i="17"/>
  <c r="B1573" i="17"/>
  <c r="A1573" i="17"/>
  <c r="B1572" i="17"/>
  <c r="A1572" i="17"/>
  <c r="B1571" i="17"/>
  <c r="A1571" i="17"/>
  <c r="A1570" i="17"/>
  <c r="B1569" i="17"/>
  <c r="A1569" i="17"/>
  <c r="B1568" i="17"/>
  <c r="A1568" i="17"/>
  <c r="A1567" i="17"/>
  <c r="A1566" i="17"/>
  <c r="A1565" i="17"/>
  <c r="A1564" i="17"/>
  <c r="B1563" i="17"/>
  <c r="A1563" i="17"/>
  <c r="B1562" i="17"/>
  <c r="A1562" i="17"/>
  <c r="B1561" i="17"/>
  <c r="A1561" i="17"/>
  <c r="B1560" i="17"/>
  <c r="A1560" i="17"/>
  <c r="B1559" i="17"/>
  <c r="A1559" i="17"/>
  <c r="B1558" i="17"/>
  <c r="A1558" i="17"/>
  <c r="B1557" i="17"/>
  <c r="A1557" i="17"/>
  <c r="B1556" i="17"/>
  <c r="A1556" i="17"/>
  <c r="B1555" i="17"/>
  <c r="A1555" i="17"/>
  <c r="B1554" i="17"/>
  <c r="A1554" i="17"/>
  <c r="B1553" i="17"/>
  <c r="A1553" i="17"/>
  <c r="B1552" i="17"/>
  <c r="A1552" i="17"/>
  <c r="B1551" i="17"/>
  <c r="A1551" i="17"/>
  <c r="B1550" i="17"/>
  <c r="A1550" i="17"/>
  <c r="B1549" i="17"/>
  <c r="A1549" i="17"/>
  <c r="B1548" i="17"/>
  <c r="A1548" i="17"/>
  <c r="B1547" i="17"/>
  <c r="A1547" i="17"/>
  <c r="B1546" i="17"/>
  <c r="A1546" i="17"/>
  <c r="B1545" i="17"/>
  <c r="A1545" i="17"/>
  <c r="A1544" i="17"/>
  <c r="B1543" i="17"/>
  <c r="A1543" i="17"/>
  <c r="B1542" i="17"/>
  <c r="A1542" i="17"/>
  <c r="B1541" i="17"/>
  <c r="A1541" i="17"/>
  <c r="B1540" i="17"/>
  <c r="A1540" i="17"/>
  <c r="B1539" i="17"/>
  <c r="A1539" i="17"/>
  <c r="B1538" i="17"/>
  <c r="A1538" i="17"/>
  <c r="A1537" i="17"/>
  <c r="B1536" i="17"/>
  <c r="A1536" i="17"/>
  <c r="B1535" i="17"/>
  <c r="A1535" i="17"/>
  <c r="A1534" i="17"/>
  <c r="B1533" i="17"/>
  <c r="A1533" i="17"/>
  <c r="A1532" i="17"/>
  <c r="B1531" i="17"/>
  <c r="A1531" i="17"/>
  <c r="B1530" i="17"/>
  <c r="A1530" i="17"/>
  <c r="B1529" i="17"/>
  <c r="A1529" i="17"/>
  <c r="B1528" i="17"/>
  <c r="A1528" i="17"/>
  <c r="A1527" i="17"/>
  <c r="B1526" i="17"/>
  <c r="A1526" i="17"/>
  <c r="B1525" i="17"/>
  <c r="A1525" i="17"/>
  <c r="B1524" i="17"/>
  <c r="A1524" i="17"/>
  <c r="B1523" i="17"/>
  <c r="A1523" i="17"/>
  <c r="B1522" i="17"/>
  <c r="A1522" i="17"/>
  <c r="B1521" i="17"/>
  <c r="A1521" i="17"/>
  <c r="B1520" i="17"/>
  <c r="A1520" i="17"/>
  <c r="A1519" i="17"/>
  <c r="B1518" i="17"/>
  <c r="A1518" i="17"/>
  <c r="A1517" i="17"/>
  <c r="B1516" i="17"/>
  <c r="A1516" i="17"/>
  <c r="B1515" i="17"/>
  <c r="A1515" i="17"/>
  <c r="A1514" i="17"/>
  <c r="A1513" i="17"/>
  <c r="B1512" i="17"/>
  <c r="A1512" i="17"/>
  <c r="B1511" i="17"/>
  <c r="A1511" i="17"/>
  <c r="B1510" i="17"/>
  <c r="A1510" i="17"/>
  <c r="B1509" i="17"/>
  <c r="A1509" i="17"/>
  <c r="A1508" i="17"/>
  <c r="B1507" i="17"/>
  <c r="A1507" i="17"/>
  <c r="B1506" i="17"/>
  <c r="A1506" i="17"/>
  <c r="B1505" i="17"/>
  <c r="A1505" i="17"/>
  <c r="A1504" i="17"/>
  <c r="B1503" i="17"/>
  <c r="A1503" i="17"/>
  <c r="A1502" i="17"/>
  <c r="A1501" i="17"/>
  <c r="B1500" i="17"/>
  <c r="A1500" i="17"/>
  <c r="B1499" i="17"/>
  <c r="A1499" i="17"/>
  <c r="B1498" i="17"/>
  <c r="A1498" i="17"/>
  <c r="A1497" i="17"/>
  <c r="B1496" i="17"/>
  <c r="A1496" i="17"/>
  <c r="A1495" i="17"/>
  <c r="A1494" i="17"/>
  <c r="B1493" i="17"/>
  <c r="A1493" i="17"/>
  <c r="B1492" i="17"/>
  <c r="A1492" i="17"/>
  <c r="B1491" i="17"/>
  <c r="A1491" i="17"/>
  <c r="B1490" i="17"/>
  <c r="A1490" i="17"/>
  <c r="A1489" i="17"/>
  <c r="B1488" i="17"/>
  <c r="A1488" i="17"/>
  <c r="A1487" i="17"/>
  <c r="B1486" i="17"/>
  <c r="A1486" i="17"/>
  <c r="A1485" i="17"/>
  <c r="A1484" i="17"/>
  <c r="A1483" i="17"/>
  <c r="A1482" i="17"/>
  <c r="A1481" i="17"/>
  <c r="B1480" i="17"/>
  <c r="A1480" i="17"/>
  <c r="A1479" i="17"/>
  <c r="A1478" i="17"/>
  <c r="A1477" i="17"/>
  <c r="A1476" i="17"/>
  <c r="A1475" i="17"/>
  <c r="A1474" i="17"/>
  <c r="A1473" i="17"/>
  <c r="B1472" i="17"/>
  <c r="A1472" i="17"/>
  <c r="B1471" i="17"/>
  <c r="A1471" i="17"/>
  <c r="B1470" i="17"/>
  <c r="A1470" i="17"/>
  <c r="B1469" i="17"/>
  <c r="A1469" i="17"/>
  <c r="B1468" i="17"/>
  <c r="A1468" i="17"/>
  <c r="B1467" i="17"/>
  <c r="A1467" i="17"/>
  <c r="B1466" i="17"/>
  <c r="A1466" i="17"/>
  <c r="B1465" i="17"/>
  <c r="A1465" i="17"/>
  <c r="B1464" i="17"/>
  <c r="A1464" i="17"/>
  <c r="B1463" i="17"/>
  <c r="A1463" i="17"/>
  <c r="A1462" i="17"/>
  <c r="B1461" i="17"/>
  <c r="A1461" i="17"/>
  <c r="A1460" i="17"/>
  <c r="B1459" i="17"/>
  <c r="A1459" i="17"/>
  <c r="A1458" i="17"/>
  <c r="B1457" i="17"/>
  <c r="A1457" i="17"/>
  <c r="B1456" i="17"/>
  <c r="A1456" i="17"/>
  <c r="B1455" i="17"/>
  <c r="A1455" i="17"/>
  <c r="B1454" i="17"/>
  <c r="A1454" i="17"/>
  <c r="A1453" i="17"/>
  <c r="B1452" i="17"/>
  <c r="A1452" i="17"/>
  <c r="B1451" i="17"/>
  <c r="A1451" i="17"/>
  <c r="B1450" i="17"/>
  <c r="A1450" i="17"/>
  <c r="B1449" i="17"/>
  <c r="A1449" i="17"/>
  <c r="B1448" i="17"/>
  <c r="A1448" i="17"/>
  <c r="B1447" i="17"/>
  <c r="A1447" i="17"/>
  <c r="B1446" i="17"/>
  <c r="A1446" i="17"/>
  <c r="B1445" i="17"/>
  <c r="A1445" i="17"/>
  <c r="B1444" i="17"/>
  <c r="A1444" i="17"/>
  <c r="B1443" i="17"/>
  <c r="A1443" i="17"/>
  <c r="A1442" i="17"/>
  <c r="B1441" i="17"/>
  <c r="A1441" i="17"/>
  <c r="B1440" i="17"/>
  <c r="A1440" i="17"/>
  <c r="B1439" i="17"/>
  <c r="A1439" i="17"/>
  <c r="B1438" i="17"/>
  <c r="A1438" i="17"/>
  <c r="A1437" i="17"/>
  <c r="B1436" i="17"/>
  <c r="A1436" i="17"/>
  <c r="B1435" i="17"/>
  <c r="A1435" i="17"/>
  <c r="A1434" i="17"/>
  <c r="B1433" i="17"/>
  <c r="A1433" i="17"/>
  <c r="B1432" i="17"/>
  <c r="A1432" i="17"/>
  <c r="B1431" i="17"/>
  <c r="A1431" i="17"/>
  <c r="A1430" i="17"/>
  <c r="A1429" i="17"/>
  <c r="A1428" i="17"/>
  <c r="B1427" i="17"/>
  <c r="A1427" i="17"/>
  <c r="A1426" i="17"/>
  <c r="A1425" i="17"/>
  <c r="B1424" i="17"/>
  <c r="A1424" i="17"/>
  <c r="B1423" i="17"/>
  <c r="A1423" i="17"/>
  <c r="B1422" i="17"/>
  <c r="A1422" i="17"/>
  <c r="B1421" i="17"/>
  <c r="A1421" i="17"/>
  <c r="A1420" i="17"/>
  <c r="A1419" i="17"/>
  <c r="B1418" i="17"/>
  <c r="A1418" i="17"/>
  <c r="B1417" i="17"/>
  <c r="A1417" i="17"/>
  <c r="B1416" i="17"/>
  <c r="A1416" i="17"/>
  <c r="B1415" i="17"/>
  <c r="A1415" i="17"/>
  <c r="B1414" i="17"/>
  <c r="A1414" i="17"/>
  <c r="B1413" i="17"/>
  <c r="A1413" i="17"/>
  <c r="B1412" i="17"/>
  <c r="A1412" i="17"/>
  <c r="A1411" i="17"/>
  <c r="A1410" i="17"/>
  <c r="A1409" i="17"/>
  <c r="A1408" i="17"/>
  <c r="B1407" i="17"/>
  <c r="A1407" i="17"/>
  <c r="B1406" i="17"/>
  <c r="A1406" i="17"/>
  <c r="B1405" i="17"/>
  <c r="A1405" i="17"/>
  <c r="B1404" i="17"/>
  <c r="A1404" i="17"/>
  <c r="B1403" i="17"/>
  <c r="A1403" i="17"/>
  <c r="B1402" i="17"/>
  <c r="A1402" i="17"/>
  <c r="A1401" i="17"/>
  <c r="A1400" i="17"/>
  <c r="B1399" i="17"/>
  <c r="A1399" i="17"/>
  <c r="A1398" i="17"/>
  <c r="A1397" i="17"/>
  <c r="A1396" i="17"/>
  <c r="B1395" i="17"/>
  <c r="A1395" i="17"/>
  <c r="A1394" i="17"/>
  <c r="B1393" i="17"/>
  <c r="A1393" i="17"/>
  <c r="B1392" i="17"/>
  <c r="A1392" i="17"/>
  <c r="B1391" i="17"/>
  <c r="A1391" i="17"/>
  <c r="A1390" i="17"/>
  <c r="B1389" i="17"/>
  <c r="A1389" i="17"/>
  <c r="B1388" i="17"/>
  <c r="A1388" i="17"/>
  <c r="A1387" i="17"/>
  <c r="B1386" i="17"/>
  <c r="A1386" i="17"/>
  <c r="B1385" i="17"/>
  <c r="A1385" i="17"/>
  <c r="B1384" i="17"/>
  <c r="A1384" i="17"/>
  <c r="A1383" i="17"/>
  <c r="B1382" i="17"/>
  <c r="A1382" i="17"/>
  <c r="A1381" i="17"/>
  <c r="B1380" i="17"/>
  <c r="A1380" i="17"/>
  <c r="B1379" i="17"/>
  <c r="A1379" i="17"/>
  <c r="B1378" i="17"/>
  <c r="A1378" i="17"/>
  <c r="B1377" i="17"/>
  <c r="A1377" i="17"/>
  <c r="A1376" i="17"/>
  <c r="B1375" i="17"/>
  <c r="A1375" i="17"/>
  <c r="B1374" i="17"/>
  <c r="A1374" i="17"/>
  <c r="A1373" i="17"/>
  <c r="B1372" i="17"/>
  <c r="A1372" i="17"/>
  <c r="B1371" i="17"/>
  <c r="A1371" i="17"/>
  <c r="A1370" i="17"/>
  <c r="A1369" i="17"/>
  <c r="B1368" i="17"/>
  <c r="A1368" i="17"/>
  <c r="B1367" i="17"/>
  <c r="A1367" i="17"/>
  <c r="B1366" i="17"/>
  <c r="A1366" i="17"/>
  <c r="B1365" i="17"/>
  <c r="A1365" i="17"/>
  <c r="B1364" i="17"/>
  <c r="A1364" i="17"/>
  <c r="B1363" i="17"/>
  <c r="A1363" i="17"/>
  <c r="B1362" i="17"/>
  <c r="A1362" i="17"/>
  <c r="B1361" i="17"/>
  <c r="A1361" i="17"/>
  <c r="B1360" i="17"/>
  <c r="A1360" i="17"/>
  <c r="B1359" i="17"/>
  <c r="A1359" i="17"/>
  <c r="B1358" i="17"/>
  <c r="A1358" i="17"/>
  <c r="B1357" i="17"/>
  <c r="A1357" i="17"/>
  <c r="A1356" i="17"/>
  <c r="B1355" i="17"/>
  <c r="A1355" i="17"/>
  <c r="B1354" i="17"/>
  <c r="A1354" i="17"/>
  <c r="B1353" i="17"/>
  <c r="A1353" i="17"/>
  <c r="A1352" i="17"/>
  <c r="B1351" i="17"/>
  <c r="A1351" i="17"/>
  <c r="A1350" i="17"/>
  <c r="B1349" i="17"/>
  <c r="A1349" i="17"/>
  <c r="B1348" i="17"/>
  <c r="A1348" i="17"/>
  <c r="B1347" i="17"/>
  <c r="A1347" i="17"/>
  <c r="A1346" i="17"/>
  <c r="B1345" i="17"/>
  <c r="A1345" i="17"/>
  <c r="B1344" i="17"/>
  <c r="A1344" i="17"/>
  <c r="B1343" i="17"/>
  <c r="A1343" i="17"/>
  <c r="B1342" i="17"/>
  <c r="A1342" i="17"/>
  <c r="B1341" i="17"/>
  <c r="A1341" i="17"/>
  <c r="B1340" i="17"/>
  <c r="A1340" i="17"/>
  <c r="B1339" i="17"/>
  <c r="A1339" i="17"/>
  <c r="B1338" i="17"/>
  <c r="A1338" i="17"/>
  <c r="B1337" i="17"/>
  <c r="A1337" i="17"/>
  <c r="B1336" i="17"/>
  <c r="A1336" i="17"/>
  <c r="B1335" i="17"/>
  <c r="A1335" i="17"/>
  <c r="B1334" i="17"/>
  <c r="A1334" i="17"/>
  <c r="A1333" i="17"/>
  <c r="A1332" i="17"/>
  <c r="A1331" i="17"/>
  <c r="B1330" i="17"/>
  <c r="A1330" i="17"/>
  <c r="B1329" i="17"/>
  <c r="A1329" i="17"/>
  <c r="B1328" i="17"/>
  <c r="A1328" i="17"/>
  <c r="A1327" i="17"/>
  <c r="B1326" i="17"/>
  <c r="A1326" i="17"/>
  <c r="B1325" i="17"/>
  <c r="A1325" i="17"/>
  <c r="B1324" i="17"/>
  <c r="A1324" i="17"/>
  <c r="B1323" i="17"/>
  <c r="A1323" i="17"/>
  <c r="B1322" i="17"/>
  <c r="A1322" i="17"/>
  <c r="B1321" i="17"/>
  <c r="A1321" i="17"/>
  <c r="B1320" i="17"/>
  <c r="A1320" i="17"/>
  <c r="B1319" i="17"/>
  <c r="A1319" i="17"/>
  <c r="B1318" i="17"/>
  <c r="A1318" i="17"/>
  <c r="B1317" i="17"/>
  <c r="A1317" i="17"/>
  <c r="B1316" i="17"/>
  <c r="A1316" i="17"/>
  <c r="A1315" i="17"/>
  <c r="B1314" i="17"/>
  <c r="A1314" i="17"/>
  <c r="A1313" i="17"/>
  <c r="A1312" i="17"/>
  <c r="A1311" i="17"/>
  <c r="B1310" i="17"/>
  <c r="A1310" i="17"/>
  <c r="B1309" i="17"/>
  <c r="A1309" i="17"/>
  <c r="B1308" i="17"/>
  <c r="A1308" i="17"/>
  <c r="B1307" i="17"/>
  <c r="A1307" i="17"/>
  <c r="B1306" i="17"/>
  <c r="A1306" i="17"/>
  <c r="B1305" i="17"/>
  <c r="A1305" i="17"/>
  <c r="B1304" i="17"/>
  <c r="A1304" i="17"/>
  <c r="B1303" i="17"/>
  <c r="A1303" i="17"/>
  <c r="B1302" i="17"/>
  <c r="A1302" i="17"/>
  <c r="B1301" i="17"/>
  <c r="A1301" i="17"/>
  <c r="B1300" i="17"/>
  <c r="A1300" i="17"/>
  <c r="B1299" i="17"/>
  <c r="A1299" i="17"/>
  <c r="B1293" i="17"/>
  <c r="A1293" i="17"/>
  <c r="B1292" i="17"/>
  <c r="A1292" i="17"/>
  <c r="B1291" i="17"/>
  <c r="A1291" i="17"/>
  <c r="B1290" i="17"/>
  <c r="A1290" i="17"/>
  <c r="B1289" i="17"/>
  <c r="A1289" i="17"/>
  <c r="B1288" i="17"/>
  <c r="A1288" i="17"/>
  <c r="B1287" i="17"/>
  <c r="A1287" i="17"/>
  <c r="B1286" i="17"/>
  <c r="A1286" i="17"/>
  <c r="B1285" i="17"/>
  <c r="A1285" i="17"/>
  <c r="B1284" i="17"/>
  <c r="A1284" i="17"/>
  <c r="B1283" i="17"/>
  <c r="A1283" i="17"/>
  <c r="B1282" i="17"/>
  <c r="A1282" i="17"/>
  <c r="A1281" i="17"/>
  <c r="B1280" i="17"/>
  <c r="A1280" i="17"/>
  <c r="B1279" i="17"/>
  <c r="A1279" i="17"/>
  <c r="B1278" i="17"/>
  <c r="A1278" i="17"/>
  <c r="A1277" i="17"/>
  <c r="B1276" i="17"/>
  <c r="A1276" i="17"/>
  <c r="B1275" i="17"/>
  <c r="A1275" i="17"/>
  <c r="B1274" i="17"/>
  <c r="A1274" i="17"/>
  <c r="B1273" i="17"/>
  <c r="A1273" i="17"/>
  <c r="B1272" i="17"/>
  <c r="A1272" i="17"/>
  <c r="B1271" i="17"/>
  <c r="A1271" i="17"/>
  <c r="B1270" i="17"/>
  <c r="A1270" i="17"/>
  <c r="B1269" i="17"/>
  <c r="A1269" i="17"/>
  <c r="B1268" i="17"/>
  <c r="A1268" i="17"/>
  <c r="B1267" i="17"/>
  <c r="A1267" i="17"/>
  <c r="B1266" i="17"/>
  <c r="A1266" i="17"/>
  <c r="B1265" i="17"/>
  <c r="A1265" i="17"/>
  <c r="B1264" i="17"/>
  <c r="A1264" i="17"/>
  <c r="B1263" i="17"/>
  <c r="A1263" i="17"/>
  <c r="B1262" i="17"/>
  <c r="A1262" i="17"/>
  <c r="B1261" i="17"/>
  <c r="A1261" i="17"/>
  <c r="B1260" i="17"/>
  <c r="A1260" i="17"/>
  <c r="B1259" i="17"/>
  <c r="A1259" i="17"/>
  <c r="B1258" i="17"/>
  <c r="A1258" i="17"/>
  <c r="B1257" i="17"/>
  <c r="A1257" i="17"/>
  <c r="B1256" i="17"/>
  <c r="A1256" i="17"/>
  <c r="B1255" i="17"/>
  <c r="A1255" i="17"/>
  <c r="A1254" i="17"/>
  <c r="A1253" i="17"/>
  <c r="A1252" i="17"/>
  <c r="A1251" i="17"/>
  <c r="B1250" i="17"/>
  <c r="A1250" i="17"/>
  <c r="A1249" i="17"/>
  <c r="B1248" i="17"/>
  <c r="A1248" i="17"/>
  <c r="A1247" i="17"/>
  <c r="A1246" i="17"/>
  <c r="A1245" i="17"/>
  <c r="B1244" i="17"/>
  <c r="A1244" i="17"/>
  <c r="A1243" i="17"/>
  <c r="B1242" i="17"/>
  <c r="A1242" i="17"/>
  <c r="B1241" i="17"/>
  <c r="A1241" i="17"/>
  <c r="B1240" i="17"/>
  <c r="A1240" i="17"/>
  <c r="B1239" i="17"/>
  <c r="A1239" i="17"/>
  <c r="B1238" i="17"/>
  <c r="A1238" i="17"/>
  <c r="B1237" i="17"/>
  <c r="A1237" i="17"/>
  <c r="B1236" i="17"/>
  <c r="A1236" i="17"/>
  <c r="B1235" i="17"/>
  <c r="A1235" i="17"/>
  <c r="B1234" i="17"/>
  <c r="A1234" i="17"/>
  <c r="B1233" i="17"/>
  <c r="A1233" i="17"/>
  <c r="B1232" i="17"/>
  <c r="A1232" i="17"/>
  <c r="B1231" i="17"/>
  <c r="A1231" i="17"/>
  <c r="B1230" i="17"/>
  <c r="A1230" i="17"/>
  <c r="B1229" i="17"/>
  <c r="A1229" i="17"/>
  <c r="B1228" i="17"/>
  <c r="A1228" i="17"/>
  <c r="B1227" i="17"/>
  <c r="A1227" i="17"/>
  <c r="B1226" i="17"/>
  <c r="A1226" i="17"/>
  <c r="B1225" i="17"/>
  <c r="A1225" i="17"/>
  <c r="B1224" i="17"/>
  <c r="A1224" i="17"/>
  <c r="B1223" i="17"/>
  <c r="A1223" i="17"/>
  <c r="B1222" i="17"/>
  <c r="A1222" i="17"/>
  <c r="B1221" i="17"/>
  <c r="A1221" i="17"/>
  <c r="B1220" i="17"/>
  <c r="A1220" i="17"/>
  <c r="B1219" i="17"/>
  <c r="A1219" i="17"/>
  <c r="B1218" i="17"/>
  <c r="A1218" i="17"/>
  <c r="B1217" i="17"/>
  <c r="A1217" i="17"/>
  <c r="B1216" i="17"/>
  <c r="A1216" i="17"/>
  <c r="B1215" i="17"/>
  <c r="A1215" i="17"/>
  <c r="B1214" i="17"/>
  <c r="A1214" i="17"/>
  <c r="B1213" i="17"/>
  <c r="A1213" i="17"/>
  <c r="B1212" i="17"/>
  <c r="A1212" i="17"/>
  <c r="B1211" i="17"/>
  <c r="A1211" i="17"/>
  <c r="B1210" i="17"/>
  <c r="A1210" i="17"/>
  <c r="B1209" i="17"/>
  <c r="A1209" i="17"/>
  <c r="B1208" i="17"/>
  <c r="A1208" i="17"/>
  <c r="B1207" i="17"/>
  <c r="A1207" i="17"/>
  <c r="B1206" i="17"/>
  <c r="A1206" i="17"/>
  <c r="B1205" i="17"/>
  <c r="A1205" i="17"/>
  <c r="B1204" i="17"/>
  <c r="A1204" i="17"/>
  <c r="B1203" i="17"/>
  <c r="A1203" i="17"/>
  <c r="B1202" i="17"/>
  <c r="A1202" i="17"/>
  <c r="B1201" i="17"/>
  <c r="A1201" i="17"/>
  <c r="B1200" i="17"/>
  <c r="A1200" i="17"/>
  <c r="B1199" i="17"/>
  <c r="A1199" i="17"/>
  <c r="B1198" i="17"/>
  <c r="A1198" i="17"/>
  <c r="B1197" i="17"/>
  <c r="A1197" i="17"/>
  <c r="B1196" i="17"/>
  <c r="A1196" i="17"/>
  <c r="B1195" i="17"/>
  <c r="A1195" i="17"/>
  <c r="B1194" i="17"/>
  <c r="A1194" i="17"/>
  <c r="B1193" i="17"/>
  <c r="A1193" i="17"/>
  <c r="B1192" i="17"/>
  <c r="A1192" i="17"/>
  <c r="B1191" i="17"/>
  <c r="A1191" i="17"/>
  <c r="B1190" i="17"/>
  <c r="A1190" i="17"/>
  <c r="B1189" i="17"/>
  <c r="A1189" i="17"/>
  <c r="B1188" i="17"/>
  <c r="A1188" i="17"/>
  <c r="B1187" i="17"/>
  <c r="A1187" i="17"/>
  <c r="B1186" i="17"/>
  <c r="A1186" i="17"/>
  <c r="B1185" i="17"/>
  <c r="A1185" i="17"/>
  <c r="B1184" i="17"/>
  <c r="A1184" i="17"/>
  <c r="B1183" i="17"/>
  <c r="A1183" i="17"/>
  <c r="B1182" i="17"/>
  <c r="A1182" i="17"/>
  <c r="B1181" i="17"/>
  <c r="A1181" i="17"/>
  <c r="B1180" i="17"/>
  <c r="A1180" i="17"/>
  <c r="B1179" i="17"/>
  <c r="A1179" i="17"/>
  <c r="B1178" i="17"/>
  <c r="A1178" i="17"/>
  <c r="B1177" i="17"/>
  <c r="A1177" i="17"/>
  <c r="B1176" i="17"/>
  <c r="A1176" i="17"/>
  <c r="B1175" i="17"/>
  <c r="A1175" i="17"/>
  <c r="A1174" i="17"/>
  <c r="A1173" i="17"/>
  <c r="A1172" i="17"/>
  <c r="A1171" i="17"/>
  <c r="A1170" i="17"/>
  <c r="A1169" i="17"/>
  <c r="A1168" i="17"/>
  <c r="B1167" i="17"/>
  <c r="A1167" i="17"/>
  <c r="B1166" i="17"/>
  <c r="A1166" i="17"/>
  <c r="A1165" i="17"/>
  <c r="B1164" i="17"/>
  <c r="A1164" i="17"/>
  <c r="B1163" i="17"/>
  <c r="A1163" i="17"/>
  <c r="A1162" i="17"/>
  <c r="B1161" i="17"/>
  <c r="A1161" i="17"/>
  <c r="B1160" i="17"/>
  <c r="A1160" i="17"/>
  <c r="B1159" i="17"/>
  <c r="A1159" i="17"/>
  <c r="B1158" i="17"/>
  <c r="A1158" i="17"/>
  <c r="B1157" i="17"/>
  <c r="A1157" i="17"/>
  <c r="A1156" i="17"/>
  <c r="B1155" i="17"/>
  <c r="A1155" i="17"/>
  <c r="B1154" i="17"/>
  <c r="A1154" i="17"/>
  <c r="B1153" i="17"/>
  <c r="A1153" i="17"/>
  <c r="B1152" i="17"/>
  <c r="A1152" i="17"/>
  <c r="B1151" i="17"/>
  <c r="A1151" i="17"/>
  <c r="B1150" i="17"/>
  <c r="A1150" i="17"/>
  <c r="B1149" i="17"/>
  <c r="A1149" i="17"/>
  <c r="B1148" i="17"/>
  <c r="A1148" i="17"/>
  <c r="B1147" i="17"/>
  <c r="A1147" i="17"/>
  <c r="B1146" i="17"/>
  <c r="A1146" i="17"/>
  <c r="B1145" i="17"/>
  <c r="A1145" i="17"/>
  <c r="B1144" i="17"/>
  <c r="A1144" i="17"/>
  <c r="A1143" i="17"/>
  <c r="B1142" i="17"/>
  <c r="A1142" i="17"/>
  <c r="B1141" i="17"/>
  <c r="A1141" i="17"/>
  <c r="B1140" i="17"/>
  <c r="A1140" i="17"/>
  <c r="B1139" i="17"/>
  <c r="A1139" i="17"/>
  <c r="B1138" i="17"/>
  <c r="A1138" i="17"/>
  <c r="B1137" i="17"/>
  <c r="A1137" i="17"/>
  <c r="B1136" i="17"/>
  <c r="A1136" i="17"/>
  <c r="A1135" i="17"/>
  <c r="A1133" i="17"/>
  <c r="A1132" i="17"/>
  <c r="B1131" i="17"/>
  <c r="A1131" i="17"/>
  <c r="B1130" i="17"/>
  <c r="A1130" i="17"/>
  <c r="B1129" i="17"/>
  <c r="A1129" i="17"/>
  <c r="B1128" i="17"/>
  <c r="A1128" i="17"/>
  <c r="B1127" i="17"/>
  <c r="A1127" i="17"/>
  <c r="B1126" i="17"/>
  <c r="A1126" i="17"/>
  <c r="B1125" i="17"/>
  <c r="A1125" i="17"/>
  <c r="B1124" i="17"/>
  <c r="A1124" i="17"/>
  <c r="B1123" i="17"/>
  <c r="A1123" i="17"/>
  <c r="B1122" i="17"/>
  <c r="A1122" i="17"/>
  <c r="B1121" i="17"/>
  <c r="A1121" i="17"/>
  <c r="B1120" i="17"/>
  <c r="A1120" i="17"/>
  <c r="B1119" i="17"/>
  <c r="A1119" i="17"/>
  <c r="B1118" i="17"/>
  <c r="A1118" i="17"/>
  <c r="B1117" i="17"/>
  <c r="A1117" i="17"/>
  <c r="B1116" i="17"/>
  <c r="A1116" i="17"/>
  <c r="B1115" i="17"/>
  <c r="A1115" i="17"/>
  <c r="B1114" i="17"/>
  <c r="A1114" i="17"/>
  <c r="B1113" i="17"/>
  <c r="A1113" i="17"/>
  <c r="B1112" i="17"/>
  <c r="A1112" i="17"/>
  <c r="B1111" i="17"/>
  <c r="A1111" i="17"/>
  <c r="B1110" i="17"/>
  <c r="A1110" i="17"/>
  <c r="B1109" i="17"/>
  <c r="A1109" i="17"/>
  <c r="B1108" i="17"/>
  <c r="A1108" i="17"/>
  <c r="B1107" i="17"/>
  <c r="A1107" i="17"/>
  <c r="B1106" i="17"/>
  <c r="A1106" i="17"/>
  <c r="B1105" i="17"/>
  <c r="A1105" i="17"/>
  <c r="B1104" i="17"/>
  <c r="A1104" i="17"/>
  <c r="B1103" i="17"/>
  <c r="A1103" i="17"/>
  <c r="B1102" i="17"/>
  <c r="A1102" i="17"/>
  <c r="B1101" i="17"/>
  <c r="A1101" i="17"/>
  <c r="B1100" i="17"/>
  <c r="A1100" i="17"/>
  <c r="B1099" i="17"/>
  <c r="A1099" i="17"/>
  <c r="B1098" i="17"/>
  <c r="A1098" i="17"/>
  <c r="B1097" i="17"/>
  <c r="A1097" i="17"/>
  <c r="B1096" i="17"/>
  <c r="A1096" i="17"/>
  <c r="B1095" i="17"/>
  <c r="A1095" i="17"/>
  <c r="B1094" i="17"/>
  <c r="A1094" i="17"/>
  <c r="B1093" i="17"/>
  <c r="A1093" i="17"/>
  <c r="B1092" i="17"/>
  <c r="A1092" i="17"/>
  <c r="B1091" i="17"/>
  <c r="A1091" i="17"/>
  <c r="A1090" i="17"/>
  <c r="B1089" i="17"/>
  <c r="A1089" i="17"/>
  <c r="B1088" i="17"/>
  <c r="A1088" i="17"/>
  <c r="A1087" i="17"/>
  <c r="B1086" i="17"/>
  <c r="A1086" i="17"/>
  <c r="B1085" i="17"/>
  <c r="A1085" i="17"/>
  <c r="B1084" i="17"/>
  <c r="A1084" i="17"/>
  <c r="B1083" i="17"/>
  <c r="A1083" i="17"/>
  <c r="B1082" i="17"/>
  <c r="A1082" i="17"/>
  <c r="B1081" i="17"/>
  <c r="A1081" i="17"/>
  <c r="B1080" i="17"/>
  <c r="A1080" i="17"/>
  <c r="B1079" i="17"/>
  <c r="A1079" i="17"/>
  <c r="B1078" i="17"/>
  <c r="A1078" i="17"/>
  <c r="B1077" i="17"/>
  <c r="A1077" i="17"/>
  <c r="B1076" i="17"/>
  <c r="A1076" i="17"/>
  <c r="B1075" i="17"/>
  <c r="A1075" i="17"/>
  <c r="B1074" i="17"/>
  <c r="A1074" i="17"/>
  <c r="B1073" i="17"/>
  <c r="A1073" i="17"/>
  <c r="B1072" i="17"/>
  <c r="A1072" i="17"/>
  <c r="B1071" i="17"/>
  <c r="A1071" i="17"/>
  <c r="B1070" i="17"/>
  <c r="A1070" i="17"/>
  <c r="B1069" i="17"/>
  <c r="A1069" i="17"/>
  <c r="B1068" i="17"/>
  <c r="A1068" i="17"/>
  <c r="A1067" i="17"/>
  <c r="B1066" i="17"/>
  <c r="A1066" i="17"/>
  <c r="B1065" i="17"/>
  <c r="A1065" i="17"/>
  <c r="B1063" i="17"/>
  <c r="A1063" i="17"/>
  <c r="B1062" i="17"/>
  <c r="A1062" i="17"/>
  <c r="B1061" i="17"/>
  <c r="A1061" i="17"/>
  <c r="B1060" i="17"/>
  <c r="A1060" i="17"/>
  <c r="B1058" i="17"/>
  <c r="A1058" i="17"/>
  <c r="B1057" i="17"/>
  <c r="A1057" i="17"/>
  <c r="B1056" i="17"/>
  <c r="A1056" i="17"/>
  <c r="B1055" i="17"/>
  <c r="A1055" i="17"/>
  <c r="B1054" i="17"/>
  <c r="A1054" i="17"/>
  <c r="B1053" i="17"/>
  <c r="A1053" i="17"/>
  <c r="B1052" i="17"/>
  <c r="A1052" i="17"/>
  <c r="B1051" i="17"/>
  <c r="A1051" i="17"/>
  <c r="B1050" i="17"/>
  <c r="A1050" i="17"/>
  <c r="B1049" i="17"/>
  <c r="A1049" i="17"/>
  <c r="B1048" i="17"/>
  <c r="A1048" i="17"/>
  <c r="B1047" i="17"/>
  <c r="A1047" i="17"/>
  <c r="B1046" i="17"/>
  <c r="A1046" i="17"/>
  <c r="B1045" i="17"/>
  <c r="A1045" i="17"/>
  <c r="B1044" i="17"/>
  <c r="A1044" i="17"/>
  <c r="B1043" i="17"/>
  <c r="A1043" i="17"/>
  <c r="B1042" i="17"/>
  <c r="A1042" i="17"/>
  <c r="B1041" i="17"/>
  <c r="A1041" i="17"/>
  <c r="B1040" i="17"/>
  <c r="A1040" i="17"/>
  <c r="B1039" i="17"/>
  <c r="A1039" i="17"/>
  <c r="B1038" i="17"/>
  <c r="A1038" i="17"/>
  <c r="B1037" i="17"/>
  <c r="A1037" i="17"/>
  <c r="B1036" i="17"/>
  <c r="A1036" i="17"/>
  <c r="B1035" i="17"/>
  <c r="A1035" i="17"/>
  <c r="B1034" i="17"/>
  <c r="A1034" i="17"/>
  <c r="B1033" i="17"/>
  <c r="A1033" i="17"/>
  <c r="B1032" i="17"/>
  <c r="A1032" i="17"/>
  <c r="B1031" i="17"/>
  <c r="A1031" i="17"/>
  <c r="B1030" i="17"/>
  <c r="A1030" i="17"/>
  <c r="B1029" i="17"/>
  <c r="A1029" i="17"/>
  <c r="B1028" i="17"/>
  <c r="A1028" i="17"/>
  <c r="B1027" i="17"/>
  <c r="A1027" i="17"/>
  <c r="B1026" i="17"/>
  <c r="A1026" i="17"/>
  <c r="B1025" i="17"/>
  <c r="A1025" i="17"/>
  <c r="B1018" i="17"/>
  <c r="A1018" i="17"/>
  <c r="A1017" i="17"/>
  <c r="B1016" i="17"/>
  <c r="A1016" i="17"/>
  <c r="B1015" i="17"/>
  <c r="A1015" i="17"/>
  <c r="B1014" i="17"/>
  <c r="A1014" i="17"/>
  <c r="B1013" i="17"/>
  <c r="A1013" i="17"/>
  <c r="B1012" i="17"/>
  <c r="A1012" i="17"/>
  <c r="B1011" i="17"/>
  <c r="A1011" i="17"/>
  <c r="B1010" i="17"/>
  <c r="A1010" i="17"/>
  <c r="B1009" i="17"/>
  <c r="A1009" i="17"/>
  <c r="B1008" i="17"/>
  <c r="A1008" i="17"/>
  <c r="B1000" i="17"/>
  <c r="A1000" i="17"/>
  <c r="A999" i="17"/>
  <c r="B998" i="17"/>
  <c r="A998" i="17"/>
  <c r="B993" i="17"/>
  <c r="A993" i="17"/>
  <c r="B992" i="17"/>
  <c r="A992" i="17"/>
  <c r="A991" i="17"/>
  <c r="A990" i="17"/>
  <c r="A989" i="17"/>
  <c r="A988" i="17"/>
  <c r="A987" i="17"/>
  <c r="B986" i="17"/>
  <c r="A986" i="17"/>
  <c r="B985" i="17"/>
  <c r="A985" i="17"/>
  <c r="B984" i="17"/>
  <c r="A984" i="17"/>
  <c r="B983" i="17"/>
  <c r="A983" i="17"/>
  <c r="B982" i="17"/>
  <c r="A982" i="17"/>
  <c r="B981" i="17"/>
  <c r="A981" i="17"/>
  <c r="B980" i="17"/>
  <c r="A980" i="17"/>
  <c r="B979" i="17"/>
  <c r="A979" i="17"/>
  <c r="B978" i="17"/>
  <c r="A978" i="17"/>
  <c r="B977" i="17"/>
  <c r="A977" i="17"/>
  <c r="B976" i="17"/>
  <c r="A976" i="17"/>
  <c r="B975" i="17"/>
  <c r="A975" i="17"/>
  <c r="B974" i="17"/>
  <c r="A974" i="17"/>
  <c r="B973" i="17"/>
  <c r="A973" i="17"/>
  <c r="B972" i="17"/>
  <c r="A972" i="17"/>
  <c r="B971" i="17"/>
  <c r="A971" i="17"/>
  <c r="A970" i="17"/>
  <c r="B969" i="17"/>
  <c r="A969" i="17"/>
  <c r="B968" i="17"/>
  <c r="A968" i="17"/>
  <c r="B967" i="17"/>
  <c r="A967" i="17"/>
  <c r="A966" i="17"/>
  <c r="B965" i="17"/>
  <c r="A965" i="17"/>
  <c r="B964" i="17"/>
  <c r="A964" i="17"/>
  <c r="B963" i="17"/>
  <c r="A963" i="17"/>
  <c r="B962" i="17"/>
  <c r="A962" i="17"/>
  <c r="B961" i="17"/>
  <c r="A961" i="17"/>
  <c r="B960" i="17"/>
  <c r="A960" i="17"/>
  <c r="B959" i="17"/>
  <c r="A959" i="17"/>
  <c r="B958" i="17"/>
  <c r="A958" i="17"/>
  <c r="B957" i="17"/>
  <c r="A957" i="17"/>
  <c r="B956" i="17"/>
  <c r="A956" i="17"/>
  <c r="B954" i="17"/>
  <c r="A954" i="17"/>
  <c r="B953" i="17"/>
  <c r="A953" i="17"/>
  <c r="B952" i="17"/>
  <c r="A952" i="17"/>
  <c r="B951" i="17"/>
  <c r="A951" i="17"/>
  <c r="B950" i="17"/>
  <c r="A950" i="17"/>
  <c r="B949" i="17"/>
  <c r="A949" i="17"/>
  <c r="B948" i="17"/>
  <c r="A948" i="17"/>
  <c r="A947" i="17"/>
  <c r="B946" i="17"/>
  <c r="A946" i="17"/>
  <c r="B945" i="17"/>
  <c r="A945" i="17"/>
  <c r="B944" i="17"/>
  <c r="A944" i="17"/>
  <c r="B943" i="17"/>
  <c r="A943" i="17"/>
  <c r="B942" i="17"/>
  <c r="A942" i="17"/>
  <c r="B941" i="17"/>
  <c r="A941" i="17"/>
  <c r="B940" i="17"/>
  <c r="A940" i="17"/>
  <c r="A939" i="17"/>
  <c r="B938" i="17"/>
  <c r="A938" i="17"/>
  <c r="B937" i="17"/>
  <c r="A937" i="17"/>
  <c r="B936" i="17"/>
  <c r="A936" i="17"/>
  <c r="B935" i="17"/>
  <c r="A935" i="17"/>
  <c r="B934" i="17"/>
  <c r="A934" i="17"/>
  <c r="B933" i="17"/>
  <c r="A933" i="17"/>
  <c r="B932" i="17"/>
  <c r="A932" i="17"/>
  <c r="B931" i="17"/>
  <c r="A931" i="17"/>
  <c r="B930" i="17"/>
  <c r="A930" i="17"/>
  <c r="B929" i="17"/>
  <c r="A929" i="17"/>
  <c r="B928" i="17"/>
  <c r="A928" i="17"/>
  <c r="B927" i="17"/>
  <c r="A927" i="17"/>
  <c r="B926" i="17"/>
  <c r="A926" i="17"/>
  <c r="B925" i="17"/>
  <c r="A925" i="17"/>
  <c r="B924" i="17"/>
  <c r="A924" i="17"/>
  <c r="B923" i="17"/>
  <c r="A923" i="17"/>
  <c r="B922" i="17"/>
  <c r="A922" i="17"/>
  <c r="B921" i="17"/>
  <c r="A921" i="17"/>
  <c r="B920" i="17"/>
  <c r="A920" i="17"/>
  <c r="A919" i="17"/>
  <c r="A918" i="17"/>
  <c r="B917" i="17"/>
  <c r="A917" i="17"/>
  <c r="B916" i="17"/>
  <c r="A916" i="17"/>
  <c r="B915" i="17"/>
  <c r="A915" i="17"/>
  <c r="B914" i="17"/>
  <c r="A914" i="17"/>
  <c r="B913" i="17"/>
  <c r="A913" i="17"/>
  <c r="B912" i="17"/>
  <c r="A912" i="17"/>
  <c r="B911" i="17"/>
  <c r="A911" i="17"/>
  <c r="B910" i="17"/>
  <c r="A910" i="17"/>
  <c r="B909" i="17"/>
  <c r="A909" i="17"/>
  <c r="B908" i="17"/>
  <c r="A908" i="17"/>
  <c r="B907" i="17"/>
  <c r="A907" i="17"/>
  <c r="B906" i="17"/>
  <c r="A906" i="17"/>
  <c r="B905" i="17"/>
  <c r="A905" i="17"/>
  <c r="B904" i="17"/>
  <c r="A904" i="17"/>
  <c r="B903" i="17"/>
  <c r="A903" i="17"/>
  <c r="B902" i="17"/>
  <c r="A902" i="17"/>
  <c r="B901" i="17"/>
  <c r="A901" i="17"/>
  <c r="B900" i="17"/>
  <c r="A900" i="17"/>
  <c r="B899" i="17"/>
  <c r="A899" i="17"/>
  <c r="B898" i="17"/>
  <c r="A898" i="17"/>
  <c r="B897" i="17"/>
  <c r="A897" i="17"/>
  <c r="B896" i="17"/>
  <c r="A896" i="17"/>
  <c r="B895" i="17"/>
  <c r="A895" i="17"/>
  <c r="B894" i="17"/>
  <c r="A894" i="17"/>
  <c r="B893" i="17"/>
  <c r="A893" i="17"/>
  <c r="B892" i="17"/>
  <c r="A892" i="17"/>
  <c r="B891" i="17"/>
  <c r="A891" i="17"/>
  <c r="B890" i="17"/>
  <c r="A890" i="17"/>
  <c r="B889" i="17"/>
  <c r="A889" i="17"/>
  <c r="B888" i="17"/>
  <c r="A888" i="17"/>
  <c r="B887" i="17"/>
  <c r="A887" i="17"/>
  <c r="B886" i="17"/>
  <c r="A886" i="17"/>
  <c r="B885" i="17"/>
  <c r="A885" i="17"/>
  <c r="B884" i="17"/>
  <c r="A884" i="17"/>
  <c r="B883" i="17"/>
  <c r="A883" i="17"/>
  <c r="B882" i="17"/>
  <c r="A882" i="17"/>
  <c r="B881" i="17"/>
  <c r="A881" i="17"/>
  <c r="B880" i="17"/>
  <c r="A880" i="17"/>
  <c r="B879" i="17"/>
  <c r="A879" i="17"/>
  <c r="B878" i="17"/>
  <c r="A878" i="17"/>
  <c r="B877" i="17"/>
  <c r="A877" i="17"/>
  <c r="B876" i="17"/>
  <c r="A876" i="17"/>
  <c r="B875" i="17"/>
  <c r="A875" i="17"/>
  <c r="B874" i="17"/>
  <c r="A874" i="17"/>
  <c r="B873" i="17"/>
  <c r="A873" i="17"/>
  <c r="B872" i="17"/>
  <c r="A872" i="17"/>
  <c r="B871" i="17"/>
  <c r="A871" i="17"/>
  <c r="B870" i="17"/>
  <c r="A870" i="17"/>
  <c r="B869" i="17"/>
  <c r="A869" i="17"/>
  <c r="B868" i="17"/>
  <c r="A868" i="17"/>
  <c r="B867" i="17"/>
  <c r="A867" i="17"/>
  <c r="B866" i="17"/>
  <c r="A866" i="17"/>
  <c r="B865" i="17"/>
  <c r="A865" i="17"/>
  <c r="B864" i="17"/>
  <c r="A864" i="17"/>
  <c r="B863" i="17"/>
  <c r="A863" i="17"/>
  <c r="B862" i="17"/>
  <c r="A862" i="17"/>
  <c r="B861" i="17"/>
  <c r="A861" i="17"/>
  <c r="B860" i="17"/>
  <c r="A860" i="17"/>
  <c r="B859" i="17"/>
  <c r="A859" i="17"/>
  <c r="B858" i="17"/>
  <c r="A858" i="17"/>
  <c r="B857" i="17"/>
  <c r="A857" i="17"/>
  <c r="B856" i="17"/>
  <c r="A856" i="17"/>
  <c r="B855" i="17"/>
  <c r="A855" i="17"/>
  <c r="B849" i="17"/>
  <c r="A849" i="17"/>
  <c r="B848" i="17"/>
  <c r="A848" i="17"/>
  <c r="A847" i="17"/>
  <c r="B846" i="17"/>
  <c r="A846" i="17"/>
  <c r="B845" i="17"/>
  <c r="A845" i="17"/>
  <c r="B844" i="17"/>
  <c r="A844" i="17"/>
  <c r="B843" i="17"/>
  <c r="A843" i="17"/>
  <c r="B842" i="17"/>
  <c r="A842" i="17"/>
  <c r="B841" i="17"/>
  <c r="A841" i="17"/>
  <c r="B840" i="17"/>
  <c r="A840" i="17"/>
  <c r="B839" i="17"/>
  <c r="A839" i="17"/>
  <c r="B838" i="17"/>
  <c r="A838" i="17"/>
  <c r="B837" i="17"/>
  <c r="A837" i="17"/>
  <c r="B836" i="17"/>
  <c r="A836" i="17"/>
  <c r="B835" i="17"/>
  <c r="A835" i="17"/>
  <c r="B834" i="17"/>
  <c r="A834" i="17"/>
  <c r="B833" i="17"/>
  <c r="A833" i="17"/>
  <c r="B832" i="17"/>
  <c r="A832" i="17"/>
  <c r="B831" i="17"/>
  <c r="A831" i="17"/>
  <c r="B830" i="17"/>
  <c r="A830" i="17"/>
  <c r="B829" i="17"/>
  <c r="A829" i="17"/>
  <c r="B828" i="17"/>
  <c r="A828" i="17"/>
  <c r="B827" i="17"/>
  <c r="A827" i="17"/>
  <c r="B826" i="17"/>
  <c r="A826" i="17"/>
  <c r="B825" i="17"/>
  <c r="A825" i="17"/>
  <c r="B824" i="17"/>
  <c r="A824" i="17"/>
  <c r="B823" i="17"/>
  <c r="A823" i="17"/>
  <c r="B822" i="17"/>
  <c r="A822" i="17"/>
  <c r="B821" i="17"/>
  <c r="A821" i="17"/>
  <c r="B820" i="17"/>
  <c r="A820" i="17"/>
  <c r="B819" i="17"/>
  <c r="A819" i="17"/>
  <c r="B818" i="17"/>
  <c r="A818" i="17"/>
  <c r="B817" i="17"/>
  <c r="A817" i="17"/>
  <c r="B816" i="17"/>
  <c r="A816" i="17"/>
  <c r="B815" i="17"/>
  <c r="A815" i="17"/>
  <c r="B814" i="17"/>
  <c r="A814" i="17"/>
  <c r="B813" i="17"/>
  <c r="A813" i="17"/>
  <c r="B812" i="17"/>
  <c r="A812" i="17"/>
  <c r="B811" i="17"/>
  <c r="A811" i="17"/>
  <c r="B810" i="17"/>
  <c r="A810" i="17"/>
  <c r="B809" i="17"/>
  <c r="A809" i="17"/>
  <c r="B808" i="17"/>
  <c r="A808" i="17"/>
  <c r="B807" i="17"/>
  <c r="A807" i="17"/>
  <c r="B806" i="17"/>
  <c r="A806" i="17"/>
  <c r="B805" i="17"/>
  <c r="A805" i="17"/>
  <c r="B804" i="17"/>
  <c r="A804" i="17"/>
  <c r="B803" i="17"/>
  <c r="A803" i="17"/>
  <c r="B802" i="17"/>
  <c r="A802" i="17"/>
  <c r="B801" i="17"/>
  <c r="A801" i="17"/>
  <c r="B800" i="17"/>
  <c r="A800" i="17"/>
  <c r="B799" i="17"/>
  <c r="A799" i="17"/>
  <c r="B798" i="17"/>
  <c r="A798" i="17"/>
  <c r="B797" i="17"/>
  <c r="A797" i="17"/>
  <c r="A796" i="17"/>
  <c r="A795" i="17"/>
  <c r="B794" i="17"/>
  <c r="A794" i="17"/>
  <c r="B793" i="17"/>
  <c r="A793" i="17"/>
  <c r="B792" i="17"/>
  <c r="A792" i="17"/>
  <c r="B791" i="17"/>
  <c r="A791" i="17"/>
  <c r="B790" i="17"/>
  <c r="A790" i="17"/>
  <c r="B789" i="17"/>
  <c r="A789" i="17"/>
  <c r="B788" i="17"/>
  <c r="A788" i="17"/>
  <c r="B787" i="17"/>
  <c r="A787" i="17"/>
  <c r="B786" i="17"/>
  <c r="A786" i="17"/>
  <c r="B785" i="17"/>
  <c r="A785" i="17"/>
  <c r="B784" i="17"/>
  <c r="A784" i="17"/>
  <c r="B783" i="17"/>
  <c r="A783" i="17"/>
  <c r="B782" i="17"/>
  <c r="A782" i="17"/>
  <c r="B781" i="17"/>
  <c r="A781" i="17"/>
  <c r="B780" i="17"/>
  <c r="A780" i="17"/>
  <c r="B779" i="17"/>
  <c r="A779" i="17"/>
  <c r="B778" i="17"/>
  <c r="A778" i="17"/>
  <c r="B777" i="17"/>
  <c r="A777" i="17"/>
  <c r="B776" i="17"/>
  <c r="A776" i="17"/>
  <c r="B775" i="17"/>
  <c r="A775" i="17"/>
  <c r="B774" i="17"/>
  <c r="A774" i="17"/>
  <c r="B773" i="17"/>
  <c r="A773" i="17"/>
  <c r="B772" i="17"/>
  <c r="A772" i="17"/>
  <c r="B771" i="17"/>
  <c r="A771" i="17"/>
  <c r="B770" i="17"/>
  <c r="A770" i="17"/>
  <c r="B769" i="17"/>
  <c r="A769" i="17"/>
  <c r="B768" i="17"/>
  <c r="A768" i="17"/>
  <c r="B767" i="17"/>
  <c r="A767" i="17"/>
  <c r="B766" i="17"/>
  <c r="A766" i="17"/>
  <c r="B765" i="17"/>
  <c r="A765" i="17"/>
  <c r="B764" i="17"/>
  <c r="A764" i="17"/>
  <c r="B763" i="17"/>
  <c r="A763" i="17"/>
  <c r="B762" i="17"/>
  <c r="A762" i="17"/>
  <c r="B761" i="17"/>
  <c r="A761" i="17"/>
  <c r="B760" i="17"/>
  <c r="A760" i="17"/>
  <c r="B759" i="17"/>
  <c r="A759" i="17"/>
  <c r="A758" i="17"/>
  <c r="B757" i="17"/>
  <c r="A757" i="17"/>
  <c r="B756" i="17"/>
  <c r="A756" i="17"/>
  <c r="B755" i="17"/>
  <c r="A755" i="17"/>
  <c r="B754" i="17"/>
  <c r="A754" i="17"/>
  <c r="B753" i="17"/>
  <c r="A753" i="17"/>
  <c r="B752" i="17"/>
  <c r="A752" i="17"/>
  <c r="B751" i="17"/>
  <c r="A751" i="17"/>
  <c r="B750" i="17"/>
  <c r="A750" i="17"/>
  <c r="B749" i="17"/>
  <c r="A749" i="17"/>
  <c r="B748" i="17"/>
  <c r="A748" i="17"/>
  <c r="B747" i="17"/>
  <c r="A747" i="17"/>
  <c r="B746" i="17"/>
  <c r="A746" i="17"/>
  <c r="B745" i="17"/>
  <c r="A745" i="17"/>
  <c r="B744" i="17"/>
  <c r="A744" i="17"/>
  <c r="B743" i="17"/>
  <c r="A743" i="17"/>
  <c r="B742" i="17"/>
  <c r="A742" i="17"/>
  <c r="B741" i="17"/>
  <c r="A741" i="17"/>
  <c r="B740" i="17"/>
  <c r="A740" i="17"/>
  <c r="A738" i="17"/>
  <c r="B737" i="17"/>
  <c r="A737" i="17"/>
  <c r="A736" i="17"/>
  <c r="B735" i="17"/>
  <c r="A735" i="17"/>
  <c r="B734" i="17"/>
  <c r="A734" i="17"/>
  <c r="B733" i="17"/>
  <c r="A733" i="17"/>
  <c r="B732" i="17"/>
  <c r="A732" i="17"/>
  <c r="B731" i="17"/>
  <c r="A731" i="17"/>
  <c r="B730" i="17"/>
  <c r="A730" i="17"/>
  <c r="B729" i="17"/>
  <c r="A729" i="17"/>
  <c r="B728" i="17"/>
  <c r="A728" i="17"/>
  <c r="B727" i="17"/>
  <c r="A727" i="17"/>
  <c r="B726" i="17"/>
  <c r="A726" i="17"/>
  <c r="B725" i="17"/>
  <c r="A725" i="17"/>
  <c r="B724" i="17"/>
  <c r="A724" i="17"/>
  <c r="B723" i="17"/>
  <c r="A723" i="17"/>
  <c r="B722" i="17"/>
  <c r="A722" i="17"/>
  <c r="B721" i="17"/>
  <c r="A721" i="17"/>
  <c r="B720" i="17"/>
  <c r="A720" i="17"/>
  <c r="B719" i="17"/>
  <c r="A719" i="17"/>
  <c r="B718" i="17"/>
  <c r="A718" i="17"/>
  <c r="B717" i="17"/>
  <c r="A717" i="17"/>
  <c r="B716" i="17"/>
  <c r="A716" i="17"/>
  <c r="B715" i="17"/>
  <c r="A715" i="17"/>
  <c r="B714" i="17"/>
  <c r="A714" i="17"/>
  <c r="B713" i="17"/>
  <c r="A713" i="17"/>
  <c r="B712" i="17"/>
  <c r="A712" i="17"/>
  <c r="B711" i="17"/>
  <c r="A711" i="17"/>
  <c r="B710" i="17"/>
  <c r="A710" i="17"/>
  <c r="B709" i="17"/>
  <c r="A709" i="17"/>
  <c r="B708" i="17"/>
  <c r="A708" i="17"/>
  <c r="B707" i="17"/>
  <c r="A707" i="17"/>
  <c r="B706" i="17"/>
  <c r="A706" i="17"/>
  <c r="B705" i="17"/>
  <c r="A705" i="17"/>
  <c r="A704" i="17"/>
  <c r="B703" i="17"/>
  <c r="A703" i="17"/>
  <c r="B702" i="17"/>
  <c r="A702" i="17"/>
  <c r="B701" i="17"/>
  <c r="A701" i="17"/>
  <c r="B700" i="17"/>
  <c r="A700" i="17"/>
  <c r="B699" i="17"/>
  <c r="A699" i="17"/>
  <c r="B698" i="17"/>
  <c r="A698" i="17"/>
  <c r="A697" i="17"/>
  <c r="B696" i="17"/>
  <c r="A696" i="17"/>
  <c r="B695" i="17"/>
  <c r="A695" i="17"/>
  <c r="B694" i="17"/>
  <c r="A694" i="17"/>
  <c r="B693" i="17"/>
  <c r="A693" i="17"/>
  <c r="B692" i="17"/>
  <c r="A692" i="17"/>
  <c r="B691" i="17"/>
  <c r="A691" i="17"/>
  <c r="B690" i="17"/>
  <c r="A690" i="17"/>
  <c r="B689" i="17"/>
  <c r="A689" i="17"/>
  <c r="B688" i="17"/>
  <c r="A688" i="17"/>
  <c r="B687" i="17"/>
  <c r="A687" i="17"/>
  <c r="B686" i="17"/>
  <c r="A686" i="17"/>
  <c r="A685" i="17"/>
  <c r="A684" i="17"/>
  <c r="A683" i="17"/>
  <c r="B682" i="17"/>
  <c r="A682" i="17"/>
  <c r="B681" i="17"/>
  <c r="A681" i="17"/>
  <c r="B680" i="17"/>
  <c r="A680" i="17"/>
  <c r="B679" i="17"/>
  <c r="A679" i="17"/>
  <c r="B678" i="17"/>
  <c r="A678" i="17"/>
  <c r="B677" i="17"/>
  <c r="A677" i="17"/>
  <c r="B676" i="17"/>
  <c r="A676" i="17"/>
  <c r="B675" i="17"/>
  <c r="A675" i="17"/>
  <c r="B674" i="17"/>
  <c r="A674" i="17"/>
  <c r="B673" i="17"/>
  <c r="A673" i="17"/>
  <c r="B672" i="17"/>
  <c r="A672" i="17"/>
  <c r="B671" i="17"/>
  <c r="A671" i="17"/>
  <c r="B670" i="17"/>
  <c r="A670" i="17"/>
  <c r="B669" i="17"/>
  <c r="A669" i="17"/>
  <c r="B668" i="17"/>
  <c r="A668" i="17"/>
  <c r="B667" i="17"/>
  <c r="A667" i="17"/>
  <c r="B666" i="17"/>
  <c r="A666" i="17"/>
  <c r="B665" i="17"/>
  <c r="A665" i="17"/>
  <c r="B664" i="17"/>
  <c r="A664" i="17"/>
  <c r="B663" i="17"/>
  <c r="A663" i="17"/>
  <c r="B662" i="17"/>
  <c r="A662" i="17"/>
  <c r="B661" i="17"/>
  <c r="A661" i="17"/>
  <c r="B660" i="17"/>
  <c r="A660" i="17"/>
  <c r="B659" i="17"/>
  <c r="A659" i="17"/>
  <c r="B658" i="17"/>
  <c r="A658" i="17"/>
  <c r="B657" i="17"/>
  <c r="A657" i="17"/>
  <c r="B656" i="17"/>
  <c r="A656" i="17"/>
  <c r="B655" i="17"/>
  <c r="A655" i="17"/>
  <c r="B654" i="17"/>
  <c r="A654" i="17"/>
  <c r="B653" i="17"/>
  <c r="A653" i="17"/>
  <c r="B652" i="17"/>
  <c r="A652" i="17"/>
  <c r="B651" i="17"/>
  <c r="A651" i="17"/>
  <c r="B650" i="17"/>
  <c r="A650" i="17"/>
  <c r="B649" i="17"/>
  <c r="A649" i="17"/>
  <c r="B648" i="17"/>
  <c r="A648" i="17"/>
  <c r="B647" i="17"/>
  <c r="A647" i="17"/>
  <c r="B646" i="17"/>
  <c r="A646" i="17"/>
  <c r="B645" i="17"/>
  <c r="A645" i="17"/>
  <c r="B644" i="17"/>
  <c r="A644" i="17"/>
  <c r="B643" i="17"/>
  <c r="A643" i="17"/>
  <c r="B642" i="17"/>
  <c r="A642" i="17"/>
  <c r="B641" i="17"/>
  <c r="A641" i="17"/>
  <c r="B640" i="17"/>
  <c r="A640" i="17"/>
  <c r="B639" i="17"/>
  <c r="A639" i="17"/>
  <c r="B638" i="17"/>
  <c r="A638" i="17"/>
  <c r="B637" i="17"/>
  <c r="A637" i="17"/>
  <c r="B630" i="17"/>
  <c r="A630" i="17"/>
  <c r="B629" i="17"/>
  <c r="A629" i="17"/>
  <c r="B628" i="17"/>
  <c r="A628" i="17"/>
  <c r="B627" i="17"/>
  <c r="A627" i="17"/>
  <c r="B626" i="17"/>
  <c r="A626" i="17"/>
  <c r="B625" i="17"/>
  <c r="A625" i="17"/>
  <c r="B624" i="17"/>
  <c r="A624" i="17"/>
  <c r="B623" i="17"/>
  <c r="A623" i="17"/>
  <c r="B622" i="17"/>
  <c r="A622" i="17"/>
  <c r="B621" i="17"/>
  <c r="A621" i="17"/>
  <c r="B620" i="17"/>
  <c r="A620" i="17"/>
  <c r="B619" i="17"/>
  <c r="A619" i="17"/>
  <c r="B618" i="17"/>
  <c r="A618" i="17"/>
  <c r="B617" i="17"/>
  <c r="A617" i="17"/>
  <c r="B616" i="17"/>
  <c r="A616" i="17"/>
  <c r="B615" i="17"/>
  <c r="A615" i="17"/>
  <c r="B614" i="17"/>
  <c r="A614" i="17"/>
  <c r="B613" i="17"/>
  <c r="A613" i="17"/>
  <c r="B612" i="17"/>
  <c r="A612" i="17"/>
  <c r="B611" i="17"/>
  <c r="A611" i="17"/>
  <c r="B610" i="17"/>
  <c r="A610" i="17"/>
  <c r="B609" i="17"/>
  <c r="A609" i="17"/>
  <c r="B608" i="17"/>
  <c r="A608" i="17"/>
  <c r="B607" i="17"/>
  <c r="A607" i="17"/>
  <c r="B606" i="17"/>
  <c r="A606" i="17"/>
  <c r="B605" i="17"/>
  <c r="A605" i="17"/>
  <c r="B604" i="17"/>
  <c r="A604" i="17"/>
  <c r="B603" i="17"/>
  <c r="A603" i="17"/>
  <c r="B602" i="17"/>
  <c r="A602" i="17"/>
  <c r="B601" i="17"/>
  <c r="A601" i="17"/>
  <c r="B600" i="17"/>
  <c r="A600" i="17"/>
  <c r="B599" i="17"/>
  <c r="A599" i="17"/>
  <c r="B598" i="17"/>
  <c r="A598" i="17"/>
  <c r="B597" i="17"/>
  <c r="A597" i="17"/>
  <c r="B596" i="17"/>
  <c r="A596" i="17"/>
  <c r="B595" i="17"/>
  <c r="A595" i="17"/>
  <c r="B594" i="17"/>
  <c r="A594" i="17"/>
  <c r="B593" i="17"/>
  <c r="A593" i="17"/>
  <c r="B592" i="17"/>
  <c r="A592" i="17"/>
  <c r="B591" i="17"/>
  <c r="A591" i="17"/>
  <c r="B590" i="17"/>
  <c r="A590" i="17"/>
  <c r="B589" i="17"/>
  <c r="A589" i="17"/>
  <c r="B588" i="17"/>
  <c r="A588" i="17"/>
  <c r="B587" i="17"/>
  <c r="A587" i="17"/>
  <c r="B586" i="17"/>
  <c r="A586" i="17"/>
  <c r="B585" i="17"/>
  <c r="A585" i="17"/>
  <c r="B584" i="17"/>
  <c r="A584" i="17"/>
  <c r="B583" i="17"/>
  <c r="A583" i="17"/>
  <c r="B582" i="17"/>
  <c r="A582" i="17"/>
  <c r="B581" i="17"/>
  <c r="A581" i="17"/>
  <c r="B580" i="17"/>
  <c r="A580" i="17"/>
  <c r="B579" i="17"/>
  <c r="A579" i="17"/>
  <c r="B578" i="17"/>
  <c r="A578" i="17"/>
  <c r="B577" i="17"/>
  <c r="A577" i="17"/>
  <c r="B576" i="17"/>
  <c r="A576" i="17"/>
  <c r="B575" i="17"/>
  <c r="A575" i="17"/>
  <c r="B573" i="17"/>
  <c r="A573" i="17"/>
  <c r="B572" i="17"/>
  <c r="A572" i="17"/>
  <c r="B571" i="17"/>
  <c r="A571" i="17"/>
  <c r="B570" i="17"/>
  <c r="A570" i="17"/>
  <c r="B569" i="17"/>
  <c r="A569" i="17"/>
  <c r="B568" i="17"/>
  <c r="A568" i="17"/>
  <c r="B567" i="17"/>
  <c r="A567" i="17"/>
  <c r="B566" i="17"/>
  <c r="A566" i="17"/>
  <c r="B565" i="17"/>
  <c r="A565" i="17"/>
  <c r="B564" i="17"/>
  <c r="A564" i="17"/>
  <c r="A563" i="17"/>
  <c r="B562" i="17"/>
  <c r="A562" i="17"/>
  <c r="B561" i="17"/>
  <c r="A561" i="17"/>
  <c r="B560" i="17"/>
  <c r="A560" i="17"/>
  <c r="B559" i="17"/>
  <c r="A559" i="17"/>
  <c r="B558" i="17"/>
  <c r="A558" i="17"/>
  <c r="B557" i="17"/>
  <c r="A557" i="17"/>
  <c r="B556" i="17"/>
  <c r="A556" i="17"/>
  <c r="B555" i="17"/>
  <c r="A555" i="17"/>
  <c r="B554" i="17"/>
  <c r="A554" i="17"/>
  <c r="B553" i="17"/>
  <c r="A553" i="17"/>
  <c r="B552" i="17"/>
  <c r="A552" i="17"/>
  <c r="B551" i="17"/>
  <c r="A551" i="17"/>
  <c r="B550" i="17"/>
  <c r="A550" i="17"/>
  <c r="B548" i="17"/>
  <c r="A548" i="17"/>
  <c r="B547" i="17"/>
  <c r="A547" i="17"/>
  <c r="B546" i="17"/>
  <c r="A546" i="17"/>
  <c r="B545" i="17"/>
  <c r="A545" i="17"/>
  <c r="B544" i="17"/>
  <c r="A544" i="17"/>
  <c r="B543" i="17"/>
  <c r="A543" i="17"/>
  <c r="B542" i="17"/>
  <c r="A542" i="17"/>
  <c r="B541" i="17"/>
  <c r="A541" i="17"/>
  <c r="B540" i="17"/>
  <c r="A540" i="17"/>
  <c r="B539" i="17"/>
  <c r="A539" i="17"/>
  <c r="B538" i="17"/>
  <c r="A538" i="17"/>
  <c r="B537" i="17"/>
  <c r="A537" i="17"/>
  <c r="B536" i="17"/>
  <c r="A536" i="17"/>
  <c r="B535" i="17"/>
  <c r="A535" i="17"/>
  <c r="B534" i="17"/>
  <c r="A534" i="17"/>
  <c r="B533" i="17"/>
  <c r="A533" i="17"/>
  <c r="B532" i="17"/>
  <c r="A532" i="17"/>
  <c r="B531" i="17"/>
  <c r="A531" i="17"/>
  <c r="B530" i="17"/>
  <c r="A530" i="17"/>
  <c r="B529" i="17"/>
  <c r="A529" i="17"/>
  <c r="B528" i="17"/>
  <c r="A528" i="17"/>
  <c r="B527" i="17"/>
  <c r="A527" i="17"/>
  <c r="B526" i="17"/>
  <c r="A526" i="17"/>
  <c r="B525" i="17"/>
  <c r="A525" i="17"/>
  <c r="B524" i="17"/>
  <c r="A524" i="17"/>
  <c r="B523" i="17"/>
  <c r="A523" i="17"/>
  <c r="B522" i="17"/>
  <c r="A522" i="17"/>
  <c r="B521" i="17"/>
  <c r="A521" i="17"/>
  <c r="B520" i="17"/>
  <c r="A520" i="17"/>
  <c r="B519" i="17"/>
  <c r="A519" i="17"/>
  <c r="B518" i="17"/>
  <c r="A518" i="17"/>
  <c r="B517" i="17"/>
  <c r="A517" i="17"/>
  <c r="B516" i="17"/>
  <c r="A516" i="17"/>
  <c r="B515" i="17"/>
  <c r="A515" i="17"/>
  <c r="B514" i="17"/>
  <c r="A514" i="17"/>
  <c r="B513" i="17"/>
  <c r="A513" i="17"/>
  <c r="B512" i="17"/>
  <c r="A512" i="17"/>
  <c r="B511" i="17"/>
  <c r="A511" i="17"/>
  <c r="A510" i="17"/>
  <c r="B509" i="17"/>
  <c r="A509" i="17"/>
  <c r="B508" i="17"/>
  <c r="A508" i="17"/>
  <c r="B507" i="17"/>
  <c r="A507" i="17"/>
  <c r="B506" i="17"/>
  <c r="A506" i="17"/>
  <c r="B505" i="17"/>
  <c r="A505" i="17"/>
  <c r="B504" i="17"/>
  <c r="A504" i="17"/>
  <c r="B503" i="17"/>
  <c r="A503" i="17"/>
  <c r="B502" i="17"/>
  <c r="A502" i="17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3" i="17"/>
  <c r="A373" i="17"/>
  <c r="B372" i="17"/>
  <c r="A372" i="17"/>
  <c r="A371" i="17"/>
  <c r="A370" i="17"/>
  <c r="B369" i="17"/>
  <c r="A369" i="17"/>
  <c r="B368" i="17"/>
  <c r="A368" i="17"/>
  <c r="B367" i="17"/>
  <c r="A367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A355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A345" i="17"/>
  <c r="A344" i="17"/>
  <c r="A343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B269" i="17"/>
  <c r="A269" i="17"/>
  <c r="B268" i="17"/>
  <c r="A268" i="17"/>
  <c r="B267" i="17"/>
  <c r="A267" i="17"/>
  <c r="B266" i="17"/>
  <c r="A266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1" i="17"/>
  <c r="A241" i="17"/>
  <c r="B240" i="17"/>
  <c r="A240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19" i="17"/>
  <c r="A219" i="17"/>
  <c r="B218" i="17"/>
  <c r="A218" i="17"/>
  <c r="B217" i="17"/>
  <c r="A217" i="17"/>
  <c r="B216" i="17"/>
  <c r="A216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F111" i="2" s="1"/>
  <c r="B48" i="17"/>
  <c r="A48" i="17"/>
  <c r="A42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B3" i="17"/>
  <c r="A3" i="17"/>
  <c r="E146" i="2" s="1"/>
  <c r="B2" i="17"/>
  <c r="A2" i="17"/>
  <c r="AA11212" i="17"/>
  <c r="AA11211" i="17"/>
  <c r="AA11208" i="17"/>
  <c r="AA11207" i="17"/>
  <c r="AA11206" i="17"/>
  <c r="AA11205" i="17"/>
  <c r="V11204" i="17"/>
  <c r="AA11203" i="17"/>
  <c r="AA11202" i="17"/>
  <c r="V11201" i="17"/>
  <c r="AA11200" i="17"/>
  <c r="V11199" i="17"/>
  <c r="AA11198" i="17"/>
  <c r="AA11197" i="17"/>
  <c r="V11196" i="17"/>
  <c r="V11195" i="17"/>
  <c r="AA11194" i="17"/>
  <c r="AA11193" i="17"/>
  <c r="V11192" i="17"/>
  <c r="V11191" i="17"/>
  <c r="AA11190" i="17"/>
  <c r="AA11189" i="17"/>
  <c r="AA11188" i="17"/>
  <c r="V11187" i="17"/>
  <c r="AA11186" i="17"/>
  <c r="AA11185" i="17"/>
  <c r="AA11184" i="17"/>
  <c r="AA11183" i="17"/>
  <c r="AA11180" i="17"/>
  <c r="AA11179" i="17"/>
  <c r="AA11178" i="17"/>
  <c r="Q11177" i="17"/>
  <c r="Q11176" i="17"/>
  <c r="Q11175" i="17"/>
  <c r="Q11174" i="17"/>
  <c r="Q11173" i="17"/>
  <c r="AA11172" i="17"/>
  <c r="AA11171" i="17"/>
  <c r="AA11170" i="17"/>
  <c r="AA11169" i="17"/>
  <c r="V11168" i="17"/>
  <c r="AA11167" i="17"/>
  <c r="AA11166" i="17"/>
  <c r="AA11165" i="17"/>
  <c r="AA11164" i="17"/>
  <c r="V11163" i="17"/>
  <c r="AA11162" i="17"/>
  <c r="AA11161" i="17"/>
  <c r="AA11160" i="17"/>
  <c r="AA11159" i="17"/>
  <c r="AA11158" i="17"/>
  <c r="AA11157" i="17"/>
  <c r="AA11156" i="17"/>
  <c r="Q11155" i="17"/>
  <c r="AA11154" i="17"/>
  <c r="AA11153" i="17"/>
  <c r="V11152" i="17"/>
  <c r="Q11151" i="17"/>
  <c r="V11150" i="17"/>
  <c r="AA11149" i="17"/>
  <c r="V11148" i="17"/>
  <c r="AA11147" i="17"/>
  <c r="AA11146" i="17"/>
  <c r="AA11145" i="17"/>
  <c r="V11144" i="17"/>
  <c r="AA11143" i="17"/>
  <c r="AA11142" i="17"/>
  <c r="AA11141" i="17"/>
  <c r="AA11140" i="17"/>
  <c r="AA11139" i="17"/>
  <c r="AA11138" i="17"/>
  <c r="AA11137" i="17"/>
  <c r="AA11136" i="17"/>
  <c r="AA11135" i="17"/>
  <c r="AA11134" i="17"/>
  <c r="AA11133" i="17"/>
  <c r="AA11132" i="17"/>
  <c r="AA11131" i="17"/>
  <c r="AA11130" i="17"/>
  <c r="AA11129" i="17"/>
  <c r="AA11128" i="17"/>
  <c r="V11127" i="17"/>
  <c r="V11126" i="17"/>
  <c r="V11125" i="17"/>
  <c r="V11124" i="17"/>
  <c r="V11123" i="17"/>
  <c r="V11122" i="17"/>
  <c r="AA11121" i="17"/>
  <c r="V11120" i="17"/>
  <c r="V11119" i="17"/>
  <c r="V11118" i="17"/>
  <c r="AA11117" i="17"/>
  <c r="V11116" i="17"/>
  <c r="AA11115" i="17"/>
  <c r="AA11114" i="17"/>
  <c r="AA11113" i="17"/>
  <c r="AA11112" i="17"/>
  <c r="AA11111" i="17"/>
  <c r="AA11110" i="17"/>
  <c r="AA11109" i="17"/>
  <c r="AA11108" i="17"/>
  <c r="AA11107" i="17"/>
  <c r="Q11106" i="17"/>
  <c r="Q11105" i="17"/>
  <c r="V11104" i="17"/>
  <c r="AA11103" i="17"/>
  <c r="AA11102" i="17"/>
  <c r="AA11101" i="17"/>
  <c r="V11100" i="17"/>
  <c r="AA11099" i="17"/>
  <c r="AA11098" i="17"/>
  <c r="AA11097" i="17"/>
  <c r="AA11096" i="17"/>
  <c r="AA11095" i="17"/>
  <c r="AA11094" i="17"/>
  <c r="AA11093" i="17"/>
  <c r="Q11092" i="17"/>
  <c r="Q11091" i="17"/>
  <c r="Q11090" i="17"/>
  <c r="Q11089" i="17"/>
  <c r="AA11088" i="17"/>
  <c r="AA11087" i="17"/>
  <c r="V11086" i="17"/>
  <c r="V11085" i="17"/>
  <c r="V11084" i="17"/>
  <c r="V11083" i="17"/>
  <c r="V11082" i="17"/>
  <c r="AA11081" i="17"/>
  <c r="V11080" i="17"/>
  <c r="V11079" i="17"/>
  <c r="AA11078" i="17"/>
  <c r="V11077" i="17"/>
  <c r="AA11076" i="17"/>
  <c r="AA11075" i="17"/>
  <c r="AA11074" i="17"/>
  <c r="AA11073" i="17"/>
  <c r="AA11072" i="17"/>
  <c r="AA11071" i="17"/>
  <c r="AA11070" i="17"/>
  <c r="AA11069" i="17"/>
  <c r="AA11068" i="17"/>
  <c r="AA11067" i="17"/>
  <c r="AA11066" i="17"/>
  <c r="AA11065" i="17"/>
  <c r="AA11064" i="17"/>
  <c r="Q11063" i="17"/>
  <c r="Q11062" i="17"/>
  <c r="Q11061" i="17"/>
  <c r="Q11060" i="17"/>
  <c r="V11059" i="17"/>
  <c r="Q11052" i="17"/>
  <c r="Q11051" i="17"/>
  <c r="AA11050" i="17"/>
  <c r="Q11049" i="17"/>
  <c r="Q11048" i="17"/>
  <c r="Q11046" i="17"/>
  <c r="Q11045" i="17"/>
  <c r="AA11044" i="17"/>
  <c r="Q11043" i="17"/>
  <c r="Q11042" i="17"/>
  <c r="Q11041" i="17"/>
  <c r="Q11040" i="17"/>
  <c r="V11039" i="17"/>
  <c r="AA11038" i="17"/>
  <c r="AA11037" i="17"/>
  <c r="AA11036" i="17"/>
  <c r="AA11035" i="17"/>
  <c r="AA11034" i="17"/>
  <c r="AA11033" i="17"/>
  <c r="AA11032" i="17"/>
  <c r="AA11031" i="17"/>
  <c r="AA11030" i="17"/>
  <c r="AA11029" i="17"/>
  <c r="AA11028" i="17"/>
  <c r="AA11027" i="17"/>
  <c r="AA11026" i="17"/>
  <c r="AA11025" i="17"/>
  <c r="AA11024" i="17"/>
  <c r="AA11023" i="17"/>
  <c r="AA11022" i="17"/>
  <c r="AA11021" i="17"/>
  <c r="AA11020" i="17"/>
  <c r="AA11019" i="17"/>
  <c r="AA11018" i="17"/>
  <c r="AA11017" i="17"/>
  <c r="AA11016" i="17"/>
  <c r="AA11015" i="17"/>
  <c r="AA11014" i="17"/>
  <c r="AA11013" i="17"/>
  <c r="AA11012" i="17"/>
  <c r="AA11011" i="17"/>
  <c r="AA11010" i="17"/>
  <c r="AA11009" i="17"/>
  <c r="AA11008" i="17"/>
  <c r="AA11007" i="17"/>
  <c r="V11006" i="17"/>
  <c r="V11005" i="17"/>
  <c r="V11003" i="17"/>
  <c r="AA11002" i="17"/>
  <c r="V11001" i="17"/>
  <c r="V11000" i="17"/>
  <c r="V10999" i="17"/>
  <c r="V10998" i="17"/>
  <c r="AA10997" i="17"/>
  <c r="AA10996" i="17"/>
  <c r="AA10995" i="17"/>
  <c r="AA10994" i="17"/>
  <c r="AA10993" i="17"/>
  <c r="AA10992" i="17"/>
  <c r="AA10991" i="17"/>
  <c r="AA10990" i="17"/>
  <c r="AA10989" i="17"/>
  <c r="AA10988" i="17"/>
  <c r="AA10987" i="17"/>
  <c r="AA10986" i="17"/>
  <c r="V10985" i="17"/>
  <c r="Q10984" i="17"/>
  <c r="Q10983" i="17"/>
  <c r="Q10982" i="17"/>
  <c r="AA10981" i="17"/>
  <c r="AA10980" i="17"/>
  <c r="AA10979" i="17"/>
  <c r="AA10978" i="17"/>
  <c r="AA10977" i="17"/>
  <c r="V10976" i="17"/>
  <c r="AA10975" i="17"/>
  <c r="AA10974" i="17"/>
  <c r="V10973" i="17"/>
  <c r="V10972" i="17"/>
  <c r="V10971" i="17"/>
  <c r="V10970" i="17"/>
  <c r="V10969" i="17"/>
  <c r="V10968" i="17"/>
  <c r="AA10967" i="17"/>
  <c r="V10966" i="17"/>
  <c r="V10965" i="17"/>
  <c r="V10964" i="17"/>
  <c r="AA10963" i="17"/>
  <c r="V10962" i="17"/>
  <c r="V10961" i="17"/>
  <c r="V10960" i="17"/>
  <c r="AA10959" i="17"/>
  <c r="V10958" i="17"/>
  <c r="V10957" i="17"/>
  <c r="V10956" i="17"/>
  <c r="AA10955" i="17"/>
  <c r="V10954" i="17"/>
  <c r="V10953" i="17"/>
  <c r="AA10952" i="17"/>
  <c r="AA10951" i="17"/>
  <c r="V10950" i="17"/>
  <c r="V10949" i="17"/>
  <c r="AA10948" i="17"/>
  <c r="V10947" i="17"/>
  <c r="V10946" i="17"/>
  <c r="AA10945" i="17"/>
  <c r="V10944" i="17"/>
  <c r="V10943" i="17"/>
  <c r="AA10942" i="17"/>
  <c r="V10941" i="17"/>
  <c r="V10940" i="17"/>
  <c r="V10939" i="17"/>
  <c r="V10938" i="17"/>
  <c r="V10937" i="17"/>
  <c r="AA10936" i="17"/>
  <c r="AA10935" i="17"/>
  <c r="V10934" i="17"/>
  <c r="AA10933" i="17"/>
  <c r="AA10932" i="17"/>
  <c r="AA10931" i="17"/>
  <c r="AA10930" i="17"/>
  <c r="AA10929" i="17"/>
  <c r="AA10928" i="17"/>
  <c r="AA10927" i="17"/>
  <c r="AA10926" i="17"/>
  <c r="AA10925" i="17"/>
  <c r="AA10924" i="17"/>
  <c r="AA10923" i="17"/>
  <c r="AA10922" i="17"/>
  <c r="AA10921" i="17"/>
  <c r="AA10920" i="17"/>
  <c r="AA10919" i="17"/>
  <c r="AA10918" i="17"/>
  <c r="AA10917" i="17"/>
  <c r="AA10916" i="17"/>
  <c r="V10915" i="17"/>
  <c r="AA10914" i="17"/>
  <c r="AA10913" i="17"/>
  <c r="AA10912" i="17"/>
  <c r="AA10911" i="17"/>
  <c r="AA10910" i="17"/>
  <c r="AA10909" i="17"/>
  <c r="AA10908" i="17"/>
  <c r="V10907" i="17"/>
  <c r="V10906" i="17"/>
  <c r="AA10905" i="17"/>
  <c r="AA10904" i="17"/>
  <c r="AA10903" i="17"/>
  <c r="AA10901" i="17"/>
  <c r="V10900" i="17"/>
  <c r="AA10899" i="17"/>
  <c r="AA10898" i="17"/>
  <c r="AA10897" i="17"/>
  <c r="AA10896" i="17"/>
  <c r="AA10895" i="17"/>
  <c r="AA10894" i="17"/>
  <c r="AA10893" i="17"/>
  <c r="AA10892" i="17"/>
  <c r="AA10891" i="17"/>
  <c r="AA10890" i="17"/>
  <c r="AA10889" i="17"/>
  <c r="AA10888" i="17"/>
  <c r="AA10887" i="17"/>
  <c r="V10886" i="17"/>
  <c r="AA10885" i="17"/>
  <c r="AA10884" i="17"/>
  <c r="AA10883" i="17"/>
  <c r="V10882" i="17"/>
  <c r="AA10881" i="17"/>
  <c r="AA10880" i="17"/>
  <c r="AA10879" i="17"/>
  <c r="AA10878" i="17"/>
  <c r="AA10877" i="17"/>
  <c r="V10876" i="17"/>
  <c r="AA10875" i="17"/>
  <c r="AA10874" i="17"/>
  <c r="AA10873" i="17"/>
  <c r="AA10872" i="17"/>
  <c r="AA10871" i="17"/>
  <c r="AA10870" i="17"/>
  <c r="AA10869" i="17"/>
  <c r="AA10868" i="17"/>
  <c r="AA10867" i="17"/>
  <c r="AA10866" i="17"/>
  <c r="AA10865" i="17"/>
  <c r="AA10864" i="17"/>
  <c r="AA10863" i="17"/>
  <c r="AA10862" i="17"/>
  <c r="AA10861" i="17"/>
  <c r="AA10860" i="17"/>
  <c r="AA10859" i="17"/>
  <c r="AA10858" i="17"/>
  <c r="AA10857" i="17"/>
  <c r="AA10856" i="17"/>
  <c r="AA10855" i="17"/>
  <c r="Q10854" i="17"/>
  <c r="AA10851" i="17"/>
  <c r="AA10850" i="17"/>
  <c r="Q10849" i="17"/>
  <c r="AA10848" i="17"/>
  <c r="AA10847" i="17"/>
  <c r="AA10846" i="17"/>
  <c r="AA10845" i="17"/>
  <c r="AA10844" i="17"/>
  <c r="AA10843" i="17"/>
  <c r="AA10842" i="17"/>
  <c r="AA10841" i="17"/>
  <c r="AA10840" i="17"/>
  <c r="AA10839" i="17"/>
  <c r="AA10838" i="17"/>
  <c r="AA10837" i="17"/>
  <c r="Q10836" i="17"/>
  <c r="AA10835" i="17"/>
  <c r="AA10834" i="17"/>
  <c r="AA10833" i="17"/>
  <c r="AA10832" i="17"/>
  <c r="Q10831" i="17"/>
  <c r="Q10830" i="17"/>
  <c r="Q10829" i="17"/>
  <c r="Q10828" i="17"/>
  <c r="V10827" i="17"/>
  <c r="V10826" i="17"/>
  <c r="V10825" i="17"/>
  <c r="V10824" i="17"/>
  <c r="AA10823" i="17"/>
  <c r="V10822" i="17"/>
  <c r="V10821" i="17"/>
  <c r="V10820" i="17"/>
  <c r="AA10819" i="17"/>
  <c r="V10818" i="17"/>
  <c r="AA10817" i="17"/>
  <c r="AA10816" i="17"/>
  <c r="AA10815" i="17"/>
  <c r="V10814" i="17"/>
  <c r="AA10813" i="17"/>
  <c r="AA10812" i="17"/>
  <c r="AA10811" i="17"/>
  <c r="AA10810" i="17"/>
  <c r="AA10809" i="17"/>
  <c r="AA10808" i="17"/>
  <c r="AA10807" i="17"/>
  <c r="AA10806" i="17"/>
  <c r="AA10805" i="17"/>
  <c r="AA10804" i="17"/>
  <c r="AA10803" i="17"/>
  <c r="AA10802" i="17"/>
  <c r="AA10801" i="17"/>
  <c r="AA10800" i="17"/>
  <c r="AA10799" i="17"/>
  <c r="AA10798" i="17"/>
  <c r="AA10797" i="17"/>
  <c r="AA10796" i="17"/>
  <c r="AA10795" i="17"/>
  <c r="AA10794" i="17"/>
  <c r="AA10793" i="17"/>
  <c r="AA10792" i="17"/>
  <c r="AA10791" i="17"/>
  <c r="AA10790" i="17"/>
  <c r="AA10789" i="17"/>
  <c r="AA10788" i="17"/>
  <c r="AA10787" i="17"/>
  <c r="AA10786" i="17"/>
  <c r="AA10785" i="17"/>
  <c r="V10784" i="17"/>
  <c r="AA10783" i="17"/>
  <c r="V10782" i="17"/>
  <c r="AA10781" i="17"/>
  <c r="AA10780" i="17"/>
  <c r="AA10779" i="17"/>
  <c r="V10778" i="17"/>
  <c r="V10777" i="17"/>
  <c r="V10775" i="17"/>
  <c r="AA10774" i="17"/>
  <c r="V10773" i="17"/>
  <c r="V10772" i="17"/>
  <c r="V10771" i="17"/>
  <c r="V10770" i="17"/>
  <c r="V10769" i="17"/>
  <c r="V10768" i="17"/>
  <c r="V10767" i="17"/>
  <c r="V10766" i="17"/>
  <c r="V10765" i="17"/>
  <c r="V10764" i="17"/>
  <c r="V10763" i="17"/>
  <c r="V10762" i="17"/>
  <c r="V10761" i="17"/>
  <c r="V10760" i="17"/>
  <c r="AA10759" i="17"/>
  <c r="V10758" i="17"/>
  <c r="V10757" i="17"/>
  <c r="V10756" i="17"/>
  <c r="AA10755" i="17"/>
  <c r="V10754" i="17"/>
  <c r="V10753" i="17"/>
  <c r="V10752" i="17"/>
  <c r="V10751" i="17"/>
  <c r="V10750" i="17"/>
  <c r="V10749" i="17"/>
  <c r="V10748" i="17"/>
  <c r="V10747" i="17"/>
  <c r="V10746" i="17"/>
  <c r="V10745" i="17"/>
  <c r="V10744" i="17"/>
  <c r="V10743" i="17"/>
  <c r="AA10742" i="17"/>
  <c r="V10741" i="17"/>
  <c r="AA10740" i="17"/>
  <c r="AA10739" i="17"/>
  <c r="AA10738" i="17"/>
  <c r="AA10737" i="17"/>
  <c r="AA10736" i="17"/>
  <c r="V10735" i="17"/>
  <c r="AA10734" i="17"/>
  <c r="AA10733" i="17"/>
  <c r="AA10732" i="17"/>
  <c r="AA10731" i="17"/>
  <c r="AA10730" i="17"/>
  <c r="AA10729" i="17"/>
  <c r="AA10727" i="17"/>
  <c r="AA10726" i="17"/>
  <c r="AA10725" i="17"/>
  <c r="AA10724" i="17"/>
  <c r="AA10723" i="17"/>
  <c r="AA10722" i="17"/>
  <c r="AA10721" i="17"/>
  <c r="AA10720" i="17"/>
  <c r="V10719" i="17"/>
  <c r="V10718" i="17"/>
  <c r="V10717" i="17"/>
  <c r="AA10716" i="17"/>
  <c r="AA10715" i="17"/>
  <c r="V10714" i="17"/>
  <c r="V10713" i="17"/>
  <c r="V10712" i="17"/>
  <c r="V10711" i="17"/>
  <c r="AA10710" i="17"/>
  <c r="AA10709" i="17"/>
  <c r="AA10708" i="17"/>
  <c r="AA10707" i="17"/>
  <c r="AA10706" i="17"/>
  <c r="AA10705" i="17"/>
  <c r="AA10704" i="17"/>
  <c r="AA10703" i="17"/>
  <c r="V10702" i="17"/>
  <c r="Q10701" i="17"/>
  <c r="AA10700" i="17"/>
  <c r="AA10699" i="17"/>
  <c r="Q10698" i="17"/>
  <c r="Q10697" i="17"/>
  <c r="Q10696" i="17"/>
  <c r="AA10695" i="17"/>
  <c r="AA10694" i="17"/>
  <c r="AA10693" i="17"/>
  <c r="AA10692" i="17"/>
  <c r="AA10691" i="17"/>
  <c r="AA10690" i="17"/>
  <c r="AA10689" i="17"/>
  <c r="AA10688" i="17"/>
  <c r="AA10687" i="17"/>
  <c r="AA10686" i="17"/>
  <c r="AA10685" i="17"/>
  <c r="AA10684" i="17"/>
  <c r="AA10683" i="17"/>
  <c r="AA10682" i="17"/>
  <c r="AA10681" i="17"/>
  <c r="AA10680" i="17"/>
  <c r="AA10679" i="17"/>
  <c r="AA10678" i="17"/>
  <c r="AA10677" i="17"/>
  <c r="AA10676" i="17"/>
  <c r="AA10675" i="17"/>
  <c r="AA10674" i="17"/>
  <c r="AA10673" i="17"/>
  <c r="AA10672" i="17"/>
  <c r="AA10671" i="17"/>
  <c r="AA10670" i="17"/>
  <c r="AA10669" i="17"/>
  <c r="AA10668" i="17"/>
  <c r="AA10667" i="17"/>
  <c r="AA10666" i="17"/>
  <c r="AA10665" i="17"/>
  <c r="AA10664" i="17"/>
  <c r="AA10663" i="17"/>
  <c r="AA10662" i="17"/>
  <c r="V10661" i="17"/>
  <c r="AA10660" i="17"/>
  <c r="AA10659" i="17"/>
  <c r="AA10658" i="17"/>
  <c r="AA10657" i="17"/>
  <c r="AA10656" i="17"/>
  <c r="AA10655" i="17"/>
  <c r="AA10654" i="17"/>
  <c r="AA10653" i="17"/>
  <c r="AA10652" i="17"/>
  <c r="AA10651" i="17"/>
  <c r="V10650" i="17"/>
  <c r="AA10649" i="17"/>
  <c r="AA10648" i="17"/>
  <c r="AA10647" i="17"/>
  <c r="AA10646" i="17"/>
  <c r="V10645" i="17"/>
  <c r="AA10644" i="17"/>
  <c r="AA10643" i="17"/>
  <c r="AA10642" i="17"/>
  <c r="AA10641" i="17"/>
  <c r="AA10640" i="17"/>
  <c r="AA10639" i="17"/>
  <c r="AA10638" i="17"/>
  <c r="Q10637" i="17"/>
  <c r="Q10636" i="17"/>
  <c r="Q10635" i="17"/>
  <c r="Q10634" i="17"/>
  <c r="AA10633" i="17"/>
  <c r="AA10632" i="17"/>
  <c r="AA10631" i="17"/>
  <c r="V10630" i="17"/>
  <c r="AA10629" i="17"/>
  <c r="AA10628" i="17"/>
  <c r="AA10627" i="17"/>
  <c r="AA10626" i="17"/>
  <c r="AA10625" i="17"/>
  <c r="AA10624" i="17"/>
  <c r="AA10623" i="17"/>
  <c r="V10622" i="17"/>
  <c r="AA10621" i="17"/>
  <c r="AA10620" i="17"/>
  <c r="V10619" i="17"/>
  <c r="AA10618" i="17"/>
  <c r="AA10617" i="17"/>
  <c r="AA10616" i="17"/>
  <c r="AA10615" i="17"/>
  <c r="AA10614" i="17"/>
  <c r="AA10613" i="17"/>
  <c r="V10612" i="17"/>
  <c r="AA10611" i="17"/>
  <c r="AA10610" i="17"/>
  <c r="V10609" i="17"/>
  <c r="V10608" i="17"/>
  <c r="V10607" i="17"/>
  <c r="AA10606" i="17"/>
  <c r="V10605" i="17"/>
  <c r="V10604" i="17"/>
  <c r="V10603" i="17"/>
  <c r="V10602" i="17"/>
  <c r="AA10601" i="17"/>
  <c r="V10600" i="17"/>
  <c r="V10599" i="17"/>
  <c r="AA10598" i="17"/>
  <c r="AA10597" i="17"/>
  <c r="AA10596" i="17"/>
  <c r="AA10595" i="17"/>
  <c r="AA10594" i="17"/>
  <c r="AA10593" i="17"/>
  <c r="AA10592" i="17"/>
  <c r="AA10591" i="17"/>
  <c r="AA10590" i="17"/>
  <c r="AA10589" i="17"/>
  <c r="AA10588" i="17"/>
  <c r="AA10587" i="17"/>
  <c r="AA10586" i="17"/>
  <c r="AA10585" i="17"/>
  <c r="AA10584" i="17"/>
  <c r="AA10583" i="17"/>
  <c r="AA10581" i="17"/>
  <c r="AA10580" i="17"/>
  <c r="V10579" i="17"/>
  <c r="V10578" i="17"/>
  <c r="V10577" i="17"/>
  <c r="AA10576" i="17"/>
  <c r="AA10575" i="17"/>
  <c r="V10574" i="17"/>
  <c r="V10573" i="17"/>
  <c r="V10572" i="17"/>
  <c r="Q10570" i="17"/>
  <c r="Q10569" i="17"/>
  <c r="Q10568" i="17"/>
  <c r="Q10567" i="17"/>
  <c r="Q10566" i="17"/>
  <c r="Q10565" i="17"/>
  <c r="Q10564" i="17"/>
  <c r="Q10563" i="17"/>
  <c r="Q10562" i="17"/>
  <c r="AA10561" i="17"/>
  <c r="AA10560" i="17"/>
  <c r="AA10559" i="17"/>
  <c r="AA10558" i="17"/>
  <c r="AA10557" i="17"/>
  <c r="AA10556" i="17"/>
  <c r="AA10555" i="17"/>
  <c r="AA10554" i="17"/>
  <c r="AA10553" i="17"/>
  <c r="AA10552" i="17"/>
  <c r="AA10551" i="17"/>
  <c r="AA10550" i="17"/>
  <c r="AA10549" i="17"/>
  <c r="AA10548" i="17"/>
  <c r="AA10547" i="17"/>
  <c r="AA10546" i="17"/>
  <c r="AA10545" i="17"/>
  <c r="AA10544" i="17"/>
  <c r="V10543" i="17"/>
  <c r="AA10542" i="17"/>
  <c r="AA10541" i="17"/>
  <c r="AA10540" i="17"/>
  <c r="AA10539" i="17"/>
  <c r="AA10538" i="17"/>
  <c r="AA10537" i="17"/>
  <c r="AA10536" i="17"/>
  <c r="AA10535" i="17"/>
  <c r="AA10534" i="17"/>
  <c r="AA10533" i="17"/>
  <c r="AA10532" i="17"/>
  <c r="AA10531" i="17"/>
  <c r="AA10530" i="17"/>
  <c r="V10529" i="17"/>
  <c r="AA10528" i="17"/>
  <c r="V10527" i="17"/>
  <c r="V10526" i="17"/>
  <c r="V10525" i="17"/>
  <c r="AA10524" i="17"/>
  <c r="AA10523" i="17"/>
  <c r="AA10522" i="17"/>
  <c r="AA10521" i="17"/>
  <c r="AA10520" i="17"/>
  <c r="AA10519" i="17"/>
  <c r="AA10518" i="17"/>
  <c r="AA10517" i="17"/>
  <c r="AA10516" i="17"/>
  <c r="AA10515" i="17"/>
  <c r="AA10514" i="17"/>
  <c r="AA10513" i="17"/>
  <c r="AA10512" i="17"/>
  <c r="V10511" i="17"/>
  <c r="AA10510" i="17"/>
  <c r="AA10509" i="17"/>
  <c r="V10508" i="17"/>
  <c r="AA10507" i="17"/>
  <c r="AA10506" i="17"/>
  <c r="AA10505" i="17"/>
  <c r="AA10504" i="17"/>
  <c r="AA10503" i="17"/>
  <c r="AA10502" i="17"/>
  <c r="V10501" i="17"/>
  <c r="AA10500" i="17"/>
  <c r="AA10499" i="17"/>
  <c r="AA10498" i="17"/>
  <c r="V10497" i="17"/>
  <c r="V10496" i="17"/>
  <c r="V10495" i="17"/>
  <c r="V10494" i="17"/>
  <c r="AA10493" i="17"/>
  <c r="AA10492" i="17"/>
  <c r="AA10491" i="17"/>
  <c r="AA10490" i="17"/>
  <c r="V10489" i="17"/>
  <c r="AA10488" i="17"/>
  <c r="AA10487" i="17"/>
  <c r="AA10486" i="17"/>
  <c r="AA10485" i="17"/>
  <c r="Q10484" i="17"/>
  <c r="AA10483" i="17"/>
  <c r="AA10482" i="17"/>
  <c r="AA10481" i="17"/>
  <c r="AA10480" i="17"/>
  <c r="V10479" i="17"/>
  <c r="AA10478" i="17"/>
  <c r="V10477" i="17"/>
  <c r="AA10476" i="17"/>
  <c r="AA10475" i="17"/>
  <c r="AA10474" i="17"/>
  <c r="AA10473" i="17"/>
  <c r="AA10472" i="17"/>
  <c r="Q10471" i="17"/>
  <c r="Q10470" i="17"/>
  <c r="Q10469" i="17"/>
  <c r="V10468" i="17"/>
  <c r="V10467" i="17"/>
  <c r="Q10466" i="17"/>
  <c r="V10465" i="17"/>
  <c r="V10464" i="17"/>
  <c r="AA10463" i="17"/>
  <c r="V10462" i="17"/>
  <c r="AA10461" i="17"/>
  <c r="AA10460" i="17"/>
  <c r="AA10459" i="17"/>
  <c r="AA10458" i="17"/>
  <c r="AA10457" i="17"/>
  <c r="AA10456" i="17"/>
  <c r="AA10455" i="17"/>
  <c r="AA10454" i="17"/>
  <c r="AA10453" i="17"/>
  <c r="AA10452" i="17"/>
  <c r="AA10451" i="17"/>
  <c r="AA10450" i="17"/>
  <c r="V10449" i="17"/>
  <c r="AA10448" i="17"/>
  <c r="AA10447" i="17"/>
  <c r="AA10446" i="17"/>
  <c r="AA10445" i="17"/>
  <c r="AA10444" i="17"/>
  <c r="AA10443" i="17"/>
  <c r="AA10442" i="17"/>
  <c r="AA10441" i="17"/>
  <c r="AA10440" i="17"/>
  <c r="AA10439" i="17"/>
  <c r="AA10438" i="17"/>
  <c r="AA10437" i="17"/>
  <c r="AA10436" i="17"/>
  <c r="V10435" i="17"/>
  <c r="AA10434" i="17"/>
  <c r="AA10433" i="17"/>
  <c r="AA10432" i="17"/>
  <c r="AA10431" i="17"/>
  <c r="AA10430" i="17"/>
  <c r="AA10429" i="17"/>
  <c r="AA10428" i="17"/>
  <c r="AA10426" i="17"/>
  <c r="AA10425" i="17"/>
  <c r="AA10424" i="17"/>
  <c r="AA10423" i="17"/>
  <c r="AA10422" i="17"/>
  <c r="AA10421" i="17"/>
  <c r="AA10420" i="17"/>
  <c r="V10419" i="17"/>
  <c r="V10418" i="17"/>
  <c r="V10417" i="17"/>
  <c r="AA10416" i="17"/>
  <c r="AA10415" i="17"/>
  <c r="AA10414" i="17"/>
  <c r="V10413" i="17"/>
  <c r="AA10412" i="17"/>
  <c r="AA10411" i="17"/>
  <c r="AA10410" i="17"/>
  <c r="V10409" i="17"/>
  <c r="AA10408" i="17"/>
  <c r="AA10407" i="17"/>
  <c r="Q10406" i="17"/>
  <c r="Q10405" i="17"/>
  <c r="Q10404" i="17"/>
  <c r="Q10403" i="17"/>
  <c r="Q10402" i="17"/>
  <c r="Q10401" i="17"/>
  <c r="Q10400" i="17"/>
  <c r="AA10399" i="17"/>
  <c r="AA10398" i="17"/>
  <c r="AA10397" i="17"/>
  <c r="AA10396" i="17"/>
  <c r="AA10395" i="17"/>
  <c r="AA10394" i="17"/>
  <c r="AA10393" i="17"/>
  <c r="AA10392" i="17"/>
  <c r="AA10391" i="17"/>
  <c r="AA10390" i="17"/>
  <c r="AA10389" i="17"/>
  <c r="AA10388" i="17"/>
  <c r="AA10387" i="17"/>
  <c r="AA10386" i="17"/>
  <c r="AA10385" i="17"/>
  <c r="AA10384" i="17"/>
  <c r="AA10383" i="17"/>
  <c r="AA10382" i="17"/>
  <c r="AA10381" i="17"/>
  <c r="AA10380" i="17"/>
  <c r="AA10379" i="17"/>
  <c r="AA10378" i="17"/>
  <c r="AA10377" i="17"/>
  <c r="AA10376" i="17"/>
  <c r="AA10375" i="17"/>
  <c r="AA10374" i="17"/>
  <c r="Q10373" i="17"/>
  <c r="Q10372" i="17"/>
  <c r="Q10371" i="17"/>
  <c r="Q10370" i="17"/>
  <c r="AA10369" i="17"/>
  <c r="Q10367" i="17"/>
  <c r="AA10366" i="17"/>
  <c r="V10365" i="17"/>
  <c r="AA10364" i="17"/>
  <c r="Q10363" i="17"/>
  <c r="AA10362" i="17"/>
  <c r="AA10361" i="17"/>
  <c r="AA10360" i="17"/>
  <c r="AA10359" i="17"/>
  <c r="AA10358" i="17"/>
  <c r="AA10357" i="17"/>
  <c r="AA10356" i="17"/>
  <c r="AA10355" i="17"/>
  <c r="AA10354" i="17"/>
  <c r="AA10353" i="17"/>
  <c r="AA10352" i="17"/>
  <c r="AA10351" i="17"/>
  <c r="AA10350" i="17"/>
  <c r="AA10349" i="17"/>
  <c r="AA10348" i="17"/>
  <c r="AA10347" i="17"/>
  <c r="AA10346" i="17"/>
  <c r="AA10345" i="17"/>
  <c r="AA10344" i="17"/>
  <c r="AA10343" i="17"/>
  <c r="AA10342" i="17"/>
  <c r="AA10341" i="17"/>
  <c r="AA10340" i="17"/>
  <c r="AA10339" i="17"/>
  <c r="AA10338" i="17"/>
  <c r="V10337" i="17"/>
  <c r="Q10336" i="17"/>
  <c r="Q10335" i="17"/>
  <c r="AA10334" i="17"/>
  <c r="Q10332" i="17"/>
  <c r="Q10331" i="17"/>
  <c r="Q10330" i="17"/>
  <c r="AA10329" i="17"/>
  <c r="AA10328" i="17"/>
  <c r="AA10327" i="17"/>
  <c r="AA10326" i="17"/>
  <c r="AA10325" i="17"/>
  <c r="AA10324" i="17"/>
  <c r="AA10323" i="17"/>
  <c r="AA10322" i="17"/>
  <c r="AA10321" i="17"/>
  <c r="AA10320" i="17"/>
  <c r="AA10319" i="17"/>
  <c r="AA10318" i="17"/>
  <c r="AA10317" i="17"/>
  <c r="AA10316" i="17"/>
  <c r="AA10315" i="17"/>
  <c r="AA10314" i="17"/>
  <c r="AA10313" i="17"/>
  <c r="AA10312" i="17"/>
  <c r="AA10311" i="17"/>
  <c r="AA10310" i="17"/>
  <c r="AA10309" i="17"/>
  <c r="AA10308" i="17"/>
  <c r="AA10307" i="17"/>
  <c r="AA10306" i="17"/>
  <c r="V10305" i="17"/>
  <c r="AA10304" i="17"/>
  <c r="AA10303" i="17"/>
  <c r="AA10302" i="17"/>
  <c r="AA10301" i="17"/>
  <c r="AA10300" i="17"/>
  <c r="AA10299" i="17"/>
  <c r="AA10298" i="17"/>
  <c r="AA10297" i="17"/>
  <c r="AA10296" i="17"/>
  <c r="V10295" i="17"/>
  <c r="AA10294" i="17"/>
  <c r="AA10293" i="17"/>
  <c r="AA10292" i="17"/>
  <c r="AA10291" i="17"/>
  <c r="AA10290" i="17"/>
  <c r="AA10289" i="17"/>
  <c r="AA10288" i="17"/>
  <c r="AA10287" i="17"/>
  <c r="AA10286" i="17"/>
  <c r="AA10285" i="17"/>
  <c r="AA10284" i="17"/>
  <c r="AA10283" i="17"/>
  <c r="Q10282" i="17"/>
  <c r="AA10281" i="17"/>
  <c r="AA10280" i="17"/>
  <c r="AA10279" i="17"/>
  <c r="AA10278" i="17"/>
  <c r="V10277" i="17"/>
  <c r="AA10276" i="17"/>
  <c r="AA10275" i="17"/>
  <c r="Q10274" i="17"/>
  <c r="AA10273" i="17"/>
  <c r="AA10272" i="17"/>
  <c r="AA10271" i="17"/>
  <c r="AA10270" i="17"/>
  <c r="AA10269" i="17"/>
  <c r="AA10268" i="17"/>
  <c r="AA10267" i="17"/>
  <c r="AA10266" i="17"/>
  <c r="AA10265" i="17"/>
  <c r="V10264" i="17"/>
  <c r="AA10263" i="17"/>
  <c r="V10262" i="17"/>
  <c r="AA10261" i="17"/>
  <c r="AA10260" i="17"/>
  <c r="AA10259" i="17"/>
  <c r="AA10258" i="17"/>
  <c r="AA10257" i="17"/>
  <c r="AA10256" i="17"/>
  <c r="AA10255" i="17"/>
  <c r="AA10254" i="17"/>
  <c r="AA10253" i="17"/>
  <c r="AA10252" i="17"/>
  <c r="AA10251" i="17"/>
  <c r="AA10250" i="17"/>
  <c r="AA10249" i="17"/>
  <c r="AA10248" i="17"/>
  <c r="AA10247" i="17"/>
  <c r="AA10246" i="17"/>
  <c r="AA10245" i="17"/>
  <c r="AA10244" i="17"/>
  <c r="AA10243" i="17"/>
  <c r="AA10242" i="17"/>
  <c r="AA10241" i="17"/>
  <c r="AA10240" i="17"/>
  <c r="AA10239" i="17"/>
  <c r="AA10238" i="17"/>
  <c r="AA10237" i="17"/>
  <c r="AA10236" i="17"/>
  <c r="AA10235" i="17"/>
  <c r="AA10234" i="17"/>
  <c r="AA10233" i="17"/>
  <c r="AA10232" i="17"/>
  <c r="V10231" i="17"/>
  <c r="AA10230" i="17"/>
  <c r="AA10229" i="17"/>
  <c r="AA10228" i="17"/>
  <c r="AA10227" i="17"/>
  <c r="V10226" i="17"/>
  <c r="AA10225" i="17"/>
  <c r="AA10224" i="17"/>
  <c r="V10223" i="17"/>
  <c r="AA10222" i="17"/>
  <c r="V10221" i="17"/>
  <c r="V10220" i="17"/>
  <c r="V10219" i="17"/>
  <c r="V10218" i="17"/>
  <c r="AA10217" i="17"/>
  <c r="V10216" i="17"/>
  <c r="V10215" i="17"/>
  <c r="AA10214" i="17"/>
  <c r="AA10213" i="17"/>
  <c r="AA10212" i="17"/>
  <c r="AA10211" i="17"/>
  <c r="AA10210" i="17"/>
  <c r="AA10209" i="17"/>
  <c r="AA10208" i="17"/>
  <c r="AA10207" i="17"/>
  <c r="V10206" i="17"/>
  <c r="AA10205" i="17"/>
  <c r="AA10204" i="17"/>
  <c r="V10203" i="17"/>
  <c r="AA10202" i="17"/>
  <c r="AA10201" i="17"/>
  <c r="AA10200" i="17"/>
  <c r="AA10199" i="17"/>
  <c r="AA10198" i="17"/>
  <c r="AA10197" i="17"/>
  <c r="AA10196" i="17"/>
  <c r="AA10195" i="17"/>
  <c r="AA10194" i="17"/>
  <c r="AA10193" i="17"/>
  <c r="AA10192" i="17"/>
  <c r="AA10191" i="17"/>
  <c r="AA10190" i="17"/>
  <c r="AA10189" i="17"/>
  <c r="AA10188" i="17"/>
  <c r="AA10187" i="17"/>
  <c r="V10186" i="17"/>
  <c r="AA10185" i="17"/>
  <c r="AA10183" i="17"/>
  <c r="AA10182" i="17"/>
  <c r="V10181" i="17"/>
  <c r="AA10180" i="17"/>
  <c r="AA10179" i="17"/>
  <c r="AA10178" i="17"/>
  <c r="AA10177" i="17"/>
  <c r="AA10176" i="17"/>
  <c r="AA10175" i="17"/>
  <c r="AA10174" i="17"/>
  <c r="AA10173" i="17"/>
  <c r="AA10172" i="17"/>
  <c r="AA10171" i="17"/>
  <c r="AA10170" i="17"/>
  <c r="AA10169" i="17"/>
  <c r="AA10168" i="17"/>
  <c r="AA10167" i="17"/>
  <c r="AA10166" i="17"/>
  <c r="AA10165" i="17"/>
  <c r="AA10164" i="17"/>
  <c r="AA10163" i="17"/>
  <c r="V10161" i="17"/>
  <c r="V10160" i="17"/>
  <c r="V10159" i="17"/>
  <c r="AA10158" i="17"/>
  <c r="V10157" i="17"/>
  <c r="V10156" i="17"/>
  <c r="V10155" i="17"/>
  <c r="V10154" i="17"/>
  <c r="V10153" i="17"/>
  <c r="AA10152" i="17"/>
  <c r="AA10151" i="17"/>
  <c r="V10150" i="17"/>
  <c r="AA10149" i="17"/>
  <c r="AA10147" i="17"/>
  <c r="AA10146" i="17"/>
  <c r="AA10145" i="17"/>
  <c r="AA10144" i="17"/>
  <c r="AA10143" i="17"/>
  <c r="AA10142" i="17"/>
  <c r="V10141" i="17"/>
  <c r="V10140" i="17"/>
  <c r="V10139" i="17"/>
  <c r="V10138" i="17"/>
  <c r="AA10137" i="17"/>
  <c r="AA10136" i="17"/>
  <c r="AA10135" i="17"/>
  <c r="V10134" i="17"/>
  <c r="AA10133" i="17"/>
  <c r="V10132" i="17"/>
  <c r="V10131" i="17"/>
  <c r="AA10130" i="17"/>
  <c r="AA10129" i="17"/>
  <c r="AA10128" i="17"/>
  <c r="AA10127" i="17"/>
  <c r="AA10126" i="17"/>
  <c r="AA10125" i="17"/>
  <c r="AA10124" i="17"/>
  <c r="AA10123" i="17"/>
  <c r="V10122" i="17"/>
  <c r="AA10121" i="17"/>
  <c r="AA10120" i="17"/>
  <c r="AA10119" i="17"/>
  <c r="AA10118" i="17"/>
  <c r="AA10117" i="17"/>
  <c r="AA10116" i="17"/>
  <c r="V10115" i="17"/>
  <c r="V10114" i="17"/>
  <c r="V10113" i="17"/>
  <c r="AA10112" i="17"/>
  <c r="V10111" i="17"/>
  <c r="AA10110" i="17"/>
  <c r="AA10109" i="17"/>
  <c r="V10108" i="17"/>
  <c r="AA10107" i="17"/>
  <c r="AA10106" i="17"/>
  <c r="AA10105" i="17"/>
  <c r="AA10104" i="17"/>
  <c r="AA10103" i="17"/>
  <c r="AA10102" i="17"/>
  <c r="AA10101" i="17"/>
  <c r="V10100" i="17"/>
  <c r="AA10099" i="17"/>
  <c r="AA10098" i="17"/>
  <c r="AA10097" i="17"/>
  <c r="AA10096" i="17"/>
  <c r="AA10095" i="17"/>
  <c r="V10094" i="17"/>
  <c r="V10093" i="17"/>
  <c r="AA10092" i="17"/>
  <c r="AA10091" i="17"/>
  <c r="V10090" i="17"/>
  <c r="AA10089" i="17"/>
  <c r="V10087" i="17"/>
  <c r="V10086" i="17"/>
  <c r="AA10085" i="17"/>
  <c r="AA10084" i="17"/>
  <c r="AA10083" i="17"/>
  <c r="AA10082" i="17"/>
  <c r="AA10081" i="17"/>
  <c r="AA10080" i="17"/>
  <c r="AA10079" i="17"/>
  <c r="AA10078" i="17"/>
  <c r="AA10077" i="17"/>
  <c r="AA10076" i="17"/>
  <c r="AA10075" i="17"/>
  <c r="AA10074" i="17"/>
  <c r="AA10073" i="17"/>
  <c r="AA10072" i="17"/>
  <c r="AA10071" i="17"/>
  <c r="AA10070" i="17"/>
  <c r="V10069" i="17"/>
  <c r="V10068" i="17"/>
  <c r="V10067" i="17"/>
  <c r="AA10066" i="17"/>
  <c r="V10065" i="17"/>
  <c r="V10064" i="17"/>
  <c r="AA10063" i="17"/>
  <c r="AA10062" i="17"/>
  <c r="AA10061" i="17"/>
  <c r="AA10060" i="17"/>
  <c r="AA10059" i="17"/>
  <c r="AA10058" i="17"/>
  <c r="AA10057" i="17"/>
  <c r="AA10056" i="17"/>
  <c r="AA10055" i="17"/>
  <c r="V10054" i="17"/>
  <c r="V10053" i="17"/>
  <c r="V10052" i="17"/>
  <c r="V10051" i="17"/>
  <c r="V10050" i="17"/>
  <c r="V10049" i="17"/>
  <c r="V10048" i="17"/>
  <c r="AA10047" i="17"/>
  <c r="AA10046" i="17"/>
  <c r="AA10045" i="17"/>
  <c r="AA10044" i="17"/>
  <c r="V10043" i="17"/>
  <c r="V10042" i="17"/>
  <c r="V10041" i="17"/>
  <c r="AA10039" i="17"/>
  <c r="AA10038" i="17"/>
  <c r="AA10037" i="17"/>
  <c r="AA10036" i="17"/>
  <c r="AA10035" i="17"/>
  <c r="AA10034" i="17"/>
  <c r="AA10033" i="17"/>
  <c r="AA10032" i="17"/>
  <c r="V10031" i="17"/>
  <c r="V10030" i="17"/>
  <c r="AA10029" i="17"/>
  <c r="AA10028" i="17"/>
  <c r="AA10027" i="17"/>
  <c r="AA10026" i="17"/>
  <c r="V10025" i="17"/>
  <c r="V10024" i="17"/>
  <c r="V10023" i="17"/>
  <c r="AA10022" i="17"/>
  <c r="AA10021" i="17"/>
  <c r="AA10020" i="17"/>
  <c r="V10019" i="17"/>
  <c r="V10018" i="17"/>
  <c r="AA10017" i="17"/>
  <c r="AA10016" i="17"/>
  <c r="AA10014" i="17"/>
  <c r="AA10013" i="17"/>
  <c r="AA10012" i="17"/>
  <c r="V10011" i="17"/>
  <c r="AA10010" i="17"/>
  <c r="AA10009" i="17"/>
  <c r="AA10008" i="17"/>
  <c r="AA10007" i="17"/>
  <c r="AA10006" i="17"/>
  <c r="AA10005" i="17"/>
  <c r="AA10004" i="17"/>
  <c r="AA10003" i="17"/>
  <c r="AA10002" i="17"/>
  <c r="AA10001" i="17"/>
  <c r="AA10000" i="17"/>
  <c r="AA9999" i="17"/>
  <c r="AA9998" i="17"/>
  <c r="AA9997" i="17"/>
  <c r="AA9996" i="17"/>
  <c r="V9995" i="17"/>
  <c r="AA9994" i="17"/>
  <c r="V9993" i="17"/>
  <c r="AA9992" i="17"/>
  <c r="AA9991" i="17"/>
  <c r="V9990" i="17"/>
  <c r="AA9989" i="17"/>
  <c r="AA9988" i="17"/>
  <c r="AA9987" i="17"/>
  <c r="AA9986" i="17"/>
  <c r="AA9985" i="17"/>
  <c r="V9984" i="17"/>
  <c r="V9983" i="17"/>
  <c r="V9982" i="17"/>
  <c r="AA9981" i="17"/>
  <c r="V9980" i="17"/>
  <c r="AA9979" i="17"/>
  <c r="AA9978" i="17"/>
  <c r="AA9977" i="17"/>
  <c r="AA9976" i="17"/>
  <c r="AA9975" i="17"/>
  <c r="AA9974" i="17"/>
  <c r="AA9973" i="17"/>
  <c r="AA9972" i="17"/>
  <c r="AA9971" i="17"/>
  <c r="AA9970" i="17"/>
  <c r="AA9969" i="17"/>
  <c r="AA9968" i="17"/>
  <c r="AA9967" i="17"/>
  <c r="AA9966" i="17"/>
  <c r="AA9965" i="17"/>
  <c r="AA9964" i="17"/>
  <c r="AA9963" i="17"/>
  <c r="AA9962" i="17"/>
  <c r="AA9961" i="17"/>
  <c r="V9960" i="17"/>
  <c r="AA9959" i="17"/>
  <c r="AA9958" i="17"/>
  <c r="AA9957" i="17"/>
  <c r="AA9956" i="17"/>
  <c r="AA9955" i="17"/>
  <c r="AA9954" i="17"/>
  <c r="AA9953" i="17"/>
  <c r="V9952" i="17"/>
  <c r="AA9951" i="17"/>
  <c r="AA9950" i="17"/>
  <c r="AA9949" i="17"/>
  <c r="AA9948" i="17"/>
  <c r="AA9947" i="17"/>
  <c r="V9946" i="17"/>
  <c r="AA9945" i="17"/>
  <c r="AA9944" i="17"/>
  <c r="AA9943" i="17"/>
  <c r="V9942" i="17"/>
  <c r="AA9941" i="17"/>
  <c r="AA9940" i="17"/>
  <c r="AA9939" i="17"/>
  <c r="AA9938" i="17"/>
  <c r="AA9937" i="17"/>
  <c r="AA9936" i="17"/>
  <c r="AA9935" i="17"/>
  <c r="AA9934" i="17"/>
  <c r="AA9933" i="17"/>
  <c r="AA9932" i="17"/>
  <c r="AA9931" i="17"/>
  <c r="V9930" i="17"/>
  <c r="V9929" i="17"/>
  <c r="V9928" i="17"/>
  <c r="V9927" i="17"/>
  <c r="V9926" i="17"/>
  <c r="V9925" i="17"/>
  <c r="V9924" i="17"/>
  <c r="V9923" i="17"/>
  <c r="V9922" i="17"/>
  <c r="AA9921" i="17"/>
  <c r="AA9920" i="17"/>
  <c r="AA9919" i="17"/>
  <c r="AA9918" i="17"/>
  <c r="V9917" i="17"/>
  <c r="AA9916" i="17"/>
  <c r="AA9915" i="17"/>
  <c r="V9914" i="17"/>
  <c r="V9913" i="17"/>
  <c r="AA9912" i="17"/>
  <c r="AA9911" i="17"/>
  <c r="AA9909" i="17"/>
  <c r="AA9908" i="17"/>
  <c r="V9907" i="17"/>
  <c r="V9906" i="17"/>
  <c r="AA9905" i="17"/>
  <c r="V9904" i="17"/>
  <c r="AA9903" i="17"/>
  <c r="V9902" i="17"/>
  <c r="V9901" i="17"/>
  <c r="V9900" i="17"/>
  <c r="V9899" i="17"/>
  <c r="AA9898" i="17"/>
  <c r="V9897" i="17"/>
  <c r="AA9896" i="17"/>
  <c r="AA9895" i="17"/>
  <c r="V9894" i="17"/>
  <c r="AA9893" i="17"/>
  <c r="V9892" i="17"/>
  <c r="AA9891" i="17"/>
  <c r="AA9890" i="17"/>
  <c r="AA9889" i="17"/>
  <c r="AA9888" i="17"/>
  <c r="AA9887" i="17"/>
  <c r="AA9886" i="17"/>
  <c r="AA9885" i="17"/>
  <c r="AA9884" i="17"/>
  <c r="AA9883" i="17"/>
  <c r="V9882" i="17"/>
  <c r="V9881" i="17"/>
  <c r="AA9880" i="17"/>
  <c r="AA9879" i="17"/>
  <c r="AA9878" i="17"/>
  <c r="AA9877" i="17"/>
  <c r="V9876" i="17"/>
  <c r="V9875" i="17"/>
  <c r="V9874" i="17"/>
  <c r="V9873" i="17"/>
  <c r="V9872" i="17"/>
  <c r="V9871" i="17"/>
  <c r="V9870" i="17"/>
  <c r="AA9869" i="17"/>
  <c r="AA9868" i="17"/>
  <c r="V9867" i="17"/>
  <c r="AA9866" i="17"/>
  <c r="V9865" i="17"/>
  <c r="V9864" i="17"/>
  <c r="AA9863" i="17"/>
  <c r="V9862" i="17"/>
  <c r="V9861" i="17"/>
  <c r="AA9859" i="17"/>
  <c r="AA9858" i="17"/>
  <c r="AA9857" i="17"/>
  <c r="AA9856" i="17"/>
  <c r="AA9855" i="17"/>
  <c r="AA9854" i="17"/>
  <c r="AA9853" i="17"/>
  <c r="AA9852" i="17"/>
  <c r="AA9851" i="17"/>
  <c r="AA9850" i="17"/>
  <c r="AA9849" i="17"/>
  <c r="AA9848" i="17"/>
  <c r="V9847" i="17"/>
  <c r="V9846" i="17"/>
  <c r="AA9845" i="17"/>
  <c r="AA9844" i="17"/>
  <c r="AA9843" i="17"/>
  <c r="AA9842" i="17"/>
  <c r="AA9841" i="17"/>
  <c r="AA9840" i="17"/>
  <c r="AA9839" i="17"/>
  <c r="V9838" i="17"/>
  <c r="AA9837" i="17"/>
  <c r="AA9836" i="17"/>
  <c r="AA9835" i="17"/>
  <c r="AA9834" i="17"/>
  <c r="AA9833" i="17"/>
  <c r="V9832" i="17"/>
  <c r="AA9831" i="17"/>
  <c r="AA9830" i="17"/>
  <c r="AA9829" i="17"/>
  <c r="AA9828" i="17"/>
  <c r="AA9827" i="17"/>
  <c r="AA9826" i="17"/>
  <c r="AA9825" i="17"/>
  <c r="AA9824" i="17"/>
  <c r="AA9823" i="17"/>
  <c r="AA9822" i="17"/>
  <c r="AA9821" i="17"/>
  <c r="AA9820" i="17"/>
  <c r="AA9819" i="17"/>
  <c r="V9818" i="17"/>
  <c r="AA9817" i="17"/>
  <c r="AA9816" i="17"/>
  <c r="AA9815" i="17"/>
  <c r="AA9814" i="17"/>
  <c r="AA9810" i="17"/>
  <c r="AA9809" i="17"/>
  <c r="AA9808" i="17"/>
  <c r="AA9807" i="17"/>
  <c r="AA9806" i="17"/>
  <c r="AA9805" i="17"/>
  <c r="V9804" i="17"/>
  <c r="V9803" i="17"/>
  <c r="V9802" i="17"/>
  <c r="V9801" i="17"/>
  <c r="V9800" i="17"/>
  <c r="AA9799" i="17"/>
  <c r="AA9798" i="17"/>
  <c r="AA9797" i="17"/>
  <c r="V9796" i="17"/>
  <c r="AA9795" i="17"/>
  <c r="AA9794" i="17"/>
  <c r="V9793" i="17"/>
  <c r="AA9792" i="17"/>
  <c r="AA9791" i="17"/>
  <c r="AA9790" i="17"/>
  <c r="AA9789" i="17"/>
  <c r="AA9788" i="17"/>
  <c r="AA9787" i="17"/>
  <c r="AA9786" i="17"/>
  <c r="AA9785" i="17"/>
  <c r="AA9784" i="17"/>
  <c r="AA9783" i="17"/>
  <c r="AA9782" i="17"/>
  <c r="AA9781" i="17"/>
  <c r="AA9780" i="17"/>
  <c r="V9779" i="17"/>
  <c r="AA9778" i="17"/>
  <c r="AA9777" i="17"/>
  <c r="AA9776" i="17"/>
  <c r="AA9774" i="17"/>
  <c r="AA9773" i="17"/>
  <c r="AA9772" i="17"/>
  <c r="AA9771" i="17"/>
  <c r="AA9770" i="17"/>
  <c r="AA9769" i="17"/>
  <c r="AA9768" i="17"/>
  <c r="AA9767" i="17"/>
  <c r="AA9766" i="17"/>
  <c r="AA9765" i="17"/>
  <c r="V9764" i="17"/>
  <c r="V9763" i="17"/>
  <c r="V9762" i="17"/>
  <c r="AA9761" i="17"/>
  <c r="V9760" i="17"/>
  <c r="AA9758" i="17"/>
  <c r="AA9757" i="17"/>
  <c r="AA9756" i="17"/>
  <c r="AA9755" i="17"/>
  <c r="AA9754" i="17"/>
  <c r="AA9753" i="17"/>
  <c r="AA9752" i="17"/>
  <c r="AA9751" i="17"/>
  <c r="AA9750" i="17"/>
  <c r="AA9749" i="17"/>
  <c r="AA9748" i="17"/>
  <c r="AA9747" i="17"/>
  <c r="AA9746" i="17"/>
  <c r="AA9745" i="17"/>
  <c r="AA9744" i="17"/>
  <c r="AA9743" i="17"/>
  <c r="V9742" i="17"/>
  <c r="AA9741" i="17"/>
  <c r="AA9740" i="17"/>
  <c r="AA9739" i="17"/>
  <c r="AA9738" i="17"/>
  <c r="AA9737" i="17"/>
  <c r="AA9736" i="17"/>
  <c r="AA9735" i="17"/>
  <c r="V9734" i="17"/>
  <c r="AA9733" i="17"/>
  <c r="AA9732" i="17"/>
  <c r="AA9731" i="17"/>
  <c r="AA9730" i="17"/>
  <c r="AA9729" i="17"/>
  <c r="AA9728" i="17"/>
  <c r="AA9727" i="17"/>
  <c r="AA9726" i="17"/>
  <c r="AA9725" i="17"/>
  <c r="V9724" i="17"/>
  <c r="AA9723" i="17"/>
  <c r="AA9722" i="17"/>
  <c r="AA9721" i="17"/>
  <c r="AA9720" i="17"/>
  <c r="AA9719" i="17"/>
  <c r="AA9718" i="17"/>
  <c r="AA9717" i="17"/>
  <c r="V9716" i="17"/>
  <c r="AA9715" i="17"/>
  <c r="AA9714" i="17"/>
  <c r="AA9713" i="17"/>
  <c r="AA9712" i="17"/>
  <c r="AA9711" i="17"/>
  <c r="AA9710" i="17"/>
  <c r="AA9709" i="17"/>
  <c r="V9708" i="17"/>
  <c r="V9707" i="17"/>
  <c r="V9706" i="17"/>
  <c r="V9705" i="17"/>
  <c r="AA9704" i="17"/>
  <c r="AA9703" i="17"/>
  <c r="AA9702" i="17"/>
  <c r="V9701" i="17"/>
  <c r="AA9700" i="17"/>
  <c r="AA9699" i="17"/>
  <c r="AA9698" i="17"/>
  <c r="AA9697" i="17"/>
  <c r="V9696" i="17"/>
  <c r="V9695" i="17"/>
  <c r="V9694" i="17"/>
  <c r="V9693" i="17"/>
  <c r="AA9692" i="17"/>
  <c r="AA9691" i="17"/>
  <c r="AA9690" i="17"/>
  <c r="AA9689" i="17"/>
  <c r="AA9688" i="17"/>
  <c r="AA9687" i="17"/>
  <c r="AA9686" i="17"/>
  <c r="AA9685" i="17"/>
  <c r="AA9684" i="17"/>
  <c r="AA9683" i="17"/>
  <c r="AA9682" i="17"/>
  <c r="AA9681" i="17"/>
  <c r="AA9680" i="17"/>
  <c r="AA9679" i="17"/>
  <c r="AA9678" i="17"/>
  <c r="AA9677" i="17"/>
  <c r="AA9676" i="17"/>
  <c r="AA9675" i="17"/>
  <c r="AA9674" i="17"/>
  <c r="V9673" i="17"/>
  <c r="V9672" i="17"/>
  <c r="AA9671" i="17"/>
  <c r="AA9670" i="17"/>
  <c r="AA9669" i="17"/>
  <c r="AA9668" i="17"/>
  <c r="AA9667" i="17"/>
  <c r="AA9666" i="17"/>
  <c r="AA9665" i="17"/>
  <c r="AA9664" i="17"/>
  <c r="V9663" i="17"/>
  <c r="V9662" i="17"/>
  <c r="V9661" i="17"/>
  <c r="AA9660" i="17"/>
  <c r="V9659" i="17"/>
  <c r="V9658" i="17"/>
  <c r="V9657" i="17"/>
  <c r="AA9656" i="17"/>
  <c r="AA9655" i="17"/>
  <c r="AA9654" i="17"/>
  <c r="AA9652" i="17"/>
  <c r="V9651" i="17"/>
  <c r="AA9650" i="17"/>
  <c r="V9649" i="17"/>
  <c r="V9648" i="17"/>
  <c r="AA9647" i="17"/>
  <c r="AA9646" i="17"/>
  <c r="AA9645" i="17"/>
  <c r="V9644" i="17"/>
  <c r="V9643" i="17"/>
  <c r="V9642" i="17"/>
  <c r="V9641" i="17"/>
  <c r="AA9640" i="17"/>
  <c r="AA9639" i="17"/>
  <c r="V9638" i="17"/>
  <c r="AA9637" i="17"/>
  <c r="AA9636" i="17"/>
  <c r="AA9635" i="17"/>
  <c r="AA9634" i="17"/>
  <c r="AA9633" i="17"/>
  <c r="AA9632" i="17"/>
  <c r="AA9631" i="17"/>
  <c r="AA9630" i="17"/>
  <c r="AA9629" i="17"/>
  <c r="V9628" i="17"/>
  <c r="AA9627" i="17"/>
  <c r="AA9626" i="17"/>
  <c r="AA9625" i="17"/>
  <c r="AA9624" i="17"/>
  <c r="AA9623" i="17"/>
  <c r="AA9622" i="17"/>
  <c r="AA9621" i="17"/>
  <c r="AA9620" i="17"/>
  <c r="AA9619" i="17"/>
  <c r="AA9618" i="17"/>
  <c r="AA9617" i="17"/>
  <c r="AA9616" i="17"/>
  <c r="V9615" i="17"/>
  <c r="AA9614" i="17"/>
  <c r="AA9613" i="17"/>
  <c r="AA9612" i="17"/>
  <c r="AA9611" i="17"/>
  <c r="AA9610" i="17"/>
  <c r="AA9609" i="17"/>
  <c r="AA9608" i="17"/>
  <c r="AA9607" i="17"/>
  <c r="AA9606" i="17"/>
  <c r="AA9605" i="17"/>
  <c r="AA9604" i="17"/>
  <c r="AA9603" i="17"/>
  <c r="V9602" i="17"/>
  <c r="AA9601" i="17"/>
  <c r="AA9600" i="17"/>
  <c r="V9599" i="17"/>
  <c r="V9593" i="17"/>
  <c r="AA9592" i="17"/>
  <c r="AA9591" i="17"/>
  <c r="AA9590" i="17"/>
  <c r="AA9589" i="17"/>
  <c r="AA9588" i="17"/>
  <c r="AA9587" i="17"/>
  <c r="AA9586" i="17"/>
  <c r="AA9585" i="17"/>
  <c r="AA9584" i="17"/>
  <c r="AA9583" i="17"/>
  <c r="AA9582" i="17"/>
  <c r="AA9581" i="17"/>
  <c r="V9580" i="17"/>
  <c r="V9579" i="17"/>
  <c r="AA9578" i="17"/>
  <c r="AA9577" i="17"/>
  <c r="AA9576" i="17"/>
  <c r="AA9575" i="17"/>
  <c r="V9574" i="17"/>
  <c r="AA9573" i="17"/>
  <c r="V9571" i="17"/>
  <c r="AA9570" i="17"/>
  <c r="V9569" i="17"/>
  <c r="V9568" i="17"/>
  <c r="V9567" i="17"/>
  <c r="AA9566" i="17"/>
  <c r="AA9565" i="17"/>
  <c r="AA9564" i="17"/>
  <c r="AA9563" i="17"/>
  <c r="AA9562" i="17"/>
  <c r="AA9561" i="17"/>
  <c r="AA9560" i="17"/>
  <c r="AA9559" i="17"/>
  <c r="AA9558" i="17"/>
  <c r="V9557" i="17"/>
  <c r="V9556" i="17"/>
  <c r="AA9555" i="17"/>
  <c r="AA9554" i="17"/>
  <c r="AA9553" i="17"/>
  <c r="AA9552" i="17"/>
  <c r="AA9551" i="17"/>
  <c r="AA9550" i="17"/>
  <c r="AA9549" i="17"/>
  <c r="AA9548" i="17"/>
  <c r="V9547" i="17"/>
  <c r="V9546" i="17"/>
  <c r="AA9545" i="17"/>
  <c r="AA9544" i="17"/>
  <c r="AA9543" i="17"/>
  <c r="AA9542" i="17"/>
  <c r="AA9541" i="17"/>
  <c r="V9540" i="17"/>
  <c r="AA9539" i="17"/>
  <c r="AA9538" i="17"/>
  <c r="AA9537" i="17"/>
  <c r="AA9536" i="17"/>
  <c r="AA9535" i="17"/>
  <c r="AA9534" i="17"/>
  <c r="AA9533" i="17"/>
  <c r="V9532" i="17"/>
  <c r="V9531" i="17"/>
  <c r="V9530" i="17"/>
  <c r="AA9528" i="17"/>
  <c r="V9527" i="17"/>
  <c r="V9526" i="17"/>
  <c r="AA9525" i="17"/>
  <c r="V9524" i="17"/>
  <c r="AA9523" i="17"/>
  <c r="AA9522" i="17"/>
  <c r="AA9521" i="17"/>
  <c r="AA9519" i="17"/>
  <c r="V9518" i="17"/>
  <c r="V9517" i="17"/>
  <c r="AA9516" i="17"/>
  <c r="AA9515" i="17"/>
  <c r="AA9514" i="17"/>
  <c r="AA9513" i="17"/>
  <c r="AA9512" i="17"/>
  <c r="V9511" i="17"/>
  <c r="AA9510" i="17"/>
  <c r="AA9509" i="17"/>
  <c r="AA9508" i="17"/>
  <c r="AA9507" i="17"/>
  <c r="AA9506" i="17"/>
  <c r="AA9505" i="17"/>
  <c r="AA9504" i="17"/>
  <c r="V9502" i="17"/>
  <c r="V9501" i="17"/>
  <c r="AA9500" i="17"/>
  <c r="AA9499" i="17"/>
  <c r="AA9498" i="17"/>
  <c r="AA9497" i="17"/>
  <c r="V9496" i="17"/>
  <c r="AA9495" i="17"/>
  <c r="AA9494" i="17"/>
  <c r="AA9493" i="17"/>
  <c r="AA9492" i="17"/>
  <c r="AA9491" i="17"/>
  <c r="AA9490" i="17"/>
  <c r="AA9489" i="17"/>
  <c r="AA9488" i="17"/>
  <c r="AA9487" i="17"/>
  <c r="V9486" i="17"/>
  <c r="V9485" i="17"/>
  <c r="AA9483" i="17"/>
  <c r="AA9482" i="17"/>
  <c r="AA9481" i="17"/>
  <c r="AA9480" i="17"/>
  <c r="V9479" i="17"/>
  <c r="V9478" i="17"/>
  <c r="AA9477" i="17"/>
  <c r="AA9476" i="17"/>
  <c r="V9475" i="17"/>
  <c r="AA9474" i="17"/>
  <c r="AA9473" i="17"/>
  <c r="AA9472" i="17"/>
  <c r="AA9471" i="17"/>
  <c r="AA9470" i="17"/>
  <c r="AA9469" i="17"/>
  <c r="AA9468" i="17"/>
  <c r="AA9467" i="17"/>
  <c r="AA9466" i="17"/>
  <c r="AA9465" i="17"/>
  <c r="V9464" i="17"/>
  <c r="V9463" i="17"/>
  <c r="AA9462" i="17"/>
  <c r="AA9461" i="17"/>
  <c r="AA9460" i="17"/>
  <c r="AA9459" i="17"/>
  <c r="AA9458" i="17"/>
  <c r="AA9457" i="17"/>
  <c r="V9456" i="17"/>
  <c r="AA9455" i="17"/>
  <c r="AA9454" i="17"/>
  <c r="AA9453" i="17"/>
  <c r="AA9452" i="17"/>
  <c r="AA9451" i="17"/>
  <c r="V9450" i="17"/>
  <c r="AA9449" i="17"/>
  <c r="AA9448" i="17"/>
  <c r="AA9447" i="17"/>
  <c r="V9446" i="17"/>
  <c r="AA9445" i="17"/>
  <c r="AA9444" i="17"/>
  <c r="V9443" i="17"/>
  <c r="V9442" i="17"/>
  <c r="AA9441" i="17"/>
  <c r="AA9440" i="17"/>
  <c r="V9439" i="17"/>
  <c r="AA9438" i="17"/>
  <c r="AA9437" i="17"/>
  <c r="V9436" i="17"/>
  <c r="V9435" i="17"/>
  <c r="AA9433" i="17"/>
  <c r="V9432" i="17"/>
  <c r="V9431" i="17"/>
  <c r="AA9429" i="17"/>
  <c r="V9428" i="17"/>
  <c r="V9427" i="17"/>
  <c r="V9426" i="17"/>
  <c r="V9425" i="17"/>
  <c r="V9424" i="17"/>
  <c r="V9423" i="17"/>
  <c r="AA9422" i="17"/>
  <c r="AA9421" i="17"/>
  <c r="AA9420" i="17"/>
  <c r="V9419" i="17"/>
  <c r="V9418" i="17"/>
  <c r="V9417" i="17"/>
  <c r="V9416" i="17"/>
  <c r="AA9415" i="17"/>
  <c r="AA9414" i="17"/>
  <c r="V9413" i="17"/>
  <c r="AA9412" i="17"/>
  <c r="AA9411" i="17"/>
  <c r="AA9410" i="17"/>
  <c r="AA9409" i="17"/>
  <c r="V9408" i="17"/>
  <c r="V9407" i="17"/>
  <c r="AA9406" i="17"/>
  <c r="AA9405" i="17"/>
  <c r="AA9404" i="17"/>
  <c r="AA9403" i="17"/>
  <c r="AA9402" i="17"/>
  <c r="AA9401" i="17"/>
  <c r="AA9400" i="17"/>
  <c r="AA9399" i="17"/>
  <c r="V9398" i="17"/>
  <c r="AA9397" i="17"/>
  <c r="V9396" i="17"/>
  <c r="V9395" i="17"/>
  <c r="AA9394" i="17"/>
  <c r="AA9393" i="17"/>
  <c r="AA9392" i="17"/>
  <c r="V9391" i="17"/>
  <c r="V9390" i="17"/>
  <c r="V9389" i="17"/>
  <c r="V9388" i="17"/>
  <c r="AA9387" i="17"/>
  <c r="AA9386" i="17"/>
  <c r="AA9385" i="17"/>
  <c r="AA9384" i="17"/>
  <c r="AA9383" i="17"/>
  <c r="AA9382" i="17"/>
  <c r="AA9381" i="17"/>
  <c r="AA9380" i="17"/>
  <c r="V9379" i="17"/>
  <c r="V9378" i="17"/>
  <c r="AA9377" i="17"/>
  <c r="AA9376" i="17"/>
  <c r="AA9375" i="17"/>
  <c r="AA9374" i="17"/>
  <c r="V9373" i="17"/>
  <c r="V9372" i="17"/>
  <c r="V9371" i="17"/>
  <c r="V9370" i="17"/>
  <c r="AA9369" i="17"/>
  <c r="AA9368" i="17"/>
  <c r="AA9367" i="17"/>
  <c r="AA9366" i="17"/>
  <c r="AA9365" i="17"/>
  <c r="V9364" i="17"/>
  <c r="V9363" i="17"/>
  <c r="AA9362" i="17"/>
  <c r="AA9361" i="17"/>
  <c r="V9360" i="17"/>
  <c r="AA9359" i="17"/>
  <c r="AA9358" i="17"/>
  <c r="V9357" i="17"/>
  <c r="AA9356" i="17"/>
  <c r="V9355" i="17"/>
  <c r="V9354" i="17"/>
  <c r="V9353" i="17"/>
  <c r="V9352" i="17"/>
  <c r="AA9351" i="17"/>
  <c r="AA9350" i="17"/>
  <c r="AA9349" i="17"/>
  <c r="AA9348" i="17"/>
  <c r="V9347" i="17"/>
  <c r="V9346" i="17"/>
  <c r="V9345" i="17"/>
  <c r="AA9344" i="17"/>
  <c r="AA9343" i="17"/>
  <c r="AA9342" i="17"/>
  <c r="V9341" i="17"/>
  <c r="AA9340" i="17"/>
  <c r="AA9339" i="17"/>
  <c r="AA9338" i="17"/>
  <c r="AA9337" i="17"/>
  <c r="V9336" i="17"/>
  <c r="AA9335" i="17"/>
  <c r="AA9334" i="17"/>
  <c r="AA9333" i="17"/>
  <c r="V9332" i="17"/>
  <c r="V9331" i="17"/>
  <c r="V9330" i="17"/>
  <c r="V9329" i="17"/>
  <c r="AA9328" i="17"/>
  <c r="AA9327" i="17"/>
  <c r="AA9326" i="17"/>
  <c r="AA9325" i="17"/>
  <c r="AA9324" i="17"/>
  <c r="AA9323" i="17"/>
  <c r="AA9322" i="17"/>
  <c r="AA9321" i="17"/>
  <c r="AA9320" i="17"/>
  <c r="AA9319" i="17"/>
  <c r="AA9318" i="17"/>
  <c r="V9317" i="17"/>
  <c r="V9316" i="17"/>
  <c r="V9315" i="17"/>
  <c r="AA9314" i="17"/>
  <c r="AA9313" i="17"/>
  <c r="AA9312" i="17"/>
  <c r="AA9311" i="17"/>
  <c r="AA9310" i="17"/>
  <c r="AA9309" i="17"/>
  <c r="AA9308" i="17"/>
  <c r="AA9307" i="17"/>
  <c r="AA9306" i="17"/>
  <c r="AA9305" i="17"/>
  <c r="AA9304" i="17"/>
  <c r="AA9303" i="17"/>
  <c r="AA9302" i="17"/>
  <c r="AA9301" i="17"/>
  <c r="AA9300" i="17"/>
  <c r="AA9299" i="17"/>
  <c r="AA9298" i="17"/>
  <c r="V9297" i="17"/>
  <c r="AA9296" i="17"/>
  <c r="V9295" i="17"/>
  <c r="V9294" i="17"/>
  <c r="AA9293" i="17"/>
  <c r="AA9292" i="17"/>
  <c r="V9291" i="17"/>
  <c r="AA9290" i="17"/>
  <c r="AA9289" i="17"/>
  <c r="AA9288" i="17"/>
  <c r="AA9287" i="17"/>
  <c r="AA9286" i="17"/>
  <c r="AA9285" i="17"/>
  <c r="AA9284" i="17"/>
  <c r="AA9283" i="17"/>
  <c r="AA9282" i="17"/>
  <c r="AA9281" i="17"/>
  <c r="V9280" i="17"/>
  <c r="V9279" i="17"/>
  <c r="AA9278" i="17"/>
  <c r="AA9277" i="17"/>
  <c r="AA9276" i="17"/>
  <c r="V9275" i="17"/>
  <c r="AA9274" i="17"/>
  <c r="AA9273" i="17"/>
  <c r="AA9272" i="17"/>
  <c r="AA9271" i="17"/>
  <c r="AA9270" i="17"/>
  <c r="AA9269" i="17"/>
  <c r="AA9268" i="17"/>
  <c r="AA9267" i="17"/>
  <c r="AA9266" i="17"/>
  <c r="V9265" i="17"/>
  <c r="V9264" i="17"/>
  <c r="V9263" i="17"/>
  <c r="V9262" i="17"/>
  <c r="V9261" i="17"/>
  <c r="AA9260" i="17"/>
  <c r="V9259" i="17"/>
  <c r="AA9258" i="17"/>
  <c r="AA9257" i="17"/>
  <c r="AA9256" i="17"/>
  <c r="AA9255" i="17"/>
  <c r="AA9254" i="17"/>
  <c r="AA9253" i="17"/>
  <c r="AA9252" i="17"/>
  <c r="AA9251" i="17"/>
  <c r="AA9250" i="17"/>
  <c r="AA9249" i="17"/>
  <c r="V9248" i="17"/>
  <c r="AA9247" i="17"/>
  <c r="AA9246" i="17"/>
  <c r="AA9245" i="17"/>
  <c r="AA9244" i="17"/>
  <c r="AA9243" i="17"/>
  <c r="V9242" i="17"/>
  <c r="V9241" i="17"/>
  <c r="AA9240" i="17"/>
  <c r="AA9239" i="17"/>
  <c r="AA9238" i="17"/>
  <c r="AA9237" i="17"/>
  <c r="AA9236" i="17"/>
  <c r="AA9235" i="17"/>
  <c r="AA9234" i="17"/>
  <c r="AA9233" i="17"/>
  <c r="AA9232" i="17"/>
  <c r="AA9231" i="17"/>
  <c r="AA9230" i="17"/>
  <c r="AA9229" i="17"/>
  <c r="AA9228" i="17"/>
  <c r="V9227" i="17"/>
  <c r="AA9226" i="17"/>
  <c r="V9225" i="17"/>
  <c r="AA9224" i="17"/>
  <c r="V9223" i="17"/>
  <c r="AA9222" i="17"/>
  <c r="V9221" i="17"/>
  <c r="AA9220" i="17"/>
  <c r="AA9219" i="17"/>
  <c r="V9217" i="17"/>
  <c r="AA9216" i="17"/>
  <c r="AA9215" i="17"/>
  <c r="V9214" i="17"/>
  <c r="V9213" i="17"/>
  <c r="V9212" i="17"/>
  <c r="V9211" i="17"/>
  <c r="V9210" i="17"/>
  <c r="V9209" i="17"/>
  <c r="AA9208" i="17"/>
  <c r="AA9207" i="17"/>
  <c r="V9206" i="17"/>
  <c r="V9205" i="17"/>
  <c r="V9204" i="17"/>
  <c r="V9203" i="17"/>
  <c r="AA9202" i="17"/>
  <c r="AA9201" i="17"/>
  <c r="AA9200" i="17"/>
  <c r="AA9199" i="17"/>
  <c r="AA9198" i="17"/>
  <c r="V9197" i="17"/>
  <c r="AA9196" i="17"/>
  <c r="AA9195" i="17"/>
  <c r="AA9194" i="17"/>
  <c r="AA9193" i="17"/>
  <c r="V9192" i="17"/>
  <c r="AA9191" i="17"/>
  <c r="AA9190" i="17"/>
  <c r="AA9189" i="17"/>
  <c r="AA9188" i="17"/>
  <c r="AA9187" i="17"/>
  <c r="AA9186" i="17"/>
  <c r="V9185" i="17"/>
  <c r="AA9184" i="17"/>
  <c r="AA9183" i="17"/>
  <c r="AA9182" i="17"/>
  <c r="AA9181" i="17"/>
  <c r="AA9180" i="17"/>
  <c r="AA9179" i="17"/>
  <c r="AA9178" i="17"/>
  <c r="AA9177" i="17"/>
  <c r="V9176" i="17"/>
  <c r="AA9175" i="17"/>
  <c r="AA9173" i="17"/>
  <c r="V9172" i="17"/>
  <c r="V9171" i="17"/>
  <c r="AA9170" i="17"/>
  <c r="AA9169" i="17"/>
  <c r="AA9168" i="17"/>
  <c r="AA9167" i="17"/>
  <c r="AA9166" i="17"/>
  <c r="AA9165" i="17"/>
  <c r="AA9164" i="17"/>
  <c r="V9163" i="17"/>
  <c r="AA9162" i="17"/>
  <c r="V9161" i="17"/>
  <c r="V9160" i="17"/>
  <c r="V9159" i="17"/>
  <c r="AA9158" i="17"/>
  <c r="AA9157" i="17"/>
  <c r="V9156" i="17"/>
  <c r="AA9155" i="17"/>
  <c r="AA9154" i="17"/>
  <c r="AA9153" i="17"/>
  <c r="AA9152" i="17"/>
  <c r="V9151" i="17"/>
  <c r="V9150" i="17"/>
  <c r="V9149" i="17"/>
  <c r="V9148" i="17"/>
  <c r="AA9147" i="17"/>
  <c r="AA9146" i="17"/>
  <c r="AA9145" i="17"/>
  <c r="AA9144" i="17"/>
  <c r="AA9143" i="17"/>
  <c r="AA9142" i="17"/>
  <c r="AA9141" i="17"/>
  <c r="AA9140" i="17"/>
  <c r="V9139" i="17"/>
  <c r="V9138" i="17"/>
  <c r="V9137" i="17"/>
  <c r="AA9136" i="17"/>
  <c r="AA9135" i="17"/>
  <c r="AA9134" i="17"/>
  <c r="AA9133" i="17"/>
  <c r="AA9132" i="17"/>
  <c r="AA9131" i="17"/>
  <c r="V9130" i="17"/>
  <c r="AA9129" i="17"/>
  <c r="AA9128" i="17"/>
  <c r="AA9127" i="17"/>
  <c r="V9126" i="17"/>
  <c r="AA9125" i="17"/>
  <c r="V9124" i="17"/>
  <c r="AA9123" i="17"/>
  <c r="AA9122" i="17"/>
  <c r="AA9121" i="17"/>
  <c r="V9120" i="17"/>
  <c r="AA9119" i="17"/>
  <c r="V9118" i="17"/>
  <c r="AA9117" i="17"/>
  <c r="V9116" i="17"/>
  <c r="V9115" i="17"/>
  <c r="AA9114" i="17"/>
  <c r="AA9113" i="17"/>
  <c r="AA9112" i="17"/>
  <c r="AA9111" i="17"/>
  <c r="V9110" i="17"/>
  <c r="AA9109" i="17"/>
  <c r="AA9108" i="17"/>
  <c r="V9107" i="17"/>
  <c r="AA9106" i="17"/>
  <c r="AA9105" i="17"/>
  <c r="AA9104" i="17"/>
  <c r="V9103" i="17"/>
  <c r="AA9102" i="17"/>
  <c r="AA9101" i="17"/>
  <c r="AA9100" i="17"/>
  <c r="AA9099" i="17"/>
  <c r="AA9098" i="17"/>
  <c r="AA9097" i="17"/>
  <c r="AA9096" i="17"/>
  <c r="AA9095" i="17"/>
  <c r="V9094" i="17"/>
  <c r="AA9093" i="17"/>
  <c r="AA9092" i="17"/>
  <c r="AA9091" i="17"/>
  <c r="AA9090" i="17"/>
  <c r="V9089" i="17"/>
  <c r="AA9088" i="17"/>
  <c r="AA9087" i="17"/>
  <c r="AA9086" i="17"/>
  <c r="AA9085" i="17"/>
  <c r="AA9084" i="17"/>
  <c r="AA9083" i="17"/>
  <c r="V9082" i="17"/>
  <c r="AA9081" i="17"/>
  <c r="V9080" i="17"/>
  <c r="V9079" i="17"/>
  <c r="AA9078" i="17"/>
  <c r="V9077" i="17"/>
  <c r="AA9076" i="17"/>
  <c r="AA9075" i="17"/>
  <c r="AA9074" i="17"/>
  <c r="AA9073" i="17"/>
  <c r="AA9072" i="17"/>
  <c r="AA9071" i="17"/>
  <c r="AA9070" i="17"/>
  <c r="AA9068" i="17"/>
  <c r="AA9067" i="17"/>
  <c r="AA9066" i="17"/>
  <c r="V9065" i="17"/>
  <c r="AA9064" i="17"/>
  <c r="AA9063" i="17"/>
  <c r="AA9062" i="17"/>
  <c r="AA9061" i="17"/>
  <c r="AA9060" i="17"/>
  <c r="AA9059" i="17"/>
  <c r="AA9058" i="17"/>
  <c r="AA9057" i="17"/>
  <c r="AA9056" i="17"/>
  <c r="AA9055" i="17"/>
  <c r="AA9054" i="17"/>
  <c r="V9053" i="17"/>
  <c r="AA9052" i="17"/>
  <c r="AA9051" i="17"/>
  <c r="AA9050" i="17"/>
  <c r="AA9049" i="17"/>
  <c r="V9048" i="17"/>
  <c r="AA9047" i="17"/>
  <c r="AA9046" i="17"/>
  <c r="V9045" i="17"/>
  <c r="V9043" i="17"/>
  <c r="V9042" i="17"/>
  <c r="AA9041" i="17"/>
  <c r="V9040" i="17"/>
  <c r="AA9039" i="17"/>
  <c r="AA9038" i="17"/>
  <c r="AA9037" i="17"/>
  <c r="V9036" i="17"/>
  <c r="AA9035" i="17"/>
  <c r="AA9034" i="17"/>
  <c r="AA9033" i="17"/>
  <c r="AA9032" i="17"/>
  <c r="AA9031" i="17"/>
  <c r="AA9030" i="17"/>
  <c r="AA9029" i="17"/>
  <c r="AA9028" i="17"/>
  <c r="AA9027" i="17"/>
  <c r="AA9026" i="17"/>
  <c r="AA9025" i="17"/>
  <c r="AA9024" i="17"/>
  <c r="V9023" i="17"/>
  <c r="V9022" i="17"/>
  <c r="AA9021" i="17"/>
  <c r="AA9020" i="17"/>
  <c r="AA9019" i="17"/>
  <c r="AA9018" i="17"/>
  <c r="AA9017" i="17"/>
  <c r="AA9016" i="17"/>
  <c r="AA9015" i="17"/>
  <c r="AA9014" i="17"/>
  <c r="AA9013" i="17"/>
  <c r="V9012" i="17"/>
  <c r="AA9011" i="17"/>
  <c r="AA9010" i="17"/>
  <c r="AA9009" i="17"/>
  <c r="AA9008" i="17"/>
  <c r="V9007" i="17"/>
  <c r="V9006" i="17"/>
  <c r="V9005" i="17"/>
  <c r="V9004" i="17"/>
  <c r="AA9003" i="17"/>
  <c r="AA9002" i="17"/>
  <c r="AA9001" i="17"/>
  <c r="AA9000" i="17"/>
  <c r="AA8999" i="17"/>
  <c r="AA8998" i="17"/>
  <c r="AA8997" i="17"/>
  <c r="V8996" i="17"/>
  <c r="AA8995" i="17"/>
  <c r="AA8993" i="17"/>
  <c r="AA8992" i="17"/>
  <c r="AA8991" i="17"/>
  <c r="AA8990" i="17"/>
  <c r="AA8989" i="17"/>
  <c r="AA8988" i="17"/>
  <c r="AA8987" i="17"/>
  <c r="V8986" i="17"/>
  <c r="V8985" i="17"/>
  <c r="V8984" i="17"/>
  <c r="V8983" i="17"/>
  <c r="AA8982" i="17"/>
  <c r="AA8981" i="17"/>
  <c r="AA8980" i="17"/>
  <c r="AA8979" i="17"/>
  <c r="AA8978" i="17"/>
  <c r="AA8977" i="17"/>
  <c r="AA8976" i="17"/>
  <c r="AA8975" i="17"/>
  <c r="AA8974" i="17"/>
  <c r="V8973" i="17"/>
  <c r="AA8972" i="17"/>
  <c r="V8971" i="17"/>
  <c r="V8970" i="17"/>
  <c r="AA8969" i="17"/>
  <c r="V8967" i="17"/>
  <c r="AA8966" i="17"/>
  <c r="V8964" i="17"/>
  <c r="V8963" i="17"/>
  <c r="V8962" i="17"/>
  <c r="V8961" i="17"/>
  <c r="V8959" i="17"/>
  <c r="AA8958" i="17"/>
  <c r="AA8957" i="17"/>
  <c r="AA8956" i="17"/>
  <c r="AA8955" i="17"/>
  <c r="AA8954" i="17"/>
  <c r="V8953" i="17"/>
  <c r="V8952" i="17"/>
  <c r="V8951" i="17"/>
  <c r="V8950" i="17"/>
  <c r="V8949" i="17"/>
  <c r="V8948" i="17"/>
  <c r="AA8947" i="17"/>
  <c r="AA8946" i="17"/>
  <c r="AA8945" i="17"/>
  <c r="V8944" i="17"/>
  <c r="V8943" i="17"/>
  <c r="V8942" i="17"/>
  <c r="V8941" i="17"/>
  <c r="V8939" i="17"/>
  <c r="V8938" i="17"/>
  <c r="V8937" i="17"/>
  <c r="AA8936" i="17"/>
  <c r="V8935" i="17"/>
  <c r="V8934" i="17"/>
  <c r="V8933" i="17"/>
  <c r="V8932" i="17"/>
  <c r="V8931" i="17"/>
  <c r="V8930" i="17"/>
  <c r="AA8929" i="17"/>
  <c r="AA8928" i="17"/>
  <c r="AA8927" i="17"/>
  <c r="AA8926" i="17"/>
  <c r="AA8925" i="17"/>
  <c r="AA8924" i="17"/>
  <c r="AA8923" i="17"/>
  <c r="V8922" i="17"/>
  <c r="V8921" i="17"/>
  <c r="V8920" i="17"/>
  <c r="AA8919" i="17"/>
  <c r="AA8918" i="17"/>
  <c r="V8917" i="17"/>
  <c r="AA8916" i="17"/>
  <c r="V8915" i="17"/>
  <c r="AA8914" i="17"/>
  <c r="AA8912" i="17"/>
  <c r="AA8911" i="17"/>
  <c r="AA8910" i="17"/>
  <c r="V8909" i="17"/>
  <c r="AA8907" i="17"/>
  <c r="AA8906" i="17"/>
  <c r="AA8905" i="17"/>
  <c r="AA8904" i="17"/>
  <c r="AA8903" i="17"/>
  <c r="AA8902" i="17"/>
  <c r="AA8901" i="17"/>
  <c r="AA8900" i="17"/>
  <c r="AA8899" i="17"/>
  <c r="AA8898" i="17"/>
  <c r="AA8897" i="17"/>
  <c r="AA8896" i="17"/>
  <c r="AA8895" i="17"/>
  <c r="AA8894" i="17"/>
  <c r="AA8893" i="17"/>
  <c r="AA8892" i="17"/>
  <c r="AA8891" i="17"/>
  <c r="AA8890" i="17"/>
  <c r="AA8888" i="17"/>
  <c r="AA8886" i="17"/>
  <c r="V8885" i="17"/>
  <c r="V8884" i="17"/>
  <c r="V8883" i="17"/>
  <c r="V8882" i="17"/>
  <c r="V8881" i="17"/>
  <c r="V8879" i="17"/>
  <c r="AA8878" i="17"/>
  <c r="V8877" i="17"/>
  <c r="V8876" i="17"/>
  <c r="V8875" i="17"/>
  <c r="AA8874" i="17"/>
  <c r="AA8873" i="17"/>
  <c r="AA8872" i="17"/>
  <c r="AA8871" i="17"/>
  <c r="AA8870" i="17"/>
  <c r="V8866" i="17"/>
  <c r="V8864" i="17"/>
  <c r="AA8863" i="17"/>
  <c r="AA8862" i="17"/>
  <c r="V8861" i="17"/>
  <c r="AA8860" i="17"/>
  <c r="AA8859" i="17"/>
  <c r="AA8858" i="17"/>
  <c r="V8857" i="17"/>
  <c r="AA8856" i="17"/>
  <c r="AA8855" i="17"/>
  <c r="AA8854" i="17"/>
  <c r="V8853" i="17"/>
  <c r="AA8852" i="17"/>
  <c r="AA8851" i="17"/>
  <c r="AA8850" i="17"/>
  <c r="V8849" i="17"/>
  <c r="AA8848" i="17"/>
  <c r="AA8847" i="17"/>
  <c r="AA8846" i="17"/>
  <c r="AA8845" i="17"/>
  <c r="V8844" i="17"/>
  <c r="AA8843" i="17"/>
  <c r="V8842" i="17"/>
  <c r="AA8841" i="17"/>
  <c r="AA8840" i="17"/>
  <c r="V8839" i="17"/>
  <c r="AA8838" i="17"/>
  <c r="V8837" i="17"/>
  <c r="V8836" i="17"/>
  <c r="V8835" i="17"/>
  <c r="V8834" i="17"/>
  <c r="V8833" i="17"/>
  <c r="AA8832" i="17"/>
  <c r="V8831" i="17"/>
  <c r="AA8830" i="17"/>
  <c r="V8829" i="17"/>
  <c r="AA8828" i="17"/>
  <c r="AA8827" i="17"/>
  <c r="AA8826" i="17"/>
  <c r="AA8825" i="17"/>
  <c r="V8823" i="17"/>
  <c r="AA8822" i="17"/>
  <c r="AA8821" i="17"/>
  <c r="AA8820" i="17"/>
  <c r="AA8819" i="17"/>
  <c r="AA8818" i="17"/>
  <c r="V8817" i="17"/>
  <c r="AA8816" i="17"/>
  <c r="AA8815" i="17"/>
  <c r="AA8814" i="17"/>
  <c r="V8813" i="17"/>
  <c r="V8812" i="17"/>
  <c r="AA8811" i="17"/>
  <c r="V8810" i="17"/>
  <c r="V8809" i="17"/>
  <c r="V8808" i="17"/>
  <c r="AA8807" i="17"/>
  <c r="AA8806" i="17"/>
  <c r="AA8805" i="17"/>
  <c r="V8804" i="17"/>
  <c r="AA8803" i="17"/>
  <c r="AA8802" i="17"/>
  <c r="AA8801" i="17"/>
  <c r="AA8800" i="17"/>
  <c r="AA8799" i="17"/>
  <c r="AA8798" i="17"/>
  <c r="AA8797" i="17"/>
  <c r="V8796" i="17"/>
  <c r="AA8786" i="17"/>
  <c r="AA8785" i="17"/>
  <c r="AA8784" i="17"/>
  <c r="AA8783" i="17"/>
  <c r="AA8782" i="17"/>
  <c r="AA8781" i="17"/>
  <c r="AA8780" i="17"/>
  <c r="V8779" i="17"/>
  <c r="V8778" i="17"/>
  <c r="V8777" i="17"/>
  <c r="AA8776" i="17"/>
  <c r="V8775" i="17"/>
  <c r="AA8774" i="17"/>
  <c r="V8773" i="17"/>
  <c r="V8772" i="17"/>
  <c r="AA8771" i="17"/>
  <c r="AA8770" i="17"/>
  <c r="AA8769" i="17"/>
  <c r="AA8768" i="17"/>
  <c r="V8767" i="17"/>
  <c r="AA8766" i="17"/>
  <c r="AA8765" i="17"/>
  <c r="V8763" i="17"/>
  <c r="V8762" i="17"/>
  <c r="V8760" i="17"/>
  <c r="V8758" i="17"/>
  <c r="AA8757" i="17"/>
  <c r="AA8756" i="17"/>
  <c r="AA8755" i="17"/>
  <c r="AA8754" i="17"/>
  <c r="AA8753" i="17"/>
  <c r="AA8752" i="17"/>
  <c r="V8751" i="17"/>
  <c r="V8750" i="17"/>
  <c r="AA8749" i="17"/>
  <c r="AA8748" i="17"/>
  <c r="AA8747" i="17"/>
  <c r="AA8746" i="17"/>
  <c r="AA8745" i="17"/>
  <c r="AA8744" i="17"/>
  <c r="AA8743" i="17"/>
  <c r="V8742" i="17"/>
  <c r="AA8741" i="17"/>
  <c r="V8740" i="17"/>
  <c r="V8739" i="17"/>
  <c r="V8738" i="17"/>
  <c r="V8737" i="17"/>
  <c r="AA8736" i="17"/>
  <c r="AA8735" i="17"/>
  <c r="AA8734" i="17"/>
  <c r="AA8733" i="17"/>
  <c r="V8732" i="17"/>
  <c r="V8731" i="17"/>
  <c r="V8730" i="17"/>
  <c r="AA8729" i="17"/>
  <c r="AA8728" i="17"/>
  <c r="AA8727" i="17"/>
  <c r="AA8726" i="17"/>
  <c r="V8725" i="17"/>
  <c r="AA8724" i="17"/>
  <c r="AA8723" i="17"/>
  <c r="V8722" i="17"/>
  <c r="AA8721" i="17"/>
  <c r="AA8720" i="17"/>
  <c r="AA8719" i="17"/>
  <c r="V8718" i="17"/>
  <c r="AA8717" i="17"/>
  <c r="AA8716" i="17"/>
  <c r="AA8715" i="17"/>
  <c r="AA8714" i="17"/>
  <c r="AA8713" i="17"/>
  <c r="AA8712" i="17"/>
  <c r="AA8711" i="17"/>
  <c r="AA8710" i="17"/>
  <c r="AA8709" i="17"/>
  <c r="AA8708" i="17"/>
  <c r="AA8707" i="17"/>
  <c r="AA8706" i="17"/>
  <c r="V8705" i="17"/>
  <c r="AA8704" i="17"/>
  <c r="AA8703" i="17"/>
  <c r="AA8702" i="17"/>
  <c r="AA8701" i="17"/>
  <c r="AA8700" i="17"/>
  <c r="AA8699" i="17"/>
  <c r="AA8698" i="17"/>
  <c r="AA8697" i="17"/>
  <c r="AA8696" i="17"/>
  <c r="AA8695" i="17"/>
  <c r="AA8694" i="17"/>
  <c r="AA8693" i="17"/>
  <c r="AA8692" i="17"/>
  <c r="AA8691" i="17"/>
  <c r="V8690" i="17"/>
  <c r="V8689" i="17"/>
  <c r="AA8688" i="17"/>
  <c r="V8687" i="17"/>
  <c r="AA8686" i="17"/>
  <c r="AA8685" i="17"/>
  <c r="AA8684" i="17"/>
  <c r="V8683" i="17"/>
  <c r="V8682" i="17"/>
  <c r="V8681" i="17"/>
  <c r="V8680" i="17"/>
  <c r="V8679" i="17"/>
  <c r="AA8678" i="17"/>
  <c r="AA8677" i="17"/>
  <c r="AA8676" i="17"/>
  <c r="AA8675" i="17"/>
  <c r="AA8674" i="17"/>
  <c r="AA8673" i="17"/>
  <c r="AA8672" i="17"/>
  <c r="AA8671" i="17"/>
  <c r="V8670" i="17"/>
  <c r="V8669" i="17"/>
  <c r="AA8668" i="17"/>
  <c r="AA8667" i="17"/>
  <c r="AA8666" i="17"/>
  <c r="AA8665" i="17"/>
  <c r="AA8664" i="17"/>
  <c r="AA8663" i="17"/>
  <c r="AA8662" i="17"/>
  <c r="AA8661" i="17"/>
  <c r="AA8660" i="17"/>
  <c r="AA8659" i="17"/>
  <c r="AA8658" i="17"/>
  <c r="AA8657" i="17"/>
  <c r="V8656" i="17"/>
  <c r="AA8655" i="17"/>
  <c r="AA8654" i="17"/>
  <c r="AA8653" i="17"/>
  <c r="AA8652" i="17"/>
  <c r="AA8651" i="17"/>
  <c r="AA8650" i="17"/>
  <c r="AA8649" i="17"/>
  <c r="AA8648" i="17"/>
  <c r="AA8647" i="17"/>
  <c r="AA8646" i="17"/>
  <c r="AA8645" i="17"/>
  <c r="AA8644" i="17"/>
  <c r="AA8643" i="17"/>
  <c r="AA8642" i="17"/>
  <c r="AA8641" i="17"/>
  <c r="V8640" i="17"/>
  <c r="V8639" i="17"/>
  <c r="V8638" i="17"/>
  <c r="AA8637" i="17"/>
  <c r="V8636" i="17"/>
  <c r="V8635" i="17"/>
  <c r="V8634" i="17"/>
  <c r="AA8633" i="17"/>
  <c r="AA8632" i="17"/>
  <c r="AA8631" i="17"/>
  <c r="AA8630" i="17"/>
  <c r="V8629" i="17"/>
  <c r="V8628" i="17"/>
  <c r="V8627" i="17"/>
  <c r="AA8626" i="17"/>
  <c r="AA8625" i="17"/>
  <c r="V8624" i="17"/>
  <c r="V8623" i="17"/>
  <c r="V8622" i="17"/>
  <c r="AA8621" i="17"/>
  <c r="AA8620" i="17"/>
  <c r="V8619" i="17"/>
  <c r="V8618" i="17"/>
  <c r="AA8617" i="17"/>
  <c r="AA8616" i="17"/>
  <c r="AA8615" i="17"/>
  <c r="AA8614" i="17"/>
  <c r="V8613" i="17"/>
  <c r="AA8612" i="17"/>
  <c r="AA8611" i="17"/>
  <c r="AA8610" i="17"/>
  <c r="V8609" i="17"/>
  <c r="V8608" i="17"/>
  <c r="V8607" i="17"/>
  <c r="AA8606" i="17"/>
  <c r="AA8605" i="17"/>
  <c r="AA8604" i="17"/>
  <c r="AA8603" i="17"/>
  <c r="AA8602" i="17"/>
  <c r="AA8601" i="17"/>
  <c r="AA8600" i="17"/>
  <c r="AA8599" i="17"/>
  <c r="V8598" i="17"/>
  <c r="AA8597" i="17"/>
  <c r="AA8596" i="17"/>
  <c r="AA8595" i="17"/>
  <c r="V8594" i="17"/>
  <c r="V8593" i="17"/>
  <c r="AA8592" i="17"/>
  <c r="AA8591" i="17"/>
  <c r="V8590" i="17"/>
  <c r="AA8589" i="17"/>
  <c r="AA8588" i="17"/>
  <c r="AA8587" i="17"/>
  <c r="AA8586" i="17"/>
  <c r="AA8585" i="17"/>
  <c r="V8584" i="17"/>
  <c r="V8583" i="17"/>
  <c r="V8582" i="17"/>
  <c r="V8581" i="17"/>
  <c r="AA8580" i="17"/>
  <c r="AA8579" i="17"/>
  <c r="AA8578" i="17"/>
  <c r="AA8577" i="17"/>
  <c r="V8576" i="17"/>
  <c r="V8575" i="17"/>
  <c r="AA8574" i="17"/>
  <c r="AA8573" i="17"/>
  <c r="AA8572" i="17"/>
  <c r="AA8571" i="17"/>
  <c r="AA8570" i="17"/>
  <c r="AA8569" i="17"/>
  <c r="V8568" i="17"/>
  <c r="V8567" i="17"/>
  <c r="AA8566" i="17"/>
  <c r="AA8565" i="17"/>
  <c r="AA8564" i="17"/>
  <c r="AA8563" i="17"/>
  <c r="AA8562" i="17"/>
  <c r="V8561" i="17"/>
  <c r="V8560" i="17"/>
  <c r="V8559" i="17"/>
  <c r="AA8554" i="17"/>
  <c r="AA8553" i="17"/>
  <c r="AA8552" i="17"/>
  <c r="AA8551" i="17"/>
  <c r="AA8550" i="17"/>
  <c r="AA8549" i="17"/>
  <c r="AA8548" i="17"/>
  <c r="V8547" i="17"/>
  <c r="AA8546" i="17"/>
  <c r="AA8545" i="17"/>
  <c r="V8544" i="17"/>
  <c r="V8543" i="17"/>
  <c r="V8542" i="17"/>
  <c r="V8541" i="17"/>
  <c r="V8540" i="17"/>
  <c r="AA8539" i="17"/>
  <c r="AA8538" i="17"/>
  <c r="AA8537" i="17"/>
  <c r="AA8536" i="17"/>
  <c r="V8535" i="17"/>
  <c r="V8534" i="17"/>
  <c r="AA8533" i="17"/>
  <c r="AA8532" i="17"/>
  <c r="AA8531" i="17"/>
  <c r="V8530" i="17"/>
  <c r="V8529" i="17"/>
  <c r="V8526" i="17"/>
  <c r="AA8525" i="17"/>
  <c r="V8524" i="17"/>
  <c r="AA8523" i="17"/>
  <c r="AA8522" i="17"/>
  <c r="AA8521" i="17"/>
  <c r="AA8520" i="17"/>
  <c r="AA8519" i="17"/>
  <c r="AA8518" i="17"/>
  <c r="AA8517" i="17"/>
  <c r="AA8516" i="17"/>
  <c r="V8515" i="17"/>
  <c r="AA8514" i="17"/>
  <c r="V8513" i="17"/>
  <c r="AA8512" i="17"/>
  <c r="AA8511" i="17"/>
  <c r="V8510" i="17"/>
  <c r="V8509" i="17"/>
  <c r="V8508" i="17"/>
  <c r="AA8507" i="17"/>
  <c r="AA8506" i="17"/>
  <c r="AA8505" i="17"/>
  <c r="V8504" i="17"/>
  <c r="V8503" i="17"/>
  <c r="V8502" i="17"/>
  <c r="V8501" i="17"/>
  <c r="AA8500" i="17"/>
  <c r="AA8499" i="17"/>
  <c r="V8498" i="17"/>
  <c r="AA8497" i="17"/>
  <c r="AA8496" i="17"/>
  <c r="AA8495" i="17"/>
  <c r="AA8494" i="17"/>
  <c r="AA8493" i="17"/>
  <c r="AA8492" i="17"/>
  <c r="AA8491" i="17"/>
  <c r="AA8490" i="17"/>
  <c r="V8489" i="17"/>
  <c r="AA8488" i="17"/>
  <c r="V8487" i="17"/>
  <c r="V8486" i="17"/>
  <c r="AA8485" i="17"/>
  <c r="AA8484" i="17"/>
  <c r="AA8483" i="17"/>
  <c r="V8482" i="17"/>
  <c r="AA8481" i="17"/>
  <c r="V8480" i="17"/>
  <c r="V8479" i="17"/>
  <c r="V8478" i="17"/>
  <c r="V8477" i="17"/>
  <c r="V8476" i="17"/>
  <c r="V8475" i="17"/>
  <c r="AA8474" i="17"/>
  <c r="AA8473" i="17"/>
  <c r="AA8472" i="17"/>
  <c r="AA8471" i="17"/>
  <c r="AA8470" i="17"/>
  <c r="AA8469" i="17"/>
  <c r="V8468" i="17"/>
  <c r="AA8467" i="17"/>
  <c r="V8466" i="17"/>
  <c r="AA8465" i="17"/>
  <c r="V8464" i="17"/>
  <c r="V8463" i="17"/>
  <c r="AA8462" i="17"/>
  <c r="AA8461" i="17"/>
  <c r="AA8460" i="17"/>
  <c r="V8459" i="17"/>
  <c r="V8458" i="17"/>
  <c r="V8457" i="17"/>
  <c r="V8456" i="17"/>
  <c r="V8455" i="17"/>
  <c r="AA8454" i="17"/>
  <c r="V8453" i="17"/>
  <c r="AA8452" i="17"/>
  <c r="AA8451" i="17"/>
  <c r="AA8450" i="17"/>
  <c r="AA8449" i="17"/>
  <c r="AA8448" i="17"/>
  <c r="AA8447" i="17"/>
  <c r="AA8446" i="17"/>
  <c r="AA8444" i="17"/>
  <c r="AA8442" i="17"/>
  <c r="AA8441" i="17"/>
  <c r="AA8440" i="17"/>
  <c r="AA8439" i="17"/>
  <c r="AA8438" i="17"/>
  <c r="AA8437" i="17"/>
  <c r="AA8436" i="17"/>
  <c r="AA8435" i="17"/>
  <c r="V8434" i="17"/>
  <c r="AA8433" i="17"/>
  <c r="AA8432" i="17"/>
  <c r="AA8431" i="17"/>
  <c r="AA8430" i="17"/>
  <c r="AA8429" i="17"/>
  <c r="AA8428" i="17"/>
  <c r="AA8427" i="17"/>
  <c r="AA8426" i="17"/>
  <c r="AA8425" i="17"/>
  <c r="AA8424" i="17"/>
  <c r="AA8423" i="17"/>
  <c r="AA8422" i="17"/>
  <c r="AA8421" i="17"/>
  <c r="AA8420" i="17"/>
  <c r="AA8419" i="17"/>
  <c r="AA8418" i="17"/>
  <c r="AA8417" i="17"/>
  <c r="V8416" i="17"/>
  <c r="V8415" i="17"/>
  <c r="V8414" i="17"/>
  <c r="V8413" i="17"/>
  <c r="V8412" i="17"/>
  <c r="V8411" i="17"/>
  <c r="V8410" i="17"/>
  <c r="V8409" i="17"/>
  <c r="AA8408" i="17"/>
  <c r="AA8407" i="17"/>
  <c r="AA8406" i="17"/>
  <c r="AA8405" i="17"/>
  <c r="AA8404" i="17"/>
  <c r="AA8403" i="17"/>
  <c r="AA8402" i="17"/>
  <c r="AA8401" i="17"/>
  <c r="AA8400" i="17"/>
  <c r="AA8399" i="17"/>
  <c r="V8398" i="17"/>
  <c r="AA8397" i="17"/>
  <c r="AA8396" i="17"/>
  <c r="AA8395" i="17"/>
  <c r="AA8394" i="17"/>
  <c r="V8393" i="17"/>
  <c r="V8392" i="17"/>
  <c r="V8391" i="17"/>
  <c r="AA8390" i="17"/>
  <c r="AA8389" i="17"/>
  <c r="V8388" i="17"/>
  <c r="AA8387" i="17"/>
  <c r="AA8386" i="17"/>
  <c r="AA8385" i="17"/>
  <c r="AA8383" i="17"/>
  <c r="V8382" i="17"/>
  <c r="AA8381" i="17"/>
  <c r="AA8380" i="17"/>
  <c r="AA8379" i="17"/>
  <c r="AA8378" i="17"/>
  <c r="AA8377" i="17"/>
  <c r="V8376" i="17"/>
  <c r="AA8375" i="17"/>
  <c r="V8374" i="17"/>
  <c r="V8373" i="17"/>
  <c r="AA8372" i="17"/>
  <c r="AA8371" i="17"/>
  <c r="AA8370" i="17"/>
  <c r="AA8369" i="17"/>
  <c r="V8368" i="17"/>
  <c r="AA8367" i="17"/>
  <c r="AA8366" i="17"/>
  <c r="AA8365" i="17"/>
  <c r="AA8364" i="17"/>
  <c r="AA8363" i="17"/>
  <c r="AA8362" i="17"/>
  <c r="AA8361" i="17"/>
  <c r="AA8360" i="17"/>
  <c r="AA8359" i="17"/>
  <c r="AA8358" i="17"/>
  <c r="V8357" i="17"/>
  <c r="AA8356" i="17"/>
  <c r="V8355" i="17"/>
  <c r="V8354" i="17"/>
  <c r="V8353" i="17"/>
  <c r="V8352" i="17"/>
  <c r="V8351" i="17"/>
  <c r="V8350" i="17"/>
  <c r="V8349" i="17"/>
  <c r="V8348" i="17"/>
  <c r="V8347" i="17"/>
  <c r="V8346" i="17"/>
  <c r="AA8345" i="17"/>
  <c r="AA8344" i="17"/>
  <c r="V8343" i="17"/>
  <c r="V8342" i="17"/>
  <c r="AA8341" i="17"/>
  <c r="V8340" i="17"/>
  <c r="V8339" i="17"/>
  <c r="AA8338" i="17"/>
  <c r="AA8337" i="17"/>
  <c r="V8336" i="17"/>
  <c r="AA8335" i="17"/>
  <c r="AA8334" i="17"/>
  <c r="AA8333" i="17"/>
  <c r="AA8332" i="17"/>
  <c r="AA8331" i="17"/>
  <c r="AA8330" i="17"/>
  <c r="AA8329" i="17"/>
  <c r="AA8328" i="17"/>
  <c r="AA8327" i="17"/>
  <c r="AA8326" i="17"/>
  <c r="AA8325" i="17"/>
  <c r="AA8324" i="17"/>
  <c r="AA8323" i="17"/>
  <c r="V8322" i="17"/>
  <c r="AA8321" i="17"/>
  <c r="AA8320" i="17"/>
  <c r="AA8319" i="17"/>
  <c r="AA8318" i="17"/>
  <c r="AA8317" i="17"/>
  <c r="AA8316" i="17"/>
  <c r="AA8315" i="17"/>
  <c r="AA8314" i="17"/>
  <c r="AA8313" i="17"/>
  <c r="AA8312" i="17"/>
  <c r="V8311" i="17"/>
  <c r="AA8310" i="17"/>
  <c r="AA8309" i="17"/>
  <c r="AA8308" i="17"/>
  <c r="AA8307" i="17"/>
  <c r="AA8306" i="17"/>
  <c r="AA8305" i="17"/>
  <c r="AA8304" i="17"/>
  <c r="AA8303" i="17"/>
  <c r="AA8302" i="17"/>
  <c r="AA8301" i="17"/>
  <c r="AA8299" i="17"/>
  <c r="AA8298" i="17"/>
  <c r="V8297" i="17"/>
  <c r="AA8296" i="17"/>
  <c r="AA8295" i="17"/>
  <c r="V8294" i="17"/>
  <c r="V8293" i="17"/>
  <c r="V8292" i="17"/>
  <c r="AA8291" i="17"/>
  <c r="V8290" i="17"/>
  <c r="AA8289" i="17"/>
  <c r="V8288" i="17"/>
  <c r="AA8287" i="17"/>
  <c r="AA8286" i="17"/>
  <c r="AA8285" i="17"/>
  <c r="AA8284" i="17"/>
  <c r="AA8283" i="17"/>
  <c r="AA8282" i="17"/>
  <c r="AA8281" i="17"/>
  <c r="AA8280" i="17"/>
  <c r="V8279" i="17"/>
  <c r="AA8278" i="17"/>
  <c r="AA8277" i="17"/>
  <c r="V8276" i="17"/>
  <c r="V8275" i="17"/>
  <c r="V8274" i="17"/>
  <c r="AA8273" i="17"/>
  <c r="AA8272" i="17"/>
  <c r="AA8271" i="17"/>
  <c r="V8270" i="17"/>
  <c r="V8269" i="17"/>
  <c r="V8268" i="17"/>
  <c r="AA8267" i="17"/>
  <c r="V8266" i="17"/>
  <c r="V8265" i="17"/>
  <c r="V8264" i="17"/>
  <c r="V8263" i="17"/>
  <c r="AA8262" i="17"/>
  <c r="AA8261" i="17"/>
  <c r="V8260" i="17"/>
  <c r="V8259" i="17"/>
  <c r="AA8258" i="17"/>
  <c r="V8257" i="17"/>
  <c r="V8256" i="17"/>
  <c r="V8255" i="17"/>
  <c r="AA8254" i="17"/>
  <c r="AA8253" i="17"/>
  <c r="AA8252" i="17"/>
  <c r="AA8251" i="17"/>
  <c r="AA8250" i="17"/>
  <c r="AA8249" i="17"/>
  <c r="V8248" i="17"/>
  <c r="AA8247" i="17"/>
  <c r="AA8246" i="17"/>
  <c r="AA8245" i="17"/>
  <c r="AA8244" i="17"/>
  <c r="AA8243" i="17"/>
  <c r="AA8242" i="17"/>
  <c r="AA8241" i="17"/>
  <c r="AA8240" i="17"/>
  <c r="AA8239" i="17"/>
  <c r="AA8238" i="17"/>
  <c r="AA8237" i="17"/>
  <c r="AA8236" i="17"/>
  <c r="AA8235" i="17"/>
  <c r="V8234" i="17"/>
  <c r="V8232" i="17"/>
  <c r="V8231" i="17"/>
  <c r="AA8230" i="17"/>
  <c r="AA8229" i="17"/>
  <c r="V8228" i="17"/>
  <c r="AA8226" i="17"/>
  <c r="AA8225" i="17"/>
  <c r="V8224" i="17"/>
  <c r="V8223" i="17"/>
  <c r="V8222" i="17"/>
  <c r="V8221" i="17"/>
  <c r="V8220" i="17"/>
  <c r="AA8219" i="17"/>
  <c r="AA8218" i="17"/>
  <c r="AA8217" i="17"/>
  <c r="AA8216" i="17"/>
  <c r="AA8215" i="17"/>
  <c r="AA8214" i="17"/>
  <c r="AA8213" i="17"/>
  <c r="AA8212" i="17"/>
  <c r="AA8211" i="17"/>
  <c r="AA8210" i="17"/>
  <c r="AA8209" i="17"/>
  <c r="AA8208" i="17"/>
  <c r="AA8207" i="17"/>
  <c r="AA8206" i="17"/>
  <c r="AA8205" i="17"/>
  <c r="AA8204" i="17"/>
  <c r="AA8203" i="17"/>
  <c r="AA8202" i="17"/>
  <c r="V8201" i="17"/>
  <c r="AA8200" i="17"/>
  <c r="AA8199" i="17"/>
  <c r="AA8198" i="17"/>
  <c r="AA8197" i="17"/>
  <c r="AA8196" i="17"/>
  <c r="AA8195" i="17"/>
  <c r="AA8194" i="17"/>
  <c r="V8193" i="17"/>
  <c r="AA8192" i="17"/>
  <c r="V8191" i="17"/>
  <c r="AA8189" i="17"/>
  <c r="AA8188" i="17"/>
  <c r="AA8187" i="17"/>
  <c r="AA8186" i="17"/>
  <c r="AA8185" i="17"/>
  <c r="AA8184" i="17"/>
  <c r="AA8183" i="17"/>
  <c r="AA8182" i="17"/>
  <c r="AA8181" i="17"/>
  <c r="V8180" i="17"/>
  <c r="AA8179" i="17"/>
  <c r="AA8178" i="17"/>
  <c r="AA8177" i="17"/>
  <c r="AA8176" i="17"/>
  <c r="AA8175" i="17"/>
  <c r="AA8174" i="17"/>
  <c r="AA8173" i="17"/>
  <c r="AA8172" i="17"/>
  <c r="AA8171" i="17"/>
  <c r="AA8170" i="17"/>
  <c r="AA8169" i="17"/>
  <c r="AA8166" i="17"/>
  <c r="AA8165" i="17"/>
  <c r="AA8164" i="17"/>
  <c r="AA8163" i="17"/>
  <c r="AA8162" i="17"/>
  <c r="AA8161" i="17"/>
  <c r="AA8160" i="17"/>
  <c r="AA8159" i="17"/>
  <c r="AA8158" i="17"/>
  <c r="AA8157" i="17"/>
  <c r="V8156" i="17"/>
  <c r="AA8155" i="17"/>
  <c r="V8154" i="17"/>
  <c r="AA8153" i="17"/>
  <c r="AA8152" i="17"/>
  <c r="AA8151" i="17"/>
  <c r="V8150" i="17"/>
  <c r="V8149" i="17"/>
  <c r="AA8148" i="17"/>
  <c r="AA8147" i="17"/>
  <c r="V8146" i="17"/>
  <c r="V8145" i="17"/>
  <c r="V8144" i="17"/>
  <c r="V8143" i="17"/>
  <c r="AA8142" i="17"/>
  <c r="AA8141" i="17"/>
  <c r="V8140" i="17"/>
  <c r="AA8139" i="17"/>
  <c r="AA8138" i="17"/>
  <c r="AA8137" i="17"/>
  <c r="V8136" i="17"/>
  <c r="AA8135" i="17"/>
  <c r="AA8134" i="17"/>
  <c r="AA8133" i="17"/>
  <c r="AA8132" i="17"/>
  <c r="AA8131" i="17"/>
  <c r="V8130" i="17"/>
  <c r="V8129" i="17"/>
  <c r="AA8128" i="17"/>
  <c r="V8127" i="17"/>
  <c r="AA8126" i="17"/>
  <c r="AA8125" i="17"/>
  <c r="AA8124" i="17"/>
  <c r="AA8123" i="17"/>
  <c r="AA8122" i="17"/>
  <c r="AA8121" i="17"/>
  <c r="V8120" i="17"/>
  <c r="AA8119" i="17"/>
  <c r="AA8118" i="17"/>
  <c r="AA8117" i="17"/>
  <c r="AA8116" i="17"/>
  <c r="AA8115" i="17"/>
  <c r="AA8114" i="17"/>
  <c r="AA8113" i="17"/>
  <c r="AA8112" i="17"/>
  <c r="AA8111" i="17"/>
  <c r="AA8110" i="17"/>
  <c r="AA8109" i="17"/>
  <c r="V8108" i="17"/>
  <c r="V8107" i="17"/>
  <c r="AA8106" i="17"/>
  <c r="V8105" i="17"/>
  <c r="AA8104" i="17"/>
  <c r="AA8103" i="17"/>
  <c r="AA8102" i="17"/>
  <c r="V8101" i="17"/>
  <c r="V8100" i="17"/>
  <c r="V8099" i="17"/>
  <c r="V8098" i="17"/>
  <c r="V8097" i="17"/>
  <c r="AA8096" i="17"/>
  <c r="AA8095" i="17"/>
  <c r="V8093" i="17"/>
  <c r="V8092" i="17"/>
  <c r="AA8091" i="17"/>
  <c r="AA8090" i="17"/>
  <c r="V8089" i="17"/>
  <c r="AA8088" i="17"/>
  <c r="AA8087" i="17"/>
  <c r="AA8086" i="17"/>
  <c r="AA8085" i="17"/>
  <c r="AA8084" i="17"/>
  <c r="AA8083" i="17"/>
  <c r="AA8082" i="17"/>
  <c r="AA8081" i="17"/>
  <c r="AA8080" i="17"/>
  <c r="AA8079" i="17"/>
  <c r="AA8078" i="17"/>
  <c r="AA8077" i="17"/>
  <c r="AA8076" i="17"/>
  <c r="AA8075" i="17"/>
  <c r="AA8074" i="17"/>
  <c r="AA8073" i="17"/>
  <c r="V8070" i="17"/>
  <c r="AA8069" i="17"/>
  <c r="AA8068" i="17"/>
  <c r="V8067" i="17"/>
  <c r="V8066" i="17"/>
  <c r="AA8065" i="17"/>
  <c r="AA8064" i="17"/>
  <c r="V8063" i="17"/>
  <c r="AA8062" i="17"/>
  <c r="AA8061" i="17"/>
  <c r="AA8060" i="17"/>
  <c r="AA8059" i="17"/>
  <c r="AA8058" i="17"/>
  <c r="AA8057" i="17"/>
  <c r="AA8056" i="17"/>
  <c r="AA8055" i="17"/>
  <c r="AA8054" i="17"/>
  <c r="AA8053" i="17"/>
  <c r="V8052" i="17"/>
  <c r="V8051" i="17"/>
  <c r="V8050" i="17"/>
  <c r="AA8049" i="17"/>
  <c r="AA8048" i="17"/>
  <c r="AA8047" i="17"/>
  <c r="AA8046" i="17"/>
  <c r="AA8045" i="17"/>
  <c r="AA8044" i="17"/>
  <c r="AA8043" i="17"/>
  <c r="AA8042" i="17"/>
  <c r="AA8041" i="17"/>
  <c r="AA8040" i="17"/>
  <c r="AA8038" i="17"/>
  <c r="AA8037" i="17"/>
  <c r="AA8036" i="17"/>
  <c r="AA8035" i="17"/>
  <c r="AA8034" i="17"/>
  <c r="AA8033" i="17"/>
  <c r="AA8032" i="17"/>
  <c r="AA8031" i="17"/>
  <c r="AA8030" i="17"/>
  <c r="AA8029" i="17"/>
  <c r="V8028" i="17"/>
  <c r="AA8027" i="17"/>
  <c r="AA8026" i="17"/>
  <c r="AA8025" i="17"/>
  <c r="AA8024" i="17"/>
  <c r="V8023" i="17"/>
  <c r="AA8022" i="17"/>
  <c r="AA8021" i="17"/>
  <c r="AA8020" i="17"/>
  <c r="AA8019" i="17"/>
  <c r="AA8018" i="17"/>
  <c r="AA8017" i="17"/>
  <c r="AA8016" i="17"/>
  <c r="V8015" i="17"/>
  <c r="V8014" i="17"/>
  <c r="V8012" i="17"/>
  <c r="V8011" i="17"/>
  <c r="AA8010" i="17"/>
  <c r="AA8009" i="17"/>
  <c r="AA8008" i="17"/>
  <c r="AA8007" i="17"/>
  <c r="AA8006" i="17"/>
  <c r="V8005" i="17"/>
  <c r="V8004" i="17"/>
  <c r="V8003" i="17"/>
  <c r="V8002" i="17"/>
  <c r="AA8000" i="17"/>
  <c r="AA7999" i="17"/>
  <c r="AA7998" i="17"/>
  <c r="AA7997" i="17"/>
  <c r="AA7996" i="17"/>
  <c r="AA7995" i="17"/>
  <c r="V7994" i="17"/>
  <c r="AA7993" i="17"/>
  <c r="AA7992" i="17"/>
  <c r="AA7991" i="17"/>
  <c r="AA7990" i="17"/>
  <c r="AA7989" i="17"/>
  <c r="V7988" i="17"/>
  <c r="AA7986" i="17"/>
  <c r="AA7985" i="17"/>
  <c r="AA7984" i="17"/>
  <c r="AA7983" i="17"/>
  <c r="AA7982" i="17"/>
  <c r="V7981" i="17"/>
  <c r="AA7979" i="17"/>
  <c r="V7978" i="17"/>
  <c r="V7976" i="17"/>
  <c r="AA7975" i="17"/>
  <c r="AA7974" i="17"/>
  <c r="AA7973" i="17"/>
  <c r="AA7972" i="17"/>
  <c r="AA7971" i="17"/>
  <c r="V7970" i="17"/>
  <c r="AA7969" i="17"/>
  <c r="AA7968" i="17"/>
  <c r="AA7967" i="17"/>
  <c r="AA7966" i="17"/>
  <c r="AA7965" i="17"/>
  <c r="AA7964" i="17"/>
  <c r="AA7963" i="17"/>
  <c r="AA7962" i="17"/>
  <c r="AA7961" i="17"/>
  <c r="AA7960" i="17"/>
  <c r="AA7959" i="17"/>
  <c r="AA7958" i="17"/>
  <c r="AA7957" i="17"/>
  <c r="AA7956" i="17"/>
  <c r="V7955" i="17"/>
  <c r="V7954" i="17"/>
  <c r="AA7953" i="17"/>
  <c r="V7952" i="17"/>
  <c r="AA7951" i="17"/>
  <c r="AA7950" i="17"/>
  <c r="AA7949" i="17"/>
  <c r="AA7948" i="17"/>
  <c r="V7947" i="17"/>
  <c r="AA7946" i="17"/>
  <c r="V7945" i="17"/>
  <c r="V7944" i="17"/>
  <c r="V7943" i="17"/>
  <c r="V7942" i="17"/>
  <c r="V7941" i="17"/>
  <c r="V7940" i="17"/>
  <c r="AA7939" i="17"/>
  <c r="AA7938" i="17"/>
  <c r="V7937" i="17"/>
  <c r="V7936" i="17"/>
  <c r="V7935" i="17"/>
  <c r="V7934" i="17"/>
  <c r="V7933" i="17"/>
  <c r="AA7932" i="17"/>
  <c r="AA7931" i="17"/>
  <c r="AA7930" i="17"/>
  <c r="AA7929" i="17"/>
  <c r="V7928" i="17"/>
  <c r="V7927" i="17"/>
  <c r="V7926" i="17"/>
  <c r="V7925" i="17"/>
  <c r="V7924" i="17"/>
  <c r="V7923" i="17"/>
  <c r="V7922" i="17"/>
  <c r="V7921" i="17"/>
  <c r="V7920" i="17"/>
  <c r="AA7919" i="17"/>
  <c r="AA7918" i="17"/>
  <c r="V7917" i="17"/>
  <c r="V7916" i="17"/>
  <c r="AA7915" i="17"/>
  <c r="V7914" i="17"/>
  <c r="V7913" i="17"/>
  <c r="AA7912" i="17"/>
  <c r="AA7911" i="17"/>
  <c r="V7910" i="17"/>
  <c r="AA7909" i="17"/>
  <c r="AA7908" i="17"/>
  <c r="V7907" i="17"/>
  <c r="V7906" i="17"/>
  <c r="V7904" i="17"/>
  <c r="AA7903" i="17"/>
  <c r="AA7902" i="17"/>
  <c r="AA7901" i="17"/>
  <c r="AA7900" i="17"/>
  <c r="V7899" i="17"/>
  <c r="AA7898" i="17"/>
  <c r="AA7897" i="17"/>
  <c r="V7896" i="17"/>
  <c r="AA7895" i="17"/>
  <c r="AA7894" i="17"/>
  <c r="AA7893" i="17"/>
  <c r="AA7892" i="17"/>
  <c r="AA7891" i="17"/>
  <c r="AA7890" i="17"/>
  <c r="AA7889" i="17"/>
  <c r="AA7888" i="17"/>
  <c r="AA7887" i="17"/>
  <c r="AA7886" i="17"/>
  <c r="AA7885" i="17"/>
  <c r="V7884" i="17"/>
  <c r="AA7882" i="17"/>
  <c r="AA7881" i="17"/>
  <c r="AA7880" i="17"/>
  <c r="AA7879" i="17"/>
  <c r="V7878" i="17"/>
  <c r="AA7877" i="17"/>
  <c r="V7876" i="17"/>
  <c r="V7875" i="17"/>
  <c r="AA7874" i="17"/>
  <c r="AA7873" i="17"/>
  <c r="AA7872" i="17"/>
  <c r="AA7871" i="17"/>
  <c r="AA7870" i="17"/>
  <c r="AA7869" i="17"/>
  <c r="AA7868" i="17"/>
  <c r="V7867" i="17"/>
  <c r="AA7866" i="17"/>
  <c r="V7865" i="17"/>
  <c r="V7863" i="17"/>
  <c r="V7862" i="17"/>
  <c r="V7861" i="17"/>
  <c r="V7860" i="17"/>
  <c r="V7859" i="17"/>
  <c r="AA7858" i="17"/>
  <c r="AA7857" i="17"/>
  <c r="V7856" i="17"/>
  <c r="V7855" i="17"/>
  <c r="V7854" i="17"/>
  <c r="V7853" i="17"/>
  <c r="AA7852" i="17"/>
  <c r="AA7851" i="17"/>
  <c r="AA7850" i="17"/>
  <c r="V7849" i="17"/>
  <c r="AA7848" i="17"/>
  <c r="AA7847" i="17"/>
  <c r="AA7846" i="17"/>
  <c r="V7845" i="17"/>
  <c r="AA7844" i="17"/>
  <c r="AA7843" i="17"/>
  <c r="AA7842" i="17"/>
  <c r="AA7841" i="17"/>
  <c r="V7840" i="17"/>
  <c r="V7839" i="17"/>
  <c r="AA7838" i="17"/>
  <c r="AA7837" i="17"/>
  <c r="AA7836" i="17"/>
  <c r="AA7835" i="17"/>
  <c r="AA7834" i="17"/>
  <c r="AA7833" i="17"/>
  <c r="AA7832" i="17"/>
  <c r="V7831" i="17"/>
  <c r="AA7830" i="17"/>
  <c r="AA7829" i="17"/>
  <c r="V7828" i="17"/>
  <c r="AA7827" i="17"/>
  <c r="AA7826" i="17"/>
  <c r="V7825" i="17"/>
  <c r="AA7824" i="17"/>
  <c r="V7823" i="17"/>
  <c r="V7822" i="17"/>
  <c r="AA7821" i="17"/>
  <c r="AA7820" i="17"/>
  <c r="AA7819" i="17"/>
  <c r="AA7818" i="17"/>
  <c r="AA7817" i="17"/>
  <c r="V7816" i="17"/>
  <c r="AA7815" i="17"/>
  <c r="AA7814" i="17"/>
  <c r="AA7813" i="17"/>
  <c r="AA7812" i="17"/>
  <c r="AA7811" i="17"/>
  <c r="AA7810" i="17"/>
  <c r="AA7809" i="17"/>
  <c r="V7808" i="17"/>
  <c r="AA7807" i="17"/>
  <c r="AA7806" i="17"/>
  <c r="AA7805" i="17"/>
  <c r="AA7804" i="17"/>
  <c r="V7803" i="17"/>
  <c r="AA7802" i="17"/>
  <c r="V7801" i="17"/>
  <c r="V7800" i="17"/>
  <c r="AA7799" i="17"/>
  <c r="AA7798" i="17"/>
  <c r="AA7797" i="17"/>
  <c r="AA7796" i="17"/>
  <c r="AA7795" i="17"/>
  <c r="V7794" i="17"/>
  <c r="AA7793" i="17"/>
  <c r="AA7792" i="17"/>
  <c r="AA7791" i="17"/>
  <c r="V7790" i="17"/>
  <c r="AA7789" i="17"/>
  <c r="AA7788" i="17"/>
  <c r="AA7787" i="17"/>
  <c r="AA7786" i="17"/>
  <c r="AA7785" i="17"/>
  <c r="AA7784" i="17"/>
  <c r="AA7783" i="17"/>
  <c r="AA7782" i="17"/>
  <c r="AA7781" i="17"/>
  <c r="AA7780" i="17"/>
  <c r="AA7779" i="17"/>
  <c r="AA7778" i="17"/>
  <c r="AA7777" i="17"/>
  <c r="AA7776" i="17"/>
  <c r="AA7775" i="17"/>
  <c r="AA7774" i="17"/>
  <c r="AA7773" i="17"/>
  <c r="AA7772" i="17"/>
  <c r="AA7771" i="17"/>
  <c r="AA7770" i="17"/>
  <c r="AA7769" i="17"/>
  <c r="V7768" i="17"/>
  <c r="AA7767" i="17"/>
  <c r="AA7766" i="17"/>
  <c r="AA7765" i="17"/>
  <c r="AA7764" i="17"/>
  <c r="AA7763" i="17"/>
  <c r="AA7762" i="17"/>
  <c r="AA7761" i="17"/>
  <c r="AA7760" i="17"/>
  <c r="AA7759" i="17"/>
  <c r="AA7758" i="17"/>
  <c r="AA7757" i="17"/>
  <c r="AA7756" i="17"/>
  <c r="AA7755" i="17"/>
  <c r="AA7754" i="17"/>
  <c r="AA7753" i="17"/>
  <c r="AA7752" i="17"/>
  <c r="V7751" i="17"/>
  <c r="AA7749" i="17"/>
  <c r="V7748" i="17"/>
  <c r="V7747" i="17"/>
  <c r="AA7746" i="17"/>
  <c r="AA7745" i="17"/>
  <c r="AA7744" i="17"/>
  <c r="V7743" i="17"/>
  <c r="AA7742" i="17"/>
  <c r="AA7741" i="17"/>
  <c r="AA7740" i="17"/>
  <c r="V7739" i="17"/>
  <c r="V7738" i="17"/>
  <c r="V7737" i="17"/>
  <c r="AA7736" i="17"/>
  <c r="V7735" i="17"/>
  <c r="AA7734" i="17"/>
  <c r="V7733" i="17"/>
  <c r="V7732" i="17"/>
  <c r="AA7731" i="17"/>
  <c r="V7730" i="17"/>
  <c r="AA7729" i="17"/>
  <c r="AA7728" i="17"/>
  <c r="AA7727" i="17"/>
  <c r="AA7726" i="17"/>
  <c r="AA7725" i="17"/>
  <c r="V7724" i="17"/>
  <c r="V7723" i="17"/>
  <c r="V7722" i="17"/>
  <c r="AA7721" i="17"/>
  <c r="AA7720" i="17"/>
  <c r="AA7717" i="17"/>
  <c r="AA7716" i="17"/>
  <c r="AA7715" i="17"/>
  <c r="AA7714" i="17"/>
  <c r="AA7713" i="17"/>
  <c r="AA7712" i="17"/>
  <c r="AA7711" i="17"/>
  <c r="V7710" i="17"/>
  <c r="V7709" i="17"/>
  <c r="AA7708" i="17"/>
  <c r="V7707" i="17"/>
  <c r="V7706" i="17"/>
  <c r="V7705" i="17"/>
  <c r="AA7704" i="17"/>
  <c r="AA7703" i="17"/>
  <c r="AA7702" i="17"/>
  <c r="AA7701" i="17"/>
  <c r="V7700" i="17"/>
  <c r="V7699" i="17"/>
  <c r="V7698" i="17"/>
  <c r="V7697" i="17"/>
  <c r="AA7696" i="17"/>
  <c r="V7695" i="17"/>
  <c r="V7694" i="17"/>
  <c r="AA7693" i="17"/>
  <c r="V7692" i="17"/>
  <c r="V7691" i="17"/>
  <c r="V7690" i="17"/>
  <c r="AA7689" i="17"/>
  <c r="AA7688" i="17"/>
  <c r="V7687" i="17"/>
  <c r="AA7686" i="17"/>
  <c r="AA7685" i="17"/>
  <c r="AA7684" i="17"/>
  <c r="V7683" i="17"/>
  <c r="AA7682" i="17"/>
  <c r="AA7681" i="17"/>
  <c r="AA7680" i="17"/>
  <c r="AA7679" i="17"/>
  <c r="AA7678" i="17"/>
  <c r="V7676" i="17"/>
  <c r="AA7675" i="17"/>
  <c r="AA7674" i="17"/>
  <c r="AA7673" i="17"/>
  <c r="AA7672" i="17"/>
  <c r="AA7671" i="17"/>
  <c r="AA7670" i="17"/>
  <c r="AA7669" i="17"/>
  <c r="V7668" i="17"/>
  <c r="AA7667" i="17"/>
  <c r="AA7666" i="17"/>
  <c r="AA7665" i="17"/>
  <c r="AA7663" i="17"/>
  <c r="AA7662" i="17"/>
  <c r="V7661" i="17"/>
  <c r="AA7660" i="17"/>
  <c r="AA7659" i="17"/>
  <c r="AA7658" i="17"/>
  <c r="V7657" i="17"/>
  <c r="AA7656" i="17"/>
  <c r="AA7655" i="17"/>
  <c r="AA7654" i="17"/>
  <c r="AA7653" i="17"/>
  <c r="AA7652" i="17"/>
  <c r="AA7651" i="17"/>
  <c r="AA7650" i="17"/>
  <c r="AA7649" i="17"/>
  <c r="AA7648" i="17"/>
  <c r="AA7647" i="17"/>
  <c r="AA7646" i="17"/>
  <c r="V7645" i="17"/>
  <c r="AA7644" i="17"/>
  <c r="AA7643" i="17"/>
  <c r="AA7642" i="17"/>
  <c r="AA7641" i="17"/>
  <c r="AA7640" i="17"/>
  <c r="AA7639" i="17"/>
  <c r="AA7638" i="17"/>
  <c r="AA7637" i="17"/>
  <c r="AA7636" i="17"/>
  <c r="V7635" i="17"/>
  <c r="V7634" i="17"/>
  <c r="AA7633" i="17"/>
  <c r="AA7632" i="17"/>
  <c r="AA7631" i="17"/>
  <c r="V7630" i="17"/>
  <c r="AA7629" i="17"/>
  <c r="AA7628" i="17"/>
  <c r="V7627" i="17"/>
  <c r="V7626" i="17"/>
  <c r="AA7625" i="17"/>
  <c r="V7624" i="17"/>
  <c r="AA7623" i="17"/>
  <c r="V7622" i="17"/>
  <c r="AA7620" i="17"/>
  <c r="AA7619" i="17"/>
  <c r="AA7618" i="17"/>
  <c r="AA7617" i="17"/>
  <c r="AA7616" i="17"/>
  <c r="V7614" i="17"/>
  <c r="V7613" i="17"/>
  <c r="V7612" i="17"/>
  <c r="AA7611" i="17"/>
  <c r="AA7610" i="17"/>
  <c r="AA7609" i="17"/>
  <c r="AA7608" i="17"/>
  <c r="AA7607" i="17"/>
  <c r="AA7606" i="17"/>
  <c r="AA7605" i="17"/>
  <c r="AA7604" i="17"/>
  <c r="AA7603" i="17"/>
  <c r="AA7602" i="17"/>
  <c r="V7601" i="17"/>
  <c r="AA7600" i="17"/>
  <c r="V7599" i="17"/>
  <c r="V7598" i="17"/>
  <c r="AA7597" i="17"/>
  <c r="AA7596" i="17"/>
  <c r="AA7595" i="17"/>
  <c r="AA7594" i="17"/>
  <c r="AA7593" i="17"/>
  <c r="AA7592" i="17"/>
  <c r="AA7591" i="17"/>
  <c r="V7590" i="17"/>
  <c r="AA7589" i="17"/>
  <c r="AA7588" i="17"/>
  <c r="AA7587" i="17"/>
  <c r="AA7586" i="17"/>
  <c r="AA7585" i="17"/>
  <c r="AA7584" i="17"/>
  <c r="AA7583" i="17"/>
  <c r="AA7582" i="17"/>
  <c r="AA7581" i="17"/>
  <c r="AA7580" i="17"/>
  <c r="AA7579" i="17"/>
  <c r="V7578" i="17"/>
  <c r="V7577" i="17"/>
  <c r="V7576" i="17"/>
  <c r="AA7575" i="17"/>
  <c r="AA7574" i="17"/>
  <c r="AA7573" i="17"/>
  <c r="AA7572" i="17"/>
  <c r="V7571" i="17"/>
  <c r="AA7570" i="17"/>
  <c r="V7569" i="17"/>
  <c r="V7568" i="17"/>
  <c r="AA7567" i="17"/>
  <c r="V7566" i="17"/>
  <c r="V7565" i="17"/>
  <c r="V7564" i="17"/>
  <c r="AA7563" i="17"/>
  <c r="V7562" i="17"/>
  <c r="AA7561" i="17"/>
  <c r="AA7560" i="17"/>
  <c r="AA7558" i="17"/>
  <c r="V7557" i="17"/>
  <c r="V7556" i="17"/>
  <c r="V7555" i="17"/>
  <c r="V7554" i="17"/>
  <c r="V7553" i="17"/>
  <c r="V7552" i="17"/>
  <c r="V7551" i="17"/>
  <c r="V7550" i="17"/>
  <c r="V7549" i="17"/>
  <c r="V7548" i="17"/>
  <c r="V7547" i="17"/>
  <c r="V7546" i="17"/>
  <c r="V7545" i="17"/>
  <c r="V7544" i="17"/>
  <c r="V7543" i="17"/>
  <c r="V7542" i="17"/>
  <c r="V7541" i="17"/>
  <c r="AA7540" i="17"/>
  <c r="V7539" i="17"/>
  <c r="V7538" i="17"/>
  <c r="AA7537" i="17"/>
  <c r="AA7536" i="17"/>
  <c r="AA7535" i="17"/>
  <c r="AA7534" i="17"/>
  <c r="V7533" i="17"/>
  <c r="V7531" i="17"/>
  <c r="V7530" i="17"/>
  <c r="V7529" i="17"/>
  <c r="AA7528" i="17"/>
  <c r="V7527" i="17"/>
  <c r="V7526" i="17"/>
  <c r="V7524" i="17"/>
  <c r="V7523" i="17"/>
  <c r="V7522" i="17"/>
  <c r="AA7521" i="17"/>
  <c r="AA7520" i="17"/>
  <c r="AA7519" i="17"/>
  <c r="AA7518" i="17"/>
  <c r="V7517" i="17"/>
  <c r="V7516" i="17"/>
  <c r="AA7515" i="17"/>
  <c r="AA7514" i="17"/>
  <c r="V7513" i="17"/>
  <c r="AA7512" i="17"/>
  <c r="AA7511" i="17"/>
  <c r="AA7510" i="17"/>
  <c r="AA7509" i="17"/>
  <c r="AA7508" i="17"/>
  <c r="V7506" i="17"/>
  <c r="V7505" i="17"/>
  <c r="AA7504" i="17"/>
  <c r="AA7503" i="17"/>
  <c r="V7501" i="17"/>
  <c r="AA7500" i="17"/>
  <c r="AA7499" i="17"/>
  <c r="AA7498" i="17"/>
  <c r="AA7497" i="17"/>
  <c r="V7496" i="17"/>
  <c r="AA7495" i="17"/>
  <c r="AA7494" i="17"/>
  <c r="AA7493" i="17"/>
  <c r="V7492" i="17"/>
  <c r="V7491" i="17"/>
  <c r="V7490" i="17"/>
  <c r="V7489" i="17"/>
  <c r="AA7488" i="17"/>
  <c r="AA7487" i="17"/>
  <c r="AA7486" i="17"/>
  <c r="AA7485" i="17"/>
  <c r="AA7484" i="17"/>
  <c r="AA7483" i="17"/>
  <c r="AA7482" i="17"/>
  <c r="AA7481" i="17"/>
  <c r="V7480" i="17"/>
  <c r="AA7479" i="17"/>
  <c r="AA7478" i="17"/>
  <c r="AA7477" i="17"/>
  <c r="V7476" i="17"/>
  <c r="V7475" i="17"/>
  <c r="V7474" i="17"/>
  <c r="AA7473" i="17"/>
  <c r="V7471" i="17"/>
  <c r="AA7470" i="17"/>
  <c r="AA7469" i="17"/>
  <c r="AA7468" i="17"/>
  <c r="AA7467" i="17"/>
  <c r="AA7466" i="17"/>
  <c r="AA7465" i="17"/>
  <c r="AA7464" i="17"/>
  <c r="AA7463" i="17"/>
  <c r="AA7462" i="17"/>
  <c r="V7461" i="17"/>
  <c r="AA7460" i="17"/>
  <c r="AA7459" i="17"/>
  <c r="AA7458" i="17"/>
  <c r="AA7457" i="17"/>
  <c r="AA7456" i="17"/>
  <c r="AA7455" i="17"/>
  <c r="AA7454" i="17"/>
  <c r="AA7453" i="17"/>
  <c r="AA7452" i="17"/>
  <c r="AA7451" i="17"/>
  <c r="AA7450" i="17"/>
  <c r="AA7448" i="17"/>
  <c r="AA7447" i="17"/>
  <c r="AA7446" i="17"/>
  <c r="AA7445" i="17"/>
  <c r="AA7444" i="17"/>
  <c r="AA7443" i="17"/>
  <c r="V7442" i="17"/>
  <c r="AA7441" i="17"/>
  <c r="AA7440" i="17"/>
  <c r="V7439" i="17"/>
  <c r="AA7438" i="17"/>
  <c r="AA7437" i="17"/>
  <c r="AA7436" i="17"/>
  <c r="AA7435" i="17"/>
  <c r="AA7434" i="17"/>
  <c r="AA7433" i="17"/>
  <c r="V7431" i="17"/>
  <c r="V7430" i="17"/>
  <c r="V7429" i="17"/>
  <c r="V7427" i="17"/>
  <c r="AA7426" i="17"/>
  <c r="V7425" i="17"/>
  <c r="AA7424" i="17"/>
  <c r="V7423" i="17"/>
  <c r="AA7422" i="17"/>
  <c r="AA7420" i="17"/>
  <c r="V7419" i="17"/>
  <c r="V7418" i="17"/>
  <c r="V7417" i="17"/>
  <c r="AA7416" i="17"/>
  <c r="AA7415" i="17"/>
  <c r="V7414" i="17"/>
  <c r="AA7413" i="17"/>
  <c r="V7412" i="17"/>
  <c r="AA7411" i="17"/>
  <c r="AA7410" i="17"/>
  <c r="AA7409" i="17"/>
  <c r="AA7408" i="17"/>
  <c r="V7407" i="17"/>
  <c r="V7406" i="17"/>
  <c r="V7404" i="17"/>
  <c r="AA7403" i="17"/>
  <c r="AA7402" i="17"/>
  <c r="AA7401" i="17"/>
  <c r="AA7400" i="17"/>
  <c r="AA7399" i="17"/>
  <c r="AA7398" i="17"/>
  <c r="AA7397" i="17"/>
  <c r="AA7396" i="17"/>
  <c r="AA7395" i="17"/>
  <c r="AA7394" i="17"/>
  <c r="V7393" i="17"/>
  <c r="V7392" i="17"/>
  <c r="V7391" i="17"/>
  <c r="AA7390" i="17"/>
  <c r="AA7389" i="17"/>
  <c r="V7388" i="17"/>
  <c r="V7387" i="17"/>
  <c r="V7386" i="17"/>
  <c r="V7385" i="17"/>
  <c r="V7384" i="17"/>
  <c r="AA7383" i="17"/>
  <c r="V7382" i="17"/>
  <c r="AA7380" i="17"/>
  <c r="V7379" i="17"/>
  <c r="AA7378" i="17"/>
  <c r="AA7377" i="17"/>
  <c r="AA7376" i="17"/>
  <c r="AA7375" i="17"/>
  <c r="AA7374" i="17"/>
  <c r="V7372" i="17"/>
  <c r="V7371" i="17"/>
  <c r="AA7370" i="17"/>
  <c r="AA7369" i="17"/>
  <c r="AA7368" i="17"/>
  <c r="V7367" i="17"/>
  <c r="AA7366" i="17"/>
  <c r="AA7365" i="17"/>
  <c r="V7364" i="17"/>
  <c r="V7363" i="17"/>
  <c r="V7362" i="17"/>
  <c r="V7361" i="17"/>
  <c r="V7360" i="17"/>
  <c r="AA7359" i="17"/>
  <c r="AA7358" i="17"/>
  <c r="AA7357" i="17"/>
  <c r="AA7356" i="17"/>
  <c r="AA7355" i="17"/>
  <c r="AA7354" i="17"/>
  <c r="V7353" i="17"/>
  <c r="V7352" i="17"/>
  <c r="AA7351" i="17"/>
  <c r="AA7350" i="17"/>
  <c r="AA7349" i="17"/>
  <c r="V7348" i="17"/>
  <c r="V7347" i="17"/>
  <c r="V7346" i="17"/>
  <c r="V7345" i="17"/>
  <c r="AA7344" i="17"/>
  <c r="AA7343" i="17"/>
  <c r="AA7342" i="17"/>
  <c r="AA7341" i="17"/>
  <c r="AA7340" i="17"/>
  <c r="V7339" i="17"/>
  <c r="V7338" i="17"/>
  <c r="V7337" i="17"/>
  <c r="V7336" i="17"/>
  <c r="V7335" i="17"/>
  <c r="V7334" i="17"/>
  <c r="AA7333" i="17"/>
  <c r="AA7332" i="17"/>
  <c r="AA7331" i="17"/>
  <c r="AA7330" i="17"/>
  <c r="AA7329" i="17"/>
  <c r="AA7328" i="17"/>
  <c r="V7327" i="17"/>
  <c r="AA7326" i="17"/>
  <c r="V7325" i="17"/>
  <c r="AA7323" i="17"/>
  <c r="V7322" i="17"/>
  <c r="V7321" i="17"/>
  <c r="AA7320" i="17"/>
  <c r="AA7319" i="17"/>
  <c r="V7318" i="17"/>
  <c r="AA7317" i="17"/>
  <c r="AA7316" i="17"/>
  <c r="AA7315" i="17"/>
  <c r="AA7314" i="17"/>
  <c r="AA7313" i="17"/>
  <c r="AA7312" i="17"/>
  <c r="AA7311" i="17"/>
  <c r="V7310" i="17"/>
  <c r="V7309" i="17"/>
  <c r="V7308" i="17"/>
  <c r="V7307" i="17"/>
  <c r="V7306" i="17"/>
  <c r="AA7305" i="17"/>
  <c r="AA7304" i="17"/>
  <c r="AA7303" i="17"/>
  <c r="V7302" i="17"/>
  <c r="V7301" i="17"/>
  <c r="V7300" i="17"/>
  <c r="V7299" i="17"/>
  <c r="V7298" i="17"/>
  <c r="AA7297" i="17"/>
  <c r="AA7296" i="17"/>
  <c r="AA7295" i="17"/>
  <c r="V7294" i="17"/>
  <c r="V7293" i="17"/>
  <c r="AA7292" i="17"/>
  <c r="AA7291" i="17"/>
  <c r="AA7290" i="17"/>
  <c r="AA7289" i="17"/>
  <c r="AA7288" i="17"/>
  <c r="V7287" i="17"/>
  <c r="V7286" i="17"/>
  <c r="AA7285" i="17"/>
  <c r="V7284" i="17"/>
  <c r="V7283" i="17"/>
  <c r="V7282" i="17"/>
  <c r="V7281" i="17"/>
  <c r="AA7280" i="17"/>
  <c r="AA7279" i="17"/>
  <c r="V7278" i="17"/>
  <c r="V7277" i="17"/>
  <c r="V7276" i="17"/>
  <c r="AA7275" i="17"/>
  <c r="V7274" i="17"/>
  <c r="V7273" i="17"/>
  <c r="AA7272" i="17"/>
  <c r="AA7271" i="17"/>
  <c r="AA7270" i="17"/>
  <c r="AA7269" i="17"/>
  <c r="AA7268" i="17"/>
  <c r="AA7267" i="17"/>
  <c r="AA7266" i="17"/>
  <c r="AA7265" i="17"/>
  <c r="AA7264" i="17"/>
  <c r="AA7263" i="17"/>
  <c r="AA7262" i="17"/>
  <c r="AA7261" i="17"/>
  <c r="V7260" i="17"/>
  <c r="V7259" i="17"/>
  <c r="V7258" i="17"/>
  <c r="AA7257" i="17"/>
  <c r="AA7256" i="17"/>
  <c r="AA7255" i="17"/>
  <c r="AA7254" i="17"/>
  <c r="AA7253" i="17"/>
  <c r="V7251" i="17"/>
  <c r="AA7250" i="17"/>
  <c r="AA7249" i="17"/>
  <c r="V7248" i="17"/>
  <c r="AA7246" i="17"/>
  <c r="V7245" i="17"/>
  <c r="V7244" i="17"/>
  <c r="V7243" i="17"/>
  <c r="V7242" i="17"/>
  <c r="AA7241" i="17"/>
  <c r="AA7240" i="17"/>
  <c r="AA7239" i="17"/>
  <c r="AA7238" i="17"/>
  <c r="AA7237" i="17"/>
  <c r="AA7236" i="17"/>
  <c r="AA7235" i="17"/>
  <c r="AA7233" i="17"/>
  <c r="V7232" i="17"/>
  <c r="V7231" i="17"/>
  <c r="V7230" i="17"/>
  <c r="V7229" i="17"/>
  <c r="V7228" i="17"/>
  <c r="V7227" i="17"/>
  <c r="V7226" i="17"/>
  <c r="V7225" i="17"/>
  <c r="V7224" i="17"/>
  <c r="AA7223" i="17"/>
  <c r="AA7222" i="17"/>
  <c r="AA7221" i="17"/>
  <c r="AA7220" i="17"/>
  <c r="V7219" i="17"/>
  <c r="AA7218" i="17"/>
  <c r="AA7217" i="17"/>
  <c r="V7216" i="17"/>
  <c r="AA7215" i="17"/>
  <c r="V7214" i="17"/>
  <c r="V7213" i="17"/>
  <c r="V7212" i="17"/>
  <c r="V7211" i="17"/>
  <c r="V7210" i="17"/>
  <c r="AA7209" i="17"/>
  <c r="AA7208" i="17"/>
  <c r="AA7207" i="17"/>
  <c r="AA7206" i="17"/>
  <c r="AA7205" i="17"/>
  <c r="V7204" i="17"/>
  <c r="V7203" i="17"/>
  <c r="V7202" i="17"/>
  <c r="V7201" i="17"/>
  <c r="V7200" i="17"/>
  <c r="V7199" i="17"/>
  <c r="AA7198" i="17"/>
  <c r="V7197" i="17"/>
  <c r="AA7196" i="17"/>
  <c r="AA7195" i="17"/>
  <c r="AA7194" i="17"/>
  <c r="AA7193" i="17"/>
  <c r="AA7192" i="17"/>
  <c r="AA7191" i="17"/>
  <c r="AA7190" i="17"/>
  <c r="V7189" i="17"/>
  <c r="V7188" i="17"/>
  <c r="AA7187" i="17"/>
  <c r="V7186" i="17"/>
  <c r="V7185" i="17"/>
  <c r="V7184" i="17"/>
  <c r="V7183" i="17"/>
  <c r="AA7182" i="17"/>
  <c r="V7181" i="17"/>
  <c r="AA7180" i="17"/>
  <c r="AA7179" i="17"/>
  <c r="V7178" i="17"/>
  <c r="V7177" i="17"/>
  <c r="AA7176" i="17"/>
  <c r="AA7175" i="17"/>
  <c r="AA7174" i="17"/>
  <c r="AA7173" i="17"/>
  <c r="AA7172" i="17"/>
  <c r="AA7171" i="17"/>
  <c r="AA7170" i="17"/>
  <c r="AA7169" i="17"/>
  <c r="V7167" i="17"/>
  <c r="V7166" i="17"/>
  <c r="V7165" i="17"/>
  <c r="V7164" i="17"/>
  <c r="AA7163" i="17"/>
  <c r="AA7162" i="17"/>
  <c r="AA7161" i="17"/>
  <c r="V7160" i="17"/>
  <c r="AA7159" i="17"/>
  <c r="V7158" i="17"/>
  <c r="AA7157" i="17"/>
  <c r="AA7156" i="17"/>
  <c r="AA7155" i="17"/>
  <c r="V7153" i="17"/>
  <c r="AA7152" i="17"/>
  <c r="AA7151" i="17"/>
  <c r="AA7150" i="17"/>
  <c r="AA7149" i="17"/>
  <c r="AA7148" i="17"/>
  <c r="AA7147" i="17"/>
  <c r="V7146" i="17"/>
  <c r="AA7145" i="17"/>
  <c r="AA7144" i="17"/>
  <c r="AA7143" i="17"/>
  <c r="AA7142" i="17"/>
  <c r="V7141" i="17"/>
  <c r="V7140" i="17"/>
  <c r="V7139" i="17"/>
  <c r="AA7138" i="17"/>
  <c r="AA7137" i="17"/>
  <c r="V7136" i="17"/>
  <c r="AA7135" i="17"/>
  <c r="V7133" i="17"/>
  <c r="V7132" i="17"/>
  <c r="AA7131" i="17"/>
  <c r="V7130" i="17"/>
  <c r="AA7129" i="17"/>
  <c r="AA7128" i="17"/>
  <c r="AA7127" i="17"/>
  <c r="V7126" i="17"/>
  <c r="AA7125" i="17"/>
  <c r="AA7124" i="17"/>
  <c r="AA7123" i="17"/>
  <c r="V7122" i="17"/>
  <c r="AA7121" i="17"/>
  <c r="V7120" i="17"/>
  <c r="V7119" i="17"/>
  <c r="V7118" i="17"/>
  <c r="V7117" i="17"/>
  <c r="V7116" i="17"/>
  <c r="AA7115" i="17"/>
  <c r="AA7114" i="17"/>
  <c r="AA7113" i="17"/>
  <c r="V7112" i="17"/>
  <c r="V7111" i="17"/>
  <c r="V7110" i="17"/>
  <c r="V7109" i="17"/>
  <c r="V7108" i="17"/>
  <c r="V7107" i="17"/>
  <c r="V7106" i="17"/>
  <c r="AA7105" i="17"/>
  <c r="V7104" i="17"/>
  <c r="AA7103" i="17"/>
  <c r="AA7102" i="17"/>
  <c r="AA7101" i="17"/>
  <c r="AA7100" i="17"/>
  <c r="AA7099" i="17"/>
  <c r="AA7098" i="17"/>
  <c r="AA7097" i="17"/>
  <c r="AA7096" i="17"/>
  <c r="AA7095" i="17"/>
  <c r="AA7094" i="17"/>
  <c r="AA7093" i="17"/>
  <c r="AA7092" i="17"/>
  <c r="AA7091" i="17"/>
  <c r="AA7090" i="17"/>
  <c r="AA7089" i="17"/>
  <c r="V7088" i="17"/>
  <c r="V7087" i="17"/>
  <c r="V7086" i="17"/>
  <c r="AA7085" i="17"/>
  <c r="AA7084" i="17"/>
  <c r="AA7083" i="17"/>
  <c r="AA7082" i="17"/>
  <c r="AA7081" i="17"/>
  <c r="AA7080" i="17"/>
  <c r="AA7079" i="17"/>
  <c r="AA7078" i="17"/>
  <c r="V7077" i="17"/>
  <c r="AA7076" i="17"/>
  <c r="AA7075" i="17"/>
  <c r="AA7074" i="17"/>
  <c r="AA7073" i="17"/>
  <c r="AA7072" i="17"/>
  <c r="AA7071" i="17"/>
  <c r="AA7070" i="17"/>
  <c r="AA7069" i="17"/>
  <c r="AA7068" i="17"/>
  <c r="AA7067" i="17"/>
  <c r="AA7066" i="17"/>
  <c r="AA7065" i="17"/>
  <c r="V7064" i="17"/>
  <c r="V7063" i="17"/>
  <c r="AA7062" i="17"/>
  <c r="AA7061" i="17"/>
  <c r="AA7060" i="17"/>
  <c r="V7059" i="17"/>
  <c r="V7058" i="17"/>
  <c r="V7057" i="17"/>
  <c r="V7056" i="17"/>
  <c r="V7055" i="17"/>
  <c r="V7054" i="17"/>
  <c r="AA7053" i="17"/>
  <c r="V7052" i="17"/>
  <c r="V7050" i="17"/>
  <c r="AA7049" i="17"/>
  <c r="AA7048" i="17"/>
  <c r="AA7047" i="17"/>
  <c r="AA7046" i="17"/>
  <c r="AA7045" i="17"/>
  <c r="AA7044" i="17"/>
  <c r="AA7043" i="17"/>
  <c r="AA7042" i="17"/>
  <c r="AA7041" i="17"/>
  <c r="V7040" i="17"/>
  <c r="V7039" i="17"/>
  <c r="AA7038" i="17"/>
  <c r="V7037" i="17"/>
  <c r="AA7036" i="17"/>
  <c r="V7035" i="17"/>
  <c r="V7034" i="17"/>
  <c r="V7033" i="17"/>
  <c r="V7032" i="17"/>
  <c r="V7031" i="17"/>
  <c r="AA7030" i="17"/>
  <c r="AA7029" i="17"/>
  <c r="V7028" i="17"/>
  <c r="AA7027" i="17"/>
  <c r="V7026" i="17"/>
  <c r="AA7025" i="17"/>
  <c r="V7024" i="17"/>
  <c r="AA7023" i="17"/>
  <c r="AA7022" i="17"/>
  <c r="AA7021" i="17"/>
  <c r="AA7020" i="17"/>
  <c r="AA7019" i="17"/>
  <c r="AA7018" i="17"/>
  <c r="AA7017" i="17"/>
  <c r="AA7016" i="17"/>
  <c r="AA7015" i="17"/>
  <c r="AA7014" i="17"/>
  <c r="AA7013" i="17"/>
  <c r="AA7012" i="17"/>
  <c r="AA7011" i="17"/>
  <c r="AA7010" i="17"/>
  <c r="AA7009" i="17"/>
  <c r="AA7008" i="17"/>
  <c r="AA7007" i="17"/>
  <c r="AA7006" i="17"/>
  <c r="AA7005" i="17"/>
  <c r="AA7004" i="17"/>
  <c r="AA7003" i="17"/>
  <c r="AA7002" i="17"/>
  <c r="AA7001" i="17"/>
  <c r="AA7000" i="17"/>
  <c r="V6999" i="17"/>
  <c r="AA6998" i="17"/>
  <c r="AA6997" i="17"/>
  <c r="AA6996" i="17"/>
  <c r="V6995" i="17"/>
  <c r="AA6994" i="17"/>
  <c r="AA6993" i="17"/>
  <c r="V6992" i="17"/>
  <c r="V6991" i="17"/>
  <c r="V6990" i="17"/>
  <c r="V6989" i="17"/>
  <c r="AA6988" i="17"/>
  <c r="V6987" i="17"/>
  <c r="V6986" i="17"/>
  <c r="AA6985" i="17"/>
  <c r="V6984" i="17"/>
  <c r="AA6983" i="17"/>
  <c r="AA6982" i="17"/>
  <c r="AA6981" i="17"/>
  <c r="AA6980" i="17"/>
  <c r="AA6979" i="17"/>
  <c r="AA6978" i="17"/>
  <c r="AA6977" i="17"/>
  <c r="AA6976" i="17"/>
  <c r="V6975" i="17"/>
  <c r="V6974" i="17"/>
  <c r="V6973" i="17"/>
  <c r="AA6972" i="17"/>
  <c r="AA6971" i="17"/>
  <c r="AA6970" i="17"/>
  <c r="AA6969" i="17"/>
  <c r="V6968" i="17"/>
  <c r="AA6967" i="17"/>
  <c r="V6964" i="17"/>
  <c r="AA6963" i="17"/>
  <c r="AA6962" i="17"/>
  <c r="AA6961" i="17"/>
  <c r="V6960" i="17"/>
  <c r="AA6958" i="17"/>
  <c r="AA6957" i="17"/>
  <c r="AA6956" i="17"/>
  <c r="AA6955" i="17"/>
  <c r="AA6954" i="17"/>
  <c r="AA6953" i="17"/>
  <c r="AA6952" i="17"/>
  <c r="AA6951" i="17"/>
  <c r="AA6950" i="17"/>
  <c r="AA6949" i="17"/>
  <c r="AA6948" i="17"/>
  <c r="AA6947" i="17"/>
  <c r="AA6946" i="17"/>
  <c r="AA6945" i="17"/>
  <c r="AA6944" i="17"/>
  <c r="AA6943" i="17"/>
  <c r="AA6942" i="17"/>
  <c r="V6941" i="17"/>
  <c r="V6940" i="17"/>
  <c r="AA6939" i="17"/>
  <c r="AA6938" i="17"/>
  <c r="V6937" i="17"/>
  <c r="AA6936" i="17"/>
  <c r="AA6935" i="17"/>
  <c r="AA6934" i="17"/>
  <c r="V6933" i="17"/>
  <c r="AA6932" i="17"/>
  <c r="V6931" i="17"/>
  <c r="AA6930" i="17"/>
  <c r="AA6929" i="17"/>
  <c r="AA6928" i="17"/>
  <c r="V6927" i="17"/>
  <c r="AA6926" i="17"/>
  <c r="V6925" i="17"/>
  <c r="V6924" i="17"/>
  <c r="V6923" i="17"/>
  <c r="V6922" i="17"/>
  <c r="V6921" i="17"/>
  <c r="V6920" i="17"/>
  <c r="AA6919" i="17"/>
  <c r="AA6918" i="17"/>
  <c r="V6917" i="17"/>
  <c r="AA6916" i="17"/>
  <c r="AA6915" i="17"/>
  <c r="AA6914" i="17"/>
  <c r="AA6913" i="17"/>
  <c r="AA6912" i="17"/>
  <c r="AA6911" i="17"/>
  <c r="AA6910" i="17"/>
  <c r="AA6909" i="17"/>
  <c r="AA6908" i="17"/>
  <c r="AA6907" i="17"/>
  <c r="AA6906" i="17"/>
  <c r="AA6905" i="17"/>
  <c r="V6904" i="17"/>
  <c r="V6903" i="17"/>
  <c r="V6902" i="17"/>
  <c r="V6901" i="17"/>
  <c r="V6900" i="17"/>
  <c r="V6899" i="17"/>
  <c r="V6898" i="17"/>
  <c r="V6897" i="17"/>
  <c r="V6896" i="17"/>
  <c r="V6895" i="17"/>
  <c r="V6894" i="17"/>
  <c r="V6893" i="17"/>
  <c r="AA6892" i="17"/>
  <c r="AA6891" i="17"/>
  <c r="AA6890" i="17"/>
  <c r="AA6889" i="17"/>
  <c r="V6888" i="17"/>
  <c r="AA6887" i="17"/>
  <c r="V6886" i="17"/>
  <c r="AA6885" i="17"/>
  <c r="V6884" i="17"/>
  <c r="AA6883" i="17"/>
  <c r="V6882" i="17"/>
  <c r="V6881" i="17"/>
  <c r="AA6880" i="17"/>
  <c r="V6879" i="17"/>
  <c r="V6878" i="17"/>
  <c r="V6877" i="17"/>
  <c r="V6876" i="17"/>
  <c r="AA6875" i="17"/>
  <c r="AA6874" i="17"/>
  <c r="AA6873" i="17"/>
  <c r="AA6872" i="17"/>
  <c r="AA6871" i="17"/>
  <c r="AA6870" i="17"/>
  <c r="V6869" i="17"/>
  <c r="AA6868" i="17"/>
  <c r="AA6867" i="17"/>
  <c r="AA6866" i="17"/>
  <c r="AA6865" i="17"/>
  <c r="AA6864" i="17"/>
  <c r="AA6863" i="17"/>
  <c r="AA6862" i="17"/>
  <c r="V6861" i="17"/>
  <c r="AA6860" i="17"/>
  <c r="V6858" i="17"/>
  <c r="AA6857" i="17"/>
  <c r="AA6856" i="17"/>
  <c r="AA6855" i="17"/>
  <c r="V6854" i="17"/>
  <c r="V6853" i="17"/>
  <c r="AA6852" i="17"/>
  <c r="AA6851" i="17"/>
  <c r="AA6850" i="17"/>
  <c r="AA6849" i="17"/>
  <c r="V6848" i="17"/>
  <c r="AA6847" i="17"/>
  <c r="AA6846" i="17"/>
  <c r="AA6845" i="17"/>
  <c r="V6844" i="17"/>
  <c r="AA6843" i="17"/>
  <c r="AA6842" i="17"/>
  <c r="AA6841" i="17"/>
  <c r="V6840" i="17"/>
  <c r="AA6839" i="17"/>
  <c r="AA6838" i="17"/>
  <c r="AA6837" i="17"/>
  <c r="AA6836" i="17"/>
  <c r="AA6835" i="17"/>
  <c r="V6834" i="17"/>
  <c r="AA6833" i="17"/>
  <c r="AA6832" i="17"/>
  <c r="AA6831" i="17"/>
  <c r="AA6830" i="17"/>
  <c r="AA6829" i="17"/>
  <c r="AA6828" i="17"/>
  <c r="V6827" i="17"/>
  <c r="AA6826" i="17"/>
  <c r="AA6825" i="17"/>
  <c r="AA6824" i="17"/>
  <c r="V6823" i="17"/>
  <c r="AA6822" i="17"/>
  <c r="AA6821" i="17"/>
  <c r="V6820" i="17"/>
  <c r="V6819" i="17"/>
  <c r="V6818" i="17"/>
  <c r="AA6817" i="17"/>
  <c r="AA6816" i="17"/>
  <c r="AA6815" i="17"/>
  <c r="AA6814" i="17"/>
  <c r="AA6813" i="17"/>
  <c r="AA6812" i="17"/>
  <c r="AA6811" i="17"/>
  <c r="AA6810" i="17"/>
  <c r="AA6809" i="17"/>
  <c r="AA6808" i="17"/>
  <c r="AA6807" i="17"/>
  <c r="AA6806" i="17"/>
  <c r="V6805" i="17"/>
  <c r="V6804" i="17"/>
  <c r="V6803" i="17"/>
  <c r="V6801" i="17"/>
  <c r="V6800" i="17"/>
  <c r="AA6799" i="17"/>
  <c r="V6798" i="17"/>
  <c r="V6796" i="17"/>
  <c r="V6795" i="17"/>
  <c r="AA6794" i="17"/>
  <c r="V6792" i="17"/>
  <c r="AA6791" i="17"/>
  <c r="AA6790" i="17"/>
  <c r="AA6789" i="17"/>
  <c r="V6788" i="17"/>
  <c r="AA6787" i="17"/>
  <c r="AA6786" i="17"/>
  <c r="AA6785" i="17"/>
  <c r="AA6784" i="17"/>
  <c r="AA6783" i="17"/>
  <c r="AA6782" i="17"/>
  <c r="V6781" i="17"/>
  <c r="AA6780" i="17"/>
  <c r="AA6779" i="17"/>
  <c r="V6778" i="17"/>
  <c r="V6776" i="17"/>
  <c r="AA6775" i="17"/>
  <c r="AA6774" i="17"/>
  <c r="AA6773" i="17"/>
  <c r="V6772" i="17"/>
  <c r="AA6771" i="17"/>
  <c r="AA6770" i="17"/>
  <c r="AA6769" i="17"/>
  <c r="AA6768" i="17"/>
  <c r="V6767" i="17"/>
  <c r="AA6766" i="17"/>
  <c r="AA6765" i="17"/>
  <c r="AA6764" i="17"/>
  <c r="AA6763" i="17"/>
  <c r="AA6762" i="17"/>
  <c r="AA6761" i="17"/>
  <c r="AA6760" i="17"/>
  <c r="AA6759" i="17"/>
  <c r="AA6758" i="17"/>
  <c r="AA6757" i="17"/>
  <c r="V6756" i="17"/>
  <c r="AA6755" i="17"/>
  <c r="V6754" i="17"/>
  <c r="V6753" i="17"/>
  <c r="V6752" i="17"/>
  <c r="AA6751" i="17"/>
  <c r="AA6750" i="17"/>
  <c r="AA6749" i="17"/>
  <c r="AA6747" i="17"/>
  <c r="AA6746" i="17"/>
  <c r="AA6745" i="17"/>
  <c r="AA6744" i="17"/>
  <c r="AA6743" i="17"/>
  <c r="AA6742" i="17"/>
  <c r="AA6741" i="17"/>
  <c r="AA6740" i="17"/>
  <c r="V6739" i="17"/>
  <c r="AA6738" i="17"/>
  <c r="AA6737" i="17"/>
  <c r="AA6736" i="17"/>
  <c r="V6735" i="17"/>
  <c r="AA6734" i="17"/>
  <c r="V6733" i="17"/>
  <c r="V6732" i="17"/>
  <c r="V6731" i="17"/>
  <c r="V6730" i="17"/>
  <c r="V6729" i="17"/>
  <c r="V6728" i="17"/>
  <c r="V6727" i="17"/>
  <c r="AA6726" i="17"/>
  <c r="V6725" i="17"/>
  <c r="V6724" i="17"/>
  <c r="AA6723" i="17"/>
  <c r="AA6722" i="17"/>
  <c r="V6721" i="17"/>
  <c r="V6720" i="17"/>
  <c r="AA6719" i="17"/>
  <c r="AA6718" i="17"/>
  <c r="AA6717" i="17"/>
  <c r="AA6716" i="17"/>
  <c r="AA6715" i="17"/>
  <c r="AA6714" i="17"/>
  <c r="AA6713" i="17"/>
  <c r="V6712" i="17"/>
  <c r="V6711" i="17"/>
  <c r="V6710" i="17"/>
  <c r="V6709" i="17"/>
  <c r="V6708" i="17"/>
  <c r="V6707" i="17"/>
  <c r="V6705" i="17"/>
  <c r="V6704" i="17"/>
  <c r="AA6703" i="17"/>
  <c r="AA6702" i="17"/>
  <c r="AA6701" i="17"/>
  <c r="AA6700" i="17"/>
  <c r="V6699" i="17"/>
  <c r="AA6697" i="17"/>
  <c r="V6695" i="17"/>
  <c r="V6694" i="17"/>
  <c r="V6693" i="17"/>
  <c r="AA6692" i="17"/>
  <c r="AA6691" i="17"/>
  <c r="AA6690" i="17"/>
  <c r="AA6689" i="17"/>
  <c r="AA6688" i="17"/>
  <c r="AA6687" i="17"/>
  <c r="AA6686" i="17"/>
  <c r="AA6685" i="17"/>
  <c r="AA6684" i="17"/>
  <c r="V6683" i="17"/>
  <c r="V6682" i="17"/>
  <c r="V6681" i="17"/>
  <c r="AA6680" i="17"/>
  <c r="AA6679" i="17"/>
  <c r="AA6678" i="17"/>
  <c r="AA6677" i="17"/>
  <c r="V6676" i="17"/>
  <c r="AA6675" i="17"/>
  <c r="AA6674" i="17"/>
  <c r="AA6673" i="17"/>
  <c r="AA6672" i="17"/>
  <c r="AA6671" i="17"/>
  <c r="AA6670" i="17"/>
  <c r="AA6669" i="17"/>
  <c r="AA6668" i="17"/>
  <c r="AA6667" i="17"/>
  <c r="AA6666" i="17"/>
  <c r="AA6665" i="17"/>
  <c r="V6664" i="17"/>
  <c r="AA6663" i="17"/>
  <c r="AA6660" i="17"/>
  <c r="AA6658" i="17"/>
  <c r="AA6657" i="17"/>
  <c r="V6656" i="17"/>
  <c r="AA6655" i="17"/>
  <c r="AA6654" i="17"/>
  <c r="AA6653" i="17"/>
  <c r="AA6652" i="17"/>
  <c r="AA6651" i="17"/>
  <c r="AA6650" i="17"/>
  <c r="AA6649" i="17"/>
  <c r="AA6648" i="17"/>
  <c r="AA6647" i="17"/>
  <c r="AA6646" i="17"/>
  <c r="AA6645" i="17"/>
  <c r="AA6644" i="17"/>
  <c r="V6643" i="17"/>
  <c r="V6642" i="17"/>
  <c r="AA6641" i="17"/>
  <c r="AA6640" i="17"/>
  <c r="V6639" i="17"/>
  <c r="V6637" i="17"/>
  <c r="V6636" i="17"/>
  <c r="V6635" i="17"/>
  <c r="AA6634" i="17"/>
  <c r="AA6633" i="17"/>
  <c r="V6632" i="17"/>
  <c r="AA6631" i="17"/>
  <c r="AA6630" i="17"/>
  <c r="AA6629" i="17"/>
  <c r="V6628" i="17"/>
  <c r="AA6627" i="17"/>
  <c r="AA6626" i="17"/>
  <c r="AA6625" i="17"/>
  <c r="AA6624" i="17"/>
  <c r="V6623" i="17"/>
  <c r="AA6622" i="17"/>
  <c r="AA6621" i="17"/>
  <c r="AA6620" i="17"/>
  <c r="AA6619" i="17"/>
  <c r="AA6618" i="17"/>
  <c r="AA6617" i="17"/>
  <c r="AA6616" i="17"/>
  <c r="V6615" i="17"/>
  <c r="V6614" i="17"/>
  <c r="V6613" i="17"/>
  <c r="V6612" i="17"/>
  <c r="AA6611" i="17"/>
  <c r="V6610" i="17"/>
  <c r="V6609" i="17"/>
  <c r="V6608" i="17"/>
  <c r="AA6605" i="17"/>
  <c r="AA6604" i="17"/>
  <c r="V6603" i="17"/>
  <c r="AA6602" i="17"/>
  <c r="AA6601" i="17"/>
  <c r="AA6600" i="17"/>
  <c r="AA6599" i="17"/>
  <c r="AA6598" i="17"/>
  <c r="AA6597" i="17"/>
  <c r="AA6596" i="17"/>
  <c r="V6595" i="17"/>
  <c r="V6593" i="17"/>
  <c r="V6592" i="17"/>
  <c r="AA6591" i="17"/>
  <c r="AA6590" i="17"/>
  <c r="AA6589" i="17"/>
  <c r="AA6588" i="17"/>
  <c r="AA6587" i="17"/>
  <c r="AA6586" i="17"/>
  <c r="AA6585" i="17"/>
  <c r="V6584" i="17"/>
  <c r="V6583" i="17"/>
  <c r="V6582" i="17"/>
  <c r="V6581" i="17"/>
  <c r="V6580" i="17"/>
  <c r="V6579" i="17"/>
  <c r="AA6578" i="17"/>
  <c r="V6577" i="17"/>
  <c r="V6576" i="17"/>
  <c r="AA6575" i="17"/>
  <c r="V6574" i="17"/>
  <c r="AA6573" i="17"/>
  <c r="V6572" i="17"/>
  <c r="AA6571" i="17"/>
  <c r="AA6570" i="17"/>
  <c r="AA6569" i="17"/>
  <c r="AA6568" i="17"/>
  <c r="AA6567" i="17"/>
  <c r="AA6566" i="17"/>
  <c r="AA6565" i="17"/>
  <c r="AA6564" i="17"/>
  <c r="AA6563" i="17"/>
  <c r="AA6562" i="17"/>
  <c r="AA6561" i="17"/>
  <c r="V6560" i="17"/>
  <c r="V6559" i="17"/>
  <c r="V6557" i="17"/>
  <c r="V6556" i="17"/>
  <c r="V6555" i="17"/>
  <c r="AA6554" i="17"/>
  <c r="V6553" i="17"/>
  <c r="AA6552" i="17"/>
  <c r="AA6551" i="17"/>
  <c r="AA6550" i="17"/>
  <c r="V6549" i="17"/>
  <c r="V6548" i="17"/>
  <c r="AA6547" i="17"/>
  <c r="AA6546" i="17"/>
  <c r="AA6545" i="17"/>
  <c r="V6544" i="17"/>
  <c r="V6543" i="17"/>
  <c r="AA6542" i="17"/>
  <c r="AA6541" i="17"/>
  <c r="AA6540" i="17"/>
  <c r="AA6539" i="17"/>
  <c r="AA6538" i="17"/>
  <c r="AA6537" i="17"/>
  <c r="V6536" i="17"/>
  <c r="V6535" i="17"/>
  <c r="V6534" i="17"/>
  <c r="V6533" i="17"/>
  <c r="V6532" i="17"/>
  <c r="AA6531" i="17"/>
  <c r="AA6530" i="17"/>
  <c r="AA6529" i="17"/>
  <c r="AA6528" i="17"/>
  <c r="AA6527" i="17"/>
  <c r="AA6526" i="17"/>
  <c r="AA6525" i="17"/>
  <c r="AA6524" i="17"/>
  <c r="AA6523" i="17"/>
  <c r="V6522" i="17"/>
  <c r="AA6521" i="17"/>
  <c r="AA6520" i="17"/>
  <c r="AA6519" i="17"/>
  <c r="AA6518" i="17"/>
  <c r="AA6517" i="17"/>
  <c r="AA6516" i="17"/>
  <c r="AA6515" i="17"/>
  <c r="AA6514" i="17"/>
  <c r="AA6513" i="17"/>
  <c r="V6512" i="17"/>
  <c r="V6510" i="17"/>
  <c r="V6508" i="17"/>
  <c r="AA6507" i="17"/>
  <c r="AA6506" i="17"/>
  <c r="AA6505" i="17"/>
  <c r="AA6504" i="17"/>
  <c r="AA6503" i="17"/>
  <c r="AA6502" i="17"/>
  <c r="AA6501" i="17"/>
  <c r="AA6500" i="17"/>
  <c r="AA6499" i="17"/>
  <c r="AA6498" i="17"/>
  <c r="AA6497" i="17"/>
  <c r="AA6496" i="17"/>
  <c r="AA6495" i="17"/>
  <c r="AA6494" i="17"/>
  <c r="V6493" i="17"/>
  <c r="V6492" i="17"/>
  <c r="AA6491" i="17"/>
  <c r="V6490" i="17"/>
  <c r="V6489" i="17"/>
  <c r="V6488" i="17"/>
  <c r="AA6486" i="17"/>
  <c r="AA6485" i="17"/>
  <c r="AA6484" i="17"/>
  <c r="AA6483" i="17"/>
  <c r="V6482" i="17"/>
  <c r="V6481" i="17"/>
  <c r="V6480" i="17"/>
  <c r="AA6478" i="17"/>
  <c r="V6477" i="17"/>
  <c r="AA6476" i="17"/>
  <c r="AA6475" i="17"/>
  <c r="AA6474" i="17"/>
  <c r="AA6473" i="17"/>
  <c r="AA6472" i="17"/>
  <c r="V6471" i="17"/>
  <c r="V6470" i="17"/>
  <c r="V6469" i="17"/>
  <c r="AA6468" i="17"/>
  <c r="AA6467" i="17"/>
  <c r="AA6466" i="17"/>
  <c r="AA6465" i="17"/>
  <c r="V6464" i="17"/>
  <c r="V6463" i="17"/>
  <c r="V6462" i="17"/>
  <c r="V6461" i="17"/>
  <c r="AA6460" i="17"/>
  <c r="V6459" i="17"/>
  <c r="AA6458" i="17"/>
  <c r="AA6457" i="17"/>
  <c r="AA6456" i="17"/>
  <c r="V6455" i="17"/>
  <c r="V6454" i="17"/>
  <c r="AA6453" i="17"/>
  <c r="V6452" i="17"/>
  <c r="AA6451" i="17"/>
  <c r="AA6450" i="17"/>
  <c r="AA6449" i="17"/>
  <c r="V6448" i="17"/>
  <c r="V6447" i="17"/>
  <c r="AA6446" i="17"/>
  <c r="V6445" i="17"/>
  <c r="V6444" i="17"/>
  <c r="AA6443" i="17"/>
  <c r="AA6442" i="17"/>
  <c r="AA6441" i="17"/>
  <c r="AA6440" i="17"/>
  <c r="AA6439" i="17"/>
  <c r="AA6438" i="17"/>
  <c r="AA6437" i="17"/>
  <c r="AA6436" i="17"/>
  <c r="V6435" i="17"/>
  <c r="AA6434" i="17"/>
  <c r="AA6433" i="17"/>
  <c r="AA6432" i="17"/>
  <c r="AA6431" i="17"/>
  <c r="AA6430" i="17"/>
  <c r="AA6429" i="17"/>
  <c r="AA6428" i="17"/>
  <c r="AA6427" i="17"/>
  <c r="AA6426" i="17"/>
  <c r="AA6425" i="17"/>
  <c r="AA6424" i="17"/>
  <c r="AA6423" i="17"/>
  <c r="AA6422" i="17"/>
  <c r="V6421" i="17"/>
  <c r="AA6419" i="17"/>
  <c r="AA6418" i="17"/>
  <c r="AA6417" i="17"/>
  <c r="AA6416" i="17"/>
  <c r="AA6415" i="17"/>
  <c r="AA6414" i="17"/>
  <c r="V6413" i="17"/>
  <c r="AA6412" i="17"/>
  <c r="AA6411" i="17"/>
  <c r="AA6410" i="17"/>
  <c r="AA6409" i="17"/>
  <c r="AA6408" i="17"/>
  <c r="AA6407" i="17"/>
  <c r="AA6406" i="17"/>
  <c r="AA6405" i="17"/>
  <c r="AA6404" i="17"/>
  <c r="AA6403" i="17"/>
  <c r="AA6402" i="17"/>
  <c r="AA6401" i="17"/>
  <c r="AA6400" i="17"/>
  <c r="AA6399" i="17"/>
  <c r="AA6398" i="17"/>
  <c r="AA6397" i="17"/>
  <c r="AA6396" i="17"/>
  <c r="V6395" i="17"/>
  <c r="V6394" i="17"/>
  <c r="AA6393" i="17"/>
  <c r="AA6392" i="17"/>
  <c r="AA6391" i="17"/>
  <c r="AA6390" i="17"/>
  <c r="AA6389" i="17"/>
  <c r="AA6388" i="17"/>
  <c r="AA6387" i="17"/>
  <c r="AA6386" i="17"/>
  <c r="AA6385" i="17"/>
  <c r="AA6384" i="17"/>
  <c r="AA6383" i="17"/>
  <c r="AA6382" i="17"/>
  <c r="AA6381" i="17"/>
  <c r="AA6380" i="17"/>
  <c r="AA6379" i="17"/>
  <c r="AA6378" i="17"/>
  <c r="V6377" i="17"/>
  <c r="AA6376" i="17"/>
  <c r="AA6375" i="17"/>
  <c r="AA6374" i="17"/>
  <c r="AA6373" i="17"/>
  <c r="AA6372" i="17"/>
  <c r="AA6371" i="17"/>
  <c r="AA6370" i="17"/>
  <c r="AA6369" i="17"/>
  <c r="AA6368" i="17"/>
  <c r="AA6367" i="17"/>
  <c r="AA6366" i="17"/>
  <c r="AA6365" i="17"/>
  <c r="AA6364" i="17"/>
  <c r="AA6363" i="17"/>
  <c r="AA6362" i="17"/>
  <c r="AA6361" i="17"/>
  <c r="AA6360" i="17"/>
  <c r="AA6359" i="17"/>
  <c r="V6358" i="17"/>
  <c r="V6357" i="17"/>
  <c r="V6356" i="17"/>
  <c r="AA6355" i="17"/>
  <c r="AA6354" i="17"/>
  <c r="AA6353" i="17"/>
  <c r="AA6352" i="17"/>
  <c r="AA6351" i="17"/>
  <c r="AA6350" i="17"/>
  <c r="AA6349" i="17"/>
  <c r="AA6348" i="17"/>
  <c r="AA6347" i="17"/>
  <c r="AA6346" i="17"/>
  <c r="AA6345" i="17"/>
  <c r="AA6344" i="17"/>
  <c r="AA6343" i="17"/>
  <c r="AA6342" i="17"/>
  <c r="AA6341" i="17"/>
  <c r="AA6340" i="17"/>
  <c r="AA6339" i="17"/>
  <c r="AA6338" i="17"/>
  <c r="AA6337" i="17"/>
  <c r="AA6336" i="17"/>
  <c r="AA6335" i="17"/>
  <c r="AA6334" i="17"/>
  <c r="AA6333" i="17"/>
  <c r="AA6332" i="17"/>
  <c r="AA6331" i="17"/>
  <c r="AA6330" i="17"/>
  <c r="AA6329" i="17"/>
  <c r="AA6328" i="17"/>
  <c r="AA6327" i="17"/>
  <c r="AA6326" i="17"/>
  <c r="AA6325" i="17"/>
  <c r="AA6324" i="17"/>
  <c r="AA6323" i="17"/>
  <c r="AA6322" i="17"/>
  <c r="AA6321" i="17"/>
  <c r="AA6320" i="17"/>
  <c r="AA6319" i="17"/>
  <c r="AA6317" i="17"/>
  <c r="AA6316" i="17"/>
  <c r="V6315" i="17"/>
  <c r="AA6312" i="17"/>
  <c r="AA6311" i="17"/>
  <c r="V6310" i="17"/>
  <c r="V6309" i="17"/>
  <c r="V6308" i="17"/>
  <c r="AA6307" i="17"/>
  <c r="AA6306" i="17"/>
  <c r="AA6305" i="17"/>
  <c r="AA6303" i="17"/>
  <c r="AA6302" i="17"/>
  <c r="V6301" i="17"/>
  <c r="AA6300" i="17"/>
  <c r="AA6299" i="17"/>
  <c r="AA6298" i="17"/>
  <c r="AA6297" i="17"/>
  <c r="AA6296" i="17"/>
  <c r="AA6295" i="17"/>
  <c r="AA6294" i="17"/>
  <c r="AA6293" i="17"/>
  <c r="V6292" i="17"/>
  <c r="AA6291" i="17"/>
  <c r="AA6290" i="17"/>
  <c r="AA6289" i="17"/>
  <c r="AA6288" i="17"/>
  <c r="AA6287" i="17"/>
  <c r="V6286" i="17"/>
  <c r="V6285" i="17"/>
  <c r="V6284" i="17"/>
  <c r="AA6283" i="17"/>
  <c r="AA6282" i="17"/>
  <c r="AA6281" i="17"/>
  <c r="AA6280" i="17"/>
  <c r="V6279" i="17"/>
  <c r="V6276" i="17"/>
  <c r="V6275" i="17"/>
  <c r="AA6273" i="17"/>
  <c r="AA6272" i="17"/>
  <c r="V6271" i="17"/>
  <c r="V6270" i="17"/>
  <c r="V6269" i="17"/>
  <c r="V6268" i="17"/>
  <c r="V6267" i="17"/>
  <c r="AA6266" i="17"/>
  <c r="AA6265" i="17"/>
  <c r="AA6264" i="17"/>
  <c r="V6263" i="17"/>
  <c r="AA6262" i="17"/>
  <c r="AA6261" i="17"/>
  <c r="AA6260" i="17"/>
  <c r="AA6259" i="17"/>
  <c r="AA6258" i="17"/>
  <c r="AA6257" i="17"/>
  <c r="AA6256" i="17"/>
  <c r="AA6255" i="17"/>
  <c r="AA6254" i="17"/>
  <c r="AA6253" i="17"/>
  <c r="AA6252" i="17"/>
  <c r="AA6251" i="17"/>
  <c r="AA6250" i="17"/>
  <c r="AA6249" i="17"/>
  <c r="AA6248" i="17"/>
  <c r="AA6247" i="17"/>
  <c r="AA6246" i="17"/>
  <c r="AA6245" i="17"/>
  <c r="AA6244" i="17"/>
  <c r="AA6243" i="17"/>
  <c r="AA6242" i="17"/>
  <c r="AA6241" i="17"/>
  <c r="AA6240" i="17"/>
  <c r="AA6239" i="17"/>
  <c r="V6238" i="17"/>
  <c r="V6237" i="17"/>
  <c r="V6236" i="17"/>
  <c r="V6235" i="17"/>
  <c r="AA6234" i="17"/>
  <c r="AA6233" i="17"/>
  <c r="AA6232" i="17"/>
  <c r="AA6231" i="17"/>
  <c r="AA6230" i="17"/>
  <c r="AA6229" i="17"/>
  <c r="AA6228" i="17"/>
  <c r="AA6227" i="17"/>
  <c r="AA6226" i="17"/>
  <c r="AA6225" i="17"/>
  <c r="AA6224" i="17"/>
  <c r="V6223" i="17"/>
  <c r="V6222" i="17"/>
  <c r="V6221" i="17"/>
  <c r="AA6220" i="17"/>
  <c r="AA6219" i="17"/>
  <c r="AA6218" i="17"/>
  <c r="AA6217" i="17"/>
  <c r="AA6216" i="17"/>
  <c r="AA6215" i="17"/>
  <c r="AA6214" i="17"/>
  <c r="AA6213" i="17"/>
  <c r="AA6212" i="17"/>
  <c r="AA6211" i="17"/>
  <c r="AA6210" i="17"/>
  <c r="AA6209" i="17"/>
  <c r="AA6208" i="17"/>
  <c r="AA6207" i="17"/>
  <c r="AA6206" i="17"/>
  <c r="AA6205" i="17"/>
  <c r="AA6203" i="17"/>
  <c r="AA6202" i="17"/>
  <c r="AA6201" i="17"/>
  <c r="V6200" i="17"/>
  <c r="AA6199" i="17"/>
  <c r="V6198" i="17"/>
  <c r="AA6196" i="17"/>
  <c r="AA6195" i="17"/>
  <c r="AA6194" i="17"/>
  <c r="AA6193" i="17"/>
  <c r="AA6192" i="17"/>
  <c r="AA6191" i="17"/>
  <c r="AA6190" i="17"/>
  <c r="AA6189" i="17"/>
  <c r="AA6188" i="17"/>
  <c r="AA6187" i="17"/>
  <c r="AA6186" i="17"/>
  <c r="AA6185" i="17"/>
  <c r="AA6183" i="17"/>
  <c r="V6182" i="17"/>
  <c r="V6181" i="17"/>
  <c r="AA6180" i="17"/>
  <c r="V6179" i="17"/>
  <c r="AA6178" i="17"/>
  <c r="AA6177" i="17"/>
  <c r="AA6176" i="17"/>
  <c r="AA6175" i="17"/>
  <c r="AA6174" i="17"/>
  <c r="V6173" i="17"/>
  <c r="V6172" i="17"/>
  <c r="AA6171" i="17"/>
  <c r="V6170" i="17"/>
  <c r="AA6168" i="17"/>
  <c r="AA6167" i="17"/>
  <c r="AA6166" i="17"/>
  <c r="AA6165" i="17"/>
  <c r="AA6164" i="17"/>
  <c r="AA6163" i="17"/>
  <c r="AA6161" i="17"/>
  <c r="AA6160" i="17"/>
  <c r="AA6159" i="17"/>
  <c r="AA6158" i="17"/>
  <c r="AA6157" i="17"/>
  <c r="AA6156" i="17"/>
  <c r="AA6155" i="17"/>
  <c r="AA6154" i="17"/>
  <c r="AA6153" i="17"/>
  <c r="AA6152" i="17"/>
  <c r="AA6151" i="17"/>
  <c r="AA6150" i="17"/>
  <c r="AA6149" i="17"/>
  <c r="AA6148" i="17"/>
  <c r="AA6147" i="17"/>
  <c r="AA6146" i="17"/>
  <c r="AA6145" i="17"/>
  <c r="AA6144" i="17"/>
  <c r="AA6143" i="17"/>
  <c r="AA6142" i="17"/>
  <c r="AA6141" i="17"/>
  <c r="AA6140" i="17"/>
  <c r="V6139" i="17"/>
  <c r="V6138" i="17"/>
  <c r="AA6137" i="17"/>
  <c r="AA6136" i="17"/>
  <c r="AA6135" i="17"/>
  <c r="AA6134" i="17"/>
  <c r="AA6133" i="17"/>
  <c r="AA6132" i="17"/>
  <c r="AA6131" i="17"/>
  <c r="AA6130" i="17"/>
  <c r="AA6129" i="17"/>
  <c r="AA6128" i="17"/>
  <c r="AA6127" i="17"/>
  <c r="V6126" i="17"/>
  <c r="AA6125" i="17"/>
  <c r="V6124" i="17"/>
  <c r="AA6123" i="17"/>
  <c r="AA6122" i="17"/>
  <c r="AA6121" i="17"/>
  <c r="V6120" i="17"/>
  <c r="V6119" i="17"/>
  <c r="V6118" i="17"/>
  <c r="V6117" i="17"/>
  <c r="V6116" i="17"/>
  <c r="V6115" i="17"/>
  <c r="V6114" i="17"/>
  <c r="AA6113" i="17"/>
  <c r="AA6112" i="17"/>
  <c r="AA6111" i="17"/>
  <c r="AA6110" i="17"/>
  <c r="Q6109" i="17"/>
  <c r="AA6108" i="17"/>
  <c r="AA6107" i="17"/>
  <c r="AA6106" i="17"/>
  <c r="AA6105" i="17"/>
  <c r="AA6104" i="17"/>
  <c r="AA6103" i="17"/>
  <c r="AA6102" i="17"/>
  <c r="V6101" i="17"/>
  <c r="AA6100" i="17"/>
  <c r="AA6099" i="17"/>
  <c r="AA6098" i="17"/>
  <c r="AA6097" i="17"/>
  <c r="AA6096" i="17"/>
  <c r="AA6095" i="17"/>
  <c r="AA6094" i="17"/>
  <c r="AA6093" i="17"/>
  <c r="AA6092" i="17"/>
  <c r="AA6091" i="17"/>
  <c r="V6090" i="17"/>
  <c r="V6089" i="17"/>
  <c r="AA6087" i="17"/>
  <c r="AA6086" i="17"/>
  <c r="AA6085" i="17"/>
  <c r="AA6084" i="17"/>
  <c r="AA6083" i="17"/>
  <c r="AA6082" i="17"/>
  <c r="AA6081" i="17"/>
  <c r="AA6080" i="17"/>
  <c r="AA6079" i="17"/>
  <c r="AA6078" i="17"/>
  <c r="AA6077" i="17"/>
  <c r="V6076" i="17"/>
  <c r="V6075" i="17"/>
  <c r="V6074" i="17"/>
  <c r="V6073" i="17"/>
  <c r="AA6072" i="17"/>
  <c r="V6071" i="17"/>
  <c r="V6070" i="17"/>
  <c r="V6069" i="17"/>
  <c r="AA6068" i="17"/>
  <c r="V6067" i="17"/>
  <c r="AA6066" i="17"/>
  <c r="AA6065" i="17"/>
  <c r="AA6064" i="17"/>
  <c r="AA6063" i="17"/>
  <c r="AA6062" i="17"/>
  <c r="AA6061" i="17"/>
  <c r="V6060" i="17"/>
  <c r="AA6059" i="17"/>
  <c r="AA6058" i="17"/>
  <c r="AA6057" i="17"/>
  <c r="AA6056" i="17"/>
  <c r="V6055" i="17"/>
  <c r="V6054" i="17"/>
  <c r="V6053" i="17"/>
  <c r="AA6052" i="17"/>
  <c r="AA6051" i="17"/>
  <c r="AA6050" i="17"/>
  <c r="AA6049" i="17"/>
  <c r="AA6048" i="17"/>
  <c r="AA6047" i="17"/>
  <c r="AA6046" i="17"/>
  <c r="AA6045" i="17"/>
  <c r="AA6044" i="17"/>
  <c r="AA6043" i="17"/>
  <c r="AA6042" i="17"/>
  <c r="AA6041" i="17"/>
  <c r="AA6040" i="17"/>
  <c r="AA6039" i="17"/>
  <c r="AA6038" i="17"/>
  <c r="AA6037" i="17"/>
  <c r="AA6036" i="17"/>
  <c r="AA6035" i="17"/>
  <c r="AA6034" i="17"/>
  <c r="AA6033" i="17"/>
  <c r="AA6032" i="17"/>
  <c r="AA6031" i="17"/>
  <c r="AA6030" i="17"/>
  <c r="AA6029" i="17"/>
  <c r="AA6028" i="17"/>
  <c r="AA6027" i="17"/>
  <c r="AA6026" i="17"/>
  <c r="AA6025" i="17"/>
  <c r="AA6024" i="17"/>
  <c r="AA6023" i="17"/>
  <c r="AA6022" i="17"/>
  <c r="AA6021" i="17"/>
  <c r="AA6020" i="17"/>
  <c r="V6019" i="17"/>
  <c r="AA6018" i="17"/>
  <c r="AA6017" i="17"/>
  <c r="AA6016" i="17"/>
  <c r="AA6015" i="17"/>
  <c r="AA6014" i="17"/>
  <c r="AA6013" i="17"/>
  <c r="AA6012" i="17"/>
  <c r="AA6011" i="17"/>
  <c r="V6010" i="17"/>
  <c r="AA6009" i="17"/>
  <c r="AA6008" i="17"/>
  <c r="AA6007" i="17"/>
  <c r="V6006" i="17"/>
  <c r="AA6005" i="17"/>
  <c r="AA6004" i="17"/>
  <c r="V6003" i="17"/>
  <c r="V6002" i="17"/>
  <c r="AA6001" i="17"/>
  <c r="AA6000" i="17"/>
  <c r="V5999" i="17"/>
  <c r="AA5998" i="17"/>
  <c r="AA5997" i="17"/>
  <c r="AA5996" i="17"/>
  <c r="V5995" i="17"/>
  <c r="V5994" i="17"/>
  <c r="V5993" i="17"/>
  <c r="V5992" i="17"/>
  <c r="AA5991" i="17"/>
  <c r="V5990" i="17"/>
  <c r="V5989" i="17"/>
  <c r="AA5988" i="17"/>
  <c r="AA5987" i="17"/>
  <c r="AA5986" i="17"/>
  <c r="AA5984" i="17"/>
  <c r="AA5983" i="17"/>
  <c r="AA5982" i="17"/>
  <c r="AA5981" i="17"/>
  <c r="AA5980" i="17"/>
  <c r="AA5979" i="17"/>
  <c r="AA5978" i="17"/>
  <c r="AA5977" i="17"/>
  <c r="AA5976" i="17"/>
  <c r="AA5975" i="17"/>
  <c r="AA5974" i="17"/>
  <c r="V5973" i="17"/>
  <c r="AA5972" i="17"/>
  <c r="V5971" i="17"/>
  <c r="V5970" i="17"/>
  <c r="AA5969" i="17"/>
  <c r="AA5968" i="17"/>
  <c r="V5967" i="17"/>
  <c r="AA5966" i="17"/>
  <c r="V5965" i="17"/>
  <c r="AA5964" i="17"/>
  <c r="AA5963" i="17"/>
  <c r="V5962" i="17"/>
  <c r="AA5961" i="17"/>
  <c r="AA5960" i="17"/>
  <c r="V5959" i="17"/>
  <c r="V5958" i="17"/>
  <c r="V5957" i="17"/>
  <c r="V5956" i="17"/>
  <c r="AA5955" i="17"/>
  <c r="AA5954" i="17"/>
  <c r="AA5953" i="17"/>
  <c r="AA5952" i="17"/>
  <c r="AA5951" i="17"/>
  <c r="V5950" i="17"/>
  <c r="V5949" i="17"/>
  <c r="V5948" i="17"/>
  <c r="V5947" i="17"/>
  <c r="V5946" i="17"/>
  <c r="AA5945" i="17"/>
  <c r="V5944" i="17"/>
  <c r="V5943" i="17"/>
  <c r="V5942" i="17"/>
  <c r="AA5940" i="17"/>
  <c r="V5939" i="17"/>
  <c r="V5938" i="17"/>
  <c r="V5937" i="17"/>
  <c r="AA5936" i="17"/>
  <c r="V5934" i="17"/>
  <c r="V5933" i="17"/>
  <c r="AA5932" i="17"/>
  <c r="V5930" i="17"/>
  <c r="V5929" i="17"/>
  <c r="AA5928" i="17"/>
  <c r="AA5927" i="17"/>
  <c r="AA5926" i="17"/>
  <c r="AA5925" i="17"/>
  <c r="AA5924" i="17"/>
  <c r="AA5923" i="17"/>
  <c r="AA5922" i="17"/>
  <c r="AA5921" i="17"/>
  <c r="AA5920" i="17"/>
  <c r="AA5919" i="17"/>
  <c r="V5918" i="17"/>
  <c r="V5917" i="17"/>
  <c r="V5916" i="17"/>
  <c r="V5915" i="17"/>
  <c r="AA5914" i="17"/>
  <c r="V5913" i="17"/>
  <c r="V5912" i="17"/>
  <c r="V5911" i="17"/>
  <c r="V5910" i="17"/>
  <c r="V5909" i="17"/>
  <c r="V5908" i="17"/>
  <c r="V5907" i="17"/>
  <c r="AA5906" i="17"/>
  <c r="AA5905" i="17"/>
  <c r="AA5904" i="17"/>
  <c r="AA5902" i="17"/>
  <c r="AA5901" i="17"/>
  <c r="AA5900" i="17"/>
  <c r="AA5899" i="17"/>
  <c r="AA5898" i="17"/>
  <c r="AA5897" i="17"/>
  <c r="V5896" i="17"/>
  <c r="V5895" i="17"/>
  <c r="V5894" i="17"/>
  <c r="V5893" i="17"/>
  <c r="V5892" i="17"/>
  <c r="V5891" i="17"/>
  <c r="V5890" i="17"/>
  <c r="V5889" i="17"/>
  <c r="V5888" i="17"/>
  <c r="V5887" i="17"/>
  <c r="AA5886" i="17"/>
  <c r="AA5885" i="17"/>
  <c r="AA5884" i="17"/>
  <c r="AA5883" i="17"/>
  <c r="AA5882" i="17"/>
  <c r="AA5881" i="17"/>
  <c r="AA5880" i="17"/>
  <c r="AA5879" i="17"/>
  <c r="V5878" i="17"/>
  <c r="V5877" i="17"/>
  <c r="AA5876" i="17"/>
  <c r="AA5875" i="17"/>
  <c r="AA5874" i="17"/>
  <c r="V5872" i="17"/>
  <c r="AA5871" i="17"/>
  <c r="AA5870" i="17"/>
  <c r="AA5869" i="17"/>
  <c r="AA5868" i="17"/>
  <c r="AA5867" i="17"/>
  <c r="AA5866" i="17"/>
  <c r="AA5865" i="17"/>
  <c r="V5864" i="17"/>
  <c r="AA5863" i="17"/>
  <c r="AA5862" i="17"/>
  <c r="AA5861" i="17"/>
  <c r="AA5860" i="17"/>
  <c r="AA5859" i="17"/>
  <c r="AA5858" i="17"/>
  <c r="AA5857" i="17"/>
  <c r="AA5856" i="17"/>
  <c r="AA5855" i="17"/>
  <c r="AA5854" i="17"/>
  <c r="AA5853" i="17"/>
  <c r="V5852" i="17"/>
  <c r="AA5851" i="17"/>
  <c r="AA5850" i="17"/>
  <c r="AA5849" i="17"/>
  <c r="AA5848" i="17"/>
  <c r="AA5847" i="17"/>
  <c r="AA5846" i="17"/>
  <c r="AA5845" i="17"/>
  <c r="AA5844" i="17"/>
  <c r="AA5843" i="17"/>
  <c r="AA5842" i="17"/>
  <c r="V5841" i="17"/>
  <c r="V5840" i="17"/>
  <c r="V5839" i="17"/>
  <c r="V5838" i="17"/>
  <c r="AA5837" i="17"/>
  <c r="AA5836" i="17"/>
  <c r="V5835" i="17"/>
  <c r="V5834" i="17"/>
  <c r="AA5833" i="17"/>
  <c r="AA5832" i="17"/>
  <c r="AA5831" i="17"/>
  <c r="AA5830" i="17"/>
  <c r="AA5829" i="17"/>
  <c r="V5828" i="17"/>
  <c r="AA5827" i="17"/>
  <c r="AA5826" i="17"/>
  <c r="AA5825" i="17"/>
  <c r="AA5824" i="17"/>
  <c r="V5823" i="17"/>
  <c r="V5822" i="17"/>
  <c r="V5821" i="17"/>
  <c r="V5820" i="17"/>
  <c r="AA5819" i="17"/>
  <c r="V5817" i="17"/>
  <c r="AA5816" i="17"/>
  <c r="AA5815" i="17"/>
  <c r="AA5814" i="17"/>
  <c r="V5813" i="17"/>
  <c r="V5812" i="17"/>
  <c r="V5811" i="17"/>
  <c r="V5810" i="17"/>
  <c r="AA5809" i="17"/>
  <c r="AA5808" i="17"/>
  <c r="V5806" i="17"/>
  <c r="V5805" i="17"/>
  <c r="V5804" i="17"/>
  <c r="AA5803" i="17"/>
  <c r="AA5802" i="17"/>
  <c r="AA5801" i="17"/>
  <c r="AA5800" i="17"/>
  <c r="AA5799" i="17"/>
  <c r="V5798" i="17"/>
  <c r="AA5796" i="17"/>
  <c r="AA5795" i="17"/>
  <c r="AA5794" i="17"/>
  <c r="AA5793" i="17"/>
  <c r="AA5792" i="17"/>
  <c r="AA5791" i="17"/>
  <c r="AA5790" i="17"/>
  <c r="AA5789" i="17"/>
  <c r="AA5788" i="17"/>
  <c r="AA5787" i="17"/>
  <c r="AA5786" i="17"/>
  <c r="AA5785" i="17"/>
  <c r="AA5784" i="17"/>
  <c r="AA5783" i="17"/>
  <c r="AA5782" i="17"/>
  <c r="AA5781" i="17"/>
  <c r="AA5780" i="17"/>
  <c r="AA5779" i="17"/>
  <c r="AA5778" i="17"/>
  <c r="AA5777" i="17"/>
  <c r="AA5776" i="17"/>
  <c r="AA5775" i="17"/>
  <c r="AA5774" i="17"/>
  <c r="AA5773" i="17"/>
  <c r="AA5772" i="17"/>
  <c r="AA5771" i="17"/>
  <c r="AA5770" i="17"/>
  <c r="AA5769" i="17"/>
  <c r="AA5768" i="17"/>
  <c r="AA5767" i="17"/>
  <c r="AA5766" i="17"/>
  <c r="AA5765" i="17"/>
  <c r="AA5764" i="17"/>
  <c r="V5763" i="17"/>
  <c r="V5762" i="17"/>
  <c r="V5761" i="17"/>
  <c r="AA5760" i="17"/>
  <c r="AA5759" i="17"/>
  <c r="V5758" i="17"/>
  <c r="AA5757" i="17"/>
  <c r="AA5756" i="17"/>
  <c r="AA5755" i="17"/>
  <c r="AA5754" i="17"/>
  <c r="AA5753" i="17"/>
  <c r="AA5752" i="17"/>
  <c r="V5751" i="17"/>
  <c r="V5750" i="17"/>
  <c r="V5749" i="17"/>
  <c r="V5748" i="17"/>
  <c r="V5747" i="17"/>
  <c r="AA5746" i="17"/>
  <c r="V5745" i="17"/>
  <c r="AA5744" i="17"/>
  <c r="V5743" i="17"/>
  <c r="V5742" i="17"/>
  <c r="AA5741" i="17"/>
  <c r="AA5740" i="17"/>
  <c r="V5739" i="17"/>
  <c r="V5738" i="17"/>
  <c r="V5737" i="17"/>
  <c r="AA5736" i="17"/>
  <c r="V5735" i="17"/>
  <c r="AA5734" i="17"/>
  <c r="AA5733" i="17"/>
  <c r="V5732" i="17"/>
  <c r="V5731" i="17"/>
  <c r="AA5730" i="17"/>
  <c r="V5729" i="17"/>
  <c r="V5728" i="17"/>
  <c r="AA5727" i="17"/>
  <c r="V5726" i="17"/>
  <c r="V5725" i="17"/>
  <c r="V5724" i="17"/>
  <c r="AA5723" i="17"/>
  <c r="AA5722" i="17"/>
  <c r="AA5721" i="17"/>
  <c r="AA5720" i="17"/>
  <c r="V5719" i="17"/>
  <c r="V5718" i="17"/>
  <c r="AA5717" i="17"/>
  <c r="AA5716" i="17"/>
  <c r="V5715" i="17"/>
  <c r="AA5714" i="17"/>
  <c r="V5713" i="17"/>
  <c r="AA5712" i="17"/>
  <c r="AA5711" i="17"/>
  <c r="AA5710" i="17"/>
  <c r="AA5709" i="17"/>
  <c r="AA5708" i="17"/>
  <c r="AA5707" i="17"/>
  <c r="AA5706" i="17"/>
  <c r="AA5705" i="17"/>
  <c r="AA5704" i="17"/>
  <c r="AA5702" i="17"/>
  <c r="V5701" i="17"/>
  <c r="AA5700" i="17"/>
  <c r="V5699" i="17"/>
  <c r="V5697" i="17"/>
  <c r="AA5696" i="17"/>
  <c r="V5695" i="17"/>
  <c r="AA5694" i="17"/>
  <c r="AA5693" i="17"/>
  <c r="AA5692" i="17"/>
  <c r="V5691" i="17"/>
  <c r="V5690" i="17"/>
  <c r="V5689" i="17"/>
  <c r="V5688" i="17"/>
  <c r="AA5687" i="17"/>
  <c r="AA5686" i="17"/>
  <c r="AA5685" i="17"/>
  <c r="AA5684" i="17"/>
  <c r="AA5683" i="17"/>
  <c r="AA5682" i="17"/>
  <c r="AA5681" i="17"/>
  <c r="AA5680" i="17"/>
  <c r="AA5679" i="17"/>
  <c r="AA5677" i="17"/>
  <c r="AA5676" i="17"/>
  <c r="AA5675" i="17"/>
  <c r="AA5674" i="17"/>
  <c r="AA5673" i="17"/>
  <c r="V5672" i="17"/>
  <c r="V5671" i="17"/>
  <c r="V5670" i="17"/>
  <c r="AA5669" i="17"/>
  <c r="V5668" i="17"/>
  <c r="V5667" i="17"/>
  <c r="AA5666" i="17"/>
  <c r="AA5665" i="17"/>
  <c r="AA5664" i="17"/>
  <c r="AA5663" i="17"/>
  <c r="AA5662" i="17"/>
  <c r="AA5661" i="17"/>
  <c r="AA5660" i="17"/>
  <c r="AA5659" i="17"/>
  <c r="AA5658" i="17"/>
  <c r="AA5657" i="17"/>
  <c r="AA5656" i="17"/>
  <c r="AA5655" i="17"/>
  <c r="AA5654" i="17"/>
  <c r="AA5653" i="17"/>
  <c r="AA5652" i="17"/>
  <c r="AA5651" i="17"/>
  <c r="AA5650" i="17"/>
  <c r="V5649" i="17"/>
  <c r="V5648" i="17"/>
  <c r="V5647" i="17"/>
  <c r="AA5646" i="17"/>
  <c r="AA5645" i="17"/>
  <c r="V5644" i="17"/>
  <c r="AA5643" i="17"/>
  <c r="AA5642" i="17"/>
  <c r="V5641" i="17"/>
  <c r="AA5640" i="17"/>
  <c r="AA5638" i="17"/>
  <c r="V5637" i="17"/>
  <c r="V5636" i="17"/>
  <c r="AA5635" i="17"/>
  <c r="V5634" i="17"/>
  <c r="AA5633" i="17"/>
  <c r="AA5632" i="17"/>
  <c r="V5631" i="17"/>
  <c r="V5630" i="17"/>
  <c r="AA5629" i="17"/>
  <c r="V5628" i="17"/>
  <c r="V5627" i="17"/>
  <c r="AA5626" i="17"/>
  <c r="AA5625" i="17"/>
  <c r="AA5624" i="17"/>
  <c r="V5623" i="17"/>
  <c r="V5622" i="17"/>
  <c r="V5621" i="17"/>
  <c r="V5620" i="17"/>
  <c r="AA5619" i="17"/>
  <c r="AA5618" i="17"/>
  <c r="AA5617" i="17"/>
  <c r="AA5616" i="17"/>
  <c r="V5615" i="17"/>
  <c r="V5614" i="17"/>
  <c r="AA5613" i="17"/>
  <c r="V5612" i="17"/>
  <c r="V5611" i="17"/>
  <c r="AA5610" i="17"/>
  <c r="AA5609" i="17"/>
  <c r="AA5608" i="17"/>
  <c r="AA5607" i="17"/>
  <c r="AA5606" i="17"/>
  <c r="AA5605" i="17"/>
  <c r="AA5604" i="17"/>
  <c r="AA5603" i="17"/>
  <c r="AA5602" i="17"/>
  <c r="AA5601" i="17"/>
  <c r="AA5600" i="17"/>
  <c r="AA5599" i="17"/>
  <c r="AA5598" i="17"/>
  <c r="AA5597" i="17"/>
  <c r="V5596" i="17"/>
  <c r="AA5595" i="17"/>
  <c r="V5594" i="17"/>
  <c r="AA5593" i="17"/>
  <c r="AA5592" i="17"/>
  <c r="AA5591" i="17"/>
  <c r="AA5590" i="17"/>
  <c r="AA5589" i="17"/>
  <c r="AA5588" i="17"/>
  <c r="AA5587" i="17"/>
  <c r="V5586" i="17"/>
  <c r="V5585" i="17"/>
  <c r="V5584" i="17"/>
  <c r="V5583" i="17"/>
  <c r="V5582" i="17"/>
  <c r="V5581" i="17"/>
  <c r="AA5580" i="17"/>
  <c r="AA5579" i="17"/>
  <c r="AA5578" i="17"/>
  <c r="V5577" i="17"/>
  <c r="V5576" i="17"/>
  <c r="V5574" i="17"/>
  <c r="AA5573" i="17"/>
  <c r="V5572" i="17"/>
  <c r="V5571" i="17"/>
  <c r="V5570" i="17"/>
  <c r="V5569" i="17"/>
  <c r="V5568" i="17"/>
  <c r="AA5567" i="17"/>
  <c r="V5565" i="17"/>
  <c r="V5564" i="17"/>
  <c r="AA5563" i="17"/>
  <c r="AA5562" i="17"/>
  <c r="AA5561" i="17"/>
  <c r="AA5560" i="17"/>
  <c r="AA5559" i="17"/>
  <c r="AA5558" i="17"/>
  <c r="AA5557" i="17"/>
  <c r="V5556" i="17"/>
  <c r="AA5555" i="17"/>
  <c r="AA5554" i="17"/>
  <c r="AA5553" i="17"/>
  <c r="AA5552" i="17"/>
  <c r="AA5551" i="17"/>
  <c r="AA5550" i="17"/>
  <c r="V5549" i="17"/>
  <c r="AA5548" i="17"/>
  <c r="AA5547" i="17"/>
  <c r="AA5546" i="17"/>
  <c r="AA5545" i="17"/>
  <c r="AA5544" i="17"/>
  <c r="AA5543" i="17"/>
  <c r="AA5542" i="17"/>
  <c r="V5541" i="17"/>
  <c r="AA5540" i="17"/>
  <c r="AA5539" i="17"/>
  <c r="V5538" i="17"/>
  <c r="AA5537" i="17"/>
  <c r="AA5536" i="17"/>
  <c r="AA5535" i="17"/>
  <c r="AA5534" i="17"/>
  <c r="AA5533" i="17"/>
  <c r="AA5532" i="17"/>
  <c r="AA5531" i="17"/>
  <c r="AA5530" i="17"/>
  <c r="V5529" i="17"/>
  <c r="AA5528" i="17"/>
  <c r="AA5527" i="17"/>
  <c r="AA5526" i="17"/>
  <c r="AA5525" i="17"/>
  <c r="AA5524" i="17"/>
  <c r="AA5523" i="17"/>
  <c r="AA5522" i="17"/>
  <c r="AA5521" i="17"/>
  <c r="AA5520" i="17"/>
  <c r="AA5519" i="17"/>
  <c r="AA5518" i="17"/>
  <c r="AA5517" i="17"/>
  <c r="AA5516" i="17"/>
  <c r="AA5515" i="17"/>
  <c r="AA5514" i="17"/>
  <c r="AA5513" i="17"/>
  <c r="AA5512" i="17"/>
  <c r="V5511" i="17"/>
  <c r="AA5510" i="17"/>
  <c r="AA5509" i="17"/>
  <c r="AA5508" i="17"/>
  <c r="AA5507" i="17"/>
  <c r="AA5506" i="17"/>
  <c r="AA5505" i="17"/>
  <c r="AA5504" i="17"/>
  <c r="AA5503" i="17"/>
  <c r="AA5502" i="17"/>
  <c r="AA5501" i="17"/>
  <c r="AA5500" i="17"/>
  <c r="AA5499" i="17"/>
  <c r="AA5498" i="17"/>
  <c r="AA5497" i="17"/>
  <c r="AA5496" i="17"/>
  <c r="AA5495" i="17"/>
  <c r="AA5494" i="17"/>
  <c r="AA5493" i="17"/>
  <c r="AA5492" i="17"/>
  <c r="AA5491" i="17"/>
  <c r="V5490" i="17"/>
  <c r="AA5489" i="17"/>
  <c r="AA5488" i="17"/>
  <c r="AA5487" i="17"/>
  <c r="AA5486" i="17"/>
  <c r="V5484" i="17"/>
  <c r="V5483" i="17"/>
  <c r="AA5482" i="17"/>
  <c r="AA5481" i="17"/>
  <c r="AA5480" i="17"/>
  <c r="AA5479" i="17"/>
  <c r="AA5478" i="17"/>
  <c r="AA5477" i="17"/>
  <c r="AA5476" i="17"/>
  <c r="AA5475" i="17"/>
  <c r="AA5474" i="17"/>
  <c r="AA5473" i="17"/>
  <c r="AA5472" i="17"/>
  <c r="AA5471" i="17"/>
  <c r="AA5470" i="17"/>
  <c r="AA5469" i="17"/>
  <c r="AA5468" i="17"/>
  <c r="AA5467" i="17"/>
  <c r="AA5466" i="17"/>
  <c r="AA5465" i="17"/>
  <c r="AA5464" i="17"/>
  <c r="AA5463" i="17"/>
  <c r="AA5462" i="17"/>
  <c r="AA5461" i="17"/>
  <c r="V5460" i="17"/>
  <c r="V5459" i="17"/>
  <c r="V5458" i="17"/>
  <c r="AA5457" i="17"/>
  <c r="AA5456" i="17"/>
  <c r="AA5455" i="17"/>
  <c r="AA5454" i="17"/>
  <c r="V5453" i="17"/>
  <c r="V5452" i="17"/>
  <c r="V5451" i="17"/>
  <c r="AA5450" i="17"/>
  <c r="AA5449" i="17"/>
  <c r="AA5448" i="17"/>
  <c r="AA5447" i="17"/>
  <c r="V5446" i="17"/>
  <c r="V5445" i="17"/>
  <c r="AA5444" i="17"/>
  <c r="AA5443" i="17"/>
  <c r="AA5442" i="17"/>
  <c r="AA5441" i="17"/>
  <c r="AA5440" i="17"/>
  <c r="V5439" i="17"/>
  <c r="V5438" i="17"/>
  <c r="AA5437" i="17"/>
  <c r="AA5436" i="17"/>
  <c r="AA5435" i="17"/>
  <c r="AA5434" i="17"/>
  <c r="AA5433" i="17"/>
  <c r="AA5432" i="17"/>
  <c r="AA5431" i="17"/>
  <c r="V5430" i="17"/>
  <c r="AA5429" i="17"/>
  <c r="V5428" i="17"/>
  <c r="V5427" i="17"/>
  <c r="AA5426" i="17"/>
  <c r="AA5425" i="17"/>
  <c r="AA5424" i="17"/>
  <c r="AA5423" i="17"/>
  <c r="V5422" i="17"/>
  <c r="AA5421" i="17"/>
  <c r="AA5420" i="17"/>
  <c r="AA5419" i="17"/>
  <c r="V5418" i="17"/>
  <c r="V5417" i="17"/>
  <c r="V5416" i="17"/>
  <c r="AA5415" i="17"/>
  <c r="AA5414" i="17"/>
  <c r="AA5413" i="17"/>
  <c r="AA5412" i="17"/>
  <c r="AA5411" i="17"/>
  <c r="AA5410" i="17"/>
  <c r="V5409" i="17"/>
  <c r="V5408" i="17"/>
  <c r="V5407" i="17"/>
  <c r="AA5406" i="17"/>
  <c r="AA5405" i="17"/>
  <c r="V5404" i="17"/>
  <c r="AA5403" i="17"/>
  <c r="AA5402" i="17"/>
  <c r="AA5401" i="17"/>
  <c r="V5400" i="17"/>
  <c r="V5399" i="17"/>
  <c r="V5398" i="17"/>
  <c r="AA5397" i="17"/>
  <c r="AA5396" i="17"/>
  <c r="AA5395" i="17"/>
  <c r="AA5394" i="17"/>
  <c r="AA5393" i="17"/>
  <c r="AA5392" i="17"/>
  <c r="AA5391" i="17"/>
  <c r="V5389" i="17"/>
  <c r="V5388" i="17"/>
  <c r="AA5386" i="17"/>
  <c r="AA5385" i="17"/>
  <c r="AA5384" i="17"/>
  <c r="AA5383" i="17"/>
  <c r="V5382" i="17"/>
  <c r="AA5381" i="17"/>
  <c r="AA5380" i="17"/>
  <c r="AA5379" i="17"/>
  <c r="AA5378" i="17"/>
  <c r="AA5377" i="17"/>
  <c r="V5376" i="17"/>
  <c r="AA5375" i="17"/>
  <c r="AA5374" i="17"/>
  <c r="AA5373" i="17"/>
  <c r="AA5372" i="17"/>
  <c r="AA5371" i="17"/>
  <c r="AA5370" i="17"/>
  <c r="AA5369" i="17"/>
  <c r="AA5368" i="17"/>
  <c r="AA5367" i="17"/>
  <c r="AA5366" i="17"/>
  <c r="AA5365" i="17"/>
  <c r="AA5364" i="17"/>
  <c r="AA5363" i="17"/>
  <c r="AA5362" i="17"/>
  <c r="AA5361" i="17"/>
  <c r="AA5360" i="17"/>
  <c r="AA5359" i="17"/>
  <c r="AA5358" i="17"/>
  <c r="AA5357" i="17"/>
  <c r="AA5356" i="17"/>
  <c r="AA5355" i="17"/>
  <c r="AA5354" i="17"/>
  <c r="AA5353" i="17"/>
  <c r="AA5352" i="17"/>
  <c r="AA5351" i="17"/>
  <c r="AA5350" i="17"/>
  <c r="AA5349" i="17"/>
  <c r="AA5348" i="17"/>
  <c r="AA5347" i="17"/>
  <c r="V5346" i="17"/>
  <c r="V5345" i="17"/>
  <c r="AA5344" i="17"/>
  <c r="V5343" i="17"/>
  <c r="AA5342" i="17"/>
  <c r="AA5341" i="17"/>
  <c r="AA5340" i="17"/>
  <c r="V5339" i="17"/>
  <c r="V5338" i="17"/>
  <c r="AA5337" i="17"/>
  <c r="AA5336" i="17"/>
  <c r="AA5335" i="17"/>
  <c r="AA5334" i="17"/>
  <c r="V5333" i="17"/>
  <c r="AA5332" i="17"/>
  <c r="AA5331" i="17"/>
  <c r="AA5330" i="17"/>
  <c r="AA5329" i="17"/>
  <c r="AA5328" i="17"/>
  <c r="V5327" i="17"/>
  <c r="AA5326" i="17"/>
  <c r="AA5325" i="17"/>
  <c r="AA5324" i="17"/>
  <c r="AA5323" i="17"/>
  <c r="AA5322" i="17"/>
  <c r="AA5321" i="17"/>
  <c r="AA5320" i="17"/>
  <c r="AA5319" i="17"/>
  <c r="AA5318" i="17"/>
  <c r="V5317" i="17"/>
  <c r="V5316" i="17"/>
  <c r="V5315" i="17"/>
  <c r="V5314" i="17"/>
  <c r="AA5313" i="17"/>
  <c r="V5312" i="17"/>
  <c r="V5311" i="17"/>
  <c r="V5310" i="17"/>
  <c r="V5308" i="17"/>
  <c r="V5307" i="17"/>
  <c r="AA5306" i="17"/>
  <c r="AA5305" i="17"/>
  <c r="AA5304" i="17"/>
  <c r="AA5303" i="17"/>
  <c r="AA5302" i="17"/>
  <c r="AA5301" i="17"/>
  <c r="V5300" i="17"/>
  <c r="AA5299" i="17"/>
  <c r="AA5298" i="17"/>
  <c r="AA5297" i="17"/>
  <c r="AA5296" i="17"/>
  <c r="V5295" i="17"/>
  <c r="AA5294" i="17"/>
  <c r="AA5293" i="17"/>
  <c r="AA5292" i="17"/>
  <c r="AA5291" i="17"/>
  <c r="AA5290" i="17"/>
  <c r="AA5289" i="17"/>
  <c r="AA5288" i="17"/>
  <c r="AA5287" i="17"/>
  <c r="AA5286" i="17"/>
  <c r="AA5285" i="17"/>
  <c r="AA5284" i="17"/>
  <c r="AA5283" i="17"/>
  <c r="AA5282" i="17"/>
  <c r="AA5281" i="17"/>
  <c r="AA5280" i="17"/>
  <c r="V5279" i="17"/>
  <c r="AA5278" i="17"/>
  <c r="AA5277" i="17"/>
  <c r="AA5276" i="17"/>
  <c r="AA5275" i="17"/>
  <c r="AA5274" i="17"/>
  <c r="AA5273" i="17"/>
  <c r="AA5272" i="17"/>
  <c r="AA5271" i="17"/>
  <c r="AA5270" i="17"/>
  <c r="AA5269" i="17"/>
  <c r="AA5268" i="17"/>
  <c r="AA5267" i="17"/>
  <c r="AA5266" i="17"/>
  <c r="AA5265" i="17"/>
  <c r="AA5264" i="17"/>
  <c r="AA5263" i="17"/>
  <c r="V5262" i="17"/>
  <c r="AA5261" i="17"/>
  <c r="AA5260" i="17"/>
  <c r="AA5259" i="17"/>
  <c r="AA5258" i="17"/>
  <c r="AA5257" i="17"/>
  <c r="AA5256" i="17"/>
  <c r="AA5255" i="17"/>
  <c r="AA5254" i="17"/>
  <c r="AA5253" i="17"/>
  <c r="AA5252" i="17"/>
  <c r="AA5251" i="17"/>
  <c r="AA5250" i="17"/>
  <c r="AA5249" i="17"/>
  <c r="AA5248" i="17"/>
  <c r="AA5247" i="17"/>
  <c r="AA5246" i="17"/>
  <c r="AA5245" i="17"/>
  <c r="AA5244" i="17"/>
  <c r="AA5243" i="17"/>
  <c r="AA5242" i="17"/>
  <c r="AA5241" i="17"/>
  <c r="AA5240" i="17"/>
  <c r="AA5239" i="17"/>
  <c r="V5238" i="17"/>
  <c r="AA5237" i="17"/>
  <c r="AA5236" i="17"/>
  <c r="AA5235" i="17"/>
  <c r="V5234" i="17"/>
  <c r="AA5233" i="17"/>
  <c r="AA5232" i="17"/>
  <c r="AA5231" i="17"/>
  <c r="AA5230" i="17"/>
  <c r="AA5229" i="17"/>
  <c r="AA5228" i="17"/>
  <c r="AA5227" i="17"/>
  <c r="AA5226" i="17"/>
  <c r="AA5225" i="17"/>
  <c r="AA5224" i="17"/>
  <c r="AA5222" i="17"/>
  <c r="AA5221" i="17"/>
  <c r="AA5220" i="17"/>
  <c r="AA5219" i="17"/>
  <c r="AA5218" i="17"/>
  <c r="AA5217" i="17"/>
  <c r="AA5216" i="17"/>
  <c r="AA5215" i="17"/>
  <c r="AA5214" i="17"/>
  <c r="AA5213" i="17"/>
  <c r="AA5212" i="17"/>
  <c r="V5211" i="17"/>
  <c r="AA5210" i="17"/>
  <c r="AA5209" i="17"/>
  <c r="AA5208" i="17"/>
  <c r="AA5207" i="17"/>
  <c r="AA5206" i="17"/>
  <c r="AA5205" i="17"/>
  <c r="V5204" i="17"/>
  <c r="AA5203" i="17"/>
  <c r="AA5202" i="17"/>
  <c r="AA5201" i="17"/>
  <c r="AA5200" i="17"/>
  <c r="AA5199" i="17"/>
  <c r="AA5198" i="17"/>
  <c r="AA5197" i="17"/>
  <c r="AA5196" i="17"/>
  <c r="AA5195" i="17"/>
  <c r="AA5194" i="17"/>
  <c r="AA5193" i="17"/>
  <c r="AA5192" i="17"/>
  <c r="AA5190" i="17"/>
  <c r="AA5189" i="17"/>
  <c r="AA5188" i="17"/>
  <c r="AA5187" i="17"/>
  <c r="AA5186" i="17"/>
  <c r="AA5185" i="17"/>
  <c r="AA5184" i="17"/>
  <c r="AA5183" i="17"/>
  <c r="AA5182" i="17"/>
  <c r="AA5181" i="17"/>
  <c r="AA5180" i="17"/>
  <c r="AA5179" i="17"/>
  <c r="AA5178" i="17"/>
  <c r="AA5177" i="17"/>
  <c r="AA5176" i="17"/>
  <c r="AA5175" i="17"/>
  <c r="AA5174" i="17"/>
  <c r="AA5173" i="17"/>
  <c r="AA5172" i="17"/>
  <c r="AA5171" i="17"/>
  <c r="AA5170" i="17"/>
  <c r="AA5169" i="17"/>
  <c r="AA5168" i="17"/>
  <c r="AA5167" i="17"/>
  <c r="AA5166" i="17"/>
  <c r="AA5164" i="17"/>
  <c r="AA5163" i="17"/>
  <c r="AA5162" i="17"/>
  <c r="AA5161" i="17"/>
  <c r="AA5160" i="17"/>
  <c r="AA5159" i="17"/>
  <c r="AA5158" i="17"/>
  <c r="AA5157" i="17"/>
  <c r="AA5156" i="17"/>
  <c r="AA5155" i="17"/>
  <c r="AA5154" i="17"/>
  <c r="AA5153" i="17"/>
  <c r="AA5152" i="17"/>
  <c r="AA5151" i="17"/>
  <c r="AA5150" i="17"/>
  <c r="AA5149" i="17"/>
  <c r="V5148" i="17"/>
  <c r="AA5147" i="17"/>
  <c r="AA5146" i="17"/>
  <c r="AA5145" i="17"/>
  <c r="AA5144" i="17"/>
  <c r="AA5143" i="17"/>
  <c r="AA5142" i="17"/>
  <c r="AA5141" i="17"/>
  <c r="AA5140" i="17"/>
  <c r="AA5139" i="17"/>
  <c r="AA5138" i="17"/>
  <c r="AA5137" i="17"/>
  <c r="AA5136" i="17"/>
  <c r="V5135" i="17"/>
  <c r="AA5134" i="17"/>
  <c r="AA5133" i="17"/>
  <c r="AA5132" i="17"/>
  <c r="AA5131" i="17"/>
  <c r="AA5130" i="17"/>
  <c r="AA5129" i="17"/>
  <c r="AA5128" i="17"/>
  <c r="AA5127" i="17"/>
  <c r="AA5126" i="17"/>
  <c r="AA5125" i="17"/>
  <c r="AA5124" i="17"/>
  <c r="AA5123" i="17"/>
  <c r="V5122" i="17"/>
  <c r="AA5121" i="17"/>
  <c r="AA5120" i="17"/>
  <c r="V5119" i="17"/>
  <c r="AA5118" i="17"/>
  <c r="AA5117" i="17"/>
  <c r="AA5116" i="17"/>
  <c r="AA5115" i="17"/>
  <c r="V5114" i="17"/>
  <c r="AA5113" i="17"/>
  <c r="AA5112" i="17"/>
  <c r="AA5111" i="17"/>
  <c r="AA5110" i="17"/>
  <c r="AA5109" i="17"/>
  <c r="AA5108" i="17"/>
  <c r="AA5107" i="17"/>
  <c r="AA5106" i="17"/>
  <c r="AA5105" i="17"/>
  <c r="AA5104" i="17"/>
  <c r="AA5103" i="17"/>
  <c r="AA5102" i="17"/>
  <c r="AA5101" i="17"/>
  <c r="AA5100" i="17"/>
  <c r="AA5099" i="17"/>
  <c r="AA5098" i="17"/>
  <c r="AA5097" i="17"/>
  <c r="AA5096" i="17"/>
  <c r="AA5095" i="17"/>
  <c r="AA5094" i="17"/>
  <c r="V5093" i="17"/>
  <c r="AA5092" i="17"/>
  <c r="V5091" i="17"/>
  <c r="V5090" i="17"/>
  <c r="AA5089" i="17"/>
  <c r="AA5088" i="17"/>
  <c r="AA5087" i="17"/>
  <c r="AA5086" i="17"/>
  <c r="AA5085" i="17"/>
  <c r="AA5084" i="17"/>
  <c r="AA5083" i="17"/>
  <c r="AA5082" i="17"/>
  <c r="AA5081" i="17"/>
  <c r="AA5080" i="17"/>
  <c r="AA5079" i="17"/>
  <c r="AA5078" i="17"/>
  <c r="AA5077" i="17"/>
  <c r="AA5076" i="17"/>
  <c r="AA5075" i="17"/>
  <c r="AA5074" i="17"/>
  <c r="AA5073" i="17"/>
  <c r="AA5072" i="17"/>
  <c r="AA5071" i="17"/>
  <c r="AA5070" i="17"/>
  <c r="AA5069" i="17"/>
  <c r="AA5068" i="17"/>
  <c r="AA5067" i="17"/>
  <c r="AA5066" i="17"/>
  <c r="AA5065" i="17"/>
  <c r="AA5064" i="17"/>
  <c r="AA5063" i="17"/>
  <c r="AA5062" i="17"/>
  <c r="AA5061" i="17"/>
  <c r="AA5060" i="17"/>
  <c r="AA5059" i="17"/>
  <c r="AA5058" i="17"/>
  <c r="AA5057" i="17"/>
  <c r="AA5056" i="17"/>
  <c r="AA5055" i="17"/>
  <c r="AA5054" i="17"/>
  <c r="AA5053" i="17"/>
  <c r="AA5052" i="17"/>
  <c r="AA5051" i="17"/>
  <c r="AA5050" i="17"/>
  <c r="AA5049" i="17"/>
  <c r="AA5048" i="17"/>
  <c r="AA5047" i="17"/>
  <c r="AA5046" i="17"/>
  <c r="AA5045" i="17"/>
  <c r="AA5044" i="17"/>
  <c r="AA5043" i="17"/>
  <c r="AA5042" i="17"/>
  <c r="V5041" i="17"/>
  <c r="AA5040" i="17"/>
  <c r="AA5039" i="17"/>
  <c r="AA5038" i="17"/>
  <c r="AA5037" i="17"/>
  <c r="AA5036" i="17"/>
  <c r="AA5035" i="17"/>
  <c r="AA5034" i="17"/>
  <c r="AA5033" i="17"/>
  <c r="AA5032" i="17"/>
  <c r="AA5031" i="17"/>
  <c r="AA5030" i="17"/>
  <c r="AA5029" i="17"/>
  <c r="Q5027" i="17"/>
  <c r="Q5026" i="17"/>
  <c r="AA5025" i="17"/>
  <c r="AA5024" i="17"/>
  <c r="AA5023" i="17"/>
  <c r="V5022" i="17"/>
  <c r="AA5021" i="17"/>
  <c r="V5020" i="17"/>
  <c r="AA5019" i="17"/>
  <c r="AA5018" i="17"/>
  <c r="AA5017" i="17"/>
  <c r="AA5016" i="17"/>
  <c r="AA5015" i="17"/>
  <c r="AA5014" i="17"/>
  <c r="AA5013" i="17"/>
  <c r="AA5012" i="17"/>
  <c r="AA5011" i="17"/>
  <c r="AA5010" i="17"/>
  <c r="AA5009" i="17"/>
  <c r="AA5008" i="17"/>
  <c r="AA5007" i="17"/>
  <c r="V5006" i="17"/>
  <c r="AA5005" i="17"/>
  <c r="AA5004" i="17"/>
  <c r="AA5003" i="17"/>
  <c r="AA5002" i="17"/>
  <c r="V5001" i="17"/>
  <c r="V5000" i="17"/>
  <c r="V4999" i="17"/>
  <c r="V4998" i="17"/>
  <c r="AA4997" i="17"/>
  <c r="AA4996" i="17"/>
  <c r="AA4995" i="17"/>
  <c r="AA4994" i="17"/>
  <c r="AA4993" i="17"/>
  <c r="AA4992" i="17"/>
  <c r="AA4991" i="17"/>
  <c r="AA4990" i="17"/>
  <c r="AA4989" i="17"/>
  <c r="Q4988" i="17"/>
  <c r="AA4987" i="17"/>
  <c r="AA4986" i="17"/>
  <c r="AA4985" i="17"/>
  <c r="AA4984" i="17"/>
  <c r="AA4983" i="17"/>
  <c r="AA4982" i="17"/>
  <c r="AA4981" i="17"/>
  <c r="AA4980" i="17"/>
  <c r="AA4979" i="17"/>
  <c r="AA4978" i="17"/>
  <c r="AA4977" i="17"/>
  <c r="AA4976" i="17"/>
  <c r="AA4975" i="17"/>
  <c r="AA4974" i="17"/>
  <c r="AA4973" i="17"/>
  <c r="AA4972" i="17"/>
  <c r="AA4971" i="17"/>
  <c r="AA4970" i="17"/>
  <c r="AA4969" i="17"/>
  <c r="AA4968" i="17"/>
  <c r="AA4966" i="17"/>
  <c r="AA4965" i="17"/>
  <c r="AA4964" i="17"/>
  <c r="Q4963" i="17"/>
  <c r="AA4962" i="17"/>
  <c r="AA4961" i="17"/>
  <c r="AA4960" i="17"/>
  <c r="AA4959" i="17"/>
  <c r="AA4958" i="17"/>
  <c r="AA4957" i="17"/>
  <c r="AA4956" i="17"/>
  <c r="AA4955" i="17"/>
  <c r="AA4954" i="17"/>
  <c r="AA4953" i="17"/>
  <c r="AA4952" i="17"/>
  <c r="AA4951" i="17"/>
  <c r="V4950" i="17"/>
  <c r="V4949" i="17"/>
  <c r="AA4948" i="17"/>
  <c r="V4947" i="17"/>
  <c r="V4946" i="17"/>
  <c r="AA4945" i="17"/>
  <c r="AA4944" i="17"/>
  <c r="AA4943" i="17"/>
  <c r="AA4942" i="17"/>
  <c r="AA4941" i="17"/>
  <c r="AA4940" i="17"/>
  <c r="AA4939" i="17"/>
  <c r="AA4938" i="17"/>
  <c r="AA4937" i="17"/>
  <c r="V4936" i="17"/>
  <c r="AA4935" i="17"/>
  <c r="AA4934" i="17"/>
  <c r="AA4933" i="17"/>
  <c r="AA4932" i="17"/>
  <c r="AA4931" i="17"/>
  <c r="AA4930" i="17"/>
  <c r="AA4929" i="17"/>
  <c r="V4928" i="17"/>
  <c r="AA4927" i="17"/>
  <c r="AA4926" i="17"/>
  <c r="AA4925" i="17"/>
  <c r="AA4924" i="17"/>
  <c r="AA4923" i="17"/>
  <c r="AA4922" i="17"/>
  <c r="AA4921" i="17"/>
  <c r="AA4920" i="17"/>
  <c r="AA4919" i="17"/>
  <c r="AA4918" i="17"/>
  <c r="AA4917" i="17"/>
  <c r="AA4916" i="17"/>
  <c r="AA4915" i="17"/>
  <c r="AA4914" i="17"/>
  <c r="AA4913" i="17"/>
  <c r="AA4912" i="17"/>
  <c r="AA4911" i="17"/>
  <c r="AA4910" i="17"/>
  <c r="AA4909" i="17"/>
  <c r="AA4908" i="17"/>
  <c r="AA4907" i="17"/>
  <c r="AA4906" i="17"/>
  <c r="AA4905" i="17"/>
  <c r="V4904" i="17"/>
  <c r="AA4903" i="17"/>
  <c r="AA4902" i="17"/>
  <c r="AA4901" i="17"/>
  <c r="AA4900" i="17"/>
  <c r="AA4899" i="17"/>
  <c r="AA4898" i="17"/>
  <c r="AA4896" i="17"/>
  <c r="AA4895" i="17"/>
  <c r="AA4894" i="17"/>
  <c r="AA4893" i="17"/>
  <c r="AA4892" i="17"/>
  <c r="AA4891" i="17"/>
  <c r="AA4890" i="17"/>
  <c r="AA4889" i="17"/>
  <c r="AA4888" i="17"/>
  <c r="V4887" i="17"/>
  <c r="V4886" i="17"/>
  <c r="AA4885" i="17"/>
  <c r="V4884" i="17"/>
  <c r="AA4882" i="17"/>
  <c r="AA4881" i="17"/>
  <c r="AA4880" i="17"/>
  <c r="AA4879" i="17"/>
  <c r="AA4878" i="17"/>
  <c r="AA4877" i="17"/>
  <c r="AA4876" i="17"/>
  <c r="AA4875" i="17"/>
  <c r="AA4874" i="17"/>
  <c r="V4873" i="17"/>
  <c r="AA4872" i="17"/>
  <c r="AA4871" i="17"/>
  <c r="AA4870" i="17"/>
  <c r="AA4869" i="17"/>
  <c r="AA4868" i="17"/>
  <c r="AA4867" i="17"/>
  <c r="V4866" i="17"/>
  <c r="AA4865" i="17"/>
  <c r="AA4864" i="17"/>
  <c r="V4863" i="17"/>
  <c r="AA4862" i="17"/>
  <c r="AA4861" i="17"/>
  <c r="AA4860" i="17"/>
  <c r="AA4859" i="17"/>
  <c r="AA4858" i="17"/>
  <c r="AA4857" i="17"/>
  <c r="AA4856" i="17"/>
  <c r="AA4855" i="17"/>
  <c r="AA4854" i="17"/>
  <c r="AA4853" i="17"/>
  <c r="AA4852" i="17"/>
  <c r="AA4851" i="17"/>
  <c r="AA4850" i="17"/>
  <c r="AA4849" i="17"/>
  <c r="V4848" i="17"/>
  <c r="V4847" i="17"/>
  <c r="V4846" i="17"/>
  <c r="V4845" i="17"/>
  <c r="AA4844" i="17"/>
  <c r="V4842" i="17"/>
  <c r="V4841" i="17"/>
  <c r="AA4840" i="17"/>
  <c r="AA4839" i="17"/>
  <c r="AA4838" i="17"/>
  <c r="AA4837" i="17"/>
  <c r="AA4836" i="17"/>
  <c r="AA4835" i="17"/>
  <c r="AA4834" i="17"/>
  <c r="AA4833" i="17"/>
  <c r="AA4832" i="17"/>
  <c r="AA4831" i="17"/>
  <c r="AA4830" i="17"/>
  <c r="AA4829" i="17"/>
  <c r="AA4828" i="17"/>
  <c r="AA4827" i="17"/>
  <c r="AA4826" i="17"/>
  <c r="AA4825" i="17"/>
  <c r="V4824" i="17"/>
  <c r="V4823" i="17"/>
  <c r="AA4822" i="17"/>
  <c r="AA4821" i="17"/>
  <c r="AA4820" i="17"/>
  <c r="AA4819" i="17"/>
  <c r="AA4818" i="17"/>
  <c r="AA4817" i="17"/>
  <c r="AA4816" i="17"/>
  <c r="AA4815" i="17"/>
  <c r="AA4814" i="17"/>
  <c r="V4813" i="17"/>
  <c r="AA4812" i="17"/>
  <c r="AA4811" i="17"/>
  <c r="AA4810" i="17"/>
  <c r="V4809" i="17"/>
  <c r="AA4808" i="17"/>
  <c r="V4807" i="17"/>
  <c r="AA4806" i="17"/>
  <c r="AA4805" i="17"/>
  <c r="AA4804" i="17"/>
  <c r="AA4803" i="17"/>
  <c r="AA4802" i="17"/>
  <c r="AA4801" i="17"/>
  <c r="V4800" i="17"/>
  <c r="AA4799" i="17"/>
  <c r="AA4798" i="17"/>
  <c r="AA4797" i="17"/>
  <c r="AA4796" i="17"/>
  <c r="AA4795" i="17"/>
  <c r="AA4794" i="17"/>
  <c r="AA4793" i="17"/>
  <c r="AA4792" i="17"/>
  <c r="AA4791" i="17"/>
  <c r="Q4790" i="17"/>
  <c r="AA4789" i="17"/>
  <c r="AA4788" i="17"/>
  <c r="AA4787" i="17"/>
  <c r="AA4786" i="17"/>
  <c r="AA4785" i="17"/>
  <c r="AA4784" i="17"/>
  <c r="AA4783" i="17"/>
  <c r="V4782" i="17"/>
  <c r="AA4781" i="17"/>
  <c r="AA4780" i="17"/>
  <c r="AA4779" i="17"/>
  <c r="AA4778" i="17"/>
  <c r="AA4777" i="17"/>
  <c r="V4776" i="17"/>
  <c r="AA4775" i="17"/>
  <c r="AA4774" i="17"/>
  <c r="AA4773" i="17"/>
  <c r="AA4772" i="17"/>
  <c r="AA4771" i="17"/>
  <c r="AA4770" i="17"/>
  <c r="AA4769" i="17"/>
  <c r="AA4768" i="17"/>
  <c r="V4767" i="17"/>
  <c r="AA4766" i="17"/>
  <c r="AA4765" i="17"/>
  <c r="AA4764" i="17"/>
  <c r="AA4763" i="17"/>
  <c r="AA4762" i="17"/>
  <c r="V4761" i="17"/>
  <c r="V4760" i="17"/>
  <c r="AA4759" i="17"/>
  <c r="AA4758" i="17"/>
  <c r="AA4757" i="17"/>
  <c r="AA4756" i="17"/>
  <c r="AA4755" i="17"/>
  <c r="AA4754" i="17"/>
  <c r="AA4753" i="17"/>
  <c r="AA4752" i="17"/>
  <c r="AA4751" i="17"/>
  <c r="AA4750" i="17"/>
  <c r="AA4749" i="17"/>
  <c r="AA4748" i="17"/>
  <c r="AA4747" i="17"/>
  <c r="AA4746" i="17"/>
  <c r="V4745" i="17"/>
  <c r="V4744" i="17"/>
  <c r="AA4743" i="17"/>
  <c r="V4742" i="17"/>
  <c r="V4741" i="17"/>
  <c r="V4740" i="17"/>
  <c r="AA4739" i="17"/>
  <c r="AA4738" i="17"/>
  <c r="AA4737" i="17"/>
  <c r="AA4736" i="17"/>
  <c r="AA4735" i="17"/>
  <c r="AA4734" i="17"/>
  <c r="V4733" i="17"/>
  <c r="AA4732" i="17"/>
  <c r="AA4731" i="17"/>
  <c r="AA4730" i="17"/>
  <c r="AA4729" i="17"/>
  <c r="V4728" i="17"/>
  <c r="AA4727" i="17"/>
  <c r="AA4726" i="17"/>
  <c r="V4725" i="17"/>
  <c r="AA4724" i="17"/>
  <c r="AA4723" i="17"/>
  <c r="AA4722" i="17"/>
  <c r="AA4721" i="17"/>
  <c r="AA4720" i="17"/>
  <c r="AA4719" i="17"/>
  <c r="AA4718" i="17"/>
  <c r="AA4717" i="17"/>
  <c r="AA4716" i="17"/>
  <c r="AA4715" i="17"/>
  <c r="AA4714" i="17"/>
  <c r="AA4713" i="17"/>
  <c r="AA4712" i="17"/>
  <c r="AA4711" i="17"/>
  <c r="AA4710" i="17"/>
  <c r="AA4709" i="17"/>
  <c r="AA4708" i="17"/>
  <c r="AA4707" i="17"/>
  <c r="Q4706" i="17"/>
  <c r="AA4705" i="17"/>
  <c r="AA4704" i="17"/>
  <c r="AA4703" i="17"/>
  <c r="AA4702" i="17"/>
  <c r="AA4701" i="17"/>
  <c r="AA4700" i="17"/>
  <c r="AA4699" i="17"/>
  <c r="AA4698" i="17"/>
  <c r="AA4697" i="17"/>
  <c r="AA4696" i="17"/>
  <c r="AA4695" i="17"/>
  <c r="AA4694" i="17"/>
  <c r="AA4693" i="17"/>
  <c r="AA4692" i="17"/>
  <c r="AA4691" i="17"/>
  <c r="AA4690" i="17"/>
  <c r="AA4689" i="17"/>
  <c r="AA4688" i="17"/>
  <c r="AA4687" i="17"/>
  <c r="AA4686" i="17"/>
  <c r="V4685" i="17"/>
  <c r="V4684" i="17"/>
  <c r="V4683" i="17"/>
  <c r="AA4682" i="17"/>
  <c r="AA4681" i="17"/>
  <c r="V4680" i="17"/>
  <c r="AA4679" i="17"/>
  <c r="AA4678" i="17"/>
  <c r="AA4677" i="17"/>
  <c r="AA4676" i="17"/>
  <c r="AA4675" i="17"/>
  <c r="AA4674" i="17"/>
  <c r="AA4673" i="17"/>
  <c r="AA4672" i="17"/>
  <c r="V4671" i="17"/>
  <c r="V4670" i="17"/>
  <c r="V4669" i="17"/>
  <c r="V4668" i="17"/>
  <c r="AA4667" i="17"/>
  <c r="AA4666" i="17"/>
  <c r="AA4665" i="17"/>
  <c r="AA4664" i="17"/>
  <c r="V4663" i="17"/>
  <c r="Q4662" i="17"/>
  <c r="AA4661" i="17"/>
  <c r="AA4660" i="17"/>
  <c r="AA4659" i="17"/>
  <c r="AA4658" i="17"/>
  <c r="AA4657" i="17"/>
  <c r="AA4656" i="17"/>
  <c r="AA4655" i="17"/>
  <c r="AA4654" i="17"/>
  <c r="AA4653" i="17"/>
  <c r="AA4652" i="17"/>
  <c r="AA4651" i="17"/>
  <c r="AA4650" i="17"/>
  <c r="AA4649" i="17"/>
  <c r="AA4648" i="17"/>
  <c r="AA4647" i="17"/>
  <c r="AA4646" i="17"/>
  <c r="AA4645" i="17"/>
  <c r="AA4644" i="17"/>
  <c r="Q4643" i="17"/>
  <c r="AA4642" i="17"/>
  <c r="AA4641" i="17"/>
  <c r="AA4640" i="17"/>
  <c r="AA4639" i="17"/>
  <c r="AA4638" i="17"/>
  <c r="V4637" i="17"/>
  <c r="V4636" i="17"/>
  <c r="AA4635" i="17"/>
  <c r="AA4634" i="17"/>
  <c r="AA4633" i="17"/>
  <c r="AA4632" i="17"/>
  <c r="V4631" i="17"/>
  <c r="V4630" i="17"/>
  <c r="AA4629" i="17"/>
  <c r="AA4628" i="17"/>
  <c r="V4627" i="17"/>
  <c r="AA4626" i="17"/>
  <c r="AA4625" i="17"/>
  <c r="AA4624" i="17"/>
  <c r="AA4623" i="17"/>
  <c r="AA4622" i="17"/>
  <c r="AA4621" i="17"/>
  <c r="V4620" i="17"/>
  <c r="V4619" i="17"/>
  <c r="V4618" i="17"/>
  <c r="V4617" i="17"/>
  <c r="V4616" i="17"/>
  <c r="V4615" i="17"/>
  <c r="AA4614" i="17"/>
  <c r="AA4613" i="17"/>
  <c r="AA4612" i="17"/>
  <c r="AA4611" i="17"/>
  <c r="V4610" i="17"/>
  <c r="AA4609" i="17"/>
  <c r="AA4608" i="17"/>
  <c r="AA4607" i="17"/>
  <c r="AA4606" i="17"/>
  <c r="AA4605" i="17"/>
  <c r="AA4604" i="17"/>
  <c r="AA4603" i="17"/>
  <c r="AA4602" i="17"/>
  <c r="AA4601" i="17"/>
  <c r="AA4600" i="17"/>
  <c r="AA4599" i="17"/>
  <c r="AA4598" i="17"/>
  <c r="AA4597" i="17"/>
  <c r="AA4596" i="17"/>
  <c r="AA4595" i="17"/>
  <c r="AA4594" i="17"/>
  <c r="V4593" i="17"/>
  <c r="AA4592" i="17"/>
  <c r="V4590" i="17"/>
  <c r="V4589" i="17"/>
  <c r="V4588" i="17"/>
  <c r="V4587" i="17"/>
  <c r="V4586" i="17"/>
  <c r="V4585" i="17"/>
  <c r="V4584" i="17"/>
  <c r="V4583" i="17"/>
  <c r="AA4582" i="17"/>
  <c r="AA4581" i="17"/>
  <c r="AA4580" i="17"/>
  <c r="AA4579" i="17"/>
  <c r="AA4578" i="17"/>
  <c r="AA4577" i="17"/>
  <c r="AA4576" i="17"/>
  <c r="AA4575" i="17"/>
  <c r="AA4574" i="17"/>
  <c r="AA4573" i="17"/>
  <c r="AA4572" i="17"/>
  <c r="AA4571" i="17"/>
  <c r="V4570" i="17"/>
  <c r="AA4569" i="17"/>
  <c r="V4568" i="17"/>
  <c r="AA4567" i="17"/>
  <c r="AA4566" i="17"/>
  <c r="V4565" i="17"/>
  <c r="AA4564" i="17"/>
  <c r="AA4563" i="17"/>
  <c r="AA4562" i="17"/>
  <c r="AA4561" i="17"/>
  <c r="AA4560" i="17"/>
  <c r="AA4559" i="17"/>
  <c r="AA4558" i="17"/>
  <c r="AA4557" i="17"/>
  <c r="AA4556" i="17"/>
  <c r="AA4555" i="17"/>
  <c r="V4554" i="17"/>
  <c r="AA4553" i="17"/>
  <c r="AA4552" i="17"/>
  <c r="AA4551" i="17"/>
  <c r="AA4550" i="17"/>
  <c r="AA4549" i="17"/>
  <c r="AA4548" i="17"/>
  <c r="AA4547" i="17"/>
  <c r="V4546" i="17"/>
  <c r="V4545" i="17"/>
  <c r="V4544" i="17"/>
  <c r="AA4543" i="17"/>
  <c r="AA4542" i="17"/>
  <c r="AA4541" i="17"/>
  <c r="AA4540" i="17"/>
  <c r="AA4539" i="17"/>
  <c r="AA4538" i="17"/>
  <c r="AA4537" i="17"/>
  <c r="AA4536" i="17"/>
  <c r="AA4535" i="17"/>
  <c r="AA4534" i="17"/>
  <c r="AA4533" i="17"/>
  <c r="AA4532" i="17"/>
  <c r="AA4531" i="17"/>
  <c r="AA4530" i="17"/>
  <c r="AA4529" i="17"/>
  <c r="AA4528" i="17"/>
  <c r="AA4527" i="17"/>
  <c r="AA4526" i="17"/>
  <c r="AA4525" i="17"/>
  <c r="V4524" i="17"/>
  <c r="AA4523" i="17"/>
  <c r="AA4522" i="17"/>
  <c r="AA4521" i="17"/>
  <c r="AA4520" i="17"/>
  <c r="V4519" i="17"/>
  <c r="AA4518" i="17"/>
  <c r="AA4517" i="17"/>
  <c r="AA4516" i="17"/>
  <c r="AA4515" i="17"/>
  <c r="AA4514" i="17"/>
  <c r="AA4513" i="17"/>
  <c r="AA4512" i="17"/>
  <c r="AA4511" i="17"/>
  <c r="AA4510" i="17"/>
  <c r="AA4509" i="17"/>
  <c r="AA4508" i="17"/>
  <c r="AA4507" i="17"/>
  <c r="AA4506" i="17"/>
  <c r="AA4505" i="17"/>
  <c r="AA4504" i="17"/>
  <c r="AA4503" i="17"/>
  <c r="AA4502" i="17"/>
  <c r="AA4501" i="17"/>
  <c r="AA4500" i="17"/>
  <c r="AA4499" i="17"/>
  <c r="AA4498" i="17"/>
  <c r="AA4497" i="17"/>
  <c r="AA4496" i="17"/>
  <c r="AA4495" i="17"/>
  <c r="AA4494" i="17"/>
  <c r="AA4493" i="17"/>
  <c r="AA4492" i="17"/>
  <c r="V4491" i="17"/>
  <c r="AA4490" i="17"/>
  <c r="AA4488" i="17"/>
  <c r="AA4487" i="17"/>
  <c r="AA4486" i="17"/>
  <c r="AA4485" i="17"/>
  <c r="AA4484" i="17"/>
  <c r="AA4483" i="17"/>
  <c r="AA4482" i="17"/>
  <c r="AA4481" i="17"/>
  <c r="AA4480" i="17"/>
  <c r="AA4479" i="17"/>
  <c r="AA4478" i="17"/>
  <c r="AA4477" i="17"/>
  <c r="AA4476" i="17"/>
  <c r="AA4475" i="17"/>
  <c r="AA4474" i="17"/>
  <c r="AA4473" i="17"/>
  <c r="AA4472" i="17"/>
  <c r="Q4471" i="17"/>
  <c r="V4470" i="17"/>
  <c r="AA4469" i="17"/>
  <c r="AA4468" i="17"/>
  <c r="AA4467" i="17"/>
  <c r="AA4466" i="17"/>
  <c r="AA4465" i="17"/>
  <c r="AA4464" i="17"/>
  <c r="AA4463" i="17"/>
  <c r="AA4462" i="17"/>
  <c r="AA4461" i="17"/>
  <c r="AA4460" i="17"/>
  <c r="AA4459" i="17"/>
  <c r="AA4458" i="17"/>
  <c r="AA4457" i="17"/>
  <c r="AA4456" i="17"/>
  <c r="AA4455" i="17"/>
  <c r="AA4454" i="17"/>
  <c r="AA4453" i="17"/>
  <c r="AA4452" i="17"/>
  <c r="AA4451" i="17"/>
  <c r="AA4450" i="17"/>
  <c r="AA4449" i="17"/>
  <c r="AA4448" i="17"/>
  <c r="V4447" i="17"/>
  <c r="AA4446" i="17"/>
  <c r="AA4445" i="17"/>
  <c r="AA4444" i="17"/>
  <c r="AA4443" i="17"/>
  <c r="AA4442" i="17"/>
  <c r="AA4441" i="17"/>
  <c r="AA4440" i="17"/>
  <c r="AA4439" i="17"/>
  <c r="AA4438" i="17"/>
  <c r="AA4437" i="17"/>
  <c r="AA4436" i="17"/>
  <c r="AA4435" i="17"/>
  <c r="AA4434" i="17"/>
  <c r="AA4433" i="17"/>
  <c r="AA4432" i="17"/>
  <c r="AA4431" i="17"/>
  <c r="AA4430" i="17"/>
  <c r="AA4429" i="17"/>
  <c r="AA4428" i="17"/>
  <c r="AA4427" i="17"/>
  <c r="AA4426" i="17"/>
  <c r="AA4425" i="17"/>
  <c r="AA4424" i="17"/>
  <c r="AA4423" i="17"/>
  <c r="AA4422" i="17"/>
  <c r="AA4421" i="17"/>
  <c r="AA4420" i="17"/>
  <c r="AA4419" i="17"/>
  <c r="V4418" i="17"/>
  <c r="AA4417" i="17"/>
  <c r="AA4416" i="17"/>
  <c r="V4415" i="17"/>
  <c r="AA4414" i="17"/>
  <c r="AA4413" i="17"/>
  <c r="AA4412" i="17"/>
  <c r="AA4411" i="17"/>
  <c r="AA4410" i="17"/>
  <c r="AA4409" i="17"/>
  <c r="AA4408" i="17"/>
  <c r="AA4407" i="17"/>
  <c r="AA4406" i="17"/>
  <c r="V4405" i="17"/>
  <c r="AA4404" i="17"/>
  <c r="AA4403" i="17"/>
  <c r="AA4402" i="17"/>
  <c r="AA4401" i="17"/>
  <c r="AA4400" i="17"/>
  <c r="AA4399" i="17"/>
  <c r="AA4398" i="17"/>
  <c r="AA4397" i="17"/>
  <c r="AA4396" i="17"/>
  <c r="AA4395" i="17"/>
  <c r="V4394" i="17"/>
  <c r="AA4393" i="17"/>
  <c r="AA4392" i="17"/>
  <c r="AA4391" i="17"/>
  <c r="AA4390" i="17"/>
  <c r="AA4389" i="17"/>
  <c r="AA4388" i="17"/>
  <c r="AA4387" i="17"/>
  <c r="AA4386" i="17"/>
  <c r="AA4385" i="17"/>
  <c r="AA4384" i="17"/>
  <c r="AA4383" i="17"/>
  <c r="AA4382" i="17"/>
  <c r="AA4381" i="17"/>
  <c r="AA4380" i="17"/>
  <c r="AA4379" i="17"/>
  <c r="AA4378" i="17"/>
  <c r="AA4377" i="17"/>
  <c r="AA4376" i="17"/>
  <c r="AA4375" i="17"/>
  <c r="AA4374" i="17"/>
  <c r="AA4373" i="17"/>
  <c r="AA4372" i="17"/>
  <c r="AA4371" i="17"/>
  <c r="V4370" i="17"/>
  <c r="AA4369" i="17"/>
  <c r="V4368" i="17"/>
  <c r="AA4367" i="17"/>
  <c r="AA4366" i="17"/>
  <c r="V4365" i="17"/>
  <c r="AA4364" i="17"/>
  <c r="AA4363" i="17"/>
  <c r="AA4362" i="17"/>
  <c r="AA4361" i="17"/>
  <c r="AA4360" i="17"/>
  <c r="V4359" i="17"/>
  <c r="AA4358" i="17"/>
  <c r="AA4357" i="17"/>
  <c r="AA4356" i="17"/>
  <c r="AA4355" i="17"/>
  <c r="AA4354" i="17"/>
  <c r="AA4353" i="17"/>
  <c r="AA4352" i="17"/>
  <c r="V4351" i="17"/>
  <c r="AA4350" i="17"/>
  <c r="AA4349" i="17"/>
  <c r="V4348" i="17"/>
  <c r="AA4347" i="17"/>
  <c r="AA4346" i="17"/>
  <c r="AA4345" i="17"/>
  <c r="AA4344" i="17"/>
  <c r="AA4343" i="17"/>
  <c r="AA4342" i="17"/>
  <c r="AA4341" i="17"/>
  <c r="AA4340" i="17"/>
  <c r="AA4339" i="17"/>
  <c r="AA4338" i="17"/>
  <c r="V4337" i="17"/>
  <c r="AA4336" i="17"/>
  <c r="AA4335" i="17"/>
  <c r="AA4334" i="17"/>
  <c r="AA4333" i="17"/>
  <c r="AA4332" i="17"/>
  <c r="AA4331" i="17"/>
  <c r="AA4330" i="17"/>
  <c r="AA4329" i="17"/>
  <c r="AA4328" i="17"/>
  <c r="AA4327" i="17"/>
  <c r="AA4326" i="17"/>
  <c r="AA4325" i="17"/>
  <c r="AA4324" i="17"/>
  <c r="AA4323" i="17"/>
  <c r="AA4322" i="17"/>
  <c r="AA4321" i="17"/>
  <c r="AA4320" i="17"/>
  <c r="AA4319" i="17"/>
  <c r="AA4318" i="17"/>
  <c r="AA4317" i="17"/>
  <c r="AA4316" i="17"/>
  <c r="AA4315" i="17"/>
  <c r="AA4314" i="17"/>
  <c r="V4313" i="17"/>
  <c r="AA4312" i="17"/>
  <c r="AA4311" i="17"/>
  <c r="AA4310" i="17"/>
  <c r="AA4309" i="17"/>
  <c r="V4308" i="17"/>
  <c r="AA4307" i="17"/>
  <c r="AA4306" i="17"/>
  <c r="AA4305" i="17"/>
  <c r="AA4304" i="17"/>
  <c r="AA4303" i="17"/>
  <c r="AA4302" i="17"/>
  <c r="AA4301" i="17"/>
  <c r="AA4300" i="17"/>
  <c r="AA4299" i="17"/>
  <c r="AA4298" i="17"/>
  <c r="V4297" i="17"/>
  <c r="V4296" i="17"/>
  <c r="AA4295" i="17"/>
  <c r="AA4294" i="17"/>
  <c r="AA4293" i="17"/>
  <c r="AA4292" i="17"/>
  <c r="AA4291" i="17"/>
  <c r="AA4290" i="17"/>
  <c r="AA4289" i="17"/>
  <c r="AA4288" i="17"/>
  <c r="AA4287" i="17"/>
  <c r="AA4286" i="17"/>
  <c r="AA4285" i="17"/>
  <c r="AA4284" i="17"/>
  <c r="AA4283" i="17"/>
  <c r="AA4282" i="17"/>
  <c r="AA4281" i="17"/>
  <c r="V4280" i="17"/>
  <c r="AA4279" i="17"/>
  <c r="AA4278" i="17"/>
  <c r="AA4277" i="17"/>
  <c r="AA4276" i="17"/>
  <c r="AA4275" i="17"/>
  <c r="AA4274" i="17"/>
  <c r="AA4273" i="17"/>
  <c r="AA4272" i="17"/>
  <c r="AA4271" i="17"/>
  <c r="AA4270" i="17"/>
  <c r="V4269" i="17"/>
  <c r="AA4268" i="17"/>
  <c r="AA4267" i="17"/>
  <c r="AA4266" i="17"/>
  <c r="AA4265" i="17"/>
  <c r="AA4264" i="17"/>
  <c r="AA4263" i="17"/>
  <c r="AA4262" i="17"/>
  <c r="AA4261" i="17"/>
  <c r="AA4260" i="17"/>
  <c r="AA4259" i="17"/>
  <c r="AA4258" i="17"/>
  <c r="AA4257" i="17"/>
  <c r="AA4256" i="17"/>
  <c r="AA4255" i="17"/>
  <c r="AA4254" i="17"/>
  <c r="AA4253" i="17"/>
  <c r="AA4252" i="17"/>
  <c r="V4251" i="17"/>
  <c r="AA4250" i="17"/>
  <c r="AA4249" i="17"/>
  <c r="AA4248" i="17"/>
  <c r="AA4247" i="17"/>
  <c r="AA4246" i="17"/>
  <c r="AA4245" i="17"/>
  <c r="AA4244" i="17"/>
  <c r="AA4243" i="17"/>
  <c r="AA4242" i="17"/>
  <c r="AA4241" i="17"/>
  <c r="AA4240" i="17"/>
  <c r="AA4239" i="17"/>
  <c r="AA4238" i="17"/>
  <c r="AA4237" i="17"/>
  <c r="V4236" i="17"/>
  <c r="AA4235" i="17"/>
  <c r="AA4234" i="17"/>
  <c r="AA4233" i="17"/>
  <c r="AA4232" i="17"/>
  <c r="V4231" i="17"/>
  <c r="AA4230" i="17"/>
  <c r="V4229" i="17"/>
  <c r="AA4228" i="17"/>
  <c r="AA4227" i="17"/>
  <c r="AA4226" i="17"/>
  <c r="AA4225" i="17"/>
  <c r="V4224" i="17"/>
  <c r="AA4223" i="17"/>
  <c r="AA4222" i="17"/>
  <c r="AA4221" i="17"/>
  <c r="AA4220" i="17"/>
  <c r="AA4219" i="17"/>
  <c r="AA4218" i="17"/>
  <c r="AA4217" i="17"/>
  <c r="AA4216" i="17"/>
  <c r="AA4215" i="17"/>
  <c r="AA4214" i="17"/>
  <c r="AA4213" i="17"/>
  <c r="AA4212" i="17"/>
  <c r="AA4211" i="17"/>
  <c r="AA4210" i="17"/>
  <c r="AA4209" i="17"/>
  <c r="AA4208" i="17"/>
  <c r="AA4207" i="17"/>
  <c r="AA4206" i="17"/>
  <c r="AA4205" i="17"/>
  <c r="AA4204" i="17"/>
  <c r="AA4203" i="17"/>
  <c r="AA4202" i="17"/>
  <c r="AA4201" i="17"/>
  <c r="AA4200" i="17"/>
  <c r="AA4199" i="17"/>
  <c r="AA4198" i="17"/>
  <c r="AA4197" i="17"/>
  <c r="AA4196" i="17"/>
  <c r="AA4195" i="17"/>
  <c r="AA4194" i="17"/>
  <c r="AA4193" i="17"/>
  <c r="AA4192" i="17"/>
  <c r="AA4191" i="17"/>
  <c r="AA4190" i="17"/>
  <c r="AA4189" i="17"/>
  <c r="AA4188" i="17"/>
  <c r="AA4187" i="17"/>
  <c r="AA4186" i="17"/>
  <c r="AA4185" i="17"/>
  <c r="AA4184" i="17"/>
  <c r="AA4183" i="17"/>
  <c r="AA4182" i="17"/>
  <c r="AA4181" i="17"/>
  <c r="AA4180" i="17"/>
  <c r="AA4179" i="17"/>
  <c r="V4178" i="17"/>
  <c r="AA4177" i="17"/>
  <c r="AA4176" i="17"/>
  <c r="AA4175" i="17"/>
  <c r="AA4174" i="17"/>
  <c r="AA4173" i="17"/>
  <c r="AA4172" i="17"/>
  <c r="V4171" i="17"/>
  <c r="AA4170" i="17"/>
  <c r="V4169" i="17"/>
  <c r="AA4168" i="17"/>
  <c r="AA4167" i="17"/>
  <c r="AA4166" i="17"/>
  <c r="AA4165" i="17"/>
  <c r="AA4164" i="17"/>
  <c r="V4163" i="17"/>
  <c r="AA4162" i="17"/>
  <c r="AA4161" i="17"/>
  <c r="AA4160" i="17"/>
  <c r="AA4159" i="17"/>
  <c r="V4158" i="17"/>
  <c r="AA4157" i="17"/>
  <c r="AA4156" i="17"/>
  <c r="V4155" i="17"/>
  <c r="AA4154" i="17"/>
  <c r="AA4153" i="17"/>
  <c r="AA4152" i="17"/>
  <c r="AA4151" i="17"/>
  <c r="AA4150" i="17"/>
  <c r="AA4149" i="17"/>
  <c r="AA4148" i="17"/>
  <c r="AA4147" i="17"/>
  <c r="AA4146" i="17"/>
  <c r="AA4145" i="17"/>
  <c r="AA4144" i="17"/>
  <c r="AA4143" i="17"/>
  <c r="AA4142" i="17"/>
  <c r="AA4141" i="17"/>
  <c r="AA4140" i="17"/>
  <c r="AA4139" i="17"/>
  <c r="AA4138" i="17"/>
  <c r="AA4137" i="17"/>
  <c r="AA4136" i="17"/>
  <c r="AA4135" i="17"/>
  <c r="AA4134" i="17"/>
  <c r="AA4133" i="17"/>
  <c r="AA4132" i="17"/>
  <c r="AA4131" i="17"/>
  <c r="AA4130" i="17"/>
  <c r="AA4129" i="17"/>
  <c r="AA4128" i="17"/>
  <c r="AA4127" i="17"/>
  <c r="AA4126" i="17"/>
  <c r="AA4125" i="17"/>
  <c r="AA4124" i="17"/>
  <c r="AA4122" i="17"/>
  <c r="V4121" i="17"/>
  <c r="AA4120" i="17"/>
  <c r="AA4119" i="17"/>
  <c r="AA4118" i="17"/>
  <c r="AA4117" i="17"/>
  <c r="AA4116" i="17"/>
  <c r="AA4115" i="17"/>
  <c r="AA4114" i="17"/>
  <c r="AA4113" i="17"/>
  <c r="V4112" i="17"/>
  <c r="AA4111" i="17"/>
  <c r="AA4110" i="17"/>
  <c r="V4109" i="17"/>
  <c r="AA4108" i="17"/>
  <c r="AA4107" i="17"/>
  <c r="AA4105" i="17"/>
  <c r="AA4103" i="17"/>
  <c r="AA4102" i="17"/>
  <c r="AA4101" i="17"/>
  <c r="AA4100" i="17"/>
  <c r="AA4099" i="17"/>
  <c r="AA4098" i="17"/>
  <c r="AA4097" i="17"/>
  <c r="AA4096" i="17"/>
  <c r="AA4095" i="17"/>
  <c r="AA4094" i="17"/>
  <c r="AA4093" i="17"/>
  <c r="AA4092" i="17"/>
  <c r="V4091" i="17"/>
  <c r="Q4090" i="17"/>
  <c r="Q4089" i="17"/>
  <c r="Q4088" i="17"/>
  <c r="AA4087" i="17"/>
  <c r="AA4086" i="17"/>
  <c r="AA4085" i="17"/>
  <c r="AA4084" i="17"/>
  <c r="AA4083" i="17"/>
  <c r="AA4082" i="17"/>
  <c r="V4081" i="17"/>
  <c r="V4080" i="17"/>
  <c r="V4079" i="17"/>
  <c r="V4078" i="17"/>
  <c r="V4077" i="17"/>
  <c r="V4076" i="17"/>
  <c r="V4075" i="17"/>
  <c r="V4074" i="17"/>
  <c r="V4073" i="17"/>
  <c r="V4072" i="17"/>
  <c r="V4071" i="17"/>
  <c r="V4070" i="17"/>
  <c r="V4069" i="17"/>
  <c r="V4068" i="17"/>
  <c r="V4067" i="17"/>
  <c r="V4066" i="17"/>
  <c r="V4065" i="17"/>
  <c r="AA4064" i="17"/>
  <c r="V4063" i="17"/>
  <c r="V4062" i="17"/>
  <c r="AA4061" i="17"/>
  <c r="AA4060" i="17"/>
  <c r="AA4059" i="17"/>
  <c r="AA4058" i="17"/>
  <c r="AA4057" i="17"/>
  <c r="AA4056" i="17"/>
  <c r="AA4055" i="17"/>
  <c r="AA4054" i="17"/>
  <c r="Q4053" i="17"/>
  <c r="Q4052" i="17"/>
  <c r="Q4051" i="17"/>
  <c r="Q4050" i="17"/>
  <c r="Q4049" i="17"/>
  <c r="Q4048" i="17"/>
  <c r="Q4047" i="17"/>
  <c r="Q4046" i="17"/>
  <c r="Q4045" i="17"/>
  <c r="Q4044" i="17"/>
  <c r="Q4043" i="17"/>
  <c r="Q4042" i="17"/>
  <c r="AA4041" i="17"/>
  <c r="V4040" i="17"/>
  <c r="AA4039" i="17"/>
  <c r="AA4038" i="17"/>
  <c r="AA4037" i="17"/>
  <c r="V4036" i="17"/>
  <c r="AA4034" i="17"/>
  <c r="AA4033" i="17"/>
  <c r="AA4032" i="17"/>
  <c r="AA4031" i="17"/>
  <c r="AA4030" i="17"/>
  <c r="AA4029" i="17"/>
  <c r="AA4028" i="17"/>
  <c r="AA4027" i="17"/>
  <c r="AA4026" i="17"/>
  <c r="AA4025" i="17"/>
  <c r="AA4024" i="17"/>
  <c r="AA4023" i="17"/>
  <c r="AA4022" i="17"/>
  <c r="AA4021" i="17"/>
  <c r="AA4020" i="17"/>
  <c r="AA4019" i="17"/>
  <c r="AA4018" i="17"/>
  <c r="AA4017" i="17"/>
  <c r="AA4016" i="17"/>
  <c r="AA4015" i="17"/>
  <c r="AA4014" i="17"/>
  <c r="AA4013" i="17"/>
  <c r="AA4012" i="17"/>
  <c r="AA4011" i="17"/>
  <c r="AA4010" i="17"/>
  <c r="AA4009" i="17"/>
  <c r="AA4008" i="17"/>
  <c r="AA4007" i="17"/>
  <c r="V4006" i="17"/>
  <c r="Q4005" i="17"/>
  <c r="Q4004" i="17"/>
  <c r="Q4003" i="17"/>
  <c r="AA4002" i="17"/>
  <c r="AA4001" i="17"/>
  <c r="AA4000" i="17"/>
  <c r="AA3999" i="17"/>
  <c r="AA3998" i="17"/>
  <c r="AA3997" i="17"/>
  <c r="AA3996" i="17"/>
  <c r="AA3995" i="17"/>
  <c r="AA3994" i="17"/>
  <c r="AA3993" i="17"/>
  <c r="AA3992" i="17"/>
  <c r="AA3991" i="17"/>
  <c r="AA3990" i="17"/>
  <c r="AA3989" i="17"/>
  <c r="AA3988" i="17"/>
  <c r="AA3987" i="17"/>
  <c r="AA3986" i="17"/>
  <c r="V3985" i="17"/>
  <c r="AA3984" i="17"/>
  <c r="V3983" i="17"/>
  <c r="V3982" i="17"/>
  <c r="Q3981" i="17"/>
  <c r="Q3980" i="17"/>
  <c r="AA3979" i="17"/>
  <c r="AA3978" i="17"/>
  <c r="AA3977" i="17"/>
  <c r="AA3976" i="17"/>
  <c r="AA3975" i="17"/>
  <c r="AA3974" i="17"/>
  <c r="AA3973" i="17"/>
  <c r="AA3972" i="17"/>
  <c r="AA3971" i="17"/>
  <c r="AA3970" i="17"/>
  <c r="AA3969" i="17"/>
  <c r="AA3968" i="17"/>
  <c r="AA3967" i="17"/>
  <c r="AA3966" i="17"/>
  <c r="AA3965" i="17"/>
  <c r="AA3964" i="17"/>
  <c r="V3963" i="17"/>
  <c r="V3962" i="17"/>
  <c r="V3961" i="17"/>
  <c r="AA3960" i="17"/>
  <c r="AA3959" i="17"/>
  <c r="AA3958" i="17"/>
  <c r="AA3957" i="17"/>
  <c r="AA3956" i="17"/>
  <c r="AA3955" i="17"/>
  <c r="AA3954" i="17"/>
  <c r="AA3953" i="17"/>
  <c r="AA3952" i="17"/>
  <c r="AA3951" i="17"/>
  <c r="AA3950" i="17"/>
  <c r="AA3949" i="17"/>
  <c r="AA3948" i="17"/>
  <c r="AA3947" i="17"/>
  <c r="V3946" i="17"/>
  <c r="V3945" i="17"/>
  <c r="V3944" i="17"/>
  <c r="AA3943" i="17"/>
  <c r="AA3942" i="17"/>
  <c r="AA3941" i="17"/>
  <c r="AA3940" i="17"/>
  <c r="AA3939" i="17"/>
  <c r="AA3938" i="17"/>
  <c r="AA3937" i="17"/>
  <c r="AA3936" i="17"/>
  <c r="AA3935" i="17"/>
  <c r="AA3934" i="17"/>
  <c r="AA3933" i="17"/>
  <c r="AA3932" i="17"/>
  <c r="AA3931" i="17"/>
  <c r="V3930" i="17"/>
  <c r="AA3929" i="17"/>
  <c r="V3928" i="17"/>
  <c r="AA3927" i="17"/>
  <c r="AA3926" i="17"/>
  <c r="AA3925" i="17"/>
  <c r="AA3924" i="17"/>
  <c r="AA3923" i="17"/>
  <c r="AA3922" i="17"/>
  <c r="AA3921" i="17"/>
  <c r="AA3920" i="17"/>
  <c r="AA3919" i="17"/>
  <c r="V3918" i="17"/>
  <c r="AA3917" i="17"/>
  <c r="V3916" i="17"/>
  <c r="AA3915" i="17"/>
  <c r="AA3914" i="17"/>
  <c r="AA3913" i="17"/>
  <c r="AA3912" i="17"/>
  <c r="AA3911" i="17"/>
  <c r="AA3910" i="17"/>
  <c r="AA3909" i="17"/>
  <c r="AA3908" i="17"/>
  <c r="AA3907" i="17"/>
  <c r="AA3906" i="17"/>
  <c r="AA3905" i="17"/>
  <c r="AA3904" i="17"/>
  <c r="AA3903" i="17"/>
  <c r="AA3902" i="17"/>
  <c r="AA3901" i="17"/>
  <c r="AA3900" i="17"/>
  <c r="AA3899" i="17"/>
  <c r="AA3898" i="17"/>
  <c r="AA3897" i="17"/>
  <c r="AA3896" i="17"/>
  <c r="AA3895" i="17"/>
  <c r="AA3894" i="17"/>
  <c r="AA3893" i="17"/>
  <c r="AA3892" i="17"/>
  <c r="AA3891" i="17"/>
  <c r="AA3890" i="17"/>
  <c r="AA3889" i="17"/>
  <c r="AA3888" i="17"/>
  <c r="AA3887" i="17"/>
  <c r="AA3886" i="17"/>
  <c r="AA3885" i="17"/>
  <c r="AA3884" i="17"/>
  <c r="AA3883" i="17"/>
  <c r="AA3882" i="17"/>
  <c r="AA3881" i="17"/>
  <c r="AA3880" i="17"/>
  <c r="V3879" i="17"/>
  <c r="AA3878" i="17"/>
  <c r="AA3877" i="17"/>
  <c r="AA3876" i="17"/>
  <c r="AA3875" i="17"/>
  <c r="AA3874" i="17"/>
  <c r="AA3873" i="17"/>
  <c r="AA3872" i="17"/>
  <c r="AA3871" i="17"/>
  <c r="AA3870" i="17"/>
  <c r="AA3869" i="17"/>
  <c r="AA3868" i="17"/>
  <c r="V3867" i="17"/>
  <c r="AA3866" i="17"/>
  <c r="AA3865" i="17"/>
  <c r="AA3864" i="17"/>
  <c r="AA3863" i="17"/>
  <c r="AA3862" i="17"/>
  <c r="AA3861" i="17"/>
  <c r="AA3860" i="17"/>
  <c r="AA3859" i="17"/>
  <c r="AA3858" i="17"/>
  <c r="V3857" i="17"/>
  <c r="AA3856" i="17"/>
  <c r="AA3855" i="17"/>
  <c r="AA3854" i="17"/>
  <c r="AA3853" i="17"/>
  <c r="AA3852" i="17"/>
  <c r="V3851" i="17"/>
  <c r="AA3850" i="17"/>
  <c r="AA3849" i="17"/>
  <c r="AA3848" i="17"/>
  <c r="AA3847" i="17"/>
  <c r="AA3846" i="17"/>
  <c r="AA3845" i="17"/>
  <c r="AA3844" i="17"/>
  <c r="AA3843" i="17"/>
  <c r="AA3842" i="17"/>
  <c r="AA3841" i="17"/>
  <c r="AA3840" i="17"/>
  <c r="AA3839" i="17"/>
  <c r="AA3838" i="17"/>
  <c r="AA3837" i="17"/>
  <c r="AA3836" i="17"/>
  <c r="AA3835" i="17"/>
  <c r="V3834" i="17"/>
  <c r="AA3833" i="17"/>
  <c r="AA3832" i="17"/>
  <c r="AA3831" i="17"/>
  <c r="AA3830" i="17"/>
  <c r="AA3829" i="17"/>
  <c r="V3828" i="17"/>
  <c r="V3827" i="17"/>
  <c r="AA3826" i="17"/>
  <c r="V3825" i="17"/>
  <c r="V3824" i="17"/>
  <c r="V3823" i="17"/>
  <c r="V3822" i="17"/>
  <c r="AA3821" i="17"/>
  <c r="AA3820" i="17"/>
  <c r="AA3819" i="17"/>
  <c r="AA3818" i="17"/>
  <c r="AA3817" i="17"/>
  <c r="AA3816" i="17"/>
  <c r="AA3815" i="17"/>
  <c r="AA3814" i="17"/>
  <c r="AA3813" i="17"/>
  <c r="AA3812" i="17"/>
  <c r="AA3811" i="17"/>
  <c r="AA3810" i="17"/>
  <c r="AA3809" i="17"/>
  <c r="AA3808" i="17"/>
  <c r="AA3807" i="17"/>
  <c r="V3806" i="17"/>
  <c r="AA3805" i="17"/>
  <c r="AA3804" i="17"/>
  <c r="AA3803" i="17"/>
  <c r="AA3802" i="17"/>
  <c r="AA3801" i="17"/>
  <c r="AA3800" i="17"/>
  <c r="AA3799" i="17"/>
  <c r="V3798" i="17"/>
  <c r="AA3797" i="17"/>
  <c r="AA3796" i="17"/>
  <c r="AA3795" i="17"/>
  <c r="AA3794" i="17"/>
  <c r="AA3793" i="17"/>
  <c r="V3792" i="17"/>
  <c r="AA3791" i="17"/>
  <c r="Q3790" i="17"/>
  <c r="V3789" i="17"/>
  <c r="AA3788" i="17"/>
  <c r="AA3787" i="17"/>
  <c r="AA3786" i="17"/>
  <c r="V3785" i="17"/>
  <c r="AA3784" i="17"/>
  <c r="AA3783" i="17"/>
  <c r="AA3782" i="17"/>
  <c r="AA3781" i="17"/>
  <c r="AA3780" i="17"/>
  <c r="AA3779" i="17"/>
  <c r="AA3778" i="17"/>
  <c r="AA3777" i="17"/>
  <c r="AA3776" i="17"/>
  <c r="AA3775" i="17"/>
  <c r="AA3774" i="17"/>
  <c r="AA3773" i="17"/>
  <c r="AA3772" i="17"/>
  <c r="AA3771" i="17"/>
  <c r="AA3770" i="17"/>
  <c r="AA3769" i="17"/>
  <c r="AA3768" i="17"/>
  <c r="AA3767" i="17"/>
  <c r="AA3766" i="17"/>
  <c r="V3765" i="17"/>
  <c r="V3764" i="17"/>
  <c r="AA3763" i="17"/>
  <c r="AA3762" i="17"/>
  <c r="AA3761" i="17"/>
  <c r="AA3760" i="17"/>
  <c r="AA3759" i="17"/>
  <c r="AA3758" i="17"/>
  <c r="AA3757" i="17"/>
  <c r="AA3756" i="17"/>
  <c r="AA3755" i="17"/>
  <c r="AA3754" i="17"/>
  <c r="AA3753" i="17"/>
  <c r="AA3752" i="17"/>
  <c r="AA3751" i="17"/>
  <c r="V3750" i="17"/>
  <c r="AA3749" i="17"/>
  <c r="AA3748" i="17"/>
  <c r="AA3747" i="17"/>
  <c r="AA3746" i="17"/>
  <c r="AA3745" i="17"/>
  <c r="AA3744" i="17"/>
  <c r="AA3743" i="17"/>
  <c r="V3742" i="17"/>
  <c r="AA3741" i="17"/>
  <c r="AA3740" i="17"/>
  <c r="AA3739" i="17"/>
  <c r="AA3738" i="17"/>
  <c r="AA3737" i="17"/>
  <c r="AA3736" i="17"/>
  <c r="AA3735" i="17"/>
  <c r="AA3734" i="17"/>
  <c r="AA3733" i="17"/>
  <c r="V3732" i="17"/>
  <c r="AA3731" i="17"/>
  <c r="AA3730" i="17"/>
  <c r="AA3729" i="17"/>
  <c r="AA3728" i="17"/>
  <c r="AA3727" i="17"/>
  <c r="AA3726" i="17"/>
  <c r="AA3725" i="17"/>
  <c r="AA3724" i="17"/>
  <c r="AA3723" i="17"/>
  <c r="AA3722" i="17"/>
  <c r="AA3721" i="17"/>
  <c r="AA3720" i="17"/>
  <c r="AA3719" i="17"/>
  <c r="AA3718" i="17"/>
  <c r="AA3717" i="17"/>
  <c r="AA3716" i="17"/>
  <c r="AA3715" i="17"/>
  <c r="AA3714" i="17"/>
  <c r="AA3713" i="17"/>
  <c r="AA3712" i="17"/>
  <c r="V3711" i="17"/>
  <c r="AA3710" i="17"/>
  <c r="AA3709" i="17"/>
  <c r="V3708" i="17"/>
  <c r="V3707" i="17"/>
  <c r="AA3706" i="17"/>
  <c r="AA3705" i="17"/>
  <c r="AA3704" i="17"/>
  <c r="V3703" i="17"/>
  <c r="AA3701" i="17"/>
  <c r="AA3700" i="17"/>
  <c r="AA3699" i="17"/>
  <c r="AA3698" i="17"/>
  <c r="V3697" i="17"/>
  <c r="V3696" i="17"/>
  <c r="V3695" i="17"/>
  <c r="V3694" i="17"/>
  <c r="AA3693" i="17"/>
  <c r="AA3692" i="17"/>
  <c r="AA3691" i="17"/>
  <c r="AA3690" i="17"/>
  <c r="AA3689" i="17"/>
  <c r="AA3688" i="17"/>
  <c r="AA3687" i="17"/>
  <c r="AA3686" i="17"/>
  <c r="AA3685" i="17"/>
  <c r="Q3684" i="17"/>
  <c r="AA3683" i="17"/>
  <c r="AA3682" i="17"/>
  <c r="AA3681" i="17"/>
  <c r="AA3680" i="17"/>
  <c r="AA3678" i="17"/>
  <c r="AA3677" i="17"/>
  <c r="AA3676" i="17"/>
  <c r="AA3675" i="17"/>
  <c r="AA3674" i="17"/>
  <c r="AA3673" i="17"/>
  <c r="AA3672" i="17"/>
  <c r="AA3671" i="17"/>
  <c r="AA3670" i="17"/>
  <c r="AA3669" i="17"/>
  <c r="AA3668" i="17"/>
  <c r="AA3667" i="17"/>
  <c r="AA3666" i="17"/>
  <c r="V3665" i="17"/>
  <c r="AA3664" i="17"/>
  <c r="AA3663" i="17"/>
  <c r="AA3662" i="17"/>
  <c r="AA3661" i="17"/>
  <c r="V3659" i="17"/>
  <c r="V3658" i="17"/>
  <c r="AA3657" i="17"/>
  <c r="AA3656" i="17"/>
  <c r="AA3655" i="17"/>
  <c r="AA3654" i="17"/>
  <c r="AA3653" i="17"/>
  <c r="AA3652" i="17"/>
  <c r="AA3651" i="17"/>
  <c r="AA3650" i="17"/>
  <c r="AA3649" i="17"/>
  <c r="AA3648" i="17"/>
  <c r="AA3647" i="17"/>
  <c r="AA3646" i="17"/>
  <c r="AA3645" i="17"/>
  <c r="AA3644" i="17"/>
  <c r="AA3643" i="17"/>
  <c r="AA3642" i="17"/>
  <c r="AA3641" i="17"/>
  <c r="AA3640" i="17"/>
  <c r="AA3639" i="17"/>
  <c r="AA3638" i="17"/>
  <c r="AA3637" i="17"/>
  <c r="AA3636" i="17"/>
  <c r="AA3635" i="17"/>
  <c r="AA3634" i="17"/>
  <c r="AA3633" i="17"/>
  <c r="AA3632" i="17"/>
  <c r="AA3631" i="17"/>
  <c r="AA3630" i="17"/>
  <c r="AA3629" i="17"/>
  <c r="AA3628" i="17"/>
  <c r="AA3627" i="17"/>
  <c r="Q3626" i="17"/>
  <c r="AA3625" i="17"/>
  <c r="AA3624" i="17"/>
  <c r="AA3623" i="17"/>
  <c r="AA3622" i="17"/>
  <c r="V3621" i="17"/>
  <c r="AA3620" i="17"/>
  <c r="AA3619" i="17"/>
  <c r="AA3618" i="17"/>
  <c r="AA3617" i="17"/>
  <c r="AA3616" i="17"/>
  <c r="AA3615" i="17"/>
  <c r="AA3614" i="17"/>
  <c r="AA3613" i="17"/>
  <c r="AA3612" i="17"/>
  <c r="AA3611" i="17"/>
  <c r="AA3610" i="17"/>
  <c r="AA3609" i="17"/>
  <c r="V3608" i="17"/>
  <c r="AA3607" i="17"/>
  <c r="AA3606" i="17"/>
  <c r="AA3605" i="17"/>
  <c r="AA3604" i="17"/>
  <c r="AA3603" i="17"/>
  <c r="AA3602" i="17"/>
  <c r="AA3601" i="17"/>
  <c r="AA3600" i="17"/>
  <c r="AA3599" i="17"/>
  <c r="AA3598" i="17"/>
  <c r="AA3597" i="17"/>
  <c r="AA3596" i="17"/>
  <c r="AA3595" i="17"/>
  <c r="AA3594" i="17"/>
  <c r="AA3593" i="17"/>
  <c r="AA3592" i="17"/>
  <c r="AA3591" i="17"/>
  <c r="AA3590" i="17"/>
  <c r="AA3589" i="17"/>
  <c r="AA3588" i="17"/>
  <c r="AA3587" i="17"/>
  <c r="AA3586" i="17"/>
  <c r="AA3585" i="17"/>
  <c r="V3584" i="17"/>
  <c r="V3583" i="17"/>
  <c r="V3582" i="17"/>
  <c r="V3581" i="17"/>
  <c r="V3580" i="17"/>
  <c r="V3579" i="17"/>
  <c r="V3578" i="17"/>
  <c r="AA3577" i="17"/>
  <c r="AA3576" i="17"/>
  <c r="AA3575" i="17"/>
  <c r="AA3574" i="17"/>
  <c r="AA3573" i="17"/>
  <c r="AA3572" i="17"/>
  <c r="AA3571" i="17"/>
  <c r="AA3570" i="17"/>
  <c r="AA3569" i="17"/>
  <c r="AA3568" i="17"/>
  <c r="AA3567" i="17"/>
  <c r="AA3566" i="17"/>
  <c r="V3565" i="17"/>
  <c r="AA3564" i="17"/>
  <c r="AA3563" i="17"/>
  <c r="AA3562" i="17"/>
  <c r="AA3561" i="17"/>
  <c r="AA3560" i="17"/>
  <c r="AA3559" i="17"/>
  <c r="V3558" i="17"/>
  <c r="AA3557" i="17"/>
  <c r="AA3556" i="17"/>
  <c r="AA3555" i="17"/>
  <c r="AA3554" i="17"/>
  <c r="AA3553" i="17"/>
  <c r="AA3552" i="17"/>
  <c r="AA3551" i="17"/>
  <c r="AA3550" i="17"/>
  <c r="AA3549" i="17"/>
  <c r="V3548" i="17"/>
  <c r="AA3547" i="17"/>
  <c r="AA3546" i="17"/>
  <c r="AA3545" i="17"/>
  <c r="AA3544" i="17"/>
  <c r="AA3543" i="17"/>
  <c r="AA3542" i="17"/>
  <c r="AA3541" i="17"/>
  <c r="AA3540" i="17"/>
  <c r="AA3539" i="17"/>
  <c r="AA3538" i="17"/>
  <c r="AA3537" i="17"/>
  <c r="AA3536" i="17"/>
  <c r="AA3535" i="17"/>
  <c r="AA3534" i="17"/>
  <c r="AA3533" i="17"/>
  <c r="AA3532" i="17"/>
  <c r="AA3531" i="17"/>
  <c r="AA3530" i="17"/>
  <c r="AA3529" i="17"/>
  <c r="AA3528" i="17"/>
  <c r="AA3527" i="17"/>
  <c r="AA3526" i="17"/>
  <c r="AA3525" i="17"/>
  <c r="AA3524" i="17"/>
  <c r="AA3523" i="17"/>
  <c r="AA3522" i="17"/>
  <c r="AA3521" i="17"/>
  <c r="AA3520" i="17"/>
  <c r="AA3519" i="17"/>
  <c r="AA3518" i="17"/>
  <c r="AA3517" i="17"/>
  <c r="AA3516" i="17"/>
  <c r="AA3515" i="17"/>
  <c r="AA3514" i="17"/>
  <c r="AA3513" i="17"/>
  <c r="V3512" i="17"/>
  <c r="V3511" i="17"/>
  <c r="V3510" i="17"/>
  <c r="V3509" i="17"/>
  <c r="V3508" i="17"/>
  <c r="AA3507" i="17"/>
  <c r="AA3506" i="17"/>
  <c r="AA3505" i="17"/>
  <c r="AA3504" i="17"/>
  <c r="AA3503" i="17"/>
  <c r="AA3502" i="17"/>
  <c r="AA3501" i="17"/>
  <c r="AA3500" i="17"/>
  <c r="AA3499" i="17"/>
  <c r="AA3498" i="17"/>
  <c r="AA3497" i="17"/>
  <c r="AA3496" i="17"/>
  <c r="AA3495" i="17"/>
  <c r="AA3494" i="17"/>
  <c r="AA3493" i="17"/>
  <c r="V3492" i="17"/>
  <c r="AA3491" i="17"/>
  <c r="AA3490" i="17"/>
  <c r="AA3489" i="17"/>
  <c r="AA3488" i="17"/>
  <c r="AA3487" i="17"/>
  <c r="AA3486" i="17"/>
  <c r="AA3485" i="17"/>
  <c r="AA3484" i="17"/>
  <c r="AA3483" i="17"/>
  <c r="AA3482" i="17"/>
  <c r="AA3481" i="17"/>
  <c r="AA3480" i="17"/>
  <c r="AA3479" i="17"/>
  <c r="AA3478" i="17"/>
  <c r="AA3477" i="17"/>
  <c r="AA3476" i="17"/>
  <c r="AA3475" i="17"/>
  <c r="AA3474" i="17"/>
  <c r="AA3473" i="17"/>
  <c r="AA3472" i="17"/>
  <c r="AA3471" i="17"/>
  <c r="AA3470" i="17"/>
  <c r="AA3469" i="17"/>
  <c r="AA3468" i="17"/>
  <c r="AA3467" i="17"/>
  <c r="AA3466" i="17"/>
  <c r="Q3465" i="17"/>
  <c r="Q3464" i="17"/>
  <c r="Q3463" i="17"/>
  <c r="Q3462" i="17"/>
  <c r="AA3461" i="17"/>
  <c r="AA3460" i="17"/>
  <c r="AA3459" i="17"/>
  <c r="AA3457" i="17"/>
  <c r="AA3456" i="17"/>
  <c r="AA3455" i="17"/>
  <c r="AA3454" i="17"/>
  <c r="AA3453" i="17"/>
  <c r="AA3452" i="17"/>
  <c r="V3451" i="17"/>
  <c r="Q3450" i="17"/>
  <c r="AA3449" i="17"/>
  <c r="AA3448" i="17"/>
  <c r="V3447" i="17"/>
  <c r="AA3446" i="17"/>
  <c r="AA3445" i="17"/>
  <c r="AA3444" i="17"/>
  <c r="AA3443" i="17"/>
  <c r="AA3442" i="17"/>
  <c r="V3441" i="17"/>
  <c r="V3440" i="17"/>
  <c r="V3439" i="17"/>
  <c r="AA3438" i="17"/>
  <c r="AA3437" i="17"/>
  <c r="AA3436" i="17"/>
  <c r="AA3435" i="17"/>
  <c r="AA3434" i="17"/>
  <c r="AA3433" i="17"/>
  <c r="AA3432" i="17"/>
  <c r="AA3431" i="17"/>
  <c r="AA3430" i="17"/>
  <c r="AA3429" i="17"/>
  <c r="AA3428" i="17"/>
  <c r="AA3427" i="17"/>
  <c r="AA3426" i="17"/>
  <c r="AA3425" i="17"/>
  <c r="AA3424" i="17"/>
  <c r="AA3423" i="17"/>
  <c r="AA3422" i="17"/>
  <c r="AA3421" i="17"/>
  <c r="AA3420" i="17"/>
  <c r="AA3419" i="17"/>
  <c r="AA3418" i="17"/>
  <c r="AA3417" i="17"/>
  <c r="AA3416" i="17"/>
  <c r="AA3415" i="17"/>
  <c r="AA3414" i="17"/>
  <c r="AA3413" i="17"/>
  <c r="AA3412" i="17"/>
  <c r="AA3411" i="17"/>
  <c r="AA3410" i="17"/>
  <c r="AA3409" i="17"/>
  <c r="AA3408" i="17"/>
  <c r="AA3407" i="17"/>
  <c r="AA3406" i="17"/>
  <c r="AA3405" i="17"/>
  <c r="AA3404" i="17"/>
  <c r="V3403" i="17"/>
  <c r="AA3402" i="17"/>
  <c r="AA3401" i="17"/>
  <c r="AA3400" i="17"/>
  <c r="AA3399" i="17"/>
  <c r="V3398" i="17"/>
  <c r="AA3397" i="17"/>
  <c r="V3396" i="17"/>
  <c r="V3395" i="17"/>
  <c r="V3394" i="17"/>
  <c r="AA3393" i="17"/>
  <c r="AA3392" i="17"/>
  <c r="AA3391" i="17"/>
  <c r="AA3390" i="17"/>
  <c r="AA3389" i="17"/>
  <c r="AA3388" i="17"/>
  <c r="AA3387" i="17"/>
  <c r="AA3386" i="17"/>
  <c r="AA3384" i="17"/>
  <c r="V3383" i="17"/>
  <c r="AA3382" i="17"/>
  <c r="AA3381" i="17"/>
  <c r="AA3380" i="17"/>
  <c r="V3379" i="17"/>
  <c r="Q3378" i="17"/>
  <c r="AA3377" i="17"/>
  <c r="V3376" i="17"/>
  <c r="V3375" i="17"/>
  <c r="AA3374" i="17"/>
  <c r="V3373" i="17"/>
  <c r="V3371" i="17"/>
  <c r="AA3370" i="17"/>
  <c r="AA3369" i="17"/>
  <c r="AA3368" i="17"/>
  <c r="AA3367" i="17"/>
  <c r="AA3366" i="17"/>
  <c r="AA3365" i="17"/>
  <c r="AA3364" i="17"/>
  <c r="AA3363" i="17"/>
  <c r="AA3362" i="17"/>
  <c r="AA3361" i="17"/>
  <c r="AA3360" i="17"/>
  <c r="V3358" i="17"/>
  <c r="AA3357" i="17"/>
  <c r="AA3356" i="17"/>
  <c r="AA3355" i="17"/>
  <c r="AA3354" i="17"/>
  <c r="AA3353" i="17"/>
  <c r="AA3352" i="17"/>
  <c r="AA3351" i="17"/>
  <c r="AA3350" i="17"/>
  <c r="AA3349" i="17"/>
  <c r="AA3348" i="17"/>
  <c r="AA3347" i="17"/>
  <c r="V3346" i="17"/>
  <c r="V3345" i="17"/>
  <c r="AA3344" i="17"/>
  <c r="AA3343" i="17"/>
  <c r="V3342" i="17"/>
  <c r="AA3341" i="17"/>
  <c r="AA3340" i="17"/>
  <c r="AA3339" i="17"/>
  <c r="AA3338" i="17"/>
  <c r="AA3337" i="17"/>
  <c r="AA3336" i="17"/>
  <c r="AA3335" i="17"/>
  <c r="AA3334" i="17"/>
  <c r="AA3333" i="17"/>
  <c r="AA3332" i="17"/>
  <c r="V3331" i="17"/>
  <c r="AA3330" i="17"/>
  <c r="AA3329" i="17"/>
  <c r="AA3328" i="17"/>
  <c r="V3327" i="17"/>
  <c r="V3326" i="17"/>
  <c r="AA3325" i="17"/>
  <c r="AA3324" i="17"/>
  <c r="AA3323" i="17"/>
  <c r="AA3322" i="17"/>
  <c r="AA3321" i="17"/>
  <c r="AA3320" i="17"/>
  <c r="AA3319" i="17"/>
  <c r="AA3318" i="17"/>
  <c r="AA3317" i="17"/>
  <c r="AA3316" i="17"/>
  <c r="AA3315" i="17"/>
  <c r="AA3314" i="17"/>
  <c r="AA3313" i="17"/>
  <c r="AA3312" i="17"/>
  <c r="AA3311" i="17"/>
  <c r="AA3310" i="17"/>
  <c r="AA3309" i="17"/>
  <c r="AA3308" i="17"/>
  <c r="AA3307" i="17"/>
  <c r="AA3306" i="17"/>
  <c r="AA3305" i="17"/>
  <c r="AA3304" i="17"/>
  <c r="AA3303" i="17"/>
  <c r="AA3302" i="17"/>
  <c r="AA3301" i="17"/>
  <c r="AA3300" i="17"/>
  <c r="AA3299" i="17"/>
  <c r="AA3298" i="17"/>
  <c r="AA3297" i="17"/>
  <c r="AA3296" i="17"/>
  <c r="AA3295" i="17"/>
  <c r="AA3294" i="17"/>
  <c r="AA3293" i="17"/>
  <c r="AA3292" i="17"/>
  <c r="AA3291" i="17"/>
  <c r="AA3290" i="17"/>
  <c r="AA3289" i="17"/>
  <c r="AA3288" i="17"/>
  <c r="AA3287" i="17"/>
  <c r="AA3286" i="17"/>
  <c r="AA3285" i="17"/>
  <c r="AA3284" i="17"/>
  <c r="AA3283" i="17"/>
  <c r="AA3282" i="17"/>
  <c r="AA3281" i="17"/>
  <c r="AA3280" i="17"/>
  <c r="AA3279" i="17"/>
  <c r="V3278" i="17"/>
  <c r="AA3277" i="17"/>
  <c r="AA3276" i="17"/>
  <c r="AA3275" i="17"/>
  <c r="AA3274" i="17"/>
  <c r="AA3273" i="17"/>
  <c r="AA3272" i="17"/>
  <c r="Q3271" i="17"/>
  <c r="V3270" i="17"/>
  <c r="AA3269" i="17"/>
  <c r="AA3267" i="17"/>
  <c r="AA3266" i="17"/>
  <c r="AA3265" i="17"/>
  <c r="AA3264" i="17"/>
  <c r="AA3263" i="17"/>
  <c r="AA3262" i="17"/>
  <c r="V3261" i="17"/>
  <c r="V3260" i="17"/>
  <c r="AA3259" i="17"/>
  <c r="AA3258" i="17"/>
  <c r="AA3257" i="17"/>
  <c r="AA3256" i="17"/>
  <c r="AA3255" i="17"/>
  <c r="AA3254" i="17"/>
  <c r="AA3253" i="17"/>
  <c r="AA3252" i="17"/>
  <c r="AA3251" i="17"/>
  <c r="AA3250" i="17"/>
  <c r="V3249" i="17"/>
  <c r="AA3248" i="17"/>
  <c r="AA3247" i="17"/>
  <c r="AA3246" i="17"/>
  <c r="AA3245" i="17"/>
  <c r="AA3244" i="17"/>
  <c r="AA3243" i="17"/>
  <c r="AA3242" i="17"/>
  <c r="AA3241" i="17"/>
  <c r="AA3240" i="17"/>
  <c r="AA3239" i="17"/>
  <c r="AA3238" i="17"/>
  <c r="AA3237" i="17"/>
  <c r="AA3236" i="17"/>
  <c r="AA3235" i="17"/>
  <c r="AA3234" i="17"/>
  <c r="AA3233" i="17"/>
  <c r="AA3232" i="17"/>
  <c r="AA3231" i="17"/>
  <c r="AA3230" i="17"/>
  <c r="V3229" i="17"/>
  <c r="AA3228" i="17"/>
  <c r="V3227" i="17"/>
  <c r="V3226" i="17"/>
  <c r="V3225" i="17"/>
  <c r="V3224" i="17"/>
  <c r="AA3223" i="17"/>
  <c r="AA3222" i="17"/>
  <c r="V3221" i="17"/>
  <c r="AA3220" i="17"/>
  <c r="V3219" i="17"/>
  <c r="AA3218" i="17"/>
  <c r="V3217" i="17"/>
  <c r="V3216" i="17"/>
  <c r="AA3215" i="17"/>
  <c r="AA3214" i="17"/>
  <c r="AA3213" i="17"/>
  <c r="AA3212" i="17"/>
  <c r="AA3211" i="17"/>
  <c r="AA3210" i="17"/>
  <c r="AA3209" i="17"/>
  <c r="AA3208" i="17"/>
  <c r="AA3207" i="17"/>
  <c r="AA3206" i="17"/>
  <c r="AA3205" i="17"/>
  <c r="AA3204" i="17"/>
  <c r="AA3203" i="17"/>
  <c r="AA3202" i="17"/>
  <c r="AA3201" i="17"/>
  <c r="AA3200" i="17"/>
  <c r="Q3199" i="17"/>
  <c r="AA3198" i="17"/>
  <c r="V3197" i="17"/>
  <c r="AA3196" i="17"/>
  <c r="AA3195" i="17"/>
  <c r="AA3194" i="17"/>
  <c r="AA3193" i="17"/>
  <c r="AA3192" i="17"/>
  <c r="AA3190" i="17"/>
  <c r="AA3189" i="17"/>
  <c r="AA3188" i="17"/>
  <c r="V3187" i="17"/>
  <c r="AA3186" i="17"/>
  <c r="AA3185" i="17"/>
  <c r="AA3184" i="17"/>
  <c r="AA3183" i="17"/>
  <c r="AA3182" i="17"/>
  <c r="AA3181" i="17"/>
  <c r="AA3180" i="17"/>
  <c r="AA3179" i="17"/>
  <c r="Q3178" i="17"/>
  <c r="Q3177" i="17"/>
  <c r="AA3176" i="17"/>
  <c r="AA3175" i="17"/>
  <c r="AA3174" i="17"/>
  <c r="AA3173" i="17"/>
  <c r="AA3172" i="17"/>
  <c r="AA3171" i="17"/>
  <c r="AA3170" i="17"/>
  <c r="AA3169" i="17"/>
  <c r="AA3168" i="17"/>
  <c r="AA3167" i="17"/>
  <c r="AA3166" i="17"/>
  <c r="AA3165" i="17"/>
  <c r="AA3164" i="17"/>
  <c r="AA3163" i="17"/>
  <c r="AA3162" i="17"/>
  <c r="AA3161" i="17"/>
  <c r="V3160" i="17"/>
  <c r="AA3159" i="17"/>
  <c r="AA3158" i="17"/>
  <c r="AA3157" i="17"/>
  <c r="AA3156" i="17"/>
  <c r="AA3155" i="17"/>
  <c r="AA3154" i="17"/>
  <c r="AA3153" i="17"/>
  <c r="AA3152" i="17"/>
  <c r="AA3151" i="17"/>
  <c r="AA3150" i="17"/>
  <c r="AA3149" i="17"/>
  <c r="AA3148" i="17"/>
  <c r="AA3147" i="17"/>
  <c r="AA3146" i="17"/>
  <c r="AA3145" i="17"/>
  <c r="AA3144" i="17"/>
  <c r="AA3143" i="17"/>
  <c r="AA3142" i="17"/>
  <c r="AA3141" i="17"/>
  <c r="AA3140" i="17"/>
  <c r="V3139" i="17"/>
  <c r="AA3138" i="17"/>
  <c r="AA3137" i="17"/>
  <c r="AA3135" i="17"/>
  <c r="AA3134" i="17"/>
  <c r="AA3133" i="17"/>
  <c r="AA3132" i="17"/>
  <c r="AA3131" i="17"/>
  <c r="AA3130" i="17"/>
  <c r="V3129" i="17"/>
  <c r="Q3128" i="17"/>
  <c r="AA3127" i="17"/>
  <c r="AA3126" i="17"/>
  <c r="AA3125" i="17"/>
  <c r="AA3124" i="17"/>
  <c r="V3123" i="17"/>
  <c r="AA3122" i="17"/>
  <c r="AA3121" i="17"/>
  <c r="V3120" i="17"/>
  <c r="AA3119" i="17"/>
  <c r="AA3118" i="17"/>
  <c r="AA3117" i="17"/>
  <c r="AA3116" i="17"/>
  <c r="AA3115" i="17"/>
  <c r="AA3114" i="17"/>
  <c r="AA3113" i="17"/>
  <c r="V3112" i="17"/>
  <c r="AA3111" i="17"/>
  <c r="AA3110" i="17"/>
  <c r="AA3109" i="17"/>
  <c r="AA3108" i="17"/>
  <c r="AA3107" i="17"/>
  <c r="AA3106" i="17"/>
  <c r="AA3105" i="17"/>
  <c r="AA3104" i="17"/>
  <c r="AA3103" i="17"/>
  <c r="V3102" i="17"/>
  <c r="V3101" i="17"/>
  <c r="V3100" i="17"/>
  <c r="V3099" i="17"/>
  <c r="AA3098" i="17"/>
  <c r="AA3097" i="17"/>
  <c r="AA3096" i="17"/>
  <c r="AA3095" i="17"/>
  <c r="V3094" i="17"/>
  <c r="AA3093" i="17"/>
  <c r="AA3092" i="17"/>
  <c r="AA3091" i="17"/>
  <c r="AA3090" i="17"/>
  <c r="AA3089" i="17"/>
  <c r="AA3088" i="17"/>
  <c r="AA3087" i="17"/>
  <c r="AA3086" i="17"/>
  <c r="AA3085" i="17"/>
  <c r="AA3084" i="17"/>
  <c r="V3083" i="17"/>
  <c r="AA3082" i="17"/>
  <c r="AA3081" i="17"/>
  <c r="AA3080" i="17"/>
  <c r="AA3079" i="17"/>
  <c r="AA3078" i="17"/>
  <c r="AA3077" i="17"/>
  <c r="AA3076" i="17"/>
  <c r="AA3075" i="17"/>
  <c r="AA3074" i="17"/>
  <c r="AA3073" i="17"/>
  <c r="AA3072" i="17"/>
  <c r="AA3071" i="17"/>
  <c r="AA3070" i="17"/>
  <c r="AA3069" i="17"/>
  <c r="AA3068" i="17"/>
  <c r="AA3067" i="17"/>
  <c r="V3066" i="17"/>
  <c r="AA3065" i="17"/>
  <c r="AA3064" i="17"/>
  <c r="AA3063" i="17"/>
  <c r="AA3062" i="17"/>
  <c r="AA3061" i="17"/>
  <c r="AA3060" i="17"/>
  <c r="AA3059" i="17"/>
  <c r="AA3058" i="17"/>
  <c r="AA3057" i="17"/>
  <c r="AA3056" i="17"/>
  <c r="AA3055" i="17"/>
  <c r="AA3054" i="17"/>
  <c r="AA3053" i="17"/>
  <c r="AA3052" i="17"/>
  <c r="AA3051" i="17"/>
  <c r="AA3050" i="17"/>
  <c r="AA3049" i="17"/>
  <c r="AA3048" i="17"/>
  <c r="V3047" i="17"/>
  <c r="AA3046" i="17"/>
  <c r="AA3045" i="17"/>
  <c r="AA3044" i="17"/>
  <c r="AA3043" i="17"/>
  <c r="AA3042" i="17"/>
  <c r="AA3041" i="17"/>
  <c r="AA3040" i="17"/>
  <c r="AA3039" i="17"/>
  <c r="AA3038" i="17"/>
  <c r="V3037" i="17"/>
  <c r="AA3036" i="17"/>
  <c r="AA3035" i="17"/>
  <c r="AA3034" i="17"/>
  <c r="AA3033" i="17"/>
  <c r="AA3032" i="17"/>
  <c r="AA3031" i="17"/>
  <c r="V3030" i="17"/>
  <c r="AA3029" i="17"/>
  <c r="AA3028" i="17"/>
  <c r="AA3027" i="17"/>
  <c r="AA3026" i="17"/>
  <c r="AA3025" i="17"/>
  <c r="AA3024" i="17"/>
  <c r="AA3023" i="17"/>
  <c r="V3022" i="17"/>
  <c r="AA3021" i="17"/>
  <c r="AA3020" i="17"/>
  <c r="V3019" i="17"/>
  <c r="AA3018" i="17"/>
  <c r="AA3017" i="17"/>
  <c r="V3016" i="17"/>
  <c r="V3015" i="17"/>
  <c r="V3014" i="17"/>
  <c r="AA3013" i="17"/>
  <c r="AA3012" i="17"/>
  <c r="V3011" i="17"/>
  <c r="V3010" i="17"/>
  <c r="AA3009" i="17"/>
  <c r="AA3008" i="17"/>
  <c r="AA3007" i="17"/>
  <c r="AA3006" i="17"/>
  <c r="AA3005" i="17"/>
  <c r="AA3004" i="17"/>
  <c r="AA3003" i="17"/>
  <c r="AA3002" i="17"/>
  <c r="AA3001" i="17"/>
  <c r="AA3000" i="17"/>
  <c r="AA2999" i="17"/>
  <c r="AA2998" i="17"/>
  <c r="AA2997" i="17"/>
  <c r="AA2996" i="17"/>
  <c r="AA2995" i="17"/>
  <c r="AA2994" i="17"/>
  <c r="AA2993" i="17"/>
  <c r="AA2992" i="17"/>
  <c r="V2991" i="17"/>
  <c r="V2990" i="17"/>
  <c r="V2989" i="17"/>
  <c r="V2988" i="17"/>
  <c r="AA2987" i="17"/>
  <c r="AA2986" i="17"/>
  <c r="AA2985" i="17"/>
  <c r="AA2984" i="17"/>
  <c r="AA2983" i="17"/>
  <c r="V2982" i="17"/>
  <c r="AA2981" i="17"/>
  <c r="AA2980" i="17"/>
  <c r="AA2979" i="17"/>
  <c r="AA2978" i="17"/>
  <c r="AA2977" i="17"/>
  <c r="AA2976" i="17"/>
  <c r="AA2975" i="17"/>
  <c r="AA2974" i="17"/>
  <c r="AA2973" i="17"/>
  <c r="AA2972" i="17"/>
  <c r="AA2971" i="17"/>
  <c r="AA2970" i="17"/>
  <c r="V2969" i="17"/>
  <c r="V2968" i="17"/>
  <c r="V2967" i="17"/>
  <c r="AA2966" i="17"/>
  <c r="AA2965" i="17"/>
  <c r="AA2964" i="17"/>
  <c r="AA2963" i="17"/>
  <c r="AA2962" i="17"/>
  <c r="AA2961" i="17"/>
  <c r="AA2960" i="17"/>
  <c r="AA2959" i="17"/>
  <c r="AA2958" i="17"/>
  <c r="V2957" i="17"/>
  <c r="V2956" i="17"/>
  <c r="AA2955" i="17"/>
  <c r="AA2954" i="17"/>
  <c r="AA2953" i="17"/>
  <c r="AA2952" i="17"/>
  <c r="AA2951" i="17"/>
  <c r="AA2950" i="17"/>
  <c r="AA2949" i="17"/>
  <c r="AA2948" i="17"/>
  <c r="V2947" i="17"/>
  <c r="AA2946" i="17"/>
  <c r="AA2945" i="17"/>
  <c r="AA2944" i="17"/>
  <c r="AA2943" i="17"/>
  <c r="AA2942" i="17"/>
  <c r="AA2941" i="17"/>
  <c r="AA2940" i="17"/>
  <c r="AA2939" i="17"/>
  <c r="AA2938" i="17"/>
  <c r="V2937" i="17"/>
  <c r="V2936" i="17"/>
  <c r="V2935" i="17"/>
  <c r="AA2934" i="17"/>
  <c r="AA2933" i="17"/>
  <c r="AA2932" i="17"/>
  <c r="AA2931" i="17"/>
  <c r="V2930" i="17"/>
  <c r="AA2929" i="17"/>
  <c r="AA2928" i="17"/>
  <c r="AA2927" i="17"/>
  <c r="AA2926" i="17"/>
  <c r="AA2925" i="17"/>
  <c r="AA2924" i="17"/>
  <c r="AA2923" i="17"/>
  <c r="AA2922" i="17"/>
  <c r="AA2921" i="17"/>
  <c r="AA2920" i="17"/>
  <c r="AA2919" i="17"/>
  <c r="AA2918" i="17"/>
  <c r="V2917" i="17"/>
  <c r="V2916" i="17"/>
  <c r="AA2915" i="17"/>
  <c r="V2914" i="17"/>
  <c r="AA2913" i="17"/>
  <c r="AA2912" i="17"/>
  <c r="AA2911" i="17"/>
  <c r="AA2910" i="17"/>
  <c r="AA2909" i="17"/>
  <c r="AA2908" i="17"/>
  <c r="AA2907" i="17"/>
  <c r="AA2906" i="17"/>
  <c r="AA2905" i="17"/>
  <c r="AA2904" i="17"/>
  <c r="V2903" i="17"/>
  <c r="AA2902" i="17"/>
  <c r="AA2901" i="17"/>
  <c r="AA2900" i="17"/>
  <c r="AA2899" i="17"/>
  <c r="AA2898" i="17"/>
  <c r="AA2897" i="17"/>
  <c r="V2896" i="17"/>
  <c r="AA2895" i="17"/>
  <c r="AA2894" i="17"/>
  <c r="V2893" i="17"/>
  <c r="AA2892" i="17"/>
  <c r="AA2891" i="17"/>
  <c r="V2890" i="17"/>
  <c r="AA2889" i="17"/>
  <c r="V2888" i="17"/>
  <c r="AA2887" i="17"/>
  <c r="AA2886" i="17"/>
  <c r="AA2885" i="17"/>
  <c r="AA2884" i="17"/>
  <c r="AA2883" i="17"/>
  <c r="AA2882" i="17"/>
  <c r="V2881" i="17"/>
  <c r="AA2880" i="17"/>
  <c r="AA2879" i="17"/>
  <c r="AA2878" i="17"/>
  <c r="AA2877" i="17"/>
  <c r="AA2876" i="17"/>
  <c r="AA2875" i="17"/>
  <c r="V2874" i="17"/>
  <c r="V2873" i="17"/>
  <c r="V2872" i="17"/>
  <c r="AA2871" i="17"/>
  <c r="V2870" i="17"/>
  <c r="AA2869" i="17"/>
  <c r="AA2868" i="17"/>
  <c r="AA2867" i="17"/>
  <c r="AA2866" i="17"/>
  <c r="AA2865" i="17"/>
  <c r="AA2864" i="17"/>
  <c r="AA2863" i="17"/>
  <c r="AA2862" i="17"/>
  <c r="Q2861" i="17"/>
  <c r="AA2860" i="17"/>
  <c r="AA2859" i="17"/>
  <c r="AA2858" i="17"/>
  <c r="AA2857" i="17"/>
  <c r="AA2856" i="17"/>
  <c r="AA2855" i="17"/>
  <c r="AA2854" i="17"/>
  <c r="AA2853" i="17"/>
  <c r="AA2852" i="17"/>
  <c r="AA2851" i="17"/>
  <c r="AA2850" i="17"/>
  <c r="AA2849" i="17"/>
  <c r="AA2848" i="17"/>
  <c r="AA2847" i="17"/>
  <c r="AA2846" i="17"/>
  <c r="AA2845" i="17"/>
  <c r="AA2844" i="17"/>
  <c r="AA2843" i="17"/>
  <c r="AA2842" i="17"/>
  <c r="AA2841" i="17"/>
  <c r="AA2840" i="17"/>
  <c r="AA2839" i="17"/>
  <c r="AA2838" i="17"/>
  <c r="AA2837" i="17"/>
  <c r="AA2836" i="17"/>
  <c r="V2835" i="17"/>
  <c r="V2834" i="17"/>
  <c r="V2833" i="17"/>
  <c r="AA2832" i="17"/>
  <c r="V2831" i="17"/>
  <c r="V2830" i="17"/>
  <c r="AA2829" i="17"/>
  <c r="AA2828" i="17"/>
  <c r="AA2827" i="17"/>
  <c r="AA2826" i="17"/>
  <c r="AA2825" i="17"/>
  <c r="AA2824" i="17"/>
  <c r="AA2823" i="17"/>
  <c r="AA2822" i="17"/>
  <c r="AA2821" i="17"/>
  <c r="AA2820" i="17"/>
  <c r="AA2819" i="17"/>
  <c r="AA2818" i="17"/>
  <c r="AA2817" i="17"/>
  <c r="AA2816" i="17"/>
  <c r="V2815" i="17"/>
  <c r="V2814" i="17"/>
  <c r="V2813" i="17"/>
  <c r="AA2812" i="17"/>
  <c r="AA2811" i="17"/>
  <c r="AA2810" i="17"/>
  <c r="AA2809" i="17"/>
  <c r="AA2808" i="17"/>
  <c r="AA2807" i="17"/>
  <c r="AA2806" i="17"/>
  <c r="V2805" i="17"/>
  <c r="V2804" i="17"/>
  <c r="V2803" i="17"/>
  <c r="AA2802" i="17"/>
  <c r="AA2801" i="17"/>
  <c r="AA2800" i="17"/>
  <c r="AA2799" i="17"/>
  <c r="AA2798" i="17"/>
  <c r="AA2797" i="17"/>
  <c r="AA2796" i="17"/>
  <c r="AA2795" i="17"/>
  <c r="AA2794" i="17"/>
  <c r="AA2793" i="17"/>
  <c r="AA2792" i="17"/>
  <c r="AA2791" i="17"/>
  <c r="AA2790" i="17"/>
  <c r="AA2789" i="17"/>
  <c r="AA2788" i="17"/>
  <c r="AA2787" i="17"/>
  <c r="AA2786" i="17"/>
  <c r="V2785" i="17"/>
  <c r="V2784" i="17"/>
  <c r="V2783" i="17"/>
  <c r="V2782" i="17"/>
  <c r="V2781" i="17"/>
  <c r="AA2780" i="17"/>
  <c r="AA2779" i="17"/>
  <c r="AA2778" i="17"/>
  <c r="AA2777" i="17"/>
  <c r="AA2776" i="17"/>
  <c r="AA2775" i="17"/>
  <c r="AA2774" i="17"/>
  <c r="AA2773" i="17"/>
  <c r="AA2772" i="17"/>
  <c r="AA2771" i="17"/>
  <c r="AA2770" i="17"/>
  <c r="V2769" i="17"/>
  <c r="AA2768" i="17"/>
  <c r="AA2767" i="17"/>
  <c r="V2766" i="17"/>
  <c r="AA2765" i="17"/>
  <c r="AA2764" i="17"/>
  <c r="AA2763" i="17"/>
  <c r="AA2762" i="17"/>
  <c r="AA2761" i="17"/>
  <c r="AA2760" i="17"/>
  <c r="AA2759" i="17"/>
  <c r="AA2758" i="17"/>
  <c r="AA2757" i="17"/>
  <c r="AA2756" i="17"/>
  <c r="AA2755" i="17"/>
  <c r="AA2754" i="17"/>
  <c r="AA2753" i="17"/>
  <c r="AA2752" i="17"/>
  <c r="AA2751" i="17"/>
  <c r="AA2750" i="17"/>
  <c r="AA2749" i="17"/>
  <c r="AA2748" i="17"/>
  <c r="AA2747" i="17"/>
  <c r="AA2746" i="17"/>
  <c r="AA2745" i="17"/>
  <c r="AA2744" i="17"/>
  <c r="AA2743" i="17"/>
  <c r="AA2742" i="17"/>
  <c r="AA2741" i="17"/>
  <c r="AA2740" i="17"/>
  <c r="AA2739" i="17"/>
  <c r="AA2738" i="17"/>
  <c r="AA2737" i="17"/>
  <c r="AA2736" i="17"/>
  <c r="AA2735" i="17"/>
  <c r="AA2734" i="17"/>
  <c r="AA2733" i="17"/>
  <c r="AA2732" i="17"/>
  <c r="AA2731" i="17"/>
  <c r="AA2730" i="17"/>
  <c r="AA2729" i="17"/>
  <c r="AA2728" i="17"/>
  <c r="AA2727" i="17"/>
  <c r="AA2726" i="17"/>
  <c r="V2725" i="17"/>
  <c r="AA2724" i="17"/>
  <c r="AA2723" i="17"/>
  <c r="AA2722" i="17"/>
  <c r="AA2721" i="17"/>
  <c r="AA2720" i="17"/>
  <c r="AA2719" i="17"/>
  <c r="AA2718" i="17"/>
  <c r="V2717" i="17"/>
  <c r="AA2716" i="17"/>
  <c r="AA2715" i="17"/>
  <c r="V2714" i="17"/>
  <c r="AA2713" i="17"/>
  <c r="AA2712" i="17"/>
  <c r="AA2711" i="17"/>
  <c r="AA2710" i="17"/>
  <c r="AA2709" i="17"/>
  <c r="AA2708" i="17"/>
  <c r="AA2707" i="17"/>
  <c r="AA2706" i="17"/>
  <c r="AA2705" i="17"/>
  <c r="AA2704" i="17"/>
  <c r="V2703" i="17"/>
  <c r="AA2702" i="17"/>
  <c r="AA2701" i="17"/>
  <c r="AA2700" i="17"/>
  <c r="AA2699" i="17"/>
  <c r="AA2698" i="17"/>
  <c r="AA2697" i="17"/>
  <c r="AA2696" i="17"/>
  <c r="AA2695" i="17"/>
  <c r="AA2694" i="17"/>
  <c r="AA2693" i="17"/>
  <c r="AA2692" i="17"/>
  <c r="AA2691" i="17"/>
  <c r="AA2690" i="17"/>
  <c r="AA2689" i="17"/>
  <c r="AA2688" i="17"/>
  <c r="AA2687" i="17"/>
  <c r="AA2686" i="17"/>
  <c r="AA2685" i="17"/>
  <c r="AA2684" i="17"/>
  <c r="AA2683" i="17"/>
  <c r="AA2682" i="17"/>
  <c r="AA2681" i="17"/>
  <c r="AA2680" i="17"/>
  <c r="AA2679" i="17"/>
  <c r="AA2678" i="17"/>
  <c r="AA2677" i="17"/>
  <c r="AA2676" i="17"/>
  <c r="AA2675" i="17"/>
  <c r="AA2674" i="17"/>
  <c r="AA2673" i="17"/>
  <c r="V2672" i="17"/>
  <c r="V2671" i="17"/>
  <c r="AA2670" i="17"/>
  <c r="AA2669" i="17"/>
  <c r="AA2668" i="17"/>
  <c r="AA2667" i="17"/>
  <c r="V2665" i="17"/>
  <c r="V2664" i="17"/>
  <c r="AA2663" i="17"/>
  <c r="V2662" i="17"/>
  <c r="V2661" i="17"/>
  <c r="AA2660" i="17"/>
  <c r="AA2659" i="17"/>
  <c r="AA2658" i="17"/>
  <c r="AA2657" i="17"/>
  <c r="AA2656" i="17"/>
  <c r="V2655" i="17"/>
  <c r="V2654" i="17"/>
  <c r="V2653" i="17"/>
  <c r="V2652" i="17"/>
  <c r="AA2651" i="17"/>
  <c r="AA2650" i="17"/>
  <c r="AA2649" i="17"/>
  <c r="AA2648" i="17"/>
  <c r="AA2647" i="17"/>
  <c r="AA2646" i="17"/>
  <c r="AA2645" i="17"/>
  <c r="AA2644" i="17"/>
  <c r="AA2643" i="17"/>
  <c r="AA2642" i="17"/>
  <c r="AA2641" i="17"/>
  <c r="AA2640" i="17"/>
  <c r="AA2639" i="17"/>
  <c r="AA2638" i="17"/>
  <c r="AA2637" i="17"/>
  <c r="AA2636" i="17"/>
  <c r="AA2635" i="17"/>
  <c r="AA2634" i="17"/>
  <c r="AA2633" i="17"/>
  <c r="AA2632" i="17"/>
  <c r="AA2631" i="17"/>
  <c r="AA2630" i="17"/>
  <c r="AA2629" i="17"/>
  <c r="Q2628" i="17"/>
  <c r="Q2627" i="17"/>
  <c r="AA2626" i="17"/>
  <c r="AA2625" i="17"/>
  <c r="AA2624" i="17"/>
  <c r="AA2623" i="17"/>
  <c r="AA2622" i="17"/>
  <c r="AA2621" i="17"/>
  <c r="AA2620" i="17"/>
  <c r="V2619" i="17"/>
  <c r="AA2618" i="17"/>
  <c r="AA2617" i="17"/>
  <c r="V2616" i="17"/>
  <c r="AA2615" i="17"/>
  <c r="AA2614" i="17"/>
  <c r="AA2613" i="17"/>
  <c r="AA2612" i="17"/>
  <c r="AA2611" i="17"/>
  <c r="AA2610" i="17"/>
  <c r="AA2609" i="17"/>
  <c r="AA2608" i="17"/>
  <c r="V2607" i="17"/>
  <c r="AA2606" i="17"/>
  <c r="AA2605" i="17"/>
  <c r="AA2604" i="17"/>
  <c r="AA2603" i="17"/>
  <c r="AA2602" i="17"/>
  <c r="AA2601" i="17"/>
  <c r="AA2600" i="17"/>
  <c r="AA2599" i="17"/>
  <c r="AA2598" i="17"/>
  <c r="AA2597" i="17"/>
  <c r="V2596" i="17"/>
  <c r="AA2595" i="17"/>
  <c r="AA2594" i="17"/>
  <c r="AA2593" i="17"/>
  <c r="AA2592" i="17"/>
  <c r="AA2591" i="17"/>
  <c r="AA2590" i="17"/>
  <c r="AA2589" i="17"/>
  <c r="AA2588" i="17"/>
  <c r="AA2587" i="17"/>
  <c r="Q2586" i="17"/>
  <c r="AA2585" i="17"/>
  <c r="AA2584" i="17"/>
  <c r="AA2583" i="17"/>
  <c r="AA2582" i="17"/>
  <c r="AA2581" i="17"/>
  <c r="AA2580" i="17"/>
  <c r="AA2579" i="17"/>
  <c r="AA2578" i="17"/>
  <c r="AA2577" i="17"/>
  <c r="AA2576" i="17"/>
  <c r="AA2575" i="17"/>
  <c r="AA2574" i="17"/>
  <c r="AA2573" i="17"/>
  <c r="AA2572" i="17"/>
  <c r="AA2571" i="17"/>
  <c r="AA2570" i="17"/>
  <c r="AA2569" i="17"/>
  <c r="AA2568" i="17"/>
  <c r="AA2567" i="17"/>
  <c r="AA2566" i="17"/>
  <c r="AA2565" i="17"/>
  <c r="AA2564" i="17"/>
  <c r="AA2563" i="17"/>
  <c r="AA2562" i="17"/>
  <c r="AA2561" i="17"/>
  <c r="AA2560" i="17"/>
  <c r="AA2559" i="17"/>
  <c r="AA2558" i="17"/>
  <c r="AA2557" i="17"/>
  <c r="AA2556" i="17"/>
  <c r="AA2555" i="17"/>
  <c r="AA2554" i="17"/>
  <c r="AA2553" i="17"/>
  <c r="AA2552" i="17"/>
  <c r="AA2551" i="17"/>
  <c r="V2550" i="17"/>
  <c r="AA2549" i="17"/>
  <c r="V2548" i="17"/>
  <c r="V2547" i="17"/>
  <c r="AA2546" i="17"/>
  <c r="AA2545" i="17"/>
  <c r="AA2544" i="17"/>
  <c r="AA2543" i="17"/>
  <c r="AA2542" i="17"/>
  <c r="AA2541" i="17"/>
  <c r="AA2540" i="17"/>
  <c r="AA2539" i="17"/>
  <c r="AA2538" i="17"/>
  <c r="AA2537" i="17"/>
  <c r="AA2536" i="17"/>
  <c r="AA2535" i="17"/>
  <c r="AA2534" i="17"/>
  <c r="AA2533" i="17"/>
  <c r="AA2532" i="17"/>
  <c r="AA2531" i="17"/>
  <c r="AA2530" i="17"/>
  <c r="AA2529" i="17"/>
  <c r="Q2528" i="17"/>
  <c r="AA2527" i="17"/>
  <c r="AA2526" i="17"/>
  <c r="AA2525" i="17"/>
  <c r="AA2524" i="17"/>
  <c r="V2523" i="17"/>
  <c r="AA2522" i="17"/>
  <c r="V2521" i="17"/>
  <c r="AA2520" i="17"/>
  <c r="AA2519" i="17"/>
  <c r="AA2518" i="17"/>
  <c r="AA2517" i="17"/>
  <c r="AA2516" i="17"/>
  <c r="AA2515" i="17"/>
  <c r="AA2514" i="17"/>
  <c r="AA2513" i="17"/>
  <c r="AA2512" i="17"/>
  <c r="AA2511" i="17"/>
  <c r="AA2510" i="17"/>
  <c r="AA2509" i="17"/>
  <c r="AA2508" i="17"/>
  <c r="AA2507" i="17"/>
  <c r="AA2506" i="17"/>
  <c r="AA2505" i="17"/>
  <c r="V2504" i="17"/>
  <c r="AA2503" i="17"/>
  <c r="AA2502" i="17"/>
  <c r="AA2501" i="17"/>
  <c r="AA2500" i="17"/>
  <c r="AA2499" i="17"/>
  <c r="AA2498" i="17"/>
  <c r="V2497" i="17"/>
  <c r="V2496" i="17"/>
  <c r="AA2495" i="17"/>
  <c r="AA2494" i="17"/>
  <c r="V2493" i="17"/>
  <c r="AA2492" i="17"/>
  <c r="AA2491" i="17"/>
  <c r="AA2490" i="17"/>
  <c r="AA2489" i="17"/>
  <c r="AA2488" i="17"/>
  <c r="AA2487" i="17"/>
  <c r="AA2486" i="17"/>
  <c r="AA2485" i="17"/>
  <c r="AA2484" i="17"/>
  <c r="AA2483" i="17"/>
  <c r="AA2482" i="17"/>
  <c r="AA2481" i="17"/>
  <c r="AA2480" i="17"/>
  <c r="AA2479" i="17"/>
  <c r="AA2478" i="17"/>
  <c r="AA2477" i="17"/>
  <c r="AA2476" i="17"/>
  <c r="AA2475" i="17"/>
  <c r="AA2474" i="17"/>
  <c r="AA2473" i="17"/>
  <c r="V2472" i="17"/>
  <c r="V2471" i="17"/>
  <c r="V2470" i="17"/>
  <c r="AA2469" i="17"/>
  <c r="AA2468" i="17"/>
  <c r="V2467" i="17"/>
  <c r="AA2466" i="17"/>
  <c r="AA2465" i="17"/>
  <c r="AA2464" i="17"/>
  <c r="AA2463" i="17"/>
  <c r="V2462" i="17"/>
  <c r="Q2461" i="17"/>
  <c r="AA2460" i="17"/>
  <c r="AA2459" i="17"/>
  <c r="AA2458" i="17"/>
  <c r="AA2457" i="17"/>
  <c r="AA2456" i="17"/>
  <c r="AA2455" i="17"/>
  <c r="AA2454" i="17"/>
  <c r="V2453" i="17"/>
  <c r="V2452" i="17"/>
  <c r="V2451" i="17"/>
  <c r="AA2450" i="17"/>
  <c r="AA2449" i="17"/>
  <c r="AA2448" i="17"/>
  <c r="AA2447" i="17"/>
  <c r="AA2446" i="17"/>
  <c r="AA2445" i="17"/>
  <c r="AA2444" i="17"/>
  <c r="AA2443" i="17"/>
  <c r="V2442" i="17"/>
  <c r="V2441" i="17"/>
  <c r="V2440" i="17"/>
  <c r="V2439" i="17"/>
  <c r="AA2438" i="17"/>
  <c r="AA2437" i="17"/>
  <c r="AA2436" i="17"/>
  <c r="AA2435" i="17"/>
  <c r="AA2434" i="17"/>
  <c r="AA2433" i="17"/>
  <c r="V2432" i="17"/>
  <c r="AA2431" i="17"/>
  <c r="AA2430" i="17"/>
  <c r="AA2429" i="17"/>
  <c r="AA2428" i="17"/>
  <c r="AA2427" i="17"/>
  <c r="AA2426" i="17"/>
  <c r="Q2425" i="17"/>
  <c r="AA2424" i="17"/>
  <c r="AA2423" i="17"/>
  <c r="AA2422" i="17"/>
  <c r="AA2421" i="17"/>
  <c r="V2420" i="17"/>
  <c r="AA2419" i="17"/>
  <c r="Q2418" i="17"/>
  <c r="AA2417" i="17"/>
  <c r="AA2416" i="17"/>
  <c r="AA2415" i="17"/>
  <c r="AA2414" i="17"/>
  <c r="AA2413" i="17"/>
  <c r="AA2412" i="17"/>
  <c r="AA2411" i="17"/>
  <c r="V2410" i="17"/>
  <c r="AA2409" i="17"/>
  <c r="AA2408" i="17"/>
  <c r="AA2407" i="17"/>
  <c r="AA2406" i="17"/>
  <c r="AA2405" i="17"/>
  <c r="AA2404" i="17"/>
  <c r="AA2403" i="17"/>
  <c r="AA2402" i="17"/>
  <c r="AA2401" i="17"/>
  <c r="AA2400" i="17"/>
  <c r="AA2399" i="17"/>
  <c r="AA2398" i="17"/>
  <c r="AA2397" i="17"/>
  <c r="AA2396" i="17"/>
  <c r="AA2395" i="17"/>
  <c r="AA2394" i="17"/>
  <c r="AA2393" i="17"/>
  <c r="V2392" i="17"/>
  <c r="AA2391" i="17"/>
  <c r="AA2390" i="17"/>
  <c r="AA2389" i="17"/>
  <c r="AA2388" i="17"/>
  <c r="AA2387" i="17"/>
  <c r="AA2386" i="17"/>
  <c r="AA2385" i="17"/>
  <c r="AA2384" i="17"/>
  <c r="AA2383" i="17"/>
  <c r="AA2382" i="17"/>
  <c r="AA2381" i="17"/>
  <c r="AA2380" i="17"/>
  <c r="AA2379" i="17"/>
  <c r="AA2378" i="17"/>
  <c r="V2377" i="17"/>
  <c r="V2376" i="17"/>
  <c r="AA2375" i="17"/>
  <c r="AA2374" i="17"/>
  <c r="AA2373" i="17"/>
  <c r="AA2372" i="17"/>
  <c r="AA2371" i="17"/>
  <c r="V2370" i="17"/>
  <c r="AA2369" i="17"/>
  <c r="AA2368" i="17"/>
  <c r="AA2367" i="17"/>
  <c r="AA2366" i="17"/>
  <c r="AA2365" i="17"/>
  <c r="AA2364" i="17"/>
  <c r="AA2363" i="17"/>
  <c r="AA2362" i="17"/>
  <c r="AA2361" i="17"/>
  <c r="AA2360" i="17"/>
  <c r="V2359" i="17"/>
  <c r="V2358" i="17"/>
  <c r="AA2357" i="17"/>
  <c r="AA2356" i="17"/>
  <c r="Q2355" i="17"/>
  <c r="Q2354" i="17"/>
  <c r="AA2353" i="17"/>
  <c r="AA2352" i="17"/>
  <c r="AA2351" i="17"/>
  <c r="V2350" i="17"/>
  <c r="AA2349" i="17"/>
  <c r="V2348" i="17"/>
  <c r="V2347" i="17"/>
  <c r="V2346" i="17"/>
  <c r="AA2345" i="17"/>
  <c r="V2344" i="17"/>
  <c r="AA2343" i="17"/>
  <c r="AA2342" i="17"/>
  <c r="AA2341" i="17"/>
  <c r="AA2340" i="17"/>
  <c r="AA2339" i="17"/>
  <c r="V2338" i="17"/>
  <c r="V2337" i="17"/>
  <c r="AA2336" i="17"/>
  <c r="V2335" i="17"/>
  <c r="AA2334" i="17"/>
  <c r="AA2333" i="17"/>
  <c r="V2332" i="17"/>
  <c r="AA2331" i="17"/>
  <c r="AA2330" i="17"/>
  <c r="AA2329" i="17"/>
  <c r="AA2328" i="17"/>
  <c r="AA2327" i="17"/>
  <c r="AA2326" i="17"/>
  <c r="AA2325" i="17"/>
  <c r="AA2324" i="17"/>
  <c r="AA2323" i="17"/>
  <c r="AA2322" i="17"/>
  <c r="AA2321" i="17"/>
  <c r="AA2320" i="17"/>
  <c r="V2319" i="17"/>
  <c r="AA2318" i="17"/>
  <c r="V2317" i="17"/>
  <c r="AA2316" i="17"/>
  <c r="AA2315" i="17"/>
  <c r="AA2314" i="17"/>
  <c r="V2313" i="17"/>
  <c r="V2312" i="17"/>
  <c r="AA2311" i="17"/>
  <c r="AA2310" i="17"/>
  <c r="AA2308" i="17"/>
  <c r="AA2307" i="17"/>
  <c r="AA2306" i="17"/>
  <c r="AA2305" i="17"/>
  <c r="AA2304" i="17"/>
  <c r="V2302" i="17"/>
  <c r="V2301" i="17"/>
  <c r="AA2300" i="17"/>
  <c r="V2299" i="17"/>
  <c r="AA2297" i="17"/>
  <c r="AA2296" i="17"/>
  <c r="AA2295" i="17"/>
  <c r="AA2294" i="17"/>
  <c r="V2293" i="17"/>
  <c r="V2292" i="17"/>
  <c r="V2291" i="17"/>
  <c r="V2290" i="17"/>
  <c r="V2289" i="17"/>
  <c r="V2288" i="17"/>
  <c r="AA2287" i="17"/>
  <c r="V2286" i="17"/>
  <c r="V2285" i="17"/>
  <c r="V2284" i="17"/>
  <c r="AA2283" i="17"/>
  <c r="AA2282" i="17"/>
  <c r="AA2281" i="17"/>
  <c r="AA2280" i="17"/>
  <c r="AA2279" i="17"/>
  <c r="AA2278" i="17"/>
  <c r="AA2277" i="17"/>
  <c r="V2276" i="17"/>
  <c r="AA2275" i="17"/>
  <c r="AA2274" i="17"/>
  <c r="AA2273" i="17"/>
  <c r="V2272" i="17"/>
  <c r="AA2271" i="17"/>
  <c r="AA2270" i="17"/>
  <c r="V2269" i="17"/>
  <c r="V2268" i="17"/>
  <c r="AA2267" i="17"/>
  <c r="AA2266" i="17"/>
  <c r="AA2265" i="17"/>
  <c r="V2264" i="17"/>
  <c r="V2263" i="17"/>
  <c r="V2262" i="17"/>
  <c r="AA2261" i="17"/>
  <c r="V2260" i="17"/>
  <c r="V2259" i="17"/>
  <c r="AA2258" i="17"/>
  <c r="AA2257" i="17"/>
  <c r="AA2256" i="17"/>
  <c r="AA2255" i="17"/>
  <c r="AA2254" i="17"/>
  <c r="AA2253" i="17"/>
  <c r="AA2252" i="17"/>
  <c r="AA2251" i="17"/>
  <c r="AA2250" i="17"/>
  <c r="V2249" i="17"/>
  <c r="AA2248" i="17"/>
  <c r="AA2247" i="17"/>
  <c r="AA2246" i="17"/>
  <c r="AA2245" i="17"/>
  <c r="V2244" i="17"/>
  <c r="AA2243" i="17"/>
  <c r="AA2242" i="17"/>
  <c r="Q2241" i="17"/>
  <c r="AA2240" i="17"/>
  <c r="AA2238" i="17"/>
  <c r="AA2237" i="17"/>
  <c r="V2236" i="17"/>
  <c r="V2235" i="17"/>
  <c r="V2234" i="17"/>
  <c r="V2233" i="17"/>
  <c r="V2232" i="17"/>
  <c r="AA2231" i="17"/>
  <c r="AA2230" i="17"/>
  <c r="AA2229" i="17"/>
  <c r="AA2228" i="17"/>
  <c r="AA2227" i="17"/>
  <c r="AA2226" i="17"/>
  <c r="AA2225" i="17"/>
  <c r="AA2224" i="17"/>
  <c r="V2223" i="17"/>
  <c r="V2222" i="17"/>
  <c r="V2221" i="17"/>
  <c r="V2220" i="17"/>
  <c r="AA2219" i="17"/>
  <c r="AA2218" i="17"/>
  <c r="AA2217" i="17"/>
  <c r="AA2216" i="17"/>
  <c r="AA2215" i="17"/>
  <c r="V2214" i="17"/>
  <c r="AA2213" i="17"/>
  <c r="AA2212" i="17"/>
  <c r="AA2211" i="17"/>
  <c r="V2210" i="17"/>
  <c r="V2209" i="17"/>
  <c r="V2208" i="17"/>
  <c r="AA2207" i="17"/>
  <c r="AA2206" i="17"/>
  <c r="AA2205" i="17"/>
  <c r="AA2204" i="17"/>
  <c r="AA2203" i="17"/>
  <c r="AA2202" i="17"/>
  <c r="AA2201" i="17"/>
  <c r="AA2200" i="17"/>
  <c r="AA2199" i="17"/>
  <c r="AA2198" i="17"/>
  <c r="AA2197" i="17"/>
  <c r="AA2196" i="17"/>
  <c r="AA2195" i="17"/>
  <c r="AA2194" i="17"/>
  <c r="AA2193" i="17"/>
  <c r="V2192" i="17"/>
  <c r="AA2191" i="17"/>
  <c r="AA2190" i="17"/>
  <c r="AA2189" i="17"/>
  <c r="AA2188" i="17"/>
  <c r="AA2187" i="17"/>
  <c r="AA2186" i="17"/>
  <c r="AA2185" i="17"/>
  <c r="AA2184" i="17"/>
  <c r="AA2183" i="17"/>
  <c r="V2182" i="17"/>
  <c r="AA2181" i="17"/>
  <c r="AA2180" i="17"/>
  <c r="AA2179" i="17"/>
  <c r="AA2178" i="17"/>
  <c r="AA2177" i="17"/>
  <c r="AA2176" i="17"/>
  <c r="AA2175" i="17"/>
  <c r="AA2174" i="17"/>
  <c r="AA2173" i="17"/>
  <c r="AA2172" i="17"/>
  <c r="AA2171" i="17"/>
  <c r="AA2169" i="17"/>
  <c r="Q2168" i="17"/>
  <c r="Q2167" i="17"/>
  <c r="AA2166" i="17"/>
  <c r="AA2165" i="17"/>
  <c r="AA2164" i="17"/>
  <c r="AA2163" i="17"/>
  <c r="V2162" i="17"/>
  <c r="V2160" i="17"/>
  <c r="V2159" i="17"/>
  <c r="V2157" i="17"/>
  <c r="V2156" i="17"/>
  <c r="AA2155" i="17"/>
  <c r="V2154" i="17"/>
  <c r="Q2153" i="17"/>
  <c r="V2152" i="17"/>
  <c r="V2151" i="17"/>
  <c r="V2150" i="17"/>
  <c r="AA2149" i="17"/>
  <c r="AA2148" i="17"/>
  <c r="AA2147" i="17"/>
  <c r="AA2146" i="17"/>
  <c r="AA2145" i="17"/>
  <c r="V2144" i="17"/>
  <c r="AA2143" i="17"/>
  <c r="AA2142" i="17"/>
  <c r="AA2141" i="17"/>
  <c r="AA2140" i="17"/>
  <c r="AA2139" i="17"/>
  <c r="AA2138" i="17"/>
  <c r="AA2137" i="17"/>
  <c r="AA2136" i="17"/>
  <c r="AA2135" i="17"/>
  <c r="AA2134" i="17"/>
  <c r="AA2133" i="17"/>
  <c r="AA2132" i="17"/>
  <c r="AA2131" i="17"/>
  <c r="AA2130" i="17"/>
  <c r="AA2129" i="17"/>
  <c r="AA2128" i="17"/>
  <c r="V2127" i="17"/>
  <c r="V2126" i="17"/>
  <c r="AA2125" i="17"/>
  <c r="AA2124" i="17"/>
  <c r="AA2123" i="17"/>
  <c r="AA2122" i="17"/>
  <c r="AA2121" i="17"/>
  <c r="AA2120" i="17"/>
  <c r="AA2119" i="17"/>
  <c r="V2118" i="17"/>
  <c r="AA2116" i="17"/>
  <c r="AA2115" i="17"/>
  <c r="V2114" i="17"/>
  <c r="V2113" i="17"/>
  <c r="V2112" i="17"/>
  <c r="V2111" i="17"/>
  <c r="V2110" i="17"/>
  <c r="AA2109" i="17"/>
  <c r="AA2108" i="17"/>
  <c r="V2107" i="17"/>
  <c r="AA2106" i="17"/>
  <c r="AA2105" i="17"/>
  <c r="AA2104" i="17"/>
  <c r="AA2103" i="17"/>
  <c r="AA2102" i="17"/>
  <c r="AA2101" i="17"/>
  <c r="AA2100" i="17"/>
  <c r="AA2099" i="17"/>
  <c r="AA2098" i="17"/>
  <c r="V2097" i="17"/>
  <c r="V2096" i="17"/>
  <c r="V2095" i="17"/>
  <c r="V2093" i="17"/>
  <c r="AA2092" i="17"/>
  <c r="AA2091" i="17"/>
  <c r="AA2090" i="17"/>
  <c r="AA2089" i="17"/>
  <c r="V2088" i="17"/>
  <c r="AA2087" i="17"/>
  <c r="V2086" i="17"/>
  <c r="V2085" i="17"/>
  <c r="AA2084" i="17"/>
  <c r="AA2083" i="17"/>
  <c r="AA2082" i="17"/>
  <c r="AA2081" i="17"/>
  <c r="AA2080" i="17"/>
  <c r="AA2079" i="17"/>
  <c r="AA2078" i="17"/>
  <c r="AA2077" i="17"/>
  <c r="V2076" i="17"/>
  <c r="V2075" i="17"/>
  <c r="V2074" i="17"/>
  <c r="V2073" i="17"/>
  <c r="V2072" i="17"/>
  <c r="V2071" i="17"/>
  <c r="V2070" i="17"/>
  <c r="V2069" i="17"/>
  <c r="AA2068" i="17"/>
  <c r="V2067" i="17"/>
  <c r="V2066" i="17"/>
  <c r="V2065" i="17"/>
  <c r="V2064" i="17"/>
  <c r="V2063" i="17"/>
  <c r="V2062" i="17"/>
  <c r="V2061" i="17"/>
  <c r="V2060" i="17"/>
  <c r="V2059" i="17"/>
  <c r="AA2058" i="17"/>
  <c r="AA2057" i="17"/>
  <c r="AA2056" i="17"/>
  <c r="AA2055" i="17"/>
  <c r="V2054" i="17"/>
  <c r="V2053" i="17"/>
  <c r="AA2052" i="17"/>
  <c r="AA2051" i="17"/>
  <c r="V2050" i="17"/>
  <c r="V2049" i="17"/>
  <c r="V2048" i="17"/>
  <c r="V2047" i="17"/>
  <c r="V2046" i="17"/>
  <c r="AA2045" i="17"/>
  <c r="V2044" i="17"/>
  <c r="V2043" i="17"/>
  <c r="AA2042" i="17"/>
  <c r="V2041" i="17"/>
  <c r="AA2040" i="17"/>
  <c r="V2039" i="17"/>
  <c r="AA2038" i="17"/>
  <c r="AA2037" i="17"/>
  <c r="AA2036" i="17"/>
  <c r="AA2035" i="17"/>
  <c r="AA2034" i="17"/>
  <c r="AA2033" i="17"/>
  <c r="V2031" i="17"/>
  <c r="V2030" i="17"/>
  <c r="V2029" i="17"/>
  <c r="AA2028" i="17"/>
  <c r="V2027" i="17"/>
  <c r="V2026" i="17"/>
  <c r="V2025" i="17"/>
  <c r="AA2024" i="17"/>
  <c r="AA2023" i="17"/>
  <c r="AA2022" i="17"/>
  <c r="V2020" i="17"/>
  <c r="AA2019" i="17"/>
  <c r="AA2018" i="17"/>
  <c r="AA2017" i="17"/>
  <c r="V2016" i="17"/>
  <c r="V2015" i="17"/>
  <c r="AA2014" i="17"/>
  <c r="V2013" i="17"/>
  <c r="AA2012" i="17"/>
  <c r="AA2011" i="17"/>
  <c r="V2010" i="17"/>
  <c r="V2009" i="17"/>
  <c r="V2008" i="17"/>
  <c r="V2007" i="17"/>
  <c r="AA2006" i="17"/>
  <c r="AA2005" i="17"/>
  <c r="AA2004" i="17"/>
  <c r="AA2003" i="17"/>
  <c r="AA2002" i="17"/>
  <c r="AA2001" i="17"/>
  <c r="V2000" i="17"/>
  <c r="AA1999" i="17"/>
  <c r="AA1998" i="17"/>
  <c r="V1997" i="17"/>
  <c r="V1996" i="17"/>
  <c r="V1995" i="17"/>
  <c r="AA1994" i="17"/>
  <c r="V1993" i="17"/>
  <c r="AA1992" i="17"/>
  <c r="V1991" i="17"/>
  <c r="V1990" i="17"/>
  <c r="AA1989" i="17"/>
  <c r="V1988" i="17"/>
  <c r="V1987" i="17"/>
  <c r="V1986" i="17"/>
  <c r="V1984" i="17"/>
  <c r="AA1983" i="17"/>
  <c r="AA1982" i="17"/>
  <c r="AA1981" i="17"/>
  <c r="AA1980" i="17"/>
  <c r="AA1979" i="17"/>
  <c r="AA1978" i="17"/>
  <c r="AA1977" i="17"/>
  <c r="AA1976" i="17"/>
  <c r="AA1975" i="17"/>
  <c r="AA1974" i="17"/>
  <c r="V1973" i="17"/>
  <c r="V1972" i="17"/>
  <c r="AA1971" i="17"/>
  <c r="V1970" i="17"/>
  <c r="V1969" i="17"/>
  <c r="V1968" i="17"/>
  <c r="AA1967" i="17"/>
  <c r="V1966" i="17"/>
  <c r="V1965" i="17"/>
  <c r="V1964" i="17"/>
  <c r="V1963" i="17"/>
  <c r="V1962" i="17"/>
  <c r="V1961" i="17"/>
  <c r="V1960" i="17"/>
  <c r="V1959" i="17"/>
  <c r="V1958" i="17"/>
  <c r="AA1957" i="17"/>
  <c r="V1956" i="17"/>
  <c r="AA1955" i="17"/>
  <c r="V1954" i="17"/>
  <c r="V1953" i="17"/>
  <c r="AA1952" i="17"/>
  <c r="V1951" i="17"/>
  <c r="AA1950" i="17"/>
  <c r="V1949" i="17"/>
  <c r="AA1948" i="17"/>
  <c r="AA1947" i="17"/>
  <c r="AA1946" i="17"/>
  <c r="AA1945" i="17"/>
  <c r="V1944" i="17"/>
  <c r="AA1943" i="17"/>
  <c r="V1942" i="17"/>
  <c r="V1941" i="17"/>
  <c r="V1940" i="17"/>
  <c r="V1939" i="17"/>
  <c r="V1938" i="17"/>
  <c r="V1937" i="17"/>
  <c r="V1936" i="17"/>
  <c r="AA1935" i="17"/>
  <c r="V1934" i="17"/>
  <c r="AA1933" i="17"/>
  <c r="AA1932" i="17"/>
  <c r="V1931" i="17"/>
  <c r="V1930" i="17"/>
  <c r="V1929" i="17"/>
  <c r="V1928" i="17"/>
  <c r="AA1927" i="17"/>
  <c r="AA1926" i="17"/>
  <c r="V1925" i="17"/>
  <c r="V1924" i="17"/>
  <c r="V1923" i="17"/>
  <c r="V1922" i="17"/>
  <c r="V1921" i="17"/>
  <c r="AA1920" i="17"/>
  <c r="AA1919" i="17"/>
  <c r="AA1918" i="17"/>
  <c r="V1917" i="17"/>
  <c r="V1914" i="17"/>
  <c r="V1913" i="17"/>
  <c r="V1912" i="17"/>
  <c r="AA1911" i="17"/>
  <c r="AA1910" i="17"/>
  <c r="AA1909" i="17"/>
  <c r="AA1908" i="17"/>
  <c r="AA1907" i="17"/>
  <c r="AA1906" i="17"/>
  <c r="AA1905" i="17"/>
  <c r="V1904" i="17"/>
  <c r="AA1903" i="17"/>
  <c r="AA1902" i="17"/>
  <c r="AA1901" i="17"/>
  <c r="AA1900" i="17"/>
  <c r="AA1899" i="17"/>
  <c r="V1898" i="17"/>
  <c r="V1897" i="17"/>
  <c r="V1896" i="17"/>
  <c r="AA1895" i="17"/>
  <c r="AA1894" i="17"/>
  <c r="AA1893" i="17"/>
  <c r="V1892" i="17"/>
  <c r="V1891" i="17"/>
  <c r="AA1890" i="17"/>
  <c r="V1889" i="17"/>
  <c r="AA1888" i="17"/>
  <c r="V1887" i="17"/>
  <c r="AA1886" i="17"/>
  <c r="V1885" i="17"/>
  <c r="AA1884" i="17"/>
  <c r="V1883" i="17"/>
  <c r="AA1881" i="17"/>
  <c r="AA1880" i="17"/>
  <c r="AA1879" i="17"/>
  <c r="AA1878" i="17"/>
  <c r="V1877" i="17"/>
  <c r="V1876" i="17"/>
  <c r="V1875" i="17"/>
  <c r="V1874" i="17"/>
  <c r="AA1873" i="17"/>
  <c r="AA1872" i="17"/>
  <c r="V1871" i="17"/>
  <c r="V1870" i="17"/>
  <c r="V1869" i="17"/>
  <c r="V1868" i="17"/>
  <c r="V1867" i="17"/>
  <c r="AA1866" i="17"/>
  <c r="AA1865" i="17"/>
  <c r="AA1864" i="17"/>
  <c r="V1863" i="17"/>
  <c r="V1862" i="17"/>
  <c r="AA1861" i="17"/>
  <c r="V1860" i="17"/>
  <c r="V1859" i="17"/>
  <c r="AA1858" i="17"/>
  <c r="V1857" i="17"/>
  <c r="AA1856" i="17"/>
  <c r="V1855" i="17"/>
  <c r="AA1854" i="17"/>
  <c r="AA1853" i="17"/>
  <c r="V1852" i="17"/>
  <c r="V1851" i="17"/>
  <c r="V1850" i="17"/>
  <c r="AA1849" i="17"/>
  <c r="V1848" i="17"/>
  <c r="V1847" i="17"/>
  <c r="V1846" i="17"/>
  <c r="V1845" i="17"/>
  <c r="AA1844" i="17"/>
  <c r="AA1843" i="17"/>
  <c r="V1842" i="17"/>
  <c r="V1841" i="17"/>
  <c r="Q1840" i="17"/>
  <c r="AA1839" i="17"/>
  <c r="V1838" i="17"/>
  <c r="V1837" i="17"/>
  <c r="V1836" i="17"/>
  <c r="V1835" i="17"/>
  <c r="AA1834" i="17"/>
  <c r="V1833" i="17"/>
  <c r="V1832" i="17"/>
  <c r="V1831" i="17"/>
  <c r="V1830" i="17"/>
  <c r="V1829" i="17"/>
  <c r="V1828" i="17"/>
  <c r="V1827" i="17"/>
  <c r="AA1826" i="17"/>
  <c r="AA1825" i="17"/>
  <c r="AA1824" i="17"/>
  <c r="V1823" i="17"/>
  <c r="V1822" i="17"/>
  <c r="V1821" i="17"/>
  <c r="V1820" i="17"/>
  <c r="V1819" i="17"/>
  <c r="V1818" i="17"/>
  <c r="V1817" i="17"/>
  <c r="AA1816" i="17"/>
  <c r="AA1815" i="17"/>
  <c r="V1814" i="17"/>
  <c r="V1813" i="17"/>
  <c r="AA1812" i="17"/>
  <c r="V1811" i="17"/>
  <c r="V1810" i="17"/>
  <c r="V1809" i="17"/>
  <c r="V1808" i="17"/>
  <c r="V1807" i="17"/>
  <c r="V1806" i="17"/>
  <c r="V1805" i="17"/>
  <c r="AA1804" i="17"/>
  <c r="V1803" i="17"/>
  <c r="AA1802" i="17"/>
  <c r="AA1801" i="17"/>
  <c r="AA1800" i="17"/>
  <c r="V1799" i="17"/>
  <c r="V1798" i="17"/>
  <c r="AA1797" i="17"/>
  <c r="AA1796" i="17"/>
  <c r="AA1795" i="17"/>
  <c r="AA1794" i="17"/>
  <c r="AA1793" i="17"/>
  <c r="AA1792" i="17"/>
  <c r="AA1791" i="17"/>
  <c r="AA1790" i="17"/>
  <c r="V1789" i="17"/>
  <c r="V1788" i="17"/>
  <c r="V1787" i="17"/>
  <c r="AA1786" i="17"/>
  <c r="AA1785" i="17"/>
  <c r="AA1784" i="17"/>
  <c r="AA1783" i="17"/>
  <c r="AA1782" i="17"/>
  <c r="AA1781" i="17"/>
  <c r="AA1780" i="17"/>
  <c r="AA1779" i="17"/>
  <c r="AA1778" i="17"/>
  <c r="AA1777" i="17"/>
  <c r="AA1776" i="17"/>
  <c r="AA1775" i="17"/>
  <c r="V1774" i="17"/>
  <c r="AA1772" i="17"/>
  <c r="V1771" i="17"/>
  <c r="AA1770" i="17"/>
  <c r="AA1769" i="17"/>
  <c r="AA1768" i="17"/>
  <c r="AA1767" i="17"/>
  <c r="V1766" i="17"/>
  <c r="AA1765" i="17"/>
  <c r="V1764" i="17"/>
  <c r="V1763" i="17"/>
  <c r="AA1762" i="17"/>
  <c r="AA1761" i="17"/>
  <c r="V1760" i="17"/>
  <c r="AA1759" i="17"/>
  <c r="AA1758" i="17"/>
  <c r="AA1757" i="17"/>
  <c r="AA1756" i="17"/>
  <c r="AA1755" i="17"/>
  <c r="V1754" i="17"/>
  <c r="AA1753" i="17"/>
  <c r="AA1752" i="17"/>
  <c r="AA1751" i="17"/>
  <c r="AA1750" i="17"/>
  <c r="V1749" i="17"/>
  <c r="V1748" i="17"/>
  <c r="V1747" i="17"/>
  <c r="V1746" i="17"/>
  <c r="V1745" i="17"/>
  <c r="V1744" i="17"/>
  <c r="AA1743" i="17"/>
  <c r="AA1742" i="17"/>
  <c r="AA1741" i="17"/>
  <c r="V1739" i="17"/>
  <c r="V1738" i="17"/>
  <c r="AA1737" i="17"/>
  <c r="V1736" i="17"/>
  <c r="AA1735" i="17"/>
  <c r="AA1734" i="17"/>
  <c r="AA1733" i="17"/>
  <c r="AA1732" i="17"/>
  <c r="AA1731" i="17"/>
  <c r="AA1730" i="17"/>
  <c r="AA1729" i="17"/>
  <c r="V1728" i="17"/>
  <c r="V1727" i="17"/>
  <c r="AA1726" i="17"/>
  <c r="AA1725" i="17"/>
  <c r="V1724" i="17"/>
  <c r="V1722" i="17"/>
  <c r="V1721" i="17"/>
  <c r="V1720" i="17"/>
  <c r="AA1719" i="17"/>
  <c r="AA1718" i="17"/>
  <c r="AA1717" i="17"/>
  <c r="V1716" i="17"/>
  <c r="V1715" i="17"/>
  <c r="V1714" i="17"/>
  <c r="V1713" i="17"/>
  <c r="AA1711" i="17"/>
  <c r="V1710" i="17"/>
  <c r="V1709" i="17"/>
  <c r="AA1708" i="17"/>
  <c r="AA1707" i="17"/>
  <c r="AA1706" i="17"/>
  <c r="AA1705" i="17"/>
  <c r="AA1704" i="17"/>
  <c r="V1703" i="17"/>
  <c r="AA1702" i="17"/>
  <c r="V1701" i="17"/>
  <c r="V1700" i="17"/>
  <c r="AA1699" i="17"/>
  <c r="AA1698" i="17"/>
  <c r="AA1697" i="17"/>
  <c r="AA1696" i="17"/>
  <c r="AA1695" i="17"/>
  <c r="V1694" i="17"/>
  <c r="V1693" i="17"/>
  <c r="V1692" i="17"/>
  <c r="V1691" i="17"/>
  <c r="V1690" i="17"/>
  <c r="V1688" i="17"/>
  <c r="V1687" i="17"/>
  <c r="V1686" i="17"/>
  <c r="V1685" i="17"/>
  <c r="V1684" i="17"/>
  <c r="V1683" i="17"/>
  <c r="AA1682" i="17"/>
  <c r="V1681" i="17"/>
  <c r="V1680" i="17"/>
  <c r="V1679" i="17"/>
  <c r="V1678" i="17"/>
  <c r="AA1677" i="17"/>
  <c r="V1676" i="17"/>
  <c r="V1675" i="17"/>
  <c r="V1674" i="17"/>
  <c r="AA1673" i="17"/>
  <c r="AA1672" i="17"/>
  <c r="AA1671" i="17"/>
  <c r="V1670" i="17"/>
  <c r="AA1669" i="17"/>
  <c r="AA1668" i="17"/>
  <c r="V1667" i="17"/>
  <c r="AA1664" i="17"/>
  <c r="AA1663" i="17"/>
  <c r="AA1662" i="17"/>
  <c r="AA1661" i="17"/>
  <c r="V1660" i="17"/>
  <c r="V1659" i="17"/>
  <c r="AA1658" i="17"/>
  <c r="V1657" i="17"/>
  <c r="V1656" i="17"/>
  <c r="V1655" i="17"/>
  <c r="AA1654" i="17"/>
  <c r="AA1653" i="17"/>
  <c r="AA1652" i="17"/>
  <c r="AA1651" i="17"/>
  <c r="AA1650" i="17"/>
  <c r="AA1649" i="17"/>
  <c r="AA1648" i="17"/>
  <c r="V1647" i="17"/>
  <c r="AA1646" i="17"/>
  <c r="AA1645" i="17"/>
  <c r="AA1644" i="17"/>
  <c r="AA1643" i="17"/>
  <c r="V1642" i="17"/>
  <c r="V1641" i="17"/>
  <c r="AA1640" i="17"/>
  <c r="Q1639" i="17"/>
  <c r="Q1638" i="17"/>
  <c r="AA1637" i="17"/>
  <c r="AA1636" i="17"/>
  <c r="V1635" i="17"/>
  <c r="AA1634" i="17"/>
  <c r="V1633" i="17"/>
  <c r="V1632" i="17"/>
  <c r="V1631" i="17"/>
  <c r="V1630" i="17"/>
  <c r="AA1628" i="17"/>
  <c r="AA1627" i="17"/>
  <c r="V1626" i="17"/>
  <c r="AA1625" i="17"/>
  <c r="AA1624" i="17"/>
  <c r="AA1623" i="17"/>
  <c r="AA1622" i="17"/>
  <c r="AA1621" i="17"/>
  <c r="AA1620" i="17"/>
  <c r="AA1619" i="17"/>
  <c r="AA1618" i="17"/>
  <c r="AA1617" i="17"/>
  <c r="V1616" i="17"/>
  <c r="V1615" i="17"/>
  <c r="V1614" i="17"/>
  <c r="AA1613" i="17"/>
  <c r="V1612" i="17"/>
  <c r="V1611" i="17"/>
  <c r="V1610" i="17"/>
  <c r="V1609" i="17"/>
  <c r="V1608" i="17"/>
  <c r="AA1607" i="17"/>
  <c r="V1606" i="17"/>
  <c r="AA1605" i="17"/>
  <c r="AA1604" i="17"/>
  <c r="AA1603" i="17"/>
  <c r="AA1602" i="17"/>
  <c r="AA1601" i="17"/>
  <c r="AA1600" i="17"/>
  <c r="V1599" i="17"/>
  <c r="V1597" i="17"/>
  <c r="V1596" i="17"/>
  <c r="V1595" i="17"/>
  <c r="AA1594" i="17"/>
  <c r="V1593" i="17"/>
  <c r="V1592" i="17"/>
  <c r="V1591" i="17"/>
  <c r="V1590" i="17"/>
  <c r="V1589" i="17"/>
  <c r="V1588" i="17"/>
  <c r="V1587" i="17"/>
  <c r="AA1586" i="17"/>
  <c r="AA1585" i="17"/>
  <c r="V1584" i="17"/>
  <c r="AA1583" i="17"/>
  <c r="AA1582" i="17"/>
  <c r="V1581" i="17"/>
  <c r="V1580" i="17"/>
  <c r="V1579" i="17"/>
  <c r="V1578" i="17"/>
  <c r="V1577" i="17"/>
  <c r="AA1576" i="17"/>
  <c r="AA1575" i="17"/>
  <c r="AA1574" i="17"/>
  <c r="AA1573" i="17"/>
  <c r="AA1572" i="17"/>
  <c r="AA1571" i="17"/>
  <c r="V1570" i="17"/>
  <c r="AA1569" i="17"/>
  <c r="AA1568" i="17"/>
  <c r="V1567" i="17"/>
  <c r="V1566" i="17"/>
  <c r="V1565" i="17"/>
  <c r="V1564" i="17"/>
  <c r="AA1563" i="17"/>
  <c r="AA1562" i="17"/>
  <c r="AA1561" i="17"/>
  <c r="AA1560" i="17"/>
  <c r="AA1559" i="17"/>
  <c r="AA1558" i="17"/>
  <c r="AA1557" i="17"/>
  <c r="AA1556" i="17"/>
  <c r="AA1555" i="17"/>
  <c r="AA1554" i="17"/>
  <c r="AA1553" i="17"/>
  <c r="AA1552" i="17"/>
  <c r="AA1551" i="17"/>
  <c r="AA1550" i="17"/>
  <c r="AA1549" i="17"/>
  <c r="AA1548" i="17"/>
  <c r="AA1547" i="17"/>
  <c r="AA1546" i="17"/>
  <c r="AA1545" i="17"/>
  <c r="V1544" i="17"/>
  <c r="AA1543" i="17"/>
  <c r="AA1542" i="17"/>
  <c r="AA1541" i="17"/>
  <c r="AA1540" i="17"/>
  <c r="AA1539" i="17"/>
  <c r="AA1538" i="17"/>
  <c r="V1537" i="17"/>
  <c r="AA1536" i="17"/>
  <c r="AA1535" i="17"/>
  <c r="V1534" i="17"/>
  <c r="AA1533" i="17"/>
  <c r="V1532" i="17"/>
  <c r="AA1531" i="17"/>
  <c r="AA1530" i="17"/>
  <c r="AA1529" i="17"/>
  <c r="AA1528" i="17"/>
  <c r="V1527" i="17"/>
  <c r="AA1526" i="17"/>
  <c r="AA1525" i="17"/>
  <c r="AA1524" i="17"/>
  <c r="AA1523" i="17"/>
  <c r="AA1522" i="17"/>
  <c r="AA1521" i="17"/>
  <c r="AA1520" i="17"/>
  <c r="V1519" i="17"/>
  <c r="AA1518" i="17"/>
  <c r="V1517" i="17"/>
  <c r="AA1516" i="17"/>
  <c r="AA1515" i="17"/>
  <c r="V1514" i="17"/>
  <c r="V1513" i="17"/>
  <c r="AA1512" i="17"/>
  <c r="AA1511" i="17"/>
  <c r="AA1510" i="17"/>
  <c r="AA1509" i="17"/>
  <c r="V1508" i="17"/>
  <c r="AA1507" i="17"/>
  <c r="AA1506" i="17"/>
  <c r="AA1505" i="17"/>
  <c r="V1504" i="17"/>
  <c r="AA1503" i="17"/>
  <c r="V1502" i="17"/>
  <c r="V1501" i="17"/>
  <c r="AA1500" i="17"/>
  <c r="AA1499" i="17"/>
  <c r="AA1498" i="17"/>
  <c r="V1497" i="17"/>
  <c r="AA1496" i="17"/>
  <c r="V1495" i="17"/>
  <c r="V1494" i="17"/>
  <c r="AA1493" i="17"/>
  <c r="AA1492" i="17"/>
  <c r="AA1491" i="17"/>
  <c r="V1489" i="17"/>
  <c r="AA1488" i="17"/>
  <c r="V1487" i="17"/>
  <c r="AA1486" i="17"/>
  <c r="V1485" i="17"/>
  <c r="V1484" i="17"/>
  <c r="V1483" i="17"/>
  <c r="V1482" i="17"/>
  <c r="V1481" i="17"/>
  <c r="V1479" i="17"/>
  <c r="V1478" i="17"/>
  <c r="V1477" i="17"/>
  <c r="V1476" i="17"/>
  <c r="V1475" i="17"/>
  <c r="V1474" i="17"/>
  <c r="V1473" i="17"/>
  <c r="AA1472" i="17"/>
  <c r="AA1471" i="17"/>
  <c r="AA1470" i="17"/>
  <c r="AA1469" i="17"/>
  <c r="AA1468" i="17"/>
  <c r="AA1467" i="17"/>
  <c r="AA1466" i="17"/>
  <c r="AA1465" i="17"/>
  <c r="AA1464" i="17"/>
  <c r="AA1463" i="17"/>
  <c r="V1462" i="17"/>
  <c r="AA1461" i="17"/>
  <c r="V1460" i="17"/>
  <c r="AA1459" i="17"/>
  <c r="V1458" i="17"/>
  <c r="AA1457" i="17"/>
  <c r="AA1456" i="17"/>
  <c r="AA1455" i="17"/>
  <c r="AA1454" i="17"/>
  <c r="V1453" i="17"/>
  <c r="AA1452" i="17"/>
  <c r="AA1451" i="17"/>
  <c r="AA1450" i="17"/>
  <c r="AA1449" i="17"/>
  <c r="AA1448" i="17"/>
  <c r="AA1447" i="17"/>
  <c r="AA1446" i="17"/>
  <c r="AA1445" i="17"/>
  <c r="AA1444" i="17"/>
  <c r="AA1443" i="17"/>
  <c r="V1442" i="17"/>
  <c r="AA1441" i="17"/>
  <c r="AA1440" i="17"/>
  <c r="AA1439" i="17"/>
  <c r="AA1438" i="17"/>
  <c r="V1437" i="17"/>
  <c r="AA1436" i="17"/>
  <c r="AA1435" i="17"/>
  <c r="V1434" i="17"/>
  <c r="AA1433" i="17"/>
  <c r="AA1432" i="17"/>
  <c r="AA1431" i="17"/>
  <c r="V1430" i="17"/>
  <c r="V1429" i="17"/>
  <c r="V1428" i="17"/>
  <c r="AA1427" i="17"/>
  <c r="V1426" i="17"/>
  <c r="V1425" i="17"/>
  <c r="AA1424" i="17"/>
  <c r="AA1423" i="17"/>
  <c r="AA1422" i="17"/>
  <c r="AA1421" i="17"/>
  <c r="V1420" i="17"/>
  <c r="V1419" i="17"/>
  <c r="AA1418" i="17"/>
  <c r="AA1417" i="17"/>
  <c r="AA1416" i="17"/>
  <c r="AA1415" i="17"/>
  <c r="AA1414" i="17"/>
  <c r="AA1413" i="17"/>
  <c r="AA1412" i="17"/>
  <c r="V1411" i="17"/>
  <c r="V1410" i="17"/>
  <c r="V1409" i="17"/>
  <c r="V1408" i="17"/>
  <c r="AA1407" i="17"/>
  <c r="AA1406" i="17"/>
  <c r="AA1405" i="17"/>
  <c r="AA1404" i="17"/>
  <c r="AA1403" i="17"/>
  <c r="AA1402" i="17"/>
  <c r="V1401" i="17"/>
  <c r="V1400" i="17"/>
  <c r="AA1399" i="17"/>
  <c r="V1398" i="17"/>
  <c r="V1397" i="17"/>
  <c r="V1396" i="17"/>
  <c r="AA1395" i="17"/>
  <c r="V1394" i="17"/>
  <c r="AA1393" i="17"/>
  <c r="AA1392" i="17"/>
  <c r="AA1391" i="17"/>
  <c r="V1390" i="17"/>
  <c r="AA1389" i="17"/>
  <c r="AA1388" i="17"/>
  <c r="V1387" i="17"/>
  <c r="AA1386" i="17"/>
  <c r="AA1385" i="17"/>
  <c r="AA1384" i="17"/>
  <c r="V1383" i="17"/>
  <c r="AA1382" i="17"/>
  <c r="V1381" i="17"/>
  <c r="AA1380" i="17"/>
  <c r="AA1379" i="17"/>
  <c r="AA1378" i="17"/>
  <c r="AA1377" i="17"/>
  <c r="V1376" i="17"/>
  <c r="AA1375" i="17"/>
  <c r="AA1374" i="17"/>
  <c r="V1373" i="17"/>
  <c r="AA1372" i="17"/>
  <c r="AA1371" i="17"/>
  <c r="V1370" i="17"/>
  <c r="V1369" i="17"/>
  <c r="AA1368" i="17"/>
  <c r="AA1367" i="17"/>
  <c r="AA1366" i="17"/>
  <c r="AA1365" i="17"/>
  <c r="AA1364" i="17"/>
  <c r="AA1363" i="17"/>
  <c r="AA1362" i="17"/>
  <c r="AA1361" i="17"/>
  <c r="AA1360" i="17"/>
  <c r="AA1359" i="17"/>
  <c r="AA1358" i="17"/>
  <c r="AA1357" i="17"/>
  <c r="V1356" i="17"/>
  <c r="AA1355" i="17"/>
  <c r="AA1354" i="17"/>
  <c r="AA1353" i="17"/>
  <c r="V1352" i="17"/>
  <c r="AA1351" i="17"/>
  <c r="V1350" i="17"/>
  <c r="AA1349" i="17"/>
  <c r="AA1348" i="17"/>
  <c r="AA1347" i="17"/>
  <c r="V1346" i="17"/>
  <c r="AA1345" i="17"/>
  <c r="AA1344" i="17"/>
  <c r="AA1343" i="17"/>
  <c r="AA1342" i="17"/>
  <c r="AA1341" i="17"/>
  <c r="AA1340" i="17"/>
  <c r="AA1339" i="17"/>
  <c r="AA1338" i="17"/>
  <c r="AA1337" i="17"/>
  <c r="AA1336" i="17"/>
  <c r="AA1335" i="17"/>
  <c r="AA1334" i="17"/>
  <c r="V1333" i="17"/>
  <c r="V1332" i="17"/>
  <c r="V1331" i="17"/>
  <c r="AA1330" i="17"/>
  <c r="AA1329" i="17"/>
  <c r="AA1328" i="17"/>
  <c r="V1327" i="17"/>
  <c r="AA1326" i="17"/>
  <c r="AA1325" i="17"/>
  <c r="AA1324" i="17"/>
  <c r="AA1323" i="17"/>
  <c r="AA1322" i="17"/>
  <c r="AA1321" i="17"/>
  <c r="AA1320" i="17"/>
  <c r="AA1319" i="17"/>
  <c r="AA1318" i="17"/>
  <c r="AA1317" i="17"/>
  <c r="AA1316" i="17"/>
  <c r="V1315" i="17"/>
  <c r="AA1314" i="17"/>
  <c r="V1313" i="17"/>
  <c r="V1312" i="17"/>
  <c r="V1311" i="17"/>
  <c r="AA1310" i="17"/>
  <c r="AA1309" i="17"/>
  <c r="AA1308" i="17"/>
  <c r="AA1307" i="17"/>
  <c r="AA1306" i="17"/>
  <c r="AA1305" i="17"/>
  <c r="AA1304" i="17"/>
  <c r="AA1303" i="17"/>
  <c r="AA1302" i="17"/>
  <c r="AA1301" i="17"/>
  <c r="AA1300" i="17"/>
  <c r="AA1299" i="17"/>
  <c r="Q1298" i="17"/>
  <c r="Q1297" i="17"/>
  <c r="Q1296" i="17"/>
  <c r="Q1295" i="17"/>
  <c r="AA1293" i="17"/>
  <c r="AA1292" i="17"/>
  <c r="AA1291" i="17"/>
  <c r="AA1290" i="17"/>
  <c r="AA1289" i="17"/>
  <c r="AA1288" i="17"/>
  <c r="AA1287" i="17"/>
  <c r="AA1286" i="17"/>
  <c r="AA1285" i="17"/>
  <c r="AA1284" i="17"/>
  <c r="AA1283" i="17"/>
  <c r="AA1282" i="17"/>
  <c r="V1281" i="17"/>
  <c r="AA1280" i="17"/>
  <c r="AA1279" i="17"/>
  <c r="AA1278" i="17"/>
  <c r="V1277" i="17"/>
  <c r="AA1276" i="17"/>
  <c r="AA1275" i="17"/>
  <c r="AA1274" i="17"/>
  <c r="AA1273" i="17"/>
  <c r="AA1272" i="17"/>
  <c r="AA1271" i="17"/>
  <c r="AA1270" i="17"/>
  <c r="AA1269" i="17"/>
  <c r="AA1268" i="17"/>
  <c r="AA1267" i="17"/>
  <c r="AA1266" i="17"/>
  <c r="AA1265" i="17"/>
  <c r="AA1264" i="17"/>
  <c r="AA1263" i="17"/>
  <c r="AA1262" i="17"/>
  <c r="AA1261" i="17"/>
  <c r="AA1260" i="17"/>
  <c r="AA1259" i="17"/>
  <c r="AA1258" i="17"/>
  <c r="AA1257" i="17"/>
  <c r="AA1256" i="17"/>
  <c r="AA1255" i="17"/>
  <c r="V1254" i="17"/>
  <c r="V1253" i="17"/>
  <c r="V1252" i="17"/>
  <c r="V1251" i="17"/>
  <c r="AA1250" i="17"/>
  <c r="V1249" i="17"/>
  <c r="AA1248" i="17"/>
  <c r="V1247" i="17"/>
  <c r="V1246" i="17"/>
  <c r="V1245" i="17"/>
  <c r="AA1244" i="17"/>
  <c r="V1243" i="17"/>
  <c r="AA1242" i="17"/>
  <c r="AA1241" i="17"/>
  <c r="AA1240" i="17"/>
  <c r="AA1239" i="17"/>
  <c r="AA1238" i="17"/>
  <c r="AA1237" i="17"/>
  <c r="AA1236" i="17"/>
  <c r="AA1235" i="17"/>
  <c r="AA1234" i="17"/>
  <c r="AA1233" i="17"/>
  <c r="AA1232" i="17"/>
  <c r="AA1231" i="17"/>
  <c r="AA1230" i="17"/>
  <c r="AA1229" i="17"/>
  <c r="AA1228" i="17"/>
  <c r="AA1227" i="17"/>
  <c r="AA1226" i="17"/>
  <c r="AA1225" i="17"/>
  <c r="AA1224" i="17"/>
  <c r="AA1223" i="17"/>
  <c r="AA1222" i="17"/>
  <c r="AA1221" i="17"/>
  <c r="AA1220" i="17"/>
  <c r="AA1219" i="17"/>
  <c r="AA1218" i="17"/>
  <c r="AA1217" i="17"/>
  <c r="AA1216" i="17"/>
  <c r="AA1215" i="17"/>
  <c r="AA1214" i="17"/>
  <c r="AA1213" i="17"/>
  <c r="AA1212" i="17"/>
  <c r="AA1211" i="17"/>
  <c r="AA1210" i="17"/>
  <c r="AA1209" i="17"/>
  <c r="AA1208" i="17"/>
  <c r="AA1207" i="17"/>
  <c r="AA1206" i="17"/>
  <c r="AA1205" i="17"/>
  <c r="AA1204" i="17"/>
  <c r="AA1203" i="17"/>
  <c r="AA1202" i="17"/>
  <c r="AA1201" i="17"/>
  <c r="AA1200" i="17"/>
  <c r="AA1199" i="17"/>
  <c r="AA1198" i="17"/>
  <c r="AA1197" i="17"/>
  <c r="AA1196" i="17"/>
  <c r="AA1195" i="17"/>
  <c r="AA1194" i="17"/>
  <c r="AA1193" i="17"/>
  <c r="AA1192" i="17"/>
  <c r="AA1191" i="17"/>
  <c r="AA1190" i="17"/>
  <c r="AA1189" i="17"/>
  <c r="AA1188" i="17"/>
  <c r="AA1187" i="17"/>
  <c r="AA1186" i="17"/>
  <c r="AA1185" i="17"/>
  <c r="AA1184" i="17"/>
  <c r="AA1183" i="17"/>
  <c r="AA1182" i="17"/>
  <c r="AA1181" i="17"/>
  <c r="AA1180" i="17"/>
  <c r="AA1179" i="17"/>
  <c r="AA1178" i="17"/>
  <c r="AA1177" i="17"/>
  <c r="AA1176" i="17"/>
  <c r="AA1175" i="17"/>
  <c r="V1174" i="17"/>
  <c r="V1173" i="17"/>
  <c r="V1172" i="17"/>
  <c r="V1171" i="17"/>
  <c r="V1170" i="17"/>
  <c r="V1169" i="17"/>
  <c r="V1168" i="17"/>
  <c r="AA1167" i="17"/>
  <c r="AA1166" i="17"/>
  <c r="V1165" i="17"/>
  <c r="AA1164" i="17"/>
  <c r="AA1163" i="17"/>
  <c r="V1162" i="17"/>
  <c r="AA1161" i="17"/>
  <c r="AA1160" i="17"/>
  <c r="AA1159" i="17"/>
  <c r="AA1158" i="17"/>
  <c r="AA1157" i="17"/>
  <c r="V1156" i="17"/>
  <c r="AA1155" i="17"/>
  <c r="AA1154" i="17"/>
  <c r="AA1153" i="17"/>
  <c r="AA1152" i="17"/>
  <c r="AA1151" i="17"/>
  <c r="AA1150" i="17"/>
  <c r="AA1149" i="17"/>
  <c r="AA1148" i="17"/>
  <c r="AA1147" i="17"/>
  <c r="AA1146" i="17"/>
  <c r="AA1144" i="17"/>
  <c r="V1143" i="17"/>
  <c r="AA1142" i="17"/>
  <c r="AA1141" i="17"/>
  <c r="AA1140" i="17"/>
  <c r="AA1139" i="17"/>
  <c r="AA1138" i="17"/>
  <c r="AA1137" i="17"/>
  <c r="AA1136" i="17"/>
  <c r="V1135" i="17"/>
  <c r="Q1134" i="17"/>
  <c r="V1133" i="17"/>
  <c r="V1132" i="17"/>
  <c r="AA1131" i="17"/>
  <c r="AA1130" i="17"/>
  <c r="AA1129" i="17"/>
  <c r="AA1128" i="17"/>
  <c r="AA1127" i="17"/>
  <c r="AA1126" i="17"/>
  <c r="AA1125" i="17"/>
  <c r="AA1124" i="17"/>
  <c r="AA1123" i="17"/>
  <c r="AA1122" i="17"/>
  <c r="AA1121" i="17"/>
  <c r="AA1120" i="17"/>
  <c r="AA1119" i="17"/>
  <c r="AA1118" i="17"/>
  <c r="AA1117" i="17"/>
  <c r="AA1116" i="17"/>
  <c r="AA1115" i="17"/>
  <c r="AA1114" i="17"/>
  <c r="AA1113" i="17"/>
  <c r="AA1112" i="17"/>
  <c r="AA1111" i="17"/>
  <c r="AA1110" i="17"/>
  <c r="AA1109" i="17"/>
  <c r="AA1108" i="17"/>
  <c r="AA1107" i="17"/>
  <c r="AA1106" i="17"/>
  <c r="AA1105" i="17"/>
  <c r="AA1104" i="17"/>
  <c r="AA1103" i="17"/>
  <c r="AA1102" i="17"/>
  <c r="AA1101" i="17"/>
  <c r="AA1100" i="17"/>
  <c r="AA1099" i="17"/>
  <c r="AA1098" i="17"/>
  <c r="AA1097" i="17"/>
  <c r="AA1096" i="17"/>
  <c r="AA1095" i="17"/>
  <c r="AA1094" i="17"/>
  <c r="AA1093" i="17"/>
  <c r="AA1092" i="17"/>
  <c r="V1090" i="17"/>
  <c r="AA1089" i="17"/>
  <c r="AA1088" i="17"/>
  <c r="V1087" i="17"/>
  <c r="AA1086" i="17"/>
  <c r="AA1085" i="17"/>
  <c r="AA1084" i="17"/>
  <c r="AA1083" i="17"/>
  <c r="AA1082" i="17"/>
  <c r="AA1081" i="17"/>
  <c r="AA1080" i="17"/>
  <c r="AA1079" i="17"/>
  <c r="AA1078" i="17"/>
  <c r="AA1077" i="17"/>
  <c r="AA1076" i="17"/>
  <c r="AA1075" i="17"/>
  <c r="AA1074" i="17"/>
  <c r="AA1073" i="17"/>
  <c r="AA1072" i="17"/>
  <c r="AA1071" i="17"/>
  <c r="AA1070" i="17"/>
  <c r="AA1069" i="17"/>
  <c r="AA1068" i="17"/>
  <c r="V1067" i="17"/>
  <c r="AA1066" i="17"/>
  <c r="AA1065" i="17"/>
  <c r="Q1064" i="17"/>
  <c r="AA1063" i="17"/>
  <c r="AA1062" i="17"/>
  <c r="AA1061" i="17"/>
  <c r="AA1060" i="17"/>
  <c r="Q1059" i="17"/>
  <c r="AA1058" i="17"/>
  <c r="AA1057" i="17"/>
  <c r="AA1056" i="17"/>
  <c r="AA1055" i="17"/>
  <c r="AA1054" i="17"/>
  <c r="AA1053" i="17"/>
  <c r="AA1052" i="17"/>
  <c r="AA1051" i="17"/>
  <c r="AA1050" i="17"/>
  <c r="AA1049" i="17"/>
  <c r="AA1048" i="17"/>
  <c r="AA1047" i="17"/>
  <c r="AA1046" i="17"/>
  <c r="AA1045" i="17"/>
  <c r="AA1044" i="17"/>
  <c r="AA1043" i="17"/>
  <c r="AA1042" i="17"/>
  <c r="AA1041" i="17"/>
  <c r="AA1040" i="17"/>
  <c r="AA1039" i="17"/>
  <c r="AA1038" i="17"/>
  <c r="AA1037" i="17"/>
  <c r="AA1036" i="17"/>
  <c r="AA1035" i="17"/>
  <c r="AA1034" i="17"/>
  <c r="AA1033" i="17"/>
  <c r="AA1032" i="17"/>
  <c r="AA1031" i="17"/>
  <c r="AA1030" i="17"/>
  <c r="AA1029" i="17"/>
  <c r="AA1028" i="17"/>
  <c r="AA1027" i="17"/>
  <c r="AA1026" i="17"/>
  <c r="AA1025" i="17"/>
  <c r="Q1024" i="17"/>
  <c r="Q1023" i="17"/>
  <c r="Q1022" i="17"/>
  <c r="Q1021" i="17"/>
  <c r="Q1020" i="17"/>
  <c r="Q1019" i="17"/>
  <c r="AA1018" i="17"/>
  <c r="V1017" i="17"/>
  <c r="AA1016" i="17"/>
  <c r="AA1015" i="17"/>
  <c r="AA1014" i="17"/>
  <c r="AA1013" i="17"/>
  <c r="AA1012" i="17"/>
  <c r="AA1011" i="17"/>
  <c r="AA1010" i="17"/>
  <c r="AA1009" i="17"/>
  <c r="AA1008" i="17"/>
  <c r="Q1007" i="17"/>
  <c r="Q1006" i="17"/>
  <c r="Q1005" i="17"/>
  <c r="Q1004" i="17"/>
  <c r="Q1003" i="17"/>
  <c r="Q1002" i="17"/>
  <c r="Q1001" i="17"/>
  <c r="AA1000" i="17"/>
  <c r="V999" i="17"/>
  <c r="AA998" i="17"/>
  <c r="Q997" i="17"/>
  <c r="Q996" i="17"/>
  <c r="Q995" i="17"/>
  <c r="Q994" i="17"/>
  <c r="AA993" i="17"/>
  <c r="AA992" i="17"/>
  <c r="V991" i="17"/>
  <c r="V990" i="17"/>
  <c r="V989" i="17"/>
  <c r="V988" i="17"/>
  <c r="V987" i="17"/>
  <c r="AA986" i="17"/>
  <c r="AA985" i="17"/>
  <c r="AA984" i="17"/>
  <c r="AA983" i="17"/>
  <c r="AA982" i="17"/>
  <c r="AA981" i="17"/>
  <c r="AA980" i="17"/>
  <c r="AA979" i="17"/>
  <c r="AA978" i="17"/>
  <c r="AA977" i="17"/>
  <c r="AA976" i="17"/>
  <c r="AA975" i="17"/>
  <c r="AA974" i="17"/>
  <c r="AA973" i="17"/>
  <c r="AA972" i="17"/>
  <c r="AA971" i="17"/>
  <c r="V970" i="17"/>
  <c r="AA969" i="17"/>
  <c r="AA968" i="17"/>
  <c r="AA967" i="17"/>
  <c r="V966" i="17"/>
  <c r="AA965" i="17"/>
  <c r="AA964" i="17"/>
  <c r="AA963" i="17"/>
  <c r="AA962" i="17"/>
  <c r="AA961" i="17"/>
  <c r="AA960" i="17"/>
  <c r="AA959" i="17"/>
  <c r="AA958" i="17"/>
  <c r="AA957" i="17"/>
  <c r="AA956" i="17"/>
  <c r="Q955" i="17"/>
  <c r="AA954" i="17"/>
  <c r="AA953" i="17"/>
  <c r="AA952" i="17"/>
  <c r="AA951" i="17"/>
  <c r="AA950" i="17"/>
  <c r="AA949" i="17"/>
  <c r="AA948" i="17"/>
  <c r="V947" i="17"/>
  <c r="AA946" i="17"/>
  <c r="AA945" i="17"/>
  <c r="AA944" i="17"/>
  <c r="AA943" i="17"/>
  <c r="AA942" i="17"/>
  <c r="AA941" i="17"/>
  <c r="AA940" i="17"/>
  <c r="V939" i="17"/>
  <c r="AA938" i="17"/>
  <c r="AA937" i="17"/>
  <c r="AA936" i="17"/>
  <c r="AA935" i="17"/>
  <c r="AA934" i="17"/>
  <c r="AA933" i="17"/>
  <c r="AA932" i="17"/>
  <c r="AA931" i="17"/>
  <c r="AA930" i="17"/>
  <c r="AA929" i="17"/>
  <c r="AA928" i="17"/>
  <c r="AA927" i="17"/>
  <c r="AA926" i="17"/>
  <c r="AA925" i="17"/>
  <c r="AA924" i="17"/>
  <c r="AA923" i="17"/>
  <c r="AA922" i="17"/>
  <c r="AA921" i="17"/>
  <c r="AA920" i="17"/>
  <c r="V919" i="17"/>
  <c r="AA917" i="17"/>
  <c r="AA916" i="17"/>
  <c r="AA915" i="17"/>
  <c r="AA914" i="17"/>
  <c r="AA913" i="17"/>
  <c r="AA912" i="17"/>
  <c r="AA911" i="17"/>
  <c r="AA910" i="17"/>
  <c r="AA909" i="17"/>
  <c r="AA908" i="17"/>
  <c r="AA907" i="17"/>
  <c r="AA906" i="17"/>
  <c r="AA905" i="17"/>
  <c r="AA904" i="17"/>
  <c r="AA903" i="17"/>
  <c r="AA902" i="17"/>
  <c r="AA901" i="17"/>
  <c r="AA900" i="17"/>
  <c r="AA899" i="17"/>
  <c r="AA898" i="17"/>
  <c r="AA897" i="17"/>
  <c r="AA896" i="17"/>
  <c r="AA895" i="17"/>
  <c r="AA894" i="17"/>
  <c r="AA893" i="17"/>
  <c r="AA892" i="17"/>
  <c r="AA891" i="17"/>
  <c r="AA890" i="17"/>
  <c r="AA889" i="17"/>
  <c r="AA888" i="17"/>
  <c r="AA887" i="17"/>
  <c r="AA886" i="17"/>
  <c r="AA885" i="17"/>
  <c r="AA884" i="17"/>
  <c r="AA883" i="17"/>
  <c r="AA882" i="17"/>
  <c r="AA881" i="17"/>
  <c r="AA880" i="17"/>
  <c r="AA879" i="17"/>
  <c r="AA878" i="17"/>
  <c r="AA877" i="17"/>
  <c r="AA876" i="17"/>
  <c r="AA875" i="17"/>
  <c r="AA874" i="17"/>
  <c r="AA873" i="17"/>
  <c r="AA872" i="17"/>
  <c r="AA871" i="17"/>
  <c r="AA870" i="17"/>
  <c r="AA869" i="17"/>
  <c r="AA868" i="17"/>
  <c r="AA867" i="17"/>
  <c r="AA866" i="17"/>
  <c r="AA865" i="17"/>
  <c r="AA864" i="17"/>
  <c r="AA863" i="17"/>
  <c r="AA862" i="17"/>
  <c r="AA861" i="17"/>
  <c r="AA860" i="17"/>
  <c r="AA859" i="17"/>
  <c r="AA858" i="17"/>
  <c r="AA857" i="17"/>
  <c r="AA856" i="17"/>
  <c r="AA855" i="17"/>
  <c r="Q854" i="17"/>
  <c r="Q853" i="17"/>
  <c r="Q852" i="17"/>
  <c r="Q851" i="17"/>
  <c r="Q850" i="17"/>
  <c r="AA849" i="17"/>
  <c r="AA848" i="17"/>
  <c r="V847" i="17"/>
  <c r="AA846" i="17"/>
  <c r="AA845" i="17"/>
  <c r="AA844" i="17"/>
  <c r="AA843" i="17"/>
  <c r="AA842" i="17"/>
  <c r="AA841" i="17"/>
  <c r="AA840" i="17"/>
  <c r="AA839" i="17"/>
  <c r="AA838" i="17"/>
  <c r="AA837" i="17"/>
  <c r="AA836" i="17"/>
  <c r="AA835" i="17"/>
  <c r="AA834" i="17"/>
  <c r="AA833" i="17"/>
  <c r="AA832" i="17"/>
  <c r="AA831" i="17"/>
  <c r="AA830" i="17"/>
  <c r="AA829" i="17"/>
  <c r="AA828" i="17"/>
  <c r="AA827" i="17"/>
  <c r="AA826" i="17"/>
  <c r="AA825" i="17"/>
  <c r="AA824" i="17"/>
  <c r="AA823" i="17"/>
  <c r="AA822" i="17"/>
  <c r="AA821" i="17"/>
  <c r="AA820" i="17"/>
  <c r="AA819" i="17"/>
  <c r="AA818" i="17"/>
  <c r="AA817" i="17"/>
  <c r="AA816" i="17"/>
  <c r="AA815" i="17"/>
  <c r="AA814" i="17"/>
  <c r="AA813" i="17"/>
  <c r="AA812" i="17"/>
  <c r="AA811" i="17"/>
  <c r="AA810" i="17"/>
  <c r="AA809" i="17"/>
  <c r="AA808" i="17"/>
  <c r="AA807" i="17"/>
  <c r="AA806" i="17"/>
  <c r="AA805" i="17"/>
  <c r="AA804" i="17"/>
  <c r="AA803" i="17"/>
  <c r="AA802" i="17"/>
  <c r="AA801" i="17"/>
  <c r="AA800" i="17"/>
  <c r="AA799" i="17"/>
  <c r="AA798" i="17"/>
  <c r="AA797" i="17"/>
  <c r="V796" i="17"/>
  <c r="V795" i="17"/>
  <c r="AA794" i="17"/>
  <c r="AA793" i="17"/>
  <c r="AA792" i="17"/>
  <c r="AA791" i="17"/>
  <c r="AA790" i="17"/>
  <c r="AA789" i="17"/>
  <c r="AA788" i="17"/>
  <c r="AA787" i="17"/>
  <c r="AA786" i="17"/>
  <c r="AA785" i="17"/>
  <c r="AA784" i="17"/>
  <c r="AA783" i="17"/>
  <c r="AA782" i="17"/>
  <c r="AA781" i="17"/>
  <c r="AA780" i="17"/>
  <c r="AA779" i="17"/>
  <c r="AA778" i="17"/>
  <c r="AA777" i="17"/>
  <c r="AA776" i="17"/>
  <c r="AA775" i="17"/>
  <c r="AA774" i="17"/>
  <c r="AA773" i="17"/>
  <c r="AA772" i="17"/>
  <c r="AA771" i="17"/>
  <c r="AA770" i="17"/>
  <c r="AA769" i="17"/>
  <c r="AA768" i="17"/>
  <c r="AA767" i="17"/>
  <c r="AA766" i="17"/>
  <c r="AA765" i="17"/>
  <c r="AA764" i="17"/>
  <c r="AA763" i="17"/>
  <c r="AA762" i="17"/>
  <c r="AA761" i="17"/>
  <c r="AA760" i="17"/>
  <c r="AA759" i="17"/>
  <c r="V758" i="17"/>
  <c r="AA757" i="17"/>
  <c r="AA756" i="17"/>
  <c r="AA755" i="17"/>
  <c r="AA754" i="17"/>
  <c r="AA753" i="17"/>
  <c r="AA752" i="17"/>
  <c r="AA751" i="17"/>
  <c r="AA750" i="17"/>
  <c r="AA749" i="17"/>
  <c r="AA748" i="17"/>
  <c r="AA747" i="17"/>
  <c r="AA746" i="17"/>
  <c r="AA745" i="17"/>
  <c r="AA744" i="17"/>
  <c r="AA743" i="17"/>
  <c r="AA742" i="17"/>
  <c r="AA741" i="17"/>
  <c r="AA740" i="17"/>
  <c r="Q739" i="17"/>
  <c r="V738" i="17"/>
  <c r="AA737" i="17"/>
  <c r="V736" i="17"/>
  <c r="AA735" i="17"/>
  <c r="AA734" i="17"/>
  <c r="AA733" i="17"/>
  <c r="AA732" i="17"/>
  <c r="AA731" i="17"/>
  <c r="AA730" i="17"/>
  <c r="AA729" i="17"/>
  <c r="AA728" i="17"/>
  <c r="AA727" i="17"/>
  <c r="AA726" i="17"/>
  <c r="AA725" i="17"/>
  <c r="AA724" i="17"/>
  <c r="AA723" i="17"/>
  <c r="AA722" i="17"/>
  <c r="AA721" i="17"/>
  <c r="AA720" i="17"/>
  <c r="AA719" i="17"/>
  <c r="AA718" i="17"/>
  <c r="AA717" i="17"/>
  <c r="AA716" i="17"/>
  <c r="AA715" i="17"/>
  <c r="AA714" i="17"/>
  <c r="AA713" i="17"/>
  <c r="AA712" i="17"/>
  <c r="AA711" i="17"/>
  <c r="AA710" i="17"/>
  <c r="AA709" i="17"/>
  <c r="AA708" i="17"/>
  <c r="AA707" i="17"/>
  <c r="AA706" i="17"/>
  <c r="AA705" i="17"/>
  <c r="V704" i="17"/>
  <c r="AA703" i="17"/>
  <c r="AA702" i="17"/>
  <c r="AA701" i="17"/>
  <c r="AA700" i="17"/>
  <c r="AA699" i="17"/>
  <c r="AA698" i="17"/>
  <c r="V697" i="17"/>
  <c r="AA696" i="17"/>
  <c r="AA695" i="17"/>
  <c r="AA694" i="17"/>
  <c r="AA693" i="17"/>
  <c r="AA692" i="17"/>
  <c r="AA691" i="17"/>
  <c r="AA690" i="17"/>
  <c r="AA689" i="17"/>
  <c r="AA688" i="17"/>
  <c r="AA687" i="17"/>
  <c r="AA686" i="17"/>
  <c r="V685" i="17"/>
  <c r="V684" i="17"/>
  <c r="V683" i="17"/>
  <c r="AA682" i="17"/>
  <c r="AA681" i="17"/>
  <c r="AA680" i="17"/>
  <c r="AA679" i="17"/>
  <c r="AA678" i="17"/>
  <c r="AA677" i="17"/>
  <c r="AA676" i="17"/>
  <c r="AA675" i="17"/>
  <c r="AA674" i="17"/>
  <c r="AA673" i="17"/>
  <c r="AA672" i="17"/>
  <c r="AA671" i="17"/>
  <c r="AA670" i="17"/>
  <c r="AA669" i="17"/>
  <c r="AA668" i="17"/>
  <c r="AA667" i="17"/>
  <c r="AA666" i="17"/>
  <c r="AA665" i="17"/>
  <c r="AA664" i="17"/>
  <c r="AA663" i="17"/>
  <c r="AA662" i="17"/>
  <c r="AA661" i="17"/>
  <c r="AA660" i="17"/>
  <c r="AA659" i="17"/>
  <c r="AA658" i="17"/>
  <c r="AA657" i="17"/>
  <c r="AA656" i="17"/>
  <c r="AA655" i="17"/>
  <c r="AA654" i="17"/>
  <c r="AA653" i="17"/>
  <c r="AA652" i="17"/>
  <c r="AA651" i="17"/>
  <c r="AA650" i="17"/>
  <c r="AA649" i="17"/>
  <c r="AA648" i="17"/>
  <c r="AA647" i="17"/>
  <c r="AA646" i="17"/>
  <c r="AA645" i="17"/>
  <c r="AA644" i="17"/>
  <c r="AA643" i="17"/>
  <c r="AA642" i="17"/>
  <c r="AA641" i="17"/>
  <c r="AA640" i="17"/>
  <c r="AA639" i="17"/>
  <c r="AA638" i="17"/>
  <c r="AA637" i="17"/>
  <c r="Q636" i="17"/>
  <c r="Q635" i="17"/>
  <c r="Q634" i="17"/>
  <c r="Q633" i="17"/>
  <c r="Q632" i="17"/>
  <c r="Q631" i="17"/>
  <c r="AA630" i="17"/>
  <c r="AA629" i="17"/>
  <c r="AA628" i="17"/>
  <c r="AA627" i="17"/>
  <c r="AA626" i="17"/>
  <c r="AA625" i="17"/>
  <c r="AA624" i="17"/>
  <c r="AA623" i="17"/>
  <c r="AA622" i="17"/>
  <c r="AA621" i="17"/>
  <c r="AA620" i="17"/>
  <c r="AA619" i="17"/>
  <c r="AA618" i="17"/>
  <c r="AA617" i="17"/>
  <c r="AA616" i="17"/>
  <c r="AA615" i="17"/>
  <c r="AA614" i="17"/>
  <c r="AA613" i="17"/>
  <c r="AA612" i="17"/>
  <c r="AA611" i="17"/>
  <c r="AA610" i="17"/>
  <c r="AA609" i="17"/>
  <c r="AA608" i="17"/>
  <c r="AA607" i="17"/>
  <c r="AA606" i="17"/>
  <c r="AA605" i="17"/>
  <c r="AA604" i="17"/>
  <c r="AA603" i="17"/>
  <c r="AA602" i="17"/>
  <c r="AA601" i="17"/>
  <c r="AA600" i="17"/>
  <c r="AA599" i="17"/>
  <c r="AA598" i="17"/>
  <c r="AA597" i="17"/>
  <c r="AA596" i="17"/>
  <c r="AA595" i="17"/>
  <c r="AA594" i="17"/>
  <c r="AA593" i="17"/>
  <c r="AA592" i="17"/>
  <c r="AA591" i="17"/>
  <c r="AA590" i="17"/>
  <c r="AA589" i="17"/>
  <c r="AA588" i="17"/>
  <c r="AA587" i="17"/>
  <c r="AA586" i="17"/>
  <c r="AA585" i="17"/>
  <c r="AA584" i="17"/>
  <c r="AA583" i="17"/>
  <c r="AA582" i="17"/>
  <c r="AA581" i="17"/>
  <c r="AA580" i="17"/>
  <c r="AA579" i="17"/>
  <c r="AA578" i="17"/>
  <c r="AA577" i="17"/>
  <c r="AA576" i="17"/>
  <c r="AA575" i="17"/>
  <c r="Q574" i="17"/>
  <c r="AA573" i="17"/>
  <c r="AA572" i="17"/>
  <c r="AA571" i="17"/>
  <c r="AA570" i="17"/>
  <c r="AA569" i="17"/>
  <c r="AA568" i="17"/>
  <c r="AA567" i="17"/>
  <c r="AA566" i="17"/>
  <c r="AA565" i="17"/>
  <c r="AA564" i="17"/>
  <c r="V563" i="17"/>
  <c r="AA562" i="17"/>
  <c r="AA561" i="17"/>
  <c r="AA560" i="17"/>
  <c r="AA559" i="17"/>
  <c r="AA558" i="17"/>
  <c r="AA557" i="17"/>
  <c r="AA556" i="17"/>
  <c r="AA555" i="17"/>
  <c r="AA554" i="17"/>
  <c r="AA553" i="17"/>
  <c r="AA552" i="17"/>
  <c r="AA551" i="17"/>
  <c r="AA550" i="17"/>
  <c r="Q549" i="17"/>
  <c r="AA548" i="17"/>
  <c r="AA547" i="17"/>
  <c r="AA546" i="17"/>
  <c r="AA545" i="17"/>
  <c r="AA544" i="17"/>
  <c r="AA543" i="17"/>
  <c r="AA542" i="17"/>
  <c r="AA541" i="17"/>
  <c r="AA540" i="17"/>
  <c r="AA539" i="17"/>
  <c r="AA538" i="17"/>
  <c r="AA537" i="17"/>
  <c r="AA536" i="17"/>
  <c r="AA535" i="17"/>
  <c r="AA534" i="17"/>
  <c r="AA533" i="17"/>
  <c r="AA532" i="17"/>
  <c r="AA531" i="17"/>
  <c r="AA530" i="17"/>
  <c r="AA529" i="17"/>
  <c r="AA528" i="17"/>
  <c r="AA527" i="17"/>
  <c r="AA526" i="17"/>
  <c r="AA525" i="17"/>
  <c r="AA524" i="17"/>
  <c r="AA523" i="17"/>
  <c r="AA522" i="17"/>
  <c r="AA521" i="17"/>
  <c r="AA520" i="17"/>
  <c r="AA519" i="17"/>
  <c r="AA518" i="17"/>
  <c r="AA517" i="17"/>
  <c r="AA516" i="17"/>
  <c r="AA515" i="17"/>
  <c r="AA514" i="17"/>
  <c r="AA513" i="17"/>
  <c r="AA512" i="17"/>
  <c r="AA511" i="17"/>
  <c r="V510" i="17"/>
  <c r="AA509" i="17"/>
  <c r="AA508" i="17"/>
  <c r="AA507" i="17"/>
  <c r="AA506" i="17"/>
  <c r="AA505" i="17"/>
  <c r="AA504" i="17"/>
  <c r="AA503" i="17"/>
  <c r="AA502" i="17"/>
  <c r="AA501" i="17"/>
  <c r="AA500" i="17"/>
  <c r="AA499" i="17"/>
  <c r="AA498" i="17"/>
  <c r="AA497" i="17"/>
  <c r="AA496" i="17"/>
  <c r="AA495" i="17"/>
  <c r="AA494" i="17"/>
  <c r="AA493" i="17"/>
  <c r="AA492" i="17"/>
  <c r="AA491" i="17"/>
  <c r="AA490" i="17"/>
  <c r="AA489" i="17"/>
  <c r="AA488" i="17"/>
  <c r="AA487" i="17"/>
  <c r="AA486" i="17"/>
  <c r="AA485" i="17"/>
  <c r="AA484" i="17"/>
  <c r="AA483" i="17"/>
  <c r="AA482" i="17"/>
  <c r="AA481" i="17"/>
  <c r="AA480" i="17"/>
  <c r="AA479" i="17"/>
  <c r="AA478" i="17"/>
  <c r="AA477" i="17"/>
  <c r="AA476" i="17"/>
  <c r="AA475" i="17"/>
  <c r="AA474" i="17"/>
  <c r="AA473" i="17"/>
  <c r="AA472" i="17"/>
  <c r="AA471" i="17"/>
  <c r="AA470" i="17"/>
  <c r="AA469" i="17"/>
  <c r="AA468" i="17"/>
  <c r="AA467" i="17"/>
  <c r="AA466" i="17"/>
  <c r="AA465" i="17"/>
  <c r="AA464" i="17"/>
  <c r="AA463" i="17"/>
  <c r="AA462" i="17"/>
  <c r="AA461" i="17"/>
  <c r="AA460" i="17"/>
  <c r="AA459" i="17"/>
  <c r="AA458" i="17"/>
  <c r="AA457" i="17"/>
  <c r="AA456" i="17"/>
  <c r="AA455" i="17"/>
  <c r="AA454" i="17"/>
  <c r="AA453" i="17"/>
  <c r="AA452" i="17"/>
  <c r="AA451" i="17"/>
  <c r="AA450" i="17"/>
  <c r="AA449" i="17"/>
  <c r="AA448" i="17"/>
  <c r="AA447" i="17"/>
  <c r="AA446" i="17"/>
  <c r="AA445" i="17"/>
  <c r="AA444" i="17"/>
  <c r="AA443" i="17"/>
  <c r="AA442" i="17"/>
  <c r="AA441" i="17"/>
  <c r="AA440" i="17"/>
  <c r="AA439" i="17"/>
  <c r="AA438" i="17"/>
  <c r="AA437" i="17"/>
  <c r="AA436" i="17"/>
  <c r="AA435" i="17"/>
  <c r="AA434" i="17"/>
  <c r="AA433" i="17"/>
  <c r="AA432" i="17"/>
  <c r="AA431" i="17"/>
  <c r="AA430" i="17"/>
  <c r="AA429" i="17"/>
  <c r="AA428" i="17"/>
  <c r="AA427" i="17"/>
  <c r="AA426" i="17"/>
  <c r="AA425" i="17"/>
  <c r="AA424" i="17"/>
  <c r="AA423" i="17"/>
  <c r="AA422" i="17"/>
  <c r="AA421" i="17"/>
  <c r="AA420" i="17"/>
  <c r="AA419" i="17"/>
  <c r="AA418" i="17"/>
  <c r="Q417" i="17"/>
  <c r="AA416" i="17"/>
  <c r="AA415" i="17"/>
  <c r="AA414" i="17"/>
  <c r="AA413" i="17"/>
  <c r="AA412" i="17"/>
  <c r="AA411" i="17"/>
  <c r="AA410" i="17"/>
  <c r="V409" i="17"/>
  <c r="AA408" i="17"/>
  <c r="AA407" i="17"/>
  <c r="AA406" i="17"/>
  <c r="AA405" i="17"/>
  <c r="AA404" i="17"/>
  <c r="AA403" i="17"/>
  <c r="AA402" i="17"/>
  <c r="AA401" i="17"/>
  <c r="AA400" i="17"/>
  <c r="AA399" i="17"/>
  <c r="AA398" i="17"/>
  <c r="AA389" i="17"/>
  <c r="AA388" i="17"/>
  <c r="AA387" i="17"/>
  <c r="AA386" i="17"/>
  <c r="AA385" i="17"/>
  <c r="AA384" i="17"/>
  <c r="AA383" i="17"/>
  <c r="AA382" i="17"/>
  <c r="AA381" i="17"/>
  <c r="AA380" i="17"/>
  <c r="AA379" i="17"/>
  <c r="AA378" i="17"/>
  <c r="AA377" i="17"/>
  <c r="AA376" i="17"/>
  <c r="AA375" i="17"/>
  <c r="Q374" i="17"/>
  <c r="AA373" i="17"/>
  <c r="AA372" i="17"/>
  <c r="V371" i="17"/>
  <c r="V370" i="17"/>
  <c r="AA369" i="17"/>
  <c r="AA368" i="17"/>
  <c r="AA367" i="17"/>
  <c r="AA365" i="17"/>
  <c r="AA364" i="17"/>
  <c r="AA363" i="17"/>
  <c r="AA362" i="17"/>
  <c r="AA361" i="17"/>
  <c r="AA360" i="17"/>
  <c r="AA359" i="17"/>
  <c r="AA358" i="17"/>
  <c r="AA357" i="17"/>
  <c r="AA356" i="17"/>
  <c r="V355" i="17"/>
  <c r="V354" i="17"/>
  <c r="AA353" i="17"/>
  <c r="AA352" i="17"/>
  <c r="AA351" i="17"/>
  <c r="AA350" i="17"/>
  <c r="AA349" i="17"/>
  <c r="AA348" i="17"/>
  <c r="AA347" i="17"/>
  <c r="AA346" i="17"/>
  <c r="V345" i="17"/>
  <c r="V344" i="17"/>
  <c r="V343" i="17"/>
  <c r="Q342" i="17"/>
  <c r="AA341" i="17"/>
  <c r="AA340" i="17"/>
  <c r="AA339" i="17"/>
  <c r="AA338" i="17"/>
  <c r="AA337" i="17"/>
  <c r="AA336" i="17"/>
  <c r="AA335" i="17"/>
  <c r="AA334" i="17"/>
  <c r="AA333" i="17"/>
  <c r="AA332" i="17"/>
  <c r="AA331" i="17"/>
  <c r="V330" i="17"/>
  <c r="AA329" i="17"/>
  <c r="AA328" i="17"/>
  <c r="AA327" i="17"/>
  <c r="AA326" i="17"/>
  <c r="AA325" i="17"/>
  <c r="AA324" i="17"/>
  <c r="AA323" i="17"/>
  <c r="AA322" i="17"/>
  <c r="AA321" i="17"/>
  <c r="AA320" i="17"/>
  <c r="AA319" i="17"/>
  <c r="AA318" i="17"/>
  <c r="AA317" i="17"/>
  <c r="AA316" i="17"/>
  <c r="AA315" i="17"/>
  <c r="AA314" i="17"/>
  <c r="AA313" i="17"/>
  <c r="AA312" i="17"/>
  <c r="AA311" i="17"/>
  <c r="AA310" i="17"/>
  <c r="AA309" i="17"/>
  <c r="AA308" i="17"/>
  <c r="AA307" i="17"/>
  <c r="AA306" i="17"/>
  <c r="AA305" i="17"/>
  <c r="AA304" i="17"/>
  <c r="AA303" i="17"/>
  <c r="AA302" i="17"/>
  <c r="AA301" i="17"/>
  <c r="AA300" i="17"/>
  <c r="AA299" i="17"/>
  <c r="AA298" i="17"/>
  <c r="AA297" i="17"/>
  <c r="AA296" i="17"/>
  <c r="AA295" i="17"/>
  <c r="AA294" i="17"/>
  <c r="AA293" i="17"/>
  <c r="AA292" i="17"/>
  <c r="AA291" i="17"/>
  <c r="Q290" i="17"/>
  <c r="AA289" i="17"/>
  <c r="AA288" i="17"/>
  <c r="AA287" i="17"/>
  <c r="AA286" i="17"/>
  <c r="AA285" i="17"/>
  <c r="AA284" i="17"/>
  <c r="AA283" i="17"/>
  <c r="AA282" i="17"/>
  <c r="AA281" i="17"/>
  <c r="AA280" i="17"/>
  <c r="AA279" i="17"/>
  <c r="AA278" i="17"/>
  <c r="AA277" i="17"/>
  <c r="AA276" i="17"/>
  <c r="AA274" i="17"/>
  <c r="AA273" i="17"/>
  <c r="AA272" i="17"/>
  <c r="AA271" i="17"/>
  <c r="AA270" i="17"/>
  <c r="AA269" i="17"/>
  <c r="AA268" i="17"/>
  <c r="AA267" i="17"/>
  <c r="AA266" i="17"/>
  <c r="Q265" i="17"/>
  <c r="AA264" i="17"/>
  <c r="AA263" i="17"/>
  <c r="AA262" i="17"/>
  <c r="AA261" i="17"/>
  <c r="AA260" i="17"/>
  <c r="AA259" i="17"/>
  <c r="AA258" i="17"/>
  <c r="AA257" i="17"/>
  <c r="AA256" i="17"/>
  <c r="AA255" i="17"/>
  <c r="AA252" i="17"/>
  <c r="AA251" i="17"/>
  <c r="AA250" i="17"/>
  <c r="AA249" i="17"/>
  <c r="AA248" i="17"/>
  <c r="AA247" i="17"/>
  <c r="AA246" i="17"/>
  <c r="AA245" i="17"/>
  <c r="AA244" i="17"/>
  <c r="AA243" i="17"/>
  <c r="Q242" i="17"/>
  <c r="AA241" i="17"/>
  <c r="AA240" i="17"/>
  <c r="AA237" i="17"/>
  <c r="AA236" i="17"/>
  <c r="AA235" i="17"/>
  <c r="AA234" i="17"/>
  <c r="AA233" i="17"/>
  <c r="AA232" i="17"/>
  <c r="AA231" i="17"/>
  <c r="AA230" i="17"/>
  <c r="AA229" i="17"/>
  <c r="AA228" i="17"/>
  <c r="AA227" i="17"/>
  <c r="AA226" i="17"/>
  <c r="AA225" i="17"/>
  <c r="AA224" i="17"/>
  <c r="AA223" i="17"/>
  <c r="AA222" i="17"/>
  <c r="AA221" i="17"/>
  <c r="Q220" i="17"/>
  <c r="AA219" i="17"/>
  <c r="AA218" i="17"/>
  <c r="AA217" i="17"/>
  <c r="AA216" i="17"/>
  <c r="AA208" i="17"/>
  <c r="AA207" i="17"/>
  <c r="AA206" i="17"/>
  <c r="AA205" i="17"/>
  <c r="AA204" i="17"/>
  <c r="AA203" i="17"/>
  <c r="AA202" i="17"/>
  <c r="AA201" i="17"/>
  <c r="V200" i="17"/>
  <c r="AA199" i="17"/>
  <c r="AA198" i="17"/>
  <c r="AA197" i="17"/>
  <c r="AA196" i="17"/>
  <c r="AA195" i="17"/>
  <c r="AA194" i="17"/>
  <c r="AA193" i="17"/>
  <c r="Q192" i="17"/>
  <c r="AA191" i="17"/>
  <c r="AA190" i="17"/>
  <c r="AA189" i="17"/>
  <c r="AA188" i="17"/>
  <c r="AA187" i="17"/>
  <c r="AA186" i="17"/>
  <c r="AA185" i="17"/>
  <c r="AA184" i="17"/>
  <c r="AA183" i="17"/>
  <c r="AA182" i="17"/>
  <c r="AA181" i="17"/>
  <c r="AA180" i="17"/>
  <c r="AA179" i="17"/>
  <c r="AA178" i="17"/>
  <c r="AA177" i="17"/>
  <c r="AA176" i="17"/>
  <c r="AA175" i="17"/>
  <c r="AA174" i="17"/>
  <c r="AA173" i="17"/>
  <c r="AA172" i="17"/>
  <c r="AA171" i="17"/>
  <c r="AA170" i="17"/>
  <c r="AA169" i="17"/>
  <c r="AA168" i="17"/>
  <c r="AA167" i="17"/>
  <c r="AA166" i="17"/>
  <c r="AA165" i="17"/>
  <c r="AA164" i="17"/>
  <c r="AA163" i="17"/>
  <c r="AA162" i="17"/>
  <c r="AA159" i="17"/>
  <c r="AA158" i="17"/>
  <c r="AA157" i="17"/>
  <c r="AA156" i="17"/>
  <c r="AA155" i="17"/>
  <c r="AA154" i="17"/>
  <c r="AA153" i="17"/>
  <c r="AA152" i="17"/>
  <c r="AA151" i="17"/>
  <c r="AA147" i="17"/>
  <c r="AA146" i="17"/>
  <c r="AA145" i="17"/>
  <c r="AA144" i="17"/>
  <c r="AA143" i="17"/>
  <c r="AA142" i="17"/>
  <c r="AA141" i="17"/>
  <c r="AA140" i="17"/>
  <c r="AA139" i="17"/>
  <c r="AA138" i="17"/>
  <c r="AA137" i="17"/>
  <c r="AA136" i="17"/>
  <c r="AA135" i="17"/>
  <c r="AA129" i="17"/>
  <c r="AA128" i="17"/>
  <c r="AA127" i="17"/>
  <c r="AA126" i="17"/>
  <c r="AA125" i="17"/>
  <c r="AA124" i="17"/>
  <c r="AA123" i="17"/>
  <c r="AA122" i="17"/>
  <c r="AA121" i="17"/>
  <c r="AA120" i="17"/>
  <c r="AA119" i="17"/>
  <c r="AA118" i="17"/>
  <c r="AA117" i="17"/>
  <c r="AA116" i="17"/>
  <c r="AA115" i="17"/>
  <c r="AA114" i="17"/>
  <c r="AA113" i="17"/>
  <c r="AA112" i="17"/>
  <c r="AA111" i="17"/>
  <c r="AA110" i="17"/>
  <c r="AA109" i="17"/>
  <c r="AA108" i="17"/>
  <c r="AA107" i="17"/>
  <c r="AA106" i="17"/>
  <c r="AA105" i="17"/>
  <c r="AA104" i="17"/>
  <c r="AA103" i="17"/>
  <c r="AA102" i="17"/>
  <c r="AA101" i="17"/>
  <c r="AA100" i="17"/>
  <c r="AA99" i="17"/>
  <c r="AA98" i="17"/>
  <c r="AA97" i="17"/>
  <c r="AA96" i="17"/>
  <c r="AA95" i="17"/>
  <c r="AA94" i="17"/>
  <c r="AA93" i="17"/>
  <c r="AA92" i="17"/>
  <c r="AA91" i="17"/>
  <c r="AA90" i="17"/>
  <c r="AA89" i="17"/>
  <c r="AA88" i="17"/>
  <c r="AA87" i="17"/>
  <c r="AA86" i="17"/>
  <c r="AA85" i="17"/>
  <c r="AA84" i="17"/>
  <c r="AA83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Q60" i="17"/>
  <c r="Q59" i="17"/>
  <c r="AA58" i="17"/>
  <c r="AA57" i="17"/>
  <c r="AA56" i="17"/>
  <c r="AA55" i="17"/>
  <c r="AA54" i="17"/>
  <c r="AA53" i="17"/>
  <c r="AA52" i="17"/>
  <c r="Q51" i="17"/>
  <c r="AA48" i="17"/>
  <c r="Q47" i="17"/>
  <c r="Q46" i="17"/>
  <c r="Q45" i="17"/>
  <c r="Q44" i="17"/>
  <c r="Q43" i="17"/>
  <c r="V42" i="17"/>
  <c r="Q41" i="17"/>
  <c r="AA40" i="17"/>
  <c r="AA39" i="17"/>
  <c r="AA38" i="17"/>
  <c r="AA37" i="17"/>
  <c r="AA36" i="17"/>
  <c r="AA35" i="17"/>
  <c r="AA34" i="17"/>
  <c r="AA33" i="17"/>
  <c r="AA32" i="17"/>
  <c r="AA31" i="17"/>
  <c r="AA30" i="17"/>
  <c r="AA29" i="17"/>
  <c r="AA28" i="17"/>
  <c r="AA27" i="17"/>
  <c r="AA26" i="17"/>
  <c r="AA25" i="17"/>
  <c r="AA24" i="17"/>
  <c r="AA23" i="17"/>
  <c r="AA22" i="17"/>
  <c r="AA21" i="17"/>
  <c r="AA20" i="17"/>
  <c r="AA19" i="17"/>
  <c r="AA18" i="17"/>
  <c r="AA17" i="17"/>
  <c r="AA16" i="17"/>
  <c r="AA15" i="17"/>
  <c r="AA14" i="17"/>
  <c r="AA13" i="17"/>
  <c r="AA12" i="17"/>
  <c r="AA11" i="17"/>
  <c r="AA10" i="17"/>
  <c r="AA9" i="17"/>
  <c r="AA8" i="17"/>
  <c r="AA7" i="17"/>
  <c r="AA6" i="17"/>
  <c r="AA5" i="17"/>
  <c r="AA4" i="17"/>
  <c r="AA3" i="17"/>
  <c r="AA2" i="17"/>
  <c r="E130" i="2" l="1"/>
  <c r="D9" i="2"/>
  <c r="E16" i="2"/>
  <c r="F23" i="2"/>
  <c r="D31" i="2"/>
  <c r="E38" i="2"/>
  <c r="F45" i="2"/>
  <c r="D53" i="2"/>
  <c r="E58" i="2"/>
  <c r="F65" i="2"/>
  <c r="D73" i="2"/>
  <c r="E88" i="2"/>
  <c r="F95" i="2"/>
  <c r="D103" i="2"/>
  <c r="E110" i="2"/>
  <c r="D146" i="2"/>
  <c r="E10" i="2"/>
  <c r="F17" i="2"/>
  <c r="D25" i="2"/>
  <c r="E32" i="2"/>
  <c r="F39" i="2"/>
  <c r="D47" i="2"/>
  <c r="E54" i="2"/>
  <c r="F61" i="2"/>
  <c r="D69" i="2"/>
  <c r="E74" i="2"/>
  <c r="F89" i="2"/>
  <c r="D97" i="2"/>
  <c r="E104" i="2"/>
  <c r="F145" i="2"/>
  <c r="E144" i="2"/>
  <c r="D143" i="2"/>
  <c r="F141" i="2"/>
  <c r="E138" i="2"/>
  <c r="D137" i="2"/>
  <c r="F135" i="2"/>
  <c r="E134" i="2"/>
  <c r="D133" i="2"/>
  <c r="F129" i="2"/>
  <c r="E128" i="2"/>
  <c r="D127" i="2"/>
  <c r="F125" i="2"/>
  <c r="E114" i="2"/>
  <c r="F5" i="2"/>
  <c r="F13" i="2"/>
  <c r="D21" i="2"/>
  <c r="E26" i="2"/>
  <c r="F33" i="2"/>
  <c r="D41" i="2"/>
  <c r="E48" i="2"/>
  <c r="F55" i="2"/>
  <c r="D63" i="2"/>
  <c r="E70" i="2"/>
  <c r="F85" i="2"/>
  <c r="D93" i="2"/>
  <c r="E98" i="2"/>
  <c r="F105" i="2"/>
  <c r="D113" i="2"/>
  <c r="D6" i="2"/>
  <c r="D8" i="2"/>
  <c r="E9" i="2"/>
  <c r="F10" i="2"/>
  <c r="D14" i="2"/>
  <c r="E15" i="2"/>
  <c r="F16" i="2"/>
  <c r="D18" i="2"/>
  <c r="E21" i="2"/>
  <c r="F22" i="2"/>
  <c r="D24" i="2"/>
  <c r="E25" i="2"/>
  <c r="F26" i="2"/>
  <c r="D30" i="2"/>
  <c r="E31" i="2"/>
  <c r="F32" i="2"/>
  <c r="D34" i="2"/>
  <c r="E37" i="2"/>
  <c r="F38" i="2"/>
  <c r="D40" i="2"/>
  <c r="E41" i="2"/>
  <c r="F42" i="2"/>
  <c r="D46" i="2"/>
  <c r="E47" i="2"/>
  <c r="F48" i="2"/>
  <c r="D50" i="2"/>
  <c r="E53" i="2"/>
  <c r="F54" i="2"/>
  <c r="D56" i="2"/>
  <c r="E57" i="2"/>
  <c r="F58" i="2"/>
  <c r="D62" i="2"/>
  <c r="E63" i="2"/>
  <c r="F64" i="2"/>
  <c r="D66" i="2"/>
  <c r="E69" i="2"/>
  <c r="F70" i="2"/>
  <c r="D72" i="2"/>
  <c r="E73" i="2"/>
  <c r="F74" i="2"/>
  <c r="D86" i="2"/>
  <c r="E87" i="2"/>
  <c r="F88" i="2"/>
  <c r="D90" i="2"/>
  <c r="E93" i="2"/>
  <c r="F94" i="2"/>
  <c r="D96" i="2"/>
  <c r="E97" i="2"/>
  <c r="F98" i="2"/>
  <c r="D102" i="2"/>
  <c r="E103" i="2"/>
  <c r="F104" i="2"/>
  <c r="D106" i="2"/>
  <c r="E109" i="2"/>
  <c r="F110" i="2"/>
  <c r="D112" i="2"/>
  <c r="E113" i="2"/>
  <c r="F114" i="2"/>
  <c r="D126" i="2"/>
  <c r="E127" i="2"/>
  <c r="F128" i="2"/>
  <c r="D130" i="2"/>
  <c r="E133" i="2"/>
  <c r="F134" i="2"/>
  <c r="D136" i="2"/>
  <c r="E137" i="2"/>
  <c r="F138" i="2"/>
  <c r="D142" i="2"/>
  <c r="E143" i="2"/>
  <c r="F144" i="2"/>
  <c r="F6" i="2"/>
  <c r="E8" i="2"/>
  <c r="F9" i="2"/>
  <c r="D13" i="2"/>
  <c r="E14" i="2"/>
  <c r="F15" i="2"/>
  <c r="D17" i="2"/>
  <c r="E18" i="2"/>
  <c r="F21" i="2"/>
  <c r="D23" i="2"/>
  <c r="E24" i="2"/>
  <c r="F25" i="2"/>
  <c r="D29" i="2"/>
  <c r="E30" i="2"/>
  <c r="F31" i="2"/>
  <c r="D33" i="2"/>
  <c r="E34" i="2"/>
  <c r="F37" i="2"/>
  <c r="D39" i="2"/>
  <c r="E40" i="2"/>
  <c r="F41" i="2"/>
  <c r="D45" i="2"/>
  <c r="E46" i="2"/>
  <c r="F47" i="2"/>
  <c r="D49" i="2"/>
  <c r="E50" i="2"/>
  <c r="F53" i="2"/>
  <c r="D55" i="2"/>
  <c r="E56" i="2"/>
  <c r="F57" i="2"/>
  <c r="D61" i="2"/>
  <c r="E62" i="2"/>
  <c r="F63" i="2"/>
  <c r="D65" i="2"/>
  <c r="E66" i="2"/>
  <c r="F69" i="2"/>
  <c r="D71" i="2"/>
  <c r="E72" i="2"/>
  <c r="F73" i="2"/>
  <c r="D85" i="2"/>
  <c r="E86" i="2"/>
  <c r="F87" i="2"/>
  <c r="D89" i="2"/>
  <c r="E90" i="2"/>
  <c r="F93" i="2"/>
  <c r="D95" i="2"/>
  <c r="E96" i="2"/>
  <c r="F97" i="2"/>
  <c r="D101" i="2"/>
  <c r="E102" i="2"/>
  <c r="F103" i="2"/>
  <c r="D105" i="2"/>
  <c r="E106" i="2"/>
  <c r="F109" i="2"/>
  <c r="D111" i="2"/>
  <c r="E112" i="2"/>
  <c r="F113" i="2"/>
  <c r="D125" i="2"/>
  <c r="E126" i="2"/>
  <c r="F127" i="2"/>
  <c r="D129" i="2"/>
  <c r="F133" i="2"/>
  <c r="D135" i="2"/>
  <c r="E136" i="2"/>
  <c r="F137" i="2"/>
  <c r="D141" i="2"/>
  <c r="E142" i="2"/>
  <c r="F143" i="2"/>
  <c r="D145" i="2"/>
  <c r="E7" i="2"/>
  <c r="E6" i="2"/>
  <c r="E5" i="2"/>
  <c r="D5" i="2"/>
  <c r="D7" i="2"/>
  <c r="F8" i="2"/>
  <c r="D10" i="2"/>
  <c r="E13" i="2"/>
  <c r="F14" i="2"/>
  <c r="D16" i="2"/>
  <c r="E17" i="2"/>
  <c r="F18" i="2"/>
  <c r="D22" i="2"/>
  <c r="E23" i="2"/>
  <c r="F24" i="2"/>
  <c r="D26" i="2"/>
  <c r="E29" i="2"/>
  <c r="F30" i="2"/>
  <c r="D32" i="2"/>
  <c r="E33" i="2"/>
  <c r="F34" i="2"/>
  <c r="D38" i="2"/>
  <c r="E39" i="2"/>
  <c r="F40" i="2"/>
  <c r="D42" i="2"/>
  <c r="E45" i="2"/>
  <c r="F46" i="2"/>
  <c r="D48" i="2"/>
  <c r="E49" i="2"/>
  <c r="F50" i="2"/>
  <c r="D54" i="2"/>
  <c r="E55" i="2"/>
  <c r="F56" i="2"/>
  <c r="D58" i="2"/>
  <c r="E61" i="2"/>
  <c r="F62" i="2"/>
  <c r="D64" i="2"/>
  <c r="E65" i="2"/>
  <c r="F66" i="2"/>
  <c r="D70" i="2"/>
  <c r="E71" i="2"/>
  <c r="F72" i="2"/>
  <c r="D74" i="2"/>
  <c r="E85" i="2"/>
  <c r="F86" i="2"/>
  <c r="D88" i="2"/>
  <c r="E89" i="2"/>
  <c r="F90" i="2"/>
  <c r="D94" i="2"/>
  <c r="E95" i="2"/>
  <c r="F96" i="2"/>
  <c r="D98" i="2"/>
  <c r="E101" i="2"/>
  <c r="F102" i="2"/>
  <c r="D104" i="2"/>
  <c r="E105" i="2"/>
  <c r="F106" i="2"/>
  <c r="D110" i="2"/>
  <c r="E111" i="2"/>
  <c r="F112" i="2"/>
  <c r="D114" i="2"/>
  <c r="E125" i="2"/>
  <c r="F126" i="2"/>
  <c r="D128" i="2"/>
  <c r="E129" i="2"/>
  <c r="F130" i="2"/>
  <c r="D134" i="2"/>
  <c r="E135" i="2"/>
  <c r="F136" i="2"/>
  <c r="D138" i="2"/>
  <c r="E141" i="2"/>
  <c r="F142" i="2"/>
  <c r="D144" i="2"/>
  <c r="E145" i="2"/>
  <c r="F146" i="2"/>
  <c r="E23" i="1"/>
  <c r="I23" i="1" s="1"/>
  <c r="E22" i="1"/>
  <c r="I22" i="1" s="1"/>
  <c r="E20" i="1"/>
  <c r="I20" i="1" s="1"/>
  <c r="E19" i="1"/>
  <c r="E18" i="1"/>
  <c r="I18" i="1" s="1"/>
  <c r="E17" i="1"/>
  <c r="I17" i="1" s="1"/>
  <c r="E16" i="1"/>
  <c r="I16" i="1" s="1"/>
  <c r="E15" i="1"/>
  <c r="I15" i="1" s="1"/>
  <c r="E14" i="1"/>
  <c r="I14" i="1" s="1"/>
  <c r="E13" i="1"/>
  <c r="I13" i="1" s="1"/>
  <c r="E12" i="1"/>
  <c r="I12" i="1" s="1"/>
  <c r="E11" i="1"/>
  <c r="I11" i="1" s="1"/>
  <c r="E10" i="1"/>
  <c r="E9" i="1"/>
  <c r="E8" i="1"/>
  <c r="E7" i="1"/>
  <c r="E6" i="1"/>
  <c r="H22" i="1"/>
  <c r="H20" i="1"/>
  <c r="H18" i="1"/>
  <c r="H17" i="1"/>
  <c r="H16" i="1"/>
  <c r="H15" i="1"/>
  <c r="H14" i="1"/>
  <c r="H13" i="1"/>
  <c r="H12" i="1"/>
  <c r="H11" i="1"/>
  <c r="H23" i="1"/>
  <c r="G23" i="1"/>
  <c r="G22" i="1"/>
  <c r="G20" i="1"/>
  <c r="G18" i="1"/>
  <c r="G17" i="1"/>
  <c r="G16" i="1"/>
  <c r="G15" i="1"/>
  <c r="G14" i="1"/>
  <c r="G13" i="1"/>
  <c r="G12" i="1"/>
  <c r="G11" i="1"/>
  <c r="D24" i="1"/>
  <c r="H5" i="1" s="1"/>
  <c r="C24" i="1"/>
  <c r="G5" i="1" s="1"/>
  <c r="H10" i="1" l="1"/>
  <c r="H7" i="1"/>
  <c r="H8" i="1"/>
  <c r="H9" i="1"/>
  <c r="G19" i="1"/>
  <c r="H19" i="1"/>
  <c r="G8" i="1"/>
  <c r="G9" i="1"/>
  <c r="G10" i="1"/>
  <c r="G7" i="1"/>
  <c r="G24" i="1" s="1"/>
  <c r="G6" i="1"/>
  <c r="H6" i="1"/>
  <c r="E5" i="1"/>
  <c r="H24" i="1" l="1"/>
  <c r="E24" i="1"/>
  <c r="I19" i="1" s="1"/>
  <c r="I9" i="1" l="1"/>
  <c r="I8" i="1"/>
  <c r="I7" i="1"/>
  <c r="I10" i="1"/>
  <c r="I5" i="1"/>
  <c r="I6" i="1"/>
  <c r="I24" i="1" l="1"/>
</calcChain>
</file>

<file path=xl/sharedStrings.xml><?xml version="1.0" encoding="utf-8"?>
<sst xmlns="http://schemas.openxmlformats.org/spreadsheetml/2006/main" count="173831" uniqueCount="45235">
  <si>
    <t>Funds Flow - Waiver Dollars</t>
  </si>
  <si>
    <t>Funds Flow - Non-Waiver Dollars</t>
  </si>
  <si>
    <t>Funds Flow - All Dollars</t>
  </si>
  <si>
    <t>Partner Type</t>
  </si>
  <si>
    <t>Practitioner - Primary Care</t>
  </si>
  <si>
    <t>Practitioner - Non-Primary Care</t>
  </si>
  <si>
    <t>Hospital - Inpatient/ED</t>
  </si>
  <si>
    <t>Hospital - Ambulatory</t>
  </si>
  <si>
    <t>Partner Category</t>
  </si>
  <si>
    <t>Clinic</t>
  </si>
  <si>
    <t>Mental Health</t>
  </si>
  <si>
    <t>Substance Abuse</t>
  </si>
  <si>
    <t>Case Management</t>
  </si>
  <si>
    <t>Health Home</t>
  </si>
  <si>
    <t>Community Based Organization (Tier 1)</t>
  </si>
  <si>
    <t>Nursing Home</t>
  </si>
  <si>
    <t>Pharmacy</t>
  </si>
  <si>
    <t>Hospice</t>
  </si>
  <si>
    <t>Home Care</t>
  </si>
  <si>
    <t>Other (Define)</t>
  </si>
  <si>
    <t>Total</t>
  </si>
  <si>
    <t>PPS PMO</t>
  </si>
  <si>
    <t>Quarterly Funds Flow Update - DY2, Q4</t>
  </si>
  <si>
    <t>% of Funds Flow - Waiver Dollars</t>
  </si>
  <si>
    <t>% of Funds Flow - Non-Waiver Dollars</t>
  </si>
  <si>
    <t>% of Funds Flow - All Dollars</t>
  </si>
  <si>
    <t>NPI</t>
  </si>
  <si>
    <t>Safety Net</t>
  </si>
  <si>
    <t>State Assigned Category</t>
  </si>
  <si>
    <t>Partner Information</t>
  </si>
  <si>
    <t>Quarterly Funds Flow Updates - DY2, Q4</t>
  </si>
  <si>
    <t>INSERT ROWS ABOVE FOR ADDITIONAL PARTNERS IN THIS CATEGORY - DO NOT ENTER DATA IN THIS ROW</t>
  </si>
  <si>
    <t>Committed</t>
  </si>
  <si>
    <t>Engaged</t>
  </si>
  <si>
    <t>Hospital</t>
  </si>
  <si>
    <t>Case Management / Health Home</t>
  </si>
  <si>
    <t>Community Based Organizations</t>
  </si>
  <si>
    <t>All Other</t>
  </si>
  <si>
    <t>PPS Funds Flow Summary by Partner Type - DY2, Q4 (IPP Module 1.4 and Module 1.10)</t>
  </si>
  <si>
    <t>PPS Funds Flow - Partner Level Detail</t>
  </si>
  <si>
    <t>DSRIP Provider Name</t>
  </si>
  <si>
    <t>Entity ID</t>
  </si>
  <si>
    <t>Entity Name</t>
  </si>
  <si>
    <t>NPI ID</t>
  </si>
  <si>
    <t>MMIS ID</t>
  </si>
  <si>
    <t>OPWDD Tax ID</t>
  </si>
  <si>
    <t>DSRIP Contact Name</t>
  </si>
  <si>
    <t>DSRIP Contact Phone</t>
  </si>
  <si>
    <t>Phone Extension</t>
  </si>
  <si>
    <t>DSRIP Contact Email</t>
  </si>
  <si>
    <t>DSRIP Provider Type</t>
  </si>
  <si>
    <t>Provider Category</t>
  </si>
  <si>
    <t>DSRIP Street</t>
  </si>
  <si>
    <t>DSRIP City</t>
  </si>
  <si>
    <t>DSRIP State</t>
  </si>
  <si>
    <t>DSRIP Postal Code</t>
  </si>
  <si>
    <t>NPI Name</t>
  </si>
  <si>
    <t>NPI Street</t>
  </si>
  <si>
    <t>NPI City</t>
  </si>
  <si>
    <t>NPI State</t>
  </si>
  <si>
    <t>NPI Postal Code</t>
  </si>
  <si>
    <t>MMIS Name</t>
  </si>
  <si>
    <t>MMIS Street</t>
  </si>
  <si>
    <t>MMIS City</t>
  </si>
  <si>
    <t>MMIS State</t>
  </si>
  <si>
    <t>MMIS Postal Code</t>
  </si>
  <si>
    <t>MMIS Provider Type</t>
  </si>
  <si>
    <t>DSRIP Partner Type</t>
  </si>
  <si>
    <t>Public Hospital</t>
  </si>
  <si>
    <t>Provider Status</t>
  </si>
  <si>
    <t>Hub(Short Name)</t>
  </si>
  <si>
    <t>Network Type</t>
  </si>
  <si>
    <t>Errors</t>
  </si>
  <si>
    <t>Warnings</t>
  </si>
  <si>
    <t>Practitioner - Non-Primary Care Provider (PCP)</t>
  </si>
  <si>
    <t>No</t>
  </si>
  <si>
    <t>MALONE</t>
  </si>
  <si>
    <t>NY</t>
  </si>
  <si>
    <t>PHYSICIAN</t>
  </si>
  <si>
    <t>M</t>
  </si>
  <si>
    <t>MMIS</t>
  </si>
  <si>
    <t>P</t>
  </si>
  <si>
    <t>DENTIST</t>
  </si>
  <si>
    <t>All Other:: Practitioner - Non-Primary Care Provider (PCP)</t>
  </si>
  <si>
    <t>All Other:: Practitioner - Primary Care Provider (PCP)</t>
  </si>
  <si>
    <t>Yes</t>
  </si>
  <si>
    <t>150 55TH ST</t>
  </si>
  <si>
    <t>BROOKLYN</t>
  </si>
  <si>
    <t>169 RIVERSIDE DR</t>
  </si>
  <si>
    <t>BINGHAMTON</t>
  </si>
  <si>
    <t>PLATTSBURGH</t>
  </si>
  <si>
    <t>ELMHURST</t>
  </si>
  <si>
    <t>75 BEEKMAN ST</t>
  </si>
  <si>
    <t>MULTI-TYPE</t>
  </si>
  <si>
    <t>Practitioner - Primary Care Provider (PCP)</t>
  </si>
  <si>
    <t>ALBANY</t>
  </si>
  <si>
    <t>HOSPITAL</t>
  </si>
  <si>
    <t>NEW YORK</t>
  </si>
  <si>
    <t>HOME HEALTH AGENCY</t>
  </si>
  <si>
    <t>Unknown</t>
  </si>
  <si>
    <t>CBO</t>
  </si>
  <si>
    <t>No NPI or MMIS</t>
  </si>
  <si>
    <t>Uncategorized</t>
  </si>
  <si>
    <t>NPI only</t>
  </si>
  <si>
    <t>All Other:: Mental Health</t>
  </si>
  <si>
    <t>Mental Health:: Practitioner - Non-Primary Care Provider (PCP)</t>
  </si>
  <si>
    <t>All Other:: Nursing Home</t>
  </si>
  <si>
    <t>LONG TERM CARE FACILITY</t>
  </si>
  <si>
    <t>OPTOMETRIST</t>
  </si>
  <si>
    <t>THERAPIST</t>
  </si>
  <si>
    <t>SUPERVISED</t>
  </si>
  <si>
    <t>Community Advocacy and Support</t>
  </si>
  <si>
    <t>GROUP DAY HAB</t>
  </si>
  <si>
    <t>CLINICAL SOCIAL WORKER (CSW)</t>
  </si>
  <si>
    <t>NURSE</t>
  </si>
  <si>
    <t>All Other:: Clinic</t>
  </si>
  <si>
    <t>BERKSHIRE FARM CENTER AND SERVICES FOR YOUTH</t>
  </si>
  <si>
    <t>E0146981</t>
  </si>
  <si>
    <t>BERKSHIRE FARM CENTER</t>
  </si>
  <si>
    <t>All Other:: Substance Abuse</t>
  </si>
  <si>
    <t>OAS CL</t>
  </si>
  <si>
    <t>CANAAN</t>
  </si>
  <si>
    <t>DIAGNOSTIC AND TREATMENT CENTER</t>
  </si>
  <si>
    <t>MA</t>
  </si>
  <si>
    <t>ROCHESTER</t>
  </si>
  <si>
    <t>CLINICAL PSYCHOLOGIST</t>
  </si>
  <si>
    <t>LYNBROOK</t>
  </si>
  <si>
    <t>PHYSICIANS GROUP</t>
  </si>
  <si>
    <t>PODIATRIST</t>
  </si>
  <si>
    <t>JACKSON HEIGHTS</t>
  </si>
  <si>
    <t>1400 PELHAM PKWY S</t>
  </si>
  <si>
    <t>BRONX</t>
  </si>
  <si>
    <t>PHARMACY</t>
  </si>
  <si>
    <t>CHILD CARE INSTITUTION</t>
  </si>
  <si>
    <t>Mental Health:: Practitioner - Primary Care Provider (PCP)</t>
  </si>
  <si>
    <t>BUFFALO</t>
  </si>
  <si>
    <t>MEDICAL APPLIANCE DEALER</t>
  </si>
  <si>
    <t>MULTI-TYPE GROUP</t>
  </si>
  <si>
    <t>5645 MAIN ST</t>
  </si>
  <si>
    <t>FLUSHING</t>
  </si>
  <si>
    <t>PATCHOGUE</t>
  </si>
  <si>
    <t>WOODSIDE</t>
  </si>
  <si>
    <t>SYRACUSE</t>
  </si>
  <si>
    <t>All Other:: Mental Health:: Practitioner - Non-Primary Care Provider (PCP)</t>
  </si>
  <si>
    <t>All Other:: Mental Health:: Substance Abuse</t>
  </si>
  <si>
    <t>BAYSIDE</t>
  </si>
  <si>
    <t>VALHALLA</t>
  </si>
  <si>
    <t>All Other:: Clinic:: Hospital</t>
  </si>
  <si>
    <t>All Other:: Clinic:: Hospital:: Mental Health</t>
  </si>
  <si>
    <t>All Other:: Hospice</t>
  </si>
  <si>
    <t>1 BROOKDALE PLZ</t>
  </si>
  <si>
    <t>10201 66TH RD</t>
  </si>
  <si>
    <t>FOREST HILLS</t>
  </si>
  <si>
    <t>POUGHKEEPSIE</t>
  </si>
  <si>
    <t>TRANSPORTATION</t>
  </si>
  <si>
    <t>STATEN ISLAND</t>
  </si>
  <si>
    <t>NJ</t>
  </si>
  <si>
    <t>L</t>
  </si>
  <si>
    <t>PPS Partner Engagement by Project</t>
  </si>
  <si>
    <t>300 COMMUNITY DR</t>
  </si>
  <si>
    <t>MANHASSET</t>
  </si>
  <si>
    <t>NEW HYDE PARK</t>
  </si>
  <si>
    <t>506 6TH ST</t>
  </si>
  <si>
    <t>2201 HEMPSTEAD TPKE</t>
  </si>
  <si>
    <t>EAST MEADOW</t>
  </si>
  <si>
    <t>GLEN OAKS</t>
  </si>
  <si>
    <t>WESTBURY</t>
  </si>
  <si>
    <t>New York</t>
  </si>
  <si>
    <t>355 BARD AVE</t>
  </si>
  <si>
    <t>475 SEAVIEW AVE</t>
  </si>
  <si>
    <t>All Other:: Clinic:: Substance Abuse</t>
  </si>
  <si>
    <t>JAMAICA</t>
  </si>
  <si>
    <t>Sarah Larson</t>
  </si>
  <si>
    <t>4802 10TH AVE</t>
  </si>
  <si>
    <t>1825 EASTCHESTER RD</t>
  </si>
  <si>
    <t>2601 OCEAN PKWY</t>
  </si>
  <si>
    <t>8268 164TH ST</t>
  </si>
  <si>
    <t>All Other:: Pharmacy</t>
  </si>
  <si>
    <t>GREAT NECK</t>
  </si>
  <si>
    <t>HEMPSTEAD</t>
  </si>
  <si>
    <t>YONKERS</t>
  </si>
  <si>
    <t>1111 AMSTERDAM AVE</t>
  </si>
  <si>
    <t>MINEOLA</t>
  </si>
  <si>
    <t>(212) 679-4960</t>
  </si>
  <si>
    <t>gbutchen@bridgebacktolife.com</t>
  </si>
  <si>
    <t>1879 MADISON AVE</t>
  </si>
  <si>
    <t>1901 1ST AVE</t>
  </si>
  <si>
    <t>27005 76TH AVE</t>
  </si>
  <si>
    <t>NASSAU CTY MED CTR</t>
  </si>
  <si>
    <t>All Other:: Case Management / Health Home:: Clinic</t>
  </si>
  <si>
    <t>LONG ISLAND CITY</t>
  </si>
  <si>
    <t>1000 10TH AVE</t>
  </si>
  <si>
    <t>26901 76TH AVE</t>
  </si>
  <si>
    <t>8900 VAN WYCK EXPY</t>
  </si>
  <si>
    <t>MASPETH</t>
  </si>
  <si>
    <t>45 READE PL</t>
  </si>
  <si>
    <t>LEVITTOWN</t>
  </si>
  <si>
    <t>127 S BROADWAY</t>
  </si>
  <si>
    <t>GLEN COVE</t>
  </si>
  <si>
    <t>BAY SHORE</t>
  </si>
  <si>
    <t>622 W 168TH ST</t>
  </si>
  <si>
    <t>374 STOCKHOLM ST</t>
  </si>
  <si>
    <t>121 DEKALB AVE</t>
  </si>
  <si>
    <t>451 CLARKSON AVE</t>
  </si>
  <si>
    <t>525 E 68TH ST</t>
  </si>
  <si>
    <t>SPRING VALLEY</t>
  </si>
  <si>
    <t>Physician</t>
  </si>
  <si>
    <t>VALLEY STREAM</t>
  </si>
  <si>
    <t>1688 VICTORY BLVD</t>
  </si>
  <si>
    <t>STONY BROOK</t>
  </si>
  <si>
    <t>100 NICOLLS RD</t>
  </si>
  <si>
    <t>All Other:: Case Management / Health Home:: Mental Health:: Substance Abuse</t>
  </si>
  <si>
    <t>PLAINVIEW</t>
  </si>
  <si>
    <t>MASSAPEQUA</t>
  </si>
  <si>
    <t>HICKSVILLE</t>
  </si>
  <si>
    <t>327 BEACH 19TH ST</t>
  </si>
  <si>
    <t>FAR ROCKAWAY</t>
  </si>
  <si>
    <t>HEWLETT</t>
  </si>
  <si>
    <t>ROCKVILLE CENTRE</t>
  </si>
  <si>
    <t>AMITYVILLE</t>
  </si>
  <si>
    <t>SELDEN</t>
  </si>
  <si>
    <t>MOUNT VERNON</t>
  </si>
  <si>
    <t>301 E MAIN ST</t>
  </si>
  <si>
    <t>3415 BAINBRIDGE AVE</t>
  </si>
  <si>
    <t>900 FRANKLIN AVE</t>
  </si>
  <si>
    <t>4422 3RD AVE</t>
  </si>
  <si>
    <t>OLD WESTBURY</t>
  </si>
  <si>
    <t>WHITE PLAINS</t>
  </si>
  <si>
    <t>MT SINAI ELMHURST</t>
  </si>
  <si>
    <t>1000 MONTAUK HWY</t>
  </si>
  <si>
    <t>WEST ISLIP</t>
  </si>
  <si>
    <t>LAKE RONKONKOMA</t>
  </si>
  <si>
    <t>396 BROADWAY</t>
  </si>
  <si>
    <t>KINGSTON</t>
  </si>
  <si>
    <t>161 FORT WASHINGTON AVE</t>
  </si>
  <si>
    <t>2510 30TH AVE</t>
  </si>
  <si>
    <t>ASTORIA</t>
  </si>
  <si>
    <t>(212) 886-4007</t>
  </si>
  <si>
    <t>ROSLYN</t>
  </si>
  <si>
    <t>OYSTER BAY</t>
  </si>
  <si>
    <t>GARDEN CITY</t>
  </si>
  <si>
    <t>NORTH BABYLON</t>
  </si>
  <si>
    <t>140 E 80TH ST</t>
  </si>
  <si>
    <t>1000 N VILLAGE AVE</t>
  </si>
  <si>
    <t>865 NORTHERN BLVD</t>
  </si>
  <si>
    <t>LONG BEACH</t>
  </si>
  <si>
    <t>69 S BROADWAY</t>
  </si>
  <si>
    <t>SYOSSET</t>
  </si>
  <si>
    <t>210 E 64TH ST</t>
  </si>
  <si>
    <t>888 OLD COUNTRY RD</t>
  </si>
  <si>
    <t>560 1ST AVE</t>
  </si>
  <si>
    <t>585 SCHENECTADY AVE</t>
  </si>
  <si>
    <t>(646) 313-3716</t>
  </si>
  <si>
    <t>600 E 233RD ST</t>
  </si>
  <si>
    <t>REGO PARK</t>
  </si>
  <si>
    <t>YEE LILY</t>
  </si>
  <si>
    <t>E0155598</t>
  </si>
  <si>
    <t>YEE LILY FONG CHO MD</t>
  </si>
  <si>
    <t>111 E 210TH ST</t>
  </si>
  <si>
    <t>4500 PARSONS BLVD</t>
  </si>
  <si>
    <t>WINTHROP UNIV HOSP</t>
  </si>
  <si>
    <t>FL 5</t>
  </si>
  <si>
    <t>MT SINAI ELM FAC PRA</t>
  </si>
  <si>
    <t>170 W 12TH ST</t>
  </si>
  <si>
    <t>JACOBI MED CTR</t>
  </si>
  <si>
    <t>221 JERICHO TPKE</t>
  </si>
  <si>
    <t>27111 76TH AVE</t>
  </si>
  <si>
    <t>7901 BROADWAY</t>
  </si>
  <si>
    <t>LITTLE NECK</t>
  </si>
  <si>
    <t>7559 263RD ST</t>
  </si>
  <si>
    <t>1545 ATLANTIC AVE</t>
  </si>
  <si>
    <t>2035 LAKEVILLE RD</t>
  </si>
  <si>
    <t>5 E 98TH ST</t>
  </si>
  <si>
    <t>LINCOLN HOSP</t>
  </si>
  <si>
    <t>8940 56TH AVE</t>
  </si>
  <si>
    <t>E0271763</t>
  </si>
  <si>
    <t>MEDICAL ARTS SANITARIUM</t>
  </si>
  <si>
    <t>Paul Creary</t>
  </si>
  <si>
    <t>(718) 906-6700</t>
  </si>
  <si>
    <t>MEDICAL ARTS SANITARIUM, INC.</t>
  </si>
  <si>
    <t>15905 UNION TPKE</t>
  </si>
  <si>
    <t>FRESH MEADOWS</t>
  </si>
  <si>
    <t>RM 202</t>
  </si>
  <si>
    <t>RICHMOND HILL</t>
  </si>
  <si>
    <t>HOWARD BEACH</t>
  </si>
  <si>
    <t>IL</t>
  </si>
  <si>
    <t>OZONE PARK</t>
  </si>
  <si>
    <t>9610 METROPOLITAN AVE</t>
  </si>
  <si>
    <t>FREEPORT</t>
  </si>
  <si>
    <t>13303 JAMAICA AVE</t>
  </si>
  <si>
    <t>MO</t>
  </si>
  <si>
    <t>QUEENS LI MED GROUP</t>
  </si>
  <si>
    <t>E0267757</t>
  </si>
  <si>
    <t>PARKER JEWISH INST HLTH CR RE</t>
  </si>
  <si>
    <t>PARKER JEWISH INSTITUTE FOR HEALTH CARE AND REHABILTATION</t>
  </si>
  <si>
    <t>FLORAL PARK</t>
  </si>
  <si>
    <t>Bronx</t>
  </si>
  <si>
    <t>5528 MAIN ST</t>
  </si>
  <si>
    <t>2000 E GUN HILL RD</t>
  </si>
  <si>
    <t>STE 2</t>
  </si>
  <si>
    <t>NANUET</t>
  </si>
  <si>
    <t>JAMAICA HOSP</t>
  </si>
  <si>
    <t>NEW WINDSOR</t>
  </si>
  <si>
    <t>5645 MAIN ST # 637</t>
  </si>
  <si>
    <t>STE 107</t>
  </si>
  <si>
    <t>RM 152</t>
  </si>
  <si>
    <t>310 E 14TH ST</t>
  </si>
  <si>
    <t>Home Health</t>
  </si>
  <si>
    <t>CORONA</t>
  </si>
  <si>
    <t>SOUTH RICHMOND HILL</t>
  </si>
  <si>
    <t>CARMEL</t>
  </si>
  <si>
    <t>LUTHERAN MED CTR</t>
  </si>
  <si>
    <t>GLENDALE</t>
  </si>
  <si>
    <t>QUEENS VILLAGE</t>
  </si>
  <si>
    <t>134 HOMER AVE</t>
  </si>
  <si>
    <t>CORTLAND</t>
  </si>
  <si>
    <t>NEW ROCHELLE</t>
  </si>
  <si>
    <t>UNIONDALE</t>
  </si>
  <si>
    <t>1650 GRAND CONCOURSE</t>
  </si>
  <si>
    <t>DENTAL GROUPS</t>
  </si>
  <si>
    <t>E0333155</t>
  </si>
  <si>
    <t>RESOURCE MEDICAL SERVICES PC</t>
  </si>
  <si>
    <t>11909 26TH AVE</t>
  </si>
  <si>
    <t>339 HICKS ST</t>
  </si>
  <si>
    <t>STATE OF NEW YORK COMPTROLLERS OFFICE</t>
  </si>
  <si>
    <t>2901 216TH ST</t>
  </si>
  <si>
    <t>ELMONT</t>
  </si>
  <si>
    <t>KEW GARDENS</t>
  </si>
  <si>
    <t>MIDDLE VILLAGE</t>
  </si>
  <si>
    <t>1 GUSTAVE L LEVY PL</t>
  </si>
  <si>
    <t>17 E 102ND ST</t>
  </si>
  <si>
    <t>JAMAICA PSYCH SVCS</t>
  </si>
  <si>
    <t>130 E 77TH ST</t>
  </si>
  <si>
    <t>462 1ST AVE</t>
  </si>
  <si>
    <t>8900 VAN WYCK EXPWY</t>
  </si>
  <si>
    <t>RIDGEWOOD</t>
  </si>
  <si>
    <t>E0312388</t>
  </si>
  <si>
    <t>KIM SU A</t>
  </si>
  <si>
    <t>KIM SUA MS.</t>
  </si>
  <si>
    <t>KIM SUA</t>
  </si>
  <si>
    <t>3959 58TH ST</t>
  </si>
  <si>
    <t>37 W 26TH ST</t>
  </si>
  <si>
    <t>E0375665</t>
  </si>
  <si>
    <t>LONG MICHELE</t>
  </si>
  <si>
    <t>LONG MICHELE MS.</t>
  </si>
  <si>
    <t>37 W 26TH ST FL 6</t>
  </si>
  <si>
    <t>E0360199</t>
  </si>
  <si>
    <t>TURNER CAROL LOLITA</t>
  </si>
  <si>
    <t>TURNER CAROL MS.</t>
  </si>
  <si>
    <t>9002 QUEENS BLVD</t>
  </si>
  <si>
    <t>234 E 149TH ST</t>
  </si>
  <si>
    <t>FL</t>
  </si>
  <si>
    <t>STE 206</t>
  </si>
  <si>
    <t>1000 ZECKENDORF BLVD</t>
  </si>
  <si>
    <t>102-01 66TH RD</t>
  </si>
  <si>
    <t>E0354427</t>
  </si>
  <si>
    <t>GOLUB ASHLEY D</t>
  </si>
  <si>
    <t>GOLUB ASHLEY DR.</t>
  </si>
  <si>
    <t>All Other:: Clinic:: Mental Health</t>
  </si>
  <si>
    <t>SANTILLAN YADIRA</t>
  </si>
  <si>
    <t>(516) 731-3770</t>
  </si>
  <si>
    <t>bschiel@bestcare.com</t>
  </si>
  <si>
    <t>E0156068</t>
  </si>
  <si>
    <t>BRIDGE BACK TO LIFE CTR INC</t>
  </si>
  <si>
    <t>BRIDGE BACK TO LIFE CENTER, INC.</t>
  </si>
  <si>
    <t>25-10 30TH AVE</t>
  </si>
  <si>
    <t>E0266343</t>
  </si>
  <si>
    <t>17 PHELPS AVE</t>
  </si>
  <si>
    <t>NEW YORK FOUNDLING HOSPITAL</t>
  </si>
  <si>
    <t>E0212570</t>
  </si>
  <si>
    <t>ST AGATHAS 11 HAYDEN CIRCLE</t>
  </si>
  <si>
    <t>NYFOUNDLING HOSP AKA ST AGATHAS 10 DURYEA LANE</t>
  </si>
  <si>
    <t>NEW YORK FOUNDLING 10 DURYEA ICF</t>
  </si>
  <si>
    <t>10 DURYEA LN</t>
  </si>
  <si>
    <t>E0334970</t>
  </si>
  <si>
    <t>NY FOUNDLING HOSPITAL</t>
  </si>
  <si>
    <t>NEW YORK FOUNDLING 12 DURYEA ICF</t>
  </si>
  <si>
    <t>12 DURYEA LN</t>
  </si>
  <si>
    <t>E0230003</t>
  </si>
  <si>
    <t>ST AGATHAS DEPAUL ICF</t>
  </si>
  <si>
    <t>NYFOUNDLING HOSP AKA ST AGATHAS 4 DURYEA LANE</t>
  </si>
  <si>
    <t>NEW YORK FOUNDLING 4 DURYEA ICF</t>
  </si>
  <si>
    <t>4 DURYEA LN</t>
  </si>
  <si>
    <t>E0286596</t>
  </si>
  <si>
    <t>NY FOUNDLING HOSPITAL ST AGATHAS DA</t>
  </si>
  <si>
    <t>NY FOUNDLING HOSP ST AGATHAS DAY</t>
  </si>
  <si>
    <t>235 N MAIN ST STE 14</t>
  </si>
  <si>
    <t>E0003004</t>
  </si>
  <si>
    <t>NEW YORK FOUNDLING</t>
  </si>
  <si>
    <t>NEW YORK FOUNDLING ICF AKA ST. AGATHA'S 6 DURYEA LANE</t>
  </si>
  <si>
    <t>NEW YORK FOUNDLING 6 DURYEA ICF</t>
  </si>
  <si>
    <t>6 DURYEA LN</t>
  </si>
  <si>
    <t>FL 9</t>
  </si>
  <si>
    <t>RM 303</t>
  </si>
  <si>
    <t>SUNNYSIDE</t>
  </si>
  <si>
    <t>E0200318</t>
  </si>
  <si>
    <t>OUTREACH DEVELOPMENT CORP</t>
  </si>
  <si>
    <t>All Other:: Case Management / Health Home:: Substance Abuse</t>
  </si>
  <si>
    <t>OUTREACH DEVELOPMENT CORPORATION</t>
  </si>
  <si>
    <t>117-11 MYRTLE AVE</t>
  </si>
  <si>
    <t>E0247784</t>
  </si>
  <si>
    <t>ST AGATHAS PELHAM MANOR ICF</t>
  </si>
  <si>
    <t>NYFOUNDLING HOSPITAL AKA ST AGATHAS PELHAM MANOR ICF</t>
  </si>
  <si>
    <t>NEW YORK FOUNDLING PELHAM ICF</t>
  </si>
  <si>
    <t>PELHAM MANOR ICF</t>
  </si>
  <si>
    <t>PELHAM</t>
  </si>
  <si>
    <t>5 DAKOTA DR STE 200</t>
  </si>
  <si>
    <t>E0121680</t>
  </si>
  <si>
    <t>ST MARY'S COMM CARE PROF INC</t>
  </si>
  <si>
    <t>ST MARY'S COMMUNITY CARE PROFESSIONAL, CORP.</t>
  </si>
  <si>
    <t>ST MARY'S COMM CARE PROF CORP</t>
  </si>
  <si>
    <t>E0268002</t>
  </si>
  <si>
    <t>ST MARYS HOSPITAL FOR CHILDRE</t>
  </si>
  <si>
    <t>ST MARY'S HOSPITAL FOR CHILDREN</t>
  </si>
  <si>
    <t>E0219600</t>
  </si>
  <si>
    <t>RTF CHILDRENS VILLAGE</t>
  </si>
  <si>
    <t>CHILDREN'S VILLAGE</t>
  </si>
  <si>
    <t>CHILDRENS VILLAGE</t>
  </si>
  <si>
    <t>ECHO HILLS</t>
  </si>
  <si>
    <t>DOBBS FERRY</t>
  </si>
  <si>
    <t>E0230004</t>
  </si>
  <si>
    <t>ST AGATHAS 13 HAYDEN CIRCLE</t>
  </si>
  <si>
    <t>NYFOUNDLING HOSP AKA ST AGATHAS 8 DURYEA LANE</t>
  </si>
  <si>
    <t>NEW YORK FOUNDLING 8 DURYEA ICF</t>
  </si>
  <si>
    <t>8 DURYEA LN</t>
  </si>
  <si>
    <t>E0247785</t>
  </si>
  <si>
    <t>ST AGATHAS ARDSLEY ICF</t>
  </si>
  <si>
    <t>NYFOUNDLING HOSP AKA ST AGATHAS ARDSLEY ICF</t>
  </si>
  <si>
    <t>NEW YORK FOUNDLING ARDSLEY ICF</t>
  </si>
  <si>
    <t>ARDSLEY ICF</t>
  </si>
  <si>
    <t>ARDSLEY</t>
  </si>
  <si>
    <t>Brooklyn</t>
  </si>
  <si>
    <t>5141 BROADWAY</t>
  </si>
  <si>
    <t>N/A</t>
  </si>
  <si>
    <t>ROSEDALE</t>
  </si>
  <si>
    <t>Non-PPS Network</t>
  </si>
  <si>
    <t>E0292244</t>
  </si>
  <si>
    <t>REICHERT JAMES MICHAEL</t>
  </si>
  <si>
    <t>REICHERT JAMES MR.</t>
  </si>
  <si>
    <t>REICHERT JAMES MICHAEL RPA</t>
  </si>
  <si>
    <t>CERTIFIED ASTHMA OR DIABETES EDUCATOR</t>
  </si>
  <si>
    <t>LARCHMONT</t>
  </si>
  <si>
    <t>1275 YORK AVE</t>
  </si>
  <si>
    <t>100 E 77TH ST</t>
  </si>
  <si>
    <t>HOUSE CALL MEDICAL SERVICES OF NEW YORK, PLLC</t>
  </si>
  <si>
    <t>E0344747</t>
  </si>
  <si>
    <t>HOUSE CALL MEDICAL SERVICES OF NEW</t>
  </si>
  <si>
    <t>Imelda Tavas</t>
  </si>
  <si>
    <t>(718) 561-2121</t>
  </si>
  <si>
    <t>2024 CRESTON AVE FL 2</t>
  </si>
  <si>
    <t>HOLLIS</t>
  </si>
  <si>
    <t>18730 HILLSIDE AVE</t>
  </si>
  <si>
    <t>E0032232</t>
  </si>
  <si>
    <t>BGR SERVICE INC</t>
  </si>
  <si>
    <t>Maria Mendez</t>
  </si>
  <si>
    <t>mmendez@thepacprogram.com</t>
  </si>
  <si>
    <t>BGR SERVICES INC.</t>
  </si>
  <si>
    <t>7 DEBEVOISE ST</t>
  </si>
  <si>
    <t>Q.S.A.C</t>
  </si>
  <si>
    <t>E0103823</t>
  </si>
  <si>
    <t>(718) 728-8476</t>
  </si>
  <si>
    <t>QSAC, INC.</t>
  </si>
  <si>
    <t>QSAC INC</t>
  </si>
  <si>
    <t>118-60 SPRINGFIELD BLVD</t>
  </si>
  <si>
    <t>ST ALBANS</t>
  </si>
  <si>
    <t>E0036594</t>
  </si>
  <si>
    <t>QSA SERVICES INC</t>
  </si>
  <si>
    <t>Q.S.A SERVICES INC.</t>
  </si>
  <si>
    <t>4011 WARREN ST</t>
  </si>
  <si>
    <t>WORCESTER</t>
  </si>
  <si>
    <t>ALLEN PAVILION</t>
  </si>
  <si>
    <t>(718) 584-3826</t>
  </si>
  <si>
    <t>Henry Sardar</t>
  </si>
  <si>
    <t>(718) 878-4314</t>
  </si>
  <si>
    <t>support@pain1234.com</t>
  </si>
  <si>
    <t>CALDERON CECILIA</t>
  </si>
  <si>
    <t>E0000719</t>
  </si>
  <si>
    <t>CECILIA GRISELDA CALDERON MD</t>
  </si>
  <si>
    <t>CALDERON CECILIA GRISELDA MD</t>
  </si>
  <si>
    <t>1262 BOSTON RD STE 2</t>
  </si>
  <si>
    <t>135 HAVEN AVE</t>
  </si>
  <si>
    <t>1369 BROADWAY</t>
  </si>
  <si>
    <t>E0002733</t>
  </si>
  <si>
    <t>YUN JEAN SHIM MD</t>
  </si>
  <si>
    <t>YUN JEAN DR.</t>
  </si>
  <si>
    <t>VENTURE HOUSE</t>
  </si>
  <si>
    <t>(646) 747-1509</t>
  </si>
  <si>
    <t>SOUTH OZONE PARK</t>
  </si>
  <si>
    <t>JEWISH BOARD OF FAMILY AND CHILDREN'S SERVICES, INC.</t>
  </si>
  <si>
    <t>E0159401</t>
  </si>
  <si>
    <t>JEWISH BD OF FAM CHILD SVC</t>
  </si>
  <si>
    <t>(212) 632-4630</t>
  </si>
  <si>
    <t>2795 RICHMOND AVE</t>
  </si>
  <si>
    <t>268 CANAL ST</t>
  </si>
  <si>
    <t>JAMAICA HOSPITAL</t>
  </si>
  <si>
    <t>E0230879</t>
  </si>
  <si>
    <t>NEW HORIZON COUNSELING CTR</t>
  </si>
  <si>
    <t>Herrick Lipton</t>
  </si>
  <si>
    <t>(718) 845-2620</t>
  </si>
  <si>
    <t>NEW HORIZON COUNSELING CENTER INC</t>
  </si>
  <si>
    <t>NEW HORIZON CL</t>
  </si>
  <si>
    <t>E0268111</t>
  </si>
  <si>
    <t>QUEENS CTR REH &amp; RES HLTH CR</t>
  </si>
  <si>
    <t>Isaac Rubin</t>
  </si>
  <si>
    <t>(917) 618-4869</t>
  </si>
  <si>
    <t>irubin@centersforcare.org</t>
  </si>
  <si>
    <t>CLEARVIEW OPERATING CO. LLC</t>
  </si>
  <si>
    <t>157-15 19TH AVE</t>
  </si>
  <si>
    <t>WHITESTONE</t>
  </si>
  <si>
    <t>227 MADISON ST</t>
  </si>
  <si>
    <t>E0009256</t>
  </si>
  <si>
    <t>TAM CYNTHIA J MD</t>
  </si>
  <si>
    <t>TAM CYNTHIA DR.</t>
  </si>
  <si>
    <t>139 CENTRE ST RM 709</t>
  </si>
  <si>
    <t>E0110317</t>
  </si>
  <si>
    <t>ZHENG HANBIN MD</t>
  </si>
  <si>
    <t>ZHENG HANBIN DR.</t>
  </si>
  <si>
    <t>ZHENG HANBIN</t>
  </si>
  <si>
    <t>86 BOWERY FL 4</t>
  </si>
  <si>
    <t>WEISSMAN LAURENCE</t>
  </si>
  <si>
    <t>E0215183</t>
  </si>
  <si>
    <t>WEISSMAN LAURENCE ROY      MD</t>
  </si>
  <si>
    <t>Bushwick Center for Rehabilitation and Health Care</t>
  </si>
  <si>
    <t>E0188552</t>
  </si>
  <si>
    <t>WARTBURG LUTHERAN HM AGING</t>
  </si>
  <si>
    <t>WARTBURG RECEIVER, LLC</t>
  </si>
  <si>
    <t>BUSHWICK CENTER REHAB &amp; HLT CARE</t>
  </si>
  <si>
    <t>50 SHEFFIELD AVE</t>
  </si>
  <si>
    <t>217 GRAND ST</t>
  </si>
  <si>
    <t>E0126105</t>
  </si>
  <si>
    <t>YOUNGEWIRTH ELIZABETH DPM</t>
  </si>
  <si>
    <t>YOUNGEWIRTH ELIZABETH DR.</t>
  </si>
  <si>
    <t>4915 BROADWAY</t>
  </si>
  <si>
    <t>780 E TREMONT AVE</t>
  </si>
  <si>
    <t>E0048668</t>
  </si>
  <si>
    <t>SHUKLA MAYANK ARUN MD</t>
  </si>
  <si>
    <t>SHUKLA MAYANK</t>
  </si>
  <si>
    <t>153 W 11TH ST</t>
  </si>
  <si>
    <t>6008 JUNCTION BLVD</t>
  </si>
  <si>
    <t>301 E 17TH ST</t>
  </si>
  <si>
    <t>E0313203</t>
  </si>
  <si>
    <t>PATEL ALKESH NAVIN</t>
  </si>
  <si>
    <t>PATEL ALKESH DR.</t>
  </si>
  <si>
    <t>760 BROADWAY</t>
  </si>
  <si>
    <t>79-25 WINCHESTER BLVD</t>
  </si>
  <si>
    <t>15840 79TH AVE</t>
  </si>
  <si>
    <t>PUTNAM VALLEY</t>
  </si>
  <si>
    <t>E0268126</t>
  </si>
  <si>
    <t>MARGARET TIETZ CENTER FOR NUR</t>
  </si>
  <si>
    <t>MARGARET TIETZ NURSING AND REHABILITATION CENTER</t>
  </si>
  <si>
    <t>MARGARET TIETZ CTR FOR NURSING CARE</t>
  </si>
  <si>
    <t>16411 CHAPIN PKWY</t>
  </si>
  <si>
    <t>E0297703</t>
  </si>
  <si>
    <t>THE PAC PROGRAM OF THE BRONX INC</t>
  </si>
  <si>
    <t>THE PAC PROGRAM OF THE BRONX</t>
  </si>
  <si>
    <t>1215 STRATFORD AVE # 1217</t>
  </si>
  <si>
    <t>Hospice of New York, LLC</t>
  </si>
  <si>
    <t>E0120826</t>
  </si>
  <si>
    <t>HOSPICE OF NEW YORK LLC</t>
  </si>
  <si>
    <t>John Diaz-Chermack</t>
  </si>
  <si>
    <t>(347) 226-4804</t>
  </si>
  <si>
    <t>john.diazchermack@hospiceny.com</t>
  </si>
  <si>
    <t>HOSPICE OF NEW YORK, LLC</t>
  </si>
  <si>
    <t>STE 500</t>
  </si>
  <si>
    <t>(718) 206-2000</t>
  </si>
  <si>
    <t>University Nursing Home</t>
  </si>
  <si>
    <t>E0267882</t>
  </si>
  <si>
    <t>UNIVERSITY NURSING HOME SNF</t>
  </si>
  <si>
    <t>UNIVERSITY NURSING HOME LLC</t>
  </si>
  <si>
    <t>UNIVERSITY NURSING HOME</t>
  </si>
  <si>
    <t>2505 GRAND AVE</t>
  </si>
  <si>
    <t>E0119287</t>
  </si>
  <si>
    <t>WASEEM FAISAL MD</t>
  </si>
  <si>
    <t>WASEEM FAISAL</t>
  </si>
  <si>
    <t>3429 83RD ST</t>
  </si>
  <si>
    <t>8201 37TH AVE</t>
  </si>
  <si>
    <t>5920 VAN DOREN ST</t>
  </si>
  <si>
    <t>E0216954</t>
  </si>
  <si>
    <t>USEDA CLAUDIA A            MD</t>
  </si>
  <si>
    <t>USEDA CLAUDIA DR.</t>
  </si>
  <si>
    <t>124 E 84TH ST APT 1A</t>
  </si>
  <si>
    <t>739 KNICKERBOCKER AVE</t>
  </si>
  <si>
    <t>ST JOHNS EPISC HOSP</t>
  </si>
  <si>
    <t>6200 BEACH CHANNEL DR</t>
  </si>
  <si>
    <t>ARVERNE</t>
  </si>
  <si>
    <t>127 S BROADWAY FL 2</t>
  </si>
  <si>
    <t>E0135077</t>
  </si>
  <si>
    <t>AHMAD SYED T MD</t>
  </si>
  <si>
    <t>AHMAD SYED DR.</t>
  </si>
  <si>
    <t>JACKSON HGHTS MC</t>
  </si>
  <si>
    <t>215 E 95TH ST</t>
  </si>
  <si>
    <t>COLUMB PRES RAD</t>
  </si>
  <si>
    <t>INTERFAITH MED CTR</t>
  </si>
  <si>
    <t>LENOX HILL HOSPITAL</t>
  </si>
  <si>
    <t>13625 MAPLE AVE STE 202</t>
  </si>
  <si>
    <t>6967 108TH ST</t>
  </si>
  <si>
    <t>GODBOUT BRANDON DR.</t>
  </si>
  <si>
    <t>E0323653</t>
  </si>
  <si>
    <t>GODBOUT BRANDON J</t>
  </si>
  <si>
    <t>ZHANG DAVID</t>
  </si>
  <si>
    <t>E0058654</t>
  </si>
  <si>
    <t>STE 209</t>
  </si>
  <si>
    <t>170 WILLIAM ST</t>
  </si>
  <si>
    <t>110 E 59TH ST</t>
  </si>
  <si>
    <t>METROPOLITAN HSP</t>
  </si>
  <si>
    <t>JAMAICA HOSPITAL MEDICAL CENTER</t>
  </si>
  <si>
    <t>E0188009</t>
  </si>
  <si>
    <t>ENGEL HARRY MARK</t>
  </si>
  <si>
    <t>ENGEL HARRY</t>
  </si>
  <si>
    <t>DEPT OF OPTHO R434</t>
  </si>
  <si>
    <t>450 CLARKSON AVE</t>
  </si>
  <si>
    <t>833 58TH ST</t>
  </si>
  <si>
    <t>18803 JAMAICA AVE</t>
  </si>
  <si>
    <t>CLEMENTE KAREN</t>
  </si>
  <si>
    <t>E0311331</t>
  </si>
  <si>
    <t>KAREN CLEMENTE</t>
  </si>
  <si>
    <t>8900 VAN WYCK EXPRESSWAY</t>
  </si>
  <si>
    <t>ARMS ACRES INC</t>
  </si>
  <si>
    <t>E0157894</t>
  </si>
  <si>
    <t>ARMS ACRES</t>
  </si>
  <si>
    <t>RWALLACH@LIBERTYMGT.COM</t>
  </si>
  <si>
    <t>ADOL IPR/CL/PRIM CR</t>
  </si>
  <si>
    <t>SAMARITAN DAYTOP VILLAGE, INC.</t>
  </si>
  <si>
    <t>RICHMOND HILLS</t>
  </si>
  <si>
    <t>7901 BROADWAY # E2-69</t>
  </si>
  <si>
    <t>BRONX LEBANON HOSP</t>
  </si>
  <si>
    <t>(718) 681-8700</t>
  </si>
  <si>
    <t>1545 INWOOD AVE</t>
  </si>
  <si>
    <t>SWEGER@ARCWELL.NET</t>
  </si>
  <si>
    <t>CAPITATION PROVIDER</t>
  </si>
  <si>
    <t>Claire Hakim</t>
  </si>
  <si>
    <t>(917) 992-0605</t>
  </si>
  <si>
    <t>chakim@ambercourtal.com</t>
  </si>
  <si>
    <t>REGENCY SENIOR LIVING ALP</t>
  </si>
  <si>
    <t>3400 BRUSH HOLLOW RD</t>
  </si>
  <si>
    <t>TARRYTOWN</t>
  </si>
  <si>
    <t>itavas@essenmd.com</t>
  </si>
  <si>
    <t>420 LEXINGTON AVE STE 1644</t>
  </si>
  <si>
    <t>2015 GRAND CONCOURSE</t>
  </si>
  <si>
    <t>(718) 299-7295</t>
  </si>
  <si>
    <t>1455 CONEY ISLAND AVE</t>
  </si>
  <si>
    <t>PODIATRIST GROUP</t>
  </si>
  <si>
    <t>BROOKLYN HOSP CTR</t>
  </si>
  <si>
    <t>VINAS SONIA</t>
  </si>
  <si>
    <t>E0179828</t>
  </si>
  <si>
    <t>VINAS SONIA MILIZA  MD</t>
  </si>
  <si>
    <t>BROOKLYN HOSP</t>
  </si>
  <si>
    <t>170 BUFFALO AVE</t>
  </si>
  <si>
    <t>506 MALCOLM X BLVD</t>
  </si>
  <si>
    <t>2922 30TH AVE</t>
  </si>
  <si>
    <t>E0005200</t>
  </si>
  <si>
    <t>LAURA AMRAM</t>
  </si>
  <si>
    <t>AMRAM LAURA</t>
  </si>
  <si>
    <t>6514 108TH ST</t>
  </si>
  <si>
    <t>E0071242</t>
  </si>
  <si>
    <t>KHALDAROV YEVGENIY MD</t>
  </si>
  <si>
    <t>All Other:: Mental Health:: Practitioner - Primary Care Provider (PCP)</t>
  </si>
  <si>
    <t>KHALDAROV YEVGENIY</t>
  </si>
  <si>
    <t>APT F8</t>
  </si>
  <si>
    <t>920 48TH ST</t>
  </si>
  <si>
    <t>E0033679</t>
  </si>
  <si>
    <t>BADHEY VASANTHA MD</t>
  </si>
  <si>
    <t>BADHEY VASANTHA</t>
  </si>
  <si>
    <t>All Other:: Clinic:: Mental Health:: Substance Abuse</t>
  </si>
  <si>
    <t>1543-1545 INWOOD AVE</t>
  </si>
  <si>
    <t>6735 112TH ST</t>
  </si>
  <si>
    <t>E0149247</t>
  </si>
  <si>
    <t>MITCHELL HARRISON MD</t>
  </si>
  <si>
    <t>MITCHELL HARRISON DR.</t>
  </si>
  <si>
    <t>ST LUKES HSP-ED</t>
  </si>
  <si>
    <t>HORNELL</t>
  </si>
  <si>
    <t>RM 501</t>
  </si>
  <si>
    <t>139 CENTRE ST</t>
  </si>
  <si>
    <t>KY</t>
  </si>
  <si>
    <t>4401 NEWTOWN RD</t>
  </si>
  <si>
    <t>8737 PALERMO ST</t>
  </si>
  <si>
    <t>542 E 5TH ST</t>
  </si>
  <si>
    <t>WANG MEI DR.</t>
  </si>
  <si>
    <t>E0312032</t>
  </si>
  <si>
    <t>WANG MEI</t>
  </si>
  <si>
    <t>136-52 39TH AVE</t>
  </si>
  <si>
    <t>E0110042</t>
  </si>
  <si>
    <t>PIMENTEL RAMON R MD</t>
  </si>
  <si>
    <t>PIMENTEL RAMON DR.</t>
  </si>
  <si>
    <t>37-47 77TH ST</t>
  </si>
  <si>
    <t>(718) 275-6010</t>
  </si>
  <si>
    <t>jrossland@fedmhc.org</t>
  </si>
  <si>
    <t>Goodwill Industries of Greater New York &amp; Northern New Jersey, Inc.</t>
  </si>
  <si>
    <t>E0023084</t>
  </si>
  <si>
    <t>GOODWILL INDUSTRIES ACT RC</t>
  </si>
  <si>
    <t>Jennifer Tine</t>
  </si>
  <si>
    <t>(718) 777-7312</t>
  </si>
  <si>
    <t>Jtine@goodwillny.org</t>
  </si>
  <si>
    <t>GOODWILL INDUSTRIES OF GREATER NEW YORK AND NORTHERN NEW JERSEY, INC.</t>
  </si>
  <si>
    <t>GOODWILL INDUSTRIES GR NY INC</t>
  </si>
  <si>
    <t>STE 230</t>
  </si>
  <si>
    <t>MT SINAI HSP</t>
  </si>
  <si>
    <t>E0082466</t>
  </si>
  <si>
    <t>NYEIN ROLAND MD</t>
  </si>
  <si>
    <t>NYEIN ROLAND DR.</t>
  </si>
  <si>
    <t>NYEIN ROLAND</t>
  </si>
  <si>
    <t>68 BAYARD ST</t>
  </si>
  <si>
    <t>4161 KISSENA BLVD</t>
  </si>
  <si>
    <t>E0028724</t>
  </si>
  <si>
    <t>PUNZALAN BETTY N MD</t>
  </si>
  <si>
    <t>NYEIN BETTY DR.</t>
  </si>
  <si>
    <t>NYEIN BETTY</t>
  </si>
  <si>
    <t>E0012616</t>
  </si>
  <si>
    <t>GERLACH KECIA</t>
  </si>
  <si>
    <t>GERLACH KECIA HELENE MD</t>
  </si>
  <si>
    <t>822 54TH ST LOWR LEVEL</t>
  </si>
  <si>
    <t>GOD'S LOVE WE DELIVER, INC.</t>
  </si>
  <si>
    <t>166 AVENUE OF THE AMERICAS</t>
  </si>
  <si>
    <t>Amber Court of Pelham Gardens</t>
  </si>
  <si>
    <t>JUDITH LYNN HOME FOR ADULTS, LLC</t>
  </si>
  <si>
    <t>1800 WARING AVE</t>
  </si>
  <si>
    <t>E0006387</t>
  </si>
  <si>
    <t>WANG MINGKE</t>
  </si>
  <si>
    <t>WANG MINGKE MD</t>
  </si>
  <si>
    <t>FIRST AVE AT 16TH STREET</t>
  </si>
  <si>
    <t>BRIARWOOD</t>
  </si>
  <si>
    <t>Alpine Home Health Care</t>
  </si>
  <si>
    <t>E0287872</t>
  </si>
  <si>
    <t>ALPINE HOME HEALTH CARE LLC</t>
  </si>
  <si>
    <t>Deborah Forbes</t>
  </si>
  <si>
    <t>(914) 323-8769</t>
  </si>
  <si>
    <t>dforbes@alpinehhc.org</t>
  </si>
  <si>
    <t>4770 WHITE PLAINS RD</t>
  </si>
  <si>
    <t>CENTERLIGHT HEALTHCARE, INC.</t>
  </si>
  <si>
    <t>1250 WATERS PL, TOWER 1 SUITE 602</t>
  </si>
  <si>
    <t>515 W 207TH ST</t>
  </si>
  <si>
    <t>LICH-MPA PC EMERG</t>
  </si>
  <si>
    <t>KUKAR ATUL DR.</t>
  </si>
  <si>
    <t>E0284540</t>
  </si>
  <si>
    <t>KUKAR ATUL</t>
  </si>
  <si>
    <t>130 E 77TH ST FL 9 BLACK HALL</t>
  </si>
  <si>
    <t>8708 JUSTICE AVE</t>
  </si>
  <si>
    <t>SLRH INPATIENT</t>
  </si>
  <si>
    <t>4036 JUNCTION BLVD</t>
  </si>
  <si>
    <t>OH</t>
  </si>
  <si>
    <t>E0131870</t>
  </si>
  <si>
    <t>A T ADEBAYO MD PC</t>
  </si>
  <si>
    <t>ADEBAYO ADEGBOYEGA</t>
  </si>
  <si>
    <t>APT 1D</t>
  </si>
  <si>
    <t>E0158437</t>
  </si>
  <si>
    <t>LIRIANO OCTAVIO ANTONIO JR MD</t>
  </si>
  <si>
    <t>LIRIANO OCTAVIO</t>
  </si>
  <si>
    <t>308 E 175TH ST</t>
  </si>
  <si>
    <t>E0163702</t>
  </si>
  <si>
    <t>PALMA JAMES  MD</t>
  </si>
  <si>
    <t>PALMA JAMES DR.</t>
  </si>
  <si>
    <t>10 W 66TH ST</t>
  </si>
  <si>
    <t>15211 89TH AVE</t>
  </si>
  <si>
    <t>ST JOHNS QUEENS HOSP</t>
  </si>
  <si>
    <t>SINGH AMARJIT DR.</t>
  </si>
  <si>
    <t>NEW HARTFORD</t>
  </si>
  <si>
    <t>1236 FULTON ST</t>
  </si>
  <si>
    <t>ST BARNABAS HOSPITAL</t>
  </si>
  <si>
    <t>9785 QUEENS BLVD</t>
  </si>
  <si>
    <t>217 GRAND ST FL 2</t>
  </si>
  <si>
    <t>BELLEROSE</t>
  </si>
  <si>
    <t>19 BOWERY STE 8 # 2FL</t>
  </si>
  <si>
    <t>E0194920</t>
  </si>
  <si>
    <t>VNS OF NY HOSPICE CARE</t>
  </si>
  <si>
    <t>(212) 609-7563</t>
  </si>
  <si>
    <t>VISITING NURSE SERVICE OF NEW YORK HOSPICE CARE</t>
  </si>
  <si>
    <t>1250 BROADWAY</t>
  </si>
  <si>
    <t>E0323984</t>
  </si>
  <si>
    <t>BORO PARK CTR REHAB &amp; HLTH CR</t>
  </si>
  <si>
    <t>BORO PARK OPERATING CO LLC</t>
  </si>
  <si>
    <t>4915 10TH AVE</t>
  </si>
  <si>
    <t>612 ALLERTON AVE</t>
  </si>
  <si>
    <t>Holliswood Center for Rehabilitation and Healthcare</t>
  </si>
  <si>
    <t>E0359879</t>
  </si>
  <si>
    <t>HOLLISWOOD OPERATING CO LLC</t>
  </si>
  <si>
    <t>HOLLIS OPERATING CO LLC</t>
  </si>
  <si>
    <t>195-44 WOODHULL AVE</t>
  </si>
  <si>
    <t>Brooklyn Center for Rehabilitation and Residential Health Care</t>
  </si>
  <si>
    <t>E0267852</t>
  </si>
  <si>
    <t>BROOKLYN CTR REHAB &amp; RESIDENTIAL CR</t>
  </si>
  <si>
    <t>PROSPECT PARK OPERATING, LLC</t>
  </si>
  <si>
    <t>121 E 60TH ST</t>
  </si>
  <si>
    <t>LENOX HILL CARD&amp;VASC</t>
  </si>
  <si>
    <t>PORETSKY LEONID</t>
  </si>
  <si>
    <t>E0209824</t>
  </si>
  <si>
    <t>PORETSKY LEONID            MD</t>
  </si>
  <si>
    <t>E0139270</t>
  </si>
  <si>
    <t>GOLDMAN ADAM Y MD</t>
  </si>
  <si>
    <t>GOLDMAN ADAM</t>
  </si>
  <si>
    <t>750 MCLEAN AVE</t>
  </si>
  <si>
    <t>3016 30TH DR</t>
  </si>
  <si>
    <t>E0084143</t>
  </si>
  <si>
    <t>DAYAN ALAN R MD</t>
  </si>
  <si>
    <t>DAYAN ALAN</t>
  </si>
  <si>
    <t>NYACK</t>
  </si>
  <si>
    <t>E0323153</t>
  </si>
  <si>
    <t>MCPHERSON CHRISTINA</t>
  </si>
  <si>
    <t>(212) 545-2441</t>
  </si>
  <si>
    <t>MCPHERSON CHRISTINA MS.</t>
  </si>
  <si>
    <t>PRICE LINDSAY</t>
  </si>
  <si>
    <t>E0331091</t>
  </si>
  <si>
    <t>LINDSAY N PRICE</t>
  </si>
  <si>
    <t>PRICE LINDSAY NICOLE</t>
  </si>
  <si>
    <t>E0154722</t>
  </si>
  <si>
    <t>SINGH AMARJIT MD PC</t>
  </si>
  <si>
    <t>SINGH AMARJIT MD</t>
  </si>
  <si>
    <t>11949 UNION TPKE</t>
  </si>
  <si>
    <t>WOODHAVEN</t>
  </si>
  <si>
    <t>EMPIRE STATE HM CARE SER</t>
  </si>
  <si>
    <t>E0068352</t>
  </si>
  <si>
    <t>EMPIRE ST HM CARE SER LTHHCP</t>
  </si>
  <si>
    <t>EMPIRE STATE HOME CARE SERVICES INC</t>
  </si>
  <si>
    <t>15 METROTECH CTR FL 10</t>
  </si>
  <si>
    <t>PATEL CHIRAG</t>
  </si>
  <si>
    <t>E0331566</t>
  </si>
  <si>
    <t>PATEL CHIRAG I</t>
  </si>
  <si>
    <t>240 WILLOUGHBY ST STE 11E</t>
  </si>
  <si>
    <t>960 MANHATTAN AVE</t>
  </si>
  <si>
    <t>9027 SUTPHIN BLVD FL 5</t>
  </si>
  <si>
    <t>13420 JAMAICA AVE</t>
  </si>
  <si>
    <t>(718) 733-2600</t>
  </si>
  <si>
    <t>12102 HILLSIDE AVE</t>
  </si>
  <si>
    <t>SLRH</t>
  </si>
  <si>
    <t>EMERGENCY DEPT</t>
  </si>
  <si>
    <t>E0118614</t>
  </si>
  <si>
    <t>SHARMA JAYENDRA R MD</t>
  </si>
  <si>
    <t>SHARMA JAYENDRA DR.</t>
  </si>
  <si>
    <t>E0124420</t>
  </si>
  <si>
    <t>WEINBERG JEFFREY MITCHELL MD</t>
  </si>
  <si>
    <t>WEINBERG JEFFREY DR.</t>
  </si>
  <si>
    <t>15702 CROSSBAY BLVD</t>
  </si>
  <si>
    <t>LEVINE RANDY DR.</t>
  </si>
  <si>
    <t>E0213553</t>
  </si>
  <si>
    <t>LEVINE RANDY L             MD</t>
  </si>
  <si>
    <t>SLRH-OUTPT-CLINIC</t>
  </si>
  <si>
    <t>5 E 98TH ST FL 14</t>
  </si>
  <si>
    <t>PATEL NIRAV DR.</t>
  </si>
  <si>
    <t>178 E 85TH ST</t>
  </si>
  <si>
    <t>SCHWIMMER JOSHUA DR.</t>
  </si>
  <si>
    <t>E0041180</t>
  </si>
  <si>
    <t>SCHWIMMER JOSHUA ADAM MD</t>
  </si>
  <si>
    <t>1760 3RD AVE FL 2</t>
  </si>
  <si>
    <t>5 E 98TH ST FL 3</t>
  </si>
  <si>
    <t>550 1ST AVE</t>
  </si>
  <si>
    <t>13640 39TH AVE # 6GB</t>
  </si>
  <si>
    <t>813 QUENTIN RD</t>
  </si>
  <si>
    <t>HACKENSACK</t>
  </si>
  <si>
    <t>WYCKOFF HGHTS MC</t>
  </si>
  <si>
    <t>E0191415</t>
  </si>
  <si>
    <t>JACOB PERLOW HOSPICE</t>
  </si>
  <si>
    <t>Jay Gormley</t>
  </si>
  <si>
    <t>(212) 356-5419</t>
  </si>
  <si>
    <t>jgormley@mjhs.org</t>
  </si>
  <si>
    <t>MJHS HOSPICE AND PALLIATIVE CARE INC.</t>
  </si>
  <si>
    <t>MJHS HOSPICE AND PALLIATIVE CARE</t>
  </si>
  <si>
    <t>39 BROADWAY STE 200</t>
  </si>
  <si>
    <t>MT VERNON</t>
  </si>
  <si>
    <t>APT 1N</t>
  </si>
  <si>
    <t>3131 KINGS HWY STE D10</t>
  </si>
  <si>
    <t>(718) 643-8258</t>
  </si>
  <si>
    <t>E0000062</t>
  </si>
  <si>
    <t>COBBLE HILL HLTH CTR INC LTHHCP</t>
  </si>
  <si>
    <t>COBBLE HILL HEALTH CENTER INC</t>
  </si>
  <si>
    <t>JACOBI MEDICAL CTR</t>
  </si>
  <si>
    <t>MAMARONECK</t>
  </si>
  <si>
    <t>QUEENS COORDINATED CARE PARTNERS</t>
  </si>
  <si>
    <t>E0350743</t>
  </si>
  <si>
    <t>QUEENS COORDINATED CARE PARTNERS LL</t>
  </si>
  <si>
    <t>(212) 545-2404</t>
  </si>
  <si>
    <t>60 MADISON AVE FL 5</t>
  </si>
  <si>
    <t>E0026358</t>
  </si>
  <si>
    <t>NEW HORIZON COUNSELING CTR MH</t>
  </si>
  <si>
    <t>NHCC@MSN.COM</t>
  </si>
  <si>
    <t>NEW HORIZON COUNSELING CENTER</t>
  </si>
  <si>
    <t>THE NEW HORIZON COUNSELING CTR</t>
  </si>
  <si>
    <t>11502 OCEAN PROMENADE</t>
  </si>
  <si>
    <t>ROCKAWAY PARK</t>
  </si>
  <si>
    <t>E0268138</t>
  </si>
  <si>
    <t>CROWN NURSING AND REHAB CENTE</t>
  </si>
  <si>
    <t>(718) 535-5100</t>
  </si>
  <si>
    <t>CROWN NURSING HOME ASSOCIATES INC.</t>
  </si>
  <si>
    <t>E0028426</t>
  </si>
  <si>
    <t>BUTT RAHILA MD</t>
  </si>
  <si>
    <t>Rahila Butt</t>
  </si>
  <si>
    <t>BUTT RAHILA MRS.</t>
  </si>
  <si>
    <t>E0118222</t>
  </si>
  <si>
    <t>ZHANG JIAN WEI</t>
  </si>
  <si>
    <t>ZHANG JIAN WEI MR.</t>
  </si>
  <si>
    <t>Flushing</t>
  </si>
  <si>
    <t>CUMC 622 WEST 168 ST</t>
  </si>
  <si>
    <t>400 E MAIN ST</t>
  </si>
  <si>
    <t>MOUNT KISCO</t>
  </si>
  <si>
    <t>SOMERSET</t>
  </si>
  <si>
    <t>1381B LINDEN BLVD</t>
  </si>
  <si>
    <t>NEW YORK CITY</t>
  </si>
  <si>
    <t>E0009508</t>
  </si>
  <si>
    <t>SHEN KUAN HUNG MD</t>
  </si>
  <si>
    <t>SHEN KUAN DR.</t>
  </si>
  <si>
    <t>CHO SAMUEL DR.</t>
  </si>
  <si>
    <t>155 E 76TH ST</t>
  </si>
  <si>
    <t>630 W 168TH ST</t>
  </si>
  <si>
    <t>1305 YORK AVE</t>
  </si>
  <si>
    <t>KHANNA SURESH</t>
  </si>
  <si>
    <t>E0184618</t>
  </si>
  <si>
    <t>KHANNA SURESH MD</t>
  </si>
  <si>
    <t>2525 KINGS HWY</t>
  </si>
  <si>
    <t>COX ANIKA</t>
  </si>
  <si>
    <t>E0296376</t>
  </si>
  <si>
    <t>COX ANIKA JONNELLE</t>
  </si>
  <si>
    <t>POMONA</t>
  </si>
  <si>
    <t>110 E 59TH ST STE 8A</t>
  </si>
  <si>
    <t>ST LUKE'S ROOSEVELT</t>
  </si>
  <si>
    <t>374 W 125TH ST</t>
  </si>
  <si>
    <t>131 PARK AVE</t>
  </si>
  <si>
    <t>QUINONES SARIBEL</t>
  </si>
  <si>
    <t>E0344516</t>
  </si>
  <si>
    <t>GARCIA QUINONES SARIBEL</t>
  </si>
  <si>
    <t>(718) 263-0740</t>
  </si>
  <si>
    <t>222 WESTCHESTER AVE STE 202 &amp; 201</t>
  </si>
  <si>
    <t>(212) 696-1550</t>
  </si>
  <si>
    <t>420 LEXINGTON AVE RM 1644</t>
  </si>
  <si>
    <t>NEW YORK REHABILITATION CARE MANAGEMENT , LLC</t>
  </si>
  <si>
    <t>E0072479</t>
  </si>
  <si>
    <t>NEW YORK CENTER REH CARE SNF</t>
  </si>
  <si>
    <t>(718) 626-4800</t>
  </si>
  <si>
    <t>NEW YORK CENTER FOR REHAB &amp; NURSING</t>
  </si>
  <si>
    <t>2613 21ST ST</t>
  </si>
  <si>
    <t>CALVARY HOSPITAL INC</t>
  </si>
  <si>
    <t>E0271758</t>
  </si>
  <si>
    <t>All Other:: Clinic:: Hospice:: Hospital</t>
  </si>
  <si>
    <t>1740 EASTCHESTER RD</t>
  </si>
  <si>
    <t>LABORATORY</t>
  </si>
  <si>
    <t>MAZZA MICHAEL</t>
  </si>
  <si>
    <t>E0175726</t>
  </si>
  <si>
    <t>MAZZA MICHAEL ANTHONY MD</t>
  </si>
  <si>
    <t>MEMPHIS</t>
  </si>
  <si>
    <t>TN</t>
  </si>
  <si>
    <t>GRACIE SQUARE HOSP</t>
  </si>
  <si>
    <t>PAMOUKIAN VICKEN</t>
  </si>
  <si>
    <t>E0055805</t>
  </si>
  <si>
    <t>PAMOUKIAN VICKEN NICHAN MD</t>
  </si>
  <si>
    <t>95 GRASSLANDS RD</t>
  </si>
  <si>
    <t>1428 MADISON AVE # 30</t>
  </si>
  <si>
    <t>E0027955</t>
  </si>
  <si>
    <t>WONG CHUN TUNG MD</t>
  </si>
  <si>
    <t>WONG CHUN DR.</t>
  </si>
  <si>
    <t>98 E BROADWAY FL 6</t>
  </si>
  <si>
    <t>CHAN CHUN-KIT</t>
  </si>
  <si>
    <t>E0083587</t>
  </si>
  <si>
    <t>CHAN CHUN-KIT DR.</t>
  </si>
  <si>
    <t>GRP OF ST VINCENTS</t>
  </si>
  <si>
    <t>E0110722</t>
  </si>
  <si>
    <t>BRONX CENTER REHAB &amp; HLTH CAR</t>
  </si>
  <si>
    <t>BRONX CENTER FOR REHABILITATION AND HEALTH CARE</t>
  </si>
  <si>
    <t>1010 UNDERHILL AVE</t>
  </si>
  <si>
    <t>E0274018</t>
  </si>
  <si>
    <t>LONG ISLAND CONSULTATION CTR</t>
  </si>
  <si>
    <t>Elaine Lederer</t>
  </si>
  <si>
    <t>(718) 896-3400</t>
  </si>
  <si>
    <t>liccdirector@aol.com</t>
  </si>
  <si>
    <t>LONG ISLAND CONSULTATION CENTER, INC.</t>
  </si>
  <si>
    <t>97-29 64TH RD</t>
  </si>
  <si>
    <t>E0146255</t>
  </si>
  <si>
    <t>POU RICARDO E MD PC</t>
  </si>
  <si>
    <t>POU RICARDO DR.</t>
  </si>
  <si>
    <t>POU RICARDO E</t>
  </si>
  <si>
    <t>PARKVILLE MED HLTH</t>
  </si>
  <si>
    <t>E0147362</t>
  </si>
  <si>
    <t>COMUNILIFE MENTAL HEALTH CL</t>
  </si>
  <si>
    <t>bmosquera@comunilife.org</t>
  </si>
  <si>
    <t>COMUNILIFE, INC.</t>
  </si>
  <si>
    <t>MNTL HLTH CL TRT PRG</t>
  </si>
  <si>
    <t>CONIFER PARK, INC</t>
  </si>
  <si>
    <t>E0157893</t>
  </si>
  <si>
    <t>CONIFER PARK</t>
  </si>
  <si>
    <t>79 GLENRIDGE RD</t>
  </si>
  <si>
    <t>GLENVILLE</t>
  </si>
  <si>
    <t>BIMC RADIOLOGY</t>
  </si>
  <si>
    <t>2797 OCEAN PKWY</t>
  </si>
  <si>
    <t>1517 VOORHIES AVE</t>
  </si>
  <si>
    <t>E0033978</t>
  </si>
  <si>
    <t>PONIEMAN DIEGO ANDRES MD</t>
  </si>
  <si>
    <t>PONIEMAN DIEGO DR.</t>
  </si>
  <si>
    <t>LEE JANE</t>
  </si>
  <si>
    <t>METROPOLITAN HOSP</t>
  </si>
  <si>
    <t>MYINT WIN</t>
  </si>
  <si>
    <t>E0027225</t>
  </si>
  <si>
    <t>MYINT WIN MD</t>
  </si>
  <si>
    <t>SAINT LOUIS</t>
  </si>
  <si>
    <t>325 W 15TH ST</t>
  </si>
  <si>
    <t>MT SINAI GRP RM A1-9</t>
  </si>
  <si>
    <t>FIRST AVE AT 16TH ST</t>
  </si>
  <si>
    <t>E0320695</t>
  </si>
  <si>
    <t>LAU DAVID HAI-PONG</t>
  </si>
  <si>
    <t>LAU DAVID DR.</t>
  </si>
  <si>
    <t>139 CENTRE ST STE 307</t>
  </si>
  <si>
    <t>E0228844</t>
  </si>
  <si>
    <t>KATHPALIA KUSUM            MD</t>
  </si>
  <si>
    <t>KATHPALIA KUSUM DR.</t>
  </si>
  <si>
    <t>E0035556</t>
  </si>
  <si>
    <t>WU ZHENQING BRETT MD</t>
  </si>
  <si>
    <t>WU ZHENQING DR.</t>
  </si>
  <si>
    <t>WU ZHENQING BRETT</t>
  </si>
  <si>
    <t>E0090377</t>
  </si>
  <si>
    <t>GUTNIK ZHANNA VALERIEVNA MD</t>
  </si>
  <si>
    <t>GUTNIK ZHANNA</t>
  </si>
  <si>
    <t>LINCOLN HSP</t>
  </si>
  <si>
    <t>E0132488</t>
  </si>
  <si>
    <t>DOVE ARTHUR RENNER MD</t>
  </si>
  <si>
    <t>DOVE ARTHUR</t>
  </si>
  <si>
    <t>1824 MADISON AVE</t>
  </si>
  <si>
    <t>E0275861</t>
  </si>
  <si>
    <t>PEREZ MANUEL G             MD</t>
  </si>
  <si>
    <t>(718) 993-5959</t>
  </si>
  <si>
    <t>PEREZ MANUEL DR.</t>
  </si>
  <si>
    <t>531 E 138TH ST</t>
  </si>
  <si>
    <t>E0040324</t>
  </si>
  <si>
    <t>CHATTOOO PREMETESH DO</t>
  </si>
  <si>
    <t>CHATTOO PREMETESH</t>
  </si>
  <si>
    <t>E0287765</t>
  </si>
  <si>
    <t>D OLEO VARGAS MAXIMO JOSE</t>
  </si>
  <si>
    <t>D'OLEO MAXIMO DR.</t>
  </si>
  <si>
    <t>D'OLEO VARGAS MAXIMO JOSE MD</t>
  </si>
  <si>
    <t>SHAPSIS ALEXANDER</t>
  </si>
  <si>
    <t>E0015110</t>
  </si>
  <si>
    <t>SHAPSIS ALEXANDER MD</t>
  </si>
  <si>
    <t>LONG ISLAND COLLEGE</t>
  </si>
  <si>
    <t>222 WESTCHESTER AVE</t>
  </si>
  <si>
    <t>PATEL SUNIL DR.</t>
  </si>
  <si>
    <t>(718) 972-2500</t>
  </si>
  <si>
    <t>ALTERNATE STAFFING, INC.</t>
  </si>
  <si>
    <t>4918 FORT HAMILTON PKWY</t>
  </si>
  <si>
    <t>FL 2</t>
  </si>
  <si>
    <t>139 CENTRE ST STE 512</t>
  </si>
  <si>
    <t>BRONX LEBANON HSP</t>
  </si>
  <si>
    <t>E0107809</t>
  </si>
  <si>
    <t>LAZALA POLANCO CARMEN MD</t>
  </si>
  <si>
    <t>LAZALA CARMEN DR.</t>
  </si>
  <si>
    <t>4701 QUEENS BLVD</t>
  </si>
  <si>
    <t>E0009150</t>
  </si>
  <si>
    <t>DAS PROVAT MD</t>
  </si>
  <si>
    <t>DAS PROVAT DR.</t>
  </si>
  <si>
    <t>ROCKAWAY BEACH</t>
  </si>
  <si>
    <t>E0313199</t>
  </si>
  <si>
    <t>JOSEPH COHEN</t>
  </si>
  <si>
    <t>COHEN JOSEPH</t>
  </si>
  <si>
    <t>6344 SAUNDERS ST</t>
  </si>
  <si>
    <t>BRIARCLIFF MANOR</t>
  </si>
  <si>
    <t>E0059364</t>
  </si>
  <si>
    <t>METROPOLITAN JEWISH HM CARE</t>
  </si>
  <si>
    <t>METROPOLITAN JEWISH HOME CARE INC.</t>
  </si>
  <si>
    <t>440 9TH AVE FL 14</t>
  </si>
  <si>
    <t>NEW YORK CONGREGATIONAL NURSING CENTER</t>
  </si>
  <si>
    <t>E0268151</t>
  </si>
  <si>
    <t>NEW YORK CONGREGATIONAL NURSING CTR</t>
  </si>
  <si>
    <t>NY CONGREGATIONAL NURSING CENTER</t>
  </si>
  <si>
    <t>135 LINDEN BLVD</t>
  </si>
  <si>
    <t>E0159984</t>
  </si>
  <si>
    <t>AMERICARE CERTIFIED SS INC</t>
  </si>
  <si>
    <t>AMERICARE CERTIFIED SPECIAL SERVICES, INC.</t>
  </si>
  <si>
    <t>5923 STRICKLAND AVE</t>
  </si>
  <si>
    <t>(718) 863-3300</t>
  </si>
  <si>
    <t>KRUMHOLZ DAVID</t>
  </si>
  <si>
    <t>E0030431</t>
  </si>
  <si>
    <t>DESIR MERGIE X MD</t>
  </si>
  <si>
    <t>DESIR MERGIE MS.</t>
  </si>
  <si>
    <t>DESIR MERGIE MD</t>
  </si>
  <si>
    <t>75-80 184TH ST</t>
  </si>
  <si>
    <t>E0182598</t>
  </si>
  <si>
    <t>HIRSHFIELD GARY S MD</t>
  </si>
  <si>
    <t>HIRSHFIELD GARY DR.</t>
  </si>
  <si>
    <t>MANHATTAN E E T HOSP</t>
  </si>
  <si>
    <t>E0224226</t>
  </si>
  <si>
    <t>KAHN DAVID I               MD</t>
  </si>
  <si>
    <t>KAHN DAVID</t>
  </si>
  <si>
    <t>295 W 231ST ST</t>
  </si>
  <si>
    <t>1090 AMSTERDAM AVE</t>
  </si>
  <si>
    <t>HAWTHORNE</t>
  </si>
  <si>
    <t>E0039061</t>
  </si>
  <si>
    <t>MOAREFI MEHRAN-REZA MD</t>
  </si>
  <si>
    <t>MOAREFI MEHRAN</t>
  </si>
  <si>
    <t>CHARLES-GONSALVES SHURLA DR.</t>
  </si>
  <si>
    <t>E0350144</t>
  </si>
  <si>
    <t>CHARLES-GONSALVES SHURLA A</t>
  </si>
  <si>
    <t>(718) 402-2614</t>
  </si>
  <si>
    <t>5379 KINGS HWY</t>
  </si>
  <si>
    <t>THOMAS JOHNNY</t>
  </si>
  <si>
    <t>E0032078</t>
  </si>
  <si>
    <t>THOMAS JOHNNY MD</t>
  </si>
  <si>
    <t>285 GRAFTON ST</t>
  </si>
  <si>
    <t>AUGUSTE JEAN DR.</t>
  </si>
  <si>
    <t>E0211785</t>
  </si>
  <si>
    <t>AUGUSTE JEAN K             MD</t>
  </si>
  <si>
    <t>AUGUSTE JEAN K</t>
  </si>
  <si>
    <t>561 COURT ST</t>
  </si>
  <si>
    <t>AHSAN MOHAMMAD DR.</t>
  </si>
  <si>
    <t>E0025523</t>
  </si>
  <si>
    <t>AHSAN MOHAMMAD MD</t>
  </si>
  <si>
    <t>1110 EASTERN PKWY</t>
  </si>
  <si>
    <t>AGGARWAL OM DR.</t>
  </si>
  <si>
    <t>E0229816</t>
  </si>
  <si>
    <t>AGGARWAL OM PARKASH        MD</t>
  </si>
  <si>
    <t>5612 220TH ST</t>
  </si>
  <si>
    <t>OAKLAND GARDENS</t>
  </si>
  <si>
    <t>GOLD RICHARD DR.</t>
  </si>
  <si>
    <t>E0125965</t>
  </si>
  <si>
    <t>GOLD RICHARD ELLIOTT DO</t>
  </si>
  <si>
    <t>32 W 18TH ST</t>
  </si>
  <si>
    <t>STE 202</t>
  </si>
  <si>
    <t>E0432517</t>
  </si>
  <si>
    <t>THOMPSON MICHAEL JOEL</t>
  </si>
  <si>
    <t>THOMPSON MICHAEL</t>
  </si>
  <si>
    <t>3 BARKER AVE</t>
  </si>
  <si>
    <t>E0014700</t>
  </si>
  <si>
    <t>BRILEY JAMES</t>
  </si>
  <si>
    <t>BRILEY JAMES DR.</t>
  </si>
  <si>
    <t>E0094305</t>
  </si>
  <si>
    <t>TIU AURORA TOMPAR MD</t>
  </si>
  <si>
    <t>(212) 691-7554</t>
  </si>
  <si>
    <t>TIU AURORA DR.</t>
  </si>
  <si>
    <t>3510 BAINBRIDGE AVE STE S1</t>
  </si>
  <si>
    <t>SCHULTZ ANITA</t>
  </si>
  <si>
    <t>E0385413</t>
  </si>
  <si>
    <t>SCHULTZ ANITA ELLIEEN</t>
  </si>
  <si>
    <t>2976 NORTHERN BLVD</t>
  </si>
  <si>
    <t>CLEAVER JOHN MR.</t>
  </si>
  <si>
    <t>BOBBITT THERESA MS.</t>
  </si>
  <si>
    <t>GLASS JESSICA</t>
  </si>
  <si>
    <t>E0010665</t>
  </si>
  <si>
    <t>3722 82ND ST</t>
  </si>
  <si>
    <t>PIACENTE DOMINICK DR.</t>
  </si>
  <si>
    <t>E0058584</t>
  </si>
  <si>
    <t>PIACENTE DOMINICK N MD</t>
  </si>
  <si>
    <t>PIACENTE DOMINICK NICHOLAS</t>
  </si>
  <si>
    <t>266 WHITE PLAINS RD STE 1A</t>
  </si>
  <si>
    <t>EASTCHESTER</t>
  </si>
  <si>
    <t>E0105379</t>
  </si>
  <si>
    <t>CHANG YA JU MD</t>
  </si>
  <si>
    <t>CHANG YA JU DR.</t>
  </si>
  <si>
    <t>BETH ISR MC/GEN MED</t>
  </si>
  <si>
    <t>8538 168TH PL</t>
  </si>
  <si>
    <t>PATERSON</t>
  </si>
  <si>
    <t>E0332839</t>
  </si>
  <si>
    <t>RAHMAN ROUNAK</t>
  </si>
  <si>
    <t>RAHMAN ROUNAK DR.</t>
  </si>
  <si>
    <t>RAHMAN ROUNAK JAHAN</t>
  </si>
  <si>
    <t>E0374941</t>
  </si>
  <si>
    <t>CATHOLIC CHARITIES COMM SVCS ARCH</t>
  </si>
  <si>
    <t>(212) 371-1011</t>
  </si>
  <si>
    <t>denise.bauer@archny.org</t>
  </si>
  <si>
    <t>BEACON OF HOPE HOUSE</t>
  </si>
  <si>
    <t>A/7323440 BEACON</t>
  </si>
  <si>
    <t>Center for Nursing and Rehabilitation</t>
  </si>
  <si>
    <t>E0267808</t>
  </si>
  <si>
    <t>CENTER FOR NURSING &amp; REHAB IN</t>
  </si>
  <si>
    <t>CENTER FOR NURSING AND REHABILITATION, INC.</t>
  </si>
  <si>
    <t>520 PROSPECT PLACE</t>
  </si>
  <si>
    <t>4290 BROADWAY STE 2S</t>
  </si>
  <si>
    <t>CALVARY HHA &amp; HOSPICE CARE</t>
  </si>
  <si>
    <t>E0097722</t>
  </si>
  <si>
    <t>CALVARY HOSPITAL INC.</t>
  </si>
  <si>
    <t>E0034819</t>
  </si>
  <si>
    <t>STROE ANGELA</t>
  </si>
  <si>
    <t>1249 5TH AVE</t>
  </si>
  <si>
    <t>LUTHERAN SOCIAL SERVICES OF METROPOLITAN NEW YORK</t>
  </si>
  <si>
    <t>E0264821</t>
  </si>
  <si>
    <t>LUTHERAN SOCIAL SVCS METRO NY</t>
  </si>
  <si>
    <t>(646) 360-2026</t>
  </si>
  <si>
    <t>475 RIVERSIDE DR</t>
  </si>
  <si>
    <t>355 W 52ND ST FL 7</t>
  </si>
  <si>
    <t>111 EAST 210TH STREET</t>
  </si>
  <si>
    <t>8900 VANWYCK EXPWAY</t>
  </si>
  <si>
    <t>HUDSON</t>
  </si>
  <si>
    <t>SAINT ALBANS</t>
  </si>
  <si>
    <t>UNIVERSITY OPTOMETRIC CTR</t>
  </si>
  <si>
    <t>E0273975</t>
  </si>
  <si>
    <t>(212) 938-4036</t>
  </si>
  <si>
    <t>33 W 42ND ST</t>
  </si>
  <si>
    <t>DOJ OPERATIONS ASSOCIATES LLC</t>
  </si>
  <si>
    <t>E0376277</t>
  </si>
  <si>
    <t>DOJ OPERATIONS ASSOCIATES, LLC</t>
  </si>
  <si>
    <t>1160 TELLER AVE</t>
  </si>
  <si>
    <t>231 S 3RD ST</t>
  </si>
  <si>
    <t>Menorah Home &amp; Hospital for the Aged &amp; Infirm d/b/a Menorah Center for Rehabilitation and Nursing Care</t>
  </si>
  <si>
    <t>E0228886</t>
  </si>
  <si>
    <t>MENORAH HOME &amp; HOSP AGED INF</t>
  </si>
  <si>
    <t>MENORAH HOME AND HOSPITAL FOR THE AGED AND INFIRM</t>
  </si>
  <si>
    <t>1516 ORIENTAL BLVD</t>
  </si>
  <si>
    <t>E0328237</t>
  </si>
  <si>
    <t>PHELAN JANE</t>
  </si>
  <si>
    <t>PHELAN JANE MS.</t>
  </si>
  <si>
    <t>PHELAN JANE ELIZABETH</t>
  </si>
  <si>
    <t>1967 TURNBULL AVE</t>
  </si>
  <si>
    <t>1509 CENTRAL AVE</t>
  </si>
  <si>
    <t>555 PROSPECT PL</t>
  </si>
  <si>
    <t>Williamsbridge?Manor?Nursing?Home</t>
  </si>
  <si>
    <t>E0267859</t>
  </si>
  <si>
    <t>WILLIAMSBRIDGE MANOR NH</t>
  </si>
  <si>
    <t>WILLIAMSBRIDGE MANOR NURSING HOME, LLC</t>
  </si>
  <si>
    <t>WILLIAMSBRIDGE MANOR NURSING HOME</t>
  </si>
  <si>
    <t>1540 TOMLINSON AVE</t>
  </si>
  <si>
    <t>E0317317</t>
  </si>
  <si>
    <t>MJG NURSING HOME CO INC LTHHCP</t>
  </si>
  <si>
    <t>MJHC HOME CARE, INC.</t>
  </si>
  <si>
    <t>METROPOLITAN JEWISH LTHHCP</t>
  </si>
  <si>
    <t>6405 7TH AVE</t>
  </si>
  <si>
    <t>E0136356</t>
  </si>
  <si>
    <t>CHEUNG WILLIAM MD</t>
  </si>
  <si>
    <t>CHEUNG WILLIAM</t>
  </si>
  <si>
    <t>13347 SANFORD AVE STE 1E</t>
  </si>
  <si>
    <t>E0042389</t>
  </si>
  <si>
    <t>LI JIANJUN</t>
  </si>
  <si>
    <t>MOYE BLVD</t>
  </si>
  <si>
    <t>GREENVILLE</t>
  </si>
  <si>
    <t>NC</t>
  </si>
  <si>
    <t>LEE KAREN DR.</t>
  </si>
  <si>
    <t>3959 BROADWAY</t>
  </si>
  <si>
    <t>E0276181</t>
  </si>
  <si>
    <t>KUKAR NARINDER M           MD</t>
  </si>
  <si>
    <t>KUKAR NARINDER DR.</t>
  </si>
  <si>
    <t>KUKAR NARINDER M MD</t>
  </si>
  <si>
    <t>10819 ROCKAWAY BLVD</t>
  </si>
  <si>
    <t>Samuel Furmansky</t>
  </si>
  <si>
    <t>(718) 858-6400</t>
  </si>
  <si>
    <t>fur@atlantisrehab.net</t>
  </si>
  <si>
    <t>ATLANTIS REHABILITATION&amp;RHCF</t>
  </si>
  <si>
    <t>140 SAINT EDWARDS ST</t>
  </si>
  <si>
    <t>7901 BROADWAY A1-19</t>
  </si>
  <si>
    <t>E0221432</t>
  </si>
  <si>
    <t>SAINT-LAURENT MARIO</t>
  </si>
  <si>
    <t>SAINT LAURENT MARIO</t>
  </si>
  <si>
    <t>3765 104TH ST</t>
  </si>
  <si>
    <t>BLUM ISAAC DR.</t>
  </si>
  <si>
    <t>E0230079</t>
  </si>
  <si>
    <t>BLUM ISAAC FACS            MD</t>
  </si>
  <si>
    <t>736 KELLY ST</t>
  </si>
  <si>
    <t>FL 3</t>
  </si>
  <si>
    <t>E0000668</t>
  </si>
  <si>
    <t>JEAN CARL</t>
  </si>
  <si>
    <t>JEAN CARL DR.</t>
  </si>
  <si>
    <t>JEAN CARL MYREL</t>
  </si>
  <si>
    <t>326 7TH ST</t>
  </si>
  <si>
    <t>E0014941</t>
  </si>
  <si>
    <t>CHHIPA MOHAMMAD HAROON MD</t>
  </si>
  <si>
    <t>mohammadchhipa@yahoo.com</t>
  </si>
  <si>
    <t>CHHIPA MOHAMMAD</t>
  </si>
  <si>
    <t>3410/3418 BROADWAY</t>
  </si>
  <si>
    <t>13966 35TH AVE</t>
  </si>
  <si>
    <t>E0276048</t>
  </si>
  <si>
    <t>CHENNAREDDY SWAMINATHAN</t>
  </si>
  <si>
    <t>HAMILTON-MADISON HOUSE,INC</t>
  </si>
  <si>
    <t>E0273917</t>
  </si>
  <si>
    <t>HAMILTON MADISON HOUSE, INC</t>
  </si>
  <si>
    <t>HAMILTON-MADISON CL</t>
  </si>
  <si>
    <t>E0372039</t>
  </si>
  <si>
    <t>MCFARLENE KIRK O</t>
  </si>
  <si>
    <t>MCFARLENE KIRK MR.</t>
  </si>
  <si>
    <t>PIONEER HOMECARE INC.</t>
  </si>
  <si>
    <t>E0124725</t>
  </si>
  <si>
    <t>PIONEER HOMECARE CORP</t>
  </si>
  <si>
    <t>Erhina Emenike</t>
  </si>
  <si>
    <t>(718) 671-2100</t>
  </si>
  <si>
    <t>remenike@pioneerhomecare.net</t>
  </si>
  <si>
    <t>801 E 241ST ST</t>
  </si>
  <si>
    <t>ALJUD LICENSED HOME CARE SERVICES LLC</t>
  </si>
  <si>
    <t>650 E 104TH ST</t>
  </si>
  <si>
    <t>E0305968</t>
  </si>
  <si>
    <t>WEI ALEX</t>
  </si>
  <si>
    <t>WEI ALEX YONGLI</t>
  </si>
  <si>
    <t>STE 506</t>
  </si>
  <si>
    <t>E0004967</t>
  </si>
  <si>
    <t>VNSNY COMMUNITY HEALTH SERVICES</t>
  </si>
  <si>
    <t>All Other:: Case Management / Health Home:: Hospice:: Mental Health</t>
  </si>
  <si>
    <t>VISITING NURSE SERVICE OF NEW YORK HOME CARE II</t>
  </si>
  <si>
    <t>VISITING NURSE SERVICE/NY HM CARE</t>
  </si>
  <si>
    <t>489 E 153RD ST # 493</t>
  </si>
  <si>
    <t>E0227893</t>
  </si>
  <si>
    <t>WONG STEVEN                MD</t>
  </si>
  <si>
    <t>WONG STEVEN DR.</t>
  </si>
  <si>
    <t>WONG STEVEN MD</t>
  </si>
  <si>
    <t>E0112036</t>
  </si>
  <si>
    <t>EXPONENTS INC</t>
  </si>
  <si>
    <t>EXPONENTS</t>
  </si>
  <si>
    <t>2 WASHINGTON ST</t>
  </si>
  <si>
    <t>42-09 28TH ST FL 18</t>
  </si>
  <si>
    <t>TUCKAHOE</t>
  </si>
  <si>
    <t>MALLAPU SHRAVAN DR.</t>
  </si>
  <si>
    <t>E0328645</t>
  </si>
  <si>
    <t>MALLAPU SHRAVAN K</t>
  </si>
  <si>
    <t>MALLAPU SHRAVAN KUMAR REDDY</t>
  </si>
  <si>
    <t>MOUNT SINAI HOSPITAL</t>
  </si>
  <si>
    <t>E0274063</t>
  </si>
  <si>
    <t>E0060944</t>
  </si>
  <si>
    <t>FRIEDRICH DOUGLAS BENNETT MD</t>
  </si>
  <si>
    <t>FRIEDRICH DOUGLAS DR.</t>
  </si>
  <si>
    <t>FRIEDRICH DOUGLAS BENNETT</t>
  </si>
  <si>
    <t>419 W 51ST ST</t>
  </si>
  <si>
    <t>SIDDIQUE MOHAMMED</t>
  </si>
  <si>
    <t>E0161848</t>
  </si>
  <si>
    <t>MODERN EAST WEST MEDICAL PC</t>
  </si>
  <si>
    <t>106-02 76TH ST</t>
  </si>
  <si>
    <t>755 61ST ST # 759</t>
  </si>
  <si>
    <t>ST LUKES ROOSEVELT HOSPITAL CENTER</t>
  </si>
  <si>
    <t>E0263685</t>
  </si>
  <si>
    <t>ST LUKES ROOSEVELT HSP CTR</t>
  </si>
  <si>
    <t>All Other:: Case Management / Health Home:: Clinic:: Hospital:: Mental Health:: Pharmacy:: Substance Abuse</t>
  </si>
  <si>
    <t>ST LUKES ROOSEVELT HSP CTR REHAB UN</t>
  </si>
  <si>
    <t>(347) 381-5981</t>
  </si>
  <si>
    <t>jamesmutton@concernhousing.org</t>
  </si>
  <si>
    <t>Queens</t>
  </si>
  <si>
    <t>Manhattan</t>
  </si>
  <si>
    <t>E0085669</t>
  </si>
  <si>
    <t>BUENA VIDA CONT CARE &amp; REH CT</t>
  </si>
  <si>
    <t>bmcfadden@buenavidacenter.org</t>
  </si>
  <si>
    <t>BUENA VIDA CORPORATION</t>
  </si>
  <si>
    <t>BUENA VIDA CONT CARE &amp; REH CTR</t>
  </si>
  <si>
    <t>48 CEDAR ST</t>
  </si>
  <si>
    <t>E0130698</t>
  </si>
  <si>
    <t>FOUR SEASONS NRS &amp; REH CTR AD</t>
  </si>
  <si>
    <t>PARKSHORE HEALTHCARE LLC</t>
  </si>
  <si>
    <t>PARKSHORE HEALTH CARE LLC</t>
  </si>
  <si>
    <t>9517 AVE J</t>
  </si>
  <si>
    <t>E0078340</t>
  </si>
  <si>
    <t>MENTAL HLTH PROV/W QUEENS  MH</t>
  </si>
  <si>
    <t>(347) 684-0082</t>
  </si>
  <si>
    <t>MENTAL HEALTH PROVIDERS OF WESTERN QUEENS, INC.</t>
  </si>
  <si>
    <t>MENTAL HLTH PROV OF W QUEENS</t>
  </si>
  <si>
    <t>44-04 QUEENS BLVD</t>
  </si>
  <si>
    <t>21 BLOOMINGDALE RD</t>
  </si>
  <si>
    <t>506 LENOX AVE</t>
  </si>
  <si>
    <t>948 48TH ST</t>
  </si>
  <si>
    <t>LI KA MD</t>
  </si>
  <si>
    <t>E0099006</t>
  </si>
  <si>
    <t>ST LUKES ROOSEVELT</t>
  </si>
  <si>
    <t>E0080223</t>
  </si>
  <si>
    <t>CHEN CHAO DO</t>
  </si>
  <si>
    <t>CHEN CHAO</t>
  </si>
  <si>
    <t>APT E15</t>
  </si>
  <si>
    <t>E0082290</t>
  </si>
  <si>
    <t>KAN SANG MD</t>
  </si>
  <si>
    <t>KAN SANG DR.</t>
  </si>
  <si>
    <t>1065 SOUTHERN BLVD</t>
  </si>
  <si>
    <t>1276 FULTON AVE</t>
  </si>
  <si>
    <t>E0188745</t>
  </si>
  <si>
    <t>REALIZATION CENTER INC</t>
  </si>
  <si>
    <t>Dianne Schwartz</t>
  </si>
  <si>
    <t>(212) 627-9600</t>
  </si>
  <si>
    <t>ds@realizationcenternyc.com</t>
  </si>
  <si>
    <t>REALIZATION CENTER, INC.</t>
  </si>
  <si>
    <t>OAS DETOX</t>
  </si>
  <si>
    <t>ELDERPLAN, INC</t>
  </si>
  <si>
    <t>6323 7TH AVE</t>
  </si>
  <si>
    <t>LIC</t>
  </si>
  <si>
    <t xml:space="preserve">New York </t>
  </si>
  <si>
    <t>EAST ELMHURST</t>
  </si>
  <si>
    <t>139 CENTRE STREET</t>
  </si>
  <si>
    <t>MUI WINGTAT MD</t>
  </si>
  <si>
    <t>E0068800</t>
  </si>
  <si>
    <t>MUI WINGTAT</t>
  </si>
  <si>
    <t>E0013570</t>
  </si>
  <si>
    <t>MILLER RICARDO ANTHONY</t>
  </si>
  <si>
    <t>MILLER RICARDO MR.</t>
  </si>
  <si>
    <t>MILLER RICARDO A</t>
  </si>
  <si>
    <t>NAE EDISON LLC</t>
  </si>
  <si>
    <t>Gregg Salzman</t>
  </si>
  <si>
    <t>(718) 972-2929</t>
  </si>
  <si>
    <t>greggs@edisonhhc.com</t>
  </si>
  <si>
    <t>946 MCDONALD AVE</t>
  </si>
  <si>
    <t>THOMAS JEFFERSON ALP</t>
  </si>
  <si>
    <t>XINCON HOME-HEALTHCARE SERVICES, INC.</t>
  </si>
  <si>
    <t>E0324931</t>
  </si>
  <si>
    <t>XINCON HOME-HEALTHCARE SERVICES IN</t>
  </si>
  <si>
    <t>Emmi Chen</t>
  </si>
  <si>
    <t>(212) 560-9218</t>
  </si>
  <si>
    <t>emmic@xinconcare.com</t>
  </si>
  <si>
    <t>224 W 35TH ST STE 708</t>
  </si>
  <si>
    <t>Mark Kator</t>
  </si>
  <si>
    <t>(212) 342-9300</t>
  </si>
  <si>
    <t>mkator@isabella.org</t>
  </si>
  <si>
    <t>HOMEFIRST LHCSA INC DBA METROPOLITAN JEWISH LIC. HOME CARE SERV. AGEN</t>
  </si>
  <si>
    <t>BELLE HARBOR</t>
  </si>
  <si>
    <t>VARGHESE BETSY</t>
  </si>
  <si>
    <t>VARGHESE BETSY DR.</t>
  </si>
  <si>
    <t>41 MAINE AVE</t>
  </si>
  <si>
    <t>E0114575</t>
  </si>
  <si>
    <t>FOREST VIEW CTR REH NRS ADHC</t>
  </si>
  <si>
    <t>FOREST VIEW NURSING HOME ADULT DAY CARE</t>
  </si>
  <si>
    <t>457 DOUGHERTY BLVD</t>
  </si>
  <si>
    <t>INWOOD</t>
  </si>
  <si>
    <t>RYE</t>
  </si>
  <si>
    <t>VOCATIONAL INSTRUCTION PROJECT COMMUNITY SERVICES, INC.</t>
  </si>
  <si>
    <t>E0395545</t>
  </si>
  <si>
    <t>VOCATIONAL INST PROJ COMM SVC</t>
  </si>
  <si>
    <t>(718) 466-4503</t>
  </si>
  <si>
    <t>dwitham@vipservices.org</t>
  </si>
  <si>
    <t>VIP COMMUNITY SRVS</t>
  </si>
  <si>
    <t>KOSMAS CONSTANTINE</t>
  </si>
  <si>
    <t>E0091072</t>
  </si>
  <si>
    <t>KOSMAS CONSTANTINE ELIAS MD</t>
  </si>
  <si>
    <t>NY PRIMARY CARE</t>
  </si>
  <si>
    <t>(518) 781-1818</t>
  </si>
  <si>
    <t>(212) 675-1000</t>
  </si>
  <si>
    <t>SHELTERING ARMS CHILDREN &amp; FAMILY, INC</t>
  </si>
  <si>
    <t>(914) 693-0600</t>
  </si>
  <si>
    <t>MARTIN DE PORRES GROUP HOMES</t>
  </si>
  <si>
    <t>E0266324</t>
  </si>
  <si>
    <t>(718) 527-0606</t>
  </si>
  <si>
    <t>4156 JUDGE ST</t>
  </si>
  <si>
    <t>FORESTDALE, INC.</t>
  </si>
  <si>
    <t>E0264828</t>
  </si>
  <si>
    <t>FORESTDALE, INC</t>
  </si>
  <si>
    <t>E0077054</t>
  </si>
  <si>
    <t>CHARLOTTEN KEVIN ALEXANDER MD</t>
  </si>
  <si>
    <t>CHARLOTTEN KEVIN DR.</t>
  </si>
  <si>
    <t>CHARLOTTEN KEVIN ALEXANDER</t>
  </si>
  <si>
    <t>41-50 78TH ST</t>
  </si>
  <si>
    <t>CHEN HENRY DR.</t>
  </si>
  <si>
    <t>SHAROV YAKOV</t>
  </si>
  <si>
    <t>E0302711</t>
  </si>
  <si>
    <t>209 AVENUE P</t>
  </si>
  <si>
    <t>E0229891</t>
  </si>
  <si>
    <t>CHANG THOMAS T M MD</t>
  </si>
  <si>
    <t>CHANG THOMAS DR.</t>
  </si>
  <si>
    <t>70 E 10TH ST APT 1F</t>
  </si>
  <si>
    <t>E0342238</t>
  </si>
  <si>
    <t>CAI STEVEN</t>
  </si>
  <si>
    <t>CAI STEVEN DR.</t>
  </si>
  <si>
    <t>PINEDA DIANA</t>
  </si>
  <si>
    <t>FISCHER MAUREEN</t>
  </si>
  <si>
    <t>HAYES JAMES MR.</t>
  </si>
  <si>
    <t>1841 BROADWAY</t>
  </si>
  <si>
    <t>SMITH WILLIAM</t>
  </si>
  <si>
    <t>1510 WATERS PL</t>
  </si>
  <si>
    <t>E0344328</t>
  </si>
  <si>
    <t>MALIECKAL GILES</t>
  </si>
  <si>
    <t>MALIECKAL GILES MR.</t>
  </si>
  <si>
    <t>MALIECKAL GILES PASCAL</t>
  </si>
  <si>
    <t>2976 NORTHERN BLVD FL 2</t>
  </si>
  <si>
    <t>MERRITT-MORRISON LAVERNE MRS.</t>
  </si>
  <si>
    <t>E0114798</t>
  </si>
  <si>
    <t>MCINTOSH JAMES</t>
  </si>
  <si>
    <t>MCINTOSH JAMES DR.</t>
  </si>
  <si>
    <t>MARTINEZ ADRIANA</t>
  </si>
  <si>
    <t>E0427286</t>
  </si>
  <si>
    <t>MARTINEZ ADRIANA Y</t>
  </si>
  <si>
    <t>MARTINEZ ADRIANA YELENA</t>
  </si>
  <si>
    <t>29-76 NORTHERN BLVD FL 2</t>
  </si>
  <si>
    <t>ARONOFF MATTHEW MR.</t>
  </si>
  <si>
    <t>3309 CHURCH AVE</t>
  </si>
  <si>
    <t>HOBEIKA ORTHOPAEDICS PC</t>
  </si>
  <si>
    <t>E0224442</t>
  </si>
  <si>
    <t>HOBEIKA PAUL BOWLOS ELIAS</t>
  </si>
  <si>
    <t>4355 147TH ST</t>
  </si>
  <si>
    <t>E0358578</t>
  </si>
  <si>
    <t>JALWAN AJAY</t>
  </si>
  <si>
    <t>7901 BROADWAY RM A1-19</t>
  </si>
  <si>
    <t>ROBBINS DAVID</t>
  </si>
  <si>
    <t>CRD ASSOCIATES LLC</t>
  </si>
  <si>
    <t>E0026258</t>
  </si>
  <si>
    <t>CLIFFSIDE RENAL DIALYSIS</t>
  </si>
  <si>
    <t>119-19 GRAHAM CT</t>
  </si>
  <si>
    <t>WOODCREST REHABILITATION AND RESIDENTIAL HEALTH CARE CENTER LLC</t>
  </si>
  <si>
    <t>E0268085</t>
  </si>
  <si>
    <t>WOODCREST NURSING HOME</t>
  </si>
  <si>
    <t>(718) 762-6100</t>
  </si>
  <si>
    <t>WOODCREST REHAB &amp; RESIDENT HLTH CAR</t>
  </si>
  <si>
    <t>FOREST VIEW NURSING HOME, INC.</t>
  </si>
  <si>
    <t>E0268195</t>
  </si>
  <si>
    <t>FOREST VIEW CTR FOR REH &amp; NRS</t>
  </si>
  <si>
    <t>71 20 110 STREET</t>
  </si>
  <si>
    <t>BILIK ILYA DR.</t>
  </si>
  <si>
    <t>E0130327</t>
  </si>
  <si>
    <t>BILIK ILYA V MD</t>
  </si>
  <si>
    <t>2615 E 16TH ST</t>
  </si>
  <si>
    <t>KHORETS BORIS DR.</t>
  </si>
  <si>
    <t>E0127064</t>
  </si>
  <si>
    <t>KHORETS BORIS A MD</t>
  </si>
  <si>
    <t>LUTHERAN MEDICAL CTR</t>
  </si>
  <si>
    <t>FARHAT SAMIR</t>
  </si>
  <si>
    <t>E0107913</t>
  </si>
  <si>
    <t>FARHAT SAMIR ALI  MD</t>
  </si>
  <si>
    <t>(718) 252-3590</t>
  </si>
  <si>
    <t>(718) 283-6000</t>
  </si>
  <si>
    <t>16408 65TH AVE</t>
  </si>
  <si>
    <t>240 WILLOUGHBY ST</t>
  </si>
  <si>
    <t>PETROV MANANA MRS.</t>
  </si>
  <si>
    <t>E0121370</t>
  </si>
  <si>
    <t>PETROV MANANA MD</t>
  </si>
  <si>
    <t>GALPERIN MARK</t>
  </si>
  <si>
    <t>E0085182</t>
  </si>
  <si>
    <t>GALPERIN MARK MD</t>
  </si>
  <si>
    <t>25 10 30TH AVE</t>
  </si>
  <si>
    <t>SHIF MARK DR.</t>
  </si>
  <si>
    <t>E0129727</t>
  </si>
  <si>
    <t>SHIF MARK MD</t>
  </si>
  <si>
    <t>1917 AVE J</t>
  </si>
  <si>
    <t>1414 NEWKIRK AVE</t>
  </si>
  <si>
    <t>1100 CONEY ISLAND AVE</t>
  </si>
  <si>
    <t>TOWNER ROBERT</t>
  </si>
  <si>
    <t>E0119292</t>
  </si>
  <si>
    <t>TOWNER ROBERT A MD</t>
  </si>
  <si>
    <t>COHEN DAVID</t>
  </si>
  <si>
    <t>E0265180</t>
  </si>
  <si>
    <t>COHEN DAVID L              MD</t>
  </si>
  <si>
    <t>COHEN DAVID L</t>
  </si>
  <si>
    <t>STE 208</t>
  </si>
  <si>
    <t>340 HENRY ST</t>
  </si>
  <si>
    <t>2327 83RD ST STE D</t>
  </si>
  <si>
    <t>YAN XIAOJUN DR.</t>
  </si>
  <si>
    <t>E0147680</t>
  </si>
  <si>
    <t>YAN RICHARD X</t>
  </si>
  <si>
    <t>BETH ISREAL MED CTR</t>
  </si>
  <si>
    <t>BERNSTEIN CHAIM DR.</t>
  </si>
  <si>
    <t>E0261858</t>
  </si>
  <si>
    <t>BERNSTEIN CHAIM J          MD</t>
  </si>
  <si>
    <t>BERNSTEIN CHAIM J</t>
  </si>
  <si>
    <t>HAMMER ARTHUR DR.</t>
  </si>
  <si>
    <t>E0275154</t>
  </si>
  <si>
    <t>HAMMER ARTHUR W            MD</t>
  </si>
  <si>
    <t>HAMMER ARTHUR W MD</t>
  </si>
  <si>
    <t>ISAKOV ISAK</t>
  </si>
  <si>
    <t>E0081637</t>
  </si>
  <si>
    <t>ISAK ISAKOV MEDICAL PC</t>
  </si>
  <si>
    <t>PADDU PADMANABH</t>
  </si>
  <si>
    <t>E0229763</t>
  </si>
  <si>
    <t>PADDU UPADHYAYA PADMANABH</t>
  </si>
  <si>
    <t>4330 46TH ST</t>
  </si>
  <si>
    <t>APPLEMAN WARREN DR.</t>
  </si>
  <si>
    <t>E0263906</t>
  </si>
  <si>
    <t>APPLEMAN WARREN            MD</t>
  </si>
  <si>
    <t>8717 21ST AVE</t>
  </si>
  <si>
    <t>33 W 42ND ST RM 1029</t>
  </si>
  <si>
    <t>BASS SHERRY DR.</t>
  </si>
  <si>
    <t>E0239653</t>
  </si>
  <si>
    <t>BASS SHERRY J OD</t>
  </si>
  <si>
    <t>BLUM CORINNE DR.</t>
  </si>
  <si>
    <t>E0382042</t>
  </si>
  <si>
    <t>BLUM CORINNE E</t>
  </si>
  <si>
    <t>COHEN ALLEN DR.</t>
  </si>
  <si>
    <t>E0259898</t>
  </si>
  <si>
    <t>COHEN ALLEN H OD</t>
  </si>
  <si>
    <t>COHEN JAY</t>
  </si>
  <si>
    <t>E0088672</t>
  </si>
  <si>
    <t>COHEN JAY M</t>
  </si>
  <si>
    <t>CUEVAS ASIMA DR.</t>
  </si>
  <si>
    <t>E0046970</t>
  </si>
  <si>
    <t>CUEVAS ASIMA</t>
  </si>
  <si>
    <t>DISANTO GREGORY</t>
  </si>
  <si>
    <t>E0198182</t>
  </si>
  <si>
    <t>DUCHNOWSKI EVA DR.</t>
  </si>
  <si>
    <t>E0347848</t>
  </si>
  <si>
    <t>DUCHNOWSKI EVA</t>
  </si>
  <si>
    <t>DUL MITCHELL</t>
  </si>
  <si>
    <t>E0088667</t>
  </si>
  <si>
    <t>DUL MITCH</t>
  </si>
  <si>
    <t>DYE COLLEEN DR.</t>
  </si>
  <si>
    <t>E0382022</t>
  </si>
  <si>
    <t>DYE COLLEEN</t>
  </si>
  <si>
    <t>GIALOUSAKIS JOHN DR.</t>
  </si>
  <si>
    <t>E0382290</t>
  </si>
  <si>
    <t>GIALVSAKIS JOHN PETER</t>
  </si>
  <si>
    <t>GIALOUSAKIS JOHN PETER</t>
  </si>
  <si>
    <t>GOULD JENNIFER DR.</t>
  </si>
  <si>
    <t>E0357759</t>
  </si>
  <si>
    <t>GOULD JENNIFER ANN</t>
  </si>
  <si>
    <t>GUNDEL RALPH DR.</t>
  </si>
  <si>
    <t>E0088658</t>
  </si>
  <si>
    <t>GUNDEL RALPH</t>
  </si>
  <si>
    <t>HASKES LLOYD DR.</t>
  </si>
  <si>
    <t>E0114489</t>
  </si>
  <si>
    <t>HASKES LLOYD PARTMAN</t>
  </si>
  <si>
    <t>HUE JENNIFER DR.</t>
  </si>
  <si>
    <t>E0357764</t>
  </si>
  <si>
    <t>HUE JENNIFER E</t>
  </si>
  <si>
    <t>IACONO DANIELLE DR.</t>
  </si>
  <si>
    <t>E0338737</t>
  </si>
  <si>
    <t>IACONO DANIELLE</t>
  </si>
  <si>
    <t>KAPLAN EVAN DR.</t>
  </si>
  <si>
    <t>E0061890</t>
  </si>
  <si>
    <t>KAPLAN EVAN</t>
  </si>
  <si>
    <t>KAPLAN EVAN N OD</t>
  </si>
  <si>
    <t>1748 CROSBY AVE</t>
  </si>
  <si>
    <t>KRUMHOLZ DAVID DR.</t>
  </si>
  <si>
    <t>E0088654</t>
  </si>
  <si>
    <t>KRUMHOLTZ IRA DR.</t>
  </si>
  <si>
    <t>E0055767</t>
  </si>
  <si>
    <t>KRUMHOLTZ IRA</t>
  </si>
  <si>
    <t>LETAFAT KIMIA DR.</t>
  </si>
  <si>
    <t>E0357757</t>
  </si>
  <si>
    <t>LETAFAT KIMIA C</t>
  </si>
  <si>
    <t>LEVINE SANDER DR.</t>
  </si>
  <si>
    <t>E0154202</t>
  </si>
  <si>
    <t>LEVINE SANDER MARK</t>
  </si>
  <si>
    <t>CONTINENTAL VISION</t>
  </si>
  <si>
    <t>LIBASSI DAVID DR.</t>
  </si>
  <si>
    <t>E0106867</t>
  </si>
  <si>
    <t>LIBASSI DAVID</t>
  </si>
  <si>
    <t>LIBASSI DAVID P</t>
  </si>
  <si>
    <t>LOWE TERESA DR.</t>
  </si>
  <si>
    <t>E0156569</t>
  </si>
  <si>
    <t>LOWE TERESA ANN OD</t>
  </si>
  <si>
    <t>MALLIOS JENELLE</t>
  </si>
  <si>
    <t>E0382015</t>
  </si>
  <si>
    <t>MALLIOS JENELLE L</t>
  </si>
  <si>
    <t>MODICA PATRICIA</t>
  </si>
  <si>
    <t>E0088650</t>
  </si>
  <si>
    <t>MODICA PATRICIA A</t>
  </si>
  <si>
    <t>NGO TAMMY</t>
  </si>
  <si>
    <t>E0056082</t>
  </si>
  <si>
    <t>NGO TAMMY PHUONG</t>
  </si>
  <si>
    <t>702 ALLERTON AVE</t>
  </si>
  <si>
    <t>NGUYEN TRACY DR.</t>
  </si>
  <si>
    <t>E0345114</t>
  </si>
  <si>
    <t>NGUYEN TRACY THUY</t>
  </si>
  <si>
    <t>E0357715</t>
  </si>
  <si>
    <t>PARK SHARON J</t>
  </si>
  <si>
    <t>KEH SHARON</t>
  </si>
  <si>
    <t>OCONNELL WILLIAM</t>
  </si>
  <si>
    <t>E0242910</t>
  </si>
  <si>
    <t>OCONNELL WILLIAM F OD</t>
  </si>
  <si>
    <t>PORTELLO JOAN DR.</t>
  </si>
  <si>
    <t>E0194621</t>
  </si>
  <si>
    <t>PORTELLO JOAN K</t>
  </si>
  <si>
    <t>ICU OPTICAL LTD</t>
  </si>
  <si>
    <t>RITTER STEVEN</t>
  </si>
  <si>
    <t>E0088642</t>
  </si>
  <si>
    <t>RUTNER DANIELLA DR.</t>
  </si>
  <si>
    <t>E0052880</t>
  </si>
  <si>
    <t>RUTNER DANIELLA</t>
  </si>
  <si>
    <t>SCHULMAN ERICA DR.</t>
  </si>
  <si>
    <t>E0313988</t>
  </si>
  <si>
    <t>SCHULMAN ERICA</t>
  </si>
  <si>
    <t>SODEN RICHARD DR.</t>
  </si>
  <si>
    <t>E0225273</t>
  </si>
  <si>
    <t>SODEN RICHARD M OD</t>
  </si>
  <si>
    <t>COHEN SODEN &amp; GNADT</t>
  </si>
  <si>
    <t>STAMM JOSEPH DR.</t>
  </si>
  <si>
    <t>E0227781</t>
  </si>
  <si>
    <t>STAMM JOSEPH MARTIN OD</t>
  </si>
  <si>
    <t>STEINER AUDRA DR.</t>
  </si>
  <si>
    <t>E0055775</t>
  </si>
  <si>
    <t>STEINER AUDRA</t>
  </si>
  <si>
    <t>THAU ANDREA</t>
  </si>
  <si>
    <t>E0106846</t>
  </si>
  <si>
    <t>THAU ANDREA P</t>
  </si>
  <si>
    <t>WATSON CATHERINE DR.</t>
  </si>
  <si>
    <t>E0194925</t>
  </si>
  <si>
    <t>WATSON CATHERIN PACE</t>
  </si>
  <si>
    <t>WATSON CATHERINE PACE</t>
  </si>
  <si>
    <t>WOLINTZ ROBYN</t>
  </si>
  <si>
    <t>E0125061</t>
  </si>
  <si>
    <t>WOLINTZ ROBYN JOY MD</t>
  </si>
  <si>
    <t>MAIMONIDES NEUROLOGY</t>
  </si>
  <si>
    <t>WONG THOMAS DR.</t>
  </si>
  <si>
    <t>E0332829</t>
  </si>
  <si>
    <t>WONG THOMAS</t>
  </si>
  <si>
    <t>CHAKRABARTI CHHAYA</t>
  </si>
  <si>
    <t>E0275170</t>
  </si>
  <si>
    <t>CHAKRABARTI CHHAYA MD PC</t>
  </si>
  <si>
    <t>8918 LEFFERTS BLVD</t>
  </si>
  <si>
    <t>39-05 61ST ST FL 2</t>
  </si>
  <si>
    <t>CANELLOS HARRIETTE</t>
  </si>
  <si>
    <t>E0106881</t>
  </si>
  <si>
    <t>CANELLOS HARRIETTE M</t>
  </si>
  <si>
    <t>RICHTER MICHAEL MR.</t>
  </si>
  <si>
    <t>E0115081</t>
  </si>
  <si>
    <t>RICHTER MICHAEL</t>
  </si>
  <si>
    <t>RICHTER MICHAEL LLOYD MD</t>
  </si>
  <si>
    <t>9215 63RD DR</t>
  </si>
  <si>
    <t>HERITAGE HEALTH AND HOUSING, INC</t>
  </si>
  <si>
    <t>E0314396</t>
  </si>
  <si>
    <t>1727 AMSTERDAM AVE</t>
  </si>
  <si>
    <t>YANG ANDREA</t>
  </si>
  <si>
    <t>E0055771</t>
  </si>
  <si>
    <t>STICKLES SCOTT DR.</t>
  </si>
  <si>
    <t>E0294224</t>
  </si>
  <si>
    <t>STICKLES SCOTT MICHAEL DO</t>
  </si>
  <si>
    <t>175 MEMORIAL HWY</t>
  </si>
  <si>
    <t>CHOI MARK DR.</t>
  </si>
  <si>
    <t>E0024744</t>
  </si>
  <si>
    <t>CHOI MARK MD</t>
  </si>
  <si>
    <t>LIPPMAN SHELDON DR.</t>
  </si>
  <si>
    <t>E0159378</t>
  </si>
  <si>
    <t>LIPPMAN SHELDON BRUCE  MD</t>
  </si>
  <si>
    <t>LIPPMAN SHELDON B</t>
  </si>
  <si>
    <t>2220 OCEAN AVE</t>
  </si>
  <si>
    <t>1050 TARGEE ST</t>
  </si>
  <si>
    <t>LIPPMAN MARIE</t>
  </si>
  <si>
    <t>E0153290</t>
  </si>
  <si>
    <t>LIPPMAN MARIE ABARIENTOS MD</t>
  </si>
  <si>
    <t>525 EAST 68TH STREET</t>
  </si>
  <si>
    <t>217 GRAND ST FL 5</t>
  </si>
  <si>
    <t>MOISE WESNER DR.</t>
  </si>
  <si>
    <t>E0274894</t>
  </si>
  <si>
    <t>MOISE WESNER               MD</t>
  </si>
  <si>
    <t>8928 MERRICK BLVD</t>
  </si>
  <si>
    <t>AHMAD SYED MRS.</t>
  </si>
  <si>
    <t>E0209691</t>
  </si>
  <si>
    <t>SYED AHMAD PHYSICIAN PC</t>
  </si>
  <si>
    <t>22 SINCLAIR CT</t>
  </si>
  <si>
    <t>Pharmacy:: Practitioner - Non-Primary Care Provider (PCP)</t>
  </si>
  <si>
    <t>PERSAUD INDRANI</t>
  </si>
  <si>
    <t>E0106312</t>
  </si>
  <si>
    <t>FOSTER SHARON MD</t>
  </si>
  <si>
    <t>FOSTER SHARON DR.</t>
  </si>
  <si>
    <t>31-75 23RD STREET</t>
  </si>
  <si>
    <t>GARNERVILLE</t>
  </si>
  <si>
    <t>WONG TIMOTHY</t>
  </si>
  <si>
    <t>E0059675</t>
  </si>
  <si>
    <t>350 BROADWAY RM 200</t>
  </si>
  <si>
    <t>CHOW CHRISTOPHER DR.</t>
  </si>
  <si>
    <t>E0002190</t>
  </si>
  <si>
    <t>CHRISTOPHER CHOW</t>
  </si>
  <si>
    <t>CHOW CHRISTOPHER</t>
  </si>
  <si>
    <t>16 GUION PL</t>
  </si>
  <si>
    <t>STE 1H</t>
  </si>
  <si>
    <t>VILNITS ANATOLIY DR.</t>
  </si>
  <si>
    <t>E0074500</t>
  </si>
  <si>
    <t>VILNITS ANATOLIY MD</t>
  </si>
  <si>
    <t>BORO MEDICAL PC</t>
  </si>
  <si>
    <t>TAM ANTHONY DR.</t>
  </si>
  <si>
    <t>E0420203</t>
  </si>
  <si>
    <t>TAM ANTHONY</t>
  </si>
  <si>
    <t>329 E 62ND ST</t>
  </si>
  <si>
    <t>OSMANI ATAUL</t>
  </si>
  <si>
    <t>E0022387</t>
  </si>
  <si>
    <t>OSMANI MOHAMMED MD</t>
  </si>
  <si>
    <t>OSMANI ATAUL HOQUE MOHAMMED</t>
  </si>
  <si>
    <t>10401 ROOSEVELT AVE</t>
  </si>
  <si>
    <t>1544 GREENE AVE</t>
  </si>
  <si>
    <t>DRUKMAN LILIYA</t>
  </si>
  <si>
    <t>E0108599</t>
  </si>
  <si>
    <t>DRUKMAN LILIYA MD</t>
  </si>
  <si>
    <t>5923 16TH AVE</t>
  </si>
  <si>
    <t>710 W 168TH ST</t>
  </si>
  <si>
    <t>ARMINGTON KEVIN DR.</t>
  </si>
  <si>
    <t>E0068412</t>
  </si>
  <si>
    <t>ARMINGTON KEVIN JOHN MD</t>
  </si>
  <si>
    <t>127 BEDFORD AVE</t>
  </si>
  <si>
    <t>315 S MANNING BLVD</t>
  </si>
  <si>
    <t>211 CHURCH ST</t>
  </si>
  <si>
    <t>SARATOGA SPRINGS</t>
  </si>
  <si>
    <t>SCHENECTADY</t>
  </si>
  <si>
    <t>LATHAM</t>
  </si>
  <si>
    <t>TROY</t>
  </si>
  <si>
    <t>ELMIRA</t>
  </si>
  <si>
    <t>CORAL GABLES</t>
  </si>
  <si>
    <t>SPRINGFIELD</t>
  </si>
  <si>
    <t>3 GATES CIR</t>
  </si>
  <si>
    <t>CONIFER PARK, INC.</t>
  </si>
  <si>
    <t>Case Management / Health Home:: Mental Health</t>
  </si>
  <si>
    <t>LTHHCP</t>
  </si>
  <si>
    <t>LIVINGSTON</t>
  </si>
  <si>
    <t>mschrieber@cassenacare.com</t>
  </si>
  <si>
    <t>SAYVILLE</t>
  </si>
  <si>
    <t>JOPAL AT ST. JAMES LLC</t>
  </si>
  <si>
    <t>E0322331</t>
  </si>
  <si>
    <t>MILLS POND NURSING &amp; REHAB CTR</t>
  </si>
  <si>
    <t>273 MORICHES RD</t>
  </si>
  <si>
    <t>SAINT JAMES</t>
  </si>
  <si>
    <t>ALTAMONT</t>
  </si>
  <si>
    <t>RHINEBECK</t>
  </si>
  <si>
    <t>90 BROAD ST</t>
  </si>
  <si>
    <t>KINDERHOOK</t>
  </si>
  <si>
    <t>VALATIE</t>
  </si>
  <si>
    <t>LAGRANGEVILLE</t>
  </si>
  <si>
    <t>STE 102</t>
  </si>
  <si>
    <t>NY MEDICAL COLLEGE</t>
  </si>
  <si>
    <t>SALEM</t>
  </si>
  <si>
    <t>NISKAYUNA</t>
  </si>
  <si>
    <t>526 ALTAMONT AVE</t>
  </si>
  <si>
    <t>427 GUY PARK AVE</t>
  </si>
  <si>
    <t>AMSTERDAM</t>
  </si>
  <si>
    <t>1 ATWELL RD</t>
  </si>
  <si>
    <t>COOPERSTOWN</t>
  </si>
  <si>
    <t>HIGHLAND</t>
  </si>
  <si>
    <t>99 E STATE ST</t>
  </si>
  <si>
    <t>GLOVERSVILLE</t>
  </si>
  <si>
    <t>1 HEALTHY WAY</t>
  </si>
  <si>
    <t>OCEANSIDE</t>
  </si>
  <si>
    <t>601 ELMWOOD AVE</t>
  </si>
  <si>
    <t>STE 201</t>
  </si>
  <si>
    <t>STE 200</t>
  </si>
  <si>
    <t>PHILADELPHIA</t>
  </si>
  <si>
    <t>PA</t>
  </si>
  <si>
    <t>711 TROY SCHENECTADY RD STE 104</t>
  </si>
  <si>
    <t>600 MCCLELLAN ST</t>
  </si>
  <si>
    <t>5 E 98TH ST FL 10</t>
  </si>
  <si>
    <t>SC</t>
  </si>
  <si>
    <t>CHICAGO</t>
  </si>
  <si>
    <t>All Other:: Case Management / Health Home:: Clinic:: Mental Health</t>
  </si>
  <si>
    <t>HYDE PARK</t>
  </si>
  <si>
    <t>irubin@centershealthcare.org</t>
  </si>
  <si>
    <t>STE 1</t>
  </si>
  <si>
    <t>MALTA</t>
  </si>
  <si>
    <t>ROTTERDAM</t>
  </si>
  <si>
    <t>70 DUBOIS ST</t>
  </si>
  <si>
    <t>NEWBURGH</t>
  </si>
  <si>
    <t>PORT CHESTER</t>
  </si>
  <si>
    <t>ROOSEVELT HOSPITAL</t>
  </si>
  <si>
    <t>CO</t>
  </si>
  <si>
    <t>45 MAIN ST</t>
  </si>
  <si>
    <t>DAUGHTERS OF SARAH</t>
  </si>
  <si>
    <t>WALGREEN CO</t>
  </si>
  <si>
    <t>GREENWICH</t>
  </si>
  <si>
    <t>600 NORTHERN BLVD</t>
  </si>
  <si>
    <t>STE 100</t>
  </si>
  <si>
    <t>STE 203</t>
  </si>
  <si>
    <t>UTICA</t>
  </si>
  <si>
    <t>101 HOSPITAL RD</t>
  </si>
  <si>
    <t>116 EVERETT RD</t>
  </si>
  <si>
    <t>ITHACA</t>
  </si>
  <si>
    <t>E0318708</t>
  </si>
  <si>
    <t>BARNWELL NURSING &amp; REHAB CENT</t>
  </si>
  <si>
    <t>JOPAL LLC BARNWELL NURSING &amp; REHAB CTR.</t>
  </si>
  <si>
    <t>3230 CHURCH ST</t>
  </si>
  <si>
    <t>150 BROADWAY</t>
  </si>
  <si>
    <t>496 SMITHTOWN BYP</t>
  </si>
  <si>
    <t>SMITHTOWN</t>
  </si>
  <si>
    <t>STE 204</t>
  </si>
  <si>
    <t>WARRENSBURG</t>
  </si>
  <si>
    <t>FOX JOHN</t>
  </si>
  <si>
    <t>155 CRYSTAL RUN RD</t>
  </si>
  <si>
    <t>MIDDLETOWN</t>
  </si>
  <si>
    <t>2209 GENESEE ST</t>
  </si>
  <si>
    <t>256 MASON AVE</t>
  </si>
  <si>
    <t>1 WEBSTER AVE STE 400</t>
  </si>
  <si>
    <t>RENSSELAER</t>
  </si>
  <si>
    <t>E0183861</t>
  </si>
  <si>
    <t>YAN RICHARD</t>
  </si>
  <si>
    <t>YAN RICHARD DR.</t>
  </si>
  <si>
    <t>CAPITAL AREA COMM</t>
  </si>
  <si>
    <t>SUPPORTIVE</t>
  </si>
  <si>
    <t>GARRISON</t>
  </si>
  <si>
    <t>6971 GRAND AVE</t>
  </si>
  <si>
    <t>GOUVERNEUR</t>
  </si>
  <si>
    <t>BRUTUS VALERIE</t>
  </si>
  <si>
    <t>WATERTOWN</t>
  </si>
  <si>
    <t>FISHKILL</t>
  </si>
  <si>
    <t>820 RIVER STREET INC.</t>
  </si>
  <si>
    <t>E0186163</t>
  </si>
  <si>
    <t>1180 BERNE ALTAMONT RD RTE 156</t>
  </si>
  <si>
    <t>CT</t>
  </si>
  <si>
    <t>241 NORTH RD</t>
  </si>
  <si>
    <t>403 E 34TH ST</t>
  </si>
  <si>
    <t>200 LOTHROP ST</t>
  </si>
  <si>
    <t>PITTSBURGH</t>
  </si>
  <si>
    <t>WAXMAN MICHAEL</t>
  </si>
  <si>
    <t>KIM GRACE</t>
  </si>
  <si>
    <t>1425 PORTLAND AVE</t>
  </si>
  <si>
    <t>3400 BAINBRIDGE AVE</t>
  </si>
  <si>
    <t>BONURA FRANK DR.</t>
  </si>
  <si>
    <t>E0237631</t>
  </si>
  <si>
    <t>BONURA FRANK SALVATORE     MD</t>
  </si>
  <si>
    <t>100 LAWRENCE AVE</t>
  </si>
  <si>
    <t>BRODSKY STEPHEN DR.</t>
  </si>
  <si>
    <t>E0235246</t>
  </si>
  <si>
    <t>BRODSKY STEPHEN MD</t>
  </si>
  <si>
    <t>MATHER HOSPITAL</t>
  </si>
  <si>
    <t>PORT JEFFERSON</t>
  </si>
  <si>
    <t>HAUER DAVID DR.</t>
  </si>
  <si>
    <t>E0230400</t>
  </si>
  <si>
    <t>HAUER DAVID I              MD</t>
  </si>
  <si>
    <t>HAUER DAVID I</t>
  </si>
  <si>
    <t>388 HAWKINS AVE STE 1</t>
  </si>
  <si>
    <t>KAO WEI MR.</t>
  </si>
  <si>
    <t>E0197979</t>
  </si>
  <si>
    <t>KAO WEI MD</t>
  </si>
  <si>
    <t>KAO WEI</t>
  </si>
  <si>
    <t>NORTHSIDE MED ASC PC</t>
  </si>
  <si>
    <t>SCOTTI LORENZO DR.</t>
  </si>
  <si>
    <t>E0225075</t>
  </si>
  <si>
    <t>SCOTTI LORENZO LOUIS DPM</t>
  </si>
  <si>
    <t>SCOTTI LORENZO LOUIS</t>
  </si>
  <si>
    <t>1826 FOWLER AVE</t>
  </si>
  <si>
    <t>SALAMA MEIR DR.</t>
  </si>
  <si>
    <t>E0162338</t>
  </si>
  <si>
    <t>SALAMA MEIR MD</t>
  </si>
  <si>
    <t>E0403026</t>
  </si>
  <si>
    <t>MINOTT YVONNE B</t>
  </si>
  <si>
    <t>MINOTT YVONNE MS.</t>
  </si>
  <si>
    <t>1 PENN PLZ FRNT 7 # 725</t>
  </si>
  <si>
    <t>SENIOR SHARON</t>
  </si>
  <si>
    <t>E0404394</t>
  </si>
  <si>
    <t>SENIOR SHARON DAWN</t>
  </si>
  <si>
    <t>1 PENN PLZ FL 7  #725</t>
  </si>
  <si>
    <t>E0393424</t>
  </si>
  <si>
    <t>USKACH EUGENIA</t>
  </si>
  <si>
    <t>USKACH EVGENIA MRS.</t>
  </si>
  <si>
    <t>1000 PELHAM PKWY S</t>
  </si>
  <si>
    <t>BUFF DANIEL</t>
  </si>
  <si>
    <t>E0192107</t>
  </si>
  <si>
    <t>BUFF DANIEL DAVID MD</t>
  </si>
  <si>
    <t>ST JOHNS HOSPITAL</t>
  </si>
  <si>
    <t>HOLCOMB ALVIN DR.</t>
  </si>
  <si>
    <t>E0140179</t>
  </si>
  <si>
    <t>HOLCOMB ALVIN D MD</t>
  </si>
  <si>
    <t>3004 CRESCENT ST S</t>
  </si>
  <si>
    <t>NATALENKO IRINA DR.</t>
  </si>
  <si>
    <t>E0080056</t>
  </si>
  <si>
    <t>NATALENKO IRINA MD</t>
  </si>
  <si>
    <t>217 BEACH 95TH ST</t>
  </si>
  <si>
    <t>SANTIAGO ALLAN</t>
  </si>
  <si>
    <t>E0042345</t>
  </si>
  <si>
    <t>SANTIAGO ALLAN REALIN MD</t>
  </si>
  <si>
    <t>OOMMEN SHOBIN</t>
  </si>
  <si>
    <t>E0284434</t>
  </si>
  <si>
    <t>OOMMEN SHOBIN MD</t>
  </si>
  <si>
    <t>372 S OYSTER BAY RD</t>
  </si>
  <si>
    <t>MT SINAI HOSP</t>
  </si>
  <si>
    <t>LU HSIEN-YI DR.</t>
  </si>
  <si>
    <t>E0353159</t>
  </si>
  <si>
    <t>LU HSIEN-YI</t>
  </si>
  <si>
    <t>NUSSBAUM JACK</t>
  </si>
  <si>
    <t>E0117606</t>
  </si>
  <si>
    <t>NUSSBAUM JACK MD</t>
  </si>
  <si>
    <t>388 HAWKINS AVE</t>
  </si>
  <si>
    <t>ONGHAI BENSON DR.</t>
  </si>
  <si>
    <t>E0094106</t>
  </si>
  <si>
    <t>ONGHAI BENSON GO MD</t>
  </si>
  <si>
    <t>200 BELLE TERRE RD</t>
  </si>
  <si>
    <t>ROSALES MANUEL</t>
  </si>
  <si>
    <t>E0123819</t>
  </si>
  <si>
    <t>ROSALES MANUEL RAMOS MD</t>
  </si>
  <si>
    <t>ROSALES MANUEL RAMOS</t>
  </si>
  <si>
    <t>SHUKLA MEENAL</t>
  </si>
  <si>
    <t>E0031046</t>
  </si>
  <si>
    <t>JANICE PRIME CARE MEDICAL PC</t>
  </si>
  <si>
    <t>MEDIN KAREN DR.</t>
  </si>
  <si>
    <t>E0382546</t>
  </si>
  <si>
    <t>MEDIN KAREN LOUISE</t>
  </si>
  <si>
    <t>CONNELL ASHLEY</t>
  </si>
  <si>
    <t>E0343098</t>
  </si>
  <si>
    <t>CONNELL ASHLEY ELIZABETH</t>
  </si>
  <si>
    <t>3505 VETERANS MEMORIAL HWY STE C</t>
  </si>
  <si>
    <t>RONKONKOMA</t>
  </si>
  <si>
    <t>GERAGHTY NICOLE</t>
  </si>
  <si>
    <t>E0335615</t>
  </si>
  <si>
    <t>GERAGHTY NICOLE KRISTINE</t>
  </si>
  <si>
    <t>3505 VETERANS MEMORIAL HWY</t>
  </si>
  <si>
    <t>GINEBRA CLAUDIO</t>
  </si>
  <si>
    <t>E0343038</t>
  </si>
  <si>
    <t>DOMINGO DAVID MR.</t>
  </si>
  <si>
    <t>E0033941</t>
  </si>
  <si>
    <t>DOMINGO DAVID BUCAO</t>
  </si>
  <si>
    <t>1350 ROUTE 112</t>
  </si>
  <si>
    <t>PORT JEFFERSON STATION</t>
  </si>
  <si>
    <t>MERMELSTEIN PETER MR.</t>
  </si>
  <si>
    <t>E0377609</t>
  </si>
  <si>
    <t>MERMELSTEIN PETER L</t>
  </si>
  <si>
    <t>ZHAO LING</t>
  </si>
  <si>
    <t>E0348498</t>
  </si>
  <si>
    <t>KOLAHIFAR JAFAR</t>
  </si>
  <si>
    <t>E0231510</t>
  </si>
  <si>
    <t>KOLAHIFAR JAFAR            MD</t>
  </si>
  <si>
    <t>222 E MAIN ST</t>
  </si>
  <si>
    <t>HORVATH DAVID DR.</t>
  </si>
  <si>
    <t>E0364525</t>
  </si>
  <si>
    <t>HORVATH DAVID</t>
  </si>
  <si>
    <t>165 LEFFERTS RD</t>
  </si>
  <si>
    <t>WOODMERE</t>
  </si>
  <si>
    <t>COOMBS KENNETH</t>
  </si>
  <si>
    <t>E0182634</t>
  </si>
  <si>
    <t>COOMBS KENNETH E DPM</t>
  </si>
  <si>
    <t>276 SMITHTOWN BLVD</t>
  </si>
  <si>
    <t>NESCONSET</t>
  </si>
  <si>
    <t>EMMONS GEORGE DR.</t>
  </si>
  <si>
    <t>E0078444</t>
  </si>
  <si>
    <t>EMMONS GEORGE DPM</t>
  </si>
  <si>
    <t>RAVITZ STEPHEN MR.</t>
  </si>
  <si>
    <t>E0172782</t>
  </si>
  <si>
    <t>RAVITZ STEPHEN B DPM</t>
  </si>
  <si>
    <t>63 MAIN ST</t>
  </si>
  <si>
    <t>KINGS PARK</t>
  </si>
  <si>
    <t>SMITH PETER DR.</t>
  </si>
  <si>
    <t>E0110527</t>
  </si>
  <si>
    <t>SMITH PETER DPM</t>
  </si>
  <si>
    <t>207 HALLOCK RD STE 4</t>
  </si>
  <si>
    <t>STEINBERG MITCHELL DR.</t>
  </si>
  <si>
    <t>E0256668</t>
  </si>
  <si>
    <t>STEINBERG MITCHELL LEE DPM PC</t>
  </si>
  <si>
    <t>STEINBERG MITCHELL LEE</t>
  </si>
  <si>
    <t>1212 RTE 25A</t>
  </si>
  <si>
    <t>WASHINGTON RONALD DR.</t>
  </si>
  <si>
    <t>E0219701</t>
  </si>
  <si>
    <t>WASHINGTON RONALD A DPM</t>
  </si>
  <si>
    <t>275 MORICHES RD</t>
  </si>
  <si>
    <t>HORDOS AMANDA DR.</t>
  </si>
  <si>
    <t>E0362770</t>
  </si>
  <si>
    <t>AMANDA HORDOS</t>
  </si>
  <si>
    <t>HORDOS AMANDA P</t>
  </si>
  <si>
    <t>116 E 125TH ST</t>
  </si>
  <si>
    <t>RAJPOOT MINAKSHI</t>
  </si>
  <si>
    <t>E0444210</t>
  </si>
  <si>
    <t>GROSS HOLLY DR.</t>
  </si>
  <si>
    <t>58 LESLIE LANE</t>
  </si>
  <si>
    <t>CLARK PATRICIA</t>
  </si>
  <si>
    <t>E0364913</t>
  </si>
  <si>
    <t>CLARK PATRICIA L</t>
  </si>
  <si>
    <t>DINOVIS JAMES DR.</t>
  </si>
  <si>
    <t>E0227355</t>
  </si>
  <si>
    <t>DINOVIS JAMES PAUL</t>
  </si>
  <si>
    <t>1147 FRONT ST</t>
  </si>
  <si>
    <t>FAROQUI FAZAL</t>
  </si>
  <si>
    <t>E0022973</t>
  </si>
  <si>
    <t>FAROQUI FAZAL G DO</t>
  </si>
  <si>
    <t>FAROQUI FAZAL G</t>
  </si>
  <si>
    <t>156 WEST AVE</t>
  </si>
  <si>
    <t>BROCKPORT</t>
  </si>
  <si>
    <t>STE 6</t>
  </si>
  <si>
    <t>ELM AND CARLTON ST</t>
  </si>
  <si>
    <t>OASAS</t>
  </si>
  <si>
    <t>DUNKIRK</t>
  </si>
  <si>
    <t>HALL DUANE DR.</t>
  </si>
  <si>
    <t>E0290460</t>
  </si>
  <si>
    <t>HALL DUANE SEYMOUR</t>
  </si>
  <si>
    <t>305 LOCUST AVE</t>
  </si>
  <si>
    <t>OAKDALE</t>
  </si>
  <si>
    <t>IQBAL ADEEL</t>
  </si>
  <si>
    <t>E0324699</t>
  </si>
  <si>
    <t>IQBAL ADEEL AZMAT</t>
  </si>
  <si>
    <t>152 N OCEAN AVE</t>
  </si>
  <si>
    <t>LANDY ROBERT DR.</t>
  </si>
  <si>
    <t>E0152219</t>
  </si>
  <si>
    <t>LANDY ROBERT JAY DPM</t>
  </si>
  <si>
    <t>400 MONTAUK HWY STE 111</t>
  </si>
  <si>
    <t>MAKAVANA JAYESHKUMAR DR.</t>
  </si>
  <si>
    <t>E0047900</t>
  </si>
  <si>
    <t>MAKAVANA JAYESHKUMAR J MD</t>
  </si>
  <si>
    <t>MAKAVANA JAYESHKUMAR J</t>
  </si>
  <si>
    <t>1 E ROE BLVD</t>
  </si>
  <si>
    <t>PATEL NILESHKUMAR DR.</t>
  </si>
  <si>
    <t>E0165830</t>
  </si>
  <si>
    <t>PATEL NILESHKUMAR GOKAL  MD</t>
  </si>
  <si>
    <t>YORKTOWN HEIGHTS</t>
  </si>
  <si>
    <t>PIAZZA ASHLEY</t>
  </si>
  <si>
    <t>E0385695</t>
  </si>
  <si>
    <t>PIAZZA ASHLEY G</t>
  </si>
  <si>
    <t>RANA NIRMALA DR.</t>
  </si>
  <si>
    <t>E0071490</t>
  </si>
  <si>
    <t>RANA NIRMALA PSY.D</t>
  </si>
  <si>
    <t>RANA NIRMALA</t>
  </si>
  <si>
    <t>85 WILLIS AVE STE A</t>
  </si>
  <si>
    <t>TAN ALFONSO</t>
  </si>
  <si>
    <t>E0275593</t>
  </si>
  <si>
    <t>TAN ALFONSO MD</t>
  </si>
  <si>
    <t>297 W MAIN ST</t>
  </si>
  <si>
    <t>TREHAN MANOJ</t>
  </si>
  <si>
    <t>E0020443</t>
  </si>
  <si>
    <t>TREHAN MANOJ K MD</t>
  </si>
  <si>
    <t>MCARTHUR BARBARA</t>
  </si>
  <si>
    <t>E0166729</t>
  </si>
  <si>
    <t>HOME HEARING CARE AUDIOLOGICA</t>
  </si>
  <si>
    <t>331 E MAIN ST STE 1</t>
  </si>
  <si>
    <t>KRUGLEY RICHARD</t>
  </si>
  <si>
    <t>E0202173</t>
  </si>
  <si>
    <t>KRUGLEY RICHARD A          MD</t>
  </si>
  <si>
    <t>FURCI THOMAS DR.</t>
  </si>
  <si>
    <t>E0188905</t>
  </si>
  <si>
    <t>FURCI THOMAS JAMES DPM</t>
  </si>
  <si>
    <t>43 BROADWAY AVE</t>
  </si>
  <si>
    <t>BYRNE CHRISTOPHER</t>
  </si>
  <si>
    <t>E0354408</t>
  </si>
  <si>
    <t>5847 188TH ST</t>
  </si>
  <si>
    <t>TRANCHESE JOHN MR.</t>
  </si>
  <si>
    <t>E0153998</t>
  </si>
  <si>
    <t>TRANCHESE JOHN</t>
  </si>
  <si>
    <t>11 ROXBURY DR</t>
  </si>
  <si>
    <t>COMMACK</t>
  </si>
  <si>
    <t>OPTICIAN</t>
  </si>
  <si>
    <t>CRONIN KATHLEEN</t>
  </si>
  <si>
    <t>CALAMIA VINCENT</t>
  </si>
  <si>
    <t>E0215206</t>
  </si>
  <si>
    <t>CALAMIA VINCENT            MD</t>
  </si>
  <si>
    <t>STATEN ISLAND HOSPT</t>
  </si>
  <si>
    <t>CHOWDARY SUNEETHA DR.</t>
  </si>
  <si>
    <t>E0127088</t>
  </si>
  <si>
    <t>CHOWDARY SUNITA KOLLU MD</t>
  </si>
  <si>
    <t>PUTMAN WILLIAM DR.</t>
  </si>
  <si>
    <t>E0188918</t>
  </si>
  <si>
    <t>PUTMAN WILLIAM ERSKINE M MD</t>
  </si>
  <si>
    <t>DONOVAN GLENN</t>
  </si>
  <si>
    <t>E0218622</t>
  </si>
  <si>
    <t>DONOVAN GLENN J DPM</t>
  </si>
  <si>
    <t>DONOVAN GLENN J</t>
  </si>
  <si>
    <t>NIKIFOROV KONSTANTIN</t>
  </si>
  <si>
    <t>E0074227</t>
  </si>
  <si>
    <t>NIKIFOROV KONSTANTIN MD</t>
  </si>
  <si>
    <t>SHPAK MIKHAIL</t>
  </si>
  <si>
    <t>E0039097</t>
  </si>
  <si>
    <t>SHPAK MIKHAIL M DO</t>
  </si>
  <si>
    <t>LIPAT PORTIA</t>
  </si>
  <si>
    <t>E0378616</t>
  </si>
  <si>
    <t>1060 AMSTERDAM AVE</t>
  </si>
  <si>
    <t>MADEB ISAAC DR.</t>
  </si>
  <si>
    <t>E0259269</t>
  </si>
  <si>
    <t>MADEB ISAAC  MD</t>
  </si>
  <si>
    <t>2241 OCEAN AVE</t>
  </si>
  <si>
    <t>KLEYMAN EMILY</t>
  </si>
  <si>
    <t>E0071099</t>
  </si>
  <si>
    <t>KLEYMAN EMILY PHD</t>
  </si>
  <si>
    <t>KLEYMAN EMILY Z</t>
  </si>
  <si>
    <t>5110 TWELTH AVENUE</t>
  </si>
  <si>
    <t>OYIBORHORO JOHN DR.</t>
  </si>
  <si>
    <t>E0321349</t>
  </si>
  <si>
    <t>OYIBORHORO JOHN MOKORO A</t>
  </si>
  <si>
    <t>207 PROSPECT PARK SW</t>
  </si>
  <si>
    <t>KHOURY NIDAL</t>
  </si>
  <si>
    <t>E0259182</t>
  </si>
  <si>
    <t>KHOURY NIDAL Y             MD</t>
  </si>
  <si>
    <t>LONG ISLAND COL HOSP</t>
  </si>
  <si>
    <t>NEWARK</t>
  </si>
  <si>
    <t>FSR 1</t>
  </si>
  <si>
    <t>PRESBYTERIAN HSP</t>
  </si>
  <si>
    <t>POSTAL ERIC DR.</t>
  </si>
  <si>
    <t>E0030918</t>
  </si>
  <si>
    <t>POSTAL ERIC S MD</t>
  </si>
  <si>
    <t>369 E MAIN STREET</t>
  </si>
  <si>
    <t>EAST ISLIP</t>
  </si>
  <si>
    <t># 1</t>
  </si>
  <si>
    <t># 2</t>
  </si>
  <si>
    <t>PHYSICIANS SERVICES</t>
  </si>
  <si>
    <t>HARRIS</t>
  </si>
  <si>
    <t>E0102000</t>
  </si>
  <si>
    <t>CARILLON NRS REHAB CTR ADHC</t>
  </si>
  <si>
    <t>CARILLON NURSING AND REHABILITATION CENTER LLC</t>
  </si>
  <si>
    <t>CARILLON NRS &amp; REHAB CTR</t>
  </si>
  <si>
    <t>830 PARK AVE</t>
  </si>
  <si>
    <t>HUNTINGTON</t>
  </si>
  <si>
    <t>FLAMER HAROLD DR.</t>
  </si>
  <si>
    <t>E0111705</t>
  </si>
  <si>
    <t>FLAMER HAROLD E MD</t>
  </si>
  <si>
    <t>SHUSTAROVICH ALLA</t>
  </si>
  <si>
    <t>E0133421</t>
  </si>
  <si>
    <t>SHUSTAROVICH ALLA MD PC</t>
  </si>
  <si>
    <t>SHUKUROVA ZUKHRA</t>
  </si>
  <si>
    <t>E0309628</t>
  </si>
  <si>
    <t>1775 E 13TH ST APT 3H</t>
  </si>
  <si>
    <t>VOLFINZON LEONID</t>
  </si>
  <si>
    <t>E0144856</t>
  </si>
  <si>
    <t>VOLFINZON LEONID MEDICAL PC</t>
  </si>
  <si>
    <t>LIVSHITS JULIA MS.</t>
  </si>
  <si>
    <t>E0374810</t>
  </si>
  <si>
    <t>LIVSHITS JULIA</t>
  </si>
  <si>
    <t>2865 BRIGHTON 3RD ST</t>
  </si>
  <si>
    <t>SHIR IRENE MS.</t>
  </si>
  <si>
    <t>E0036095</t>
  </si>
  <si>
    <t>SHIR IRENE</t>
  </si>
  <si>
    <t>2379 65TH ST</t>
  </si>
  <si>
    <t>Case Management / Health Homes</t>
  </si>
  <si>
    <t>BOCZKO STANLEY DR.</t>
  </si>
  <si>
    <t>E0262603</t>
  </si>
  <si>
    <t>BOCZKO STANLEY H           MD</t>
  </si>
  <si>
    <t>BOCZKO STANLEY H</t>
  </si>
  <si>
    <t>WAYNE NURSING HOME</t>
  </si>
  <si>
    <t>BOUCHER LISA MS.</t>
  </si>
  <si>
    <t>E0079128</t>
  </si>
  <si>
    <t>BOUCHER LISA JEAN RPA</t>
  </si>
  <si>
    <t>OWEN GOLDEN MD PC</t>
  </si>
  <si>
    <t>E0283265</t>
  </si>
  <si>
    <t>3134 E TREMONT AVE</t>
  </si>
  <si>
    <t>E0297040</t>
  </si>
  <si>
    <t>CAESAR MIMIEUX VANETTA</t>
  </si>
  <si>
    <t>CAESAR DUME MIMIEUX MS.</t>
  </si>
  <si>
    <t>CAESAR-DUME MIMIEUX VANETTA</t>
  </si>
  <si>
    <t>CAPALBO RALPH DR.</t>
  </si>
  <si>
    <t>E0244155</t>
  </si>
  <si>
    <t>CAPALBO RALPH H</t>
  </si>
  <si>
    <t>3757 E TREMONT AVE</t>
  </si>
  <si>
    <t>CAPOOR RAJ</t>
  </si>
  <si>
    <t>E0080457</t>
  </si>
  <si>
    <t>RAJ CAPOOR</t>
  </si>
  <si>
    <t>CAPOOR RAJ LAXMI</t>
  </si>
  <si>
    <t>7911 41ST AVE</t>
  </si>
  <si>
    <t>CHEN VIVIAN</t>
  </si>
  <si>
    <t>E0376752</t>
  </si>
  <si>
    <t>CHEN VIVIAN MIN-LAN</t>
  </si>
  <si>
    <t>1 PENN PLZ FRNT 7 STE 725</t>
  </si>
  <si>
    <t>COHEN AARON</t>
  </si>
  <si>
    <t>E0122230</t>
  </si>
  <si>
    <t>COHEN AARON HOWARD MD</t>
  </si>
  <si>
    <t>HUDSON COMM OPHTHALM</t>
  </si>
  <si>
    <t>CORTLANDT MANOR</t>
  </si>
  <si>
    <t>COLLINS JEANETTE MRS.</t>
  </si>
  <si>
    <t>E0017636</t>
  </si>
  <si>
    <t>COLLINS JEANETTE JENNIE NP</t>
  </si>
  <si>
    <t>67 SPRINGVALE RD</t>
  </si>
  <si>
    <t>CROTON ON HUDSON</t>
  </si>
  <si>
    <t>DALEY LISA DR.</t>
  </si>
  <si>
    <t>E0119905</t>
  </si>
  <si>
    <t>DALEY LISA M MD</t>
  </si>
  <si>
    <t>DALEY LISA MARIE MD</t>
  </si>
  <si>
    <t>3155 GRACE AVE</t>
  </si>
  <si>
    <t>GOLDEN OWEN DR.</t>
  </si>
  <si>
    <t>E0175301</t>
  </si>
  <si>
    <t>GOLDEN OWEN MD</t>
  </si>
  <si>
    <t>GUPTA SINDHU</t>
  </si>
  <si>
    <t>E0191317</t>
  </si>
  <si>
    <t>GUPTA SINDHU MD PC</t>
  </si>
  <si>
    <t>1624 CROSBY AVE</t>
  </si>
  <si>
    <t>ITTY ANY</t>
  </si>
  <si>
    <t>E0323239</t>
  </si>
  <si>
    <t>ITTY ANY SAJAN</t>
  </si>
  <si>
    <t>KAHN JUDITH</t>
  </si>
  <si>
    <t>E0209133</t>
  </si>
  <si>
    <t>KAHN JUDITH EVE</t>
  </si>
  <si>
    <t>545 W 236TH ST STE C</t>
  </si>
  <si>
    <t>KAPLAN MITCHEL</t>
  </si>
  <si>
    <t>E0244887</t>
  </si>
  <si>
    <t>KAPLAN MITCHEL A           MD</t>
  </si>
  <si>
    <t>GRAND MANOR HRF</t>
  </si>
  <si>
    <t>KINOSHITA SHIORI</t>
  </si>
  <si>
    <t>E0370669</t>
  </si>
  <si>
    <t>LIANG LISA</t>
  </si>
  <si>
    <t>E0042800</t>
  </si>
  <si>
    <t>LIANG LISA R</t>
  </si>
  <si>
    <t>MANSUROGLU NAIM</t>
  </si>
  <si>
    <t>E0041236</t>
  </si>
  <si>
    <t>SOAB MEDICAL PC</t>
  </si>
  <si>
    <t>SUPERVISED ND 1</t>
  </si>
  <si>
    <t>GOSHEN</t>
  </si>
  <si>
    <t>MONTICELLO</t>
  </si>
  <si>
    <t>sweger@arcwell.net</t>
  </si>
  <si>
    <t>TYLER IRA DR.</t>
  </si>
  <si>
    <t>E0210154</t>
  </si>
  <si>
    <t>TYLER IRA M                MD</t>
  </si>
  <si>
    <t>EINSTEIN RAD GRP</t>
  </si>
  <si>
    <t>BURLINGTON</t>
  </si>
  <si>
    <t>SULLIVAN TIMOTHY</t>
  </si>
  <si>
    <t>ADAMS DAVID</t>
  </si>
  <si>
    <t>MAYERS BERNADETTE</t>
  </si>
  <si>
    <t>E0384567</t>
  </si>
  <si>
    <t>MAYERS BERNADETTE L</t>
  </si>
  <si>
    <t>MINOFF RICHARD DR.</t>
  </si>
  <si>
    <t>E0242786</t>
  </si>
  <si>
    <t>MINOFF RICHARD            DDS</t>
  </si>
  <si>
    <t>MINOFF RICHARD S</t>
  </si>
  <si>
    <t>2200 BOSTON POST ROAD</t>
  </si>
  <si>
    <t>NELSON DINA DR.</t>
  </si>
  <si>
    <t>E0015916</t>
  </si>
  <si>
    <t>NELSON DINA S MD</t>
  </si>
  <si>
    <t>1963 GRAND CONCOURSE</t>
  </si>
  <si>
    <t>E0385010</t>
  </si>
  <si>
    <t>NUEVA ESPANA HERMINIA B</t>
  </si>
  <si>
    <t>NUEVA ESPANA HERMINIA</t>
  </si>
  <si>
    <t>NWAKEZE AGATHA MRS.</t>
  </si>
  <si>
    <t>E0384361</t>
  </si>
  <si>
    <t>NWAKEZE AGATHA A</t>
  </si>
  <si>
    <t>1 PENN PLZ FL 7 STE 725</t>
  </si>
  <si>
    <t>PINTAURO ROBERT DR.</t>
  </si>
  <si>
    <t>E0110954</t>
  </si>
  <si>
    <t>PINTAURO ROBERT</t>
  </si>
  <si>
    <t>2138 CONTINENTAL AVE</t>
  </si>
  <si>
    <t>RAITSES PAULINE DR.</t>
  </si>
  <si>
    <t>E0343256</t>
  </si>
  <si>
    <t>RAITSES PAULINE</t>
  </si>
  <si>
    <t>1928 BAY AVE</t>
  </si>
  <si>
    <t>RALPH WALTER</t>
  </si>
  <si>
    <t>E0065248</t>
  </si>
  <si>
    <t>RALPH WALTER M JR MD</t>
  </si>
  <si>
    <t>RALPH WALTER MELVILLE</t>
  </si>
  <si>
    <t>PHILMONT</t>
  </si>
  <si>
    <t>BOSTON</t>
  </si>
  <si>
    <t>E0267712</t>
  </si>
  <si>
    <t>KOMANOFF CTR/GERIATRIC REHAB</t>
  </si>
  <si>
    <t>KOMANOFF CENTER FOR GERIATRIC &amp; REHAB MEDICINE</t>
  </si>
  <si>
    <t>375 E BAY DR</t>
  </si>
  <si>
    <t>NEW SEA CREST HEALTH CARE CENTER, LLC</t>
  </si>
  <si>
    <t>3035 W 24TH ST</t>
  </si>
  <si>
    <t>PENINSULA GENERAL NURSING HOME</t>
  </si>
  <si>
    <t>50-15 BEACH CHANNEL DRIVE</t>
  </si>
  <si>
    <t>H A SCHACHTER ERNEST DICKER ETAL SHORE VIEW NURSING HOME</t>
  </si>
  <si>
    <t>BLASS JOEL</t>
  </si>
  <si>
    <t>E0202937</t>
  </si>
  <si>
    <t>BLASS JOEL MITCHELL        MD</t>
  </si>
  <si>
    <t>DAGGETT BRIAN</t>
  </si>
  <si>
    <t>E0203629</t>
  </si>
  <si>
    <t>DAGGETT BRIAN GEORGE       MD</t>
  </si>
  <si>
    <t>DAGGETT BRIAN GEORGE MD</t>
  </si>
  <si>
    <t>BAILLARGEON NEAL DR.</t>
  </si>
  <si>
    <t>E0205545</t>
  </si>
  <si>
    <t>BAILLARGEON NEAL ARTHUR    MD</t>
  </si>
  <si>
    <t>BAILLARGEON NEAL ARTHUR</t>
  </si>
  <si>
    <t>11 ELM STREET</t>
  </si>
  <si>
    <t>MENGE PAUL</t>
  </si>
  <si>
    <t>E0183849</t>
  </si>
  <si>
    <t>MENGE PAUL E MD</t>
  </si>
  <si>
    <t>CAPITAL  AREA CHP</t>
  </si>
  <si>
    <t>GARA MAUREEN</t>
  </si>
  <si>
    <t>E0067652</t>
  </si>
  <si>
    <t>6 AITKEN AVE</t>
  </si>
  <si>
    <t>GINES ANNIE DR.</t>
  </si>
  <si>
    <t>E0243773</t>
  </si>
  <si>
    <t>GINES ANNIE I DPM</t>
  </si>
  <si>
    <t>1692 CENTRAL AVE</t>
  </si>
  <si>
    <t>STARKMAN DAVID DR.</t>
  </si>
  <si>
    <t>E0327876</t>
  </si>
  <si>
    <t>STARKMAN DAVID</t>
  </si>
  <si>
    <t>PO BOX 788</t>
  </si>
  <si>
    <t>PADI MADHU</t>
  </si>
  <si>
    <t>E0130021</t>
  </si>
  <si>
    <t>PADI MADHU HUCHACHARYA</t>
  </si>
  <si>
    <t>PADI MADHU HUCHACHAYRA</t>
  </si>
  <si>
    <t>NORTHWOODS REHAB&amp;CRE</t>
  </si>
  <si>
    <t>BERGER NEIL DR.</t>
  </si>
  <si>
    <t>E0329653</t>
  </si>
  <si>
    <t>BERGER NIEL PHD</t>
  </si>
  <si>
    <t>LARSON STEPHEN DR.</t>
  </si>
  <si>
    <t>E0313136</t>
  </si>
  <si>
    <t>STEPHEN LARSON</t>
  </si>
  <si>
    <t>LARSON STEPHEN</t>
  </si>
  <si>
    <t>ROUTE 9</t>
  </si>
  <si>
    <t>WEST BABYLON</t>
  </si>
  <si>
    <t>BALOT BARRY</t>
  </si>
  <si>
    <t>E0165740</t>
  </si>
  <si>
    <t>BALOT BARRY HAL  MD</t>
  </si>
  <si>
    <t>150 SUNRISE HWY STE 101</t>
  </si>
  <si>
    <t>LINDENHURST</t>
  </si>
  <si>
    <t>BABYLON</t>
  </si>
  <si>
    <t>CHIN YIN-LEE</t>
  </si>
  <si>
    <t>E0250654</t>
  </si>
  <si>
    <t>CHIN YIN LEE               MD</t>
  </si>
  <si>
    <t>240 N WELLWOOD AVE</t>
  </si>
  <si>
    <t>CHU MICHAEL</t>
  </si>
  <si>
    <t>E0371643</t>
  </si>
  <si>
    <t>CHU MICHAEL H</t>
  </si>
  <si>
    <t>754 MONTAUK HWY</t>
  </si>
  <si>
    <t>DAVIDOFF SAM DR.</t>
  </si>
  <si>
    <t>E0294422</t>
  </si>
  <si>
    <t>DAVIDOFF SAM DO</t>
  </si>
  <si>
    <t>ELLENBOGEN DAVID DR.</t>
  </si>
  <si>
    <t>E0006115</t>
  </si>
  <si>
    <t>DAVID JASON ELLENBOGEN DPM</t>
  </si>
  <si>
    <t>ELLENBOGEN DAVID JASON DPM</t>
  </si>
  <si>
    <t>1421 3RD AVE</t>
  </si>
  <si>
    <t>RHIM CHANGSOO</t>
  </si>
  <si>
    <t>E0356247</t>
  </si>
  <si>
    <t>305 W 44TH ST</t>
  </si>
  <si>
    <t>RICHMOND DIONNE MS.</t>
  </si>
  <si>
    <t>E0331948</t>
  </si>
  <si>
    <t>RICHMOND DIONNE MELISSA</t>
  </si>
  <si>
    <t>SACCO JOSEPH</t>
  </si>
  <si>
    <t>E0151541</t>
  </si>
  <si>
    <t>SACCO JOSEPH P MD</t>
  </si>
  <si>
    <t>MMC EMERGENCY ROOM</t>
  </si>
  <si>
    <t>SACOLICK BENZION</t>
  </si>
  <si>
    <t>E0203695</t>
  </si>
  <si>
    <t>SACOLICK BENZION           MD</t>
  </si>
  <si>
    <t>NY COMMUNITY HOSP</t>
  </si>
  <si>
    <t>SHAPIRO MIKHAIL</t>
  </si>
  <si>
    <t>E0110326</t>
  </si>
  <si>
    <t>SHAPIRO MIKHAIL DO</t>
  </si>
  <si>
    <t>16 LAMOKA AVE</t>
  </si>
  <si>
    <t>SHARMA CHANDRA DR.</t>
  </si>
  <si>
    <t>E0275838</t>
  </si>
  <si>
    <t>SHARMA CHANDRA M           MD</t>
  </si>
  <si>
    <t>SHUSTER DAVID DR.</t>
  </si>
  <si>
    <t>E0257869</t>
  </si>
  <si>
    <t>SHUSTER DAVID DPM</t>
  </si>
  <si>
    <t>105 GARTH RD</t>
  </si>
  <si>
    <t>SCARSDALE</t>
  </si>
  <si>
    <t>TIER BEATRICE</t>
  </si>
  <si>
    <t>E0107060</t>
  </si>
  <si>
    <t>TIER BEATRICE LOUISE</t>
  </si>
  <si>
    <t>VOLFSON ALEXANDER</t>
  </si>
  <si>
    <t>E0317592</t>
  </si>
  <si>
    <t>ALEXANDER VOLFSON</t>
  </si>
  <si>
    <t>3415 GUIDER AVE APT 3A</t>
  </si>
  <si>
    <t>WEISSBART CLYDE</t>
  </si>
  <si>
    <t>E0221746</t>
  </si>
  <si>
    <t>WEISSBART CLYDE H          MD</t>
  </si>
  <si>
    <t>WOLFSON MITCHELL</t>
  </si>
  <si>
    <t>E0221371</t>
  </si>
  <si>
    <t>WOLFSON MITCHELL           MD</t>
  </si>
  <si>
    <t>1111 PARK AVE</t>
  </si>
  <si>
    <t>VAIDY NISHANT DR.</t>
  </si>
  <si>
    <t>E0414759</t>
  </si>
  <si>
    <t>VAIDY NISHANT</t>
  </si>
  <si>
    <t>VALERICE STANIA</t>
  </si>
  <si>
    <t>E0389214</t>
  </si>
  <si>
    <t>WINZELBERG JAY</t>
  </si>
  <si>
    <t>7734 113TH ST, APT. B</t>
  </si>
  <si>
    <t>MORNINGSIDE HOUSE NURSING HOME</t>
  </si>
  <si>
    <t>1000 PELHAM PARKWAY SOUTH</t>
  </si>
  <si>
    <t>95 BRADHURST AVENUE</t>
  </si>
  <si>
    <t>ADOL IPR/PRIM CARE</t>
  </si>
  <si>
    <t>77 W BARNEY ST</t>
  </si>
  <si>
    <t>GIANTINOTO SALVATORE DR.</t>
  </si>
  <si>
    <t>E0080854</t>
  </si>
  <si>
    <t>GIANTINOTO SALVATORE J DO</t>
  </si>
  <si>
    <t>100 MONTAUK HWY</t>
  </si>
  <si>
    <t>GUDESBLATT MARK DR.</t>
  </si>
  <si>
    <t>E0184005</t>
  </si>
  <si>
    <t>GUDESBLATT MARK MD</t>
  </si>
  <si>
    <t>BROOKHAVEN MEM HOSP</t>
  </si>
  <si>
    <t>MN</t>
  </si>
  <si>
    <t>JEROME JARED DR.</t>
  </si>
  <si>
    <t>E0329910</t>
  </si>
  <si>
    <t>JARED SCOTT JEROME</t>
  </si>
  <si>
    <t>JEROME JARED SCOTT</t>
  </si>
  <si>
    <t>910 W END AVE APT 1C</t>
  </si>
  <si>
    <t>4625 MERRICK RD</t>
  </si>
  <si>
    <t>KAMATH SACHIN</t>
  </si>
  <si>
    <t>E0123051</t>
  </si>
  <si>
    <t>KAMATH SACHIN NARSINHA MD</t>
  </si>
  <si>
    <t>KHAN NOOR DR.</t>
  </si>
  <si>
    <t>E0213903</t>
  </si>
  <si>
    <t>KHAN NOOR ZAMAN            MD</t>
  </si>
  <si>
    <t>72 NEW HYDE PARK RD</t>
  </si>
  <si>
    <t>FRANKLIN SQUARE</t>
  </si>
  <si>
    <t>KULKARNI SUBHASH</t>
  </si>
  <si>
    <t>E0115952</t>
  </si>
  <si>
    <t>KULKARNI SUBASH</t>
  </si>
  <si>
    <t>KUMAR RAMAN DR.</t>
  </si>
  <si>
    <t>E0116841</t>
  </si>
  <si>
    <t>KUMAR RAMAN</t>
  </si>
  <si>
    <t>S SHORE CARDIOV MED</t>
  </si>
  <si>
    <t>LENEFSKY RONALD</t>
  </si>
  <si>
    <t>E0118383</t>
  </si>
  <si>
    <t>LENEFSKY RONALD IRA</t>
  </si>
  <si>
    <t>500 MONTAUK HWY STE S</t>
  </si>
  <si>
    <t>MALONE CHEMIN MRS.</t>
  </si>
  <si>
    <t>E0371782</t>
  </si>
  <si>
    <t>MALONE CHEMIN MARIE</t>
  </si>
  <si>
    <t>1600 DEER PARK AVE STE G</t>
  </si>
  <si>
    <t>DEER PARK</t>
  </si>
  <si>
    <t>NAPOLI MICHAEL DR.</t>
  </si>
  <si>
    <t>E0125369</t>
  </si>
  <si>
    <t>NAPOLI MICHAEL A DPM</t>
  </si>
  <si>
    <t>NAPOLI MICHAEL A</t>
  </si>
  <si>
    <t>142 ROUTE 109</t>
  </si>
  <si>
    <t>RAI ROHIT</t>
  </si>
  <si>
    <t>E0330638</t>
  </si>
  <si>
    <t>RAI ROHIT KUMAR</t>
  </si>
  <si>
    <t>28 S CARLL AVE</t>
  </si>
  <si>
    <t>REMSON KAREN</t>
  </si>
  <si>
    <t>E0016038</t>
  </si>
  <si>
    <t>REMSON KAREN M NP</t>
  </si>
  <si>
    <t>400 SUNRISE HWY</t>
  </si>
  <si>
    <t>RIZZO VITO DR.</t>
  </si>
  <si>
    <t>E0226567</t>
  </si>
  <si>
    <t>RIZZO VITO JOSEPH DPM</t>
  </si>
  <si>
    <t>24 BRENTWOOD RD</t>
  </si>
  <si>
    <t>E0114450</t>
  </si>
  <si>
    <t>D ROBBINS PODIATRY PC</t>
  </si>
  <si>
    <t>ROBBINS DAVID G</t>
  </si>
  <si>
    <t>4160 MERRICK RD</t>
  </si>
  <si>
    <t>KRULL JOANNA</t>
  </si>
  <si>
    <t>E0343587</t>
  </si>
  <si>
    <t>KRULL JOANNA R</t>
  </si>
  <si>
    <t>KRULL JOANNA ROSNER</t>
  </si>
  <si>
    <t>340 E MONTAUK HWY</t>
  </si>
  <si>
    <t>E0261741</t>
  </si>
  <si>
    <t>RUFFEN FREDERICK M</t>
  </si>
  <si>
    <t>RUFFEN FREDERICK DR.</t>
  </si>
  <si>
    <t>FREDERICK M RUFFEN</t>
  </si>
  <si>
    <t>30 ROOSEVELT ST</t>
  </si>
  <si>
    <t>SAGAR SUSHIL DR.</t>
  </si>
  <si>
    <t>E0129278</t>
  </si>
  <si>
    <t>SAGAR SUSHIL MD</t>
  </si>
  <si>
    <t>366 BROADWAY</t>
  </si>
  <si>
    <t>SCHWEITZER FRAN DR.</t>
  </si>
  <si>
    <t>E0103908</t>
  </si>
  <si>
    <t>SCHWEITZER FRANCES ROBYN PHD</t>
  </si>
  <si>
    <t>378 SYOSSET WOODBURY RD</t>
  </si>
  <si>
    <t>WOODBURY</t>
  </si>
  <si>
    <t>SETHI DINESH</t>
  </si>
  <si>
    <t>E0042230</t>
  </si>
  <si>
    <t>SETHI DINESH MD</t>
  </si>
  <si>
    <t>SHETTY THARUN</t>
  </si>
  <si>
    <t>E0106336</t>
  </si>
  <si>
    <t>SHETTY THARUN MD</t>
  </si>
  <si>
    <t>WEINSTEIN MITCHELL DR.</t>
  </si>
  <si>
    <t>E0158292</t>
  </si>
  <si>
    <t>MITCHELL I WEINSTEIN DO PC</t>
  </si>
  <si>
    <t>GOOD SAMARITAN HOSP</t>
  </si>
  <si>
    <t>PIYA GHOSHAL, M.D.,P.C.</t>
  </si>
  <si>
    <t>116 BROADWAY, SUITE 6</t>
  </si>
  <si>
    <t>PASTERNACK ANITA DR.</t>
  </si>
  <si>
    <t>2937 BOND DRIVE</t>
  </si>
  <si>
    <t>MERRICK</t>
  </si>
  <si>
    <t>BALTER RICHARD</t>
  </si>
  <si>
    <t>E0229736</t>
  </si>
  <si>
    <t>BALTER RICHARD R           MD</t>
  </si>
  <si>
    <t>BALTER RICHARD A</t>
  </si>
  <si>
    <t>DEPARTMENT MEDICINE</t>
  </si>
  <si>
    <t>BASILE DOMINICK DR.</t>
  </si>
  <si>
    <t>E0196040</t>
  </si>
  <si>
    <t>BASILE DOMINICK            MD</t>
  </si>
  <si>
    <t>BASILE DOMINICK</t>
  </si>
  <si>
    <t>7 ROSEMARY LN</t>
  </si>
  <si>
    <t>CENTEREACH</t>
  </si>
  <si>
    <t>BELDING ALFRED DR.</t>
  </si>
  <si>
    <t>E0271280</t>
  </si>
  <si>
    <t>BELDING ALFRED             MD</t>
  </si>
  <si>
    <t>BELDING ALFRED</t>
  </si>
  <si>
    <t>9 BROOKSITE DR</t>
  </si>
  <si>
    <t>IRWIN MICHAEL DR.</t>
  </si>
  <si>
    <t>E0258279</t>
  </si>
  <si>
    <t>IRWIN MICHAEL R MD</t>
  </si>
  <si>
    <t>1050 PELHAM PKWY</t>
  </si>
  <si>
    <t>ESCOBAR DIEGO DR.</t>
  </si>
  <si>
    <t>E0015427</t>
  </si>
  <si>
    <t>ESCOBAR DIEGO MD</t>
  </si>
  <si>
    <t>100 ELGAR PL</t>
  </si>
  <si>
    <t>SHUR IRINA DR.</t>
  </si>
  <si>
    <t>E0085061</t>
  </si>
  <si>
    <t>SHUR IRINA N MD</t>
  </si>
  <si>
    <t>100 PELHAM PKWY S</t>
  </si>
  <si>
    <t>HOCHSTER HOWARD DR.</t>
  </si>
  <si>
    <t>E0083492</t>
  </si>
  <si>
    <t>HOCHSTER HOWARD JAMES MD</t>
  </si>
  <si>
    <t>1554 ASTOR AVE</t>
  </si>
  <si>
    <t>SHPITALNIK LARISA DR.</t>
  </si>
  <si>
    <t>E0295088</t>
  </si>
  <si>
    <t>SHPITALNIK LARISA</t>
  </si>
  <si>
    <t>SHPITALNIK LARISA MD</t>
  </si>
  <si>
    <t>SINGH ASHUWINDER</t>
  </si>
  <si>
    <t>E0301176</t>
  </si>
  <si>
    <t>SINGH ASHUWINDER K NP</t>
  </si>
  <si>
    <t>126 FREDERIC ST</t>
  </si>
  <si>
    <t>MUSTO ELIZABETH MS.</t>
  </si>
  <si>
    <t>E0108287</t>
  </si>
  <si>
    <t>DUNN ELIZABETH MARY</t>
  </si>
  <si>
    <t>MUSTO ELIZABETH MARY</t>
  </si>
  <si>
    <t>1 N LEXINGTON AVE</t>
  </si>
  <si>
    <t>PAUL ARLETTE MISS</t>
  </si>
  <si>
    <t>E0061235</t>
  </si>
  <si>
    <t>PAUL ARLETTE MARY</t>
  </si>
  <si>
    <t>CAMILLO REGINALD DR.</t>
  </si>
  <si>
    <t>E0283960</t>
  </si>
  <si>
    <t>CAMILLO REGINALD ALIVIA MD</t>
  </si>
  <si>
    <t>DELLOLIO JOSEPH DR.</t>
  </si>
  <si>
    <t>E0195925</t>
  </si>
  <si>
    <t>DELLOLIO JOSEPH ANTHONY DPM</t>
  </si>
  <si>
    <t>4362 WHITE PLAINS RD</t>
  </si>
  <si>
    <t>INTEGRATED MEDICAL PROFESSIONALS PLLC</t>
  </si>
  <si>
    <t>E0017894</t>
  </si>
  <si>
    <t>INTEGRATED MEDICAL PROFESSIONALS PL</t>
  </si>
  <si>
    <t>4100 DUFF PL</t>
  </si>
  <si>
    <t>SEAFORD</t>
  </si>
  <si>
    <t>INGHILTERRA KAREN DR.</t>
  </si>
  <si>
    <t>E0115352</t>
  </si>
  <si>
    <t>INGHILTERRA KAREN</t>
  </si>
  <si>
    <t>KINGS HARBOR CRE CTR</t>
  </si>
  <si>
    <t>KIM SUN JIN</t>
  </si>
  <si>
    <t>E0031740</t>
  </si>
  <si>
    <t>KIM SUN JIN MD</t>
  </si>
  <si>
    <t>3400 BAINBRIDGE AVE FL 6</t>
  </si>
  <si>
    <t>PERSAUD VYAS</t>
  </si>
  <si>
    <t>E0203144</t>
  </si>
  <si>
    <t>PERSAUD VYAS DURGA         MD</t>
  </si>
  <si>
    <t>PELHAM PWAY/EASTCHES</t>
  </si>
  <si>
    <t>DANBURY</t>
  </si>
  <si>
    <t>ADEPOJU GRACE MRS.</t>
  </si>
  <si>
    <t>E0359016</t>
  </si>
  <si>
    <t>ADEPOJU GRACE ADEOLA</t>
  </si>
  <si>
    <t>Stuart Weger</t>
  </si>
  <si>
    <t>(914) 949-1199</t>
  </si>
  <si>
    <t>NEBRES JOSE</t>
  </si>
  <si>
    <t>E0229707</t>
  </si>
  <si>
    <t>NEBRES JOSE F              MD</t>
  </si>
  <si>
    <t>133 S ALLEN ST</t>
  </si>
  <si>
    <t>PATEL VINA</t>
  </si>
  <si>
    <t>E0243032</t>
  </si>
  <si>
    <t>PATEL VINA R               MD</t>
  </si>
  <si>
    <t>PATEL VINA R</t>
  </si>
  <si>
    <t>RODRIGUEZ IGLESIAS REALBA DR.</t>
  </si>
  <si>
    <t>E0331205</t>
  </si>
  <si>
    <t>RODRIGUEZ-IGLESIAS REALBA</t>
  </si>
  <si>
    <t>2494 WILLIAMSBRIDGE RD</t>
  </si>
  <si>
    <t>211 E 79TH ST</t>
  </si>
  <si>
    <t>FOSTER DAVID</t>
  </si>
  <si>
    <t>E0052778</t>
  </si>
  <si>
    <t>DI LULLO JOSEPH MATTHEW MD</t>
  </si>
  <si>
    <t>DI LULLO JOSEPH DR.</t>
  </si>
  <si>
    <t>DI LULLO JOSEPH MATTHEW</t>
  </si>
  <si>
    <t>1597 UNION PORT ROAD</t>
  </si>
  <si>
    <t>CAMBRIDGE</t>
  </si>
  <si>
    <t>E0075449</t>
  </si>
  <si>
    <t>LOPEZ JANEEN ELLEN</t>
  </si>
  <si>
    <t>LOPEZ JANEEN MS.</t>
  </si>
  <si>
    <t>26 BLEECKER ST</t>
  </si>
  <si>
    <t>E0215025</t>
  </si>
  <si>
    <t>KANG HARRIET               MD</t>
  </si>
  <si>
    <t>KANG HARRIET</t>
  </si>
  <si>
    <t>MONTEFIORE MED CTR</t>
  </si>
  <si>
    <t>10 UNION SQ E</t>
  </si>
  <si>
    <t>AVERILL PARK</t>
  </si>
  <si>
    <t>JERSEY CITY</t>
  </si>
  <si>
    <t>E PATCHOGUE</t>
  </si>
  <si>
    <t>LEE DAVID</t>
  </si>
  <si>
    <t>LAKE KATRINE</t>
  </si>
  <si>
    <t>LEBANON</t>
  </si>
  <si>
    <t>NH</t>
  </si>
  <si>
    <t>CA</t>
  </si>
  <si>
    <t>MALHOTRA ANUJ</t>
  </si>
  <si>
    <t>160 E MAIN ST</t>
  </si>
  <si>
    <t>PORT JERVIS</t>
  </si>
  <si>
    <t>MIDDLEBURY</t>
  </si>
  <si>
    <t>All Other:: Pharmacy:: Practitioner - Non-Primary Care Provider (PCP)</t>
  </si>
  <si>
    <t>E0437635</t>
  </si>
  <si>
    <t>MEHTA SWATI</t>
  </si>
  <si>
    <t>255 LAFAYETTE AVE</t>
  </si>
  <si>
    <t>SUFFERN</t>
  </si>
  <si>
    <t>E0378362</t>
  </si>
  <si>
    <t>GILDENER-LEAPMAN NEIL</t>
  </si>
  <si>
    <t>GILDENER-LEAPMAN NEIL DR.</t>
  </si>
  <si>
    <t>310 E 14TH ST FL 6</t>
  </si>
  <si>
    <t>HARTFORD</t>
  </si>
  <si>
    <t>WATERFORD</t>
  </si>
  <si>
    <t>SOUTHAMPTON</t>
  </si>
  <si>
    <t>1575 BLONDELL AVE</t>
  </si>
  <si>
    <t>OSWEGO</t>
  </si>
  <si>
    <t>E0047830</t>
  </si>
  <si>
    <t>RIZZO CHRISTOPHER J MD</t>
  </si>
  <si>
    <t>RIZZO CHRISTOPHER DR.</t>
  </si>
  <si>
    <t>RIZZO CHRISTOPHER JOHN</t>
  </si>
  <si>
    <t>LEE SHARON</t>
  </si>
  <si>
    <t>E0393084</t>
  </si>
  <si>
    <t>GLASER JORDAN</t>
  </si>
  <si>
    <t>GLASER JORDAN DR.</t>
  </si>
  <si>
    <t>GLASER JORDAN MICHAEL</t>
  </si>
  <si>
    <t>17 E 102ND ST  6TH F</t>
  </si>
  <si>
    <t>SAYRE</t>
  </si>
  <si>
    <t>DELHI</t>
  </si>
  <si>
    <t>1656 CHAMPLIN AVE</t>
  </si>
  <si>
    <t>100 PORT WASHINGTON BLVD</t>
  </si>
  <si>
    <t>SACRAMENTO</t>
  </si>
  <si>
    <t>750 E ADAMS ST</t>
  </si>
  <si>
    <t>HAMDEN</t>
  </si>
  <si>
    <t>Early Intervention Provider</t>
  </si>
  <si>
    <t>VA</t>
  </si>
  <si>
    <t>STAMFORD</t>
  </si>
  <si>
    <t>OK</t>
  </si>
  <si>
    <t>WALTON</t>
  </si>
  <si>
    <t>RITE AID OF NEW YORK INC</t>
  </si>
  <si>
    <t>HUNTINGTON STATION</t>
  </si>
  <si>
    <t>WESTHAMPTON BEACH</t>
  </si>
  <si>
    <t>ISLANDIA</t>
  </si>
  <si>
    <t>NORTHPORT</t>
  </si>
  <si>
    <t>MIDDLE ISLAND</t>
  </si>
  <si>
    <t>565 ABBOTT RD</t>
  </si>
  <si>
    <t>STE 103</t>
  </si>
  <si>
    <t>967 N BROADWAY</t>
  </si>
  <si>
    <t>70 RIVERSIDE DR APT 6H</t>
  </si>
  <si>
    <t>TAMPA</t>
  </si>
  <si>
    <t>E0000033</t>
  </si>
  <si>
    <t>PHOENIX HOUSES OF NEW YORK INC</t>
  </si>
  <si>
    <t>PHOENIX HOUSES OF NEW YORK, INC.</t>
  </si>
  <si>
    <t>PHOENIX HOUSES OF NEW YORK</t>
  </si>
  <si>
    <t>3151 STONY STREET</t>
  </si>
  <si>
    <t>SHRUB OAK</t>
  </si>
  <si>
    <t>428 W 59TH ST</t>
  </si>
  <si>
    <t>DIAZ MICHAEL DR.</t>
  </si>
  <si>
    <t>3332 ROCHAMBEAU AVE</t>
  </si>
  <si>
    <t>QUINN BRIAN DR.</t>
  </si>
  <si>
    <t>3245 NOSTRAND AVE</t>
  </si>
  <si>
    <t>IN</t>
  </si>
  <si>
    <t>WA</t>
  </si>
  <si>
    <t>BALTIMORE</t>
  </si>
  <si>
    <t>MD</t>
  </si>
  <si>
    <t>AK</t>
  </si>
  <si>
    <t>NGUYEN MICHAEL</t>
  </si>
  <si>
    <t>EAST PATCHOGUE</t>
  </si>
  <si>
    <t>100 HIGH ST</t>
  </si>
  <si>
    <t>HOPEWELL JUNCTION</t>
  </si>
  <si>
    <t>INDIANAPOLIS</t>
  </si>
  <si>
    <t>PINEHURST</t>
  </si>
  <si>
    <t>DURHAM</t>
  </si>
  <si>
    <t>DAY TRT OMRDD</t>
  </si>
  <si>
    <t>HAMPTON BAYS</t>
  </si>
  <si>
    <t>MATTITUCK</t>
  </si>
  <si>
    <t>BRENTWOOD</t>
  </si>
  <si>
    <t>EAST SETAUKET</t>
  </si>
  <si>
    <t>EAST NORTHPORT</t>
  </si>
  <si>
    <t>MOUNT SINAI</t>
  </si>
  <si>
    <t>MEDFORD</t>
  </si>
  <si>
    <t>MILLER PLACE</t>
  </si>
  <si>
    <t>E0301377</t>
  </si>
  <si>
    <t>KODURU SUNAINA</t>
  </si>
  <si>
    <t>KODURU SUNAINA DR.</t>
  </si>
  <si>
    <t>E0013422</t>
  </si>
  <si>
    <t>DAVE RITU MD</t>
  </si>
  <si>
    <t>DAVE RITU</t>
  </si>
  <si>
    <t>100 N ACADEMY AVE</t>
  </si>
  <si>
    <t>DANVILLE</t>
  </si>
  <si>
    <t>CORNWALL</t>
  </si>
  <si>
    <t>ENDICOTT</t>
  </si>
  <si>
    <t>E0109989</t>
  </si>
  <si>
    <t>PIERRE LOUISDON MD</t>
  </si>
  <si>
    <t>PIERRE LOUISDON DR.</t>
  </si>
  <si>
    <t>225 BROADWAY</t>
  </si>
  <si>
    <t>1265 FRANKLIN AVE</t>
  </si>
  <si>
    <t>530 1ST AVE</t>
  </si>
  <si>
    <t>E0289275</t>
  </si>
  <si>
    <t>BERG DEBRA</t>
  </si>
  <si>
    <t>(718) 732-7165</t>
  </si>
  <si>
    <t>dberg@archcare.org</t>
  </si>
  <si>
    <t>BERG DEBRA DR.</t>
  </si>
  <si>
    <t>900 INTERVALE AVE</t>
  </si>
  <si>
    <t>MANNERS-GREENE DEBORAH MS.</t>
  </si>
  <si>
    <t>2488 GRAND CONCOURSE, STE 417</t>
  </si>
  <si>
    <t>219 E 121ST ST</t>
  </si>
  <si>
    <t>ST.CHRISTOPHER'S INN</t>
  </si>
  <si>
    <t>E0136176</t>
  </si>
  <si>
    <t>ST CHRISTOPHERS INN INC</t>
  </si>
  <si>
    <t>RT 9 GRAYMOOR PO BOX 150</t>
  </si>
  <si>
    <t>Elizabeth Howell</t>
  </si>
  <si>
    <t>ehowell@chnnyc.org</t>
  </si>
  <si>
    <t>150 ESSEX ST</t>
  </si>
  <si>
    <t>E0337819</t>
  </si>
  <si>
    <t>WIESINGER KATHERINE</t>
  </si>
  <si>
    <t>ALEXANDER KATHERINE</t>
  </si>
  <si>
    <t>1996 AMSTERDAM AVE</t>
  </si>
  <si>
    <t>E0086614</t>
  </si>
  <si>
    <t>ROACH KEITH MD</t>
  </si>
  <si>
    <t>ROACH KEITH</t>
  </si>
  <si>
    <t>505 E 70TH ST</t>
  </si>
  <si>
    <t>Comunilife</t>
  </si>
  <si>
    <t>E0331595</t>
  </si>
  <si>
    <t>KELLY ROBERTA</t>
  </si>
  <si>
    <t>rkelly@projectsamaritan.org</t>
  </si>
  <si>
    <t>KELLY ROBERTA MAY</t>
  </si>
  <si>
    <t>1543 INWOOD AVE</t>
  </si>
  <si>
    <t>(718) 379-8100</t>
  </si>
  <si>
    <t>E0372754</t>
  </si>
  <si>
    <t>DAVIS ALECIA A NP</t>
  </si>
  <si>
    <t>DAVIS ALECIA</t>
  </si>
  <si>
    <t>E0053749</t>
  </si>
  <si>
    <t>BOGDANOV ASSEN PETROV MD</t>
  </si>
  <si>
    <t>BOGDANOV ASSEN</t>
  </si>
  <si>
    <t>E0316480</t>
  </si>
  <si>
    <t>ROSTOCKI BERNICE ANN</t>
  </si>
  <si>
    <t>ROSTOCKI BERNICE</t>
  </si>
  <si>
    <t>E0363124</t>
  </si>
  <si>
    <t>RODRIGUEZ-JAQUEZ CARLOS R</t>
  </si>
  <si>
    <t>RODRIGUEZ CARLOS DR.</t>
  </si>
  <si>
    <t>2771 FREDERICK DOUGLASS BLVD</t>
  </si>
  <si>
    <t>E0021414</t>
  </si>
  <si>
    <t>AULD CLARA STRINGER</t>
  </si>
  <si>
    <t>STRINGER-AULD CLARA DR.</t>
  </si>
  <si>
    <t>150 RIVERSIDE DR</t>
  </si>
  <si>
    <t>E0340316</t>
  </si>
  <si>
    <t>DUMRESE DANIELLE LEE</t>
  </si>
  <si>
    <t>DUMRESE DANIELLE MS.</t>
  </si>
  <si>
    <t>301 HACKETT BLVD</t>
  </si>
  <si>
    <t>E0116088</t>
  </si>
  <si>
    <t>ROSS DONALD MD</t>
  </si>
  <si>
    <t>ROSS DONALD</t>
  </si>
  <si>
    <t>SLHR INPT</t>
  </si>
  <si>
    <t>E0068591</t>
  </si>
  <si>
    <t>GUTNIK IGOR MD</t>
  </si>
  <si>
    <t>GUTNIK IGOR</t>
  </si>
  <si>
    <t>APT 1 G</t>
  </si>
  <si>
    <t>E0021240</t>
  </si>
  <si>
    <t>BLAIR ANGELA</t>
  </si>
  <si>
    <t>malynda.jordan@narcofreedom.com</t>
  </si>
  <si>
    <t>2780 3RD AVE</t>
  </si>
  <si>
    <t>CHANDRAN IYONA MS.</t>
  </si>
  <si>
    <t>324 EAST 149TH STREET, NARCO FREEDOM NEIGHBORHOOD AND FAMILIES</t>
  </si>
  <si>
    <t>E0292811</t>
  </si>
  <si>
    <t>CORNACHIO ANDREA</t>
  </si>
  <si>
    <t>CORNACHIO ANDREA MS.</t>
  </si>
  <si>
    <t>1285 ROCKAWAY AVE</t>
  </si>
  <si>
    <t>E0372701</t>
  </si>
  <si>
    <t>ADDO EVELYN</t>
  </si>
  <si>
    <t>ADDO-WALLACE EVELYN</t>
  </si>
  <si>
    <t>ADDO EVELYN ADWOA</t>
  </si>
  <si>
    <t>81 W 115TH ST</t>
  </si>
  <si>
    <t>227 E 19TH ST</t>
  </si>
  <si>
    <t>E0133425</t>
  </si>
  <si>
    <t>PELZMAN FRED NATHAN MD</t>
  </si>
  <si>
    <t>PELZMAN FRED</t>
  </si>
  <si>
    <t>CORNELL INT MED ASC</t>
  </si>
  <si>
    <t>E0228295</t>
  </si>
  <si>
    <t>KOPPEL BARBARA SUE         MD</t>
  </si>
  <si>
    <t>KOPPEL BARBARA</t>
  </si>
  <si>
    <t>1650 GRAND CONCOURSE FL 3</t>
  </si>
  <si>
    <t>447 ATLANTIC AVE</t>
  </si>
  <si>
    <t>E0382696</t>
  </si>
  <si>
    <t>DEMIERI ANTHONY</t>
  </si>
  <si>
    <t>DEMIERI ANTHONY MR.</t>
  </si>
  <si>
    <t>2780 THIRD AVENUE GR</t>
  </si>
  <si>
    <t>E0271712</t>
  </si>
  <si>
    <t>DENIS JEAN R               MD</t>
  </si>
  <si>
    <t>DENIS JEAN</t>
  </si>
  <si>
    <t>DENIS JEAN R</t>
  </si>
  <si>
    <t>477 WILLIS AVE</t>
  </si>
  <si>
    <t>E0034930</t>
  </si>
  <si>
    <t>DESROSIERS SERGINE YVES-ANTOINE</t>
  </si>
  <si>
    <t>DESROSIERS SERGINE</t>
  </si>
  <si>
    <t>324 E 149TH ST # 326</t>
  </si>
  <si>
    <t>DUFF CASSANDRA MS.</t>
  </si>
  <si>
    <t>401 E 147TH ST, NEW BEGINNINGS COMMUNITY COUNSELING CENTER</t>
  </si>
  <si>
    <t>E0106409</t>
  </si>
  <si>
    <t>DUNNER RICARDO ORLANDO MD</t>
  </si>
  <si>
    <t>DUNNER RICARDO DR.</t>
  </si>
  <si>
    <t>625 E 24TH ST</t>
  </si>
  <si>
    <t>E0290374</t>
  </si>
  <si>
    <t>FLANAGAN ABIGA</t>
  </si>
  <si>
    <t>FLANAGAN ABIGAIL</t>
  </si>
  <si>
    <t>E0361375</t>
  </si>
  <si>
    <t>FALZON JEAN MARIE</t>
  </si>
  <si>
    <t>FALZON JEAN MS.</t>
  </si>
  <si>
    <t>3718 34TH ST</t>
  </si>
  <si>
    <t>E0350483</t>
  </si>
  <si>
    <t>GENTES MEREDITH</t>
  </si>
  <si>
    <t>110 W 97TH ST</t>
  </si>
  <si>
    <t>E0058899</t>
  </si>
  <si>
    <t>GRACIA PHILOME JEAN HERVE MD</t>
  </si>
  <si>
    <t>GRACIA PHILOME</t>
  </si>
  <si>
    <t>GRACIA PHILOME JEAN HERVE</t>
  </si>
  <si>
    <t>250 GRAND CONCOURSE</t>
  </si>
  <si>
    <t>E0286399</t>
  </si>
  <si>
    <t>WALKER DARA</t>
  </si>
  <si>
    <t>(212) 289-6008</t>
  </si>
  <si>
    <t>dwalker@baileyhouse.org</t>
  </si>
  <si>
    <t>WALKER DARA MS.</t>
  </si>
  <si>
    <t>1241 LAFAYETTE AVE</t>
  </si>
  <si>
    <t>AMIDA CARE, INC.</t>
  </si>
  <si>
    <t>248 W 35TH ST, 7TH FLOOR</t>
  </si>
  <si>
    <t>966 PROSPECT AVE</t>
  </si>
  <si>
    <t>COLLEGE POINT</t>
  </si>
  <si>
    <t>E0041841</t>
  </si>
  <si>
    <t>DJEN SIMON</t>
  </si>
  <si>
    <t>DJEN SIMON ZINGWAH</t>
  </si>
  <si>
    <t>150 ESSEX STREET</t>
  </si>
  <si>
    <t>3611 21ST ST</t>
  </si>
  <si>
    <t>E0338715</t>
  </si>
  <si>
    <t>ALEXEENKO LADA</t>
  </si>
  <si>
    <t>1 GUSTAVE L LEVY PL # 1230</t>
  </si>
  <si>
    <t>9704 SUTPHIN BLVD</t>
  </si>
  <si>
    <t>COMMUNITY HEALTHCARE NETWORK, INC</t>
  </si>
  <si>
    <t>E0099037</t>
  </si>
  <si>
    <t>HERMAN CRAIG</t>
  </si>
  <si>
    <t>HERMAN CRAIG DR.</t>
  </si>
  <si>
    <t>1120 MORRIS PARK AVE</t>
  </si>
  <si>
    <t>16 E 16TH ST</t>
  </si>
  <si>
    <t>E0162990</t>
  </si>
  <si>
    <t>JOHN DAVID H A</t>
  </si>
  <si>
    <t>JOHN DAVID DR.</t>
  </si>
  <si>
    <t>MARY IMMACULATE HOSP</t>
  </si>
  <si>
    <t>E0355579</t>
  </si>
  <si>
    <t>HAMPTON ELISA PADILLA</t>
  </si>
  <si>
    <t>HAMPTON ELISA</t>
  </si>
  <si>
    <t>E0303789</t>
  </si>
  <si>
    <t>DUBOIS ELIZABETH MARIE</t>
  </si>
  <si>
    <t>DUBOIS ELIZABETH</t>
  </si>
  <si>
    <t>DAUGHTERS OF JACOB NURSING HOME CO</t>
  </si>
  <si>
    <t>1515 SOUTHERN BLVD</t>
  </si>
  <si>
    <t>511 W 157TH ST</t>
  </si>
  <si>
    <t>E0290462</t>
  </si>
  <si>
    <t>BENJAMIN TAISHA LASHON</t>
  </si>
  <si>
    <t>BENJAMIN TAISHA</t>
  </si>
  <si>
    <t>975 WESTCHESTER AVE</t>
  </si>
  <si>
    <t>E0342694</t>
  </si>
  <si>
    <t>HALL TAMI L</t>
  </si>
  <si>
    <t>HALL TAMI</t>
  </si>
  <si>
    <t>540 FULTON AVE</t>
  </si>
  <si>
    <t>E0328305</t>
  </si>
  <si>
    <t>DUNCAN TAMIKA SIMONE</t>
  </si>
  <si>
    <t>DUNCAN TAMIKA MS.</t>
  </si>
  <si>
    <t>94-98 MANHATTAN AVE</t>
  </si>
  <si>
    <t>E0389462</t>
  </si>
  <si>
    <t>1770 GRAND CONCOURSE</t>
  </si>
  <si>
    <t>E0321844</t>
  </si>
  <si>
    <t>LEVY ELAN S</t>
  </si>
  <si>
    <t>LEVY ELAN DR.</t>
  </si>
  <si>
    <t>LEVY ELAN SETH</t>
  </si>
  <si>
    <t>1419 SHAKESPEARE AVE</t>
  </si>
  <si>
    <t>E0081352</t>
  </si>
  <si>
    <t>WESTON UNITED COMM RENEWAL MH</t>
  </si>
  <si>
    <t>WESTON UNITED</t>
  </si>
  <si>
    <t>203 W 113TH ST</t>
  </si>
  <si>
    <t>E0169415</t>
  </si>
  <si>
    <t>WESTON UNITED COMM RENEWAL</t>
  </si>
  <si>
    <t>IA/7646431-PROG 1</t>
  </si>
  <si>
    <t>EAST BRUNSWICK</t>
  </si>
  <si>
    <t>(718) 933-1900</t>
  </si>
  <si>
    <t>625 E FORDHAM RD</t>
  </si>
  <si>
    <t>E0266567</t>
  </si>
  <si>
    <t>JAY E SELMAN MD</t>
  </si>
  <si>
    <t>SELMAN JAY</t>
  </si>
  <si>
    <t>SELMAN  JAY E</t>
  </si>
  <si>
    <t>95 BRADHURST AVE</t>
  </si>
  <si>
    <t>800 POLY PL</t>
  </si>
  <si>
    <t>GLASTEIN KIRA</t>
  </si>
  <si>
    <t>28 FROST STREET, 3</t>
  </si>
  <si>
    <t>E0122339</t>
  </si>
  <si>
    <t>RAMESHWAR KARAMCHAND MD</t>
  </si>
  <si>
    <t>krameshwar@projectsamaritan.org</t>
  </si>
  <si>
    <t>RAMESHWAR KARAMCHAND DR.</t>
  </si>
  <si>
    <t>E0033992</t>
  </si>
  <si>
    <t>SENIORCARE EMERGENCY MEDICAL SERVIC</t>
  </si>
  <si>
    <t>SENIORCARE EMERGENCY MEDICAL SERVICES INC.</t>
  </si>
  <si>
    <t>700 HAVEMEYER AVE</t>
  </si>
  <si>
    <t>E0081643</t>
  </si>
  <si>
    <t>STEPHENSON KAREN MD</t>
  </si>
  <si>
    <t>kstephenson@projectsamaritan.org</t>
  </si>
  <si>
    <t>STEPHENSON KAREN</t>
  </si>
  <si>
    <t>613 THROOP AVE</t>
  </si>
  <si>
    <t>61 EMERALD PL</t>
  </si>
  <si>
    <t>ROCK HILL</t>
  </si>
  <si>
    <t>(212) 633-2500</t>
  </si>
  <si>
    <t>acalabrese@baileyhouse.org</t>
  </si>
  <si>
    <t>CALABRESE ANDREA</t>
  </si>
  <si>
    <t>71 W 23RD ST FL 7</t>
  </si>
  <si>
    <t>E0327826</t>
  </si>
  <si>
    <t>COHEN ALEXIS</t>
  </si>
  <si>
    <t>acohen@projectsamaritan.org</t>
  </si>
  <si>
    <t>COHEN ALEXIS DR.</t>
  </si>
  <si>
    <t>COHEN ALEXIS B</t>
  </si>
  <si>
    <t>E0365342</t>
  </si>
  <si>
    <t>LAM FUNG YI</t>
  </si>
  <si>
    <t>(646) 289-7700</t>
  </si>
  <si>
    <t>alam@archcare.org</t>
  </si>
  <si>
    <t>LAM FUNG</t>
  </si>
  <si>
    <t>1432 5TH AVE</t>
  </si>
  <si>
    <t>E0350866</t>
  </si>
  <si>
    <t>COMMUNITY CARE MANAGEMENT PARTNERS</t>
  </si>
  <si>
    <t>COMMUNITY CARE MANAGEMENT PARTNERS LLC (CCMP)</t>
  </si>
  <si>
    <t>1250 BROADWAY FL 22</t>
  </si>
  <si>
    <t>SKROBACZ ANETA MS.</t>
  </si>
  <si>
    <t>2488 GRAND COUNCOURSE, 4TH FLOOR</t>
  </si>
  <si>
    <t>226 E 144TH ST</t>
  </si>
  <si>
    <t>1176 5TH AVE</t>
  </si>
  <si>
    <t>E0020291</t>
  </si>
  <si>
    <t>GOLDMAN ALISSA PAIGE MD</t>
  </si>
  <si>
    <t>ROMANO ALISSA</t>
  </si>
  <si>
    <t>Nathan Neufeld</t>
  </si>
  <si>
    <t>nneufeld@amazinghc.com</t>
  </si>
  <si>
    <t>AMAZING HOME CARE SERVICES LLC</t>
  </si>
  <si>
    <t>1601 BRONXDALE AVE, SUITE #207</t>
  </si>
  <si>
    <t>E0386333</t>
  </si>
  <si>
    <t>PARTOS NANCY</t>
  </si>
  <si>
    <t>npartos@projectsamaritan.org</t>
  </si>
  <si>
    <t>PARTOS NANCY MS.</t>
  </si>
  <si>
    <t>PARTOS NANCY MARGARET</t>
  </si>
  <si>
    <t>TERENCE CARDINAL COOKE HCC</t>
  </si>
  <si>
    <t>E0263665</t>
  </si>
  <si>
    <t>(212) 360-3999</t>
  </si>
  <si>
    <t>npollack@archcare.org</t>
  </si>
  <si>
    <t>TERENCE CARDINAL COOKE HEALTH CARE CENTER</t>
  </si>
  <si>
    <t>1650 GRAND CONCOURSE FL 1</t>
  </si>
  <si>
    <t>199 MOUNT EDEN PKWY</t>
  </si>
  <si>
    <t>E0337845</t>
  </si>
  <si>
    <t>SANDERS LAUREN JACQUELINE</t>
  </si>
  <si>
    <t>SANDERS LAUREN</t>
  </si>
  <si>
    <t>E0382779</t>
  </si>
  <si>
    <t>SMALDONE LAUREN</t>
  </si>
  <si>
    <t>SMALDONE LAUREN MS.</t>
  </si>
  <si>
    <t>SMALDONE LAUREN A</t>
  </si>
  <si>
    <t>E0372261</t>
  </si>
  <si>
    <t>CLOUTIER-CHAMPAGNE LAURENCE</t>
  </si>
  <si>
    <t>E0000475</t>
  </si>
  <si>
    <t>SCHWARTZ-MOSER LAURIE</t>
  </si>
  <si>
    <t>SCHWARTZ-MOSER LAURIE MS.</t>
  </si>
  <si>
    <t>E0215426</t>
  </si>
  <si>
    <t>KRAMER LAWRENCE DAVID      MD</t>
  </si>
  <si>
    <t>KRAMER LAWRENCE DR.</t>
  </si>
  <si>
    <t>CWMC</t>
  </si>
  <si>
    <t>E0038318</t>
  </si>
  <si>
    <t>FIEVRE GARNES MARIE FT MD</t>
  </si>
  <si>
    <t>GARNES MARIE DR.</t>
  </si>
  <si>
    <t>1125 FULTON ST</t>
  </si>
  <si>
    <t>God's Love We Deliver, Inc.</t>
  </si>
  <si>
    <t>1650 SELWYN AVE</t>
  </si>
  <si>
    <t>E0331443</t>
  </si>
  <si>
    <t>HIENSCH KAREN ALLISON</t>
  </si>
  <si>
    <t>HIENSCH KAREN</t>
  </si>
  <si>
    <t>FALLS CHURCH</t>
  </si>
  <si>
    <t>E0130240</t>
  </si>
  <si>
    <t>BATTU VASANTHA KUMARI</t>
  </si>
  <si>
    <t>BATTU VASANTHA DR.</t>
  </si>
  <si>
    <t>E0368463</t>
  </si>
  <si>
    <t>CHAN YORK SING</t>
  </si>
  <si>
    <t>CHAN YORK SING DR.</t>
  </si>
  <si>
    <t>86 BOWERY FL 3</t>
  </si>
  <si>
    <t>AgeWell New York, LLC</t>
  </si>
  <si>
    <t>Tara Buonocore-Rut</t>
  </si>
  <si>
    <t>(718) 289-2669</t>
  </si>
  <si>
    <t>tbuonocore@agewellnewyork.com</t>
  </si>
  <si>
    <t>AGEWELL NEW YORK, LLC</t>
  </si>
  <si>
    <t>E0020640</t>
  </si>
  <si>
    <t>OGULA VERONICA</t>
  </si>
  <si>
    <t>vogula@projectsamaritan.org</t>
  </si>
  <si>
    <t>OGULA VERONICA NGOZI</t>
  </si>
  <si>
    <t>105-04 SUTPHIN BLVD</t>
  </si>
  <si>
    <t>E0025906</t>
  </si>
  <si>
    <t>ASIAN &amp; PACIFIC I C HIV/AIDS</t>
  </si>
  <si>
    <t>APICHA COMMUNITY HEALTH CENTER</t>
  </si>
  <si>
    <t>400 BROADWAY</t>
  </si>
  <si>
    <t>PIRES WARREN MR.</t>
  </si>
  <si>
    <t>175 REMSEN ST, TRI CENTER</t>
  </si>
  <si>
    <t>TRI CENTER, INC.</t>
  </si>
  <si>
    <t>1369 BROADWAY FL 2</t>
  </si>
  <si>
    <t>175 REMSEN ST</t>
  </si>
  <si>
    <t>315 HUDSON ST</t>
  </si>
  <si>
    <t>Affinity Health Plan</t>
  </si>
  <si>
    <t>AFFINITY HEALTH PLAN</t>
  </si>
  <si>
    <t>2500 HALSEY ST</t>
  </si>
  <si>
    <t>E0335562</t>
  </si>
  <si>
    <t>ARGUS COMMUNITY INC</t>
  </si>
  <si>
    <t>507 W 145TH ST</t>
  </si>
  <si>
    <t>454 LENOX AVE</t>
  </si>
  <si>
    <t>ST BARNABAS HOSP</t>
  </si>
  <si>
    <t>15 W 65TH ST</t>
  </si>
  <si>
    <t>lpallies@baileyhouse.org</t>
  </si>
  <si>
    <t>PALLIES LAUREN</t>
  </si>
  <si>
    <t>180 LIVINGSTON ST, SUITE 303</t>
  </si>
  <si>
    <t>E0089293</t>
  </si>
  <si>
    <t>BRAZZO BRIAN GERALD MD</t>
  </si>
  <si>
    <t>BRAZZO BRIAN DR.</t>
  </si>
  <si>
    <t>902 49TH ST</t>
  </si>
  <si>
    <t>1101 PELHAM PKWY N</t>
  </si>
  <si>
    <t>E0299000</t>
  </si>
  <si>
    <t>ELISA BOCCHIERI-BUSTROS</t>
  </si>
  <si>
    <t>BOCCHIERI-BUSTROS ELISA DR.</t>
  </si>
  <si>
    <t>BOCCHIERI-BUSTROS ELISA</t>
  </si>
  <si>
    <t>801 CO OP CITY BLVD</t>
  </si>
  <si>
    <t>259 1ST ST</t>
  </si>
  <si>
    <t>E0214924</t>
  </si>
  <si>
    <t>JEWISH ASSO FOR SVCS FOR THE AGED</t>
  </si>
  <si>
    <t>JEWISH ASSOCIATION FOR SERVICES FOR THE AGED</t>
  </si>
  <si>
    <t>1 FORDHAM PLZ</t>
  </si>
  <si>
    <t>E0181569</t>
  </si>
  <si>
    <t>LUTAS ELIZABETH MARY  MD</t>
  </si>
  <si>
    <t>elutas@projectsamaritan.org</t>
  </si>
  <si>
    <t>LUTAS ELIZABETH DR.</t>
  </si>
  <si>
    <t>VALLEY COTTAGE</t>
  </si>
  <si>
    <t>E0216804</t>
  </si>
  <si>
    <t>CHARLES JOSEPH E           MD</t>
  </si>
  <si>
    <t>CHARLES JOSEPH DR.</t>
  </si>
  <si>
    <t>2240 2ND AVE</t>
  </si>
  <si>
    <t>E0370627</t>
  </si>
  <si>
    <t>NAGY JOSEPH</t>
  </si>
  <si>
    <t>218 SECOND AVE</t>
  </si>
  <si>
    <t>10 UNION SQ E STE 5D</t>
  </si>
  <si>
    <t>PARKSHORE HOME HEALTH CARE LLC</t>
  </si>
  <si>
    <t>3044 CONEY ISLAND AVE, 4TH FLOOR</t>
  </si>
  <si>
    <t>(718) 923-7103</t>
  </si>
  <si>
    <t>eradley@vnrhcs.org</t>
  </si>
  <si>
    <t>E0325446</t>
  </si>
  <si>
    <t>BRUNO JACLYN</t>
  </si>
  <si>
    <t>E0123919</t>
  </si>
  <si>
    <t>HAKIMIAN NAVID MD</t>
  </si>
  <si>
    <t>HAKIMIAN NAVID</t>
  </si>
  <si>
    <t>12360 83RD AVE</t>
  </si>
  <si>
    <t>E0195415</t>
  </si>
  <si>
    <t>YOUNG CONSTANCE A MD PLLC</t>
  </si>
  <si>
    <t>csharp@chnnyc.org</t>
  </si>
  <si>
    <t>YOUNG CONSTANCE DR.</t>
  </si>
  <si>
    <t>LOISEAU YOLETTE MS.</t>
  </si>
  <si>
    <t>1369 BROADWAY, 2ND FLOOR</t>
  </si>
  <si>
    <t>6355 BROADWAY</t>
  </si>
  <si>
    <t>E0331532</t>
  </si>
  <si>
    <t>SACCENTE ERICA</t>
  </si>
  <si>
    <t>sarah.larson@vnsny.org</t>
  </si>
  <si>
    <t>VISITING NURSE SER/NY HM CARE LTHHC</t>
  </si>
  <si>
    <t>107 E 70TH ST</t>
  </si>
  <si>
    <t>E0382787</t>
  </si>
  <si>
    <t>BROOKE SHYVONNE</t>
  </si>
  <si>
    <t>sbrooke@projectsamaritan.org</t>
  </si>
  <si>
    <t>803 STERLING PL</t>
  </si>
  <si>
    <t>THE DENNELISSE CORPORATION</t>
  </si>
  <si>
    <t>WALSH CHRISTOPHER</t>
  </si>
  <si>
    <t>79-01 BROADWAY</t>
  </si>
  <si>
    <t>E0301591</t>
  </si>
  <si>
    <t>HILL KERAN</t>
  </si>
  <si>
    <t>HILL KERAN MS.</t>
  </si>
  <si>
    <t>HILL KERAN SEVENISE</t>
  </si>
  <si>
    <t>MODH KHUSHBU</t>
  </si>
  <si>
    <t>(718) 575-9090</t>
  </si>
  <si>
    <t>MZL HOME CARE AGENCY</t>
  </si>
  <si>
    <t>1819 E 13TH ST</t>
  </si>
  <si>
    <t>27 CHRISTOPHER ST</t>
  </si>
  <si>
    <t>E0263878</t>
  </si>
  <si>
    <t>YOUNG MICHAEL C MD</t>
  </si>
  <si>
    <t>YOUNG MICHAEL</t>
  </si>
  <si>
    <t>YOUNG MICHAEL COLEMAN</t>
  </si>
  <si>
    <t>STONLEIGH AVE/122</t>
  </si>
  <si>
    <t>2090 ADAM CLAYTON POWELL JR BLVD</t>
  </si>
  <si>
    <t>THE BROOKLYN HSP CTR</t>
  </si>
  <si>
    <t>1176 FIFTH AVENUE</t>
  </si>
  <si>
    <t>Phoenix Houses of New York, Inc.</t>
  </si>
  <si>
    <t>BRONX LEB HSP</t>
  </si>
  <si>
    <t>SLEEPY HOLLOW</t>
  </si>
  <si>
    <t>E0332696</t>
  </si>
  <si>
    <t>NATIONAL ASSOCIATION ON DRUG ABUSE</t>
  </si>
  <si>
    <t>NATIONAL ASSOCIATION ON DRUG ABUSE PROBLEMS, INC.</t>
  </si>
  <si>
    <t>355 LEXINGTON AVE FL 2</t>
  </si>
  <si>
    <t>E0157693</t>
  </si>
  <si>
    <t>GAY MENS HLTH CRISIS AIDS AI</t>
  </si>
  <si>
    <t>GAY MEN'S HEALTH CRISIS, INC.</t>
  </si>
  <si>
    <t>446 WEST 33RD ST</t>
  </si>
  <si>
    <t>E0162867</t>
  </si>
  <si>
    <t>ARGUS COMMUNITY INC AI</t>
  </si>
  <si>
    <t>ARGUS COMMUNITY, INC.</t>
  </si>
  <si>
    <t>760 E 160TH ST</t>
  </si>
  <si>
    <t>E0026423</t>
  </si>
  <si>
    <t>OAS CL 2FL</t>
  </si>
  <si>
    <t>E0311781</t>
  </si>
  <si>
    <t>760 EAST 160TH ST CELLAR</t>
  </si>
  <si>
    <t>E0324483</t>
  </si>
  <si>
    <t>FERNANDEZ BEVERLY A</t>
  </si>
  <si>
    <t>bfernandez@projectsamaritan.org</t>
  </si>
  <si>
    <t>FERNANDEZ BEVERLY</t>
  </si>
  <si>
    <t>The Bridge</t>
  </si>
  <si>
    <t>E0081356</t>
  </si>
  <si>
    <t>THE BRIDGE INC MH</t>
  </si>
  <si>
    <t>THE BRIDGE, INC.</t>
  </si>
  <si>
    <t>THE BRIDGE, INC</t>
  </si>
  <si>
    <t>89-31 161ST ST 9TH FL</t>
  </si>
  <si>
    <t>E0130956</t>
  </si>
  <si>
    <t>PROJECT SAMARITAN HLTH SVCS I</t>
  </si>
  <si>
    <t>(718) 657-1100</t>
  </si>
  <si>
    <t>DAMIAN FAMILY CARE CENTERS, INC.</t>
  </si>
  <si>
    <t>13750 JAMAICA AVE</t>
  </si>
  <si>
    <t>E0321029</t>
  </si>
  <si>
    <t>GIURLEO PATRICIA</t>
  </si>
  <si>
    <t>pguirleo@projectsamaritan.org</t>
  </si>
  <si>
    <t>GIURLEO PATRICIA MS.</t>
  </si>
  <si>
    <t>GIURLEO PATRICIA A</t>
  </si>
  <si>
    <t>1776 CLAY AVE</t>
  </si>
  <si>
    <t>E0320087</t>
  </si>
  <si>
    <t>MCCABE PATRICIA</t>
  </si>
  <si>
    <t>pmccabe@projectsamaritan.org</t>
  </si>
  <si>
    <t>MCCABE PATRICIA MISS</t>
  </si>
  <si>
    <t>MCCABE PATRICIA MARY</t>
  </si>
  <si>
    <t>LAURELTON</t>
  </si>
  <si>
    <t>PATEL PAYAL</t>
  </si>
  <si>
    <t>E0313507</t>
  </si>
  <si>
    <t>NIEVES ROSADO SANDRA</t>
  </si>
  <si>
    <t>snieves-rosado@archcare.org</t>
  </si>
  <si>
    <t>NIEVES ROSADO SANDRA DR.</t>
  </si>
  <si>
    <t>E0374499</t>
  </si>
  <si>
    <t>PEARLMAN SHOSHANNAH</t>
  </si>
  <si>
    <t>spearlman@projectsamaritan.org</t>
  </si>
  <si>
    <t>PEARLMAN SHOSHANNAH MS.</t>
  </si>
  <si>
    <t>E0030577</t>
  </si>
  <si>
    <t>PUNJ SONIA X</t>
  </si>
  <si>
    <t>spunj@projectsamaritan.org</t>
  </si>
  <si>
    <t>PUNJ SONIA DR.</t>
  </si>
  <si>
    <t>PUNJ SONIA MD</t>
  </si>
  <si>
    <t>175-61 HILLSIDE AVENUE-402</t>
  </si>
  <si>
    <t>E0026174</t>
  </si>
  <si>
    <t>FORTUNE SOCIETY INC, THE</t>
  </si>
  <si>
    <t>THE FORTUNE SOCIETY INC.</t>
  </si>
  <si>
    <t>29-76 NORTHERN BLVD</t>
  </si>
  <si>
    <t>(914) 591-7300</t>
  </si>
  <si>
    <t>sriordan@abbotthouse.net</t>
  </si>
  <si>
    <t>IRVINGTON</t>
  </si>
  <si>
    <t>E0313782</t>
  </si>
  <si>
    <t>SYDELLE R ROSS</t>
  </si>
  <si>
    <t>sross@projectsamaritan.org</t>
  </si>
  <si>
    <t>ROSS SYDELLE</t>
  </si>
  <si>
    <t>ROSS SYDELLE ROWENA</t>
  </si>
  <si>
    <t>1543 INWOOD AVE # 1545</t>
  </si>
  <si>
    <t>KUC HANA</t>
  </si>
  <si>
    <t>E0363185</t>
  </si>
  <si>
    <t>JORDAN MALYNDA</t>
  </si>
  <si>
    <t>JORDAN MALYNDA MS.</t>
  </si>
  <si>
    <t>E0006566</t>
  </si>
  <si>
    <t>LASSALLE ADAIAH</t>
  </si>
  <si>
    <t>LASSALLE ADAIAH MRS.</t>
  </si>
  <si>
    <t>2780 3RD AVE GROUND FLR</t>
  </si>
  <si>
    <t>E0074901</t>
  </si>
  <si>
    <t>JONES-MALIK MENDIS</t>
  </si>
  <si>
    <t>E0266513</t>
  </si>
  <si>
    <t>MCCURTIS HENRY LLOYD       MD</t>
  </si>
  <si>
    <t>MCCURTIS HENRY DR.</t>
  </si>
  <si>
    <t>MCCURTIS HENRY LLOYD</t>
  </si>
  <si>
    <t>146 CENTRAL PARK W APT 1F</t>
  </si>
  <si>
    <t>cathyg@phhc.com</t>
  </si>
  <si>
    <t>E0133320</t>
  </si>
  <si>
    <t>REVAN SHARON LEVINA MD</t>
  </si>
  <si>
    <t>REVAN SHARON DR.</t>
  </si>
  <si>
    <t>PARK AVE MEDICAL</t>
  </si>
  <si>
    <t>E0169558</t>
  </si>
  <si>
    <t>CONCERN FOR MENTAL HEALTH INC</t>
  </si>
  <si>
    <t>CONCERN FOR INDEPENDENT LIVING, INC.</t>
  </si>
  <si>
    <t>CONCERN FOR INDEPENDENT LIVING INC</t>
  </si>
  <si>
    <t>OMH CL A/7609432</t>
  </si>
  <si>
    <t>910 E 172ND ST</t>
  </si>
  <si>
    <t>E0048305</t>
  </si>
  <si>
    <t>EVDOS OLGA</t>
  </si>
  <si>
    <t>EVDOS OLGA DR.</t>
  </si>
  <si>
    <t>4401 NEWTOWN RD STE A</t>
  </si>
  <si>
    <t>E0087080</t>
  </si>
  <si>
    <t>BOISETTE PASCAL DDS</t>
  </si>
  <si>
    <t>BOISETTE PASCAL</t>
  </si>
  <si>
    <t>361 EASTERN PKWY</t>
  </si>
  <si>
    <t>55 N OCEAN AVE</t>
  </si>
  <si>
    <t>E0220940</t>
  </si>
  <si>
    <t>NA ILLSUNG</t>
  </si>
  <si>
    <t>NA ILL SUNG DR.</t>
  </si>
  <si>
    <t>SVR MEDICAL CENTER</t>
  </si>
  <si>
    <t>E0352360</t>
  </si>
  <si>
    <t>PAINSON JEAN LUTHER</t>
  </si>
  <si>
    <t>PAINSON JEAN MR.</t>
  </si>
  <si>
    <t>E0211222</t>
  </si>
  <si>
    <t>PIERRE PAUL ANTOINE        MD</t>
  </si>
  <si>
    <t>PIERRE-ANTOINE PAUL</t>
  </si>
  <si>
    <t>E0022942</t>
  </si>
  <si>
    <t>EAC INC</t>
  </si>
  <si>
    <t>E0079234</t>
  </si>
  <si>
    <t>FANO MICHAEL</t>
  </si>
  <si>
    <t>mfano@projectsamaritan.org</t>
  </si>
  <si>
    <t>10504 SUTPHIN BLVD</t>
  </si>
  <si>
    <t>Postgraduate Center for Mental Health</t>
  </si>
  <si>
    <t>E0273998</t>
  </si>
  <si>
    <t>POST GRAD CNTR FOR MENTAL HIT</t>
  </si>
  <si>
    <t>(212) 889-5500</t>
  </si>
  <si>
    <t>mholman@pgcmh.org</t>
  </si>
  <si>
    <t>POSTGRADUATE CENTER FOR MENTAL HEALTH</t>
  </si>
  <si>
    <t>POST GRAD CNTR FOR MENTAL HLTH</t>
  </si>
  <si>
    <t>1775 GRAND CONCOURSE FL 8</t>
  </si>
  <si>
    <t>E0023295</t>
  </si>
  <si>
    <t>POSTGRADUATE CTR MENTAL HLTH</t>
  </si>
  <si>
    <t>126 LA SALLE ST</t>
  </si>
  <si>
    <t>306 E 15TH ST</t>
  </si>
  <si>
    <t>E0308218</t>
  </si>
  <si>
    <t>JOSEPH MYRIAM</t>
  </si>
  <si>
    <t>JOSEPH MYRIAM BERTHNELL</t>
  </si>
  <si>
    <t>E0312954</t>
  </si>
  <si>
    <t>ROBINSON EMMETT J'ON</t>
  </si>
  <si>
    <t>ROBINSON EMMETT DR.</t>
  </si>
  <si>
    <t>645 10TH AVE</t>
  </si>
  <si>
    <t>E0020044</t>
  </si>
  <si>
    <t>SULTANIAN RACHNA</t>
  </si>
  <si>
    <t>E0017020</t>
  </si>
  <si>
    <t>CARD ANDREA DIONE MD</t>
  </si>
  <si>
    <t>CARD ANDREA DR.</t>
  </si>
  <si>
    <t>E0174990</t>
  </si>
  <si>
    <t>FREEMAN ROBERT A</t>
  </si>
  <si>
    <t>rafreeman@baileyhouse.org</t>
  </si>
  <si>
    <t>FREEMAN ROBERT</t>
  </si>
  <si>
    <t>FEDERATION EMPLOYMENT AND GUIDANCE SERVICE, INC</t>
  </si>
  <si>
    <t>CENTER MORICHES</t>
  </si>
  <si>
    <t>E0355153</t>
  </si>
  <si>
    <t>MIKHEYEV VYACHESLAV</t>
  </si>
  <si>
    <t>E0382783</t>
  </si>
  <si>
    <t>TREYSTER ZOYA</t>
  </si>
  <si>
    <t>TREYSTER ZOYA DR.</t>
  </si>
  <si>
    <t>(845) 359-3400</t>
  </si>
  <si>
    <t>BLAUVELT</t>
  </si>
  <si>
    <t>E0379086</t>
  </si>
  <si>
    <t>GAUTHIER ANGIE R</t>
  </si>
  <si>
    <t>HYLTON ANGIE</t>
  </si>
  <si>
    <t>HYLTON ANGIE RUTH</t>
  </si>
  <si>
    <t>1167 NOSTRAND AVE</t>
  </si>
  <si>
    <t>E0076578</t>
  </si>
  <si>
    <t>PORIZKOVA ANNA M</t>
  </si>
  <si>
    <t>PORIZKOVA ANNA MS.</t>
  </si>
  <si>
    <t>E0019862</t>
  </si>
  <si>
    <t>JAISWAL ARTI CHANDER MD</t>
  </si>
  <si>
    <t>JAISWAL ARTI</t>
  </si>
  <si>
    <t>104 FULTON AVE</t>
  </si>
  <si>
    <t>E0202020</t>
  </si>
  <si>
    <t>RAMIS CARMEN MARIA MD</t>
  </si>
  <si>
    <t>RAMIS CARMEN DR.</t>
  </si>
  <si>
    <t>36 7TH AVE</t>
  </si>
  <si>
    <t>E0363925</t>
  </si>
  <si>
    <t>KREMPASKY CHANCE NICHOLAS</t>
  </si>
  <si>
    <t>KREMPASKY CHANCE</t>
  </si>
  <si>
    <t>E0113693</t>
  </si>
  <si>
    <t>ROBIE KRISTIN</t>
  </si>
  <si>
    <t>45 MAIN ST STE 108</t>
  </si>
  <si>
    <t>E0359012</t>
  </si>
  <si>
    <t>FIDELMAN LEILA H</t>
  </si>
  <si>
    <t>FIDELMAN LEILA MISS</t>
  </si>
  <si>
    <t>FIDELMAN LEILA HING</t>
  </si>
  <si>
    <t>550 1ST AVE FL 5</t>
  </si>
  <si>
    <t>E0291197</t>
  </si>
  <si>
    <t>RIMMER LINDA MARIE GAWRONSKI</t>
  </si>
  <si>
    <t>RIMMER LINDA</t>
  </si>
  <si>
    <t>45 MAIN ST STE 408</t>
  </si>
  <si>
    <t>E0141747</t>
  </si>
  <si>
    <t>BENOIT MARCEL M MD</t>
  </si>
  <si>
    <t>BENOIT MARCEL DR.</t>
  </si>
  <si>
    <t>1681 FLATBUSH AVE</t>
  </si>
  <si>
    <t>E0252340</t>
  </si>
  <si>
    <t>NAVEH MARCIA SPIEGEL       MD</t>
  </si>
  <si>
    <t>NAVEH MARCIA DR.</t>
  </si>
  <si>
    <t>NAVEH MARCIA SPIEGEL MD</t>
  </si>
  <si>
    <t>SLR HOSPITAL CTR</t>
  </si>
  <si>
    <t>E0077122</t>
  </si>
  <si>
    <t>BASAVARAJU NERLIGE G</t>
  </si>
  <si>
    <t>BASAVARAJU NERLIGE MR.</t>
  </si>
  <si>
    <t>E0127750</t>
  </si>
  <si>
    <t>FEYGIN POLINA MD</t>
  </si>
  <si>
    <t>FEYGIN POLINA</t>
  </si>
  <si>
    <t>11129 QUEENS BLVD</t>
  </si>
  <si>
    <t>E0215447</t>
  </si>
  <si>
    <t>FRIEDMAN ROSS  MD</t>
  </si>
  <si>
    <t>FRIEDMAN ROSS</t>
  </si>
  <si>
    <t>E0278099</t>
  </si>
  <si>
    <t>TEICH MARVIN L MD</t>
  </si>
  <si>
    <t>(718) 882-3500</t>
  </si>
  <si>
    <t>mteich@archcare.org</t>
  </si>
  <si>
    <t>TEICH MARVIN</t>
  </si>
  <si>
    <t>665 THWAITES PL</t>
  </si>
  <si>
    <t>E0186265</t>
  </si>
  <si>
    <t>DOMINICAN SISTERS FAMILY LTHH</t>
  </si>
  <si>
    <t>mzagajeski@dsfhs.org</t>
  </si>
  <si>
    <t>DOMINICAN SISTERS FAMILY HEALTH SERVICE INC</t>
  </si>
  <si>
    <t>OSSINING</t>
  </si>
  <si>
    <t>Dominican Sisters Family Health Service, Inc.</t>
  </si>
  <si>
    <t>E0266928</t>
  </si>
  <si>
    <t>DOMINICAN SISTER FAMILY HEALT</t>
  </si>
  <si>
    <t>299 N HIGHLAND AVE</t>
  </si>
  <si>
    <t>FAMILY HOME HEALTH CARE INC</t>
  </si>
  <si>
    <t>65 S BROADWAY</t>
  </si>
  <si>
    <t>GILMAN STEPHEN</t>
  </si>
  <si>
    <t>1461 FIRST AVE, SUITE 244</t>
  </si>
  <si>
    <t>E0366373</t>
  </si>
  <si>
    <t>CATHOLIC MANAGED LONG TERM INC</t>
  </si>
  <si>
    <t>CATHOLIC MANAGED LONG TERM CARE INC</t>
  </si>
  <si>
    <t>(718) 777-6312</t>
  </si>
  <si>
    <t>jtine@goodwillny.org</t>
  </si>
  <si>
    <t>E0383556</t>
  </si>
  <si>
    <t>TSAI JOSEPHINE</t>
  </si>
  <si>
    <t>jtsai@projectsamaritan.org</t>
  </si>
  <si>
    <t>TSAI JOSEPHINE DR.</t>
  </si>
  <si>
    <t>Justin Frazer</t>
  </si>
  <si>
    <t>AMERIGROUP NEW YORK, LLC</t>
  </si>
  <si>
    <t>360 W 31ST ST, 5TH FLOOR</t>
  </si>
  <si>
    <t>E0041050</t>
  </si>
  <si>
    <t>ZELLAN JONATHAN D MD</t>
  </si>
  <si>
    <t>jzellan@projectsamaritan.org</t>
  </si>
  <si>
    <t>ZELLAN JONATHAN</t>
  </si>
  <si>
    <t>STE 212</t>
  </si>
  <si>
    <t>MitchelKaplan</t>
  </si>
  <si>
    <t>GERIATRIC SVCS PC</t>
  </si>
  <si>
    <t>E0303277</t>
  </si>
  <si>
    <t>MANCHANDA-GERA AKANKSHA</t>
  </si>
  <si>
    <t>GERA AKANKSHA DR.</t>
  </si>
  <si>
    <t>E0015794</t>
  </si>
  <si>
    <t>ROBINSON MARCIA RENEE</t>
  </si>
  <si>
    <t>ROBINSON MARCIA MS.</t>
  </si>
  <si>
    <t>GREENBURGH HEALTH CTR</t>
  </si>
  <si>
    <t>E0290483</t>
  </si>
  <si>
    <t>SANCHEZ ANTONIO ALBERTO MD</t>
  </si>
  <si>
    <t>SANCHEZ ANTONIO DR.</t>
  </si>
  <si>
    <t>74 BUNNER ST</t>
  </si>
  <si>
    <t>SANTOS SONIA MRS.</t>
  </si>
  <si>
    <t>38 RED SPRING LN</t>
  </si>
  <si>
    <t>E0364081</t>
  </si>
  <si>
    <t>SCHACHTER LISA</t>
  </si>
  <si>
    <t>SCHACHTER LISA MISS</t>
  </si>
  <si>
    <t>E0337653</t>
  </si>
  <si>
    <t>VALENTIN KENIA</t>
  </si>
  <si>
    <t>E0052326</t>
  </si>
  <si>
    <t>VAZQUEZ PEDRO</t>
  </si>
  <si>
    <t>VAZQUEZ PEDRO MR.</t>
  </si>
  <si>
    <t>75 W 190TH ST</t>
  </si>
  <si>
    <t>E0019902</t>
  </si>
  <si>
    <t>GHARIB SHAHIN MD</t>
  </si>
  <si>
    <t>GHARIB SHAHIN</t>
  </si>
  <si>
    <t>GHARIB SHAHIN A</t>
  </si>
  <si>
    <t>ORANGE</t>
  </si>
  <si>
    <t>E0371465</t>
  </si>
  <si>
    <t>ADELSON MIREILLA</t>
  </si>
  <si>
    <t>ADELSON MIREILLE</t>
  </si>
  <si>
    <t>E0189515</t>
  </si>
  <si>
    <t>ARGUS COMMUNITY,INC</t>
  </si>
  <si>
    <t>CONT TRT OMH</t>
  </si>
  <si>
    <t>E0036672</t>
  </si>
  <si>
    <t>HO JAMES CHUNG MD</t>
  </si>
  <si>
    <t>jho@projectsamaritan.org</t>
  </si>
  <si>
    <t>HO JAMES</t>
  </si>
  <si>
    <t>HO JAMES CHUNG</t>
  </si>
  <si>
    <t>460 W 34TH ST FL 11</t>
  </si>
  <si>
    <t>ADDICT REHABILITATION CENTER FUND INC</t>
  </si>
  <si>
    <t>2015 MADISON AVE</t>
  </si>
  <si>
    <t>E0163504</t>
  </si>
  <si>
    <t>ABBOTT HOUSE INC</t>
  </si>
  <si>
    <t>ABBOTT HOUSE, INC.</t>
  </si>
  <si>
    <t>ABBOTT HOUSE              INC</t>
  </si>
  <si>
    <t>61 SUNNYSIDE AVE # C/8532430</t>
  </si>
  <si>
    <t>PLEASANTVILLE</t>
  </si>
  <si>
    <t>ABBOTT HOUSE</t>
  </si>
  <si>
    <t>61 SUNNYSIDE AVE</t>
  </si>
  <si>
    <t>ABBOTT HSE INC WOOD ST ICF</t>
  </si>
  <si>
    <t>15 WOOD ST</t>
  </si>
  <si>
    <t>E0288926</t>
  </si>
  <si>
    <t>WILEY JOSE MAUNEL MD</t>
  </si>
  <si>
    <t>WILEY JOSE DR.</t>
  </si>
  <si>
    <t>MT SINAI HOSPITAL-CARDIOLOGY ASSOCIATES</t>
  </si>
  <si>
    <t>280 HENRY ST</t>
  </si>
  <si>
    <t>HARLEM FAC PRCT</t>
  </si>
  <si>
    <t>218 SECOND AVENUE</t>
  </si>
  <si>
    <t>LOWER EASTSIDE SERVICE CENTER, INC.</t>
  </si>
  <si>
    <t>E0273867</t>
  </si>
  <si>
    <t>LOWER EASTSIDE SERVICE CENTER</t>
  </si>
  <si>
    <t>(212) 566-7720</t>
  </si>
  <si>
    <t>lsilvavazquez@lesc.org</t>
  </si>
  <si>
    <t>TB</t>
  </si>
  <si>
    <t>E0290447</t>
  </si>
  <si>
    <t>JOHNSON SHARON</t>
  </si>
  <si>
    <t>JOHNSON SHARON DENISE</t>
  </si>
  <si>
    <t>1235 PELHAM PKWY N</t>
  </si>
  <si>
    <t>E0350449</t>
  </si>
  <si>
    <t>WADE MARK</t>
  </si>
  <si>
    <t>WADE MARK DR.</t>
  </si>
  <si>
    <t>WADE MARK JEFFREY</t>
  </si>
  <si>
    <t>324 E 149TH ST</t>
  </si>
  <si>
    <t>E0215814</t>
  </si>
  <si>
    <t>WILKINS ROBERT MD</t>
  </si>
  <si>
    <t>WILKINS ROBERT DR.</t>
  </si>
  <si>
    <t>WILKINS ROBERT</t>
  </si>
  <si>
    <t>1745 LINCOLNTON</t>
  </si>
  <si>
    <t>(718) 321-3800</t>
  </si>
  <si>
    <t>ASSOCIATION FOR THE ADVANCEMENT OF BLIND AND RETARDED INC</t>
  </si>
  <si>
    <t>3050 WHITE PLAINS RD</t>
  </si>
  <si>
    <t>E0347403</t>
  </si>
  <si>
    <t>OTELLO TONI ANNE</t>
  </si>
  <si>
    <t>(917) 645-9225</t>
  </si>
  <si>
    <t>totello@archcare.org</t>
  </si>
  <si>
    <t>OTELLO TONI</t>
  </si>
  <si>
    <t>E0323400</t>
  </si>
  <si>
    <t>PERRON THOMAS</t>
  </si>
  <si>
    <t>tperron@projectsamaritan.org</t>
  </si>
  <si>
    <t>PERRON THOMAS MR.</t>
  </si>
  <si>
    <t>PERRON THOMAS WEST</t>
  </si>
  <si>
    <t>E0055992</t>
  </si>
  <si>
    <t>RENDEIRO SUSANNE</t>
  </si>
  <si>
    <t>Mmihai@apicha.org</t>
  </si>
  <si>
    <t>RENDEIRO-DOBLE SUSANNE</t>
  </si>
  <si>
    <t>E0331447</t>
  </si>
  <si>
    <t>LAWSON ANNE</t>
  </si>
  <si>
    <t>1550 UNIVERSITY AVE</t>
  </si>
  <si>
    <t>330 E 17TH ST</t>
  </si>
  <si>
    <t>E0338837</t>
  </si>
  <si>
    <t>KRYSTYNA ANNIKA</t>
  </si>
  <si>
    <t>KRYSTYNA ANNIKA DR.</t>
  </si>
  <si>
    <t>KRYSTYNA ANNIKA EVELYN</t>
  </si>
  <si>
    <t>E0144237</t>
  </si>
  <si>
    <t>F E G S</t>
  </si>
  <si>
    <t>315 HUDSON ST FL2</t>
  </si>
  <si>
    <t>MONTEFIORE PROF BILL</t>
  </si>
  <si>
    <t>E0084146</t>
  </si>
  <si>
    <t>OLIVIER WENDY-ANN MD PC</t>
  </si>
  <si>
    <t>OLIVIER WENDY DR.</t>
  </si>
  <si>
    <t>DEPT SURGERY</t>
  </si>
  <si>
    <t>115 E 61ST ST</t>
  </si>
  <si>
    <t>E0294201</t>
  </si>
  <si>
    <t>MARTIN MONICA A</t>
  </si>
  <si>
    <t>MARTIN MONICA DR.</t>
  </si>
  <si>
    <t>E0285309</t>
  </si>
  <si>
    <t>NANCY LYNN CHEZ</t>
  </si>
  <si>
    <t>nchez@projectsamaritan.org</t>
  </si>
  <si>
    <t>CHEZ NANCY</t>
  </si>
  <si>
    <t>CHEZ NANCY LYNN</t>
  </si>
  <si>
    <t>E0329926</t>
  </si>
  <si>
    <t>PETROS JESSICA THERESA</t>
  </si>
  <si>
    <t>PETROS JESSICA DR.</t>
  </si>
  <si>
    <t>175 REMSEN ST FL 4</t>
  </si>
  <si>
    <t>E0084889</t>
  </si>
  <si>
    <t>TUNG JUDY MD</t>
  </si>
  <si>
    <t>TUNG JUDY</t>
  </si>
  <si>
    <t># HT-4</t>
  </si>
  <si>
    <t>MALVERNE</t>
  </si>
  <si>
    <t>4215 3RD AVE FL 2</t>
  </si>
  <si>
    <t>E0383490</t>
  </si>
  <si>
    <t>VOHRA RISHI</t>
  </si>
  <si>
    <t>VOHRA RISHI DR.</t>
  </si>
  <si>
    <t>E0144775</t>
  </si>
  <si>
    <t>LOWER WEST SIDE HOUSEHOLD SVC</t>
  </si>
  <si>
    <t>(212) 307-7107</t>
  </si>
  <si>
    <t>LOWER WEST SIDE HOUSEHOLD SERVICES</t>
  </si>
  <si>
    <t>STE 1511</t>
  </si>
  <si>
    <t>E0100929</t>
  </si>
  <si>
    <t>AKERELE EVARISTO OLANREWAJU MD</t>
  </si>
  <si>
    <t>AKERELE EVARISTO DR.</t>
  </si>
  <si>
    <t>E0171282</t>
  </si>
  <si>
    <t>ABSY-JAGHAB MINOU MD</t>
  </si>
  <si>
    <t>ABSY-JAGHAB MINOU</t>
  </si>
  <si>
    <t>0NE BLVD DRIVE</t>
  </si>
  <si>
    <t>HICKEVILLE</t>
  </si>
  <si>
    <t>E0337674</t>
  </si>
  <si>
    <t>BAILEY JUDITH</t>
  </si>
  <si>
    <t>BAILEY JUDITH MRS.</t>
  </si>
  <si>
    <t>E0363516</t>
  </si>
  <si>
    <t>BERMEO CARLOS A</t>
  </si>
  <si>
    <t>BERMEO CARLOS</t>
  </si>
  <si>
    <t>E0170741</t>
  </si>
  <si>
    <t>PALLADIA INC</t>
  </si>
  <si>
    <t>(212) 979-8800</t>
  </si>
  <si>
    <t>1366 INWOOD AVE</t>
  </si>
  <si>
    <t>FL DSAS/2ND</t>
  </si>
  <si>
    <t>E0017904</t>
  </si>
  <si>
    <t>BAILEY HOUSE AI</t>
  </si>
  <si>
    <t>moboyle@baileyhouse.org</t>
  </si>
  <si>
    <t>BAILEY HOUSE INC</t>
  </si>
  <si>
    <t>1751 PARK AVE 4TH FL</t>
  </si>
  <si>
    <t>E0349124</t>
  </si>
  <si>
    <t>O'BOYLE MEREDITH</t>
  </si>
  <si>
    <t>O'BOYLE MEREDITH MS.</t>
  </si>
  <si>
    <t>1751 PARK AVE # 3RD</t>
  </si>
  <si>
    <t>E0267754</t>
  </si>
  <si>
    <t>METHODIST CHURCH HOME FOR THE</t>
  </si>
  <si>
    <t>mperez@mchny.org</t>
  </si>
  <si>
    <t>METHODIST CHURCH HOME FOR THE AGED IN THE CITY OF NEW YORK</t>
  </si>
  <si>
    <t>METHODIST HOME FOR NURSING &amp; REHAB</t>
  </si>
  <si>
    <t>4499 MANHATTAN COLLEGE PKWY</t>
  </si>
  <si>
    <t>E0215077</t>
  </si>
  <si>
    <t>LAZAR JOHN</t>
  </si>
  <si>
    <t>jlazar@projectsamaritan.org</t>
  </si>
  <si>
    <t>LAZAR JOHN DR.</t>
  </si>
  <si>
    <t>BRODY DAVID DR.</t>
  </si>
  <si>
    <t>E0077036</t>
  </si>
  <si>
    <t>CHRISTOPHE GLADYS</t>
  </si>
  <si>
    <t>E0041545</t>
  </si>
  <si>
    <t>CHOW GRACE A MD</t>
  </si>
  <si>
    <t>CHOW GRACE</t>
  </si>
  <si>
    <t>E0064949</t>
  </si>
  <si>
    <t>WEINER HOLLY H</t>
  </si>
  <si>
    <t>WEINER HOLLY MS.</t>
  </si>
  <si>
    <t>WEINER HOLLY</t>
  </si>
  <si>
    <t>QSAC, Inc. (ACA Member Agency)</t>
  </si>
  <si>
    <t>Cory Polshansky</t>
  </si>
  <si>
    <t>cpolshansky@qsac.com</t>
  </si>
  <si>
    <t>E0149434</t>
  </si>
  <si>
    <t>SANCHEZ-FELIZ SONIA DDS</t>
  </si>
  <si>
    <t>SANCHEZ SONIA</t>
  </si>
  <si>
    <t>599 W 190TH ST STE 2</t>
  </si>
  <si>
    <t>E0363624</t>
  </si>
  <si>
    <t>PACHECO CHRISTIANE MAGDI</t>
  </si>
  <si>
    <t>PACHECO CHRISTIANE DR.</t>
  </si>
  <si>
    <t>E0293589</t>
  </si>
  <si>
    <t>CHRISTINA FLORES</t>
  </si>
  <si>
    <t>FLORES CHRISTINA DR.</t>
  </si>
  <si>
    <t>FLORES CHRISTINA RACHEL MD</t>
  </si>
  <si>
    <t>E0318247</t>
  </si>
  <si>
    <t>TAN JENNY YU</t>
  </si>
  <si>
    <t>TAN JENNY</t>
  </si>
  <si>
    <t>3060 E TREMONT AVE</t>
  </si>
  <si>
    <t>BALDWIN</t>
  </si>
  <si>
    <t>E0175552</t>
  </si>
  <si>
    <t>BRONX AIDS SERVICE AI</t>
  </si>
  <si>
    <t>(718) 292-7718</t>
  </si>
  <si>
    <t>rcabrera@boomhealth.org</t>
  </si>
  <si>
    <t>BRONX AIDS SERVICES, INC</t>
  </si>
  <si>
    <t>E0337581</t>
  </si>
  <si>
    <t>CALDERON RUDDY SMITH</t>
  </si>
  <si>
    <t>rcalderon@projectsamaritan.org</t>
  </si>
  <si>
    <t>CALDERON RUDDY MR.</t>
  </si>
  <si>
    <t>224 ALEXANDER ST</t>
  </si>
  <si>
    <t>E0275376</t>
  </si>
  <si>
    <t>DWARKA REGEV RAGBARDIAL</t>
  </si>
  <si>
    <t>DWARKA REGEV</t>
  </si>
  <si>
    <t>10 NATHAN D PERLMAN PL</t>
  </si>
  <si>
    <t>E0072137</t>
  </si>
  <si>
    <t>COTTO SYLVIA</t>
  </si>
  <si>
    <t>141 BROADWAY</t>
  </si>
  <si>
    <t>(718) 589-2440</t>
  </si>
  <si>
    <t>E0023180</t>
  </si>
  <si>
    <t>CENTER FOR ALT SENTENCING RC</t>
  </si>
  <si>
    <t>CENTER FOR ALTERNATIVE SENTENCING AND EMPLOYMENT SERVICES</t>
  </si>
  <si>
    <t>CENTER FOR ALT SENTENCING</t>
  </si>
  <si>
    <t>19 BEEKMAN ST</t>
  </si>
  <si>
    <t>E0387548</t>
  </si>
  <si>
    <t>CENTER FOR ALTERNATIVE SENTENCING A</t>
  </si>
  <si>
    <t>2090 ADAM CLAYTON POWELL JR BLVD FL 4</t>
  </si>
  <si>
    <t>800 FRONT ST</t>
  </si>
  <si>
    <t>755 HEMPSTEAD TPKE</t>
  </si>
  <si>
    <t>E0003221</t>
  </si>
  <si>
    <t>NEBOLISA FELICIA</t>
  </si>
  <si>
    <t>NEBOLISA FELICIA MRS.</t>
  </si>
  <si>
    <t>E0067629</t>
  </si>
  <si>
    <t>GUOPING ZHOU</t>
  </si>
  <si>
    <t>ZHOU GUOPING</t>
  </si>
  <si>
    <t>E0297312</t>
  </si>
  <si>
    <t>AGARWAL RUCHI</t>
  </si>
  <si>
    <t>AGARWAL RUCHI DR.</t>
  </si>
  <si>
    <t>E0138162</t>
  </si>
  <si>
    <t>MURAYAMA-GREENBAUM ROBERT MD</t>
  </si>
  <si>
    <t>MURAYAMA-GREENBAUM ROBERT</t>
  </si>
  <si>
    <t>E0117497</t>
  </si>
  <si>
    <t>TANG IAN TSAI-LEU MD</t>
  </si>
  <si>
    <t>TANG IAN DR.</t>
  </si>
  <si>
    <t>PORT WASHINGTON</t>
  </si>
  <si>
    <t>E0019016</t>
  </si>
  <si>
    <t>GOLDSTEIN JAIME A</t>
  </si>
  <si>
    <t>GOLDSTEIN JAIME</t>
  </si>
  <si>
    <t>E0043447</t>
  </si>
  <si>
    <t>GRIES JAMES ROBERT PHD</t>
  </si>
  <si>
    <t>GRIES JAMES DR.</t>
  </si>
  <si>
    <t>GRIES JAMES ROBERT</t>
  </si>
  <si>
    <t>BRKHAVN REHAB &amp; HLTH</t>
  </si>
  <si>
    <t>E0070810</t>
  </si>
  <si>
    <t>HOLT KIMBERLY J PHD</t>
  </si>
  <si>
    <t>HOLT KIMBERLY DR.</t>
  </si>
  <si>
    <t>HOLT KIMBERLY JOY</t>
  </si>
  <si>
    <t>65 ASHBURTON AVE</t>
  </si>
  <si>
    <t>3220 HENRY HUDSON PKWY</t>
  </si>
  <si>
    <t>100TH ST &amp; MADISON AVENUE</t>
  </si>
  <si>
    <t>MT SINAI HOSPITAL</t>
  </si>
  <si>
    <t>3160 21ST ST</t>
  </si>
  <si>
    <t>1 GUSTAVE L LEVY PL # 6000</t>
  </si>
  <si>
    <t>1 GUSTAVE L LEVY PL, BOX 1079</t>
  </si>
  <si>
    <t>E0230109</t>
  </si>
  <si>
    <t>COMMUNITY HEALTHCARE NETWORK</t>
  </si>
  <si>
    <t>4215 CRESCENT ST</t>
  </si>
  <si>
    <t>E0221924</t>
  </si>
  <si>
    <t>BALLAS MAYER MD            PC</t>
  </si>
  <si>
    <t>BALLAS MAYER</t>
  </si>
  <si>
    <t>11045 QUEENS BLVD</t>
  </si>
  <si>
    <t>E0203356</t>
  </si>
  <si>
    <t>BABB FRANK C               MD</t>
  </si>
  <si>
    <t>BABB FRANK DR.</t>
  </si>
  <si>
    <t>464 W 145TH ST</t>
  </si>
  <si>
    <t>E0413048</t>
  </si>
  <si>
    <t>HOPE CENTER OPERATIONS LLC</t>
  </si>
  <si>
    <t>1401 UNIVERSITY AVE</t>
  </si>
  <si>
    <t>E0155208</t>
  </si>
  <si>
    <t>GREENWICH HOUSE INC AI</t>
  </si>
  <si>
    <t>GREENWICH HOUSE INC</t>
  </si>
  <si>
    <t>GREENWICH HOUSE MMTP</t>
  </si>
  <si>
    <t>80 5TH AVE STE 501</t>
  </si>
  <si>
    <t>MORRIS RODERICK</t>
  </si>
  <si>
    <t>2488 GRAND AVE</t>
  </si>
  <si>
    <t>(917) 386-9309</t>
  </si>
  <si>
    <t>rosse@lighthouseguild.org</t>
  </si>
  <si>
    <t>103 W KINGSBRIDGE RD</t>
  </si>
  <si>
    <t>E0294813</t>
  </si>
  <si>
    <t>CAROLYN ANDREWS</t>
  </si>
  <si>
    <t>(718) 920-7092</t>
  </si>
  <si>
    <t>ANDREWS CAROLYN MS.</t>
  </si>
  <si>
    <t>ANDREWS CAROLYN</t>
  </si>
  <si>
    <t>E0285246</t>
  </si>
  <si>
    <t>THUY-TIEN LE DAM MD</t>
  </si>
  <si>
    <t>(212) 932-5432</t>
  </si>
  <si>
    <t>DAM THUY-TIEN DR.</t>
  </si>
  <si>
    <t>DAM THUY-TIEN LE  MD</t>
  </si>
  <si>
    <t>E0415261</t>
  </si>
  <si>
    <t>DELUCA GLENN WALTON</t>
  </si>
  <si>
    <t>(914) 738-1144</t>
  </si>
  <si>
    <t>DELUCA GLENN DR.</t>
  </si>
  <si>
    <t>600 HEMPSTEAD TPKE</t>
  </si>
  <si>
    <t>WEST HEMPSTEAD</t>
  </si>
  <si>
    <t>E0120844</t>
  </si>
  <si>
    <t>DEVINE JEANNE M PHD</t>
  </si>
  <si>
    <t>DEVINE JEANNE</t>
  </si>
  <si>
    <t>1745 BROADWAY FL 17</t>
  </si>
  <si>
    <t>Gary Butchen</t>
  </si>
  <si>
    <t>TURNER HARRIET</t>
  </si>
  <si>
    <t>175 REMSEN ST FL 10</t>
  </si>
  <si>
    <t>Gabriel Garcia, MD</t>
  </si>
  <si>
    <t>E0173069</t>
  </si>
  <si>
    <t>GARCIA GABRIEL MD</t>
  </si>
  <si>
    <t>(917) 645-9100</t>
  </si>
  <si>
    <t>cfurchi@sdomhome.org</t>
  </si>
  <si>
    <t>GARCIA-LARREA GABRIEL</t>
  </si>
  <si>
    <t>E0216071</t>
  </si>
  <si>
    <t>WINSTON JONATHAN ALLAN     MD</t>
  </si>
  <si>
    <t>WINSTON JONATHAN</t>
  </si>
  <si>
    <t>E0337905</t>
  </si>
  <si>
    <t>QUINDOR RHEALYNNE B</t>
  </si>
  <si>
    <t>rquindor@projectsamaritan.org</t>
  </si>
  <si>
    <t>QUINDOR RHEALYNNE MISS</t>
  </si>
  <si>
    <t>HOBSON STEVEN DR.</t>
  </si>
  <si>
    <t>6010 BAY PKWY STE 901</t>
  </si>
  <si>
    <t>E0337895</t>
  </si>
  <si>
    <t>WASHINGTON SIERRA</t>
  </si>
  <si>
    <t>WASHINGTON SIERRA DR.</t>
  </si>
  <si>
    <t>WASHINGTON SIERRA LI'EN</t>
  </si>
  <si>
    <t>E0181303</t>
  </si>
  <si>
    <t>LAUER SIMEON A MD</t>
  </si>
  <si>
    <t>LAUER SIMEON</t>
  </si>
  <si>
    <t>NORTHSIDE PLAZA</t>
  </si>
  <si>
    <t>E0256583</t>
  </si>
  <si>
    <t>EPISC MIS SOC METRO N (1966)</t>
  </si>
  <si>
    <t>mccarthye@e-s-s.org</t>
  </si>
  <si>
    <t>METRO NORTH-1966(2K)</t>
  </si>
  <si>
    <t>305 7TH AVE, 4TH FLOOR</t>
  </si>
  <si>
    <t>E0256584</t>
  </si>
  <si>
    <t>EPISC MIS SOC METRO N (1956)</t>
  </si>
  <si>
    <t>METRO (1956)2FF ICF</t>
  </si>
  <si>
    <t>Gina Lucien</t>
  </si>
  <si>
    <t>E0290894</t>
  </si>
  <si>
    <t>LUCIEN GINA NP</t>
  </si>
  <si>
    <t>Ron Molloy</t>
  </si>
  <si>
    <t>(917) 780-4950</t>
  </si>
  <si>
    <t>rmolloy@medhc.com</t>
  </si>
  <si>
    <t>LUCIEN-LISSONE GINA</t>
  </si>
  <si>
    <t>LUCIEN GINA</t>
  </si>
  <si>
    <t>656 LENOX RD</t>
  </si>
  <si>
    <t>Angela Mercedes</t>
  </si>
  <si>
    <t>E0347876</t>
  </si>
  <si>
    <t>MERCEDES ANGELA</t>
  </si>
  <si>
    <t>MERCEDES ANGELA YUDELKA</t>
  </si>
  <si>
    <t>E0343604</t>
  </si>
  <si>
    <t>DASTAIN JEAN YVES</t>
  </si>
  <si>
    <t>DASTAIN JEAN-YVES DR.</t>
  </si>
  <si>
    <t>936 WOODYCREST AVE</t>
  </si>
  <si>
    <t>E0039850</t>
  </si>
  <si>
    <t>GUIMARAES TANIA CSW</t>
  </si>
  <si>
    <t>GUIMARAES TANIA MRS.</t>
  </si>
  <si>
    <t>GUIMARAES TANIA</t>
  </si>
  <si>
    <t>1160 TELLER AVENUE</t>
  </si>
  <si>
    <t xml:space="preserve">NY </t>
  </si>
  <si>
    <t>1870 GRAND CONCOURSE</t>
  </si>
  <si>
    <t>Forest Hills</t>
  </si>
  <si>
    <t>17229 BROCHER RD</t>
  </si>
  <si>
    <t>E0369570</t>
  </si>
  <si>
    <t>TOGLIA MORGANA R</t>
  </si>
  <si>
    <t>TOGLIA MORGANA</t>
  </si>
  <si>
    <t>TOGLIA MORGANA RUTH</t>
  </si>
  <si>
    <t>PO BOX 7247</t>
  </si>
  <si>
    <t>(212) 385-3030</t>
  </si>
  <si>
    <t>info@iclinc.net</t>
  </si>
  <si>
    <t>(718) 784-2240</t>
  </si>
  <si>
    <t>E0310454</t>
  </si>
  <si>
    <t>BILENKIN LEONID</t>
  </si>
  <si>
    <t>lbilenkin@projectsamaritan.org</t>
  </si>
  <si>
    <t>Greenhope Services for Women, Inc.</t>
  </si>
  <si>
    <t>E0033734</t>
  </si>
  <si>
    <t>GREENHOPE SERVICES FOR WOMEN</t>
  </si>
  <si>
    <t>Lillian Holt</t>
  </si>
  <si>
    <t>(212) 360-4002</t>
  </si>
  <si>
    <t>lholt@greenhope.org</t>
  </si>
  <si>
    <t>GREENHOPE SERVICES FOR WOMEN, INC.</t>
  </si>
  <si>
    <t>OAS CL BASMNT FL2 FL8</t>
  </si>
  <si>
    <t>BARTON LINDSAY MS.</t>
  </si>
  <si>
    <t>SNEAD LLOYD MR.</t>
  </si>
  <si>
    <t>E0014185</t>
  </si>
  <si>
    <t>AHLUWALIA SHILPI DDS</t>
  </si>
  <si>
    <t>AHLUWALIA SHILPI DR.</t>
  </si>
  <si>
    <t>HARLEM FAC PRAC</t>
  </si>
  <si>
    <t>721 FLUSHING AVE</t>
  </si>
  <si>
    <t>LAWRENCE</t>
  </si>
  <si>
    <t>E0148072</t>
  </si>
  <si>
    <t>TRANS CARE NEW YORK INC</t>
  </si>
  <si>
    <t>TRANSCARE NEW YORK, INC.</t>
  </si>
  <si>
    <t>25 14TH ST</t>
  </si>
  <si>
    <t>19 UNION SQ W, 7TH FLOOR</t>
  </si>
  <si>
    <t>E0108024</t>
  </si>
  <si>
    <t>HUNDORFEAN GABRIELA MD</t>
  </si>
  <si>
    <t>HUNDORFEAN GABRIELA</t>
  </si>
  <si>
    <t>210 WESTCHESTER AVE</t>
  </si>
  <si>
    <t>356 W 18TH ST</t>
  </si>
  <si>
    <t>THOMPSON MICHAEL DR.</t>
  </si>
  <si>
    <t>E0028244</t>
  </si>
  <si>
    <t>TIMMIREDDY ARUNAKUMARI MD</t>
  </si>
  <si>
    <t>PENUMADU ARUNAKUMARI DR.</t>
  </si>
  <si>
    <t>PENUMADU ARUNAKUMARI</t>
  </si>
  <si>
    <t>41 E POST RD</t>
  </si>
  <si>
    <t>AABR, Inc. (ACA Member Agency)</t>
  </si>
  <si>
    <t>E0075516</t>
  </si>
  <si>
    <t>ASSOC FOR ADV BLIND &amp; RET SPV</t>
  </si>
  <si>
    <t>Mary Bosnack</t>
  </si>
  <si>
    <t>mbosnack@aabr.org</t>
  </si>
  <si>
    <t>WARNER RANDALL MR.</t>
  </si>
  <si>
    <t>18646 OXNARD ST</t>
  </si>
  <si>
    <t>TARZANA</t>
  </si>
  <si>
    <t>E0365873</t>
  </si>
  <si>
    <t>YOSSEFI LARISSA</t>
  </si>
  <si>
    <t>E0263495</t>
  </si>
  <si>
    <t>EDWIN GOULD SRV CHLDRN FOLKES</t>
  </si>
  <si>
    <t>EDWIN GOULD SERVICES FOR CHILDREN AND FAMILIESQ</t>
  </si>
  <si>
    <t>REV K FOLKES 617064</t>
  </si>
  <si>
    <t>E0383242</t>
  </si>
  <si>
    <t>KOO TIMOTHY SEBASTIAN</t>
  </si>
  <si>
    <t>KOO TIMOTHY DR.</t>
  </si>
  <si>
    <t>2300 WESTCHESTER AVE</t>
  </si>
  <si>
    <t>CHEN CHRISTINE</t>
  </si>
  <si>
    <t>E0217233</t>
  </si>
  <si>
    <t>DAMORE JOSEPH F MD</t>
  </si>
  <si>
    <t>D'AMORE JOSEPH DR.</t>
  </si>
  <si>
    <t>DAMORE JOSEPH FRANCIS  MD</t>
  </si>
  <si>
    <t>335 CENTRAL AVE</t>
  </si>
  <si>
    <t>919 49TH ST</t>
  </si>
  <si>
    <t>601 ELMWOOD AVE # 635</t>
  </si>
  <si>
    <t>1176 FIFTH AVENUE E LEVEL</t>
  </si>
  <si>
    <t>E0032180</t>
  </si>
  <si>
    <t>LOUIS-JACQUES NADJA RN</t>
  </si>
  <si>
    <t>LOUIS-JACQUES NADJA MS.</t>
  </si>
  <si>
    <t>E0291323</t>
  </si>
  <si>
    <t>MOBERG KENNETH A</t>
  </si>
  <si>
    <t>MOBERG KENNETH MR.</t>
  </si>
  <si>
    <t>MOBERG KENNETH ALLEN</t>
  </si>
  <si>
    <t>1 GUSTAVE L LEVY PL # 1070</t>
  </si>
  <si>
    <t>E0283997</t>
  </si>
  <si>
    <t>DEMMA ANTHONY</t>
  </si>
  <si>
    <t>290 MADISON AVE</t>
  </si>
  <si>
    <t>E0286254</t>
  </si>
  <si>
    <t>DIGELIO PETER</t>
  </si>
  <si>
    <t>DIGILIO PETER MR.</t>
  </si>
  <si>
    <t>2857 W 8TH ST</t>
  </si>
  <si>
    <t>E0365591</t>
  </si>
  <si>
    <t>ESCHENBACH SUZANNE KOHOUT</t>
  </si>
  <si>
    <t>ESCHENBACH SUZANNE</t>
  </si>
  <si>
    <t>FRIEDMAN DANIELLE MISS</t>
  </si>
  <si>
    <t>3044 CONEY ISLAND AVE, 3RD FLOOR</t>
  </si>
  <si>
    <t>BLANFORD-GASKIN DEBORA MRS.</t>
  </si>
  <si>
    <t>263/267 PORT RICHMOND AVE</t>
  </si>
  <si>
    <t>BAUMGARTEN MEGAN</t>
  </si>
  <si>
    <t>549 COLUMBIAN ST</t>
  </si>
  <si>
    <t>WEYMOUTH</t>
  </si>
  <si>
    <t>E0163347</t>
  </si>
  <si>
    <t>GAZZARA PAUL C MD</t>
  </si>
  <si>
    <t>GAZZARA PAUL DR.</t>
  </si>
  <si>
    <t>UNIVERSITY PHYS GRP</t>
  </si>
  <si>
    <t>HERMITT PETA GAYE MISS</t>
  </si>
  <si>
    <t>40 FLATBUSH AVENUE EXT, 8TH FLOOR</t>
  </si>
  <si>
    <t>HORLINA YEKATERINA MS.</t>
  </si>
  <si>
    <t>3044 CONEY ISLAND AVE, 3RD FL</t>
  </si>
  <si>
    <t>LABBATE CHRIS MR.</t>
  </si>
  <si>
    <t>144 MEMPHIS AVE</t>
  </si>
  <si>
    <t>MCLAUGHLIN MERILY</t>
  </si>
  <si>
    <t>500 8TH AVE RM 906</t>
  </si>
  <si>
    <t>E0355911</t>
  </si>
  <si>
    <t>MICKENS SAMUEL R</t>
  </si>
  <si>
    <t>MICKENS SAMUEL</t>
  </si>
  <si>
    <t>4271 HEMPSTEAD TRPKE</t>
  </si>
  <si>
    <t>BETHPAGE</t>
  </si>
  <si>
    <t>MILLER EVERETT MR.</t>
  </si>
  <si>
    <t>3044 CONEY ISLAND AVE</t>
  </si>
  <si>
    <t>OLSEN EDWARD MR.</t>
  </si>
  <si>
    <t>175 FULTON AVE</t>
  </si>
  <si>
    <t>OUTLAW RANDOLPH</t>
  </si>
  <si>
    <t>6110 QUEENS BLVD FL 2</t>
  </si>
  <si>
    <t>CORAM</t>
  </si>
  <si>
    <t>MONROE</t>
  </si>
  <si>
    <t>E0006930</t>
  </si>
  <si>
    <t>PYO ROBERT T</t>
  </si>
  <si>
    <t>PYO ROBERT</t>
  </si>
  <si>
    <t>PYO ROBERT T MD</t>
  </si>
  <si>
    <t>3184 GRAND CONCOURSE # 1D</t>
  </si>
  <si>
    <t>E0169539</t>
  </si>
  <si>
    <t>ASSOC REHAB CM &amp; HOUSING INC</t>
  </si>
  <si>
    <t>(212) 274-8558</t>
  </si>
  <si>
    <t>djohansson@acmhnyc.org</t>
  </si>
  <si>
    <t>THE ASSOCIATION FOR REHABILITATIVE CASE MANAGEMENT AND HOUSING</t>
  </si>
  <si>
    <t>545 8TH AVE ROOM 910</t>
  </si>
  <si>
    <t>E0114612</t>
  </si>
  <si>
    <t>MICHAEL CALLEN-AUDRE LRDE CHC</t>
  </si>
  <si>
    <t>COMMUNITY HEALTH PROJECT INC</t>
  </si>
  <si>
    <t>(212) 460-5730</t>
  </si>
  <si>
    <t>UNITED JEWISH COUNCIL HOME ATTENDANT SERVICE CORP</t>
  </si>
  <si>
    <t>500 A GRAND ST, SIDE ENTRANCE</t>
  </si>
  <si>
    <t>380 HENRY ST</t>
  </si>
  <si>
    <t>2555 NOSTRAND AVE</t>
  </si>
  <si>
    <t>719 OCEAN VIEW AVE</t>
  </si>
  <si>
    <t>E0392821</t>
  </si>
  <si>
    <t>BUTLER TONI C</t>
  </si>
  <si>
    <t>BUTLER TONI DR.</t>
  </si>
  <si>
    <t>OWENS JAMES</t>
  </si>
  <si>
    <t>E0365378</t>
  </si>
  <si>
    <t>PIOTROWSKA EVA</t>
  </si>
  <si>
    <t>1500 WATERS PL</t>
  </si>
  <si>
    <t>REHKUGLER KELLEY</t>
  </si>
  <si>
    <t>7266 BUCKLEY RD</t>
  </si>
  <si>
    <t>NORTH SYRACUSE</t>
  </si>
  <si>
    <t>ROLON GENIA</t>
  </si>
  <si>
    <t>1688 VICTORY BLVD, BASEMENT</t>
  </si>
  <si>
    <t>RYAN KATHRYN</t>
  </si>
  <si>
    <t>E0296970</t>
  </si>
  <si>
    <t>PINTO ROHIT IVOR AGNEL MD</t>
  </si>
  <si>
    <t>PINTO ROHIT</t>
  </si>
  <si>
    <t>E0071462</t>
  </si>
  <si>
    <t>REYES FRANK E MD</t>
  </si>
  <si>
    <t>REYES FRANK DR.</t>
  </si>
  <si>
    <t>515 AUDUBON AVE</t>
  </si>
  <si>
    <t>SPEARMAN JULIANNE MRS.</t>
  </si>
  <si>
    <t>4271 HEMPSTEAD TPKE</t>
  </si>
  <si>
    <t>SHAW KENNETH</t>
  </si>
  <si>
    <t>175 REMSEN ST, 10TH FLOOR</t>
  </si>
  <si>
    <t>CARUSO JOHANNA</t>
  </si>
  <si>
    <t>SPANN MELVIN</t>
  </si>
  <si>
    <t>175 REMSEN ST, SUITE 1010</t>
  </si>
  <si>
    <t>TOGAWA KOICHI</t>
  </si>
  <si>
    <t>DOWNTOWN FAM CARE</t>
  </si>
  <si>
    <t>731 WHITE PLAINS RD</t>
  </si>
  <si>
    <t>SAN ANTONIO</t>
  </si>
  <si>
    <t>TX</t>
  </si>
  <si>
    <t>E0330353</t>
  </si>
  <si>
    <t>MENTAL HEALTH ASSOCIATION OF NYC IN</t>
  </si>
  <si>
    <t>Kathryn Salisbury</t>
  </si>
  <si>
    <t>THE MENTAL HEALTH ASSOCIATION OF NEW YORK CITY, INC.</t>
  </si>
  <si>
    <t>116 E 124TH ST</t>
  </si>
  <si>
    <t>(212) 803-2850</t>
  </si>
  <si>
    <t>cjordan@harlemunited.org</t>
  </si>
  <si>
    <t>ANGELOS POPI</t>
  </si>
  <si>
    <t>6823 5TH AVE</t>
  </si>
  <si>
    <t>E0291630</t>
  </si>
  <si>
    <t>BORG LISA</t>
  </si>
  <si>
    <t>BORG LISA DR.</t>
  </si>
  <si>
    <t>9729 64TH RD FL 1</t>
  </si>
  <si>
    <t>BRELAND WILLIAM MR.</t>
  </si>
  <si>
    <t>BRYSON STACI</t>
  </si>
  <si>
    <t>BRIDGE BACK TO LIFE INC</t>
  </si>
  <si>
    <t>BUTCHEN GARY</t>
  </si>
  <si>
    <t>290 MADISON AVE, 6TH FLOOR</t>
  </si>
  <si>
    <t>CARTY MILISSA</t>
  </si>
  <si>
    <t>E0427184</t>
  </si>
  <si>
    <t>CENTOFRANCHI DANIELLE MARIE</t>
  </si>
  <si>
    <t>CENTOFRANCHI DANIELLE</t>
  </si>
  <si>
    <t>55 MAPLE AVE STE 306</t>
  </si>
  <si>
    <t>E0362427</t>
  </si>
  <si>
    <t>CENTONZA SUSAN A</t>
  </si>
  <si>
    <t>CENTOZA SUSAN</t>
  </si>
  <si>
    <t>1688 VICTORY BLVD BSMT LL</t>
  </si>
  <si>
    <t>Melba Montes</t>
  </si>
  <si>
    <t>E0319695</t>
  </si>
  <si>
    <t>MONTES MELBA LISSETTE</t>
  </si>
  <si>
    <t>MONTES-ORDONEZ MELBA MRS.</t>
  </si>
  <si>
    <t>529 BEACH 20TH ST</t>
  </si>
  <si>
    <t>Diane Pagan</t>
  </si>
  <si>
    <t>E0108323</t>
  </si>
  <si>
    <t>PAGAN DIANE ELIZABETH</t>
  </si>
  <si>
    <t>PAGAN DIANE</t>
  </si>
  <si>
    <t>HUGHES JAMES</t>
  </si>
  <si>
    <t>FELDMAN DAVID</t>
  </si>
  <si>
    <t>E0024968</t>
  </si>
  <si>
    <t>FLATTAU ANNA MD</t>
  </si>
  <si>
    <t>FLATTAU ANNA DR.</t>
  </si>
  <si>
    <t>E0118644</t>
  </si>
  <si>
    <t>FRAMM STUART R MD</t>
  </si>
  <si>
    <t>FRAMM STUART DR.</t>
  </si>
  <si>
    <t>E0020160</t>
  </si>
  <si>
    <t>GRANIERI EVELYN CARMELA MD</t>
  </si>
  <si>
    <t>GRANIERI EVELYN DR.</t>
  </si>
  <si>
    <t>E0043365</t>
  </si>
  <si>
    <t>KANAGALA MADHUSUDHANA RAO</t>
  </si>
  <si>
    <t>KANAGALA MADHUSUDHANA DR.</t>
  </si>
  <si>
    <t>4141 CARPENTER AVE</t>
  </si>
  <si>
    <t>E0058867</t>
  </si>
  <si>
    <t>PADMAVATHI MURAKONDA MD</t>
  </si>
  <si>
    <t>MURAKONDA PADMAVATHI DR.</t>
  </si>
  <si>
    <t>OUR LADY MERCY MED C</t>
  </si>
  <si>
    <t>E0097935</t>
  </si>
  <si>
    <t>MOGGIO LINDA JANE</t>
  </si>
  <si>
    <t>(718) 792-1066</t>
  </si>
  <si>
    <t>MOGGIO LINDA MS.</t>
  </si>
  <si>
    <t>2143 WILLIAMSBRIDGE RD APT A</t>
  </si>
  <si>
    <t>E0007402</t>
  </si>
  <si>
    <t>PREDRAG POPOVIC MD</t>
  </si>
  <si>
    <t>POPOVIC PREDRAG</t>
  </si>
  <si>
    <t>POPOVIC PREDRAG MD</t>
  </si>
  <si>
    <t>E0264485</t>
  </si>
  <si>
    <t>RUSSELL ROBIN O            MD</t>
  </si>
  <si>
    <t>RUSSELL ROBIN DR.</t>
  </si>
  <si>
    <t>MISERICORDIA HOSP</t>
  </si>
  <si>
    <t>E0043362</t>
  </si>
  <si>
    <t>SKOKOWSKA-LEBELT ANNA MD</t>
  </si>
  <si>
    <t>SKOKOWSKA-LEBELT ANNA DR.</t>
  </si>
  <si>
    <t>Pauline Suwandhi</t>
  </si>
  <si>
    <t>3335 Steuben Avenue</t>
  </si>
  <si>
    <t>E0285077</t>
  </si>
  <si>
    <t>THOMAS BINDHU KANJIRAVILAYIL MD</t>
  </si>
  <si>
    <t>THOMAS BINDHU</t>
  </si>
  <si>
    <t>E0316373</t>
  </si>
  <si>
    <t>TWOMEY STEPHANIE F</t>
  </si>
  <si>
    <t>TWOMEY STEPHANIE</t>
  </si>
  <si>
    <t>E0118109</t>
  </si>
  <si>
    <t>WEINTRAUB ELIZABETH C DPM</t>
  </si>
  <si>
    <t>WEINTRAUB ELIZABETH</t>
  </si>
  <si>
    <t>E0078828</t>
  </si>
  <si>
    <t>YIN XIAOSHUANG MD</t>
  </si>
  <si>
    <t>YIN XIAOSHUANG DR.</t>
  </si>
  <si>
    <t>YIN XIAOSHUANG</t>
  </si>
  <si>
    <t>E0099007</t>
  </si>
  <si>
    <t>ZELENGER SAHNDOR</t>
  </si>
  <si>
    <t>ZELENGER SHANDOR</t>
  </si>
  <si>
    <t>225 BROADWAY STE 1015</t>
  </si>
  <si>
    <t>E0179312</t>
  </si>
  <si>
    <t>HAMMER JOHN T  MD</t>
  </si>
  <si>
    <t>(845) 335-1009</t>
  </si>
  <si>
    <t>Taylor-Rhoades@atonementfriars.org</t>
  </si>
  <si>
    <t>HAMMER JOHN DR.</t>
  </si>
  <si>
    <t>STE 410</t>
  </si>
  <si>
    <t>E0135028</t>
  </si>
  <si>
    <t>ROWE TIMOTHY OWEN</t>
  </si>
  <si>
    <t>ROWE TIMOTHY DR.</t>
  </si>
  <si>
    <t>10 MCMAHON PL</t>
  </si>
  <si>
    <t>MAHOPAC</t>
  </si>
  <si>
    <t>E0298696</t>
  </si>
  <si>
    <t>KARPISZ JANET M</t>
  </si>
  <si>
    <t>KARPISZ JANET MS.</t>
  </si>
  <si>
    <t>E0068484</t>
  </si>
  <si>
    <t>WEEKS WILLIAMS DAVID</t>
  </si>
  <si>
    <t>WEEKS WILLIAM</t>
  </si>
  <si>
    <t>WEEKS WILLIAM DAVID</t>
  </si>
  <si>
    <t>E0340632</t>
  </si>
  <si>
    <t>PEARLMAN CHARLES JOSEPH</t>
  </si>
  <si>
    <t>PEARLMAN CHARLES DR.</t>
  </si>
  <si>
    <t>3632 NOSTRAND AVE</t>
  </si>
  <si>
    <t>Ann Ramcharran</t>
  </si>
  <si>
    <t>E0420775</t>
  </si>
  <si>
    <t>RAMCHARRAN ANNETA CREPAUL</t>
  </si>
  <si>
    <t>RAMCHARRAN ANNETA MRS.</t>
  </si>
  <si>
    <t>124-15 116TH AVE</t>
  </si>
  <si>
    <t>Rachel Schwartz</t>
  </si>
  <si>
    <t>E0400786</t>
  </si>
  <si>
    <t>SCHWARTZ RACHEL</t>
  </si>
  <si>
    <t>100 BARRETT RD</t>
  </si>
  <si>
    <t>E0312745</t>
  </si>
  <si>
    <t>SICILE DOMINIQUE MARGARET ACNP</t>
  </si>
  <si>
    <t>SICILE DOMINIQUE</t>
  </si>
  <si>
    <t>Anne Songco</t>
  </si>
  <si>
    <t>E0396687</t>
  </si>
  <si>
    <t>SONGCO ANNE LLAMOSO</t>
  </si>
  <si>
    <t>SONGCO ANNE MS.</t>
  </si>
  <si>
    <t>Bernadette St. Hilaire</t>
  </si>
  <si>
    <t>E0385214</t>
  </si>
  <si>
    <t>SAINT HILAIRE BERNADETTE</t>
  </si>
  <si>
    <t>SAINT HILAIRE BERNADETTE MRS.</t>
  </si>
  <si>
    <t>Wilgyms St. Hilaire</t>
  </si>
  <si>
    <t>E0331985</t>
  </si>
  <si>
    <t>ST HILAIRE WILGYMS</t>
  </si>
  <si>
    <t>ST. HILAIRE WILGYMS</t>
  </si>
  <si>
    <t>ST-HILAIRE WILGYMS</t>
  </si>
  <si>
    <t>1 PENN PLZ STE 725</t>
  </si>
  <si>
    <t>Lisa Stibitz</t>
  </si>
  <si>
    <t>E0370993</t>
  </si>
  <si>
    <t>STIBITZ LISA MARIE</t>
  </si>
  <si>
    <t>STIBITZ LISA MISS</t>
  </si>
  <si>
    <t>Jennifer Strong</t>
  </si>
  <si>
    <t>E0378363</t>
  </si>
  <si>
    <t>STRONG JENNIFER ELIZABETH</t>
  </si>
  <si>
    <t>STRONG JENNIFER</t>
  </si>
  <si>
    <t>1064 FRANKLIN AVE</t>
  </si>
  <si>
    <t>E0428194</t>
  </si>
  <si>
    <t>SULLIVAN TANYA R</t>
  </si>
  <si>
    <t>SULLIVAN TANYA</t>
  </si>
  <si>
    <t>1190 5TH AVE</t>
  </si>
  <si>
    <t>E0394919</t>
  </si>
  <si>
    <t>USZYNSKI BOGUSLAWA</t>
  </si>
  <si>
    <t>E0397941</t>
  </si>
  <si>
    <t>XU RUIMIN</t>
  </si>
  <si>
    <t>Wei Xu</t>
  </si>
  <si>
    <t>E0394236</t>
  </si>
  <si>
    <t>XU WEI HONG</t>
  </si>
  <si>
    <t>Hui-Wen Ying</t>
  </si>
  <si>
    <t>E0402471</t>
  </si>
  <si>
    <t>YING HUIWEN</t>
  </si>
  <si>
    <t>6300 8TH AVE</t>
  </si>
  <si>
    <t>Medical House Calls</t>
  </si>
  <si>
    <t>MHC PARTNERS, LLC</t>
  </si>
  <si>
    <t>420 LEXINGTON AVE, SUITE 1644</t>
  </si>
  <si>
    <t>2875 W 8TH ST</t>
  </si>
  <si>
    <t>E0310673</t>
  </si>
  <si>
    <t>ZALINYAN HEGHINE</t>
  </si>
  <si>
    <t>E0013754</t>
  </si>
  <si>
    <t>SARDAR HENRY DO</t>
  </si>
  <si>
    <t>SARDAR HENRY DR.</t>
  </si>
  <si>
    <t>2362 E 4TH ST</t>
  </si>
  <si>
    <t>E0014623</t>
  </si>
  <si>
    <t>TERRELONGE ROBERT</t>
  </si>
  <si>
    <t>TERRELONGE ROBERT MR.</t>
  </si>
  <si>
    <t>TERRELONGE ROBERT LEE</t>
  </si>
  <si>
    <t>1366 INWOOD AVE FL 1</t>
  </si>
  <si>
    <t>E0342473</t>
  </si>
  <si>
    <t>SAMAROO PARBHU DYAL</t>
  </si>
  <si>
    <t>SAMAROO PARBHU MR.</t>
  </si>
  <si>
    <t>707 THROGGS NECK EXPY</t>
  </si>
  <si>
    <t>E0347038</t>
  </si>
  <si>
    <t>WEISS ADAM J</t>
  </si>
  <si>
    <t>WEISS ADAM DR.</t>
  </si>
  <si>
    <t>1940 GRAND CONCOURSE PH</t>
  </si>
  <si>
    <t>E0007085</t>
  </si>
  <si>
    <t>ADEYINKA ADEBAYO</t>
  </si>
  <si>
    <t>ADEYINKA ADEBAYO DR.</t>
  </si>
  <si>
    <t>1650 Grand Concourse</t>
  </si>
  <si>
    <t>E0046687</t>
  </si>
  <si>
    <t>ACHALLA KIRANMAYI</t>
  </si>
  <si>
    <t>kachalla@projectsamaritan.org</t>
  </si>
  <si>
    <t>ACHALLA KIRAN</t>
  </si>
  <si>
    <t>E0098432</t>
  </si>
  <si>
    <t>HEDAYATI AHMAD</t>
  </si>
  <si>
    <t>Kathy Beccarino</t>
  </si>
  <si>
    <t>(516) 822-8700</t>
  </si>
  <si>
    <t>kbeccarino@americandental.com</t>
  </si>
  <si>
    <t>HEDAYATI AHMAD DR.</t>
  </si>
  <si>
    <t>241 W 30TH ST</t>
  </si>
  <si>
    <t>E0135100</t>
  </si>
  <si>
    <t>MATUZA ALBERT ROBERT DDS</t>
  </si>
  <si>
    <t>MATUZA ALBERT</t>
  </si>
  <si>
    <t>8710 GRAND AVE</t>
  </si>
  <si>
    <t>E0290086</t>
  </si>
  <si>
    <t>ROCK ALEXANDER</t>
  </si>
  <si>
    <t>ROCK ALEXANDER DR.</t>
  </si>
  <si>
    <t>6180 JERICHO TPKE</t>
  </si>
  <si>
    <t>Ruby Barclay</t>
  </si>
  <si>
    <t>E0379132</t>
  </si>
  <si>
    <t>BARCLAY RUBY</t>
  </si>
  <si>
    <t>BARCLAY RUBY MS.</t>
  </si>
  <si>
    <t>225 E 45TH ST FL 2</t>
  </si>
  <si>
    <t>Sharon Baoas</t>
  </si>
  <si>
    <t>E0006501</t>
  </si>
  <si>
    <t>SHARON DESALES BAOAS</t>
  </si>
  <si>
    <t>BAOAS SHARON</t>
  </si>
  <si>
    <t>BAOAS SHARON DESALES</t>
  </si>
  <si>
    <t>3050 REGENT BLVD STE 100</t>
  </si>
  <si>
    <t>IRVING</t>
  </si>
  <si>
    <t>Marie Beltran</t>
  </si>
  <si>
    <t>E0405605</t>
  </si>
  <si>
    <t>BELTRAN MARIA ZAIDA</t>
  </si>
  <si>
    <t>BELTRAN MARIA</t>
  </si>
  <si>
    <t>3411 VERNON AVE</t>
  </si>
  <si>
    <t>Alina Boshakova</t>
  </si>
  <si>
    <t>E0309633</t>
  </si>
  <si>
    <t>BOSHAKOVA ALINA</t>
  </si>
  <si>
    <t>126 CORBIN PL</t>
  </si>
  <si>
    <t>Tammie Brodie</t>
  </si>
  <si>
    <t>BRODIE TAMMIE MS.</t>
  </si>
  <si>
    <t>Cherrisse Bunch</t>
  </si>
  <si>
    <t>E0371766</t>
  </si>
  <si>
    <t>BUNCH CHERRISSE</t>
  </si>
  <si>
    <t>BUNCH CHERRISSE MS.</t>
  </si>
  <si>
    <t>Kimberly Callendar</t>
  </si>
  <si>
    <t>E0395440</t>
  </si>
  <si>
    <t>CALLENDER KIMBERLY</t>
  </si>
  <si>
    <t>CALLENDER KIMBERLY MS.</t>
  </si>
  <si>
    <t>CALLENDER KIMBERLY DIANNE</t>
  </si>
  <si>
    <t>25 E 183RD ST</t>
  </si>
  <si>
    <t>Paula Campbell</t>
  </si>
  <si>
    <t>CAMPBELL PAULA</t>
  </si>
  <si>
    <t>24001 WELLER AVE</t>
  </si>
  <si>
    <t>Michelle Chang</t>
  </si>
  <si>
    <t>CHANG MICHELLE</t>
  </si>
  <si>
    <t>79 HAMMOND LN, SUITE 2</t>
  </si>
  <si>
    <t>Kimesha Clarke</t>
  </si>
  <si>
    <t>E0372464</t>
  </si>
  <si>
    <t>CLARKE KIMESHA</t>
  </si>
  <si>
    <t>CLARKE KIMESHA MS.</t>
  </si>
  <si>
    <t>Louis DeMarco</t>
  </si>
  <si>
    <t>DEMARCO LOUIS</t>
  </si>
  <si>
    <t>E0265574</t>
  </si>
  <si>
    <t>YARED THOMAS A             MD</t>
  </si>
  <si>
    <t>YARED THOMAS</t>
  </si>
  <si>
    <t>STE 604</t>
  </si>
  <si>
    <t>E0324382</t>
  </si>
  <si>
    <t>YOUNG-GEYE STEPHANIE</t>
  </si>
  <si>
    <t>YOUNG-GEYE STEPHANIE MRS.</t>
  </si>
  <si>
    <t>2515 QUEENS PLZ N</t>
  </si>
  <si>
    <t>E0333589</t>
  </si>
  <si>
    <t>UPPER ROOM AIDS MINISTRY AADC</t>
  </si>
  <si>
    <t>UPPER ROOM AIDS MINISTRY, INC. ADULT DAY HEALTH CARE CENTER.</t>
  </si>
  <si>
    <t>123-125 W 124TH ST</t>
  </si>
  <si>
    <t>E0124369</t>
  </si>
  <si>
    <t>HARLEM UNITED COM AIDS CTR AI</t>
  </si>
  <si>
    <t>306 MALCOLM X BLVD</t>
  </si>
  <si>
    <t>LEVINE JEFFREY MARK MD</t>
  </si>
  <si>
    <t>LEVINE JEFFREY</t>
  </si>
  <si>
    <t>E0127437</t>
  </si>
  <si>
    <t>LIBURD JENNIFER D MD</t>
  </si>
  <si>
    <t>LIBURD JENNIFER MISS</t>
  </si>
  <si>
    <t>3 BARKER AVE FL 4</t>
  </si>
  <si>
    <t>E0315385</t>
  </si>
  <si>
    <t>ELIAV CHAIM B MD</t>
  </si>
  <si>
    <t>ELIAV CHAIM DR.</t>
  </si>
  <si>
    <t>E0345593</t>
  </si>
  <si>
    <t>HINOJOSA FRANZ</t>
  </si>
  <si>
    <t>HINOJOSA FRANZ DR.</t>
  </si>
  <si>
    <t>HINOJOSA FRANZ RICKY</t>
  </si>
  <si>
    <t>490 PELHAM RD</t>
  </si>
  <si>
    <t>E0001750</t>
  </si>
  <si>
    <t>IDOWU KEHINDE OLABISI</t>
  </si>
  <si>
    <t>IDOWU KEHINDE</t>
  </si>
  <si>
    <t>140 MEISNER AVE</t>
  </si>
  <si>
    <t>E0086426</t>
  </si>
  <si>
    <t>MCCULLOUGH GENE P</t>
  </si>
  <si>
    <t>MCCULLOUGH GENE MR.</t>
  </si>
  <si>
    <t>E0388689</t>
  </si>
  <si>
    <t>MERCADER CAROLINA</t>
  </si>
  <si>
    <t>MERCADER CAROLINA DR.</t>
  </si>
  <si>
    <t>E0095288</t>
  </si>
  <si>
    <t>SNYDER ANDREA MADELINE MD</t>
  </si>
  <si>
    <t>SNYDER ANDREA</t>
  </si>
  <si>
    <t>E0049084</t>
  </si>
  <si>
    <t>UMALI SOFIA</t>
  </si>
  <si>
    <t>UMALI-JHANJI SOFIA</t>
  </si>
  <si>
    <t>UMALI-JHANJI SOFIA J</t>
  </si>
  <si>
    <t>E0091999</t>
  </si>
  <si>
    <t>KOBECKIS ELIZABETH CARPIO</t>
  </si>
  <si>
    <t>CARPIO ELIZABETH</t>
  </si>
  <si>
    <t>Sevgi Ercan</t>
  </si>
  <si>
    <t>ERCAN SEVGI</t>
  </si>
  <si>
    <t>103 5TH AVE, 6TH FLOOR</t>
  </si>
  <si>
    <t>Caridad Fresneda</t>
  </si>
  <si>
    <t>E0161012</t>
  </si>
  <si>
    <t>FRESNEDA CARIDAD</t>
  </si>
  <si>
    <t>213 VALENTINE LN</t>
  </si>
  <si>
    <t>Yudelka Garcia</t>
  </si>
  <si>
    <t>E0371668</t>
  </si>
  <si>
    <t>GARCIA YUDELKA</t>
  </si>
  <si>
    <t>3448 BOSTON RD</t>
  </si>
  <si>
    <t>Vero George</t>
  </si>
  <si>
    <t>E0378420</t>
  </si>
  <si>
    <t>GEORGE VERO</t>
  </si>
  <si>
    <t>GEORGE VERO O</t>
  </si>
  <si>
    <t>Michele Hall</t>
  </si>
  <si>
    <t>E0325137</t>
  </si>
  <si>
    <t>HALL MICHELE RENEE</t>
  </si>
  <si>
    <t>HALL MICHELE MS.</t>
  </si>
  <si>
    <t>Phyllis Hogan</t>
  </si>
  <si>
    <t>HOGAN PHYLLIS</t>
  </si>
  <si>
    <t>75 BROAD ST, STE 0815</t>
  </si>
  <si>
    <t>Tina Johnson</t>
  </si>
  <si>
    <t>E0352962</t>
  </si>
  <si>
    <t>JOHNSON TINA M</t>
  </si>
  <si>
    <t>JOHNSON TINA MISS</t>
  </si>
  <si>
    <t>466 MAIN ST</t>
  </si>
  <si>
    <t>Venus Kan</t>
  </si>
  <si>
    <t>KAM VENUS</t>
  </si>
  <si>
    <t>13620 38TH AVE, 7J</t>
  </si>
  <si>
    <t>Moonwha Kang</t>
  </si>
  <si>
    <t>E0347406</t>
  </si>
  <si>
    <t>KANG MOONWHA</t>
  </si>
  <si>
    <t>Su Haeng Kim</t>
  </si>
  <si>
    <t>E0394481</t>
  </si>
  <si>
    <t>KIM SU HAENG</t>
  </si>
  <si>
    <t>1396 MYRTLE AVE</t>
  </si>
  <si>
    <t>Carline Lamour-Occean</t>
  </si>
  <si>
    <t>E0359326</t>
  </si>
  <si>
    <t>CARL LAMOUR-OCCEAN CARLINE</t>
  </si>
  <si>
    <t>LAMOUR-OCCEAN CARLINE MRS.</t>
  </si>
  <si>
    <t>LAMOUR-OCCEAN CARLINE</t>
  </si>
  <si>
    <t>Katherine Lee</t>
  </si>
  <si>
    <t>E0395485</t>
  </si>
  <si>
    <t>LEE KATHERINE</t>
  </si>
  <si>
    <t>LEE KATHERINE LIN C</t>
  </si>
  <si>
    <t>87-01 56TH AVE FL 1</t>
  </si>
  <si>
    <t>Luis Lopez</t>
  </si>
  <si>
    <t>E0334430</t>
  </si>
  <si>
    <t>LOPEZ LUIS</t>
  </si>
  <si>
    <t>19021 DORMANS RD</t>
  </si>
  <si>
    <t>E0315937</t>
  </si>
  <si>
    <t>MARTIN MICHELLE</t>
  </si>
  <si>
    <t>E0310708</t>
  </si>
  <si>
    <t>DUDEK MONA</t>
  </si>
  <si>
    <t>E0320977</t>
  </si>
  <si>
    <t>JENKINS MONIQUE</t>
  </si>
  <si>
    <t>94 MANHATTAN AVE # 98</t>
  </si>
  <si>
    <t>E0317144</t>
  </si>
  <si>
    <t>BUSSOLETTI NATALEE MARIE</t>
  </si>
  <si>
    <t>BUSSOLETTI NATALEE</t>
  </si>
  <si>
    <t>E0301525</t>
  </si>
  <si>
    <t>CHARNOW NOEMI</t>
  </si>
  <si>
    <t>CHARNOW NOEMI ANNE</t>
  </si>
  <si>
    <t>NYC</t>
  </si>
  <si>
    <t>E0286922</t>
  </si>
  <si>
    <t>AMERICAN DENTAL OFFICES PLLC</t>
  </si>
  <si>
    <t>AMERICAN DENTAL OFFICES, P.L.L.C.</t>
  </si>
  <si>
    <t>E0057425</t>
  </si>
  <si>
    <t>JOSEPH AMIN DDS</t>
  </si>
  <si>
    <t>JOSEPH AMIN</t>
  </si>
  <si>
    <t>2535 GRAND CONCOURSE</t>
  </si>
  <si>
    <t>E0200872</t>
  </si>
  <si>
    <t>KAUSHIK CHANDRA S         DDS</t>
  </si>
  <si>
    <t>KAUSHIK CHANDRA DR.</t>
  </si>
  <si>
    <t>KAUSHIK CHANDRA SHEKKAR</t>
  </si>
  <si>
    <t>802 CARMAN AVE</t>
  </si>
  <si>
    <t>E0011063</t>
  </si>
  <si>
    <t>ROUSE JEFFREY A DDS</t>
  </si>
  <si>
    <t>ROUSE JEFFREY</t>
  </si>
  <si>
    <t>E0153063</t>
  </si>
  <si>
    <t>DOW JOHN PAUL DDS</t>
  </si>
  <si>
    <t>DOW JOHN DR.</t>
  </si>
  <si>
    <t>3027 STEINWAY ST FL 2</t>
  </si>
  <si>
    <t>E0066155</t>
  </si>
  <si>
    <t>ISAACS KARLA DDS</t>
  </si>
  <si>
    <t>ISAACS KARLA DR.</t>
  </si>
  <si>
    <t>565 E 184TH ST</t>
  </si>
  <si>
    <t>E0361430</t>
  </si>
  <si>
    <t>SALAVERRY KRISTINA R</t>
  </si>
  <si>
    <t>SALAVERRY KRISTINA DR.</t>
  </si>
  <si>
    <t>E0344081</t>
  </si>
  <si>
    <t>CAMPOS MARIA M</t>
  </si>
  <si>
    <t>CAMPOS MARIA DR.</t>
  </si>
  <si>
    <t>241 WEST 30TH STREET</t>
  </si>
  <si>
    <t>E0208610</t>
  </si>
  <si>
    <t>SINGH NARINDER PAL        DDS</t>
  </si>
  <si>
    <t>SINGH NARINDER DR.</t>
  </si>
  <si>
    <t>APT 1J</t>
  </si>
  <si>
    <t>E0283263</t>
  </si>
  <si>
    <t>HIRSCHHORN PHILIP LON DDS</t>
  </si>
  <si>
    <t>HIRSCHHORN PHILIP DR.</t>
  </si>
  <si>
    <t>HIRSCHHORN PHILIP LON</t>
  </si>
  <si>
    <t>701 N BROADWAY</t>
  </si>
  <si>
    <t>Premier Home Health Care Services, Inc.</t>
  </si>
  <si>
    <t>Hope Illeceto</t>
  </si>
  <si>
    <t>(718) 237-2389</t>
  </si>
  <si>
    <t>PREMIER HOME HEALTH CARE SERVICES, INC.</t>
  </si>
  <si>
    <t>3075 VETERANS MEMORIAL HWY, SUITE 180</t>
  </si>
  <si>
    <t>Priority Home Care, Inc</t>
  </si>
  <si>
    <t>Glenn Frisbie</t>
  </si>
  <si>
    <t>(914) 467-5521</t>
  </si>
  <si>
    <t>glennf@phhc.com</t>
  </si>
  <si>
    <t>PRIORITY HOME CARE, INC.</t>
  </si>
  <si>
    <t>445 HAMILTON AVE, 10TH FLOOR</t>
  </si>
  <si>
    <t>E0178518</t>
  </si>
  <si>
    <t>PREMIER NURSING SERVICES</t>
  </si>
  <si>
    <t>PREMIER HOME HEALTH CARE SERVICES INC</t>
  </si>
  <si>
    <t>PREMIER HOME HEALTH CARE SERVICES,</t>
  </si>
  <si>
    <t>3075 VETERANS MEMORIAL HWY STE 181</t>
  </si>
  <si>
    <t>E0064687</t>
  </si>
  <si>
    <t>MILLER HANAN G MD</t>
  </si>
  <si>
    <t>MILLER HANAN DR.</t>
  </si>
  <si>
    <t>FEPARDIC NURSING HOM</t>
  </si>
  <si>
    <t>2107 DITMAS AVE</t>
  </si>
  <si>
    <t>E0208773</t>
  </si>
  <si>
    <t>SETH LALIT MOHAN           MD</t>
  </si>
  <si>
    <t>SETH LALIT</t>
  </si>
  <si>
    <t>2266 CROPSEY AVE</t>
  </si>
  <si>
    <t>E0091985</t>
  </si>
  <si>
    <t>YU CHIN HSIEN</t>
  </si>
  <si>
    <t>YU-TANG CHIN MRS.</t>
  </si>
  <si>
    <t>E0080529</t>
  </si>
  <si>
    <t>BASSO ALAN MATTHEWS PHD</t>
  </si>
  <si>
    <t>BASSO ALAN</t>
  </si>
  <si>
    <t>BASSO ALAN MATTHEWS</t>
  </si>
  <si>
    <t>E0028697</t>
  </si>
  <si>
    <t>BIRNBAUM STUART C DPM</t>
  </si>
  <si>
    <t>BIRNBAUM STUART DR.</t>
  </si>
  <si>
    <t>9 MARISA DR</t>
  </si>
  <si>
    <t>E0048230</t>
  </si>
  <si>
    <t>CARDILLO EDWARD PAUL PHD</t>
  </si>
  <si>
    <t>CARDILLO EDWARD</t>
  </si>
  <si>
    <t>SR LIFE MANGMNT PLLC</t>
  </si>
  <si>
    <t>E0189629</t>
  </si>
  <si>
    <t>COMMUNITY HLTHCARE NETWORK AI</t>
  </si>
  <si>
    <t>E0275995</t>
  </si>
  <si>
    <t>ZELLER BARBARA C MD</t>
  </si>
  <si>
    <t>bzeller@projectsamaritan.org</t>
  </si>
  <si>
    <t>ZELLER BARBARA DR.</t>
  </si>
  <si>
    <t>ZELLER BARBARA CAROL</t>
  </si>
  <si>
    <t>1401 DR MARTIN L KING JR BLVD</t>
  </si>
  <si>
    <t>E0301983</t>
  </si>
  <si>
    <t>SWAINSON RAYMOND EDWARD</t>
  </si>
  <si>
    <t>SWAINSON RAYMOND DR.</t>
  </si>
  <si>
    <t>E0323716</t>
  </si>
  <si>
    <t>KAUR SIMERJIT</t>
  </si>
  <si>
    <t>E0134700</t>
  </si>
  <si>
    <t>LEE SUR BONG DDS</t>
  </si>
  <si>
    <t>LEE SUR</t>
  </si>
  <si>
    <t>35 BROADWAY</t>
  </si>
  <si>
    <t>E0301033</t>
  </si>
  <si>
    <t>TERRILYN JAMILLE REYNOLDS</t>
  </si>
  <si>
    <t>REYNOLDS TERRILYN DR.</t>
  </si>
  <si>
    <t>REYNOLDS TERRILYN JAMILLE DDS</t>
  </si>
  <si>
    <t>3375 NEPTUNE AVE</t>
  </si>
  <si>
    <t>GREEN KELLI</t>
  </si>
  <si>
    <t>E0033369</t>
  </si>
  <si>
    <t>SINCLAIR PAULA ALMALINDA MD</t>
  </si>
  <si>
    <t>SINCLAIR PAULA DR.</t>
  </si>
  <si>
    <t>E0382652</t>
  </si>
  <si>
    <t>GONZALEZ PEDRO</t>
  </si>
  <si>
    <t>GONZALEZ-MORALES PEDRO DR.</t>
  </si>
  <si>
    <t>GONZALEZ PEDRO LUIS</t>
  </si>
  <si>
    <t>E0299123</t>
  </si>
  <si>
    <t>AMIN PRINA PANDYA</t>
  </si>
  <si>
    <t>AMIN PRINA</t>
  </si>
  <si>
    <t>525 E 68TH ST # M-6</t>
  </si>
  <si>
    <t>E0382838</t>
  </si>
  <si>
    <t>GHAEL PRIYA</t>
  </si>
  <si>
    <t>E0297335</t>
  </si>
  <si>
    <t>SUMMERS REBECCA</t>
  </si>
  <si>
    <t>SUMMERS REBECCA DR.</t>
  </si>
  <si>
    <t>SUMMERS REBECCA CHASE</t>
  </si>
  <si>
    <t>9498 MANHATTAN AVENUE</t>
  </si>
  <si>
    <t>E0026871</t>
  </si>
  <si>
    <t>TAVARES ROSANABELA MD</t>
  </si>
  <si>
    <t>TAVARES ROSA ANABELA DR.</t>
  </si>
  <si>
    <t>E0122028</t>
  </si>
  <si>
    <t>OLIVERA ROSEMARIE R CNM</t>
  </si>
  <si>
    <t>OLIVERA ROSEMARIE MS.</t>
  </si>
  <si>
    <t>60 MADISON AVE 5TH FL</t>
  </si>
  <si>
    <t>E0091982</t>
  </si>
  <si>
    <t>MOHAMMAD SAJJAD</t>
  </si>
  <si>
    <t>MOHAMMAD SAJJAD DR.</t>
  </si>
  <si>
    <t>CORNELL INTERNAL MED</t>
  </si>
  <si>
    <t>E0011295</t>
  </si>
  <si>
    <t>1875 LEXINGTON AVENUE CORP OF NEW Y</t>
  </si>
  <si>
    <t>1875 LEXINGTON AVENUE CORP OF NEW YORK</t>
  </si>
  <si>
    <t>1875 LEXINGTON AVE</t>
  </si>
  <si>
    <t>E0350236</t>
  </si>
  <si>
    <t>QUICKMED MEDICAL PC</t>
  </si>
  <si>
    <t>(646) 668-5401</t>
  </si>
  <si>
    <t>hfuentes@cureurgentcare.com</t>
  </si>
  <si>
    <t>QUICKMED MEDICAL P.C.</t>
  </si>
  <si>
    <t>241 E MAIN ST</t>
  </si>
  <si>
    <t>E0209358</t>
  </si>
  <si>
    <t>ESCHER JEFFREY ETHAN       MD</t>
  </si>
  <si>
    <t>ESCHER JEFFREY</t>
  </si>
  <si>
    <t>E0033224</t>
  </si>
  <si>
    <t>FLEISCHER-BLACK JESSICA MD</t>
  </si>
  <si>
    <t>FLEISCHER-BLACK JESSICA DR.</t>
  </si>
  <si>
    <t>E0027488</t>
  </si>
  <si>
    <t>DEFALCO MICHAEL M PHD</t>
  </si>
  <si>
    <t>DEFALCO MICHAEL DR.</t>
  </si>
  <si>
    <t>DEFALCO MICHAEL M</t>
  </si>
  <si>
    <t>87 37 PALESMO STREET</t>
  </si>
  <si>
    <t>HOLLISWOOD</t>
  </si>
  <si>
    <t>E0040287</t>
  </si>
  <si>
    <t>ROLSTON SANDRA A MD</t>
  </si>
  <si>
    <t>ROLSTON SANDRA</t>
  </si>
  <si>
    <t>BMERF</t>
  </si>
  <si>
    <t>E0367981</t>
  </si>
  <si>
    <t>GONZALEZ JOSE JR</t>
  </si>
  <si>
    <t>GONZALEZ JOSE MR.</t>
  </si>
  <si>
    <t>1364 BROADWAY # 2ND</t>
  </si>
  <si>
    <t>856 DEKALB AVE</t>
  </si>
  <si>
    <t>E0334900</t>
  </si>
  <si>
    <t>TOMA MIRELA MD</t>
  </si>
  <si>
    <t>TOMA-OPRUTA MIRELA</t>
  </si>
  <si>
    <t>TOMA-OPRUTA MIRELA ELENA</t>
  </si>
  <si>
    <t>1ST AVE AT 16TH ST FL 1</t>
  </si>
  <si>
    <t>E0115488</t>
  </si>
  <si>
    <t>ALFONSO GARCIA CESAR ALBERTO</t>
  </si>
  <si>
    <t>ALFONSO CESAR DR.</t>
  </si>
  <si>
    <t>E0221487</t>
  </si>
  <si>
    <t>JEWISH BOARD FAMILY CHILD B</t>
  </si>
  <si>
    <t>JEWISH BOARD OF FAMILY AND CHILDREN'S SERVICES, INC</t>
  </si>
  <si>
    <t>226 LINDA AVE</t>
  </si>
  <si>
    <t>E0169563</t>
  </si>
  <si>
    <t>JEWISH BOARD OF FMLY&amp;CHILD SV</t>
  </si>
  <si>
    <t>JEWISH BOARD OF FAMILY AND CHILDREN'S SERVICES INC</t>
  </si>
  <si>
    <t>55 WESTCHESTER SQ</t>
  </si>
  <si>
    <t>5050 ISELIN AVE</t>
  </si>
  <si>
    <t>E0363383</t>
  </si>
  <si>
    <t>JEWISH BOARD FAMILY CHILD A</t>
  </si>
  <si>
    <t>JEWISH BOARD OF FAMILY &amp; CHILDRENS SERVICES INC</t>
  </si>
  <si>
    <t>CLOSED 08/31/03</t>
  </si>
  <si>
    <t>David Friedman</t>
  </si>
  <si>
    <t>(718) 519-4022</t>
  </si>
  <si>
    <t>E0156343</t>
  </si>
  <si>
    <t>JEWISH BD FAM/CHILD SVCS MH</t>
  </si>
  <si>
    <t>JEWISH BOAR OF FAMILY AND CHILDREN'S SERVICES, INC.</t>
  </si>
  <si>
    <t>SCO Family of Services</t>
  </si>
  <si>
    <t>E0081357</t>
  </si>
  <si>
    <t>ST CHRISTOPHER-OTTILIE  MH</t>
  </si>
  <si>
    <t>(646) 713-4158</t>
  </si>
  <si>
    <t>SCO FAMILY OF SERVICES</t>
  </si>
  <si>
    <t>MADONNA HEIGHTS FAMILY SVC CL</t>
  </si>
  <si>
    <t>175 SEA CLIFF AVE</t>
  </si>
  <si>
    <t>E0395458</t>
  </si>
  <si>
    <t>MAGGIO JOHANNA MEDODIE</t>
  </si>
  <si>
    <t>MAGGIO JOHANNA MS.</t>
  </si>
  <si>
    <t>743 E 9TH ST # 749</t>
  </si>
  <si>
    <t>1 HOYT ST FL 7</t>
  </si>
  <si>
    <t>1894 WALTON AVE</t>
  </si>
  <si>
    <t>E0030206</t>
  </si>
  <si>
    <t>SUTTON ALLEN D NP</t>
  </si>
  <si>
    <t>SUTTON ALLEN</t>
  </si>
  <si>
    <t>520 FRANKLIN AVE</t>
  </si>
  <si>
    <t>ATHENS</t>
  </si>
  <si>
    <t>STE B</t>
  </si>
  <si>
    <t>830 WASHINGTON ST</t>
  </si>
  <si>
    <t>CANTON</t>
  </si>
  <si>
    <t>KAHN RONALD DR.</t>
  </si>
  <si>
    <t>CICERO</t>
  </si>
  <si>
    <t>(315) 425-1004</t>
  </si>
  <si>
    <t>UNITED MED ASSOC</t>
  </si>
  <si>
    <t>OXFORD</t>
  </si>
  <si>
    <t>NM</t>
  </si>
  <si>
    <t>STE 105</t>
  </si>
  <si>
    <t>CRYSTAL RUN HLTHCARE</t>
  </si>
  <si>
    <t>PITTSFORD</t>
  </si>
  <si>
    <t>736 IRVING AVE</t>
  </si>
  <si>
    <t>289 CHENANGO ST</t>
  </si>
  <si>
    <t>20 ELM ST</t>
  </si>
  <si>
    <t>FARMINGTON</t>
  </si>
  <si>
    <t>NEW MILFORD</t>
  </si>
  <si>
    <t>E0339364</t>
  </si>
  <si>
    <t>KOICKE BETSY C</t>
  </si>
  <si>
    <t>KOICKEL BETSY</t>
  </si>
  <si>
    <t>KOICKEL BETSY C</t>
  </si>
  <si>
    <t>1436 BROADWAY</t>
  </si>
  <si>
    <t>LOUISVILLE</t>
  </si>
  <si>
    <t>ST LUKES HOSP</t>
  </si>
  <si>
    <t>VERNON</t>
  </si>
  <si>
    <t>UNIVERSITY HOSP</t>
  </si>
  <si>
    <t>MAINI ATUL MD</t>
  </si>
  <si>
    <t>CHARLOTTE</t>
  </si>
  <si>
    <t>191 N MAIN ST</t>
  </si>
  <si>
    <t>WELLSVILLE</t>
  </si>
  <si>
    <t>CANANDAIGUA</t>
  </si>
  <si>
    <t>NEW HAVEN</t>
  </si>
  <si>
    <t>AURORA</t>
  </si>
  <si>
    <t>1555 LONG POND RD</t>
  </si>
  <si>
    <t>STE 303</t>
  </si>
  <si>
    <t>MIAMI</t>
  </si>
  <si>
    <t>KING RICHARD DR.</t>
  </si>
  <si>
    <t>ST LUKES HOSPITAL</t>
  </si>
  <si>
    <t>ST JOSEPHS HOSP</t>
  </si>
  <si>
    <t>COMMUNITY GEN HOSP</t>
  </si>
  <si>
    <t>LIBERTY RESOURCES PSYCHOLOGY, PHYSICAL, OCCUPATIONAL AND SPEECH THERAP</t>
  </si>
  <si>
    <t>E0319595</t>
  </si>
  <si>
    <t>LIBERTY RESOURCES PSYCHOLOGY PHYSIC</t>
  </si>
  <si>
    <t>MANSOUR AHMED</t>
  </si>
  <si>
    <t>E0369511</t>
  </si>
  <si>
    <t>MANSOUR AHMED MANSOUR</t>
  </si>
  <si>
    <t>2050 SAW MILL RIVER RD</t>
  </si>
  <si>
    <t>LEVY DAVID MD</t>
  </si>
  <si>
    <t>BRADY MICHAEL</t>
  </si>
  <si>
    <t>3050 CORLEAR AVE STE 201</t>
  </si>
  <si>
    <t>STE 701</t>
  </si>
  <si>
    <t>PHOENIX</t>
  </si>
  <si>
    <t>RI</t>
  </si>
  <si>
    <t>SUITE 607</t>
  </si>
  <si>
    <t>KANG DAVID</t>
  </si>
  <si>
    <t>55 PALMER AVE</t>
  </si>
  <si>
    <t>BRONXVILLE</t>
  </si>
  <si>
    <t>HOBOKEN</t>
  </si>
  <si>
    <t>BECKER DANIEL DR.</t>
  </si>
  <si>
    <t>ZHANG YI</t>
  </si>
  <si>
    <t>COLUMBIA</t>
  </si>
  <si>
    <t>QUINCY</t>
  </si>
  <si>
    <t>462 GRIDER ST</t>
  </si>
  <si>
    <t>BRIDGEPORT</t>
  </si>
  <si>
    <t>LANCASTER</t>
  </si>
  <si>
    <t>MOUNT LAUREL</t>
  </si>
  <si>
    <t>15 LAFAYETTE AVE</t>
  </si>
  <si>
    <t>WOLF STEVEN</t>
  </si>
  <si>
    <t>ALLENTOWN</t>
  </si>
  <si>
    <t>1090 AMSTERDAM AVE FL 17</t>
  </si>
  <si>
    <t>CLEVELAND</t>
  </si>
  <si>
    <t>ST JOSEPH HSP</t>
  </si>
  <si>
    <t>37 RESEARCH WAY</t>
  </si>
  <si>
    <t>HAHN DAVID</t>
  </si>
  <si>
    <t>TEANECK</t>
  </si>
  <si>
    <t>MILLER MICHAEL</t>
  </si>
  <si>
    <t>BATAVIA</t>
  </si>
  <si>
    <t>HARTSDALE</t>
  </si>
  <si>
    <t>FRANKLIN</t>
  </si>
  <si>
    <t>ST MARY'S HOSP</t>
  </si>
  <si>
    <t>309 UPPER FALLS BLVD</t>
  </si>
  <si>
    <t>FINKELSTEIN STEVEN DR.</t>
  </si>
  <si>
    <t>905 CULVER RD</t>
  </si>
  <si>
    <t>STE 309</t>
  </si>
  <si>
    <t>201 STATE ST</t>
  </si>
  <si>
    <t>ERIE</t>
  </si>
  <si>
    <t>GROSS ROBERT</t>
  </si>
  <si>
    <t>4295 HEMPSTEAD TPKE</t>
  </si>
  <si>
    <t>WESTFIELD</t>
  </si>
  <si>
    <t>BOYNTON BEACH</t>
  </si>
  <si>
    <t>ANESTHESIOLOGY DEPT</t>
  </si>
  <si>
    <t>ALI YOUSAF MD</t>
  </si>
  <si>
    <t>MI</t>
  </si>
  <si>
    <t>48 ROUTE 25A</t>
  </si>
  <si>
    <t>AZ</t>
  </si>
  <si>
    <t>E0309343</t>
  </si>
  <si>
    <t>YACHELEVICH NAOMI</t>
  </si>
  <si>
    <t>DENVER</t>
  </si>
  <si>
    <t>SLR PSYCH ASSOC</t>
  </si>
  <si>
    <t>STE 110</t>
  </si>
  <si>
    <t>INTERFAITH HOSPITAL</t>
  </si>
  <si>
    <t>KAUFMAN DAVID DR.</t>
  </si>
  <si>
    <t>RYAN MARK</t>
  </si>
  <si>
    <t>LEWIS RICHARD</t>
  </si>
  <si>
    <t>170 WEST 12TH STREET</t>
  </si>
  <si>
    <t>CINCINNATI</t>
  </si>
  <si>
    <t>HORMIGO ADILIA</t>
  </si>
  <si>
    <t>E0325480</t>
  </si>
  <si>
    <t>600 IVY ST STE 201</t>
  </si>
  <si>
    <t>ST FRANCIS HSP</t>
  </si>
  <si>
    <t>525 E 68TH ST # 585</t>
  </si>
  <si>
    <t>NAPLES</t>
  </si>
  <si>
    <t>SINGH SANDEEP</t>
  </si>
  <si>
    <t>SINGH SANDEEP MD</t>
  </si>
  <si>
    <t>56-45 MAIN ST</t>
  </si>
  <si>
    <t>LIVONIA</t>
  </si>
  <si>
    <t>BLOOMFIELD</t>
  </si>
  <si>
    <t>ONTARIO</t>
  </si>
  <si>
    <t>Jane Lewis</t>
  </si>
  <si>
    <t>(631) 689-8920</t>
  </si>
  <si>
    <t>jlewis@interimhealthcare.com</t>
  </si>
  <si>
    <t>BEVERLY</t>
  </si>
  <si>
    <t>LEVY DAVID DR.</t>
  </si>
  <si>
    <t>WILMINGTON</t>
  </si>
  <si>
    <t>DE</t>
  </si>
  <si>
    <t>10 CRANBERRY DR</t>
  </si>
  <si>
    <t>SINGH RAJENDRA DR.</t>
  </si>
  <si>
    <t>E0386076</t>
  </si>
  <si>
    <t>MAHMOUD MOHAMAD</t>
  </si>
  <si>
    <t>MAHMOUD MOHAMAD SOBHI</t>
  </si>
  <si>
    <t>COLUMBUS</t>
  </si>
  <si>
    <t>EVANS ANDREW</t>
  </si>
  <si>
    <t>SHLASKO EDWARD</t>
  </si>
  <si>
    <t>E0155892</t>
  </si>
  <si>
    <t>SHLASKO EDWARD MD</t>
  </si>
  <si>
    <t>Centers Health Care</t>
  </si>
  <si>
    <t>XIAO GUANG-QIAN DR.</t>
  </si>
  <si>
    <t>E0016948</t>
  </si>
  <si>
    <t>XIAO GUANG-QIAN MD</t>
  </si>
  <si>
    <t>LAKESIDE MEM HOSP</t>
  </si>
  <si>
    <t>CAPPARELLI ALICIA</t>
  </si>
  <si>
    <t>E0393289</t>
  </si>
  <si>
    <t>CAPPARELLI ALICIA K</t>
  </si>
  <si>
    <t>SNYDER BRADLEY</t>
  </si>
  <si>
    <t>ZOLLIKERSTRASSE 194</t>
  </si>
  <si>
    <t>ZURICH</t>
  </si>
  <si>
    <t>330 DELAWARE AVE</t>
  </si>
  <si>
    <t>HI</t>
  </si>
  <si>
    <t>462 GRIDER STREET</t>
  </si>
  <si>
    <t>234 EAST 149TH STREE</t>
  </si>
  <si>
    <t>GOMEZ JORGE</t>
  </si>
  <si>
    <t>JACKSON</t>
  </si>
  <si>
    <t>MS</t>
  </si>
  <si>
    <t>5201 HARRY HINES BLVD, HOUSE STAFF &amp; GME</t>
  </si>
  <si>
    <t>DALLAS</t>
  </si>
  <si>
    <t>2800 MAIN ST</t>
  </si>
  <si>
    <t>KIM EDWARD</t>
  </si>
  <si>
    <t>E0311936</t>
  </si>
  <si>
    <t>PARKEY JOE</t>
  </si>
  <si>
    <t>PARKEY JOE DR.</t>
  </si>
  <si>
    <t>PARKEY JOE ED</t>
  </si>
  <si>
    <t>MITCHELL MARGARET</t>
  </si>
  <si>
    <t>1515 HOLCOMBE BLVD</t>
  </si>
  <si>
    <t>HOUSTON</t>
  </si>
  <si>
    <t>186 LAKE SHORE DR W</t>
  </si>
  <si>
    <t>DOH CLINIC</t>
  </si>
  <si>
    <t>MOBILE</t>
  </si>
  <si>
    <t>AL</t>
  </si>
  <si>
    <t>LEE KAREN</t>
  </si>
  <si>
    <t>MARTIN WILLIAM</t>
  </si>
  <si>
    <t>11100 EUCLID AVE</t>
  </si>
  <si>
    <t>NORWALK</t>
  </si>
  <si>
    <t>GILBERT RICHARD DR.</t>
  </si>
  <si>
    <t>(845) 703-6999</t>
  </si>
  <si>
    <t>PROVIDENCE</t>
  </si>
  <si>
    <t>101 SAINT ANDREWS LN</t>
  </si>
  <si>
    <t>60 E 208TH ST</t>
  </si>
  <si>
    <t>HOLBROOK</t>
  </si>
  <si>
    <t>E0318178</t>
  </si>
  <si>
    <t>AIKAWA TARO</t>
  </si>
  <si>
    <t>AIKAWA TARO DR.</t>
  </si>
  <si>
    <t>3401 N BROAD ST</t>
  </si>
  <si>
    <t>KAPLAN RICHARD</t>
  </si>
  <si>
    <t>LA</t>
  </si>
  <si>
    <t>KHAN MOHAMMAD DR.</t>
  </si>
  <si>
    <t>E0112691</t>
  </si>
  <si>
    <t>SINHA ANIMESH A MD</t>
  </si>
  <si>
    <t>SINHA ANIMESH DR.</t>
  </si>
  <si>
    <t>425 W 59TH ST</t>
  </si>
  <si>
    <t>60 PROSPECT AVE</t>
  </si>
  <si>
    <t>WARWICK</t>
  </si>
  <si>
    <t>THOMAS DAVID</t>
  </si>
  <si>
    <t>MILWAUKEE</t>
  </si>
  <si>
    <t>WI</t>
  </si>
  <si>
    <t>ATLANTA</t>
  </si>
  <si>
    <t>GA</t>
  </si>
  <si>
    <t>Religious Organization</t>
  </si>
  <si>
    <t>SHAPIRO DAVID DR.</t>
  </si>
  <si>
    <t>ST LUKES-ROOSEVELT</t>
  </si>
  <si>
    <t>SEATTLE</t>
  </si>
  <si>
    <t>KIM EUGENE</t>
  </si>
  <si>
    <t>UT</t>
  </si>
  <si>
    <t>170 WILLIAM STREET</t>
  </si>
  <si>
    <t>ANDERSON ANN</t>
  </si>
  <si>
    <t>CHESTER</t>
  </si>
  <si>
    <t>E0170670</t>
  </si>
  <si>
    <t>MCHUGH MARLENE ELIZABETH FNP</t>
  </si>
  <si>
    <t>MCHUGH MARLENE</t>
  </si>
  <si>
    <t>MCHUGH MARLENE E</t>
  </si>
  <si>
    <t>DEP FAM MED COMM HLT</t>
  </si>
  <si>
    <t>PEEKSKILL</t>
  </si>
  <si>
    <t>160 N MIDLAND AVE</t>
  </si>
  <si>
    <t>Newburgh</t>
  </si>
  <si>
    <t>MONSEY</t>
  </si>
  <si>
    <t>STE 3A</t>
  </si>
  <si>
    <t>75 FRANCIS ST</t>
  </si>
  <si>
    <t>3230 BAINBRIDGE AVE</t>
  </si>
  <si>
    <t>MONTEFIORE HOSP</t>
  </si>
  <si>
    <t>360 E 193RD ST</t>
  </si>
  <si>
    <t>E0215493</t>
  </si>
  <si>
    <t>OWENS GEORGE FRANCIS       MD</t>
  </si>
  <si>
    <t>OWENS GEORGE</t>
  </si>
  <si>
    <t>OUR LADY MERCY HOSP</t>
  </si>
  <si>
    <t>RAHMAN RIAZ</t>
  </si>
  <si>
    <t>KIM SARAH</t>
  </si>
  <si>
    <t>1578 WILLIAMSBRIDGE RD</t>
  </si>
  <si>
    <t>WEST CARE MEDICAL PC</t>
  </si>
  <si>
    <t>E0141732</t>
  </si>
  <si>
    <t>HALBERSTAM MEYER S MD</t>
  </si>
  <si>
    <t>HALBERSTAM MEYER</t>
  </si>
  <si>
    <t>TENBROECK MEDICAL</t>
  </si>
  <si>
    <t>(631) 421-0020</t>
  </si>
  <si>
    <t>(516) 485-9881</t>
  </si>
  <si>
    <t>E0341792</t>
  </si>
  <si>
    <t>CHUKWUOCHA BENJAMIN</t>
  </si>
  <si>
    <t>CHUKWUOCHA BENJAMIN IHEANYI</t>
  </si>
  <si>
    <t>320 W 13TH ST</t>
  </si>
  <si>
    <t>30 E 40TH ST</t>
  </si>
  <si>
    <t>955 YONKERS AVE</t>
  </si>
  <si>
    <t>1 COLUMBIA ST</t>
  </si>
  <si>
    <t>E0319833</t>
  </si>
  <si>
    <t>EXTRAORDINARY HOME CARE</t>
  </si>
  <si>
    <t>E0274993</t>
  </si>
  <si>
    <t>GOLD MARJI                 MD</t>
  </si>
  <si>
    <t>GOLD MARJI</t>
  </si>
  <si>
    <t>GOLD MARJI R                MD</t>
  </si>
  <si>
    <t>WOMENS HLTH CTR</t>
  </si>
  <si>
    <t>ROBLES JUAN CARLOS</t>
  </si>
  <si>
    <t>607 SOUNDVIEW AVE</t>
  </si>
  <si>
    <t>E0003675</t>
  </si>
  <si>
    <t>GINGOLD JACK</t>
  </si>
  <si>
    <t>760 FULTON AVE</t>
  </si>
  <si>
    <t>E0324066</t>
  </si>
  <si>
    <t>DESOUZA JESSICA TAILING</t>
  </si>
  <si>
    <t>DESOUZA JESSICA DR.</t>
  </si>
  <si>
    <t>1140 EASTERN PKWY</t>
  </si>
  <si>
    <t>Blythedale Children's Hospital</t>
  </si>
  <si>
    <t>E0271665</t>
  </si>
  <si>
    <t>BLYTHEDALE CHILDRENS HOSPITAL</t>
  </si>
  <si>
    <t>(914) 831-2412</t>
  </si>
  <si>
    <t>BLYTHEDALE CHILDREN'S HOSPITAL</t>
  </si>
  <si>
    <t>BRADHURST AVE</t>
  </si>
  <si>
    <t>Lorraine Horgan</t>
  </si>
  <si>
    <t>(914) 693-6800</t>
  </si>
  <si>
    <t>Dobbs Ferry</t>
  </si>
  <si>
    <t>E0081045</t>
  </si>
  <si>
    <t>ST CABRINI NURSING HOME ADHC</t>
  </si>
  <si>
    <t>CABRINI OF WESTCHESTER DBA ST. CABRINI NURSING HOME</t>
  </si>
  <si>
    <t>115 BROADWAY</t>
  </si>
  <si>
    <t>E0213359</t>
  </si>
  <si>
    <t>CABRINI OF WESTCHESTER</t>
  </si>
  <si>
    <t>E0267743</t>
  </si>
  <si>
    <t>ST CABRINI NURSING HOME</t>
  </si>
  <si>
    <t>3117 BUHRE AVE</t>
  </si>
  <si>
    <t>E0366064</t>
  </si>
  <si>
    <t>PATEL VIRAL CHAMPAK</t>
  </si>
  <si>
    <t>PATEL VIRAL DR.</t>
  </si>
  <si>
    <t>2100 WHITE PLAINS RD</t>
  </si>
  <si>
    <t>E0182353</t>
  </si>
  <si>
    <t>SAFTCHICK STUART L MD</t>
  </si>
  <si>
    <t>SAFTCHICK STUART DR.</t>
  </si>
  <si>
    <t>324 E 30TH ST</t>
  </si>
  <si>
    <t>12 N 7TH AVE</t>
  </si>
  <si>
    <t>E0095888</t>
  </si>
  <si>
    <t>RAYNES HILLARY RUTH MD</t>
  </si>
  <si>
    <t>RAYNES HILLARY</t>
  </si>
  <si>
    <t>E0285289</t>
  </si>
  <si>
    <t>TOBIAS MICHAEL ERIC</t>
  </si>
  <si>
    <t>TOBIAS MICHAEL</t>
  </si>
  <si>
    <t>TOBIAS MICHAEL ERIC MD</t>
  </si>
  <si>
    <t>19 BRADHURST AVE STE 2800</t>
  </si>
  <si>
    <t>487 S BROADWAY</t>
  </si>
  <si>
    <t>19 BRADHURST AVE</t>
  </si>
  <si>
    <t>514 49TH ST</t>
  </si>
  <si>
    <t>707 E MAIN ST</t>
  </si>
  <si>
    <t>MORAN CARLLYNE</t>
  </si>
  <si>
    <t>100 WOODS RD, ANESTHESIA DEPARTMENT</t>
  </si>
  <si>
    <t>WEST NEW YORK</t>
  </si>
  <si>
    <t>40 ROBERT PITT DR</t>
  </si>
  <si>
    <t>1 GATEWAY PLZ FL 4</t>
  </si>
  <si>
    <t>FL 1</t>
  </si>
  <si>
    <t>E0367703</t>
  </si>
  <si>
    <t>TROTMAN ADINA L</t>
  </si>
  <si>
    <t>TROTMAN ADINA</t>
  </si>
  <si>
    <t>5 E 98TH ST # 1188</t>
  </si>
  <si>
    <t>E0163593</t>
  </si>
  <si>
    <t>FLEISCHMANN JONATHAN D MD</t>
  </si>
  <si>
    <t>FLEISCHMANN JONATHAN DR.</t>
  </si>
  <si>
    <t>745 E BOSTON POST RD</t>
  </si>
  <si>
    <t>871 PROSPECT AVE</t>
  </si>
  <si>
    <t>LICH-MPA PC PEDS</t>
  </si>
  <si>
    <t>E0111374</t>
  </si>
  <si>
    <t>GONZALEZ LETICIA MD</t>
  </si>
  <si>
    <t>GONZALEZ LETICIA MS.</t>
  </si>
  <si>
    <t>535 E 70TH ST</t>
  </si>
  <si>
    <t>BREWSTER</t>
  </si>
  <si>
    <t>600 EAST 233RD STREET</t>
  </si>
  <si>
    <t>83 MAIDEN LN FL 5</t>
  </si>
  <si>
    <t>1055 E TREMONT AVE</t>
  </si>
  <si>
    <t>MMC EMERG ROOM</t>
  </si>
  <si>
    <t>E0057553</t>
  </si>
  <si>
    <t>WEISSTUCH ZVI SAMUEL MD</t>
  </si>
  <si>
    <t>WEISSTUCH ZVI</t>
  </si>
  <si>
    <t>1 GUATAVE LEVY PL</t>
  </si>
  <si>
    <t>230 HILTON AVE</t>
  </si>
  <si>
    <t>100 WOODS RD</t>
  </si>
  <si>
    <t>KIM SOO</t>
  </si>
  <si>
    <t>111 EAST 210TH ST</t>
  </si>
  <si>
    <t>590 6TH AVE</t>
  </si>
  <si>
    <t>WANG KATHERINE</t>
  </si>
  <si>
    <t>728 N MAIN ST</t>
  </si>
  <si>
    <t>E0024851</t>
  </si>
  <si>
    <t>JAHAN MUMTAZ  MD</t>
  </si>
  <si>
    <t>JAHAN MUMTAZ</t>
  </si>
  <si>
    <t>HASTINGS ON HUDSON</t>
  </si>
  <si>
    <t>Robert Gensure</t>
  </si>
  <si>
    <t>E0311982</t>
  </si>
  <si>
    <t>GENSURE ROBERT</t>
  </si>
  <si>
    <t>GENSURE ROBERT DR.</t>
  </si>
  <si>
    <t>BIMC</t>
  </si>
  <si>
    <t>E0125773</t>
  </si>
  <si>
    <t>CRUZ MADELINE DPM</t>
  </si>
  <si>
    <t>CRUZ MADELINE DR.</t>
  </si>
  <si>
    <t>3 HEWITT ST</t>
  </si>
  <si>
    <t>1180 MORRIS PARK AVE</t>
  </si>
  <si>
    <t>E0370062</t>
  </si>
  <si>
    <t>MA PETER</t>
  </si>
  <si>
    <t>3201 KINGS HWY</t>
  </si>
  <si>
    <t>E0039673</t>
  </si>
  <si>
    <t>WEI XIAOFANG</t>
  </si>
  <si>
    <t>(914) 592-7555</t>
  </si>
  <si>
    <t>Eng@blythedale.org</t>
  </si>
  <si>
    <t>BETHEL NURSING HOME &amp; REHAB</t>
  </si>
  <si>
    <t>E0197114</t>
  </si>
  <si>
    <t>MAST JOELLE                MD</t>
  </si>
  <si>
    <t>MAST JOELLE DR.</t>
  </si>
  <si>
    <t>MAST JOELLE MD</t>
  </si>
  <si>
    <t>CLERMONT STEPHANO</t>
  </si>
  <si>
    <t>3300 GALLOWS RD</t>
  </si>
  <si>
    <t>E0011691</t>
  </si>
  <si>
    <t>LUBARR NAOMI MD</t>
  </si>
  <si>
    <t>LUBARR NAOMI</t>
  </si>
  <si>
    <t>MMC - DEPT. OF MEDICINE, 1825 EASTCHESTER ROAD</t>
  </si>
  <si>
    <t>170 MAPLE AVE</t>
  </si>
  <si>
    <t>E0117542</t>
  </si>
  <si>
    <t>KIM HEAHYUNG MD</t>
  </si>
  <si>
    <t>KIM HEAKYUNG</t>
  </si>
  <si>
    <t>KIM HEAHYUNG</t>
  </si>
  <si>
    <t>180 FORT WASHINGTON AVE STE 199</t>
  </si>
  <si>
    <t>E0052815</t>
  </si>
  <si>
    <t>BORKOW RICHARD</t>
  </si>
  <si>
    <t>BORKOW RICHARD DR.</t>
  </si>
  <si>
    <t>BORKOW RICHARD BURT</t>
  </si>
  <si>
    <t>E0145866</t>
  </si>
  <si>
    <t>J &amp; P WATSON INC</t>
  </si>
  <si>
    <t>J &amp; P WATSON, INC</t>
  </si>
  <si>
    <t>500 AIRPORT EXECUTIVE PARK # 508</t>
  </si>
  <si>
    <t>E0214120</t>
  </si>
  <si>
    <t>FATICA NUNZIA              MD</t>
  </si>
  <si>
    <t>FATICA NUNZIA</t>
  </si>
  <si>
    <t>THE NEW YORK HOSP</t>
  </si>
  <si>
    <t>E0431089</t>
  </si>
  <si>
    <t>MONTOYA MARGARET</t>
  </si>
  <si>
    <t>MONTOYA MARGARET MS.</t>
  </si>
  <si>
    <t>215 ROCKAWAY TPKE</t>
  </si>
  <si>
    <t>521 W 239TH ST</t>
  </si>
  <si>
    <t>Daniel Sullivan</t>
  </si>
  <si>
    <t>470 CLARKSON AVE</t>
  </si>
  <si>
    <t>E0308318</t>
  </si>
  <si>
    <t>CHEUNG JASON MATTHEW</t>
  </si>
  <si>
    <t>CHEUNG JASON DR.</t>
  </si>
  <si>
    <t>951 PROSPECT AVE</t>
  </si>
  <si>
    <t>ELLENVILLE</t>
  </si>
  <si>
    <t>WEST NYACK</t>
  </si>
  <si>
    <t>BELLEVILLE</t>
  </si>
  <si>
    <t>1625 POPLAR ST STE 200</t>
  </si>
  <si>
    <t>E0174994</t>
  </si>
  <si>
    <t>KREUTZER ERIC R  MD</t>
  </si>
  <si>
    <t>KREUTZER ERIC DR.</t>
  </si>
  <si>
    <t>1695 EASTCHESTER RD STE 501</t>
  </si>
  <si>
    <t>Rajeev Sindhwani</t>
  </si>
  <si>
    <t>E0117590</t>
  </si>
  <si>
    <t>SINDHWANI RAJEEV MD PLLC</t>
  </si>
  <si>
    <t>SINDHWANI RAJEEV DR.</t>
  </si>
  <si>
    <t>26 LEATHERSTOCKING LN</t>
  </si>
  <si>
    <t>E0378993</t>
  </si>
  <si>
    <t>RAMOS TIMOTHY D</t>
  </si>
  <si>
    <t>RAMOS TIMOTHY MR.</t>
  </si>
  <si>
    <t>RAMOS TIMOTHY DANIEL</t>
  </si>
  <si>
    <t>ENGLEWOOD</t>
  </si>
  <si>
    <t>315 HUDSON ST FL 2</t>
  </si>
  <si>
    <t>Regency Extended Care Center</t>
  </si>
  <si>
    <t>E0267865</t>
  </si>
  <si>
    <t>REGENCY EXTENDED CARE CENTER</t>
  </si>
  <si>
    <t>Alex Sajdak</t>
  </si>
  <si>
    <t>(914) 963-4000</t>
  </si>
  <si>
    <t>HUDSON VIEW CARE CENTER INC.</t>
  </si>
  <si>
    <t>145 W 15TH ST</t>
  </si>
  <si>
    <t>E0369441</t>
  </si>
  <si>
    <t>NAYAK MANSI MANOHAR</t>
  </si>
  <si>
    <t>NAYAK MANSI MISS</t>
  </si>
  <si>
    <t>E0308003</t>
  </si>
  <si>
    <t>MANNAM PRASHANTH</t>
  </si>
  <si>
    <t>MANNAM PRASHANTH DR.</t>
  </si>
  <si>
    <t>616 CASTLE HILL AVE</t>
  </si>
  <si>
    <t>E0377147</t>
  </si>
  <si>
    <t>LEVINE ELISHEVA</t>
  </si>
  <si>
    <t>LEVINE ELISHEVA MS.</t>
  </si>
  <si>
    <t>E0379759</t>
  </si>
  <si>
    <t>WIGGINS BLAIR P</t>
  </si>
  <si>
    <t>WIGGINS BLAIR</t>
  </si>
  <si>
    <t>311 W 35TH ST</t>
  </si>
  <si>
    <t>E0034402</t>
  </si>
  <si>
    <t>HULL KRISTEN TRACEY MD</t>
  </si>
  <si>
    <t>HULL KRISTEN</t>
  </si>
  <si>
    <t>HULL KRISTEN TRACEY</t>
  </si>
  <si>
    <t>23 ROBERT PITT DR STE 110</t>
  </si>
  <si>
    <t>909 49TH ST</t>
  </si>
  <si>
    <t>49 FOREST RD</t>
  </si>
  <si>
    <t>MSMC EMERG DEPT</t>
  </si>
  <si>
    <t>623 WARBURTON AVE</t>
  </si>
  <si>
    <t>dwaite@childrensvillage.org</t>
  </si>
  <si>
    <t>E0369601</t>
  </si>
  <si>
    <t>HUI HILLTONE</t>
  </si>
  <si>
    <t>HUI HILLTONE MR.</t>
  </si>
  <si>
    <t>BOX 3000</t>
  </si>
  <si>
    <t>THROGS NECK CARE</t>
  </si>
  <si>
    <t>FRIEDMAN BENJAMIN</t>
  </si>
  <si>
    <t>E0221914</t>
  </si>
  <si>
    <t>MUNTER RICKY SCOTT        DDS</t>
  </si>
  <si>
    <t>MUNTER RICKY DR.</t>
  </si>
  <si>
    <t>MUNTER RICKY SCOTT</t>
  </si>
  <si>
    <t>E0156611</t>
  </si>
  <si>
    <t>MURPHY MADELON DMD</t>
  </si>
  <si>
    <t>MURPHY MADELON DR.</t>
  </si>
  <si>
    <t>2042 ALBANY POST RD STE 3</t>
  </si>
  <si>
    <t>E0245917</t>
  </si>
  <si>
    <t>LECHICH ANTHONY J          MD</t>
  </si>
  <si>
    <t>LECHICH ANTHONY</t>
  </si>
  <si>
    <t>NASSAU CTY MED CNTR</t>
  </si>
  <si>
    <t>E0197224</t>
  </si>
  <si>
    <t>QUEVEDO SATURNINO C JR     MD</t>
  </si>
  <si>
    <t>QUEVEDO SATURNINO DR.</t>
  </si>
  <si>
    <t>2526 43RD ST</t>
  </si>
  <si>
    <t>18005 HILLSIDE AVE</t>
  </si>
  <si>
    <t>E0388904</t>
  </si>
  <si>
    <t>POLAN SAMUEL R</t>
  </si>
  <si>
    <t>POLAN SAMUEL DR.</t>
  </si>
  <si>
    <t>E0297945</t>
  </si>
  <si>
    <t>PAUL MARKEL</t>
  </si>
  <si>
    <t>MARKEL PAUL DR.</t>
  </si>
  <si>
    <t>MARKEL PAUL</t>
  </si>
  <si>
    <t>250 FULTON AVE STE 320</t>
  </si>
  <si>
    <t>E0065105</t>
  </si>
  <si>
    <t>ABITBOL THIERRY DDS</t>
  </si>
  <si>
    <t>ABITBOL THIERRY DR.</t>
  </si>
  <si>
    <t>E0087202</t>
  </si>
  <si>
    <t>SHERWOOD TODD FRED DDS</t>
  </si>
  <si>
    <t>SHERWOOD TODD DR.</t>
  </si>
  <si>
    <t>1659 RICHMOND AVE</t>
  </si>
  <si>
    <t>E0220049</t>
  </si>
  <si>
    <t>MORTON TITUS ARUNA         MD</t>
  </si>
  <si>
    <t>MORTON TITUS DR.</t>
  </si>
  <si>
    <t>154 W 121ST ST</t>
  </si>
  <si>
    <t>E0102578</t>
  </si>
  <si>
    <t>COLON FEDERICO ERNESTO MD</t>
  </si>
  <si>
    <t>federico.colon@gmail.com</t>
  </si>
  <si>
    <t>E0309316</t>
  </si>
  <si>
    <t>SLAFF ILANA MICHELLE</t>
  </si>
  <si>
    <t>SLAFF-GALATAN ILANA</t>
  </si>
  <si>
    <t>Bestcare, Inc.</t>
  </si>
  <si>
    <t>E0227475</t>
  </si>
  <si>
    <t>BESTCARE COMPANY</t>
  </si>
  <si>
    <t>BESTCARE, INC</t>
  </si>
  <si>
    <t>3000 HEMPSTEAD TPKE</t>
  </si>
  <si>
    <t>CL TRT DAAA</t>
  </si>
  <si>
    <t>E0262174</t>
  </si>
  <si>
    <t>WININGER MICHAEL          DDS</t>
  </si>
  <si>
    <t>WININGER MICHAEL DR.</t>
  </si>
  <si>
    <t>14 GLEN COVE RD</t>
  </si>
  <si>
    <t>ROSLYN HEIGHTS</t>
  </si>
  <si>
    <t>ALBERTSON</t>
  </si>
  <si>
    <t>85 W BURNSIDE AVE</t>
  </si>
  <si>
    <t>E0005221</t>
  </si>
  <si>
    <t>HOFFMAN MICHAEL ETHAN</t>
  </si>
  <si>
    <t>HOFFMAN MICHAEL</t>
  </si>
  <si>
    <t>HOFFMAN MICHAEL ETHAN MD</t>
  </si>
  <si>
    <t>E0357183</t>
  </si>
  <si>
    <t>MORRIS NADIA NOELLE-KRISTIE</t>
  </si>
  <si>
    <t>MORRIS NADIA</t>
  </si>
  <si>
    <t>CHESTNUT RIDGE</t>
  </si>
  <si>
    <t>E0153091</t>
  </si>
  <si>
    <t>AZIZ FAYEZ F DDS</t>
  </si>
  <si>
    <t>AZIZ FAYEZ</t>
  </si>
  <si>
    <t>386 WOOLLEY AVE</t>
  </si>
  <si>
    <t>E0107777</t>
  </si>
  <si>
    <t>MARMARA VERONICA  DDS</t>
  </si>
  <si>
    <t>MARMARA VERONICA</t>
  </si>
  <si>
    <t>E0198364</t>
  </si>
  <si>
    <t>GASKA RENEE BARBARA       DDS</t>
  </si>
  <si>
    <t>GASKA RENEE DR.</t>
  </si>
  <si>
    <t>GASKA RENEE BARBARA</t>
  </si>
  <si>
    <t>200 HAMILTON AVE</t>
  </si>
  <si>
    <t>E0352605</t>
  </si>
  <si>
    <t>HUH AHRIN</t>
  </si>
  <si>
    <t>HUH AHRIN DR.</t>
  </si>
  <si>
    <t>E0144684</t>
  </si>
  <si>
    <t>HOU DAVID CHENHAUN</t>
  </si>
  <si>
    <t>HOU DAVID DR.</t>
  </si>
  <si>
    <t>E0311587</t>
  </si>
  <si>
    <t>BEER GILA Y</t>
  </si>
  <si>
    <t>BEER GILA</t>
  </si>
  <si>
    <t>E0005201</t>
  </si>
  <si>
    <t>WIKTORZAK KONRAD RADOSLAW DDS</t>
  </si>
  <si>
    <t>WIKTORZAK KONRAD DR.</t>
  </si>
  <si>
    <t>WIKTORZAK KONRAD RADOSLAW</t>
  </si>
  <si>
    <t>2233 CATON AVE</t>
  </si>
  <si>
    <t>E0365564</t>
  </si>
  <si>
    <t>MALEK PERRI</t>
  </si>
  <si>
    <t>MALEK PERRI DR.</t>
  </si>
  <si>
    <t>1420 AVENUE P FL 2</t>
  </si>
  <si>
    <t>E0179344</t>
  </si>
  <si>
    <t>NOUR-EL-DEEN AHMED S DDS</t>
  </si>
  <si>
    <t>NOUR-EL-DEEN AHMED DR.</t>
  </si>
  <si>
    <t>24-27A STEINWAY ST</t>
  </si>
  <si>
    <t>E0303731</t>
  </si>
  <si>
    <t>HOLTZMAN ELENA MARLA DDS</t>
  </si>
  <si>
    <t>HOLTZMAN ELENA DR.</t>
  </si>
  <si>
    <t>248 BROADWAY # 250</t>
  </si>
  <si>
    <t>E0181994</t>
  </si>
  <si>
    <t>SCHUMANN MARC SETH-JON DPM</t>
  </si>
  <si>
    <t>SCHUMANN MARC</t>
  </si>
  <si>
    <t>260 W SUNRISE HWY STE 111</t>
  </si>
  <si>
    <t>257 PARK AVE S, SUITE 302</t>
  </si>
  <si>
    <t>E0200261</t>
  </si>
  <si>
    <t>MASELLI FRANK JOSEPH MD</t>
  </si>
  <si>
    <t>MASELLI FRANK DR.</t>
  </si>
  <si>
    <t>MASELLI FRANK JOSEPH</t>
  </si>
  <si>
    <t>3050 CORLEAR AVE</t>
  </si>
  <si>
    <t>Mary J. Zagajeski</t>
  </si>
  <si>
    <t>(914) 941-1710</t>
  </si>
  <si>
    <t>E0388354</t>
  </si>
  <si>
    <t>MARTIN MELISSA LEE</t>
  </si>
  <si>
    <t>MARTIN MELISSA DR.</t>
  </si>
  <si>
    <t>120 W 106TH ST</t>
  </si>
  <si>
    <t>E0026968</t>
  </si>
  <si>
    <t>ZEWDU WORKU B MD</t>
  </si>
  <si>
    <t>(718) 410-1436</t>
  </si>
  <si>
    <t>erivera@jewishhome.org</t>
  </si>
  <si>
    <t>ZEWDU WORKU</t>
  </si>
  <si>
    <t>Sol Usher</t>
  </si>
  <si>
    <t>E0275247</t>
  </si>
  <si>
    <t>USHER SOL M MD</t>
  </si>
  <si>
    <t>USHER SOL</t>
  </si>
  <si>
    <t>6 LEATHERSTOCKING LN</t>
  </si>
  <si>
    <t>E0158343</t>
  </si>
  <si>
    <t>COHEN SETH A MD</t>
  </si>
  <si>
    <t>COHEN SETH</t>
  </si>
  <si>
    <t>16TH ST 1ST AVE</t>
  </si>
  <si>
    <t>E0021198</t>
  </si>
  <si>
    <t>SANTILLI TIRZA</t>
  </si>
  <si>
    <t>Elizabeth McCarthy - Executive Director/CEO</t>
  </si>
  <si>
    <t>(914) 325-2398</t>
  </si>
  <si>
    <t>E0201608</t>
  </si>
  <si>
    <t>BARAVARIAN NEDJAT        DDS</t>
  </si>
  <si>
    <t>BARAVARIAN NEDJAT</t>
  </si>
  <si>
    <t>E0270491</t>
  </si>
  <si>
    <t>KRIGSMAN HOWARD J         DDS</t>
  </si>
  <si>
    <t>KRIGSMAN HOWARD DR.</t>
  </si>
  <si>
    <t>KRIGSMAN HOWARD J DDS</t>
  </si>
  <si>
    <t>345 E 24TH ST</t>
  </si>
  <si>
    <t>E0110816</t>
  </si>
  <si>
    <t>DIMITREY ANGELE F DDS</t>
  </si>
  <si>
    <t>DIMITREY ANGELE DR.</t>
  </si>
  <si>
    <t>E0128559</t>
  </si>
  <si>
    <t>SAPER CLIFF DAVID DDS</t>
  </si>
  <si>
    <t>SAPER CLIFFORD DR.</t>
  </si>
  <si>
    <t>1532 FLATBUSH AVE</t>
  </si>
  <si>
    <t>1 GUSTAVE L LEVY PL, BOX 1230</t>
  </si>
  <si>
    <t>Hawthorne</t>
  </si>
  <si>
    <t>(212) 913-0828</t>
  </si>
  <si>
    <t>drothman@citymd.net</t>
  </si>
  <si>
    <t>CITY MEDICAL OF UPPER EAST SIDE, PLLC</t>
  </si>
  <si>
    <t>336 E 86TH ST</t>
  </si>
  <si>
    <t>E0387521</t>
  </si>
  <si>
    <t>NAJEEB NAJLA</t>
  </si>
  <si>
    <t>NAJEEB NAJLA DR.</t>
  </si>
  <si>
    <t>180 BROADWAY</t>
  </si>
  <si>
    <t>E0250626</t>
  </si>
  <si>
    <t>BHINDA JAYASHREE          DDS</t>
  </si>
  <si>
    <t>BHINDA JAYASHREE</t>
  </si>
  <si>
    <t>8605 60TH RD APT 2D</t>
  </si>
  <si>
    <t>E0176056</t>
  </si>
  <si>
    <t>SHABTAI YERANEN DDS</t>
  </si>
  <si>
    <t>SHABTAI YERANEN</t>
  </si>
  <si>
    <t>E0366788</t>
  </si>
  <si>
    <t>KRONER DAVID</t>
  </si>
  <si>
    <t>KRONER DAVID DR.</t>
  </si>
  <si>
    <t>20 E 46TH ST RM 1300</t>
  </si>
  <si>
    <t>E0330811</t>
  </si>
  <si>
    <t>ANWAR TABINDA</t>
  </si>
  <si>
    <t>ANWAR TABINDA DR.</t>
  </si>
  <si>
    <t>2779 BATCHELDER ST</t>
  </si>
  <si>
    <t>E0331740</t>
  </si>
  <si>
    <t>ADAM ANTOINE</t>
  </si>
  <si>
    <t>ADAM ANTOINE DR.</t>
  </si>
  <si>
    <t>660 STONELEIGH AVE</t>
  </si>
  <si>
    <t>GOLDSTEIN DANIEL</t>
  </si>
  <si>
    <t>E0156106</t>
  </si>
  <si>
    <t>VILLI ROGER A MD</t>
  </si>
  <si>
    <t>VILLI ROGER DR.</t>
  </si>
  <si>
    <t>VILLI ROGER ALAN</t>
  </si>
  <si>
    <t>Valley Cottage</t>
  </si>
  <si>
    <t>1825 EASTCHESTER RD # 7NW</t>
  </si>
  <si>
    <t>(914) 375-8708</t>
  </si>
  <si>
    <t>bconway@leakeandwatts.org</t>
  </si>
  <si>
    <t>E0363583</t>
  </si>
  <si>
    <t>MOHAMED GAMAL</t>
  </si>
  <si>
    <t>NEW BRUNSWICK</t>
  </si>
  <si>
    <t>Abhirami Vivekanandarajah</t>
  </si>
  <si>
    <t>E0346627</t>
  </si>
  <si>
    <t>VIVEKANANDAR ABHIRAMI</t>
  </si>
  <si>
    <t>VIVEKANANDARAJAH ABHIRAMI DR.</t>
  </si>
  <si>
    <t>1351 ROUTE 55 STE 200</t>
  </si>
  <si>
    <t>68 HARRIS BUSHVILLE ROAD</t>
  </si>
  <si>
    <t>E0267756</t>
  </si>
  <si>
    <t>JEWISH HOME &amp; HOSP BRONX DIV</t>
  </si>
  <si>
    <t>JEWISH HOME LIFECARE HARRY AND JEANETTE WEINBERG CAMPUS BRONX</t>
  </si>
  <si>
    <t>100 W KINGSBRIDGE RD</t>
  </si>
  <si>
    <t>HOME ASSISTANCE PERSONNEL, INC.</t>
  </si>
  <si>
    <t>2545 UNIVERSITY AVE, ATTN H.A.P.I.</t>
  </si>
  <si>
    <t>Jewish Home Lifecare, Home Care</t>
  </si>
  <si>
    <t>E0378030</t>
  </si>
  <si>
    <t>JEWISH HOME LIFECARE COMMUNITY SERV</t>
  </si>
  <si>
    <t>JEWISH HOME LIFECARE COMMUNITY SERVICES</t>
  </si>
  <si>
    <t>THE NEW JEWISH HOME HOME CARE</t>
  </si>
  <si>
    <t>104 W 29TH ST FL 8</t>
  </si>
  <si>
    <t>E0267441</t>
  </si>
  <si>
    <t>JEWISH HOME &amp; HOSP FOR AGED</t>
  </si>
  <si>
    <t>THE JEWISH HOME &amp; HOSPITAL FOR AGED</t>
  </si>
  <si>
    <t>201 LYONS AVE</t>
  </si>
  <si>
    <t>Joan Clark</t>
  </si>
  <si>
    <t>GERMANTOWN</t>
  </si>
  <si>
    <t>2534 STEINWAY ST</t>
  </si>
  <si>
    <t>E0255036</t>
  </si>
  <si>
    <t>WELLINGTON LIU Y MD</t>
  </si>
  <si>
    <t>235 E 22ND ST</t>
  </si>
  <si>
    <t>348 13TH ST</t>
  </si>
  <si>
    <t>E0166209</t>
  </si>
  <si>
    <t>IBRAHIM SHERINE EDWARD DDS</t>
  </si>
  <si>
    <t>IBRAHIM SHERINE DR.</t>
  </si>
  <si>
    <t>1106 BAY ST</t>
  </si>
  <si>
    <t>MILLMAN HOWARD DR.</t>
  </si>
  <si>
    <t>E0134448</t>
  </si>
  <si>
    <t>BHAMRE SHRIKANT SURESH MD</t>
  </si>
  <si>
    <t>BHAMRE SHRIKANT</t>
  </si>
  <si>
    <t>TERENCE CARDINAL</t>
  </si>
  <si>
    <t>(631) 262-8505</t>
  </si>
  <si>
    <t>100 MANETTO HILL RD</t>
  </si>
  <si>
    <t>(631) 425-2121</t>
  </si>
  <si>
    <t>(631) 421-0598</t>
  </si>
  <si>
    <t>(631) 427-2277</t>
  </si>
  <si>
    <t>MCKENZIE EARL</t>
  </si>
  <si>
    <t>E0213059</t>
  </si>
  <si>
    <t>DEUTSCH VICKI-JO           MD</t>
  </si>
  <si>
    <t>DEUTSCH VICKI-JO</t>
  </si>
  <si>
    <t>E0090287</t>
  </si>
  <si>
    <t>ABDULLAH MEDICAL PC</t>
  </si>
  <si>
    <t>ABDULLAH MAHDI</t>
  </si>
  <si>
    <t>ABDULLAH MAHDI SALEH</t>
  </si>
  <si>
    <t>david@graysonandco.com</t>
  </si>
  <si>
    <t>311 NORTH ST</t>
  </si>
  <si>
    <t>1 WEBSTER AVE STE 202</t>
  </si>
  <si>
    <t>KELLY COLLEEN</t>
  </si>
  <si>
    <t>3251 WESTCHESTER AVE</t>
  </si>
  <si>
    <t>E0147518</t>
  </si>
  <si>
    <t>WOLF STEVEN MD</t>
  </si>
  <si>
    <t>100 North Broadway</t>
  </si>
  <si>
    <t>Irvington</t>
  </si>
  <si>
    <t>Mark Furman</t>
  </si>
  <si>
    <t>mfurman@seniorcareems.net</t>
  </si>
  <si>
    <t>ST VINCENTS HSP</t>
  </si>
  <si>
    <t>147 LAKE ST</t>
  </si>
  <si>
    <t>REDDING MADELEINE</t>
  </si>
  <si>
    <t>111 E 210TH ST, R4</t>
  </si>
  <si>
    <t>E0354979</t>
  </si>
  <si>
    <t>BELL JASON HENRY</t>
  </si>
  <si>
    <t>BELL JASON</t>
  </si>
  <si>
    <t>1111 10TH AVE</t>
  </si>
  <si>
    <t>(631) 421-3636</t>
  </si>
  <si>
    <t>(631) 474-6879</t>
  </si>
  <si>
    <t>(631) 421-4188</t>
  </si>
  <si>
    <t>(631) 271-5800</t>
  </si>
  <si>
    <t>jsdrf@aol.com</t>
  </si>
  <si>
    <t>Myron Zackman</t>
  </si>
  <si>
    <t>E0257018</t>
  </si>
  <si>
    <t>ZACKMAN MYRON KENT         MD</t>
  </si>
  <si>
    <t>ZACKMAN MYRON</t>
  </si>
  <si>
    <t>DOCS CONTIN MED GRP</t>
  </si>
  <si>
    <t>RYE BROOK</t>
  </si>
  <si>
    <t>QUEENS</t>
  </si>
  <si>
    <t>Mount Vernon</t>
  </si>
  <si>
    <t>E0135098</t>
  </si>
  <si>
    <t>OLAN ROBERT M DDS</t>
  </si>
  <si>
    <t>OLAN ROBERT DR.</t>
  </si>
  <si>
    <t>E0328423</t>
  </si>
  <si>
    <t>CHIN KENNETH ALEXANDER</t>
  </si>
  <si>
    <t>CHIN KENNETH DR.</t>
  </si>
  <si>
    <t>CHIN KENNETH ALEXANDER DDS</t>
  </si>
  <si>
    <t>1212 KINGS HWY</t>
  </si>
  <si>
    <t>E0213968</t>
  </si>
  <si>
    <t>ABRAHAM LORIS F</t>
  </si>
  <si>
    <t>ABRAHAM LORIS</t>
  </si>
  <si>
    <t>E0209488</t>
  </si>
  <si>
    <t>BAPAT GOVIND D</t>
  </si>
  <si>
    <t>BAPAT GOVIND</t>
  </si>
  <si>
    <t>98 MOORE ST</t>
  </si>
  <si>
    <t>E0132476</t>
  </si>
  <si>
    <t>VAMADEVAN NALLASIVAM MD</t>
  </si>
  <si>
    <t>NALLASIVAM VAMADEVAN DR.</t>
  </si>
  <si>
    <t>LICH NPA PC PEDS</t>
  </si>
  <si>
    <t>E0104543</t>
  </si>
  <si>
    <t>KLEIN SCOTT MICHAEL</t>
  </si>
  <si>
    <t>KLEIN SCOTT</t>
  </si>
  <si>
    <t>E0203587</t>
  </si>
  <si>
    <t>MITCHELL MILICENT A</t>
  </si>
  <si>
    <t>MITCHELL MILICENT DR.</t>
  </si>
  <si>
    <t>E0003296</t>
  </si>
  <si>
    <t>RUTH ALEJANDRO</t>
  </si>
  <si>
    <t>ALEJANDRO RUTH</t>
  </si>
  <si>
    <t>ALEJANDRO RUTH ESTHER MD</t>
  </si>
  <si>
    <t>365 ROUTE 304 STE 102</t>
  </si>
  <si>
    <t>BARDONIA</t>
  </si>
  <si>
    <t>E0021975</t>
  </si>
  <si>
    <t>DEJHALLA MANA MD</t>
  </si>
  <si>
    <t>DEJHALLA MANA MS.</t>
  </si>
  <si>
    <t>150 SUNRISE HWY</t>
  </si>
  <si>
    <t>E0079228</t>
  </si>
  <si>
    <t>ORTIZ BENJAMIN MD</t>
  </si>
  <si>
    <t>ORTIZ BENJAMIN DR.</t>
  </si>
  <si>
    <t>463 HAWTHORNE AVE</t>
  </si>
  <si>
    <t>E0061771</t>
  </si>
  <si>
    <t>BELAYNEH LULENESH MD</t>
  </si>
  <si>
    <t>BELAYNEH LULENESH</t>
  </si>
  <si>
    <t>LINDEN</t>
  </si>
  <si>
    <t>E0369597</t>
  </si>
  <si>
    <t>IDICULA SUSAMMA T</t>
  </si>
  <si>
    <t>IDICULA SUSAMMA MRS.</t>
  </si>
  <si>
    <t>E0071904</t>
  </si>
  <si>
    <t>GREENBERG LOREN SHARI MD</t>
  </si>
  <si>
    <t>GREENBERG LOREN DR.</t>
  </si>
  <si>
    <t>E0080437</t>
  </si>
  <si>
    <t>GOLDBERG DEBORAH BARON MD</t>
  </si>
  <si>
    <t>GOLDBERG DEBORAH DR.</t>
  </si>
  <si>
    <t>GOLDBERG DEBORAH BARON</t>
  </si>
  <si>
    <t>E0346712</t>
  </si>
  <si>
    <t>WONG KAITLYN LIN</t>
  </si>
  <si>
    <t>WONG KAITLYN</t>
  </si>
  <si>
    <t>E0369563</t>
  </si>
  <si>
    <t>BUDASOFF CAROLINE L</t>
  </si>
  <si>
    <t>BUDASOFF CAROLINE MISS</t>
  </si>
  <si>
    <t>E0376634</t>
  </si>
  <si>
    <t>KIM JOOHYUN</t>
  </si>
  <si>
    <t>E0348429</t>
  </si>
  <si>
    <t>CHOUDHURY SONYA R</t>
  </si>
  <si>
    <t>CHOUDHURY SONYA</t>
  </si>
  <si>
    <t>39 BROADWAY RM 200</t>
  </si>
  <si>
    <t>E0368294</t>
  </si>
  <si>
    <t>KUHN KRIS ELISABETH</t>
  </si>
  <si>
    <t>KUHN KRIS</t>
  </si>
  <si>
    <t>KINDRED CROSSINGS EAST</t>
  </si>
  <si>
    <t>NEW LONDON</t>
  </si>
  <si>
    <t>MONTEFIORE MED PK</t>
  </si>
  <si>
    <t>FEIN DANIEL</t>
  </si>
  <si>
    <t>64 ROBBINS ST</t>
  </si>
  <si>
    <t>WATERBURY</t>
  </si>
  <si>
    <t>111 AMSTERDAM AVE</t>
  </si>
  <si>
    <t>350 E 17TH ST</t>
  </si>
  <si>
    <t>111 E 210TH STREET</t>
  </si>
  <si>
    <t>Daughters of Jacob Nursing Home Company Inc.</t>
  </si>
  <si>
    <t>E0349159</t>
  </si>
  <si>
    <t>MUSAH OSMAN YAGO</t>
  </si>
  <si>
    <t>MUSAH OSMAN</t>
  </si>
  <si>
    <t>SMITH BARRY</t>
  </si>
  <si>
    <t>CHERRY HILL</t>
  </si>
  <si>
    <t>SHAH MANAN</t>
  </si>
  <si>
    <t>Berkshire Farm Center &amp; Services for Youth</t>
  </si>
  <si>
    <t>PALISADES PARK</t>
  </si>
  <si>
    <t>E0121442</t>
  </si>
  <si>
    <t>SCHOFIELD BARBARA S MD</t>
  </si>
  <si>
    <t>SCHOFIELD BARBARA</t>
  </si>
  <si>
    <t>GLEN HEAD</t>
  </si>
  <si>
    <t>1 GATEWAY PLZ</t>
  </si>
  <si>
    <t>E0142098</t>
  </si>
  <si>
    <t>TAN PATRICIA T MD</t>
  </si>
  <si>
    <t>TAN PATRICIA</t>
  </si>
  <si>
    <t>440 MERRICK TD</t>
  </si>
  <si>
    <t>E0245164</t>
  </si>
  <si>
    <t>DIDIE MARY M               MD</t>
  </si>
  <si>
    <t>DIDIE MARY</t>
  </si>
  <si>
    <t>DIDIE MARY MD</t>
  </si>
  <si>
    <t>E0333247</t>
  </si>
  <si>
    <t>BLYTHEDALE CHILDRENS HOSPITAL PHYSI</t>
  </si>
  <si>
    <t>E0087840</t>
  </si>
  <si>
    <t>SILVERMAN KATHY ANN MD</t>
  </si>
  <si>
    <t>SILVERMAN KATHY DR.</t>
  </si>
  <si>
    <t>E0248641</t>
  </si>
  <si>
    <t>NICHOLS JEFFREY N          MD</t>
  </si>
  <si>
    <t>lhorgan@cabrini-eldercare.org</t>
  </si>
  <si>
    <t>NICHOLS JEFFREY DR.</t>
  </si>
  <si>
    <t>FRANCES SCHERVIER HM</t>
  </si>
  <si>
    <t>(631) 423-0053</t>
  </si>
  <si>
    <t>antmd@optonline.net</t>
  </si>
  <si>
    <t>SEA-CREST HEALTH CARE CENTER</t>
  </si>
  <si>
    <t>E0268202</t>
  </si>
  <si>
    <t>SEA CREST HEALTH CARE CENTER</t>
  </si>
  <si>
    <t>Lawrence Daniel</t>
  </si>
  <si>
    <t>DANIEL LAWRENCE DR.</t>
  </si>
  <si>
    <t>1576 E 66TH ST</t>
  </si>
  <si>
    <t>NYACK HOSPITAL</t>
  </si>
  <si>
    <t>155 WHITE PLAINS RD STE 109</t>
  </si>
  <si>
    <t>3219 E TREMONT AVE STE A</t>
  </si>
  <si>
    <t>EDISON</t>
  </si>
  <si>
    <t>218 2ND AVE</t>
  </si>
  <si>
    <t>3400 BAINBRIDGE AVE FL 7</t>
  </si>
  <si>
    <t>E0308103</t>
  </si>
  <si>
    <t>SCHONBERG DANA</t>
  </si>
  <si>
    <t>SCHONBERG DANA DR.</t>
  </si>
  <si>
    <t>E0197183</t>
  </si>
  <si>
    <t>IBELLI VINCENT MARC        MD</t>
  </si>
  <si>
    <t>IBELLI VINCENT</t>
  </si>
  <si>
    <t>566 ROUTE 303</t>
  </si>
  <si>
    <t>E0197182</t>
  </si>
  <si>
    <t>VENTRUDO STEVEN L          MD</t>
  </si>
  <si>
    <t>VENTRUDO STEVEN</t>
  </si>
  <si>
    <t>1ST AVE @ 16TH ST</t>
  </si>
  <si>
    <t>CHANG DIANE DR.</t>
  </si>
  <si>
    <t>MSMC EMERGENCY DEPT</t>
  </si>
  <si>
    <t>707 WESTCHESTER AVE</t>
  </si>
  <si>
    <t>E0298960</t>
  </si>
  <si>
    <t>WU DING WEN</t>
  </si>
  <si>
    <t>WU DING WEN DR.</t>
  </si>
  <si>
    <t>1450 MADISON AVE BSM</t>
  </si>
  <si>
    <t>E0041640</t>
  </si>
  <si>
    <t>RUBIN SUSAN</t>
  </si>
  <si>
    <t>RUBIN SUSAN ELIZABETH</t>
  </si>
  <si>
    <t>DIAZ MARIA</t>
  </si>
  <si>
    <t>E0180875</t>
  </si>
  <si>
    <t>KRILOV MEG ALLYN MD</t>
  </si>
  <si>
    <t>KRILOV MEG</t>
  </si>
  <si>
    <t>590 AVENUE OF THE AMERICAS</t>
  </si>
  <si>
    <t>PETRILLO SABRINA</t>
  </si>
  <si>
    <t>1 GUSTAVE L LEVY PL, ANESTHESIOLOGY - BOX 1010</t>
  </si>
  <si>
    <t>12605 E 16TH AVE</t>
  </si>
  <si>
    <t>E0241404</t>
  </si>
  <si>
    <t>CHEPURU YADAGIRI           MD</t>
  </si>
  <si>
    <t>CHEPURU YADAGIRI</t>
  </si>
  <si>
    <t>STE 500A</t>
  </si>
  <si>
    <t>120 WEST 106TH STREET</t>
  </si>
  <si>
    <t>E0106855</t>
  </si>
  <si>
    <t>SCHUETTENBERG SUSAN</t>
  </si>
  <si>
    <t>SCHUETTENBERG SUSAN DR.</t>
  </si>
  <si>
    <t>ZAVERI VAIBHAV MR.</t>
  </si>
  <si>
    <t>7915 255TH ST</t>
  </si>
  <si>
    <t>Heather Cook</t>
  </si>
  <si>
    <t>E0100866</t>
  </si>
  <si>
    <t>COOK HEATHER TIFFANY MD</t>
  </si>
  <si>
    <t>COOK HEATHER</t>
  </si>
  <si>
    <t>E0273582</t>
  </si>
  <si>
    <t>SCHILLER MYLES S           MD</t>
  </si>
  <si>
    <t>SCHILLER MYLES</t>
  </si>
  <si>
    <t>SCHILLER MYLES S</t>
  </si>
  <si>
    <t># N-134</t>
  </si>
  <si>
    <t>MMC PSYCHIATRY PRACT</t>
  </si>
  <si>
    <t>20 CEDAR ST, SUITE 302</t>
  </si>
  <si>
    <t>Minesh Patel</t>
  </si>
  <si>
    <t>E0347719</t>
  </si>
  <si>
    <t>PATEL MINESH R MD</t>
  </si>
  <si>
    <t>PATEL MINESH DR.</t>
  </si>
  <si>
    <t>1 ECHO HL</t>
  </si>
  <si>
    <t>Traci Gardner</t>
  </si>
  <si>
    <t>E0077373</t>
  </si>
  <si>
    <t>GARDNER TRACI F MD</t>
  </si>
  <si>
    <t>GARDNER TRACI DR.</t>
  </si>
  <si>
    <t>35 KENSICO RD</t>
  </si>
  <si>
    <t>THORNWOOD</t>
  </si>
  <si>
    <t>(718) 220-4176</t>
  </si>
  <si>
    <t>E0352687</t>
  </si>
  <si>
    <t>LEE JANET B</t>
  </si>
  <si>
    <t>LEE JANET</t>
  </si>
  <si>
    <t>E0248750</t>
  </si>
  <si>
    <t>COHEN BEN ZANE MD</t>
  </si>
  <si>
    <t>COHEN BEN</t>
  </si>
  <si>
    <t>CREMINS PATRICIA MS.</t>
  </si>
  <si>
    <t>1910 ARTHUR AVE</t>
  </si>
  <si>
    <t>E0121090</t>
  </si>
  <si>
    <t>HERVADA TERESA MD</t>
  </si>
  <si>
    <t>thervada58@yahoo.com</t>
  </si>
  <si>
    <t>HERVADA TERESA</t>
  </si>
  <si>
    <t>3050 CORLEAR AVE # 201</t>
  </si>
  <si>
    <t>E0293584</t>
  </si>
  <si>
    <t>TANYA WILLIAMS PA</t>
  </si>
  <si>
    <t>WILLIAMS TANYA MS.</t>
  </si>
  <si>
    <t>WILLIAMS TANYA MONIQUE RPA</t>
  </si>
  <si>
    <t>E0039049</t>
  </si>
  <si>
    <t>GROVES JILL ELIZABETH MD</t>
  </si>
  <si>
    <t>GROVES JILL DR.</t>
  </si>
  <si>
    <t>GROVES JILL</t>
  </si>
  <si>
    <t>ST BARNABAS HSP</t>
  </si>
  <si>
    <t>2780 RESERVOIR AVE</t>
  </si>
  <si>
    <t>E0197999</t>
  </si>
  <si>
    <t>FRANZETTI CARL JOHN        MD</t>
  </si>
  <si>
    <t>FRANZETTI CARL DR.</t>
  </si>
  <si>
    <t>90 BUSHWICK AVE</t>
  </si>
  <si>
    <t>WASHINGTONVILLE</t>
  </si>
  <si>
    <t>E0295612</t>
  </si>
  <si>
    <t>AUBOURG ARIANE RPA</t>
  </si>
  <si>
    <t>AUBOURG ARIANE</t>
  </si>
  <si>
    <t>SHAH PARTH</t>
  </si>
  <si>
    <t>Gurjeet Dhallu</t>
  </si>
  <si>
    <t>E0016530</t>
  </si>
  <si>
    <t>DHALLU GURJEET</t>
  </si>
  <si>
    <t>DHALLU GURJEET DR.</t>
  </si>
  <si>
    <t>DHALLU GURJEET K</t>
  </si>
  <si>
    <t>1 NEPERAN RD</t>
  </si>
  <si>
    <t>Jennifer Petras</t>
  </si>
  <si>
    <t>E0015793</t>
  </si>
  <si>
    <t>PETRAS JENNIFER N MD</t>
  </si>
  <si>
    <t>PETRAS JENNIFER DR.</t>
  </si>
  <si>
    <t>Michelle Fumagalli</t>
  </si>
  <si>
    <t>E0027739</t>
  </si>
  <si>
    <t>FUMAGALLI MICHELLE D NP</t>
  </si>
  <si>
    <t>FUMAGALLI MICHELLE</t>
  </si>
  <si>
    <t>FUMAGALLI MICHELLE D</t>
  </si>
  <si>
    <t>Elizabeth Ortiz-Schwartz</t>
  </si>
  <si>
    <t>E0080851</t>
  </si>
  <si>
    <t>ORTIZ-SCHWARTZ ELIZABETH MD</t>
  </si>
  <si>
    <t>ORTIZ-SCHWARTZ ELIZABETH</t>
  </si>
  <si>
    <t>N326 BEHAVIORAL CNTR</t>
  </si>
  <si>
    <t>bbalchan@childrensvillage.org</t>
  </si>
  <si>
    <t>E0308121</t>
  </si>
  <si>
    <t>FAST NOAM</t>
  </si>
  <si>
    <t>FAST NOAM DR.</t>
  </si>
  <si>
    <t>WEISS JEFFREY</t>
  </si>
  <si>
    <t>E0347772</t>
  </si>
  <si>
    <t>LIBURA LIDIA MARIA</t>
  </si>
  <si>
    <t>LIBURA-KUS LIDIA MRS.</t>
  </si>
  <si>
    <t>E0342526</t>
  </si>
  <si>
    <t>LANDICHO HELEN R</t>
  </si>
  <si>
    <t>LANDICHO HELEN</t>
  </si>
  <si>
    <t>100 W KINGSBRIDGE RD FL 1</t>
  </si>
  <si>
    <t>E0346398</t>
  </si>
  <si>
    <t>KANDIAH KARUNADEVI</t>
  </si>
  <si>
    <t>ALBERT EINSTEIN HOSP</t>
  </si>
  <si>
    <t>E0296292</t>
  </si>
  <si>
    <t>LAN LI</t>
  </si>
  <si>
    <t>LAN LI DR.</t>
  </si>
  <si>
    <t>747 MONTAUK HWY</t>
  </si>
  <si>
    <t>FERNDALE</t>
  </si>
  <si>
    <t>6 TECHNOLOGY DR</t>
  </si>
  <si>
    <t>E0299290</t>
  </si>
  <si>
    <t>WILLOCK SHARLENE</t>
  </si>
  <si>
    <t>WILLOCK SHARLENE MRS.</t>
  </si>
  <si>
    <t>E0364844</t>
  </si>
  <si>
    <t>MILLER MARGARET MCDONALD</t>
  </si>
  <si>
    <t>MILLER MARGARET MRS.</t>
  </si>
  <si>
    <t>500 MILAN HOLLOW RD</t>
  </si>
  <si>
    <t>MONTEFIORE MEDICAL</t>
  </si>
  <si>
    <t>622 W 168TH ST PH 1-137</t>
  </si>
  <si>
    <t>E0028013</t>
  </si>
  <si>
    <t>EILAND LISA RENEE MD</t>
  </si>
  <si>
    <t>EILAND LISA</t>
  </si>
  <si>
    <t>LEE CHRISTINE</t>
  </si>
  <si>
    <t>E0336661</t>
  </si>
  <si>
    <t>WALSH ERIN KELLY</t>
  </si>
  <si>
    <t>WALSH ERIN DR.</t>
  </si>
  <si>
    <t>E0329614</t>
  </si>
  <si>
    <t>JANG JENNIFER</t>
  </si>
  <si>
    <t>121A W 20TH ST</t>
  </si>
  <si>
    <t>E0037677</t>
  </si>
  <si>
    <t>BEEK GRACE L</t>
  </si>
  <si>
    <t>BEEK GRACE</t>
  </si>
  <si>
    <t>E0360547</t>
  </si>
  <si>
    <t>KAPLAN DAVID</t>
  </si>
  <si>
    <t>E0342718</t>
  </si>
  <si>
    <t>PETKOS JENNIFER RENEE</t>
  </si>
  <si>
    <t>PETKOS JENNIFER MRS.</t>
  </si>
  <si>
    <t>E0216501</t>
  </si>
  <si>
    <t>STONE PETER LYLE           MD</t>
  </si>
  <si>
    <t>STONE PETER DR.</t>
  </si>
  <si>
    <t>BETH ISRAEL MC</t>
  </si>
  <si>
    <t>E0025356</t>
  </si>
  <si>
    <t>ZAMBENEDETTI MAURIZIO</t>
  </si>
  <si>
    <t>Robert Miller</t>
  </si>
  <si>
    <t>E0118538</t>
  </si>
  <si>
    <t>MILLER ROBERT</t>
  </si>
  <si>
    <t>MILLER ROBERT DR.</t>
  </si>
  <si>
    <t>MILLER ROBERT TALBOT</t>
  </si>
  <si>
    <t>304 W 75TH ST</t>
  </si>
  <si>
    <t>3424 KOSSUTH AVE</t>
  </si>
  <si>
    <t>2735 HENRY HUDSON PKWY</t>
  </si>
  <si>
    <t>JMC</t>
  </si>
  <si>
    <t>PURCHASE</t>
  </si>
  <si>
    <t>E0121144</t>
  </si>
  <si>
    <t>BONOAN JOSE TADEO M MD</t>
  </si>
  <si>
    <t>BONOAN JOSE MR.</t>
  </si>
  <si>
    <t>COMMUNITY HSP</t>
  </si>
  <si>
    <t>ARDEN HILL HOSP</t>
  </si>
  <si>
    <t>75 CRYSTAL RUN RD STE 202</t>
  </si>
  <si>
    <t>E0392930</t>
  </si>
  <si>
    <t>SAHANSRA SUKHMINDER KAUR</t>
  </si>
  <si>
    <t>SAHANSRA SUKHMINDER DR.</t>
  </si>
  <si>
    <t>E0331907</t>
  </si>
  <si>
    <t>SPINNER RUTH M</t>
  </si>
  <si>
    <t>SPINNER RUTH DR.</t>
  </si>
  <si>
    <t>E0369593</t>
  </si>
  <si>
    <t>MATHEW SHINY M</t>
  </si>
  <si>
    <t>MATHEW SHINY MS.</t>
  </si>
  <si>
    <t>E0102225</t>
  </si>
  <si>
    <t>KHATUN MAHBUBA</t>
  </si>
  <si>
    <t>KHATUN MAHBUBA DR.</t>
  </si>
  <si>
    <t>E0001323</t>
  </si>
  <si>
    <t>GABRIELA ROSAS-GARCIA</t>
  </si>
  <si>
    <t>ROSAS-GARCIA GABRIELA DR.</t>
  </si>
  <si>
    <t>ROSAS-GARCIA GABRIELA MD</t>
  </si>
  <si>
    <t>581 W 161 ST AT BROADWAY</t>
  </si>
  <si>
    <t>E0399510</t>
  </si>
  <si>
    <t>SEERIRAM-SAINE SAVITA</t>
  </si>
  <si>
    <t>SEERIRAM-SAINE SAVITA MRS.</t>
  </si>
  <si>
    <t>E0363410</t>
  </si>
  <si>
    <t>ELLIOT IDA K</t>
  </si>
  <si>
    <t>ELLIOTT IDA</t>
  </si>
  <si>
    <t>E0088985</t>
  </si>
  <si>
    <t>XU BRYANT ZHI XIN</t>
  </si>
  <si>
    <t>XU BRYANT</t>
  </si>
  <si>
    <t>E0369568</t>
  </si>
  <si>
    <t>DAHAN CHANA</t>
  </si>
  <si>
    <t>E0312146</t>
  </si>
  <si>
    <t>HUMPHREY SHERRY LOUISE MD</t>
  </si>
  <si>
    <t>HUMPHREY SHERRY DR.</t>
  </si>
  <si>
    <t>HUMPHREY SHERRY LOUISE</t>
  </si>
  <si>
    <t>E0366460</t>
  </si>
  <si>
    <t>THUKHA HENRY S</t>
  </si>
  <si>
    <t>THUKHA HENRY</t>
  </si>
  <si>
    <t>THUKHA HENRY SOE</t>
  </si>
  <si>
    <t>E0397007</t>
  </si>
  <si>
    <t>NG KA CHUN</t>
  </si>
  <si>
    <t>NG KA CHUN MR.</t>
  </si>
  <si>
    <t>270 PARK AVE</t>
  </si>
  <si>
    <t>JONES MICHAEL DR.</t>
  </si>
  <si>
    <t>PARSIPPANY</t>
  </si>
  <si>
    <t>E0060939</t>
  </si>
  <si>
    <t>COLODNY NIKKI MD</t>
  </si>
  <si>
    <t>COLODNY NIKKI</t>
  </si>
  <si>
    <t>188 MONTAGUE ST</t>
  </si>
  <si>
    <t>E0296207</t>
  </si>
  <si>
    <t>MILLER SARAH</t>
  </si>
  <si>
    <t>MILLER SARAH DR.</t>
  </si>
  <si>
    <t>MILLER SARAH BOZOGAN</t>
  </si>
  <si>
    <t>MT SINAI HSP QUEENS</t>
  </si>
  <si>
    <t>E0052297</t>
  </si>
  <si>
    <t>ISAACSON ERNEST LOUIS DPM</t>
  </si>
  <si>
    <t>ISAACSON ERNEST DR.</t>
  </si>
  <si>
    <t>ISAACSON ERNEST L</t>
  </si>
  <si>
    <t>30 PARK AVE</t>
  </si>
  <si>
    <t>MORRISTOWN</t>
  </si>
  <si>
    <t>185 PALISADE AVE</t>
  </si>
  <si>
    <t>E0152559</t>
  </si>
  <si>
    <t>MAISEL LOUIS M MD</t>
  </si>
  <si>
    <t>MAISEL LOUIS DR.</t>
  </si>
  <si>
    <t>MAISEL LOUIS M</t>
  </si>
  <si>
    <t>23 DAVIS AVE</t>
  </si>
  <si>
    <t>ER DEPT</t>
  </si>
  <si>
    <t>E0327107</t>
  </si>
  <si>
    <t>PINZON ROBIN RAMOS</t>
  </si>
  <si>
    <t>PINZON ROBIN DR.</t>
  </si>
  <si>
    <t>KLEIN SUSAN DR.</t>
  </si>
  <si>
    <t>E0303398</t>
  </si>
  <si>
    <t>KOGAN-LIBERMAN DEBORA L</t>
  </si>
  <si>
    <t>KOGAN-LIBERMAN DEBORA DR.</t>
  </si>
  <si>
    <t>KOGAN-LIBERMAN DEBORA</t>
  </si>
  <si>
    <t>E0124689</t>
  </si>
  <si>
    <t>SEITZ DAVID ELLIOT MD</t>
  </si>
  <si>
    <t>SEITZ DAVID DR.</t>
  </si>
  <si>
    <t>4 W 16TH ST</t>
  </si>
  <si>
    <t>5 E 98TH ST FL 12</t>
  </si>
  <si>
    <t>Nadja Louis-Jaque</t>
  </si>
  <si>
    <t>65 BROADWAY STE 505</t>
  </si>
  <si>
    <t>E0364477</t>
  </si>
  <si>
    <t>SHVETS YELENA</t>
  </si>
  <si>
    <t>159-05 UNION TPKE</t>
  </si>
  <si>
    <t>E0347288</t>
  </si>
  <si>
    <t>CONEN AMY</t>
  </si>
  <si>
    <t>COHEN AMY MS.</t>
  </si>
  <si>
    <t>COHEN AMY</t>
  </si>
  <si>
    <t>220 VETERANS HWY</t>
  </si>
  <si>
    <t>HAUPPAUGE</t>
  </si>
  <si>
    <t>E0371625</t>
  </si>
  <si>
    <t>ARENAS CHONA BALAUAG</t>
  </si>
  <si>
    <t>ARENAS CHONA</t>
  </si>
  <si>
    <t>E0014622</t>
  </si>
  <si>
    <t>FIORELLO JANINE</t>
  </si>
  <si>
    <t>E0014625</t>
  </si>
  <si>
    <t>TWOHIG EVELYN</t>
  </si>
  <si>
    <t>TWOHIG EVELYN MS.</t>
  </si>
  <si>
    <t>TWOHIG EVELYN DEZA</t>
  </si>
  <si>
    <t>E0129557</t>
  </si>
  <si>
    <t>SELZER JONATHAN DAVID I MD</t>
  </si>
  <si>
    <t>SELZER JONATHAN</t>
  </si>
  <si>
    <t>E0081047</t>
  </si>
  <si>
    <t>SHAFIZADEH FARSHAD MD</t>
  </si>
  <si>
    <t>SHAFIZADEH FARSHAD DR.</t>
  </si>
  <si>
    <t>232 E 12TH ST APT 1G</t>
  </si>
  <si>
    <t>1ST AVE AT 16TH ST</t>
  </si>
  <si>
    <t>200 MONTAGUE ST</t>
  </si>
  <si>
    <t>E0090977</t>
  </si>
  <si>
    <t>AGARD-HENRIQUES BERNADETTE N</t>
  </si>
  <si>
    <t>AGARD-HENRIQUES BERNADETTE</t>
  </si>
  <si>
    <t>SPLIT ROCK NH</t>
  </si>
  <si>
    <t>206 ROUTE 303</t>
  </si>
  <si>
    <t>E0179375</t>
  </si>
  <si>
    <t>PATRICK SHARON LYNNE MD</t>
  </si>
  <si>
    <t>PATRICK SHARON</t>
  </si>
  <si>
    <t>SHERMAN DEBORAH</t>
  </si>
  <si>
    <t>RIVERA VICTORIA</t>
  </si>
  <si>
    <t>E0313465</t>
  </si>
  <si>
    <t>MUSE JESSICA MD</t>
  </si>
  <si>
    <t>MUSE JESSICA DR.</t>
  </si>
  <si>
    <t>ELISCA SHERRYLEEN</t>
  </si>
  <si>
    <t>5 E 98TH ST, BOX 1191</t>
  </si>
  <si>
    <t>E0041240</t>
  </si>
  <si>
    <t>AGARWAL REENA MD</t>
  </si>
  <si>
    <t>AGARWAL REENA DR.</t>
  </si>
  <si>
    <t>140 HAMMOND ST</t>
  </si>
  <si>
    <t>E0066774</t>
  </si>
  <si>
    <t>RYNTZ TIMOTHY E MD</t>
  </si>
  <si>
    <t>RYNTZ TIMOTHY DR.</t>
  </si>
  <si>
    <t>E0334463</t>
  </si>
  <si>
    <t>KASHYAP YOGITA</t>
  </si>
  <si>
    <t>KASHYAP YOGITA DR.</t>
  </si>
  <si>
    <t>E0210320</t>
  </si>
  <si>
    <t>REYES-ARCANGEL FE T</t>
  </si>
  <si>
    <t>REYES-ARCANGEL FE DR.</t>
  </si>
  <si>
    <t>260 E 188TH ST</t>
  </si>
  <si>
    <t>CPMC PHYS BILLING</t>
  </si>
  <si>
    <t>E0146776</t>
  </si>
  <si>
    <t>ESSIEN RALPH B MD</t>
  </si>
  <si>
    <t>ESSIEN RALPH DR.</t>
  </si>
  <si>
    <t>69 MELROSE DR</t>
  </si>
  <si>
    <t>55 E 86TH ST</t>
  </si>
  <si>
    <t>E0157558</t>
  </si>
  <si>
    <t>DEVONS CATHRYN A MD</t>
  </si>
  <si>
    <t>DEVONS CATHRYN DR.</t>
  </si>
  <si>
    <t>DEVONS CATHRYN ANN JULIE</t>
  </si>
  <si>
    <t>107 S BROADWAY</t>
  </si>
  <si>
    <t>258 HIGH AVE</t>
  </si>
  <si>
    <t>E0309526</t>
  </si>
  <si>
    <t>ALI ALEEM A</t>
  </si>
  <si>
    <t>ALI ALEEM DR.</t>
  </si>
  <si>
    <t>E0312254</t>
  </si>
  <si>
    <t>MARTINY VANESSA LORENA</t>
  </si>
  <si>
    <t>Carole Sgaglione</t>
  </si>
  <si>
    <t>csgaglione@regencyecc.com</t>
  </si>
  <si>
    <t>MARTINY VANESSA</t>
  </si>
  <si>
    <t>SAYEGH PETER DR.</t>
  </si>
  <si>
    <t>970 N BROADWAY, SUITE 309</t>
  </si>
  <si>
    <t>HORTON MEM HOSP</t>
  </si>
  <si>
    <t>75 SEMINARY HILL RD</t>
  </si>
  <si>
    <t>E0020024</t>
  </si>
  <si>
    <t>CUARTAS MARIA P RPA</t>
  </si>
  <si>
    <t>CUARTAS MARIA MISS</t>
  </si>
  <si>
    <t>E0217532</t>
  </si>
  <si>
    <t>SAENGER PAUL H MD</t>
  </si>
  <si>
    <t>SAENGER PAUL</t>
  </si>
  <si>
    <t>AR</t>
  </si>
  <si>
    <t>300 GRANT AVE</t>
  </si>
  <si>
    <t>WANG JOHN DR.</t>
  </si>
  <si>
    <t>222 ROUTE 59</t>
  </si>
  <si>
    <t>E0287342</t>
  </si>
  <si>
    <t>SINHA NANDITA</t>
  </si>
  <si>
    <t>18219 HORACE HARDING EXPY</t>
  </si>
  <si>
    <t>Anthony Ezeagbor</t>
  </si>
  <si>
    <t>E0015508</t>
  </si>
  <si>
    <t>EZEAGBOR ANTHONY</t>
  </si>
  <si>
    <t>EZAGBOR ANTHONY DR.</t>
  </si>
  <si>
    <t>EZEAGBOR ANTHONY MD</t>
  </si>
  <si>
    <t>E0012569</t>
  </si>
  <si>
    <t>SMITH PAULINE JOY</t>
  </si>
  <si>
    <t>SMITH PAULINE MS.</t>
  </si>
  <si>
    <t>DEPT OF PSYCH</t>
  </si>
  <si>
    <t>KINGSBROOK JEWISH</t>
  </si>
  <si>
    <t>VULLO JOHN DR.</t>
  </si>
  <si>
    <t>E0116211</t>
  </si>
  <si>
    <t>FINEGOLD IRA MD</t>
  </si>
  <si>
    <t>FINEGOLD IRA DR.</t>
  </si>
  <si>
    <t>SLRH INPT</t>
  </si>
  <si>
    <t>ST JOSEPH MED CTR</t>
  </si>
  <si>
    <t>E0286858</t>
  </si>
  <si>
    <t>ELAM RASHIAH MD</t>
  </si>
  <si>
    <t>ELAM RASHIAH</t>
  </si>
  <si>
    <t>103 E 125TH ST FL 3</t>
  </si>
  <si>
    <t>80 RED SCHOOLHOUSE RD STE 226</t>
  </si>
  <si>
    <t>E0247463</t>
  </si>
  <si>
    <t>MISKIN SOLOMON             MD</t>
  </si>
  <si>
    <t>MISKIN SOLOMON DR.</t>
  </si>
  <si>
    <t>MISKIN SOLOMON</t>
  </si>
  <si>
    <t>E0059440</t>
  </si>
  <si>
    <t>WELLS BARBARA</t>
  </si>
  <si>
    <t>WELLS BARBARA M</t>
  </si>
  <si>
    <t>E0338853</t>
  </si>
  <si>
    <t>HIRSCHL DAVID AVISHAY</t>
  </si>
  <si>
    <t>HIRSCHL DAVID DR.</t>
  </si>
  <si>
    <t>WANG JENNIFER</t>
  </si>
  <si>
    <t>KAUFMAN DAVID M            MD</t>
  </si>
  <si>
    <t>75 N COUNTRY RD</t>
  </si>
  <si>
    <t>635 W 165TH ST</t>
  </si>
  <si>
    <t>NYEEI OPHTHAL ASSOC</t>
  </si>
  <si>
    <t>E0136907</t>
  </si>
  <si>
    <t>NWEKE-CHUKUMERIJE OBIAGELI MD</t>
  </si>
  <si>
    <t>NWEKE-CHUKUMERIJE OBIAGEIL</t>
  </si>
  <si>
    <t>E0306373</t>
  </si>
  <si>
    <t>GERSHENGORN HAYLEY BETH</t>
  </si>
  <si>
    <t>GERSHENGORN HAYLEY DR.</t>
  </si>
  <si>
    <t>1 S CENTRAL AVE</t>
  </si>
  <si>
    <t>10837 71ST AVE</t>
  </si>
  <si>
    <t>E0187297</t>
  </si>
  <si>
    <t>REDA DOMINICK FRANK MD</t>
  </si>
  <si>
    <t>REDA DOMINICK DR.</t>
  </si>
  <si>
    <t>Michael Ader</t>
  </si>
  <si>
    <t>4904 19TH AVE</t>
  </si>
  <si>
    <t>E0111371</t>
  </si>
  <si>
    <t>SEDLACKOVA LUDMILA</t>
  </si>
  <si>
    <t>SEDLACKOVA LUDMILA DR.</t>
  </si>
  <si>
    <t>3125 TIBBETT AVE</t>
  </si>
  <si>
    <t>E0001496</t>
  </si>
  <si>
    <t>VINDHYA RAJESH KUMAR CHAND</t>
  </si>
  <si>
    <t>VINDHYA RAJESH DR.</t>
  </si>
  <si>
    <t>E0084947</t>
  </si>
  <si>
    <t>PURUGGANAN ROMEO SISON MD</t>
  </si>
  <si>
    <t>PURUGGANAN ROMEO</t>
  </si>
  <si>
    <t>KONTAKIS EVANGELIA</t>
  </si>
  <si>
    <t>E0090887</t>
  </si>
  <si>
    <t>SMITH KEISHA</t>
  </si>
  <si>
    <t>MACK KEISHA MRS.</t>
  </si>
  <si>
    <t>1 PENN PLAZA FL 7 STE 725</t>
  </si>
  <si>
    <t>E0211632</t>
  </si>
  <si>
    <t>BENZAKEIN RALPH DPM</t>
  </si>
  <si>
    <t>BENZAKEIN RALPH DR.</t>
  </si>
  <si>
    <t>WARTBURG LUTHERAN NH</t>
  </si>
  <si>
    <t>E0409677</t>
  </si>
  <si>
    <t>KRANZ LAURIE B</t>
  </si>
  <si>
    <t>KRANZ LAURIE</t>
  </si>
  <si>
    <t>E0185095</t>
  </si>
  <si>
    <t>BARUCH JEFFREY DAVID</t>
  </si>
  <si>
    <t>BARUCH JEFFREY DR.</t>
  </si>
  <si>
    <t>647 HOWARD AVE</t>
  </si>
  <si>
    <t>Dwarka Rathi</t>
  </si>
  <si>
    <t>E0142222</t>
  </si>
  <si>
    <t>RATHI DWARKA P MD</t>
  </si>
  <si>
    <t>RATHI DWARKA</t>
  </si>
  <si>
    <t>E0056267</t>
  </si>
  <si>
    <t>WITEK MALGORZATA WIESLAWA</t>
  </si>
  <si>
    <t>WITEK MALGORZATA</t>
  </si>
  <si>
    <t>280 MADISON AVE RM 1403</t>
  </si>
  <si>
    <t>BELLMORE</t>
  </si>
  <si>
    <t>E0309410</t>
  </si>
  <si>
    <t>CULLIFORD DANIEL JOSEPH</t>
  </si>
  <si>
    <t>(718) 239-0030</t>
  </si>
  <si>
    <t>danculliford@gmail.com</t>
  </si>
  <si>
    <t>CULLIFORD DANIEL</t>
  </si>
  <si>
    <t>157 E 72ND ST # H</t>
  </si>
  <si>
    <t>E0157163</t>
  </si>
  <si>
    <t>GAROFALO RAFFAELE MD</t>
  </si>
  <si>
    <t>GAROFALO RAFFAELE</t>
  </si>
  <si>
    <t>E0121688</t>
  </si>
  <si>
    <t>MASCH RACHEL J MD</t>
  </si>
  <si>
    <t>MASCH RACHEL</t>
  </si>
  <si>
    <t>NYUMC OB/GYN ASSOC</t>
  </si>
  <si>
    <t>E0124690</t>
  </si>
  <si>
    <t>PRINE LINDA WHISLER</t>
  </si>
  <si>
    <t>PRINE LINDA</t>
  </si>
  <si>
    <t>128 ASHFORD AVE</t>
  </si>
  <si>
    <t>16959 137TH AVE</t>
  </si>
  <si>
    <t>E0052890</t>
  </si>
  <si>
    <t>FLEISCHMANN NICOLE MD</t>
  </si>
  <si>
    <t>FLEISCHMANN NICOLE DR.</t>
  </si>
  <si>
    <t>FLEISCHMANN NICOLE BETH</t>
  </si>
  <si>
    <t>MT SINAI UROLOGY</t>
  </si>
  <si>
    <t>EAST HAMPTON</t>
  </si>
  <si>
    <t>102 PARK AVE</t>
  </si>
  <si>
    <t>E0129849</t>
  </si>
  <si>
    <t>BRANCA MARIA A DPM</t>
  </si>
  <si>
    <t>(914) 969-0231</t>
  </si>
  <si>
    <t>BRANCA MARIA DR.</t>
  </si>
  <si>
    <t>909 MIDLAND AVE</t>
  </si>
  <si>
    <t>WEINSTEIN SUSAN DR.</t>
  </si>
  <si>
    <t>E0058143</t>
  </si>
  <si>
    <t>PHILLIPS JOHN L MD</t>
  </si>
  <si>
    <t>PHILLIPS JOHN</t>
  </si>
  <si>
    <t>10 UNION SQ E # 3A</t>
  </si>
  <si>
    <t>984 N BROADWAY</t>
  </si>
  <si>
    <t>400 E 34TH ST</t>
  </si>
  <si>
    <t>E0148154</t>
  </si>
  <si>
    <t>CHAMBERLIN JOE MD</t>
  </si>
  <si>
    <t>CHAMBERLIN JOE</t>
  </si>
  <si>
    <t>340 E 24TH ST</t>
  </si>
  <si>
    <t>MITCHELL JOHN</t>
  </si>
  <si>
    <t>BOX 1235</t>
  </si>
  <si>
    <t>E0050199</t>
  </si>
  <si>
    <t>KOLANUVADA BANGARURAJU MD</t>
  </si>
  <si>
    <t>KOLANUVADA BANGARURAJU DR.</t>
  </si>
  <si>
    <t>KOLANUVADA BANGARURAJU</t>
  </si>
  <si>
    <t>MT VERNON HSP</t>
  </si>
  <si>
    <t>LOS ANGELES</t>
  </si>
  <si>
    <t>E0098958</t>
  </si>
  <si>
    <t>TESLER PETER JON MD</t>
  </si>
  <si>
    <t>TESLER PETER DR.</t>
  </si>
  <si>
    <t>E0197134</t>
  </si>
  <si>
    <t>GUMASTE VIVEK              MD</t>
  </si>
  <si>
    <t>GUMASTE VIVEK</t>
  </si>
  <si>
    <t>570 GRAND ST</t>
  </si>
  <si>
    <t>E0183590</t>
  </si>
  <si>
    <t>SCHORR-LESNICK BETH MD</t>
  </si>
  <si>
    <t>SCHORR-LESNICK BETH</t>
  </si>
  <si>
    <t>E0084541</t>
  </si>
  <si>
    <t>CUSHNER MICHAEL A MD</t>
  </si>
  <si>
    <t>CUSHNER MICHAEL DR.</t>
  </si>
  <si>
    <t>130 W 12TH ST</t>
  </si>
  <si>
    <t>E0054278</t>
  </si>
  <si>
    <t>KUMAR VANITA MD</t>
  </si>
  <si>
    <t>KUMAR VANITA</t>
  </si>
  <si>
    <t>WILLIAMSBRIDGE</t>
  </si>
  <si>
    <t>E0192867</t>
  </si>
  <si>
    <t>GROSS MICHAEL MD</t>
  </si>
  <si>
    <t>GROSS MICHAEL</t>
  </si>
  <si>
    <t>1695 EASTCHESTER RD STE 302</t>
  </si>
  <si>
    <t>E0150618</t>
  </si>
  <si>
    <t>LAI KATHERINE M DPM</t>
  </si>
  <si>
    <t>LAI KATHERINE</t>
  </si>
  <si>
    <t>LAI KATHERINE M</t>
  </si>
  <si>
    <t>111 E 88TH ST</t>
  </si>
  <si>
    <t>E0085120</t>
  </si>
  <si>
    <t>RECHTSCHAFFEN THOMAS HARTLEY</t>
  </si>
  <si>
    <t>RECHTSCHAFFEN THOMAS DR.</t>
  </si>
  <si>
    <t>100TH ST &amp; MADISON</t>
  </si>
  <si>
    <t>E0140958</t>
  </si>
  <si>
    <t>ROSS RANDALL M MD</t>
  </si>
  <si>
    <t>ROSS RANDALL</t>
  </si>
  <si>
    <t>ROSS RANDALL MARTIN</t>
  </si>
  <si>
    <t>15 W 12TH ST APT 1F</t>
  </si>
  <si>
    <t>E0341506</t>
  </si>
  <si>
    <t>AMICO JENNIFER</t>
  </si>
  <si>
    <t>AMICO JENNIFER DR.</t>
  </si>
  <si>
    <t>E0340382</t>
  </si>
  <si>
    <t>ROBINSON ANGELA</t>
  </si>
  <si>
    <t>ROBINSON ANGELA MS.</t>
  </si>
  <si>
    <t>866 E 165TH ST</t>
  </si>
  <si>
    <t>E0292528</t>
  </si>
  <si>
    <t>DESRAVINES CYNTHIA  PA</t>
  </si>
  <si>
    <t>DESRAVINES CYNTHIA</t>
  </si>
  <si>
    <t>E0143463</t>
  </si>
  <si>
    <t>SCHWARTZ STEWART IAN DO</t>
  </si>
  <si>
    <t>SCHWARTZ STEWART</t>
  </si>
  <si>
    <t>250 E HARTSDALE AVE</t>
  </si>
  <si>
    <t>E0078375</t>
  </si>
  <si>
    <t>GORDON JONATHAN CRAIG MD</t>
  </si>
  <si>
    <t>GORDON JONATHAN</t>
  </si>
  <si>
    <t>DOCS PHYS AFF.W/BIMC</t>
  </si>
  <si>
    <t>E0071223</t>
  </si>
  <si>
    <t>TERRACIANO ANTHONY J MD</t>
  </si>
  <si>
    <t>TERRACIANO ANTHONY DR.</t>
  </si>
  <si>
    <t>ROSEN MICHAEL DR.</t>
  </si>
  <si>
    <t>E0060312</t>
  </si>
  <si>
    <t>KOSTKO OKSANA MD</t>
  </si>
  <si>
    <t>KOSTKO OKSANA</t>
  </si>
  <si>
    <t>GROUND FLOOR</t>
  </si>
  <si>
    <t>170 MAPLE AVE STE 502</t>
  </si>
  <si>
    <t>E0330736</t>
  </si>
  <si>
    <t>CIARAMITARO YESSENIA ELIZABETH</t>
  </si>
  <si>
    <t>CIARAMITARO YESSENIA DR.</t>
  </si>
  <si>
    <t>1111 AMSTERDAM AVE STE E142</t>
  </si>
  <si>
    <t>177 FORT WASHINGTON AVE</t>
  </si>
  <si>
    <t>E0338143</t>
  </si>
  <si>
    <t>FAKHOURY WAEL</t>
  </si>
  <si>
    <t>FAKHOURY WAEL DR.</t>
  </si>
  <si>
    <t>75 RONALD REAGAN BLVD</t>
  </si>
  <si>
    <t>16TH ST @ 1ST AVENUE</t>
  </si>
  <si>
    <t>Hilton Mirels</t>
  </si>
  <si>
    <t>E0185652</t>
  </si>
  <si>
    <t>MIRELS HILTON MD</t>
  </si>
  <si>
    <t>MIRELS HILTON</t>
  </si>
  <si>
    <t>300 E 57TH ST</t>
  </si>
  <si>
    <t>1200 5TH AVE</t>
  </si>
  <si>
    <t>Pioneer Home Care, Inc.</t>
  </si>
  <si>
    <t>Beth Breslin</t>
  </si>
  <si>
    <t>(212) 613-7361</t>
  </si>
  <si>
    <t>bbreslin@nylag.org</t>
  </si>
  <si>
    <t>E0102676</t>
  </si>
  <si>
    <t>MACIAG EMANUELA MARIA MD</t>
  </si>
  <si>
    <t>MACIAG EMANUELA</t>
  </si>
  <si>
    <t>E0062667</t>
  </si>
  <si>
    <t>MURILLO MAURICIO MD</t>
  </si>
  <si>
    <t>MURILLO MAURICIO DR.</t>
  </si>
  <si>
    <t>170 MAPLE AVE STE 104</t>
  </si>
  <si>
    <t>E0044329</t>
  </si>
  <si>
    <t>CHIN GRACE ENCARNACION DDS</t>
  </si>
  <si>
    <t>CHIN GRACE DR.</t>
  </si>
  <si>
    <t>3444 KOSSUTH AVE 2ND FLOOR</t>
  </si>
  <si>
    <t>Alan G. Busby</t>
  </si>
  <si>
    <t>E0145486</t>
  </si>
  <si>
    <t>LANTIN JOSE ANTONIO R L MD</t>
  </si>
  <si>
    <t>LANTIN JOSE DR.</t>
  </si>
  <si>
    <t>E0143447</t>
  </si>
  <si>
    <t>BRILL JOSEPH J MD</t>
  </si>
  <si>
    <t>BRILL JOSEPH</t>
  </si>
  <si>
    <t>BRILL JOSEPH J</t>
  </si>
  <si>
    <t>E0304742</t>
  </si>
  <si>
    <t>PATEL NIRAV</t>
  </si>
  <si>
    <t>PATEL NIRAV SURESH</t>
  </si>
  <si>
    <t>984 N BROADWAY STE 501</t>
  </si>
  <si>
    <t>E0186366</t>
  </si>
  <si>
    <t>SMOKE NEIL DO</t>
  </si>
  <si>
    <t>SMOKE NEIL DR.</t>
  </si>
  <si>
    <t>100TH STREET AND MADISON AVENUE</t>
  </si>
  <si>
    <t>10 UNION SQUARE EAST</t>
  </si>
  <si>
    <t>Sanjay Nerkar</t>
  </si>
  <si>
    <t>E0055926</t>
  </si>
  <si>
    <t>NERKAR SANJAY D</t>
  </si>
  <si>
    <t>NERKAR SANJAY DR.</t>
  </si>
  <si>
    <t>150 BERGEN ST</t>
  </si>
  <si>
    <t>699 92ND ST</t>
  </si>
  <si>
    <t>Alan Bernstein</t>
  </si>
  <si>
    <t>E0180204</t>
  </si>
  <si>
    <t>BERNSTEIN ALAN L MD</t>
  </si>
  <si>
    <t>BERNSTEIN ALAN</t>
  </si>
  <si>
    <t>CABRINI MEDICAL</t>
  </si>
  <si>
    <t>STACKPOLE ASHLEY</t>
  </si>
  <si>
    <t>240 GRAND BLVD</t>
  </si>
  <si>
    <t>MASSAPEQUA PARK</t>
  </si>
  <si>
    <t>1090 AMSTERDAM AVE FL 13</t>
  </si>
  <si>
    <t>POWERS LAURA</t>
  </si>
  <si>
    <t>GREEN KAREN DR.</t>
  </si>
  <si>
    <t>E0370356</t>
  </si>
  <si>
    <t>CANGE GUIRLEN</t>
  </si>
  <si>
    <t>CANGE GUIRLEN MS.</t>
  </si>
  <si>
    <t>APT 1</t>
  </si>
  <si>
    <t>E0206694</t>
  </si>
  <si>
    <t>DANUTA PRZECHODZKA MD</t>
  </si>
  <si>
    <t>(914) 378-7160</t>
  </si>
  <si>
    <t>tprzechodzki@optonline.net</t>
  </si>
  <si>
    <t>PRZECHODZKA DANUTA DR.</t>
  </si>
  <si>
    <t>E0125603</t>
  </si>
  <si>
    <t>FALLICK FREDERICK S MD</t>
  </si>
  <si>
    <t>FALLICK FREDERICK DR.</t>
  </si>
  <si>
    <t>E0348765</t>
  </si>
  <si>
    <t>CHOI RAN</t>
  </si>
  <si>
    <t>E0193227</t>
  </si>
  <si>
    <t>DEMATTEO ROBERT ENRICO MD</t>
  </si>
  <si>
    <t>DEMATTEO ROBERT</t>
  </si>
  <si>
    <t>DEMATTEO ROBERT ENRICO</t>
  </si>
  <si>
    <t>E0089285</t>
  </si>
  <si>
    <t>VALDES MAURICO</t>
  </si>
  <si>
    <t>VALDES MAURICIO</t>
  </si>
  <si>
    <t>461 RIVERDALE AVE</t>
  </si>
  <si>
    <t>E0176745</t>
  </si>
  <si>
    <t>SAYEGH OSAMA ELIAS MD</t>
  </si>
  <si>
    <t>SAYEGH OSAMA</t>
  </si>
  <si>
    <t>SORIANO-BARTOLOME NIDA DR.</t>
  </si>
  <si>
    <t>134 NORTH AVE STE 13</t>
  </si>
  <si>
    <t>E0322612</t>
  </si>
  <si>
    <t>YAO MIKE</t>
  </si>
  <si>
    <t>E0385280</t>
  </si>
  <si>
    <t>GUERRERO JIHAN MOGOL</t>
  </si>
  <si>
    <t>GUERRERO JIHAN</t>
  </si>
  <si>
    <t>E0080460</t>
  </si>
  <si>
    <t>WEINBERG JERRY CHARLES MD</t>
  </si>
  <si>
    <t>WEINBERG JERRY</t>
  </si>
  <si>
    <t>1569 E 18TH ST</t>
  </si>
  <si>
    <t>E0090730</t>
  </si>
  <si>
    <t>SHRESTHA BINAYA MD</t>
  </si>
  <si>
    <t>SHRESTHA BINAYA</t>
  </si>
  <si>
    <t>3410-3418 BROADWAY</t>
  </si>
  <si>
    <t>E0285125</t>
  </si>
  <si>
    <t>DIGIORNO MICHAEL A MD</t>
  </si>
  <si>
    <t>DIGIORNO MICHAEL DR.</t>
  </si>
  <si>
    <t>970 N BROADWAY STE 311</t>
  </si>
  <si>
    <t>Laurence Miller</t>
  </si>
  <si>
    <t>E0072222</t>
  </si>
  <si>
    <t>HUSAIN SYED S MD</t>
  </si>
  <si>
    <t>HUSAIN SYED DR.</t>
  </si>
  <si>
    <t>E0013957</t>
  </si>
  <si>
    <t>DHALLU MANJEET</t>
  </si>
  <si>
    <t>DHALLU MANJEET DR.</t>
  </si>
  <si>
    <t>DHALLU MANJEET SINGH</t>
  </si>
  <si>
    <t>970 N BROADWAY STE 107</t>
  </si>
  <si>
    <t>Salella C. Raja</t>
  </si>
  <si>
    <t>E0384949</t>
  </si>
  <si>
    <t>DAVIS NORMA V</t>
  </si>
  <si>
    <t>DAVIS NORMA</t>
  </si>
  <si>
    <t>75 S BROADWAY</t>
  </si>
  <si>
    <t>E0196359</t>
  </si>
  <si>
    <t>DICKOFF DAVID J            MD</t>
  </si>
  <si>
    <t>DICKOFF DAVID</t>
  </si>
  <si>
    <t>E0064244</t>
  </si>
  <si>
    <t>WESTCHESTER NEUROLOGICAL CNSL</t>
  </si>
  <si>
    <t>SOLIMAN EMAD</t>
  </si>
  <si>
    <t>SOLIMAN EMAD F</t>
  </si>
  <si>
    <t>STE L05</t>
  </si>
  <si>
    <t>E0271107</t>
  </si>
  <si>
    <t>EDELSON CHARLES W MD PC</t>
  </si>
  <si>
    <t>EDELSON CHARLES</t>
  </si>
  <si>
    <t>EDELSON CHARLES W</t>
  </si>
  <si>
    <t>MONTEFIORE HOSPITAL</t>
  </si>
  <si>
    <t>E0158801</t>
  </si>
  <si>
    <t>CHUMACEIRO ROLANDO  MD</t>
  </si>
  <si>
    <t>CHUMACEIRO ROLANDO</t>
  </si>
  <si>
    <t>950 NORTH BROADWAY</t>
  </si>
  <si>
    <t>E0131118</t>
  </si>
  <si>
    <t>SHERIF EL-MASRY</t>
  </si>
  <si>
    <t>EL-MASRY SHERIF MR.</t>
  </si>
  <si>
    <t>E0364045</t>
  </si>
  <si>
    <t>MALKANI BRIJESH</t>
  </si>
  <si>
    <t>MALKANI BRIJESH DR.</t>
  </si>
  <si>
    <t>E0193406</t>
  </si>
  <si>
    <t>KIVELL HOWARD NEIL MD</t>
  </si>
  <si>
    <t>KIVELL HOWARD DR.</t>
  </si>
  <si>
    <t>E0403080</t>
  </si>
  <si>
    <t>LIGHTBODY JASON M</t>
  </si>
  <si>
    <t>LIGHTBODY JASON MR.</t>
  </si>
  <si>
    <t>LIGHTBODY JASON MICHAEL</t>
  </si>
  <si>
    <t>AHMAD IMTIAZ</t>
  </si>
  <si>
    <t>E0371102</t>
  </si>
  <si>
    <t>DONOVAN EDMUND J</t>
  </si>
  <si>
    <t>DONOVAN EDMUND</t>
  </si>
  <si>
    <t>DONOVAN EDMUND JOHN</t>
  </si>
  <si>
    <t>E0144898</t>
  </si>
  <si>
    <t>TRAUZZI STEPHEN MD</t>
  </si>
  <si>
    <t>TRAUZZI STEPHEN DR.</t>
  </si>
  <si>
    <t>120 WARREN ST</t>
  </si>
  <si>
    <t>E0102679</t>
  </si>
  <si>
    <t>ANDRONE ANA SILVIA MD</t>
  </si>
  <si>
    <t>ANDRONE ANA</t>
  </si>
  <si>
    <t>1010 N BROADWAY</t>
  </si>
  <si>
    <t>E0026380</t>
  </si>
  <si>
    <t>TAYLOR MELETA M NP</t>
  </si>
  <si>
    <t>TAYLOR MELETA MS.</t>
  </si>
  <si>
    <t>TAYLOR MELETA MARIE NP</t>
  </si>
  <si>
    <t>7901 BROADWAY RM A1-9</t>
  </si>
  <si>
    <t>E0409903</t>
  </si>
  <si>
    <t>RAMOS HARRY</t>
  </si>
  <si>
    <t>RAMOS HARRY DR.</t>
  </si>
  <si>
    <t>RAMOS HARRY L</t>
  </si>
  <si>
    <t>6 EXECUTIVE PLAZA</t>
  </si>
  <si>
    <t>E0365205</t>
  </si>
  <si>
    <t>JEAN YVES ANTONY</t>
  </si>
  <si>
    <t>JEAN YVES</t>
  </si>
  <si>
    <t>1 RYKOWSKI LN</t>
  </si>
  <si>
    <t>E0009891</t>
  </si>
  <si>
    <t>HEMMERDINGER STEVEN ARTHUR MD</t>
  </si>
  <si>
    <t>HEMMERDINGER STEVEN DR.</t>
  </si>
  <si>
    <t>HEMMERDINGER STEVEN ARTHUR</t>
  </si>
  <si>
    <t>1055 SAW MILL RIVER RD</t>
  </si>
  <si>
    <t>E0319343</t>
  </si>
  <si>
    <t>ISMAILOVA KYAMALYA A</t>
  </si>
  <si>
    <t>ISMAILOVA KYAMALYA DR.</t>
  </si>
  <si>
    <t>ISMAILOVA KYAMALYA</t>
  </si>
  <si>
    <t>E0213976</t>
  </si>
  <si>
    <t>OSBORN IRENE PAULITA       MD</t>
  </si>
  <si>
    <t>OSBORN IRENE DR.</t>
  </si>
  <si>
    <t>1 GUSTAVE LEVY PLACE</t>
  </si>
  <si>
    <t>E0264912</t>
  </si>
  <si>
    <t>SEIMON LEONARD P           MD</t>
  </si>
  <si>
    <t>SEIMON LEONARD</t>
  </si>
  <si>
    <t>E0048326</t>
  </si>
  <si>
    <t>GOHARI ARASH MD</t>
  </si>
  <si>
    <t>GOHARI ARASH</t>
  </si>
  <si>
    <t>E0362880</t>
  </si>
  <si>
    <t>BELL KERI-ANN TAIESHA</t>
  </si>
  <si>
    <t>BELL KERRI-ANN MISS</t>
  </si>
  <si>
    <t>97 AMITY ST</t>
  </si>
  <si>
    <t>CHARNEY RICHARD</t>
  </si>
  <si>
    <t>E0085827</t>
  </si>
  <si>
    <t>KOCHLATYI SERGEI GENNADI MD</t>
  </si>
  <si>
    <t>KOCHLATYI SERGEI DR.</t>
  </si>
  <si>
    <t>KOCHLATYI SERGEI GENNADI</t>
  </si>
  <si>
    <t>E0413916</t>
  </si>
  <si>
    <t>CAMPBELL ANN HARPER</t>
  </si>
  <si>
    <t>CAMPBELL ANN MISS</t>
  </si>
  <si>
    <t>E0300879</t>
  </si>
  <si>
    <t>CHANAMOLU SRAVANTHI</t>
  </si>
  <si>
    <t>E0314884</t>
  </si>
  <si>
    <t>LUONG KHOI QUOC</t>
  </si>
  <si>
    <t>LUONG KHOI DR.</t>
  </si>
  <si>
    <t>E0348251</t>
  </si>
  <si>
    <t>AVDIJA VALBONA</t>
  </si>
  <si>
    <t>AVDIJA VALBONA MISS</t>
  </si>
  <si>
    <t>E0128025</t>
  </si>
  <si>
    <t>LANSEY STEPHAN COOPER MD</t>
  </si>
  <si>
    <t>LANSEY STEPHAN DR.</t>
  </si>
  <si>
    <t>E0345056</t>
  </si>
  <si>
    <t>PARKER JUDITH M</t>
  </si>
  <si>
    <t>PARKER JUDITH</t>
  </si>
  <si>
    <t>79-01 BROADWAY RM A1-19</t>
  </si>
  <si>
    <t>E0310301</t>
  </si>
  <si>
    <t>DENNIS JAY CHIA</t>
  </si>
  <si>
    <t>CHIA DENNIS</t>
  </si>
  <si>
    <t>CHIA DENNIS JAY</t>
  </si>
  <si>
    <t>317 E 34TH ST</t>
  </si>
  <si>
    <t>E0019822</t>
  </si>
  <si>
    <t>OGBOVOH DANIEL OBAROAKPOR MD</t>
  </si>
  <si>
    <t>OGBOVOH DANIEL DR.</t>
  </si>
  <si>
    <t>OGBOVOH DANIEL OBAROAKPOR</t>
  </si>
  <si>
    <t>E0105286</t>
  </si>
  <si>
    <t>PHILLIPS EDWARD C MD</t>
  </si>
  <si>
    <t>PHILLIPS EDWARD</t>
  </si>
  <si>
    <t>E0134511</t>
  </si>
  <si>
    <t>KINDSCHUH MARK WILLIAM E MD</t>
  </si>
  <si>
    <t>KINDSCHUH MARK DR.</t>
  </si>
  <si>
    <t>E0323031</t>
  </si>
  <si>
    <t>GOLOMBECK AREL</t>
  </si>
  <si>
    <t>CHO MICHAEL DR.</t>
  </si>
  <si>
    <t>260 W SUNRISE HWY</t>
  </si>
  <si>
    <t>WEST HARRISON</t>
  </si>
  <si>
    <t>E0407558</t>
  </si>
  <si>
    <t>VEGA MARIO</t>
  </si>
  <si>
    <t>VEGA MARIO GILBERTO</t>
  </si>
  <si>
    <t>E0147121</t>
  </si>
  <si>
    <t>SAYEGH NADEM JAMIL MD</t>
  </si>
  <si>
    <t>SAYEGH NADEM DR.</t>
  </si>
  <si>
    <t>E0044045</t>
  </si>
  <si>
    <t>KARAKAS SERIFE ETI MD</t>
  </si>
  <si>
    <t>ETI SERIFE</t>
  </si>
  <si>
    <t>E0407506</t>
  </si>
  <si>
    <t>BRAFMAN REBECCA TAL</t>
  </si>
  <si>
    <t>BRAFMAN REBECCA DR.</t>
  </si>
  <si>
    <t>JOHNSON AMY</t>
  </si>
  <si>
    <t>3141 45TH ST</t>
  </si>
  <si>
    <t>E0210590</t>
  </si>
  <si>
    <t>LOWE FRANKLIN C            MD</t>
  </si>
  <si>
    <t>LOWE FRANKLIN</t>
  </si>
  <si>
    <t>SLRH INPATIENT WARD</t>
  </si>
  <si>
    <t>E0415347</t>
  </si>
  <si>
    <t>ASHER MEGAN</t>
  </si>
  <si>
    <t>E0178052</t>
  </si>
  <si>
    <t>PRESSMAN MARY ANNE MD</t>
  </si>
  <si>
    <t>PRESSMAN MARY DR.</t>
  </si>
  <si>
    <t>PRESSMAN MARY ANNE</t>
  </si>
  <si>
    <t>FAC PSY ASSOC NYMC</t>
  </si>
  <si>
    <t>E0107574</t>
  </si>
  <si>
    <t>SCHWARTZ ELIZABETH C CNM</t>
  </si>
  <si>
    <t>SCHWARTZ ELIZABETH</t>
  </si>
  <si>
    <t>1865 AMSTERDAM AVE</t>
  </si>
  <si>
    <t>E0175453</t>
  </si>
  <si>
    <t>VORCHHEIMER DAVID A MD</t>
  </si>
  <si>
    <t>VORCHHEIMER DAVID DR.</t>
  </si>
  <si>
    <t>PO BOX 1030</t>
  </si>
  <si>
    <t>GOLDSTEIN STEVEN DR.</t>
  </si>
  <si>
    <t>E0067831</t>
  </si>
  <si>
    <t>SANTONI RUGIU FRANCESCO MD</t>
  </si>
  <si>
    <t>SANTONI FRANCESCO MR.</t>
  </si>
  <si>
    <t>SANTONI RUGIU FRANCESCO</t>
  </si>
  <si>
    <t>E0021837</t>
  </si>
  <si>
    <t>SADRAZODI KAMRAN MD</t>
  </si>
  <si>
    <t>SADRAZODI KAMRAN DR.</t>
  </si>
  <si>
    <t>E0391166</t>
  </si>
  <si>
    <t>KHAN SAMAIRA J</t>
  </si>
  <si>
    <t>KHAN SAMAIRA DR.</t>
  </si>
  <si>
    <t>E0125481</t>
  </si>
  <si>
    <t>REID-THORNTON RUTH ANNE MD</t>
  </si>
  <si>
    <t>REID-THORNTON RUTH DR.</t>
  </si>
  <si>
    <t>E0158506</t>
  </si>
  <si>
    <t>EATON MARGARET M PHD</t>
  </si>
  <si>
    <t>EATON MARGARET</t>
  </si>
  <si>
    <t>EATON MARGARET M</t>
  </si>
  <si>
    <t>E0016314</t>
  </si>
  <si>
    <t>SCHATTNER THOMAS JOHN PHD</t>
  </si>
  <si>
    <t>SCHATTNER THOMAS</t>
  </si>
  <si>
    <t>SCHATTNER THOMAS JOHN</t>
  </si>
  <si>
    <t>7005 35TH AVE</t>
  </si>
  <si>
    <t>E0307216</t>
  </si>
  <si>
    <t>VARDARAJAN ASHA</t>
  </si>
  <si>
    <t>VARDARAJAN ASHA DR.</t>
  </si>
  <si>
    <t>WEST ORANGE</t>
  </si>
  <si>
    <t>358 KINGSTON AVE</t>
  </si>
  <si>
    <t>CEDARHURST</t>
  </si>
  <si>
    <t>E0393292</t>
  </si>
  <si>
    <t>FEIN DANIEL DR.</t>
  </si>
  <si>
    <t>E0401638</t>
  </si>
  <si>
    <t>DOUGLAS MELANIE</t>
  </si>
  <si>
    <t>DOUGLAS MELANIE MS.</t>
  </si>
  <si>
    <t>DOUGLAS MELANIE BETH</t>
  </si>
  <si>
    <t>545 1ST AVE # C-124</t>
  </si>
  <si>
    <t>1 GUSTAVE L. LEVY PLACE</t>
  </si>
  <si>
    <t>E0019253</t>
  </si>
  <si>
    <t>POLYCARPE MYREILLE MD</t>
  </si>
  <si>
    <t>POLYCARPE MYREILLE DR.</t>
  </si>
  <si>
    <t>E0407533</t>
  </si>
  <si>
    <t>KHEDIMI RABEA</t>
  </si>
  <si>
    <t>E0019577</t>
  </si>
  <si>
    <t>KHALIL RICHARD MD</t>
  </si>
  <si>
    <t>KHALIL RICHARD DR.</t>
  </si>
  <si>
    <t>E0298871</t>
  </si>
  <si>
    <t>CIOCON DAVID</t>
  </si>
  <si>
    <t>CIOCON DAVID DR.</t>
  </si>
  <si>
    <t>E0116034</t>
  </si>
  <si>
    <t>NAOMI KUNIN MD PC</t>
  </si>
  <si>
    <t>KUNIN NAOMI MRS.</t>
  </si>
  <si>
    <t>E0305426</t>
  </si>
  <si>
    <t>BORRERO CHARIN MARIE</t>
  </si>
  <si>
    <t>BORRERO CHARIN MS.</t>
  </si>
  <si>
    <t>2360 AMSTERDAM AVE</t>
  </si>
  <si>
    <t>NEW</t>
  </si>
  <si>
    <t>E0101810</t>
  </si>
  <si>
    <t>WILKEN PHILIP DAVID</t>
  </si>
  <si>
    <t>WILKEN PHILIP</t>
  </si>
  <si>
    <t>300 CRYSTAL RUN RD</t>
  </si>
  <si>
    <t>THE CHILDRENS MED GR</t>
  </si>
  <si>
    <t>E0354804</t>
  </si>
  <si>
    <t>COREY PATRICK SPENCER</t>
  </si>
  <si>
    <t>COREY PATRICK</t>
  </si>
  <si>
    <t>10 UNION SQ E STE 5K</t>
  </si>
  <si>
    <t>E0084537</t>
  </si>
  <si>
    <t>FORONJY ROBERT FRANCIS MD</t>
  </si>
  <si>
    <t>FORONJY ROBERT DR.</t>
  </si>
  <si>
    <t>E0112360</t>
  </si>
  <si>
    <t>MED-WORLD ACQUISITION CORP</t>
  </si>
  <si>
    <t>E0057943</t>
  </si>
  <si>
    <t>HAMMOND ISAAC RPA</t>
  </si>
  <si>
    <t>HAMMOND ISAAC MR.</t>
  </si>
  <si>
    <t>HAMMOND ISAAC JR</t>
  </si>
  <si>
    <t>E0078475</t>
  </si>
  <si>
    <t>JIN CHARLES YIMING MD</t>
  </si>
  <si>
    <t>JIN CHARLES</t>
  </si>
  <si>
    <t>PO BOX 1230</t>
  </si>
  <si>
    <t>DIX HILLS</t>
  </si>
  <si>
    <t>E0388359</t>
  </si>
  <si>
    <t>CAPRA THERESA MARIE</t>
  </si>
  <si>
    <t>CAPRA THERESA</t>
  </si>
  <si>
    <t>E0317110</t>
  </si>
  <si>
    <t>GRUSCINSKA OLGA</t>
  </si>
  <si>
    <t>GRUSCINSKA OLGA DR.</t>
  </si>
  <si>
    <t>E0415113</t>
  </si>
  <si>
    <t>LAMONICA DONNA</t>
  </si>
  <si>
    <t>LAMONICA DONNA DR.</t>
  </si>
  <si>
    <t>LAMONICA DONNA JEANNE</t>
  </si>
  <si>
    <t>E0412834</t>
  </si>
  <si>
    <t>NITKA SARAH</t>
  </si>
  <si>
    <t>NITKA SARAH DR.</t>
  </si>
  <si>
    <t>NITKA SARAH ALEXANDRA</t>
  </si>
  <si>
    <t>E0417134</t>
  </si>
  <si>
    <t>DAYAN-ROSENMAN DAVID SAMSON</t>
  </si>
  <si>
    <t>DAYAN-ROSENMAN DAVID DR.</t>
  </si>
  <si>
    <t>Aubrey Balcom</t>
  </si>
  <si>
    <t>(646) 633-4738</t>
  </si>
  <si>
    <t>abalcom@archcare.org</t>
  </si>
  <si>
    <t>1456 FULTON ST</t>
  </si>
  <si>
    <t>VEASLEY RACHELLE</t>
  </si>
  <si>
    <t>460 W 34TH ST, 11TH FLOOR</t>
  </si>
  <si>
    <t>SMITH SANDRA MS.</t>
  </si>
  <si>
    <t>600 STONY BROOK CT</t>
  </si>
  <si>
    <t>E0008939</t>
  </si>
  <si>
    <t>STEIN TARA</t>
  </si>
  <si>
    <t>STEIN TARA DR.</t>
  </si>
  <si>
    <t>STEIN TARA BORGHARD</t>
  </si>
  <si>
    <t>E0417152</t>
  </si>
  <si>
    <t>KAYE ROSS</t>
  </si>
  <si>
    <t>KAYE ROSS IAN</t>
  </si>
  <si>
    <t>E0333404</t>
  </si>
  <si>
    <t>BURTON REBECCA LYN</t>
  </si>
  <si>
    <t>BURTON REBECCA</t>
  </si>
  <si>
    <t>E0388643</t>
  </si>
  <si>
    <t>LINHARES DANIEL FAVER</t>
  </si>
  <si>
    <t>LINHARES DANIEL</t>
  </si>
  <si>
    <t>271-11 76TH AVE</t>
  </si>
  <si>
    <t>1301 5TH AVE</t>
  </si>
  <si>
    <t>E0056000</t>
  </si>
  <si>
    <t>SAMANIEGO ROBERT MD</t>
  </si>
  <si>
    <t>SAMANIEGO ROBERT</t>
  </si>
  <si>
    <t>E0286123</t>
  </si>
  <si>
    <t>MARSEILLE BEATRICE</t>
  </si>
  <si>
    <t>MARSEILLE BEATRICE REMY</t>
  </si>
  <si>
    <t>22 S MADISON AVE STE C</t>
  </si>
  <si>
    <t>PARK AVE MED CARE</t>
  </si>
  <si>
    <t>RACANELLI JOSEPH DR.</t>
  </si>
  <si>
    <t>312 E 94TH ST</t>
  </si>
  <si>
    <t>MAYWOOD</t>
  </si>
  <si>
    <t>E0190346</t>
  </si>
  <si>
    <t>WEISBARD JAMES JOSEPH</t>
  </si>
  <si>
    <t>WEISBARD JAMES</t>
  </si>
  <si>
    <t>50 E 168TH ST # 98</t>
  </si>
  <si>
    <t>205 LEXINGTON AVE</t>
  </si>
  <si>
    <t>E0392330</t>
  </si>
  <si>
    <t>ODETALLA FATIMA</t>
  </si>
  <si>
    <t>ODETALLA FATIMA DR.</t>
  </si>
  <si>
    <t>2090 ADAM CLAYTON POWELL</t>
  </si>
  <si>
    <t>MADISON</t>
  </si>
  <si>
    <t>DATTA ARNAB DR.</t>
  </si>
  <si>
    <t>1090 AMSTERDAM AVE, SUITE 16B</t>
  </si>
  <si>
    <t>MANHATTAN</t>
  </si>
  <si>
    <t>JohnPhillip</t>
  </si>
  <si>
    <t>GracemonKuriakose</t>
  </si>
  <si>
    <t>(914) 779-2995</t>
  </si>
  <si>
    <t>gkuriakosedocs@gmail.com</t>
  </si>
  <si>
    <t>JonathanKillamMD</t>
  </si>
  <si>
    <t>E0308156</t>
  </si>
  <si>
    <t>KILLAM JONATHAN</t>
  </si>
  <si>
    <t>EdLucy</t>
  </si>
  <si>
    <t>(212) 523-5883</t>
  </si>
  <si>
    <t>elucy@chpnet.org</t>
  </si>
  <si>
    <t>KILLAM JONATHAN DR.</t>
  </si>
  <si>
    <t>SamuelPolan</t>
  </si>
  <si>
    <t>KathyBeccarino</t>
  </si>
  <si>
    <t>LynnNachamieMD</t>
  </si>
  <si>
    <t>E0181590</t>
  </si>
  <si>
    <t>NACHAMIE LYNN C   MD</t>
  </si>
  <si>
    <t>NACHAMIE LYNN DR.</t>
  </si>
  <si>
    <t>56 E 4TH ST</t>
  </si>
  <si>
    <t>DanielaLipovicDO</t>
  </si>
  <si>
    <t>E0297592</t>
  </si>
  <si>
    <t>LIPOVIC DANIELA DO</t>
  </si>
  <si>
    <t>LIPOVIC DANIELA DR.</t>
  </si>
  <si>
    <t>LIPOVIC DANIELA</t>
  </si>
  <si>
    <t>259 FIRST STREET</t>
  </si>
  <si>
    <t>ShyvonneBrooke</t>
  </si>
  <si>
    <t>JosephineTsai</t>
  </si>
  <si>
    <t>RiteAid</t>
  </si>
  <si>
    <t>E0000857</t>
  </si>
  <si>
    <t>HanaKang</t>
  </si>
  <si>
    <t>(718) 378-4600</t>
  </si>
  <si>
    <t>840 WESTCHESTER AVE</t>
  </si>
  <si>
    <t>OmniCareofChestnutRidge</t>
  </si>
  <si>
    <t>(845) 371-8600</t>
  </si>
  <si>
    <t>KristinaSalaverry</t>
  </si>
  <si>
    <t>CliffordSaper</t>
  </si>
  <si>
    <t>YeranenShabtai</t>
  </si>
  <si>
    <t>ToddSherwood</t>
  </si>
  <si>
    <t>NarinderSingh</t>
  </si>
  <si>
    <t>RaymondSwainson</t>
  </si>
  <si>
    <t>KonradWiktorzak</t>
  </si>
  <si>
    <t>DeborahKogan-Liberman</t>
  </si>
  <si>
    <t>(718) 741-2450</t>
  </si>
  <si>
    <t>GennaWaldman-Klein</t>
  </si>
  <si>
    <t>E0032340</t>
  </si>
  <si>
    <t>KLEIN GENNA WALDMAN MD</t>
  </si>
  <si>
    <t>KLEIN GENNA DR.</t>
  </si>
  <si>
    <t>1245 PARK AVE</t>
  </si>
  <si>
    <t>JuhiKumar</t>
  </si>
  <si>
    <t>E0296375</t>
  </si>
  <si>
    <t>KUMAR JUHI</t>
  </si>
  <si>
    <t>(212) 746-3303</t>
  </si>
  <si>
    <t>ToddMcNiffMD</t>
  </si>
  <si>
    <t>E0290467</t>
  </si>
  <si>
    <t>MCNIFF TODD</t>
  </si>
  <si>
    <t>MCNIFF TODD MR.</t>
  </si>
  <si>
    <t>CarolDersarkissianMD</t>
  </si>
  <si>
    <t>E0071480</t>
  </si>
  <si>
    <t>DERSARKISSIAN CAROL MD</t>
  </si>
  <si>
    <t>DERSARKISSIAN CAROL</t>
  </si>
  <si>
    <t>Peter'sPharmacy</t>
  </si>
  <si>
    <t>E0058565</t>
  </si>
  <si>
    <t>PETER'S PHARM &amp; VITAMINS INC</t>
  </si>
  <si>
    <t>PeterChin</t>
  </si>
  <si>
    <t>(212) 873-8838</t>
  </si>
  <si>
    <t>PETERS PHARMACY AND VITAMINS INC</t>
  </si>
  <si>
    <t>652 AMSTERDAM AVE</t>
  </si>
  <si>
    <t>FallakPharmacy</t>
  </si>
  <si>
    <t>E0068827</t>
  </si>
  <si>
    <t>BCP PHARMACY INC</t>
  </si>
  <si>
    <t>JoeFallak</t>
  </si>
  <si>
    <t>(718) 597-5230</t>
  </si>
  <si>
    <t>B.C.P. PHARMACY, INC</t>
  </si>
  <si>
    <t>2730 EST TREMONT AVE</t>
  </si>
  <si>
    <t>LenoxTerracePharmacy</t>
  </si>
  <si>
    <t>E0076217</t>
  </si>
  <si>
    <t>LENOX TERRACE PHARMCY INC</t>
  </si>
  <si>
    <t>Abdul</t>
  </si>
  <si>
    <t>(212) 234-2050</t>
  </si>
  <si>
    <t>LENOX TERRACE PHARMACY INC</t>
  </si>
  <si>
    <t>20 W 135TH ST</t>
  </si>
  <si>
    <t>LeeShechtmanMD</t>
  </si>
  <si>
    <t>E0223048</t>
  </si>
  <si>
    <t>SHECHTMAN LEE              MD</t>
  </si>
  <si>
    <t>SHECHTMAN LEE DR.</t>
  </si>
  <si>
    <t>235 E 67TH ST</t>
  </si>
  <si>
    <t>IanTang,MD</t>
  </si>
  <si>
    <t>MihaelaMihai</t>
  </si>
  <si>
    <t>(212) 334-6029</t>
  </si>
  <si>
    <t>SusanneRendeiro,FNP</t>
  </si>
  <si>
    <t>DavidHou</t>
  </si>
  <si>
    <t>AhrinHuh</t>
  </si>
  <si>
    <t>SherineIbrahim</t>
  </si>
  <si>
    <t>KarlaIsaacs</t>
  </si>
  <si>
    <t>Khokar,AmiraMD</t>
  </si>
  <si>
    <t>E0354349</t>
  </si>
  <si>
    <t>KHOKAR AMIRA IDREES</t>
  </si>
  <si>
    <t>JonathanNasser</t>
  </si>
  <si>
    <t>providerresourcesdepartment@crystalrunhealthcare.com</t>
  </si>
  <si>
    <t>KHOKAR AMIRA</t>
  </si>
  <si>
    <t>RobertOlan</t>
  </si>
  <si>
    <t>AnthonyTermineMD</t>
  </si>
  <si>
    <t>E0124432</t>
  </si>
  <si>
    <t>TERMINE ANTHONY WILLIAM MD</t>
  </si>
  <si>
    <t>ANTHONY W TERMINE MD PC</t>
  </si>
  <si>
    <t>BIMC-DEPT OF PSYCH</t>
  </si>
  <si>
    <t>BrianBrazzoMD</t>
  </si>
  <si>
    <t>Nicoll,LauraMD</t>
  </si>
  <si>
    <t>E0052840</t>
  </si>
  <si>
    <t>NICOLL LAURA ANN MD</t>
  </si>
  <si>
    <t>BettyCurtis</t>
  </si>
  <si>
    <t>prd@crystalrunhealthcare.com</t>
  </si>
  <si>
    <t>NICOLL LAURA</t>
  </si>
  <si>
    <t>CRYSTAL RUN H C</t>
  </si>
  <si>
    <t>Karcnik,TeresaMD</t>
  </si>
  <si>
    <t>E0132023</t>
  </si>
  <si>
    <t>KARCNIK TERESA J MD</t>
  </si>
  <si>
    <t>KARCNIK TERESA MS.</t>
  </si>
  <si>
    <t>CRYSTAL RUN HEALTHCR</t>
  </si>
  <si>
    <t>Fan-MingLinMD</t>
  </si>
  <si>
    <t>E0221664</t>
  </si>
  <si>
    <t>LIN FAN M                  MD</t>
  </si>
  <si>
    <t>LIN FAN MING</t>
  </si>
  <si>
    <t>FL 2ND</t>
  </si>
  <si>
    <t>MichaelWininger</t>
  </si>
  <si>
    <t>Datta,Motri</t>
  </si>
  <si>
    <t>Dr.Datta</t>
  </si>
  <si>
    <t>Mdatta@AbbottHouse.net</t>
  </si>
  <si>
    <t>100NorthBroadway</t>
  </si>
  <si>
    <t>MelanieGregory-Burnette</t>
  </si>
  <si>
    <t>JoanSiegel</t>
  </si>
  <si>
    <t>(718) 561-4340</t>
  </si>
  <si>
    <t>melanie_burnette@goodshepherds.org</t>
  </si>
  <si>
    <t>GREGORY MELANIE MRS.</t>
  </si>
  <si>
    <t>542 W 153RD ST, MEDICAL DEPT- 3RD FLOOR</t>
  </si>
  <si>
    <t>KarenMyrie</t>
  </si>
  <si>
    <t>Dr.Myrie</t>
  </si>
  <si>
    <t>(718) 401-5149</t>
  </si>
  <si>
    <t>myriek@e-s-s.org</t>
  </si>
  <si>
    <t>500BergenAve.</t>
  </si>
  <si>
    <t>NewYork</t>
  </si>
  <si>
    <t>JulioGorga</t>
  </si>
  <si>
    <t>CarolynFratto</t>
  </si>
  <si>
    <t>Zambenedetti,Maurizio</t>
  </si>
  <si>
    <t>Dr.Zambenedetti</t>
  </si>
  <si>
    <t>Mzambenedetti@AbbottHouse.net</t>
  </si>
  <si>
    <t>Pomerantz,Paul</t>
  </si>
  <si>
    <t>Dr.Pomerantz</t>
  </si>
  <si>
    <t>Ppomerantz@AbbootHouse.net</t>
  </si>
  <si>
    <t>Raspa,RonaldMD</t>
  </si>
  <si>
    <t>E0208906</t>
  </si>
  <si>
    <t>RASPA RONALD W             MD</t>
  </si>
  <si>
    <t>RASPA RONALD DR.</t>
  </si>
  <si>
    <t>TOWNSEND MED ART BLG</t>
  </si>
  <si>
    <t>Dr.Martinez</t>
  </si>
  <si>
    <t>CrystalHartley-Lee</t>
  </si>
  <si>
    <t>(212) 289-0147</t>
  </si>
  <si>
    <t>1824MadisonAvenue</t>
  </si>
  <si>
    <t>Dr.CarolineSalas</t>
  </si>
  <si>
    <t>1065SouthernBlvd.</t>
  </si>
  <si>
    <t>EllaLeers</t>
  </si>
  <si>
    <t>(718) 918-8750</t>
  </si>
  <si>
    <t>1826ArthurAve</t>
  </si>
  <si>
    <t>EltonStrauss</t>
  </si>
  <si>
    <t>E0251566</t>
  </si>
  <si>
    <t>STRAUSS ELTON MD</t>
  </si>
  <si>
    <t>(212) 241-1648</t>
  </si>
  <si>
    <t>STRAUSS ELTON DR.</t>
  </si>
  <si>
    <t>ErinWalsh</t>
  </si>
  <si>
    <t>(718) 920-2020</t>
  </si>
  <si>
    <t>Kundnani-Kriplani,AneelaMD</t>
  </si>
  <si>
    <t>E0355700</t>
  </si>
  <si>
    <t>KUNDNANI-KRIPLANI ANEELA</t>
  </si>
  <si>
    <t>714 10TH TENTH STREET</t>
  </si>
  <si>
    <t>SECAUCUS</t>
  </si>
  <si>
    <t>Landau,StanislawMD,FACOG</t>
  </si>
  <si>
    <t>E0208381</t>
  </si>
  <si>
    <t>LANDAU STANISLAW T         MD</t>
  </si>
  <si>
    <t>LANDAU STANISLAW</t>
  </si>
  <si>
    <t>LANDAU STANISLAW TADEUSZ</t>
  </si>
  <si>
    <t>VictorYimMD</t>
  </si>
  <si>
    <t>E0108676</t>
  </si>
  <si>
    <t>YIM VICTOR J MD</t>
  </si>
  <si>
    <t>YIM VICTOR DR.</t>
  </si>
  <si>
    <t>1619 PITKIN AVE</t>
  </si>
  <si>
    <t>Taylor,MeletaNP</t>
  </si>
  <si>
    <t>AminJoseph</t>
  </si>
  <si>
    <t>JohnBean</t>
  </si>
  <si>
    <t>(212) 932-2793</t>
  </si>
  <si>
    <t>jbean@thebridgeny.org</t>
  </si>
  <si>
    <t>13West103rdStreet</t>
  </si>
  <si>
    <t>Ny</t>
  </si>
  <si>
    <t>JonKose</t>
  </si>
  <si>
    <t>(212) 663-3000</t>
  </si>
  <si>
    <t>jkose@thebridgeny.org</t>
  </si>
  <si>
    <t>912AmsterdamAve</t>
  </si>
  <si>
    <t>LARISAMARARENKO</t>
  </si>
  <si>
    <t>E0018080</t>
  </si>
  <si>
    <t>MARARENKO LARISA MD</t>
  </si>
  <si>
    <t>(347) 751-9461</t>
  </si>
  <si>
    <t>LARISAM5@YAHOO.COM</t>
  </si>
  <si>
    <t>MARARENKO LARISA DR.</t>
  </si>
  <si>
    <t>1335 LINDEN BLVD STE 100</t>
  </si>
  <si>
    <t>WELLINGTONLIU</t>
  </si>
  <si>
    <t>STUARTWEGER</t>
  </si>
  <si>
    <t>ROSSFRIEDMAN</t>
  </si>
  <si>
    <t>LILYYEE</t>
  </si>
  <si>
    <t>Smoke,Neil</t>
  </si>
  <si>
    <t>NatalieLigonde</t>
  </si>
  <si>
    <t>(212) 828-6144</t>
  </si>
  <si>
    <t>nligonde@unionsettlement.org</t>
  </si>
  <si>
    <t>RobinFoley</t>
  </si>
  <si>
    <t>E0284166</t>
  </si>
  <si>
    <t>FOLEY ROBIN</t>
  </si>
  <si>
    <t>AllisonSilvers</t>
  </si>
  <si>
    <t>(212) 337-5755</t>
  </si>
  <si>
    <t>Allisons@villagecare.org</t>
  </si>
  <si>
    <t>FOLEY ROBIN E</t>
  </si>
  <si>
    <t>KennethMoberg,NP</t>
  </si>
  <si>
    <t>121AW20Street</t>
  </si>
  <si>
    <t>YORKSINGCHAN</t>
  </si>
  <si>
    <t>RichardLee</t>
  </si>
  <si>
    <t>E0039565</t>
  </si>
  <si>
    <t>LEE RICHARD</t>
  </si>
  <si>
    <t>AnaTaras</t>
  </si>
  <si>
    <t>(212) 316-7944</t>
  </si>
  <si>
    <t>ana.taras@ryancenter.org</t>
  </si>
  <si>
    <t>ElenaHoltzman</t>
  </si>
  <si>
    <t>Santana,BrittneyPA</t>
  </si>
  <si>
    <t>E0327500</t>
  </si>
  <si>
    <t>BRELEFSKI BRITTNEY LYNNE</t>
  </si>
  <si>
    <t>SANTANA BRITTNEY MRS.</t>
  </si>
  <si>
    <t>SANTANA BRITTNEY LYNNE</t>
  </si>
  <si>
    <t>95 CRYSTAL RUN RD</t>
  </si>
  <si>
    <t>ChandraKaushik</t>
  </si>
  <si>
    <t>HowardKrigsman</t>
  </si>
  <si>
    <t>DavidKroner</t>
  </si>
  <si>
    <t>SurLee</t>
  </si>
  <si>
    <t>Klimenko,Elena,MD</t>
  </si>
  <si>
    <t>E0057766</t>
  </si>
  <si>
    <t>KLIMENKO ELENA A MD</t>
  </si>
  <si>
    <t>KLIMENKO ELENA</t>
  </si>
  <si>
    <t>StuartBirnbaum,D.P.M.</t>
  </si>
  <si>
    <t>AmsterdamNursingHome</t>
  </si>
  <si>
    <t>(212) 316-7700</t>
  </si>
  <si>
    <t>jblass@amsterdamnh.org</t>
  </si>
  <si>
    <t>MichaelTaitt,M.D.</t>
  </si>
  <si>
    <t>E0022948</t>
  </si>
  <si>
    <t>TAITT MICHAEL R MD</t>
  </si>
  <si>
    <t>TAITT MICHAEL DR.</t>
  </si>
  <si>
    <t>1760 3RD AVE</t>
  </si>
  <si>
    <t>EmilyStein</t>
  </si>
  <si>
    <t>E0354788</t>
  </si>
  <si>
    <t>STEIN EMILY S</t>
  </si>
  <si>
    <t>AbbeyNyamekye</t>
  </si>
  <si>
    <t>(212) 803-2719</t>
  </si>
  <si>
    <t>abbeyn@cucs.org</t>
  </si>
  <si>
    <t>STEIN EMILY</t>
  </si>
  <si>
    <t>198 E 121ST ST FL 5</t>
  </si>
  <si>
    <t>SarahSchur-McCarty</t>
  </si>
  <si>
    <t>E0354779</t>
  </si>
  <si>
    <t>SCHUR MCCARTY SARAH</t>
  </si>
  <si>
    <t>Selman,Jay</t>
  </si>
  <si>
    <t>EDWARDNG</t>
  </si>
  <si>
    <t>Seimon,Leonard</t>
  </si>
  <si>
    <t>Didie,Mary</t>
  </si>
  <si>
    <t>Mitchell,Millicent</t>
  </si>
  <si>
    <t>Mast,Joelle</t>
  </si>
  <si>
    <t>Tan,Patricia</t>
  </si>
  <si>
    <t>Kim,Heakyung</t>
  </si>
  <si>
    <t>Klein,Scott</t>
  </si>
  <si>
    <t>Silverman,Kathy</t>
  </si>
  <si>
    <t>Ortiz,Benjamin</t>
  </si>
  <si>
    <t>Banquet,Agnes</t>
  </si>
  <si>
    <t>Borkow,Richard</t>
  </si>
  <si>
    <t>Wei,Xiofang</t>
  </si>
  <si>
    <t>Dejhalla,Mana</t>
  </si>
  <si>
    <t>Alejandro,Ruth</t>
  </si>
  <si>
    <t>AngelaKedzior,MD,FASAM,ABPN</t>
  </si>
  <si>
    <t>E0076790</t>
  </si>
  <si>
    <t>KEDZIOR ANGELA B</t>
  </si>
  <si>
    <t>HeatherDonahue</t>
  </si>
  <si>
    <t>(212) 803-5709</t>
  </si>
  <si>
    <t>hdonahue@brc.org</t>
  </si>
  <si>
    <t>KEDZIOR ANGELA</t>
  </si>
  <si>
    <t>127 W 25TH ST</t>
  </si>
  <si>
    <t>KennethPowers</t>
  </si>
  <si>
    <t>E0140171</t>
  </si>
  <si>
    <t>POWERS KENNETH J MD</t>
  </si>
  <si>
    <t>POWERS KENNETH DR.</t>
  </si>
  <si>
    <t>SadhisRivas</t>
  </si>
  <si>
    <t>E0198518</t>
  </si>
  <si>
    <t>RIVAS SADHIS</t>
  </si>
  <si>
    <t>RIVAS SADHIS DR.</t>
  </si>
  <si>
    <t>260 AVENUE X</t>
  </si>
  <si>
    <t>Jaffee,RobertMD</t>
  </si>
  <si>
    <t>E0219274</t>
  </si>
  <si>
    <t>JAFFEE ROBERT MARC</t>
  </si>
  <si>
    <t>JAFFEE ROBERT DR.</t>
  </si>
  <si>
    <t>LaureltonPharmacy</t>
  </si>
  <si>
    <t>E0092075</t>
  </si>
  <si>
    <t>WALGREEN EASTERN CO INC.</t>
  </si>
  <si>
    <t>ChristaGrant</t>
  </si>
  <si>
    <t>(718) 712-7895</t>
  </si>
  <si>
    <t>WALGREEN EASTERN CO INC # 05051</t>
  </si>
  <si>
    <t>21914 MERRICK BLVD</t>
  </si>
  <si>
    <t>DrugDepotPharmacy</t>
  </si>
  <si>
    <t>E0075166</t>
  </si>
  <si>
    <t>DRUG DEPOT CORP</t>
  </si>
  <si>
    <t>RalphM.</t>
  </si>
  <si>
    <t>(718) 620-9000</t>
  </si>
  <si>
    <t>DRUGDEPOTCORP</t>
  </si>
  <si>
    <t>619 E 169TH ST</t>
  </si>
  <si>
    <t>MameshPharmacy</t>
  </si>
  <si>
    <t>E0183439</t>
  </si>
  <si>
    <t>DINESH PHARMACY INC</t>
  </si>
  <si>
    <t>KalpanaDesei</t>
  </si>
  <si>
    <t>(718) 842-3807</t>
  </si>
  <si>
    <t>AlbertMatuza</t>
  </si>
  <si>
    <t>LindaKawamDO</t>
  </si>
  <si>
    <t>E0338616</t>
  </si>
  <si>
    <t>KAWAM LINDA RENEE</t>
  </si>
  <si>
    <t>KAWAM LINDA DR.</t>
  </si>
  <si>
    <t>EngKockTan</t>
  </si>
  <si>
    <t>E0275114</t>
  </si>
  <si>
    <t>TAN ENG KOCK C             MD</t>
  </si>
  <si>
    <t>JenniferTine</t>
  </si>
  <si>
    <t>TAN ENGKOCK DR.</t>
  </si>
  <si>
    <t>TAN ENG KOCK C</t>
  </si>
  <si>
    <t>4123 3RD AVE</t>
  </si>
  <si>
    <t>AlexanderLosevMD</t>
  </si>
  <si>
    <t>E0092516</t>
  </si>
  <si>
    <t>LOSEV ALEXANDER MD</t>
  </si>
  <si>
    <t>LOSEV ALEXANDER DR.</t>
  </si>
  <si>
    <t>MMC HEMA/ONOCOLOGY</t>
  </si>
  <si>
    <t>MauriceMosseriMD</t>
  </si>
  <si>
    <t>E0129310</t>
  </si>
  <si>
    <t>MOSSERI MAURICE MD</t>
  </si>
  <si>
    <t>MOSSERI MAURICE MR.</t>
  </si>
  <si>
    <t>SHEEPSHEAD NURS HM</t>
  </si>
  <si>
    <t>NormanSaffraMD</t>
  </si>
  <si>
    <t>E0164263</t>
  </si>
  <si>
    <t>SAFFRA NORMAN A MD</t>
  </si>
  <si>
    <t>SAFFRA NORMAN DR.</t>
  </si>
  <si>
    <t>SAFFRA NORMAN A</t>
  </si>
  <si>
    <t>CirKortPharmacy</t>
  </si>
  <si>
    <t>E0119767</t>
  </si>
  <si>
    <t>TEJ PHARMACY INC</t>
  </si>
  <si>
    <t>Harry</t>
  </si>
  <si>
    <t>(718) 585-7061</t>
  </si>
  <si>
    <t>414 WILLIS AVE</t>
  </si>
  <si>
    <t>EmbassyPharmacy</t>
  </si>
  <si>
    <t>E0153669</t>
  </si>
  <si>
    <t>BOAN DRUGS INC</t>
  </si>
  <si>
    <t>RichardYufuff</t>
  </si>
  <si>
    <t>(212) 690-1331</t>
  </si>
  <si>
    <t>1873 AMSTERDAM AVE</t>
  </si>
  <si>
    <t>MetropolitanPharmacy</t>
  </si>
  <si>
    <t>E0112072</t>
  </si>
  <si>
    <t>METROPOLITAN PHARMACY INC</t>
  </si>
  <si>
    <t>MjaidMohamed</t>
  </si>
  <si>
    <t>(212) 831-1000</t>
  </si>
  <si>
    <t>METROPOLITAN PHARMACY, INC</t>
  </si>
  <si>
    <t>1982 2ND AVE</t>
  </si>
  <si>
    <t>MelrosePharmacy</t>
  </si>
  <si>
    <t>E0316717</t>
  </si>
  <si>
    <t>DUANE READE</t>
  </si>
  <si>
    <t>JamesCannelo</t>
  </si>
  <si>
    <t>(718) 292-1856</t>
  </si>
  <si>
    <t>DUANE READE #490</t>
  </si>
  <si>
    <t>666 COURTLANDT AVE</t>
  </si>
  <si>
    <t>DrugShoppePharmacy</t>
  </si>
  <si>
    <t>E0052273</t>
  </si>
  <si>
    <t>DRUG SHOPPE LLC</t>
  </si>
  <si>
    <t>AnidaUtak</t>
  </si>
  <si>
    <t>(213) 222-3652</t>
  </si>
  <si>
    <t>2074 FREDERICK DOUGLASS BLVD</t>
  </si>
  <si>
    <t>NewLondanPharmacy</t>
  </si>
  <si>
    <t>E0273086</t>
  </si>
  <si>
    <t>NEW LONDON PHARMACY       INC</t>
  </si>
  <si>
    <t>MichaelM.</t>
  </si>
  <si>
    <t>(212) 243-4987</t>
  </si>
  <si>
    <t>NEW LONDON PHARMACY INC</t>
  </si>
  <si>
    <t>246 8TH AVE</t>
  </si>
  <si>
    <t>HealthmaxPharmacy</t>
  </si>
  <si>
    <t>E0076286</t>
  </si>
  <si>
    <t>HEALTHMAX CORPORATION</t>
  </si>
  <si>
    <t>GaryStavin</t>
  </si>
  <si>
    <t>(718) 296-0400</t>
  </si>
  <si>
    <t>8007 JAMAICA AVE</t>
  </si>
  <si>
    <t>DavidScher</t>
  </si>
  <si>
    <t>E0091451</t>
  </si>
  <si>
    <t>SCHER DAVID MARX MD</t>
  </si>
  <si>
    <t>(212) 606-1253</t>
  </si>
  <si>
    <t>SCHER DAVID</t>
  </si>
  <si>
    <t>SCHER DAVID MARX</t>
  </si>
  <si>
    <t>MylesSchiller</t>
  </si>
  <si>
    <t>(718) 761-2370</t>
  </si>
  <si>
    <t>BarbaraZeller</t>
  </si>
  <si>
    <t>ElizabethLutas</t>
  </si>
  <si>
    <t>RuddyCalderon</t>
  </si>
  <si>
    <t>JamesHo</t>
  </si>
  <si>
    <t>MichaelWardMD</t>
  </si>
  <si>
    <t>E0025065</t>
  </si>
  <si>
    <t>WARD MICHAEL FRANCIS MD</t>
  </si>
  <si>
    <t>WARD MICHAEL</t>
  </si>
  <si>
    <t>JeanneBaerMD</t>
  </si>
  <si>
    <t>E0278273</t>
  </si>
  <si>
    <t>BAER JEANNE W MD</t>
  </si>
  <si>
    <t>BAER JEANNE DR.</t>
  </si>
  <si>
    <t>BAER JEANNE W              MD</t>
  </si>
  <si>
    <t>MORNINGSIDE RADIOLOG</t>
  </si>
  <si>
    <t>AnnaPawlikMD</t>
  </si>
  <si>
    <t>E0139464</t>
  </si>
  <si>
    <t>PAWLIK ANNA TERESA MD</t>
  </si>
  <si>
    <t>PAWLIK ANNA</t>
  </si>
  <si>
    <t>557 LEONARD ST</t>
  </si>
  <si>
    <t>CharlesPearlmanMD</t>
  </si>
  <si>
    <t>Bele,MarkDO</t>
  </si>
  <si>
    <t>E0042235</t>
  </si>
  <si>
    <t>BELE MARK JOSEPH DO</t>
  </si>
  <si>
    <t>BELE MARK</t>
  </si>
  <si>
    <t>GalinaLevinMD</t>
  </si>
  <si>
    <t>E0006348</t>
  </si>
  <si>
    <t>LEVIN GALINA MD</t>
  </si>
  <si>
    <t>LEVIN GALINA DR.</t>
  </si>
  <si>
    <t>1ST AVENUE AT 16TH STREET</t>
  </si>
  <si>
    <t>Kouloumbinis,PanagiotisPA-C</t>
  </si>
  <si>
    <t>E0365055</t>
  </si>
  <si>
    <t>KOULOUMBINIS PANAGIOTIS N</t>
  </si>
  <si>
    <t>KOULOUMBINIS PANAGIOTIS</t>
  </si>
  <si>
    <t>VeronicaMarmara</t>
  </si>
  <si>
    <t>Dr.Rangsy</t>
  </si>
  <si>
    <t>(718) 579-5000</t>
  </si>
  <si>
    <t>234East149thStreet</t>
  </si>
  <si>
    <t>Dr.Clark</t>
  </si>
  <si>
    <t>(718) 220-2020</t>
  </si>
  <si>
    <t>470EastFordhamRoad</t>
  </si>
  <si>
    <t>Dr.RichardLevine</t>
  </si>
  <si>
    <t>(718) 918-5437</t>
  </si>
  <si>
    <t>3424KossuthAvenue</t>
  </si>
  <si>
    <t>Dr.RashimaJain</t>
  </si>
  <si>
    <t>(718) 918-5700</t>
  </si>
  <si>
    <t>2175WestchesterAvenue</t>
  </si>
  <si>
    <t>Dr.Kumar</t>
  </si>
  <si>
    <t>AdityaPatelMD</t>
  </si>
  <si>
    <t>E0338619</t>
  </si>
  <si>
    <t>PATEL ADITYA MAHENDRA</t>
  </si>
  <si>
    <t>PATEL ADITYA DR.</t>
  </si>
  <si>
    <t>Abdullah,FariaMD</t>
  </si>
  <si>
    <t>E0353463</t>
  </si>
  <si>
    <t>ABDULLAH FARIA</t>
  </si>
  <si>
    <t>Alturna,Barry,MD</t>
  </si>
  <si>
    <t>E0188008</t>
  </si>
  <si>
    <t>ALTURA BARRY MD</t>
  </si>
  <si>
    <t>ALTURA BARRY</t>
  </si>
  <si>
    <t>90 IRWIN AVE</t>
  </si>
  <si>
    <t>Abulfaraj,MoazMD</t>
  </si>
  <si>
    <t>E0382896</t>
  </si>
  <si>
    <t>ABULFARAJ MOAZ</t>
  </si>
  <si>
    <t>ABULFARAJ MOAZ DR.</t>
  </si>
  <si>
    <t>ABULFARAJ MOAZ WALEED</t>
  </si>
  <si>
    <t>Kubart,NicolePA</t>
  </si>
  <si>
    <t>E0391824</t>
  </si>
  <si>
    <t>KUBART NICOLE ROSE</t>
  </si>
  <si>
    <t>GAREY NICOLE</t>
  </si>
  <si>
    <t>Chen,DavidMD</t>
  </si>
  <si>
    <t>E0382880</t>
  </si>
  <si>
    <t>CHEN DAVID</t>
  </si>
  <si>
    <t>CHEN DAVID DR.</t>
  </si>
  <si>
    <t>Dr.LucindaL.Ripoll</t>
  </si>
  <si>
    <t>E0147648</t>
  </si>
  <si>
    <t>RIPOLL LUCINDA L MD</t>
  </si>
  <si>
    <t>MariaLorenzo</t>
  </si>
  <si>
    <t>(718) 698-8800</t>
  </si>
  <si>
    <t>Admin@goldengaterehab.com</t>
  </si>
  <si>
    <t>RIPOLL LUCINDA DR.</t>
  </si>
  <si>
    <t>347 EDISON ST</t>
  </si>
  <si>
    <t>IrinaMeyerMD</t>
  </si>
  <si>
    <t>E0020916</t>
  </si>
  <si>
    <t>KAYLAKOVA IRINA MD</t>
  </si>
  <si>
    <t>MEYER IRINA</t>
  </si>
  <si>
    <t>162-04 JAMAICA AVE</t>
  </si>
  <si>
    <t>WandaMarinoMD</t>
  </si>
  <si>
    <t>E0214593</t>
  </si>
  <si>
    <t>TEODOROWICZ MARINO WANDA   MD</t>
  </si>
  <si>
    <t>TEODOROWICZ-MARINO WANDA</t>
  </si>
  <si>
    <t>698 MANHATTAN AVE</t>
  </si>
  <si>
    <t>Karpfen,Robin,MD,FACOG</t>
  </si>
  <si>
    <t>E0209265</t>
  </si>
  <si>
    <t>KARPFEN ROBIN B            MD</t>
  </si>
  <si>
    <t>KARPFEN ROBIN</t>
  </si>
  <si>
    <t>RenataWeberMD</t>
  </si>
  <si>
    <t>E0013678</t>
  </si>
  <si>
    <t>WEBER RENATA VANJA  MD</t>
  </si>
  <si>
    <t>WEBER RENATA</t>
  </si>
  <si>
    <t>AnthonyPerkinsMD</t>
  </si>
  <si>
    <t>E0390435</t>
  </si>
  <si>
    <t>PERKINS ANTHONY RAY</t>
  </si>
  <si>
    <t>PERKINS ANTHONY DR.</t>
  </si>
  <si>
    <t>1046 S ORANGE AVE</t>
  </si>
  <si>
    <t>SHORT HILLS</t>
  </si>
  <si>
    <t>Baker,PaulMD</t>
  </si>
  <si>
    <t>E0243292</t>
  </si>
  <si>
    <t>BAKER PAUL MARK            MD</t>
  </si>
  <si>
    <t>BAKER PAUL DR.</t>
  </si>
  <si>
    <t>BAKER PAUL MARK</t>
  </si>
  <si>
    <t>Dr.Gomez</t>
  </si>
  <si>
    <t>625EastFordhamRoad</t>
  </si>
  <si>
    <t>Dr.Chan</t>
  </si>
  <si>
    <t>(212) 677-2157</t>
  </si>
  <si>
    <t>94East1stStreet</t>
  </si>
  <si>
    <t>Dr.Kapoor</t>
  </si>
  <si>
    <t>(718) 409-8981</t>
  </si>
  <si>
    <t>2300WestchesterAvenue</t>
  </si>
  <si>
    <t>EvaRaj</t>
  </si>
  <si>
    <t>E0432954</t>
  </si>
  <si>
    <t>RAJ EVA</t>
  </si>
  <si>
    <t>RAJ EVA DR.</t>
  </si>
  <si>
    <t>685 WHITE PLAINS RD</t>
  </si>
  <si>
    <t>CuongPhanMD</t>
  </si>
  <si>
    <t>E0234997</t>
  </si>
  <si>
    <t>PHAN CUONG Q               MD</t>
  </si>
  <si>
    <t>PHAN CUONG</t>
  </si>
  <si>
    <t>BETH ISRAEL HOSPITAL</t>
  </si>
  <si>
    <t>PerriMalek</t>
  </si>
  <si>
    <t>PaulMarkel</t>
  </si>
  <si>
    <t>YanLingGao,M.D.</t>
  </si>
  <si>
    <t>E0081462</t>
  </si>
  <si>
    <t>GAO YAN LING MD</t>
  </si>
  <si>
    <t>NavneetKathuria,MD</t>
  </si>
  <si>
    <t>(212) 273-6100</t>
  </si>
  <si>
    <t>navneet.kathuria@yai.org</t>
  </si>
  <si>
    <t>GAO YAN LING</t>
  </si>
  <si>
    <t>STE 4K</t>
  </si>
  <si>
    <t>JeffreyRouse</t>
  </si>
  <si>
    <t>Silvestri,JenniferPA-C</t>
  </si>
  <si>
    <t>E0366092</t>
  </si>
  <si>
    <t>SILVESTRI JENNIFER</t>
  </si>
  <si>
    <t>ChristinaShenkoMD</t>
  </si>
  <si>
    <t>E0349092</t>
  </si>
  <si>
    <t>SHENKO CHRISTINA ANGELA</t>
  </si>
  <si>
    <t>SHENKO CHRISTINA</t>
  </si>
  <si>
    <t>PeterLegnaniMD</t>
  </si>
  <si>
    <t>E0108741</t>
  </si>
  <si>
    <t>LEGNANI PETER E MD</t>
  </si>
  <si>
    <t>LEGNANI PETER DR.</t>
  </si>
  <si>
    <t>PARK AVE MED CARE GR</t>
  </si>
  <si>
    <t>Dr.Sartan</t>
  </si>
  <si>
    <t>(718) 329-4968</t>
  </si>
  <si>
    <t>3010JeromeAvenue</t>
  </si>
  <si>
    <t>Dr.PrakkashKancherla</t>
  </si>
  <si>
    <t>500EastFordhamRoad</t>
  </si>
  <si>
    <t>LeoMenkesDO</t>
  </si>
  <si>
    <t>E0293029</t>
  </si>
  <si>
    <t>MENKES LEO</t>
  </si>
  <si>
    <t>MENKES LEO DR.</t>
  </si>
  <si>
    <t>SimerjitKaur</t>
  </si>
  <si>
    <t>GraceChin,DDS(Director)</t>
  </si>
  <si>
    <t>DomingoAugustino</t>
  </si>
  <si>
    <t>(347) 577-4950</t>
  </si>
  <si>
    <t>gchin@montefiore.org</t>
  </si>
  <si>
    <t>MichaelDiazMD</t>
  </si>
  <si>
    <t>E0217440</t>
  </si>
  <si>
    <t>DIAZ MICHAEL               MD</t>
  </si>
  <si>
    <t>StephenPerroneMD</t>
  </si>
  <si>
    <t>E0212394</t>
  </si>
  <si>
    <t>PERRONE STEPHEN C MD</t>
  </si>
  <si>
    <t>PERRONE STEPHEN</t>
  </si>
  <si>
    <t>PERRONE STEPHEN CHRISTOPHER JOSEPH</t>
  </si>
  <si>
    <t>4820 5TH AVE</t>
  </si>
  <si>
    <t>Priester,WilliamMD</t>
  </si>
  <si>
    <t>E0249887</t>
  </si>
  <si>
    <t>PRIESTER WILLIAM D         MD</t>
  </si>
  <si>
    <t>PRIESTER WILLIAM DR.</t>
  </si>
  <si>
    <t>PRIESTER WILLIAM D</t>
  </si>
  <si>
    <t>150 E 71ST ST</t>
  </si>
  <si>
    <t>RickyMunter</t>
  </si>
  <si>
    <t>MadelonMurphy</t>
  </si>
  <si>
    <t>NajlaNajeeb</t>
  </si>
  <si>
    <t>AhmedNoureldeen</t>
  </si>
  <si>
    <t>JamesChengMD</t>
  </si>
  <si>
    <t>E0104263</t>
  </si>
  <si>
    <t>CHENG JAMES MD</t>
  </si>
  <si>
    <t>CHENG JAMES</t>
  </si>
  <si>
    <t>KiranmayiAchalla</t>
  </si>
  <si>
    <t>JonathanZellan</t>
  </si>
  <si>
    <t>Heins,BeckyNP</t>
  </si>
  <si>
    <t>E0382914</t>
  </si>
  <si>
    <t>HEINS BECKY ANN</t>
  </si>
  <si>
    <t>HEINS BECKY</t>
  </si>
  <si>
    <t>Kumar,Neel</t>
  </si>
  <si>
    <t>E0382916</t>
  </si>
  <si>
    <t>KUMAR NEEL</t>
  </si>
  <si>
    <t>KUMAR NEEL MUKUL</t>
  </si>
  <si>
    <t>Kirchhoff,CarlHendrickMD</t>
  </si>
  <si>
    <t>E0382909</t>
  </si>
  <si>
    <t>KIRCHHOFF CARL</t>
  </si>
  <si>
    <t>KIRCHHOFF CARL HENDRIK</t>
  </si>
  <si>
    <t>Gill,GurpreetMD</t>
  </si>
  <si>
    <t>E0382906</t>
  </si>
  <si>
    <t>GILL GURPREET</t>
  </si>
  <si>
    <t>Gluzman,NelliDO</t>
  </si>
  <si>
    <t>E0382897</t>
  </si>
  <si>
    <t>GLUZMAN NELLI</t>
  </si>
  <si>
    <t>GLUZMAN NELLI DR.</t>
  </si>
  <si>
    <t>Kotikela,SumathiMD</t>
  </si>
  <si>
    <t>E0364048</t>
  </si>
  <si>
    <t>KOTIKELA SUMATHI</t>
  </si>
  <si>
    <t>81 RONALD REAGAN BOU</t>
  </si>
  <si>
    <t>Knipp,JohnMD</t>
  </si>
  <si>
    <t>E0250424</t>
  </si>
  <si>
    <t>KNIPP JOHN E               MD</t>
  </si>
  <si>
    <t>KNIPP JOHN DR.</t>
  </si>
  <si>
    <t>61 E MAIN ST</t>
  </si>
  <si>
    <t>Lettsome,LydellMD</t>
  </si>
  <si>
    <t>E0054028</t>
  </si>
  <si>
    <t>LETTSOME LYDELL CECIL MD</t>
  </si>
  <si>
    <t>LETTSOME LYDELL</t>
  </si>
  <si>
    <t>JollyRadhakrishnanMD</t>
  </si>
  <si>
    <t>E0139456</t>
  </si>
  <si>
    <t>RADHAKRISHNAN JOLLY MD</t>
  </si>
  <si>
    <t>RADHAKRISHNAN JOLLY DR.</t>
  </si>
  <si>
    <t>Pathrose,BinduDO</t>
  </si>
  <si>
    <t>E0294367</t>
  </si>
  <si>
    <t>PATHROSE BINDU</t>
  </si>
  <si>
    <t>PATHROSE BINDU DR.</t>
  </si>
  <si>
    <t>PATHROSE BINDU DO</t>
  </si>
  <si>
    <t>Phyu,SabaiMD</t>
  </si>
  <si>
    <t>E0382928</t>
  </si>
  <si>
    <t>PHYU SABAI</t>
  </si>
  <si>
    <t>Butler,RenitaMD</t>
  </si>
  <si>
    <t>E0059192</t>
  </si>
  <si>
    <t>BUTLER RENITA DANETTE MD</t>
  </si>
  <si>
    <t>BUTLER RENITA DR.</t>
  </si>
  <si>
    <t>Caramico,AnthonyMD</t>
  </si>
  <si>
    <t>E0089485</t>
  </si>
  <si>
    <t>CARAMICO ANTHONY MD</t>
  </si>
  <si>
    <t>CARAMICO ANTHONY MR.</t>
  </si>
  <si>
    <t>RoseVayLyMD</t>
  </si>
  <si>
    <t>E0125083</t>
  </si>
  <si>
    <t>LY ROSE VAY LUONG MD</t>
  </si>
  <si>
    <t>LY ROSE VAY</t>
  </si>
  <si>
    <t>PapannaRavichandraMD</t>
  </si>
  <si>
    <t>E0122341</t>
  </si>
  <si>
    <t>RAVICHANDRA PAPANNA MD</t>
  </si>
  <si>
    <t>RAVICHANDRA PAPANNA DR.</t>
  </si>
  <si>
    <t>41 W 125TH ST</t>
  </si>
  <si>
    <t>SYEDRAZAMD</t>
  </si>
  <si>
    <t>E0231499</t>
  </si>
  <si>
    <t>SYED RAZA MD PC</t>
  </si>
  <si>
    <t>RAZA SYED DR.</t>
  </si>
  <si>
    <t>16TH ST AT 1ST AVENUE</t>
  </si>
  <si>
    <t>EvelinaKahn-KappMD</t>
  </si>
  <si>
    <t>E0209269</t>
  </si>
  <si>
    <t>KAHN-KAPP EVELINA LUCIA    MD</t>
  </si>
  <si>
    <t>KAHN-KAPP EVELINA DR.</t>
  </si>
  <si>
    <t>KAHN-KAPP EVELINA LUCIA</t>
  </si>
  <si>
    <t>585 SCHENECTADY AVENUE</t>
  </si>
  <si>
    <t>Freese,Ali</t>
  </si>
  <si>
    <t>SidneyContreras</t>
  </si>
  <si>
    <t>(212) 938-5898</t>
  </si>
  <si>
    <t>scontreras@sunyopt.edu</t>
  </si>
  <si>
    <t>33W42ndStreet</t>
  </si>
  <si>
    <t>Mamkin,AndreyMD</t>
  </si>
  <si>
    <t>E0362837</t>
  </si>
  <si>
    <t>MAMKIN ANDREY</t>
  </si>
  <si>
    <t>MAMKIN ANDREY DR.</t>
  </si>
  <si>
    <t>KaramchandRameshwar</t>
  </si>
  <si>
    <t>KarenStephenson</t>
  </si>
  <si>
    <t>MichaelFano</t>
  </si>
  <si>
    <t>ShidehMaybodyMD</t>
  </si>
  <si>
    <t>E0003901</t>
  </si>
  <si>
    <t>MAYBODY SHIDEH</t>
  </si>
  <si>
    <t>30-16 30TH DRIVE</t>
  </si>
  <si>
    <t>JayenderaSharma</t>
  </si>
  <si>
    <t>(212) 241-4812</t>
  </si>
  <si>
    <t>JeffreyStock</t>
  </si>
  <si>
    <t>E0120223</t>
  </si>
  <si>
    <t>STOCK JEFFREY A MD</t>
  </si>
  <si>
    <t>STOCK JEFFREY DR.</t>
  </si>
  <si>
    <t>MindyBrittner</t>
  </si>
  <si>
    <t>(718) 933-2400</t>
  </si>
  <si>
    <t>BRITTNER MINDY DR.</t>
  </si>
  <si>
    <t>221 W 22ND ST, APT B1</t>
  </si>
  <si>
    <t>Hazeghi,JavadMD</t>
  </si>
  <si>
    <t>E0382905</t>
  </si>
  <si>
    <t>HAZEGHI JAVAD</t>
  </si>
  <si>
    <t>Khanna,Ila</t>
  </si>
  <si>
    <t>E0382938</t>
  </si>
  <si>
    <t>KHANNA ILA</t>
  </si>
  <si>
    <t>7 HATFIELD LN</t>
  </si>
  <si>
    <t>Martinez,ZanetaNP</t>
  </si>
  <si>
    <t>E0383366</t>
  </si>
  <si>
    <t>MARTINEZ ZANETA</t>
  </si>
  <si>
    <t>MARTINEZ ZANETA M</t>
  </si>
  <si>
    <t>Schiffer,RobertaNP</t>
  </si>
  <si>
    <t>E0376361</t>
  </si>
  <si>
    <t>SCHIFFER ROBERTA</t>
  </si>
  <si>
    <t>SCHIFFER ROBERTA LYNN</t>
  </si>
  <si>
    <t>Sta.Maria,JacylnMD</t>
  </si>
  <si>
    <t>E0382927</t>
  </si>
  <si>
    <t>STA MARIA JACLYN</t>
  </si>
  <si>
    <t>STA. MARIA JACLYN ANNE</t>
  </si>
  <si>
    <t>STA MARIA JACLYN ANNE NUNEZ</t>
  </si>
  <si>
    <t>2 MEDICAL PARK DR STE 5</t>
  </si>
  <si>
    <t>Xie,MinuiMD</t>
  </si>
  <si>
    <t>E0382920</t>
  </si>
  <si>
    <t>XIE MINHUI</t>
  </si>
  <si>
    <t>197 MONHAGEN AVE</t>
  </si>
  <si>
    <t>Prince,JenniferDO</t>
  </si>
  <si>
    <t>E0382925</t>
  </si>
  <si>
    <t>PRINCE JENNIFER</t>
  </si>
  <si>
    <t>PRINCE JENNIFER LEE</t>
  </si>
  <si>
    <t>Jacob,NobleMD</t>
  </si>
  <si>
    <t>E0382902</t>
  </si>
  <si>
    <t>JACOB NOBLE</t>
  </si>
  <si>
    <t>JACOB NOBLE DR.</t>
  </si>
  <si>
    <t>JACOB NOBLE KURIAN</t>
  </si>
  <si>
    <t>2 MEDICAL PARK DR</t>
  </si>
  <si>
    <t>Dr.ShoblinaSrinicasan</t>
  </si>
  <si>
    <t>(718) 220-9757</t>
  </si>
  <si>
    <t>2385ArthurAvenue</t>
  </si>
  <si>
    <t>Dr.Goldman</t>
  </si>
  <si>
    <t>(718) 405-8040</t>
  </si>
  <si>
    <t>3400Bainbridge</t>
  </si>
  <si>
    <t>Dr.NinaJ.Huberman</t>
  </si>
  <si>
    <t>(718) 515-0601</t>
  </si>
  <si>
    <t>419BarnesAvenue</t>
  </si>
  <si>
    <t>Dr.JohnWalsh</t>
  </si>
  <si>
    <t>(718) 716-4400</t>
  </si>
  <si>
    <t>85WestBurnside</t>
  </si>
  <si>
    <t>Dr.Kotokos</t>
  </si>
  <si>
    <t>3444KossuthAvenue</t>
  </si>
  <si>
    <t>Dr.RonaldLong</t>
  </si>
  <si>
    <t>(914) 376-2372</t>
  </si>
  <si>
    <t>984N.BroadwaySuite321</t>
  </si>
  <si>
    <t>Dr.ArchanaSingiri</t>
  </si>
  <si>
    <t>2358CrotonaAvenue</t>
  </si>
  <si>
    <t>SimeonLauerMD</t>
  </si>
  <si>
    <t>AlanJordanMD</t>
  </si>
  <si>
    <t>E0262849</t>
  </si>
  <si>
    <t>JORDAN ALAN J PC           MD</t>
  </si>
  <si>
    <t>JORDAN ALAN DR.</t>
  </si>
  <si>
    <t>JORDAN ALAN J</t>
  </si>
  <si>
    <t>149 PIERREPONT ST</t>
  </si>
  <si>
    <t>ArnoldBelgraierMD</t>
  </si>
  <si>
    <t>E0264787</t>
  </si>
  <si>
    <t>BELGRAIER ARNOLD H         MD</t>
  </si>
  <si>
    <t>BELGRAIER ARNOLD DR.</t>
  </si>
  <si>
    <t>BELGRAIER ARNOLD HARVEY MD</t>
  </si>
  <si>
    <t>55 CENTRAL PARK WEST</t>
  </si>
  <si>
    <t>BronxCenterforRehabilitationandHealthCare</t>
  </si>
  <si>
    <t>IsaacRubin</t>
  </si>
  <si>
    <t>KathrynUnderwoodPA</t>
  </si>
  <si>
    <t>1stAvenueat16thStreet</t>
  </si>
  <si>
    <t>BurtonWisotskyMD</t>
  </si>
  <si>
    <t>E0136520</t>
  </si>
  <si>
    <t>WISOTSKY BURTON J MD</t>
  </si>
  <si>
    <t>WISOTSKY BURTON</t>
  </si>
  <si>
    <t>OMNI EYE SVC 9TH FL</t>
  </si>
  <si>
    <t>TerrilynReynolds</t>
  </si>
  <si>
    <t>AlexanderRock</t>
  </si>
  <si>
    <t>Micker,DeirdreNP</t>
  </si>
  <si>
    <t>E0053839</t>
  </si>
  <si>
    <t>MICKER DEIRDRE</t>
  </si>
  <si>
    <t>MICKER DEIRDRE MAE</t>
  </si>
  <si>
    <t>9 HDSN VLY PROF PLZ</t>
  </si>
  <si>
    <t>Mohammad,AsadDO</t>
  </si>
  <si>
    <t>E0351081</t>
  </si>
  <si>
    <t>MOHAMMAD ASAD</t>
  </si>
  <si>
    <t>Munzer,AndreiMD</t>
  </si>
  <si>
    <t>E0223508</t>
  </si>
  <si>
    <t>MUNZER ANDREI BERNARD      MD</t>
  </si>
  <si>
    <t>MUNZER ANDREI</t>
  </si>
  <si>
    <t>HUDSON VAL PROF PL</t>
  </si>
  <si>
    <t>RobertZoltanMD</t>
  </si>
  <si>
    <t>E0209616</t>
  </si>
  <si>
    <t>ZOLTAN ROBERT              MD</t>
  </si>
  <si>
    <t>ZOLTAN ROBERT DR.</t>
  </si>
  <si>
    <t>Scarlett,LissaMD</t>
  </si>
  <si>
    <t>E0052847</t>
  </si>
  <si>
    <t>SCARLETT LISSA ANNETTE MD</t>
  </si>
  <si>
    <t>SCARLETT LISSA</t>
  </si>
  <si>
    <t>DannaChungMD</t>
  </si>
  <si>
    <t>E0290469</t>
  </si>
  <si>
    <t>CHUNG DANNA</t>
  </si>
  <si>
    <t>CHUNG DANNA MD</t>
  </si>
  <si>
    <t>ArgusCommunity,Inc.(HH-CCM)</t>
  </si>
  <si>
    <t>DanielLowy,VP</t>
  </si>
  <si>
    <t>(718) 401-5650</t>
  </si>
  <si>
    <t>dlowy@arguscommunity.org</t>
  </si>
  <si>
    <t>ArgusCommunity,Inc.(ELS)</t>
  </si>
  <si>
    <t>ArgusCommunity,Inc.(CDTPI)</t>
  </si>
  <si>
    <t>HatsukoOtsuka,LCSW</t>
  </si>
  <si>
    <t>(718) 401-5700</t>
  </si>
  <si>
    <t>hotsuka@arguscommunity.org</t>
  </si>
  <si>
    <t>ZhannaGutnikMD</t>
  </si>
  <si>
    <t>DavidKesslerDMD,MD</t>
  </si>
  <si>
    <t>E0013520</t>
  </si>
  <si>
    <t>KESSLER DAVID A DDS</t>
  </si>
  <si>
    <t>KESSLER DAVID DR.</t>
  </si>
  <si>
    <t>183 N 6TH ST</t>
  </si>
  <si>
    <t>TerenceCardinalCookeHealthCareCenter</t>
  </si>
  <si>
    <t>NeilPollack</t>
  </si>
  <si>
    <t>E0219916</t>
  </si>
  <si>
    <t>AnthonyCurreriMD</t>
  </si>
  <si>
    <t>E0133687</t>
  </si>
  <si>
    <t>CURRERI ANTHONY GINO MD</t>
  </si>
  <si>
    <t>CURRERI ANTHONY DR.</t>
  </si>
  <si>
    <t>207 E 16TH ST</t>
  </si>
  <si>
    <t>CassenaCare</t>
  </si>
  <si>
    <t>MichaelSchrieber</t>
  </si>
  <si>
    <t>(718) 734-2750</t>
  </si>
  <si>
    <t>CatholicCharitiesBrooklynandQueens</t>
  </si>
  <si>
    <t>RonakParikh</t>
  </si>
  <si>
    <t>(212) 827-0660</t>
  </si>
  <si>
    <t>RonakParikh@sachspolicy.com</t>
  </si>
  <si>
    <t>JohnFlanaganMD</t>
  </si>
  <si>
    <t>E0213607</t>
  </si>
  <si>
    <t>FLANAGAN JOHN C            MD</t>
  </si>
  <si>
    <t>FLANAGAN JOHN</t>
  </si>
  <si>
    <t>950 5TH AVE</t>
  </si>
  <si>
    <t>VocationalInstructionProjectCommunityServices</t>
  </si>
  <si>
    <t>DeborahWitham</t>
  </si>
  <si>
    <t>1910ArthurAve</t>
  </si>
  <si>
    <t>RavindraGoyalMD</t>
  </si>
  <si>
    <t>E0258178</t>
  </si>
  <si>
    <t>GOYAL RAVINDRA KUMAR       MD</t>
  </si>
  <si>
    <t>GOYAL RAVINDRA DR.</t>
  </si>
  <si>
    <t>GOYAL RAVINDRA KUMAR MD</t>
  </si>
  <si>
    <t>1640 OCEAN AVE</t>
  </si>
  <si>
    <t>Boom!Health</t>
  </si>
  <si>
    <t>RosemaryCabrera</t>
  </si>
  <si>
    <t>Phair,JessicaNP</t>
  </si>
  <si>
    <t>E0333713</t>
  </si>
  <si>
    <t>PHAIR JESSICA E A</t>
  </si>
  <si>
    <t>PHAIR JESSICA</t>
  </si>
  <si>
    <t>400 WESTAGE BUSINESS CTR DR STE 209</t>
  </si>
  <si>
    <t>DanielCimafrancaMD</t>
  </si>
  <si>
    <t>E0188559</t>
  </si>
  <si>
    <t>CIMAFRANCA DANIEL LOPEZ MD</t>
  </si>
  <si>
    <t>CIMAFRANCA DANIEL</t>
  </si>
  <si>
    <t>CIMAFRANCA DANIEL LOPEZ</t>
  </si>
  <si>
    <t>CalvaryHomecare</t>
  </si>
  <si>
    <t>DavidGrayson</t>
  </si>
  <si>
    <t>(917) 312-4993</t>
  </si>
  <si>
    <t>JOPAL,LLCd/b/aBarnwellNursingandRehabilitationCenter</t>
  </si>
  <si>
    <t>JOPALatSt.James,LLCd/b/aMillsPondNursingandRehabilitationCenter</t>
  </si>
  <si>
    <t>Sodha,SamirMD</t>
  </si>
  <si>
    <t>E0042972</t>
  </si>
  <si>
    <t>SODHA SAMIR MD</t>
  </si>
  <si>
    <t>SODHA SAMIR</t>
  </si>
  <si>
    <t>CRYSTAL RUN HLTHC</t>
  </si>
  <si>
    <t>Ryan-NENACommunityHealthCenter</t>
  </si>
  <si>
    <t>E0273983</t>
  </si>
  <si>
    <t>WILLIAM F RYAN COMM HLTH CTR</t>
  </si>
  <si>
    <t>WILLIAM F. RYAN COMMUNITY HEALTH CENTER INC</t>
  </si>
  <si>
    <t>CatholicManagedLongTermCare,Inc.</t>
  </si>
  <si>
    <t>EvaEng</t>
  </si>
  <si>
    <t>(212) 752-4973</t>
  </si>
  <si>
    <t>eeng@archcare.org</t>
  </si>
  <si>
    <t>CenterforUrbanCommunityServices</t>
  </si>
  <si>
    <t>JoeDeGenova</t>
  </si>
  <si>
    <t>(212) 801-3324</t>
  </si>
  <si>
    <t>joe.degenova@cucs.org</t>
  </si>
  <si>
    <t>InstituteforCommunityLiving(ICL)</t>
  </si>
  <si>
    <t>HassanFarhatMD</t>
  </si>
  <si>
    <t>E0067053</t>
  </si>
  <si>
    <t>FARHAT HASSAN AIL MD</t>
  </si>
  <si>
    <t>FARHAT HASSAN</t>
  </si>
  <si>
    <t>DonaldFoxMD</t>
  </si>
  <si>
    <t>E0135984</t>
  </si>
  <si>
    <t>FOX DONALD M JR MD</t>
  </si>
  <si>
    <t>FOX DONALD</t>
  </si>
  <si>
    <t>Carleton,JackMD</t>
  </si>
  <si>
    <t>E0212261</t>
  </si>
  <si>
    <t>CARLETON JACK HARDY</t>
  </si>
  <si>
    <t>CARLETON JACK</t>
  </si>
  <si>
    <t>Chu,WicoMD</t>
  </si>
  <si>
    <t>E0180984</t>
  </si>
  <si>
    <t>CHU WICO MD</t>
  </si>
  <si>
    <t>CHU WICO DR.</t>
  </si>
  <si>
    <t>Cohen,Randolph,MD,FACOG</t>
  </si>
  <si>
    <t>E0217070</t>
  </si>
  <si>
    <t>COHEN RANDOLPH JACK        MD</t>
  </si>
  <si>
    <t>COHEN RANDOLPH</t>
  </si>
  <si>
    <t>18 OLD MONTICELLO RD</t>
  </si>
  <si>
    <t>ProcarePharmacyLTC</t>
  </si>
  <si>
    <t>E0405002</t>
  </si>
  <si>
    <t>PROCARE LTC PHARMACY OF CONNECTICUT</t>
  </si>
  <si>
    <t>PaulMeyeroff</t>
  </si>
  <si>
    <t>(516) 477-6755</t>
  </si>
  <si>
    <t>PROCARE LTC PHARMACY OF CONNECTICUT LLC</t>
  </si>
  <si>
    <t>1492 HIGHLAND AVE</t>
  </si>
  <si>
    <t>CHESHIRE</t>
  </si>
  <si>
    <t>SpecialtyRx</t>
  </si>
  <si>
    <t>E0042422</t>
  </si>
  <si>
    <t>SPECIALITY RX INC</t>
  </si>
  <si>
    <t>HermanFreilich</t>
  </si>
  <si>
    <t>(908) 531-8121</t>
  </si>
  <si>
    <t>SPECIALTY RX INC</t>
  </si>
  <si>
    <t>736 AVENUE E</t>
  </si>
  <si>
    <t>BAYONNE</t>
  </si>
  <si>
    <t>58thStreetPharmacy,Inc.(TownDrug&amp;Surgical)</t>
  </si>
  <si>
    <t>E0186153</t>
  </si>
  <si>
    <t>58TH STREET PHARMACY INC</t>
  </si>
  <si>
    <t>JosephCocchiara</t>
  </si>
  <si>
    <t>(212) 333-7330</t>
  </si>
  <si>
    <t>428 WEST 59TH STREET</t>
  </si>
  <si>
    <t>J.J.ColumbusDrugCo.,Inc.(TownDrug&amp;Surgical)</t>
  </si>
  <si>
    <t>E0195762</t>
  </si>
  <si>
    <t>COLUMBUS J J DRUG CO INC</t>
  </si>
  <si>
    <t>JoseCaseres</t>
  </si>
  <si>
    <t>(212) 662-6630</t>
  </si>
  <si>
    <t>JJ COLUMBUS DRUG CO INC</t>
  </si>
  <si>
    <t>TOWN DRUG &amp; SURGICAL</t>
  </si>
  <si>
    <t>AIDSServiceCenterofLowerManhattanInc.,dbaASCNYC</t>
  </si>
  <si>
    <t>E0151585</t>
  </si>
  <si>
    <t>AIDS SVC CTR MANHATTEN AI</t>
  </si>
  <si>
    <t>MarcyRaeThompson</t>
  </si>
  <si>
    <t>(212) 645-0875</t>
  </si>
  <si>
    <t>marcy@ascnyc.org</t>
  </si>
  <si>
    <t>AIDS SERVICE CENTER OF LOWER MANHATTAN, INC</t>
  </si>
  <si>
    <t>AIDS SERVICE CTR LOWER MANHATTAN</t>
  </si>
  <si>
    <t>64 W 35TH ST FL 3</t>
  </si>
  <si>
    <t>ElianaLeve</t>
  </si>
  <si>
    <t>eliana@ascnyc.org</t>
  </si>
  <si>
    <t>OTHER</t>
  </si>
  <si>
    <t>25AlllenStreet</t>
  </si>
  <si>
    <t>MeyerHalberstamMD</t>
  </si>
  <si>
    <t>AlanLegastoMD</t>
  </si>
  <si>
    <t>E0016875</t>
  </si>
  <si>
    <t>LEGASTO ALAN CLINT MD</t>
  </si>
  <si>
    <t>LEGASTO ALAN DR.</t>
  </si>
  <si>
    <t>424 E 89TH ST</t>
  </si>
  <si>
    <t>RachelFrankMD</t>
  </si>
  <si>
    <t>E0089156</t>
  </si>
  <si>
    <t>FRANK RACHEL ANNE MD</t>
  </si>
  <si>
    <t>FRANK RACHEL</t>
  </si>
  <si>
    <t>IgorGrosmanDO</t>
  </si>
  <si>
    <t>E0293041</t>
  </si>
  <si>
    <t>GROSMAN IGOR</t>
  </si>
  <si>
    <t>GROSMAN IGOR DR.</t>
  </si>
  <si>
    <t>GROSMAN IGOR DO</t>
  </si>
  <si>
    <t>YAIFREESTANDING-EDITHPL</t>
  </si>
  <si>
    <t>E0332387</t>
  </si>
  <si>
    <t>YOUNG ADULT INSTITUTE FSR-5 EDITH</t>
  </si>
  <si>
    <t>MatthewSturiale</t>
  </si>
  <si>
    <t>matthew.sturiale@yai.org</t>
  </si>
  <si>
    <t>2040 EDITH PL</t>
  </si>
  <si>
    <t>AnnikaKrystynaMD</t>
  </si>
  <si>
    <t>StephanieShapsMD</t>
  </si>
  <si>
    <t>E0028251</t>
  </si>
  <si>
    <t>SHAPS STEPHANIE HOPE</t>
  </si>
  <si>
    <t>SHAPS STEPHANIE</t>
  </si>
  <si>
    <t>SHAPS STEPHANIE H MD</t>
  </si>
  <si>
    <t>18 ADAMS ST</t>
  </si>
  <si>
    <t>St.CabriniNursingHome</t>
  </si>
  <si>
    <t>LorraineHorgan</t>
  </si>
  <si>
    <t>AneezaAli</t>
  </si>
  <si>
    <t>E0430806</t>
  </si>
  <si>
    <t>ALI ANEEZA</t>
  </si>
  <si>
    <t>(212) 289-1788</t>
  </si>
  <si>
    <t>aali@thebridgeny.org</t>
  </si>
  <si>
    <t>ALI ANEEZA MS.</t>
  </si>
  <si>
    <t>AmiliaPope</t>
  </si>
  <si>
    <t>E0452757</t>
  </si>
  <si>
    <t>POPE AMELIA</t>
  </si>
  <si>
    <t>apope@thebridgeny.org</t>
  </si>
  <si>
    <t>POPE AMELIA MS.</t>
  </si>
  <si>
    <t>JaspreetSekhonMD</t>
  </si>
  <si>
    <t>E0002657</t>
  </si>
  <si>
    <t>SEKHON JASPREET</t>
  </si>
  <si>
    <t>SEKHON JASPREET DR.</t>
  </si>
  <si>
    <t>3131 KINGS HWY STE C11</t>
  </si>
  <si>
    <t>NavneetKathuria,M.D.</t>
  </si>
  <si>
    <t>E0115508</t>
  </si>
  <si>
    <t>KATHURIA NAVNEET MD</t>
  </si>
  <si>
    <t>KATHURIA NAVNEET</t>
  </si>
  <si>
    <t>DaherShahemMD</t>
  </si>
  <si>
    <t>E0076103</t>
  </si>
  <si>
    <t>SHAHEM DAHER MD</t>
  </si>
  <si>
    <t>SHAHEM DAHER</t>
  </si>
  <si>
    <t>8117 7TH AVE</t>
  </si>
  <si>
    <t>ClaudeDougeMD</t>
  </si>
  <si>
    <t>E0264186</t>
  </si>
  <si>
    <t>DOUGE CLAUDE               MD</t>
  </si>
  <si>
    <t>DOUGE CLAUDE DR.</t>
  </si>
  <si>
    <t>AlexanderShapsisMD</t>
  </si>
  <si>
    <t>Menezes,RobertMD</t>
  </si>
  <si>
    <t>E0141429</t>
  </si>
  <si>
    <t>MENEZES ROBERT CHARLES JR MD</t>
  </si>
  <si>
    <t>MENEZES ROBERT</t>
  </si>
  <si>
    <t>Gotsis,WilliamMDFACC</t>
  </si>
  <si>
    <t>E0133867</t>
  </si>
  <si>
    <t>GOTSIS WILLIAM</t>
  </si>
  <si>
    <t>BelurChandramoulyMD</t>
  </si>
  <si>
    <t>E0238230</t>
  </si>
  <si>
    <t>CHANDRAMOULY BELUR S</t>
  </si>
  <si>
    <t>CHANDRAMOULY BELUR DR.</t>
  </si>
  <si>
    <t>ICF106THST(LAKEVIEW)</t>
  </si>
  <si>
    <t>E0263537</t>
  </si>
  <si>
    <t>YOUNG ADULT INST LAKEVIEW ICF</t>
  </si>
  <si>
    <t>YOUNG ADULT INSTITUTE, INC.</t>
  </si>
  <si>
    <t>LAKEVIEW ICF (10L)</t>
  </si>
  <si>
    <t>ICF13THSTSHEEPSHEADBAY</t>
  </si>
  <si>
    <t>E0182793</t>
  </si>
  <si>
    <t>YOUNG ADULT INST SHEEPSHEAD</t>
  </si>
  <si>
    <t>SHEEPSHEAD BAY ICF</t>
  </si>
  <si>
    <t>SoniaPunj</t>
  </si>
  <si>
    <t>ArenGottliebMD</t>
  </si>
  <si>
    <t>E0065211</t>
  </si>
  <si>
    <t>GOTTLIEB AREN LESLIE</t>
  </si>
  <si>
    <t>GOTTLIEB AREN DR.</t>
  </si>
  <si>
    <t>7901 BROADWAY # RA1-9</t>
  </si>
  <si>
    <t>LouisBruscoMD</t>
  </si>
  <si>
    <t>E0166256</t>
  </si>
  <si>
    <t>BRUSCO LOUIS JR MD</t>
  </si>
  <si>
    <t>BRUSCO LOUIS DR.</t>
  </si>
  <si>
    <t>Spoto,AmyMD</t>
  </si>
  <si>
    <t>E0059121</t>
  </si>
  <si>
    <t>SPOTO AMY E MD</t>
  </si>
  <si>
    <t>SPOTO AMY DR.</t>
  </si>
  <si>
    <t>BATAVIA PEDIATRICS</t>
  </si>
  <si>
    <t>CabriniImmigrantServices</t>
  </si>
  <si>
    <t>121MainStreet</t>
  </si>
  <si>
    <t>DobbsFerry</t>
  </si>
  <si>
    <t>CharmaineDemetriusMD</t>
  </si>
  <si>
    <t>E0323157</t>
  </si>
  <si>
    <t>DEMETRIUS CHARMAINE</t>
  </si>
  <si>
    <t>DEMETRIUS CHARMAINE T</t>
  </si>
  <si>
    <t>MichaelHechtMD</t>
  </si>
  <si>
    <t>E0333361</t>
  </si>
  <si>
    <t>HECHT MICHAEL D</t>
  </si>
  <si>
    <t>HECHT MICHAEL</t>
  </si>
  <si>
    <t>14 HEYWARD ST</t>
  </si>
  <si>
    <t>Robinson,KimberlyMD</t>
  </si>
  <si>
    <t>E0382933</t>
  </si>
  <si>
    <t>ROBINSON KIMBERLY</t>
  </si>
  <si>
    <t>ROBINSON KIMBERLY DR.</t>
  </si>
  <si>
    <t>ROBINSON KIMBERLY N</t>
  </si>
  <si>
    <t>Malik,AaqibMD</t>
  </si>
  <si>
    <t>E0382922</t>
  </si>
  <si>
    <t>MALIK AAQIB</t>
  </si>
  <si>
    <t>MALIK AAQIB DR.</t>
  </si>
  <si>
    <t>MALIK AAQIB HABIB</t>
  </si>
  <si>
    <t>Cardamona,MargaretNP</t>
  </si>
  <si>
    <t>E0386219</t>
  </si>
  <si>
    <t>CARDAMONA MARGARET</t>
  </si>
  <si>
    <t>CARDAMONA MARGARET MRS.</t>
  </si>
  <si>
    <t>CARDAMONA MARGARET MARY</t>
  </si>
  <si>
    <t>Baker,ShaneMD</t>
  </si>
  <si>
    <t>E0379559</t>
  </si>
  <si>
    <t>BAKER SHANE</t>
  </si>
  <si>
    <t>BAKER SHANE DR.</t>
  </si>
  <si>
    <t>BAKER SHANE TIM</t>
  </si>
  <si>
    <t>Barandes,MartinMD</t>
  </si>
  <si>
    <t>E0278256</t>
  </si>
  <si>
    <t>BARANDES MARTIN MD PC</t>
  </si>
  <si>
    <t>BARANDES MARTIN</t>
  </si>
  <si>
    <t>BARANDES MARTIN MD</t>
  </si>
  <si>
    <t>Coward,ChristineMD</t>
  </si>
  <si>
    <t>E0382924</t>
  </si>
  <si>
    <t>COWARD CHRISTINE</t>
  </si>
  <si>
    <t>COWARD CHRISTINE DR.</t>
  </si>
  <si>
    <t>Bhana,SulemanMD</t>
  </si>
  <si>
    <t>E0382876</t>
  </si>
  <si>
    <t>BHANA SULEMAN</t>
  </si>
  <si>
    <t>Lynch,PatriciaDO</t>
  </si>
  <si>
    <t>E0150812</t>
  </si>
  <si>
    <t>LYNCH PATRICIA MD</t>
  </si>
  <si>
    <t>LYNCH PATRICIA DR.</t>
  </si>
  <si>
    <t>Perry,Manuel,MD</t>
  </si>
  <si>
    <t>E0150040</t>
  </si>
  <si>
    <t>PERRY MANUEL C MD</t>
  </si>
  <si>
    <t>PERRY MANUEL</t>
  </si>
  <si>
    <t>30O CRYSTAL RUN RD</t>
  </si>
  <si>
    <t>Kovar,LanceMD</t>
  </si>
  <si>
    <t>E0091934</t>
  </si>
  <si>
    <t>KOVAR LANCE IRA MD</t>
  </si>
  <si>
    <t>KOVAR LANCE DR.</t>
  </si>
  <si>
    <t>KOVAR LANCE IRA</t>
  </si>
  <si>
    <t>Cestari,StephenDO</t>
  </si>
  <si>
    <t>E0091854</t>
  </si>
  <si>
    <t>CESTARI STEPHEN TODD DO</t>
  </si>
  <si>
    <t>CESTARI STEPHEN</t>
  </si>
  <si>
    <t>CESTARI STEPHEN TODD</t>
  </si>
  <si>
    <t>Karpoff,HowardMDFACS</t>
  </si>
  <si>
    <t>E0085219</t>
  </si>
  <si>
    <t>KARPOFF HOWARD MD</t>
  </si>
  <si>
    <t>KARPOFF HOWARD</t>
  </si>
  <si>
    <t>KARPOFF HOWARD M</t>
  </si>
  <si>
    <t>AHH/HMC WOUND CARE C</t>
  </si>
  <si>
    <t>Finnigan,KarenMDMBA</t>
  </si>
  <si>
    <t>E0083830</t>
  </si>
  <si>
    <t>FINNIGAN KAREN JEAN MD</t>
  </si>
  <si>
    <t>FINNIGAN KAREN</t>
  </si>
  <si>
    <t>CRYSTAL RUN HLTH LLP</t>
  </si>
  <si>
    <t>Harrison,DavidMD</t>
  </si>
  <si>
    <t>E0092829</t>
  </si>
  <si>
    <t>HARRISON DAVID MAXWELL MD</t>
  </si>
  <si>
    <t>HARRISON DAVID DR.</t>
  </si>
  <si>
    <t>HARRISON DAVID MAXWELL</t>
  </si>
  <si>
    <t>21 LAUREL AVE STE 210</t>
  </si>
  <si>
    <t>HordinesJR,JohcMD</t>
  </si>
  <si>
    <t>E0083606</t>
  </si>
  <si>
    <t>HORDINES JOHN CHAMBERS JR MD</t>
  </si>
  <si>
    <t>HORDINES JOHN DR.</t>
  </si>
  <si>
    <t>Rehmani,MuhammadMD</t>
  </si>
  <si>
    <t>E0083602</t>
  </si>
  <si>
    <t>REHMANI MUHAMMAD B MD</t>
  </si>
  <si>
    <t>REHMANI MUHAMMAD</t>
  </si>
  <si>
    <t>Cirillo,RosaMD</t>
  </si>
  <si>
    <t>E0075607</t>
  </si>
  <si>
    <t>CHOUNG ROSA J MD</t>
  </si>
  <si>
    <t>CIRILLO ROSA</t>
  </si>
  <si>
    <t>CIRILLO- CHOUNG ROSA J MD</t>
  </si>
  <si>
    <t>Kipoliongo,LezodeMDFACOG</t>
  </si>
  <si>
    <t>E0075273</t>
  </si>
  <si>
    <t>KIPOLIONGO LEZODE JUSTINE MD</t>
  </si>
  <si>
    <t>KIPOLIONGO LEZODE</t>
  </si>
  <si>
    <t>KIPOLIONGO LEZODE JUSTINE</t>
  </si>
  <si>
    <t>Barbanel,EricMD</t>
  </si>
  <si>
    <t>E0074167</t>
  </si>
  <si>
    <t>BARBANEL ERIC WILLIAM MD</t>
  </si>
  <si>
    <t>BARBANEL ERIC</t>
  </si>
  <si>
    <t>CalvinHwangMD</t>
  </si>
  <si>
    <t>E0294453</t>
  </si>
  <si>
    <t>HWANG CALVIN HSING-KUO</t>
  </si>
  <si>
    <t>HWANG CALVIN</t>
  </si>
  <si>
    <t>LiviaHelmerMD</t>
  </si>
  <si>
    <t>E0213815</t>
  </si>
  <si>
    <t>HELMER LIVIA               MD</t>
  </si>
  <si>
    <t>HELMER LIVIA DR.</t>
  </si>
  <si>
    <t>428 W 58TH ST</t>
  </si>
  <si>
    <t>ICF22NDSTREET</t>
  </si>
  <si>
    <t>E0263533</t>
  </si>
  <si>
    <t>YOUNG ADULT INST 22ND ST ICF</t>
  </si>
  <si>
    <t>22ND ST ICF</t>
  </si>
  <si>
    <t>ICF261STSTREETRIVERDALE</t>
  </si>
  <si>
    <t>E0223720</t>
  </si>
  <si>
    <t>YOUNG ADULT INST RIVERDALE</t>
  </si>
  <si>
    <t>RIVERDALE ICF</t>
  </si>
  <si>
    <t>Guo,MinMD</t>
  </si>
  <si>
    <t>E0369098</t>
  </si>
  <si>
    <t>GUO MIN</t>
  </si>
  <si>
    <t>GUO MIN DR.</t>
  </si>
  <si>
    <t>Hill,DavidMD</t>
  </si>
  <si>
    <t>E0185903</t>
  </si>
  <si>
    <t>HILL DAVID JACOB MD</t>
  </si>
  <si>
    <t>HILL DAVID DR.</t>
  </si>
  <si>
    <t>HILL DAVID JACOB</t>
  </si>
  <si>
    <t>Koury,MichelleMD</t>
  </si>
  <si>
    <t>E0133864</t>
  </si>
  <si>
    <t>KOURY MICHELLE A</t>
  </si>
  <si>
    <t>KOURY MICHELLE</t>
  </si>
  <si>
    <t>Spencer,GregoryMD,FACP</t>
  </si>
  <si>
    <t>E0133714</t>
  </si>
  <si>
    <t>SPENCER GREGORY ALLEN</t>
  </si>
  <si>
    <t>SPENCER GREGORY</t>
  </si>
  <si>
    <t>Anderson,Ralph,MD</t>
  </si>
  <si>
    <t>E0133530</t>
  </si>
  <si>
    <t>ANDERSON RALPH GEORGE MD</t>
  </si>
  <si>
    <t>ANDERSON RALPH</t>
  </si>
  <si>
    <t>75 CRYSTAL RUN RD</t>
  </si>
  <si>
    <t>Malik,TabbsumMD</t>
  </si>
  <si>
    <t>E0131736</t>
  </si>
  <si>
    <t>MALIK TABBSUM LODHI MD</t>
  </si>
  <si>
    <t>MALIK TABBSUM</t>
  </si>
  <si>
    <t>30 HATFIELD LN STE 207</t>
  </si>
  <si>
    <t>Jangda,AslamMD</t>
  </si>
  <si>
    <t>E0129775</t>
  </si>
  <si>
    <t>JANGDA ASLAM SATTAR</t>
  </si>
  <si>
    <t>JANGDA ASLAM MR.</t>
  </si>
  <si>
    <t>MIDDLETOWN COM H CTR</t>
  </si>
  <si>
    <t>Spencer,DeborahMD,FACOG</t>
  </si>
  <si>
    <t>E0127913</t>
  </si>
  <si>
    <t>SPENCER DEBORAH KAY MD</t>
  </si>
  <si>
    <t>SPENCER DEBORAH</t>
  </si>
  <si>
    <t>Linneman,NancyMD</t>
  </si>
  <si>
    <t>E0124673</t>
  </si>
  <si>
    <t>LINNEMAN NANCY I MD</t>
  </si>
  <si>
    <t>LINNEMAN NANCY</t>
  </si>
  <si>
    <t>Amin,Abha,MD</t>
  </si>
  <si>
    <t>E0121152</t>
  </si>
  <si>
    <t>AMIN ABHA R MD</t>
  </si>
  <si>
    <t>AMIN ABHA</t>
  </si>
  <si>
    <t>Croen,EdwardMD</t>
  </si>
  <si>
    <t>E0116857</t>
  </si>
  <si>
    <t>CROEN EDWARD C MD</t>
  </si>
  <si>
    <t>CROEN EDWARD</t>
  </si>
  <si>
    <t>CROEN EDWARD CURTIS</t>
  </si>
  <si>
    <t>SlawomirKosinskiMD</t>
  </si>
  <si>
    <t>E0008731</t>
  </si>
  <si>
    <t>KOSINSKI SLAWOMIR MD</t>
  </si>
  <si>
    <t>KOSINSKI SLAWOMIR</t>
  </si>
  <si>
    <t>ArgusCommunity,Inc.(CDTPII)</t>
  </si>
  <si>
    <t>ArmandoGuarinMD</t>
  </si>
  <si>
    <t>E0232189</t>
  </si>
  <si>
    <t>GUARIN ARMANDO G           MD</t>
  </si>
  <si>
    <t>GUARIN ARMANDO</t>
  </si>
  <si>
    <t>GUARIN ARMANDO G     MD</t>
  </si>
  <si>
    <t>RegentFamilyResidence</t>
  </si>
  <si>
    <t>WILLIAM F RYAN COMMUNITY HEALTH CENTER INC</t>
  </si>
  <si>
    <t>2720 BROADWAY</t>
  </si>
  <si>
    <t>Ryan/AdairCommunityHealthCenter</t>
  </si>
  <si>
    <t>All Other:: Clinic:: Mental Health:: Practitioner - Primary Care Provider (PCP)</t>
  </si>
  <si>
    <t>565 MANHATTAN AVE</t>
  </si>
  <si>
    <t>YoungAdultInstitute,Inc.</t>
  </si>
  <si>
    <t>E0154247</t>
  </si>
  <si>
    <t>YOUNG ADULT INSTITUTE &amp; WORKS</t>
  </si>
  <si>
    <t>Matthew?Sturiale,LCSW</t>
  </si>
  <si>
    <t>(212) 273-6136</t>
  </si>
  <si>
    <t>OMRDD CL</t>
  </si>
  <si>
    <t>Nasser,JonathanMD</t>
  </si>
  <si>
    <t>E0073472</t>
  </si>
  <si>
    <t>NASSER JONATHAN MD</t>
  </si>
  <si>
    <t>NASSER JONATHAN</t>
  </si>
  <si>
    <t>NASSER JONATHAN FRANCIS</t>
  </si>
  <si>
    <t>Hulse,GeoffreyMD</t>
  </si>
  <si>
    <t>E0073110</t>
  </si>
  <si>
    <t>HULSE GEOFFREY</t>
  </si>
  <si>
    <t>VeronicaOgula</t>
  </si>
  <si>
    <t>LeonidBilenkin</t>
  </si>
  <si>
    <t>ShoshannahPearlman</t>
  </si>
  <si>
    <t>NancyPartos</t>
  </si>
  <si>
    <t>BarryJaffinMD</t>
  </si>
  <si>
    <t>E0192805</t>
  </si>
  <si>
    <t>JAFFIN BARRY WAYNE MD</t>
  </si>
  <si>
    <t>JAFFIN BARRY DR.</t>
  </si>
  <si>
    <t>80 CENTRAL PARK W</t>
  </si>
  <si>
    <t>HarryEngelMD</t>
  </si>
  <si>
    <t>Singh,SandeepMD,FACC</t>
  </si>
  <si>
    <t>E0089746</t>
  </si>
  <si>
    <t>AmberCourtatHome</t>
  </si>
  <si>
    <t>ClaireHakim</t>
  </si>
  <si>
    <t>1800WaingAvenue</t>
  </si>
  <si>
    <t>ALJUDLicensedHomeCareAgencyDBAAmberCourtatHome</t>
  </si>
  <si>
    <t>AmberCourtofBrooklyn</t>
  </si>
  <si>
    <t>AmberCourtofWestbury</t>
  </si>
  <si>
    <t>PaulGuerrieroMD</t>
  </si>
  <si>
    <t>E0186315</t>
  </si>
  <si>
    <t>GUERRIERO PAUL NEIL MD</t>
  </si>
  <si>
    <t>GUERRIERO PAUL DR.</t>
  </si>
  <si>
    <t>GUERRIERO PAUL NEIL</t>
  </si>
  <si>
    <t>RituDaveMD</t>
  </si>
  <si>
    <t>Lee,SophiaMD</t>
  </si>
  <si>
    <t>E0116835</t>
  </si>
  <si>
    <t>LEE SOPHIA SUN YOUNG</t>
  </si>
  <si>
    <t>LEE SOPHIA</t>
  </si>
  <si>
    <t>Schenkman,EmmanuelMD</t>
  </si>
  <si>
    <t>E0114089</t>
  </si>
  <si>
    <t>SCHENKMAN EMMANUEL MICHAEL</t>
  </si>
  <si>
    <t>SCHENKMAN EMMANUEL DR.</t>
  </si>
  <si>
    <t>MEDICAL ARTS #2</t>
  </si>
  <si>
    <t>Frisbie,JoanneNP</t>
  </si>
  <si>
    <t>E0109725</t>
  </si>
  <si>
    <t>FRISBIE JO ANNE</t>
  </si>
  <si>
    <t>FRISBIE JOANNE</t>
  </si>
  <si>
    <t>Schwartz,ElizabethCNM</t>
  </si>
  <si>
    <t>EduardFuzaylovMD</t>
  </si>
  <si>
    <t>E0006103</t>
  </si>
  <si>
    <t>EDUARD FUZAYLOV</t>
  </si>
  <si>
    <t>FUZAYLOV EDUARD</t>
  </si>
  <si>
    <t>FUZAYLOV EDUARD MD</t>
  </si>
  <si>
    <t>10540 62ND RD</t>
  </si>
  <si>
    <t>RyanWomen&amp;Children'sHealthCenter</t>
  </si>
  <si>
    <t>WILLIAM F RYAN COMMUNITY HEALTH CEN</t>
  </si>
  <si>
    <t>801 AMSTERDAM AVE</t>
  </si>
  <si>
    <t>WestEndIntergenerationalResidence</t>
  </si>
  <si>
    <t>483 W END AVE</t>
  </si>
  <si>
    <t>TheBridge</t>
  </si>
  <si>
    <t>248 W 108TH ST</t>
  </si>
  <si>
    <t>AleksandrILyayevMD</t>
  </si>
  <si>
    <t>E0033319</t>
  </si>
  <si>
    <t>ILYAYEV ALEKSANDR MD</t>
  </si>
  <si>
    <t>ILYAYEV ALEKSANDR</t>
  </si>
  <si>
    <t>StevenHorowitzMD</t>
  </si>
  <si>
    <t>E0297293</t>
  </si>
  <si>
    <t>HOROWITZ STEVEN</t>
  </si>
  <si>
    <t>HOROWITZ STEVEN CRAIG</t>
  </si>
  <si>
    <t>Silverio,CarlMD</t>
  </si>
  <si>
    <t>E0089082</t>
  </si>
  <si>
    <t>SILVERIO CARL MD</t>
  </si>
  <si>
    <t>SILVERIO CARL</t>
  </si>
  <si>
    <t>Ferencei,MilanMD</t>
  </si>
  <si>
    <t>E0100221</t>
  </si>
  <si>
    <t>FERENCEI MILAN MD</t>
  </si>
  <si>
    <t>FERENCEI MILAN</t>
  </si>
  <si>
    <t>ST CLARE'S MED</t>
  </si>
  <si>
    <t>Mallik,Abida</t>
  </si>
  <si>
    <t>E0163777</t>
  </si>
  <si>
    <t>MALLICK ABIDA K MD</t>
  </si>
  <si>
    <t>MALLICK ABIDA DR.</t>
  </si>
  <si>
    <t>MALLICK ABIDA KHATOON</t>
  </si>
  <si>
    <t>STE G</t>
  </si>
  <si>
    <t>Levine,SallyDO,FACOG</t>
  </si>
  <si>
    <t>E0158433</t>
  </si>
  <si>
    <t>LEVINE SALLY M  MD</t>
  </si>
  <si>
    <t>LEVINE SALLY</t>
  </si>
  <si>
    <t>LEVINE SALLY M</t>
  </si>
  <si>
    <t>Kang,DavidMD</t>
  </si>
  <si>
    <t>E0155314</t>
  </si>
  <si>
    <t>KANG DAVID S MD</t>
  </si>
  <si>
    <t>Silverman,GaryMD,FACC</t>
  </si>
  <si>
    <t>E0152382</t>
  </si>
  <si>
    <t>SILVERMAN GARY MD</t>
  </si>
  <si>
    <t>SILVERMAN GARY</t>
  </si>
  <si>
    <t>Better,LisaMD</t>
  </si>
  <si>
    <t>E0362294</t>
  </si>
  <si>
    <t>BETTER LISA STEPHANIE</t>
  </si>
  <si>
    <t>BETTER LISA DR.</t>
  </si>
  <si>
    <t>Bogursky,EileenMD</t>
  </si>
  <si>
    <t>E0150909</t>
  </si>
  <si>
    <t>BOGURSKY EILEEN GAYLE MD</t>
  </si>
  <si>
    <t>BOGURSKY EILEEN</t>
  </si>
  <si>
    <t>WOMENS MEDICAL CARE</t>
  </si>
  <si>
    <t>BleulerPsychotherapyCenter,Inc.</t>
  </si>
  <si>
    <t>JohnC.Rossland,PhD</t>
  </si>
  <si>
    <t>BaileyHouse,Inc.</t>
  </si>
  <si>
    <t>JaymieKahn</t>
  </si>
  <si>
    <t>jkahn@baileyhouse.org</t>
  </si>
  <si>
    <t>BeaconofHopeHouse</t>
  </si>
  <si>
    <t>DeniseBauer</t>
  </si>
  <si>
    <t>JaneBattermanMD</t>
  </si>
  <si>
    <t>E0053127</t>
  </si>
  <si>
    <t>BATTERMAN JANE MD</t>
  </si>
  <si>
    <t>BATTERMAN JANE</t>
  </si>
  <si>
    <t>135 HEMPSTEAD AVE</t>
  </si>
  <si>
    <t>ROCKVILLE CTR</t>
  </si>
  <si>
    <t>MorningsideAcquisiton1,LLCd/b/aMorningsideNursingandRehabilitationCenter</t>
  </si>
  <si>
    <t>CardiffBayLLC,d/b/aPeninsulaNursingandRehabilitationCenter</t>
  </si>
  <si>
    <t>Knights-Thornell,JenniferPA</t>
  </si>
  <si>
    <t>E0052201</t>
  </si>
  <si>
    <t>KNIGHTS JENNIFER RPA</t>
  </si>
  <si>
    <t>THORNELL JENNIFER</t>
  </si>
  <si>
    <t>THORNELL JENNIFER RPA</t>
  </si>
  <si>
    <t>Zalaznick,Steven</t>
  </si>
  <si>
    <t>E0255145</t>
  </si>
  <si>
    <t>ZALAZNICK STEVEN M OD</t>
  </si>
  <si>
    <t>ZALAZNICK STEVEN</t>
  </si>
  <si>
    <t>Sartan,Tatiana</t>
  </si>
  <si>
    <t>Tsartan@AbbottHouse.net</t>
  </si>
  <si>
    <t>ManuelPerez,MD</t>
  </si>
  <si>
    <t>Borgueta,CustodioMD</t>
  </si>
  <si>
    <t>E0221424</t>
  </si>
  <si>
    <t>BORGUETA CUSTODIO R        MD</t>
  </si>
  <si>
    <t>BORGUETA CUSTODIO</t>
  </si>
  <si>
    <t>547 GIDNEY AVE</t>
  </si>
  <si>
    <t>Brockunier,JamesMD,FACOG</t>
  </si>
  <si>
    <t>E0208432</t>
  </si>
  <si>
    <t>BROCKUNIER JAMES KIRK      MD</t>
  </si>
  <si>
    <t>BROCKUNIER JAMES MR.</t>
  </si>
  <si>
    <t>COMM OB/GYN ASSOC</t>
  </si>
  <si>
    <t>Bryan,DuaneMD</t>
  </si>
  <si>
    <t>E0040107</t>
  </si>
  <si>
    <t>BRYAN DUANE ANTHONY MD</t>
  </si>
  <si>
    <t>BRYAN DUANE DR.</t>
  </si>
  <si>
    <t>Rydell,TimothyMD,FACOG</t>
  </si>
  <si>
    <t>E0072087</t>
  </si>
  <si>
    <t>RYDELL TIMOTHY P MD</t>
  </si>
  <si>
    <t>RYDELL TIMOTHY</t>
  </si>
  <si>
    <t>RYDELL TIMOTHY PATRICK</t>
  </si>
  <si>
    <t>Gonzalez-Klayman,NoemiMD</t>
  </si>
  <si>
    <t>E0071373</t>
  </si>
  <si>
    <t>GONZALEZ-KLAYMAN NOEMI MD</t>
  </si>
  <si>
    <t>GONZALEZ-KLAYMAN NOEMI</t>
  </si>
  <si>
    <t>Adams,DumisaMD,FACOG</t>
  </si>
  <si>
    <t>E0068119</t>
  </si>
  <si>
    <t>ADAMS DUMISA MELANIE MD</t>
  </si>
  <si>
    <t>ADAMS DUMISA</t>
  </si>
  <si>
    <t>254 ROUTE 17K</t>
  </si>
  <si>
    <t>Rosenberg,SharonMD</t>
  </si>
  <si>
    <t>E0066664</t>
  </si>
  <si>
    <t>ROSENBERG SHARON MARIE MD</t>
  </si>
  <si>
    <t>ROSENBERG SHARON</t>
  </si>
  <si>
    <t>Menezes,CherylAPRN-BC</t>
  </si>
  <si>
    <t>E0063319</t>
  </si>
  <si>
    <t>MENEZES CHERYL MOLAISON</t>
  </si>
  <si>
    <t>MENEZES CHERYL</t>
  </si>
  <si>
    <t>Phillips,CaraPA-C</t>
  </si>
  <si>
    <t>E0063160</t>
  </si>
  <si>
    <t>PHILLIPS CARA RPA</t>
  </si>
  <si>
    <t>PHILLIPS CARA</t>
  </si>
  <si>
    <t>Heckman,BarbaraNP</t>
  </si>
  <si>
    <t>E0060839</t>
  </si>
  <si>
    <t>HECKMAN BARBARA JEAN</t>
  </si>
  <si>
    <t>HECKMAN BARBARA</t>
  </si>
  <si>
    <t>STE 2800</t>
  </si>
  <si>
    <t>MichaelBashevkinMD</t>
  </si>
  <si>
    <t>E0209214</t>
  </si>
  <si>
    <t>BASHEVKIN MICHAEL          MD</t>
  </si>
  <si>
    <t>BASHEVKIN MICHAEL</t>
  </si>
  <si>
    <t>BASHEVKIN MICHAEL MD</t>
  </si>
  <si>
    <t>953 49TH ST</t>
  </si>
  <si>
    <t>St.Christopher'sInn21FranciscanWayox150</t>
  </si>
  <si>
    <t>MarianneTaylor-Rhoades</t>
  </si>
  <si>
    <t>StanleyGoldsteinMD</t>
  </si>
  <si>
    <t>E0250664</t>
  </si>
  <si>
    <t>GOLDSTEIN STANLEY          MD</t>
  </si>
  <si>
    <t>GOLDSTEIN STANLEY DR.</t>
  </si>
  <si>
    <t>14 HEYWARD ST # 16</t>
  </si>
  <si>
    <t>WestMidtownMedicalGroup</t>
  </si>
  <si>
    <t>E0108910</t>
  </si>
  <si>
    <t>WEST MIDTOWN MEDICAL GROUP</t>
  </si>
  <si>
    <t>AllegraSchorr</t>
  </si>
  <si>
    <t>(212) 643-8811</t>
  </si>
  <si>
    <t>allschorr@westmidtownmedical.com</t>
  </si>
  <si>
    <t>WEST MIDTOWN MANAGEMENT GROUP INC</t>
  </si>
  <si>
    <t>Dr.TosanOruwariye</t>
  </si>
  <si>
    <t>(718) 881-8999</t>
  </si>
  <si>
    <t>3510BainbridgeAvenue</t>
  </si>
  <si>
    <t>Dr.JulieBlake</t>
  </si>
  <si>
    <t>(914) 371-7606</t>
  </si>
  <si>
    <t>105StevensAvenue</t>
  </si>
  <si>
    <t>Dr.JuanT.Estevez</t>
  </si>
  <si>
    <t>385EastFordham</t>
  </si>
  <si>
    <t>Dr.Grey</t>
  </si>
  <si>
    <t>(212) 996-8000</t>
  </si>
  <si>
    <t>215East95thStreet</t>
  </si>
  <si>
    <t>Dr.JuliaPotter</t>
  </si>
  <si>
    <t>(718) 918-4022</t>
  </si>
  <si>
    <t>305East161stStreet</t>
  </si>
  <si>
    <t>Various</t>
  </si>
  <si>
    <t>(718) 892-8474</t>
  </si>
  <si>
    <t>1760WesterchesterAvenue</t>
  </si>
  <si>
    <t>Dr.SybilHodgson</t>
  </si>
  <si>
    <t>(718) 842-8040</t>
  </si>
  <si>
    <t>1055EastTremontAvenue</t>
  </si>
  <si>
    <t>Dr.Blotate</t>
  </si>
  <si>
    <t>(718) 518-5083</t>
  </si>
  <si>
    <t>Cable,MaryNP</t>
  </si>
  <si>
    <t>E0100787</t>
  </si>
  <si>
    <t>CABLE MARY LOUISE</t>
  </si>
  <si>
    <t>CABLE MARY</t>
  </si>
  <si>
    <t>Grundfast,StevenMD</t>
  </si>
  <si>
    <t>E0097697</t>
  </si>
  <si>
    <t>GRUNDFAST STEVEN KEITH MD</t>
  </si>
  <si>
    <t>GRUNDFAST STEVEN</t>
  </si>
  <si>
    <t>GRUNDFAST STEVEN KEITH</t>
  </si>
  <si>
    <t>Juliano,JohnMD</t>
  </si>
  <si>
    <t>E0095245</t>
  </si>
  <si>
    <t>JULIANO JOHN STEPHEN MD</t>
  </si>
  <si>
    <t>JULIANO JOHN DR.</t>
  </si>
  <si>
    <t>WeiLiMD</t>
  </si>
  <si>
    <t>E0303557</t>
  </si>
  <si>
    <t>WEIWEI LI</t>
  </si>
  <si>
    <t>LI WEI WEI</t>
  </si>
  <si>
    <t>LeeberCohenMD</t>
  </si>
  <si>
    <t>E0199056</t>
  </si>
  <si>
    <t>COHEN LEEBER               MD</t>
  </si>
  <si>
    <t>COHEN LEEBER</t>
  </si>
  <si>
    <t>11 5TH AVE</t>
  </si>
  <si>
    <t>BernadetteAgard-Henriques</t>
  </si>
  <si>
    <t>Marita-Nurse/OfficeManager</t>
  </si>
  <si>
    <t>(718) 367-5900</t>
  </si>
  <si>
    <t>bernadette_ah@msn.com</t>
  </si>
  <si>
    <t>RobertBruckstein</t>
  </si>
  <si>
    <t>E0275407</t>
  </si>
  <si>
    <t>BRUCKSTEIN ROBERT L MD</t>
  </si>
  <si>
    <t>(516) 239-2332</t>
  </si>
  <si>
    <t>na</t>
  </si>
  <si>
    <t>BRUCKSTEIN ROBERT DR.</t>
  </si>
  <si>
    <t>WOODMERE HLTH CARE</t>
  </si>
  <si>
    <t>NathanRothman</t>
  </si>
  <si>
    <t>E0273480</t>
  </si>
  <si>
    <t>ROTHMAN NATHAN I           MD</t>
  </si>
  <si>
    <t>(516) 569-6966</t>
  </si>
  <si>
    <t>ROTHMAN NATHAN DR.</t>
  </si>
  <si>
    <t>SO SHORE PULM MED PC</t>
  </si>
  <si>
    <t>Doti,SandyMD</t>
  </si>
  <si>
    <t>E0103901</t>
  </si>
  <si>
    <t>DOTI SANDY</t>
  </si>
  <si>
    <t>Dummett,JocelynMD</t>
  </si>
  <si>
    <t>E0224025</t>
  </si>
  <si>
    <t>DUMMETT JOCELYN ANGELA     MD</t>
  </si>
  <si>
    <t>DUMMETT JOCELYN MRS.</t>
  </si>
  <si>
    <t>Estler,KimberlyMD,FACOG</t>
  </si>
  <si>
    <t>E0073715</t>
  </si>
  <si>
    <t>ESTLER KIMBERLY A MD</t>
  </si>
  <si>
    <t>ESTLER KIMBERLY</t>
  </si>
  <si>
    <t>ESTLER KIMBERLY ANNE</t>
  </si>
  <si>
    <t>MathewTavroff</t>
  </si>
  <si>
    <t>(718) 657-8921</t>
  </si>
  <si>
    <t>matttavroff@optonline.net</t>
  </si>
  <si>
    <t>LEVAN CHRISTOPHER MR.</t>
  </si>
  <si>
    <t>279 EGG HARBOR RD, SUITE C-1</t>
  </si>
  <si>
    <t>SEWELL</t>
  </si>
  <si>
    <t>JulieCheloucheSiegel</t>
  </si>
  <si>
    <t>E0336647</t>
  </si>
  <si>
    <t>CHELOUCHE JULIE ANNE</t>
  </si>
  <si>
    <t>CHELOUCHE JULIE MRS.</t>
  </si>
  <si>
    <t>FernFleckman</t>
  </si>
  <si>
    <t>E0337815</t>
  </si>
  <si>
    <t>FLECKMAN FERN</t>
  </si>
  <si>
    <t>CarloLiggio</t>
  </si>
  <si>
    <t>E0337910</t>
  </si>
  <si>
    <t>LIGGIO CARLO</t>
  </si>
  <si>
    <t>LIGGIO CARLO S</t>
  </si>
  <si>
    <t>CarlaDixon</t>
  </si>
  <si>
    <t>E0051955</t>
  </si>
  <si>
    <t>DIXON CARLA</t>
  </si>
  <si>
    <t>DIXON CARLA SUZETTE</t>
  </si>
  <si>
    <t>500 LINDA AVE</t>
  </si>
  <si>
    <t>RichardZodda</t>
  </si>
  <si>
    <t>E0032679</t>
  </si>
  <si>
    <t>ZODDA RICHARD J</t>
  </si>
  <si>
    <t>ZODDA RICHARD DR.</t>
  </si>
  <si>
    <t>750 ASTOR AVE FL 2</t>
  </si>
  <si>
    <t>NgocNguyen</t>
  </si>
  <si>
    <t>E0027549</t>
  </si>
  <si>
    <t>NGUYEN NGOC TRAM MD</t>
  </si>
  <si>
    <t>NGUYEN NGOC DR.</t>
  </si>
  <si>
    <t>LewisFox</t>
  </si>
  <si>
    <t>E0153276</t>
  </si>
  <si>
    <t>FOX LEWIS MD</t>
  </si>
  <si>
    <t>FOX LEWIS DR.</t>
  </si>
  <si>
    <t>DeniseBroadnax</t>
  </si>
  <si>
    <t>500LindaAve.</t>
  </si>
  <si>
    <t>Kile,Kristopher</t>
  </si>
  <si>
    <t>E0126697</t>
  </si>
  <si>
    <t>KILE KRISTOPHER TRENTON</t>
  </si>
  <si>
    <t>KILE KRISTOPHER DR.</t>
  </si>
  <si>
    <t>1701 SUNRISE HWY</t>
  </si>
  <si>
    <t>Wolintz,Robyn</t>
  </si>
  <si>
    <t>Haskes,Lloyd</t>
  </si>
  <si>
    <t>Chen,Chang(Kenny)</t>
  </si>
  <si>
    <t>E0340518</t>
  </si>
  <si>
    <t>CHEN CHANG KENNY J</t>
  </si>
  <si>
    <t>ShariArroyoMedicalSecretary</t>
  </si>
  <si>
    <t>(718) 266-6100</t>
  </si>
  <si>
    <t>chenk@sephardichome.org</t>
  </si>
  <si>
    <t>CHEN CHANG (KENNY) MR.</t>
  </si>
  <si>
    <t>1740 84TH ST</t>
  </si>
  <si>
    <t>IGORGUTNIK</t>
  </si>
  <si>
    <t>ASSENBOGDANOV</t>
  </si>
  <si>
    <t>CLARASTRINGERAULD</t>
  </si>
  <si>
    <t>LINDARIMMER</t>
  </si>
  <si>
    <t>DANIELLEDUMRESE</t>
  </si>
  <si>
    <t>ALECIADAVIS</t>
  </si>
  <si>
    <t>LindaEdnalino</t>
  </si>
  <si>
    <t>E0219385</t>
  </si>
  <si>
    <t>EDNALINO LINDA EDANO       MD</t>
  </si>
  <si>
    <t>(718) 318-6336</t>
  </si>
  <si>
    <t>EDNALINO LINDA</t>
  </si>
  <si>
    <t>849 MOORE ST</t>
  </si>
  <si>
    <t>LaszloWeiss</t>
  </si>
  <si>
    <t>E0218510</t>
  </si>
  <si>
    <t>WEISS LASZLO               MD</t>
  </si>
  <si>
    <t>(718) 246-0653</t>
  </si>
  <si>
    <t>WEISS LASZLO</t>
  </si>
  <si>
    <t>3096 BRIGHTON 6TH ST</t>
  </si>
  <si>
    <t>Gunopawiro,Joanne,PNP</t>
  </si>
  <si>
    <t>E0371867</t>
  </si>
  <si>
    <t>GUNOPAWIRO JO ANNE</t>
  </si>
  <si>
    <t>GUNOPAWIRO JO ANNE MS.</t>
  </si>
  <si>
    <t>Rubenstein,Robert,MD</t>
  </si>
  <si>
    <t>E0245425</t>
  </si>
  <si>
    <t>RUBENSTEIN ROBERT J        MD</t>
  </si>
  <si>
    <t>RUBENSTEIN ROBERT</t>
  </si>
  <si>
    <t>RUBENSTEIN ROBERT J</t>
  </si>
  <si>
    <t>DiLullo,Joseph,MD</t>
  </si>
  <si>
    <t>Ahmed,Tanveer,MD</t>
  </si>
  <si>
    <t>E0292923</t>
  </si>
  <si>
    <t>AHMED TANVEER</t>
  </si>
  <si>
    <t>Leinung,Kristen,PNP</t>
  </si>
  <si>
    <t>E0367616</t>
  </si>
  <si>
    <t>LEINUNG KRISTEN MARIE</t>
  </si>
  <si>
    <t>LEINUNG KRISTEN</t>
  </si>
  <si>
    <t>GeoffreyEpstein</t>
  </si>
  <si>
    <t>E0141604</t>
  </si>
  <si>
    <t>EPSTEIN GEOFFREY C DPM</t>
  </si>
  <si>
    <t>gepstein@gmail.com</t>
  </si>
  <si>
    <t>EPSTEIN GEOFFREY DR.</t>
  </si>
  <si>
    <t>84-75 MAIN ST</t>
  </si>
  <si>
    <t>AnthonyWeissMD</t>
  </si>
  <si>
    <t>E0139891</t>
  </si>
  <si>
    <t>WEISS ANTHONY ALAN MD</t>
  </si>
  <si>
    <t>WEISS ANTHONY</t>
  </si>
  <si>
    <t>5 E 98TH ST FL 11</t>
  </si>
  <si>
    <t>Rahman,RiazMD</t>
  </si>
  <si>
    <t>E0295573</t>
  </si>
  <si>
    <t>Bassora,RoccoMD</t>
  </si>
  <si>
    <t>E0295603</t>
  </si>
  <si>
    <t>BASSORA ROCCO</t>
  </si>
  <si>
    <t>Nair,MalloyMD</t>
  </si>
  <si>
    <t>E0295654</t>
  </si>
  <si>
    <t>NAIR MALLOY</t>
  </si>
  <si>
    <t>Guindi,NabilMD</t>
  </si>
  <si>
    <t>E0296348</t>
  </si>
  <si>
    <t>GUINDI NABIL BOSHRA</t>
  </si>
  <si>
    <t>GUINDI NABIL DR.</t>
  </si>
  <si>
    <t>Corriel,JaredMD</t>
  </si>
  <si>
    <t>E0297435</t>
  </si>
  <si>
    <t>CORRIEL JARED SCOTT MD</t>
  </si>
  <si>
    <t>CORRIEL JARED DR.</t>
  </si>
  <si>
    <t>Nelson,PeggyMD</t>
  </si>
  <si>
    <t>E0297563</t>
  </si>
  <si>
    <t>NELSON PEGGY</t>
  </si>
  <si>
    <t>Portalatin,HelenNP</t>
  </si>
  <si>
    <t>E0297650</t>
  </si>
  <si>
    <t>PORTALATIN HELEN</t>
  </si>
  <si>
    <t>PORTALATIN HELEN MRS.</t>
  </si>
  <si>
    <t>327 ALBANY AVE</t>
  </si>
  <si>
    <t>Rahman,AndreeaMD</t>
  </si>
  <si>
    <t>E0300488</t>
  </si>
  <si>
    <t>RAHMAN ANDREEA</t>
  </si>
  <si>
    <t>RAHMAN ANDREEA ANNAMARIA</t>
  </si>
  <si>
    <t>Nici,AnthonyMD</t>
  </si>
  <si>
    <t>E0325047</t>
  </si>
  <si>
    <t>NICI ANTHONY JOSEPH MD</t>
  </si>
  <si>
    <t>NICI ANTHONY DR.</t>
  </si>
  <si>
    <t>50 RTE 25A</t>
  </si>
  <si>
    <t>Akhter,RubinaMD</t>
  </si>
  <si>
    <t>E0325764</t>
  </si>
  <si>
    <t>AKHTER RUBINA</t>
  </si>
  <si>
    <t>Siddiqui,ImtiyazDO</t>
  </si>
  <si>
    <t>E0326753</t>
  </si>
  <si>
    <t>SIDDIQUI IMTIYAZ</t>
  </si>
  <si>
    <t>Minano,CeciliaMD</t>
  </si>
  <si>
    <t>E0328527</t>
  </si>
  <si>
    <t>MINANO CECILIA MD</t>
  </si>
  <si>
    <t>MINANO CECILIA DR.</t>
  </si>
  <si>
    <t>2 GANNETT DR STE L-1</t>
  </si>
  <si>
    <t>Fiol,Luanna-BelNP</t>
  </si>
  <si>
    <t>E0328536</t>
  </si>
  <si>
    <t>FIOL LUANNA BEL</t>
  </si>
  <si>
    <t>FIOL LUANNA BEL MRS.</t>
  </si>
  <si>
    <t>SallieJoHadley,M.D.</t>
  </si>
  <si>
    <t>E0012218</t>
  </si>
  <si>
    <t>HADLEY SALLIE JOELLIN  MD</t>
  </si>
  <si>
    <t>HADLEY SALLIE DR.</t>
  </si>
  <si>
    <t>EdnaAkoto</t>
  </si>
  <si>
    <t>E0383535</t>
  </si>
  <si>
    <t>AKOTO EDNA</t>
  </si>
  <si>
    <t>AKOTO EDNA DR.</t>
  </si>
  <si>
    <t>Levine,Sander</t>
  </si>
  <si>
    <t>Kaplan,Evan</t>
  </si>
  <si>
    <t>Portello,Joan</t>
  </si>
  <si>
    <t>Amchentsev,AlexeyMD</t>
  </si>
  <si>
    <t>E0292434</t>
  </si>
  <si>
    <t>AMCHENTSEV ALEXEY MD</t>
  </si>
  <si>
    <t>AMCHENTSEV ALEXEY</t>
  </si>
  <si>
    <t>Mir,KhawajaMD</t>
  </si>
  <si>
    <t>E0294330</t>
  </si>
  <si>
    <t>MIR KHAWAJA S</t>
  </si>
  <si>
    <t>MIR SAJID</t>
  </si>
  <si>
    <t>MIR SAJID AHMAD MD</t>
  </si>
  <si>
    <t>Bagam,Samantha</t>
  </si>
  <si>
    <t>E0294435</t>
  </si>
  <si>
    <t>SAMATHA BAGAM</t>
  </si>
  <si>
    <t>BAGAM SAMATHA</t>
  </si>
  <si>
    <t>BAGAM SAMATHA MD</t>
  </si>
  <si>
    <t>100 CRYSTAL RUN RD STE 107</t>
  </si>
  <si>
    <t>Kaw,PankajMD</t>
  </si>
  <si>
    <t>E0294856</t>
  </si>
  <si>
    <t>KAW PANKAJ</t>
  </si>
  <si>
    <t>Guchinskiy,AlexsandrDO</t>
  </si>
  <si>
    <t>E0295196</t>
  </si>
  <si>
    <t>GUCHINSKIY ALEKSANDR</t>
  </si>
  <si>
    <t>GUCHINSKIY ALEKSANDR DR.</t>
  </si>
  <si>
    <t>GUCHINSKIY ALEKSANDR DO</t>
  </si>
  <si>
    <t>MeganCoons</t>
  </si>
  <si>
    <t>E0367438</t>
  </si>
  <si>
    <t>COONS MEGAN PATRICIA</t>
  </si>
  <si>
    <t>COONS MEGAN DR.</t>
  </si>
  <si>
    <t>198 E 121ST ST</t>
  </si>
  <si>
    <t>AdrielGerard</t>
  </si>
  <si>
    <t>E0354776</t>
  </si>
  <si>
    <t>GERARD ADRIEL MAX</t>
  </si>
  <si>
    <t>GERARD ADRIEL DR.</t>
  </si>
  <si>
    <t>AnujGupta</t>
  </si>
  <si>
    <t>E0354912</t>
  </si>
  <si>
    <t>GUPTA ANUJ K</t>
  </si>
  <si>
    <t>GUPTA ANUJ DR.</t>
  </si>
  <si>
    <t>DillonEuler</t>
  </si>
  <si>
    <t>E0362572</t>
  </si>
  <si>
    <t>EULER DILLON CARMICKLE</t>
  </si>
  <si>
    <t>EULER DILLON</t>
  </si>
  <si>
    <t>PeterFarol</t>
  </si>
  <si>
    <t>E0068516</t>
  </si>
  <si>
    <t>FAROL PETER  MD</t>
  </si>
  <si>
    <t>FAROL PETER</t>
  </si>
  <si>
    <t>DavidSpinner,DO</t>
  </si>
  <si>
    <t>E0379408</t>
  </si>
  <si>
    <t>SPINNER DAVID A</t>
  </si>
  <si>
    <t>LoriMcKenna</t>
  </si>
  <si>
    <t>(212) 824-8388</t>
  </si>
  <si>
    <t>david.spinner@mountsinai.org</t>
  </si>
  <si>
    <t>SPINNER DAVID DR.</t>
  </si>
  <si>
    <t>5 E 98TH ST FL 6</t>
  </si>
  <si>
    <t>OlympiaGheorghiuAddictions</t>
  </si>
  <si>
    <t>GailReid</t>
  </si>
  <si>
    <t>(646) 522-3035</t>
  </si>
  <si>
    <t>greid@greenwchhouse.org</t>
  </si>
  <si>
    <t>Young-Geye,StephanieY,PMHNP</t>
  </si>
  <si>
    <t>CrystalJordan</t>
  </si>
  <si>
    <t>Seth,Lalit</t>
  </si>
  <si>
    <t>lseth47@hotmail.com</t>
  </si>
  <si>
    <t>Maciag,Emanuela</t>
  </si>
  <si>
    <t>emaciag@ipc-hub.com</t>
  </si>
  <si>
    <t>DinaWeintraubMD</t>
  </si>
  <si>
    <t>E0099905</t>
  </si>
  <si>
    <t>WEINTRAUB DINA B</t>
  </si>
  <si>
    <t>WEINTRAUB DINA DR.</t>
  </si>
  <si>
    <t>DOCS PHYS</t>
  </si>
  <si>
    <t>ScottWeissMD</t>
  </si>
  <si>
    <t>E0289470</t>
  </si>
  <si>
    <t>SCOTT A WEISS MD</t>
  </si>
  <si>
    <t>WEISS SCOTT DR.</t>
  </si>
  <si>
    <t>WEISS SCOTT A  MD</t>
  </si>
  <si>
    <t>PradipJoshi,DPM</t>
  </si>
  <si>
    <t>E0171685</t>
  </si>
  <si>
    <t>JOSHI PRADIP M  DPM</t>
  </si>
  <si>
    <t>EdwardRoss</t>
  </si>
  <si>
    <t>JOSHI PRADIP</t>
  </si>
  <si>
    <t>JOSHI PRADIP M</t>
  </si>
  <si>
    <t>1963A DALY AVE</t>
  </si>
  <si>
    <t>CesarAlfonsoMD</t>
  </si>
  <si>
    <t>PeterBooksteinMD</t>
  </si>
  <si>
    <t>E0110766</t>
  </si>
  <si>
    <t>BOOKSTEIN PETER M MD</t>
  </si>
  <si>
    <t>BOOKSTEIN PETER</t>
  </si>
  <si>
    <t>BOOKSTEIN PETER M</t>
  </si>
  <si>
    <t>110 E 40TH ST RM 707</t>
  </si>
  <si>
    <t>LauraSperazza,OD</t>
  </si>
  <si>
    <t>E0101520</t>
  </si>
  <si>
    <t>SPERAZZA LARUA C</t>
  </si>
  <si>
    <t>SPERAZZA LAURA DR.</t>
  </si>
  <si>
    <t>HelenChang,MD.</t>
  </si>
  <si>
    <t>E0097695</t>
  </si>
  <si>
    <t>CHANG HELEN MD</t>
  </si>
  <si>
    <t>CHANG HELEN DR.</t>
  </si>
  <si>
    <t>JennyTang-Chan,MD.</t>
  </si>
  <si>
    <t>E0095275</t>
  </si>
  <si>
    <t>TANG JENNY</t>
  </si>
  <si>
    <t>TANG - CHAN JENNY</t>
  </si>
  <si>
    <t>TANG JENNY MD</t>
  </si>
  <si>
    <t>JaneMichel</t>
  </si>
  <si>
    <t>E0368404</t>
  </si>
  <si>
    <t>MICHEL JANE</t>
  </si>
  <si>
    <t>OmarZurita</t>
  </si>
  <si>
    <t>E0309281</t>
  </si>
  <si>
    <t>ZURITA OMAR</t>
  </si>
  <si>
    <t>ZURITA OMAR MR.</t>
  </si>
  <si>
    <t>ZURITA OMAR J</t>
  </si>
  <si>
    <t>4045 75TH ST # 2</t>
  </si>
  <si>
    <t>MariaRosas</t>
  </si>
  <si>
    <t>E0320050</t>
  </si>
  <si>
    <t>ROSAS MARIA</t>
  </si>
  <si>
    <t>BrookeTrenton</t>
  </si>
  <si>
    <t>E0336557</t>
  </si>
  <si>
    <t>TRENTON BROOKE</t>
  </si>
  <si>
    <t>VadimAzbel</t>
  </si>
  <si>
    <t>E0106304</t>
  </si>
  <si>
    <t>AZBEL VADIM MD</t>
  </si>
  <si>
    <t>AZBEL VADIM</t>
  </si>
  <si>
    <t>1725 E 12TH ST STE 201</t>
  </si>
  <si>
    <t>Mary-JoWeber</t>
  </si>
  <si>
    <t>E0095911</t>
  </si>
  <si>
    <t>WEBER MARY-JO DIAZ</t>
  </si>
  <si>
    <t>WEBER MARY-JO MS.</t>
  </si>
  <si>
    <t>MoiraKennedy</t>
  </si>
  <si>
    <t>E0030576</t>
  </si>
  <si>
    <t>KENNEDY MOIRA J</t>
  </si>
  <si>
    <t>KENNEDY MOIRA DR.</t>
  </si>
  <si>
    <t>74 SAINT MARKS PL</t>
  </si>
  <si>
    <t>MaryPressman</t>
  </si>
  <si>
    <t>AntoineAdam</t>
  </si>
  <si>
    <t>YakovSemenov</t>
  </si>
  <si>
    <t>E0302714</t>
  </si>
  <si>
    <t>YAKOV SEMENOV</t>
  </si>
  <si>
    <t>SEMENOV YAKOV</t>
  </si>
  <si>
    <t>PaulaPanzer</t>
  </si>
  <si>
    <t>E0355831</t>
  </si>
  <si>
    <t>PANZER PAULA G</t>
  </si>
  <si>
    <t>PANZER PAULA DR.</t>
  </si>
  <si>
    <t>135 W 50TH ST FL 6</t>
  </si>
  <si>
    <t>MohanObilisundarMD</t>
  </si>
  <si>
    <t>E0191468</t>
  </si>
  <si>
    <t>OBILISUNDAR MOHAN MD</t>
  </si>
  <si>
    <t>OBILISUNDAR MOHAN</t>
  </si>
  <si>
    <t>DanielOgbovohMBBS</t>
  </si>
  <si>
    <t>CharitaHoyle</t>
  </si>
  <si>
    <t>E0192188</t>
  </si>
  <si>
    <t>HOYLE PARR CHARITA C MD</t>
  </si>
  <si>
    <t>Dr.JeanHolland</t>
  </si>
  <si>
    <t>(212) 426-3400</t>
  </si>
  <si>
    <t>jholland@northsidecenter.org</t>
  </si>
  <si>
    <t>HOYLE-PARR CHARITA DR.</t>
  </si>
  <si>
    <t>APT 11D</t>
  </si>
  <si>
    <t>ZanaDobroshi</t>
  </si>
  <si>
    <t>E0076989</t>
  </si>
  <si>
    <t>DOBROSHI ZANA MD</t>
  </si>
  <si>
    <t>DOBROSHI ZANA DR.</t>
  </si>
  <si>
    <t>LindaFreeman</t>
  </si>
  <si>
    <t>E0027552</t>
  </si>
  <si>
    <t>FREEMAN LINDA NANCY</t>
  </si>
  <si>
    <t>FREEMAN LINDA</t>
  </si>
  <si>
    <t>NathanGammill</t>
  </si>
  <si>
    <t>E0334547</t>
  </si>
  <si>
    <t>GAMMILL NATHAN BRADY</t>
  </si>
  <si>
    <t>MarciaHolman</t>
  </si>
  <si>
    <t>GAMMILL NATHAN MR.</t>
  </si>
  <si>
    <t>344 W 36TH ST RM 109</t>
  </si>
  <si>
    <t>VaibhavBhatia</t>
  </si>
  <si>
    <t>E0344318</t>
  </si>
  <si>
    <t>BHATIA VAIBAV</t>
  </si>
  <si>
    <t>BHATIA VAIBHAV DR.</t>
  </si>
  <si>
    <t>344 W 36TH ST</t>
  </si>
  <si>
    <t>AmandaGangoo</t>
  </si>
  <si>
    <t>E0372177</t>
  </si>
  <si>
    <t>GANGOO AMANDA K</t>
  </si>
  <si>
    <t>GANGOO AMANDA DR.</t>
  </si>
  <si>
    <t>JessicaStuart</t>
  </si>
  <si>
    <t>E0391241</t>
  </si>
  <si>
    <t>STEWART JESSICA ANN</t>
  </si>
  <si>
    <t>STEWART JESSICA DR.</t>
  </si>
  <si>
    <t>HenryRochel</t>
  </si>
  <si>
    <t>E0314052</t>
  </si>
  <si>
    <t>ROCHEL HENRY</t>
  </si>
  <si>
    <t>NudratKhan</t>
  </si>
  <si>
    <t>E0404878</t>
  </si>
  <si>
    <t>KHAN NUDRAT</t>
  </si>
  <si>
    <t>71 W 23RD ST STE 704</t>
  </si>
  <si>
    <t>LeslyCurtis</t>
  </si>
  <si>
    <t>E0307951</t>
  </si>
  <si>
    <t>CURTIS LESLY JO</t>
  </si>
  <si>
    <t>CURTIS LESLY MS.</t>
  </si>
  <si>
    <t>ImramFaisal</t>
  </si>
  <si>
    <t>E0115316</t>
  </si>
  <si>
    <t>FAISAL IMRAN MD</t>
  </si>
  <si>
    <t>FAISAL IMRAN</t>
  </si>
  <si>
    <t>FengLiu,MD</t>
  </si>
  <si>
    <t>E0274025</t>
  </si>
  <si>
    <t>UNIVERSITY SETTLEMENT</t>
  </si>
  <si>
    <t>GailPurvis,LCSWR</t>
  </si>
  <si>
    <t>(212) 453-4594</t>
  </si>
  <si>
    <t>gpurvis@universitysettlement.org</t>
  </si>
  <si>
    <t>UNIVERSITY SETTLEMENT SOCIETY OF NEW YORK</t>
  </si>
  <si>
    <t>VICTORY CONS CL</t>
  </si>
  <si>
    <t>MyriameJoseph</t>
  </si>
  <si>
    <t>E0116014</t>
  </si>
  <si>
    <t>JOSEPH MYRIAME</t>
  </si>
  <si>
    <t>JOSEPH MYRIAME DR.</t>
  </si>
  <si>
    <t>521 WEST 239 ST J W BEATMAN CTR</t>
  </si>
  <si>
    <t>Cohen,Allen</t>
  </si>
  <si>
    <t>O'Connell,William</t>
  </si>
  <si>
    <t>Bass,Sherry</t>
  </si>
  <si>
    <t>MadisonAvenuePharmacy</t>
  </si>
  <si>
    <t>E0187500</t>
  </si>
  <si>
    <t>MADISON AVENUE PHARMACY INC</t>
  </si>
  <si>
    <t>MarcBrandell</t>
  </si>
  <si>
    <t>(212) 722-3200</t>
  </si>
  <si>
    <t>RICHARD SCHIRRIPA</t>
  </si>
  <si>
    <t>PartnersofNewYork,LLC</t>
  </si>
  <si>
    <t>E0379218</t>
  </si>
  <si>
    <t>PARTNERS OF NEW YORK LLC</t>
  </si>
  <si>
    <t>RosePereg</t>
  </si>
  <si>
    <t>(516) 446-3568</t>
  </si>
  <si>
    <t>PARTNERS OF NEW YORK, LLC</t>
  </si>
  <si>
    <t>661 HILLSIDE RD STE A</t>
  </si>
  <si>
    <t>ChemRxPharmacy-LongTermCare</t>
  </si>
  <si>
    <t>E0318048</t>
  </si>
  <si>
    <t>CHEM RX ACQUISITION SUB INC</t>
  </si>
  <si>
    <t>RochelleStern</t>
  </si>
  <si>
    <t>(516) 606-8132</t>
  </si>
  <si>
    <t>CHEM RX PHARMACY SERVICES, LLC</t>
  </si>
  <si>
    <t>790 PARK PL</t>
  </si>
  <si>
    <t>AnthonyPignataro,M.S.</t>
  </si>
  <si>
    <t>PIGNATARO ANTHONY MR.</t>
  </si>
  <si>
    <t>PeterBae</t>
  </si>
  <si>
    <t>E0062783</t>
  </si>
  <si>
    <t>BAE PETER SANGDO</t>
  </si>
  <si>
    <t>(718) 432-5555</t>
  </si>
  <si>
    <t>kingsbridgeeye@yahoo.com</t>
  </si>
  <si>
    <t>BAE PETER DR.</t>
  </si>
  <si>
    <t>JonathanSelzer</t>
  </si>
  <si>
    <t>(718) 884-2300</t>
  </si>
  <si>
    <t>jdselzer@yahoo.com</t>
  </si>
  <si>
    <t>YanaSerobyan</t>
  </si>
  <si>
    <t>E0070424</t>
  </si>
  <si>
    <t>SEROBYAN YANA</t>
  </si>
  <si>
    <t>SEROBYAN YANA DR.</t>
  </si>
  <si>
    <t>GLENGARIFF HLTH CARE</t>
  </si>
  <si>
    <t>BethZedeck</t>
  </si>
  <si>
    <t>E0317087</t>
  </si>
  <si>
    <t>ZEDECK BETH</t>
  </si>
  <si>
    <t>262 EAST 174TH STREE</t>
  </si>
  <si>
    <t>StuartLeon</t>
  </si>
  <si>
    <t>E0061349</t>
  </si>
  <si>
    <t>LEON STUART BRIAN  DPM</t>
  </si>
  <si>
    <t>stugot21@verizon.net</t>
  </si>
  <si>
    <t>LEON STUART DR.</t>
  </si>
  <si>
    <t>GregoryBunza</t>
  </si>
  <si>
    <t>E0061247</t>
  </si>
  <si>
    <t>BUNZA GREGORY N DDS</t>
  </si>
  <si>
    <t>(201) 838-2962</t>
  </si>
  <si>
    <t>gnb3@columbia.edu</t>
  </si>
  <si>
    <t>BUNZA GREGORY DR.</t>
  </si>
  <si>
    <t>BUNZA GREGORY NICHOLAS</t>
  </si>
  <si>
    <t>630 W. 168TH STREET</t>
  </si>
  <si>
    <t>Francis-LeitoFemi,DPM</t>
  </si>
  <si>
    <t>E0285115</t>
  </si>
  <si>
    <t>FRANCIS-LEITO FEMI</t>
  </si>
  <si>
    <t>FRANCIS FEMI</t>
  </si>
  <si>
    <t>OlgaSteklova,M.D.</t>
  </si>
  <si>
    <t>E0051153</t>
  </si>
  <si>
    <t>STEKLOVA OLGA</t>
  </si>
  <si>
    <t>STEKLOVA OLGA MRS.</t>
  </si>
  <si>
    <t>211-11 NORTHERN BLVD</t>
  </si>
  <si>
    <t>Giovinazzo,Vincent</t>
  </si>
  <si>
    <t>E0230060</t>
  </si>
  <si>
    <t>GIOVINAZZO VINCENT JEROME MD</t>
  </si>
  <si>
    <t>GIOVINAZZO VINCENT</t>
  </si>
  <si>
    <t>1086 FOREST AVE</t>
  </si>
  <si>
    <t>Watson,Catherine</t>
  </si>
  <si>
    <t>Levy,Steven</t>
  </si>
  <si>
    <t>E0194573</t>
  </si>
  <si>
    <t>LEVY STEVEN ROBERT</t>
  </si>
  <si>
    <t>LEVY STEVEN DR.</t>
  </si>
  <si>
    <t>WINDSOR PARK VISION</t>
  </si>
  <si>
    <t>RajaniLowe,M.D.</t>
  </si>
  <si>
    <t>E0056088</t>
  </si>
  <si>
    <t>LOWE RAJANI</t>
  </si>
  <si>
    <t>349 HENRY ST</t>
  </si>
  <si>
    <t>NancyChez</t>
  </si>
  <si>
    <t>AngelAlcantara</t>
  </si>
  <si>
    <t>E0091436</t>
  </si>
  <si>
    <t>ALCANTARA ANGEL MARIA MD</t>
  </si>
  <si>
    <t>(917) 363-9230</t>
  </si>
  <si>
    <t>aangel131@aol.com</t>
  </si>
  <si>
    <t>ALCANTARA ANGEL DR.</t>
  </si>
  <si>
    <t>3 RE PSYCH</t>
  </si>
  <si>
    <t>FedericoColon</t>
  </si>
  <si>
    <t>(917) 751-3779</t>
  </si>
  <si>
    <t>SergeiKochlatyi</t>
  </si>
  <si>
    <t>(917) 974-7172</t>
  </si>
  <si>
    <t>Skochlatyi@isabella.org</t>
  </si>
  <si>
    <t>Kupershtokh,SvetlanaMD</t>
  </si>
  <si>
    <t>E0319824</t>
  </si>
  <si>
    <t>KUPERSHTOKH SVETLANA</t>
  </si>
  <si>
    <t>Husain,SyedDO</t>
  </si>
  <si>
    <t>E0320651</t>
  </si>
  <si>
    <t>HUSAIN SYED A</t>
  </si>
  <si>
    <t>HUSAIN SYED</t>
  </si>
  <si>
    <t>Judd,Seth</t>
  </si>
  <si>
    <t>E0321188</t>
  </si>
  <si>
    <t>JUDD SETH CHRISTIAN</t>
  </si>
  <si>
    <t>JUDD SETH DR.</t>
  </si>
  <si>
    <t>Kaminsky,LillianMD</t>
  </si>
  <si>
    <t>E0322428</t>
  </si>
  <si>
    <t>KAMINSKY LILLIAN</t>
  </si>
  <si>
    <t>KAMINSKY LILLIAN M MD</t>
  </si>
  <si>
    <t>Samuel,JessicaPA</t>
  </si>
  <si>
    <t>E0322686</t>
  </si>
  <si>
    <t>SAMUEL JESSICA</t>
  </si>
  <si>
    <t>Celzo,Ma.FlorenceMD</t>
  </si>
  <si>
    <t>E0323677</t>
  </si>
  <si>
    <t>MA FLORENCE INTIA CELZO</t>
  </si>
  <si>
    <t>CELZO MA. FLORENCE DR.</t>
  </si>
  <si>
    <t>317 LOCKHART STREET</t>
  </si>
  <si>
    <t>Sy,SheldonMD</t>
  </si>
  <si>
    <t>E0324353</t>
  </si>
  <si>
    <t>SY SHELDON</t>
  </si>
  <si>
    <t>SY SHELDON DR.</t>
  </si>
  <si>
    <t>Hackenburg,Emily,NP</t>
  </si>
  <si>
    <t>E0285071</t>
  </si>
  <si>
    <t>HACKENBURG EMILY</t>
  </si>
  <si>
    <t>HACKENBURG EMILY MS.</t>
  </si>
  <si>
    <t>Masson,Ella,NP(SBHC)</t>
  </si>
  <si>
    <t>E0296282</t>
  </si>
  <si>
    <t>MASSON ELLA</t>
  </si>
  <si>
    <t>IANNACONE ELLA</t>
  </si>
  <si>
    <t>SethBrum</t>
  </si>
  <si>
    <t>E0124801</t>
  </si>
  <si>
    <t>BRUM SETH U MD</t>
  </si>
  <si>
    <t>DavidWortman</t>
  </si>
  <si>
    <t>(718) 477-6900</t>
  </si>
  <si>
    <t>dwortman@victorymedicine.com</t>
  </si>
  <si>
    <t>BRUM SETH DR.</t>
  </si>
  <si>
    <t>AkivaBergman</t>
  </si>
  <si>
    <t>E0027689</t>
  </si>
  <si>
    <t>BERGMAN AKIVA MD</t>
  </si>
  <si>
    <t>BERGMAN AKIVA</t>
  </si>
  <si>
    <t>AhmadHedayati</t>
  </si>
  <si>
    <t>MuhammadNaeem</t>
  </si>
  <si>
    <t>E0131332</t>
  </si>
  <si>
    <t>NAEEM MUHAMMED</t>
  </si>
  <si>
    <t>SandraCatalano(OfficeManager)</t>
  </si>
  <si>
    <t>(914) 237-7031</t>
  </si>
  <si>
    <t>csandrany@aol.com</t>
  </si>
  <si>
    <t>NAEEM MUHAMMAD</t>
  </si>
  <si>
    <t>MariaBranca</t>
  </si>
  <si>
    <t>drbranca@att.net</t>
  </si>
  <si>
    <t>AmyLaude</t>
  </si>
  <si>
    <t>E0361216</t>
  </si>
  <si>
    <t>LAUDE AMY KRISTIN</t>
  </si>
  <si>
    <t>RiverdaleFamilyPractice</t>
  </si>
  <si>
    <t>(718) 543-2700</t>
  </si>
  <si>
    <t>amylaude@gmail.com</t>
  </si>
  <si>
    <t>LAUDE AMY DR.</t>
  </si>
  <si>
    <t>PETERMAPA</t>
  </si>
  <si>
    <t>DiSanto,Gregory</t>
  </si>
  <si>
    <t>Weisbard,JamesJoseph,MD</t>
  </si>
  <si>
    <t>Banerjee,Rittika,MD</t>
  </si>
  <si>
    <t>E0286139</t>
  </si>
  <si>
    <t>BANERJEE RITTIKA</t>
  </si>
  <si>
    <t>BANERJEE RITTIKA DR.</t>
  </si>
  <si>
    <t>BANERJEE RITTIKA MD</t>
  </si>
  <si>
    <t>Anusionwu,Reagan,NPP</t>
  </si>
  <si>
    <t>E0352581</t>
  </si>
  <si>
    <t>ANUSIONWU REAGAN</t>
  </si>
  <si>
    <t>Santos,Lorenzo,MD</t>
  </si>
  <si>
    <t>E0362251</t>
  </si>
  <si>
    <t>SANTOS GUTIERREZ LORENZO</t>
  </si>
  <si>
    <t>SANTOS LORENZO</t>
  </si>
  <si>
    <t>SANTOS GUTIERREZ LORENZO MIGUEL</t>
  </si>
  <si>
    <t>SusanWeinstein,OD</t>
  </si>
  <si>
    <t>E0055773</t>
  </si>
  <si>
    <t>WEINSTEIN SUSAN</t>
  </si>
  <si>
    <t>AnitaHariprashadPA</t>
  </si>
  <si>
    <t>Bissonette,Maya</t>
  </si>
  <si>
    <t>E0343921</t>
  </si>
  <si>
    <t>BISSONETTE MAYA SAHAN</t>
  </si>
  <si>
    <t>BISSONETTE MAYA</t>
  </si>
  <si>
    <t>Pan,LawrenceMD</t>
  </si>
  <si>
    <t>E0347134</t>
  </si>
  <si>
    <t>PAN LAWRENCE</t>
  </si>
  <si>
    <t>PAN LAWRENCE DR.</t>
  </si>
  <si>
    <t>Salomon,AdrienneMD</t>
  </si>
  <si>
    <t>E0347389</t>
  </si>
  <si>
    <t>SALOMON ADRIENNE A</t>
  </si>
  <si>
    <t>SALOMON ADRIENNE DR.</t>
  </si>
  <si>
    <t>SALOMON ADRIENNE ANTONINE</t>
  </si>
  <si>
    <t>Chetiyaar,JyothiMD</t>
  </si>
  <si>
    <t>E0348468</t>
  </si>
  <si>
    <t>CHETIYAAR JYOTHI B</t>
  </si>
  <si>
    <t>RANGADHAMA JYOTHI</t>
  </si>
  <si>
    <t>RANGADHAMA JYOTHI B</t>
  </si>
  <si>
    <t>Riaz,AasmaMD</t>
  </si>
  <si>
    <t>E0349643</t>
  </si>
  <si>
    <t>RIAZ AASMA</t>
  </si>
  <si>
    <t>RIAZ AASMA DR.</t>
  </si>
  <si>
    <t>Batson,LisaMd</t>
  </si>
  <si>
    <t>E0350234</t>
  </si>
  <si>
    <t>BATSON LISA ANN</t>
  </si>
  <si>
    <t>BATSON LISA DR.</t>
  </si>
  <si>
    <t>Batson,NicholasMD</t>
  </si>
  <si>
    <t>E0351320</t>
  </si>
  <si>
    <t>BATSON NICHOLAS E</t>
  </si>
  <si>
    <t>BATSON NICHOLAS DR.</t>
  </si>
  <si>
    <t>Sorokin,AnnaMD</t>
  </si>
  <si>
    <t>E0351466</t>
  </si>
  <si>
    <t>SOROKIN ANNA</t>
  </si>
  <si>
    <t>Malik,NasirMD</t>
  </si>
  <si>
    <t>E0351932</t>
  </si>
  <si>
    <t>MALIK NASIR M</t>
  </si>
  <si>
    <t>MALIK NASIR</t>
  </si>
  <si>
    <t>Powell,SovanMD</t>
  </si>
  <si>
    <t>E0354716</t>
  </si>
  <si>
    <t>POWELL SOVAN LATOYA</t>
  </si>
  <si>
    <t>POWELL SOVAN DR.</t>
  </si>
  <si>
    <t>Kheterpal,Meenal</t>
  </si>
  <si>
    <t>E0355275</t>
  </si>
  <si>
    <t>KHETERPAL MEENAL K</t>
  </si>
  <si>
    <t>KHETERPAL MEENAL</t>
  </si>
  <si>
    <t>Bell,RyanMD</t>
  </si>
  <si>
    <t>E0355697</t>
  </si>
  <si>
    <t>BELL RYAN</t>
  </si>
  <si>
    <t>BELL RYAN MR.</t>
  </si>
  <si>
    <t>Panda,TaptiMD</t>
  </si>
  <si>
    <t>E0006182</t>
  </si>
  <si>
    <t>PANDA TAPTI</t>
  </si>
  <si>
    <t>PANDA TAPTI DR.</t>
  </si>
  <si>
    <t>PANDA TAPTI MD</t>
  </si>
  <si>
    <t>SusanLundon,L.M.S.W.</t>
  </si>
  <si>
    <t>LUNDON SUSAN</t>
  </si>
  <si>
    <t>460 WEST 34TH STREET, 11TH FLOOR</t>
  </si>
  <si>
    <t>Michella,KerriPA</t>
  </si>
  <si>
    <t>E0313494</t>
  </si>
  <si>
    <t>MICHELLA KERRI LYNN RPA</t>
  </si>
  <si>
    <t>MICHELLA KERRI</t>
  </si>
  <si>
    <t>Kubenik,MelissaMD</t>
  </si>
  <si>
    <t>E0319456</t>
  </si>
  <si>
    <t>KUBENIK MELISSA C</t>
  </si>
  <si>
    <t>KUBENIK MELISSA DR.</t>
  </si>
  <si>
    <t>KUBENIK MELISSA COLL</t>
  </si>
  <si>
    <t>NancyMorrisett,R.N.</t>
  </si>
  <si>
    <t>E0346687</t>
  </si>
  <si>
    <t>MORRISETT NANCY</t>
  </si>
  <si>
    <t>PhilipHirschhorn</t>
  </si>
  <si>
    <t>LincolnPlacePharmacy</t>
  </si>
  <si>
    <t>E0073136</t>
  </si>
  <si>
    <t>LINCOLN PLACE PHARMACY INC</t>
  </si>
  <si>
    <t>OmarAwad</t>
  </si>
  <si>
    <t>(718) 756-1717</t>
  </si>
  <si>
    <t>1135 EASTERN PKWY</t>
  </si>
  <si>
    <t>AlexMikhelson</t>
  </si>
  <si>
    <t>E0004765</t>
  </si>
  <si>
    <t>MIKHELSON ALEX</t>
  </si>
  <si>
    <t>MIKHELSON ALEX MD</t>
  </si>
  <si>
    <t>CharlesKwak,M.D.</t>
  </si>
  <si>
    <t>E0045491</t>
  </si>
  <si>
    <t>KWAK CHARLES</t>
  </si>
  <si>
    <t>KWAK CHARLES DR.</t>
  </si>
  <si>
    <t>KWAK CHARLES C</t>
  </si>
  <si>
    <t>3420 PARSONS BLVD APT LF</t>
  </si>
  <si>
    <t>VasanthaBadhey,M.D.</t>
  </si>
  <si>
    <t>JungMiChang,M.D.</t>
  </si>
  <si>
    <t>E0016462</t>
  </si>
  <si>
    <t>CHANG JUNG MI MD</t>
  </si>
  <si>
    <t>CHANG JUNG MI DR.</t>
  </si>
  <si>
    <t>CHANG JUNG MI</t>
  </si>
  <si>
    <t>460 W 34TH ST</t>
  </si>
  <si>
    <t>MonaKennedy</t>
  </si>
  <si>
    <t>E0412871</t>
  </si>
  <si>
    <t>KENNEDY MONA ANITA</t>
  </si>
  <si>
    <t>KENNEDY MONA</t>
  </si>
  <si>
    <t>NewLotsPharmacy</t>
  </si>
  <si>
    <t>PevazShaikh</t>
  </si>
  <si>
    <t>(718) 484-0700</t>
  </si>
  <si>
    <t>404NewLotsAvenue</t>
  </si>
  <si>
    <t>LawrencePharmacy</t>
  </si>
  <si>
    <t>E0140768</t>
  </si>
  <si>
    <t>F AND B PHARMACY CORP</t>
  </si>
  <si>
    <t>BobPhilippi</t>
  </si>
  <si>
    <t>(718) 649-0180</t>
  </si>
  <si>
    <t>740 NEW LOTS AVE</t>
  </si>
  <si>
    <t>ArthurAvenuePharmacy</t>
  </si>
  <si>
    <t>E0066588</t>
  </si>
  <si>
    <t>MANVIHAR PHARMACY INC</t>
  </si>
  <si>
    <t>RatnaVeera</t>
  </si>
  <si>
    <t>(718) 561-4040</t>
  </si>
  <si>
    <t>MANUIHAR PHARMACY INC</t>
  </si>
  <si>
    <t>2343 ARTHUR AVE</t>
  </si>
  <si>
    <t>SydelleRoss</t>
  </si>
  <si>
    <t>PatriciaMcCabe</t>
  </si>
  <si>
    <t>MelvinRothbergerMD</t>
  </si>
  <si>
    <t>E0271965</t>
  </si>
  <si>
    <t>ROTHBERGER MELVIN J MD LLC MD</t>
  </si>
  <si>
    <t>ROTHBERGER MELVIN DR.</t>
  </si>
  <si>
    <t>ROTHBERGER MELVIN J</t>
  </si>
  <si>
    <t>575 KINGS HWY</t>
  </si>
  <si>
    <t>Teitelbaum,HalMD</t>
  </si>
  <si>
    <t>E0235714</t>
  </si>
  <si>
    <t>TEITELBAUM HAL DAVID       MD</t>
  </si>
  <si>
    <t>TEITELBAUM HAL</t>
  </si>
  <si>
    <t>TEITELBAUM HAL DAVID</t>
  </si>
  <si>
    <t>Todd,JacqulineMD</t>
  </si>
  <si>
    <t>E0059442</t>
  </si>
  <si>
    <t>TODD JACQULINE YVONNE</t>
  </si>
  <si>
    <t>TODD JACQULINE MS.</t>
  </si>
  <si>
    <t>Tolis,ArthurMD</t>
  </si>
  <si>
    <t>E0116813</t>
  </si>
  <si>
    <t>TOLIS ARTHUR FREDERICK</t>
  </si>
  <si>
    <t>TOLIS ARTHUR</t>
  </si>
  <si>
    <t>Trapp,KevinMD</t>
  </si>
  <si>
    <t>E0042971</t>
  </si>
  <si>
    <t>TRAPP KEVIN</t>
  </si>
  <si>
    <t>Vaidya,NoamanMD</t>
  </si>
  <si>
    <t>E0347878</t>
  </si>
  <si>
    <t>VAIDYA NOAMAN N</t>
  </si>
  <si>
    <t>VAIDYA NOAMAN DR.</t>
  </si>
  <si>
    <t>ValderramaTorres,DiogenesIvanMD</t>
  </si>
  <si>
    <t>E0336364</t>
  </si>
  <si>
    <t>VALDERRAMA TORRES DIOGENES</t>
  </si>
  <si>
    <t>VALDERRAMA TORRES DIOGENES DR.</t>
  </si>
  <si>
    <t>VALDERRAMA TORRES DIOGENES IVAN</t>
  </si>
  <si>
    <t>Vaugeois,KimTamDO</t>
  </si>
  <si>
    <t>E0323605</t>
  </si>
  <si>
    <t>VAUGEOIS KIMTAM DO</t>
  </si>
  <si>
    <t>VAUGEOIS KIMTAM</t>
  </si>
  <si>
    <t>Poonthota,AnjanaMD</t>
  </si>
  <si>
    <t>E0004543</t>
  </si>
  <si>
    <t>POONTHOTA ANJANA</t>
  </si>
  <si>
    <t>39 ELM ST</t>
  </si>
  <si>
    <t>Massih,ShawkatMD</t>
  </si>
  <si>
    <t>E0005076</t>
  </si>
  <si>
    <t>ABDELMASSIH SHAWKAT G</t>
  </si>
  <si>
    <t>MASSIH SHAWKAT</t>
  </si>
  <si>
    <t>MASSIH SHAWKAT G MD</t>
  </si>
  <si>
    <t>Fakhoury,WaelMD</t>
  </si>
  <si>
    <t>Ke,YongMD</t>
  </si>
  <si>
    <t>E0338776</t>
  </si>
  <si>
    <t>KE YONG</t>
  </si>
  <si>
    <t>Antoine,MichaelleMD</t>
  </si>
  <si>
    <t>E0338789</t>
  </si>
  <si>
    <t>ANTOINE MICHAELLE</t>
  </si>
  <si>
    <t>Qaqish,SaedMD</t>
  </si>
  <si>
    <t>E0338790</t>
  </si>
  <si>
    <t>QAQISH SAED</t>
  </si>
  <si>
    <t>QAQISH SAED DR.</t>
  </si>
  <si>
    <t>Smotra,SumeetMD</t>
  </si>
  <si>
    <t>E0341379</t>
  </si>
  <si>
    <t>SMOTRA SUMEET</t>
  </si>
  <si>
    <t>SMOTRA SUMEET DR.</t>
  </si>
  <si>
    <t>VictoriaRivera</t>
  </si>
  <si>
    <t>E0345599</t>
  </si>
  <si>
    <t>RIVERA VICTORIA L.</t>
  </si>
  <si>
    <t>RobertaKelly</t>
  </si>
  <si>
    <t>RhealynneQuindor</t>
  </si>
  <si>
    <t>JohnLazar</t>
  </si>
  <si>
    <t>JayashreeBhinda</t>
  </si>
  <si>
    <t>MariaCampos</t>
  </si>
  <si>
    <t>St.CabriniNursingHomeLongTermHomeHealthCareProgram</t>
  </si>
  <si>
    <t>CalvaryHospice</t>
  </si>
  <si>
    <t>CalvaryHospital</t>
  </si>
  <si>
    <t>AhmedAslamMBBS,MD</t>
  </si>
  <si>
    <t>E0347031</t>
  </si>
  <si>
    <t>ASLAM AHMED FARAZ</t>
  </si>
  <si>
    <t>ASLAM AHMED</t>
  </si>
  <si>
    <t>945 CONEY ISLAND AVE STE B</t>
  </si>
  <si>
    <t>Fuchs,RichardMD</t>
  </si>
  <si>
    <t>E0180749</t>
  </si>
  <si>
    <t>FUCHS RICHARD T MD</t>
  </si>
  <si>
    <t>FUCHS RICHARD DR.</t>
  </si>
  <si>
    <t>FUCHS RICHARD TODD</t>
  </si>
  <si>
    <t>Gabriana,NimfaMD</t>
  </si>
  <si>
    <t>E0342340</t>
  </si>
  <si>
    <t>GABRIANA NIMFA</t>
  </si>
  <si>
    <t>Gallardo,JadeJennyMD</t>
  </si>
  <si>
    <t>E0351088</t>
  </si>
  <si>
    <t>GALLARDO JADE JENNY S</t>
  </si>
  <si>
    <t>GALLARDO JADE JENNY DR.</t>
  </si>
  <si>
    <t>HerlandePenn-Durandaise</t>
  </si>
  <si>
    <t>E0294070</t>
  </si>
  <si>
    <t>HERLANDE PENN-DURANDISSE</t>
  </si>
  <si>
    <t>DeborahA.Flack</t>
  </si>
  <si>
    <t>(718) 327-7307</t>
  </si>
  <si>
    <t>PENN-DURANDISSE HERLANDE</t>
  </si>
  <si>
    <t>GovindBapat</t>
  </si>
  <si>
    <t>NedjatBaravarian</t>
  </si>
  <si>
    <t>GilaBeer</t>
  </si>
  <si>
    <t>IantheDunn-Murad,Sc.D.,M.A.,CCC-A</t>
  </si>
  <si>
    <t>E0343534</t>
  </si>
  <si>
    <t>DUNN-MURAD IANTHE</t>
  </si>
  <si>
    <t>DUNN-MURAD IANTHE DR.</t>
  </si>
  <si>
    <t>21111 NORTHERN BLVD FL 2</t>
  </si>
  <si>
    <t>AnnaViron,D.D.S.</t>
  </si>
  <si>
    <t>E0343787</t>
  </si>
  <si>
    <t>VIRON ANNA</t>
  </si>
  <si>
    <t>VIRON ANNA DR.</t>
  </si>
  <si>
    <t>460 WEST 34TH STREET 9TH FLOOR</t>
  </si>
  <si>
    <t>LerinDrugCo.,Inc.(TownDrug&amp;Surgical)</t>
  </si>
  <si>
    <t>E0227802</t>
  </si>
  <si>
    <t>LERIN DRUG CO INC</t>
  </si>
  <si>
    <t>JohnNavarra</t>
  </si>
  <si>
    <t>(212) 678-0636</t>
  </si>
  <si>
    <t>LERIN DRUG CO, INC</t>
  </si>
  <si>
    <t>501 W 113TH ST</t>
  </si>
  <si>
    <t>PatriciaGiurleo</t>
  </si>
  <si>
    <t>Fitzsimmons,LauraPA-C</t>
  </si>
  <si>
    <t>E0052850</t>
  </si>
  <si>
    <t>FITZSIMMONS LAURA A RPA</t>
  </si>
  <si>
    <t>FITZSIMMONS LAURA</t>
  </si>
  <si>
    <t>FITZSIMMONS LAURA ANN</t>
  </si>
  <si>
    <t>Dr.MarshaNelson</t>
  </si>
  <si>
    <t>E0010607</t>
  </si>
  <si>
    <t>NELSON MARSHAL</t>
  </si>
  <si>
    <t>Dr.Nelson</t>
  </si>
  <si>
    <t>NELSON MARSHAL MR.</t>
  </si>
  <si>
    <t>6714 41ST AVE</t>
  </si>
  <si>
    <t>Dr.MoeMynt</t>
  </si>
  <si>
    <t>E0187431</t>
  </si>
  <si>
    <t>MYINT MOE MOE MD</t>
  </si>
  <si>
    <t>(718) 273-7770</t>
  </si>
  <si>
    <t>THE MORNINGSIDE GRP</t>
  </si>
  <si>
    <t>AshlynCelestin</t>
  </si>
  <si>
    <t>E0368707</t>
  </si>
  <si>
    <t>CELESTINE ASHLYN</t>
  </si>
  <si>
    <t>(718) 462-8100</t>
  </si>
  <si>
    <t>Dr.RajatMukherji</t>
  </si>
  <si>
    <t>E0223884</t>
  </si>
  <si>
    <t>MUKHERJI RAJAT KUMAR       MD</t>
  </si>
  <si>
    <t>RajatMukherji</t>
  </si>
  <si>
    <t>(718) 604-5000</t>
  </si>
  <si>
    <t>MUKHERJI RAJAT</t>
  </si>
  <si>
    <t>KINGSBRK JEWISH MED</t>
  </si>
  <si>
    <t>Dr.V.Ibellie</t>
  </si>
  <si>
    <t>JudySabater-James</t>
  </si>
  <si>
    <t>jsabater@sdomhome.org</t>
  </si>
  <si>
    <t>ThierryAbitbol</t>
  </si>
  <si>
    <t>LorisAbraham</t>
  </si>
  <si>
    <t>TabindaAnwar</t>
  </si>
  <si>
    <t>FayezAziz</t>
  </si>
  <si>
    <t>KennethChin</t>
  </si>
  <si>
    <t>AngeleDimitrey</t>
  </si>
  <si>
    <t>JessicaDeSouza</t>
  </si>
  <si>
    <t>JohnDow</t>
  </si>
  <si>
    <t>ReneeGaska</t>
  </si>
  <si>
    <t>JackGingold</t>
  </si>
  <si>
    <t>JosephCohen,M.D.</t>
  </si>
  <si>
    <t>104-70QueensBlvd.,Suite200</t>
  </si>
  <si>
    <t>ForestHills</t>
  </si>
  <si>
    <t>N.Y.</t>
  </si>
  <si>
    <t>HasinaHaroon,M.D.</t>
  </si>
  <si>
    <t>AjayJalwan,M.D.</t>
  </si>
  <si>
    <t>YevgeniyKhaldarov,M.D.</t>
  </si>
  <si>
    <t>JavierSenosiain,M.D.</t>
  </si>
  <si>
    <t>ReneeAbt,M.D.</t>
  </si>
  <si>
    <t>MatthewHolden</t>
  </si>
  <si>
    <t>E0356405</t>
  </si>
  <si>
    <t>HOLDEN MATTHEW SETH</t>
  </si>
  <si>
    <t>HOLDEN MATTHEW DR.</t>
  </si>
  <si>
    <t>HinaFullar</t>
  </si>
  <si>
    <t>E0354756</t>
  </si>
  <si>
    <t>FULLAR HINA</t>
  </si>
  <si>
    <t>JessicaWiegand</t>
  </si>
  <si>
    <t>E0354922</t>
  </si>
  <si>
    <t>WIEGAND JESSICA</t>
  </si>
  <si>
    <t>GlenDavis</t>
  </si>
  <si>
    <t>E0354946</t>
  </si>
  <si>
    <t>DAVIS GLEN P</t>
  </si>
  <si>
    <t>DAVIS GLEN DR.</t>
  </si>
  <si>
    <t>DAVIS GLEN PRIESTER</t>
  </si>
  <si>
    <t>LindaBellama</t>
  </si>
  <si>
    <t>E0356402</t>
  </si>
  <si>
    <t>BELLAMA LINDA J</t>
  </si>
  <si>
    <t>BELLAMA LINDA</t>
  </si>
  <si>
    <t>BELLAMA LINDA JANE</t>
  </si>
  <si>
    <t>EnricoCastillo</t>
  </si>
  <si>
    <t>E0358776</t>
  </si>
  <si>
    <t>CASTILLO ENRICO G</t>
  </si>
  <si>
    <t>CASTILLO ENRICO DR.</t>
  </si>
  <si>
    <t>CASTILLO ENRICO GUANZON</t>
  </si>
  <si>
    <t>AlexandraBack</t>
  </si>
  <si>
    <t>E0367455</t>
  </si>
  <si>
    <t>BACK ALEXANDRA</t>
  </si>
  <si>
    <t>BACK ALEXANDRA MS.</t>
  </si>
  <si>
    <t>BACK ALEXANDRA D</t>
  </si>
  <si>
    <t>255 W 43RD ST</t>
  </si>
  <si>
    <t>Sanchez,Carlos</t>
  </si>
  <si>
    <t>E0015660</t>
  </si>
  <si>
    <t>SANCHEZ CARLOS ALBERTO</t>
  </si>
  <si>
    <t>SANCHEZ CARLOS DR.</t>
  </si>
  <si>
    <t>Shapiro,Gabrielle</t>
  </si>
  <si>
    <t>E0000502</t>
  </si>
  <si>
    <t>SHAPIRO GABRIELLE</t>
  </si>
  <si>
    <t>SHAPIRO GABRIELLE DR.</t>
  </si>
  <si>
    <t>SHAPIRO GABRIELLE LESLIE</t>
  </si>
  <si>
    <t>Gonzalez,Ernesto</t>
  </si>
  <si>
    <t>E0364184</t>
  </si>
  <si>
    <t>GONZALEZ ERNESTO</t>
  </si>
  <si>
    <t>PriyaDirpaul</t>
  </si>
  <si>
    <t>(212) 780-2378</t>
  </si>
  <si>
    <t>priya.dirpaul@accesschc.org</t>
  </si>
  <si>
    <t>GONZALEZ ERNESTO MR.</t>
  </si>
  <si>
    <t>GONZALEZ ERNESTO ELEAZAR</t>
  </si>
  <si>
    <t>1420 FERRIS PL</t>
  </si>
  <si>
    <t>Gordon,Doris</t>
  </si>
  <si>
    <t>E0202427</t>
  </si>
  <si>
    <t>GORDON DORIS JANET DPM</t>
  </si>
  <si>
    <t>GORDON DORIS</t>
  </si>
  <si>
    <t>83 MAIDEN LANE -6TH FL</t>
  </si>
  <si>
    <t>Novakovic,Vladan</t>
  </si>
  <si>
    <t>E0364126</t>
  </si>
  <si>
    <t>NOVAKOVIC VLADAN</t>
  </si>
  <si>
    <t>NOVAKOVIC VLADAN DR.</t>
  </si>
  <si>
    <t>83 MAIDEN LN FL 6</t>
  </si>
  <si>
    <t>Stearns,Jenne</t>
  </si>
  <si>
    <t>E0320970</t>
  </si>
  <si>
    <t>STEARNS JENNE</t>
  </si>
  <si>
    <t>Levy,Shelly</t>
  </si>
  <si>
    <t>E0010786</t>
  </si>
  <si>
    <t>LEVY SHELLY</t>
  </si>
  <si>
    <t>LEVY SHELLY DR.</t>
  </si>
  <si>
    <t>Feldstein,Michael</t>
  </si>
  <si>
    <t>E0021925</t>
  </si>
  <si>
    <t>FELDSTEIN MICHAEL JAY</t>
  </si>
  <si>
    <t>FELDSTEIN MICHAEL</t>
  </si>
  <si>
    <t>83 MAIDEN LANE 6TH FLOOR</t>
  </si>
  <si>
    <t>BurtonBanner</t>
  </si>
  <si>
    <t>E0238703</t>
  </si>
  <si>
    <t>BANNER BURTON MD PC</t>
  </si>
  <si>
    <t>BANNER BURTON DR.</t>
  </si>
  <si>
    <t>77 CHICAGO AVE</t>
  </si>
  <si>
    <t>CarolynPierre</t>
  </si>
  <si>
    <t>E0359037</t>
  </si>
  <si>
    <t>PIERRE CAROLYN</t>
  </si>
  <si>
    <t>KristinaCampton</t>
  </si>
  <si>
    <t>E0020766</t>
  </si>
  <si>
    <t>CAMPTON KRISTINA</t>
  </si>
  <si>
    <t>CAMPTON KRISTINA DR.</t>
  </si>
  <si>
    <t>115 EAST 57TH ST/STE 710</t>
  </si>
  <si>
    <t>Ziemba,JessicaC.,RPA-C</t>
  </si>
  <si>
    <t>FionaGrahamMD</t>
  </si>
  <si>
    <t>E0279900</t>
  </si>
  <si>
    <t>GRAHAM FIONA               MD</t>
  </si>
  <si>
    <t>GRAHAM FIONA</t>
  </si>
  <si>
    <t>APT 16A</t>
  </si>
  <si>
    <t>GeorgeRowanMD</t>
  </si>
  <si>
    <t>E0240454</t>
  </si>
  <si>
    <t>ROWAN GEORGE E             MD</t>
  </si>
  <si>
    <t>ROWAN GEORGE DR.</t>
  </si>
  <si>
    <t>ROWAN GEORGE E</t>
  </si>
  <si>
    <t>15 W 65TH ST FL 7</t>
  </si>
  <si>
    <t>ElsaEscalera,MD.</t>
  </si>
  <si>
    <t>E0153153</t>
  </si>
  <si>
    <t>ESCALERA ELSA MD</t>
  </si>
  <si>
    <t>ESCALERA ELSA</t>
  </si>
  <si>
    <t>NaheedVandeWalle,MD.</t>
  </si>
  <si>
    <t>E0220679</t>
  </si>
  <si>
    <t>VANDEWALLE NAHEED ASAD</t>
  </si>
  <si>
    <t>VAN DE WALLE NAHEED DR.</t>
  </si>
  <si>
    <t>340 EAST 24TH ST -5TH FL</t>
  </si>
  <si>
    <t>Vitale,Elizabeth</t>
  </si>
  <si>
    <t>E0323341</t>
  </si>
  <si>
    <t>VITALE ELIZABETH</t>
  </si>
  <si>
    <t>VITALE ELIZABETH CHOPIN</t>
  </si>
  <si>
    <t>449 BAY RIDGE PKWY</t>
  </si>
  <si>
    <t>MehdiNobel,OTR/L</t>
  </si>
  <si>
    <t>E0369350</t>
  </si>
  <si>
    <t>NOBEL MEHDI A</t>
  </si>
  <si>
    <t>NOBEL MEHDI</t>
  </si>
  <si>
    <t>21111 NORTHERN BLVD</t>
  </si>
  <si>
    <t>DianaHalperin</t>
  </si>
  <si>
    <t>E0343375</t>
  </si>
  <si>
    <t>HALPERIN DIANA</t>
  </si>
  <si>
    <t>HALPERIN DIANA MS.</t>
  </si>
  <si>
    <t>HALPERIN DIANA JOYCE</t>
  </si>
  <si>
    <t>PeterHwang</t>
  </si>
  <si>
    <t>E0288146</t>
  </si>
  <si>
    <t>HWANG PETER MYUNG</t>
  </si>
  <si>
    <t>HWANG PETER DR.</t>
  </si>
  <si>
    <t>565 MANHATTAN AVE LOWR LEVEL</t>
  </si>
  <si>
    <t>MarcRubenstein</t>
  </si>
  <si>
    <t>E0267549</t>
  </si>
  <si>
    <t>RUBENSTEIN MARC D          MD</t>
  </si>
  <si>
    <t>RUBENSTEIN MARC</t>
  </si>
  <si>
    <t>RUBENSTEIN MARC MD</t>
  </si>
  <si>
    <t>Walker,RobertMD</t>
  </si>
  <si>
    <t>E0142455</t>
  </si>
  <si>
    <t>WALKER ROBERT STEVEN MD</t>
  </si>
  <si>
    <t>WALKER ROBERT</t>
  </si>
  <si>
    <t>WALKER ROBERT STEVEN</t>
  </si>
  <si>
    <t>ORANGE ONCOLOGY PC</t>
  </si>
  <si>
    <t>Vazquez,RafaelMD</t>
  </si>
  <si>
    <t>E0177368</t>
  </si>
  <si>
    <t>VAZQUEZ RAFAEL MD</t>
  </si>
  <si>
    <t>VAZQUEZ RAFAEL DR.</t>
  </si>
  <si>
    <t>ST JOHNS RVRSDE HOSP</t>
  </si>
  <si>
    <t>OmAggarwal</t>
  </si>
  <si>
    <t>JeffreyOnifather</t>
  </si>
  <si>
    <t>Jonifather@Cornerstoneny.com</t>
  </si>
  <si>
    <t>AnT.Vo</t>
  </si>
  <si>
    <t>E0383605</t>
  </si>
  <si>
    <t>VO AN</t>
  </si>
  <si>
    <t>VO AN DR.</t>
  </si>
  <si>
    <t>TamaraGoldberg</t>
  </si>
  <si>
    <t>E0297379</t>
  </si>
  <si>
    <t>GOLDBERG TAMARA</t>
  </si>
  <si>
    <t>GOLDBERG TAMARA DR.</t>
  </si>
  <si>
    <t>Park,Sharon</t>
  </si>
  <si>
    <t>Cano,Vincent</t>
  </si>
  <si>
    <t>E0357725</t>
  </si>
  <si>
    <t>CANO VINCENT</t>
  </si>
  <si>
    <t>CANO VINCENT DR.</t>
  </si>
  <si>
    <t>Chen,Christine</t>
  </si>
  <si>
    <t>E0357741</t>
  </si>
  <si>
    <t>CHEN CHRISTINE W</t>
  </si>
  <si>
    <t>Letafat,Kimia</t>
  </si>
  <si>
    <t>Gould,Jennifer</t>
  </si>
  <si>
    <t>Hue,Jennifer</t>
  </si>
  <si>
    <t>Canestraro,Julia</t>
  </si>
  <si>
    <t>E0357728</t>
  </si>
  <si>
    <t>CANESTRARO JULIA</t>
  </si>
  <si>
    <t>Bruno,Jacklyn</t>
  </si>
  <si>
    <t>Horn,David</t>
  </si>
  <si>
    <t>E0264260</t>
  </si>
  <si>
    <t>HORN DAVID OD</t>
  </si>
  <si>
    <t>HORN DAVID DR.</t>
  </si>
  <si>
    <t>120 ALCOTT PL</t>
  </si>
  <si>
    <t>Appleman,Warren</t>
  </si>
  <si>
    <t>Wexler,MorrisDO</t>
  </si>
  <si>
    <t>E0250224</t>
  </si>
  <si>
    <t>WEXLER MORRIS J            MD</t>
  </si>
  <si>
    <t>WEXLER MORRIS</t>
  </si>
  <si>
    <t>Dr.S.Ventrudo</t>
  </si>
  <si>
    <t>Beebe,BridgetPA-C</t>
  </si>
  <si>
    <t>E0099694</t>
  </si>
  <si>
    <t>BEEBE BRIDGET RENEE RPA</t>
  </si>
  <si>
    <t>BEEBE BRIDGET</t>
  </si>
  <si>
    <t>BEEBE BRIDGET RENEE</t>
  </si>
  <si>
    <t>BettyA.Chen</t>
  </si>
  <si>
    <t>CHEN BETTY MS.</t>
  </si>
  <si>
    <t>1184 5TH AVE, BOX 1027</t>
  </si>
  <si>
    <t>NerissaPlondaya</t>
  </si>
  <si>
    <t>PLONDAYA NERISSA</t>
  </si>
  <si>
    <t>ONE GUSTAVE L. LEVY PLACE, BOX 1030</t>
  </si>
  <si>
    <t>MiKyeongLee</t>
  </si>
  <si>
    <t>LEE MI</t>
  </si>
  <si>
    <t>19 SPRING HOLLOW RD</t>
  </si>
  <si>
    <t>OLD TAPPAN</t>
  </si>
  <si>
    <t>Colaco,Antonio,PA-C</t>
  </si>
  <si>
    <t>E0343755</t>
  </si>
  <si>
    <t>COLACO ANTONIO A</t>
  </si>
  <si>
    <t>COLACO ANTONIO</t>
  </si>
  <si>
    <t>Cummings,Danielle,PA-C</t>
  </si>
  <si>
    <t>E0351914</t>
  </si>
  <si>
    <t>CUMMINGS DANIELLE BARBARA</t>
  </si>
  <si>
    <t>CUMMINGS DANIELLE</t>
  </si>
  <si>
    <t>79 RONALD REAGAN BLVD</t>
  </si>
  <si>
    <t>DiMase,AmyPA</t>
  </si>
  <si>
    <t>E0329225</t>
  </si>
  <si>
    <t>DIMASE AMY LEE</t>
  </si>
  <si>
    <t>DIMASE AMY MRS.</t>
  </si>
  <si>
    <t>DI MASE AMY LEE</t>
  </si>
  <si>
    <t>Khan,ErumMD</t>
  </si>
  <si>
    <t>E0329428</t>
  </si>
  <si>
    <t>KHAN ERUM</t>
  </si>
  <si>
    <t>KHAN ERUM DR.</t>
  </si>
  <si>
    <t>KHAN ERUM S</t>
  </si>
  <si>
    <t>ThomasPerron</t>
  </si>
  <si>
    <t>BeverlyFernandez</t>
  </si>
  <si>
    <t>AlexisCohen</t>
  </si>
  <si>
    <t>ElliottSchiff</t>
  </si>
  <si>
    <t>E0155282</t>
  </si>
  <si>
    <t>SCHIFF ELLIOT PHD</t>
  </si>
  <si>
    <t>(516) 295-5280</t>
  </si>
  <si>
    <t>SCHIFF ELLIOT DR.</t>
  </si>
  <si>
    <t>SCHIFF ELLIOT DONALD</t>
  </si>
  <si>
    <t>EbenezerEssuman</t>
  </si>
  <si>
    <t>E0154277</t>
  </si>
  <si>
    <t>ESSUMAN EBENEZER KOJO MD</t>
  </si>
  <si>
    <t>(516) 485-2277</t>
  </si>
  <si>
    <t>ESSUMAN EBENEZER</t>
  </si>
  <si>
    <t>HAVEN MANOR HLTH CC</t>
  </si>
  <si>
    <t>YolandeBernard</t>
  </si>
  <si>
    <t>E0048089</t>
  </si>
  <si>
    <t>BERNARD YOLANDE FRANCES MD</t>
  </si>
  <si>
    <t>BERNARD YOLANDE DR.</t>
  </si>
  <si>
    <t>BERNARD YOLANDE FRANCES</t>
  </si>
  <si>
    <t>529 BEACH 20TH STREET</t>
  </si>
  <si>
    <t>AvelinoRosales</t>
  </si>
  <si>
    <t>E0271817</t>
  </si>
  <si>
    <t>ROSALES AVELINO S B        MD</t>
  </si>
  <si>
    <t>ROSALES AVELINO DR.</t>
  </si>
  <si>
    <t>7304 185TH ST</t>
  </si>
  <si>
    <t>AaronRappaport</t>
  </si>
  <si>
    <t>(516) 766-2595</t>
  </si>
  <si>
    <t>RAPPAPORT AARON</t>
  </si>
  <si>
    <t>434 FOXHURST RD</t>
  </si>
  <si>
    <t>JaniceBlackham</t>
  </si>
  <si>
    <t>E0360126</t>
  </si>
  <si>
    <t>BLACKHAM JANICE</t>
  </si>
  <si>
    <t>PsychAssociatesGroup</t>
  </si>
  <si>
    <t>(212) 851-8102</t>
  </si>
  <si>
    <t>elevenfifteen@hotmail.com</t>
  </si>
  <si>
    <t>CarlFranzetti</t>
  </si>
  <si>
    <t>drf3125@gmail.com</t>
  </si>
  <si>
    <t>DanutaPrzechodzka</t>
  </si>
  <si>
    <t>LeticiaGonzalez</t>
  </si>
  <si>
    <t>drg3125@gmail.com</t>
  </si>
  <si>
    <t>TeresaHervada</t>
  </si>
  <si>
    <t>ElanLevyMD</t>
  </si>
  <si>
    <t>ZohraYousufzai</t>
  </si>
  <si>
    <t>YOUSUFZAI ZOHRA MISS</t>
  </si>
  <si>
    <t>4413 UTOPIA PKWY</t>
  </si>
  <si>
    <t>NicolasRossetti</t>
  </si>
  <si>
    <t>E0329667</t>
  </si>
  <si>
    <t>ROSSETTI NICOLAS A</t>
  </si>
  <si>
    <t>ROSSETTI NICOLAS MR.</t>
  </si>
  <si>
    <t>ROSSETTI NICOLAS ANTHONY</t>
  </si>
  <si>
    <t>VincentCalamia,MD</t>
  </si>
  <si>
    <t>LeonardFeingold,MD.</t>
  </si>
  <si>
    <t>E0036679</t>
  </si>
  <si>
    <t>FEINGOLD LEONARD N MD</t>
  </si>
  <si>
    <t>FEINGOLD LEONARD DR.</t>
  </si>
  <si>
    <t>FEINGOLD LEONARD N</t>
  </si>
  <si>
    <t>NancySerbellon,NP/CDE</t>
  </si>
  <si>
    <t>E0370049</t>
  </si>
  <si>
    <t>SERBELLON NANCY</t>
  </si>
  <si>
    <t>SERBELLON NANCY MS.</t>
  </si>
  <si>
    <t>JoelArbisserMD</t>
  </si>
  <si>
    <t>E0271162</t>
  </si>
  <si>
    <t>ARBISSER JOEL M MD</t>
  </si>
  <si>
    <t>ARBISSER JOEL</t>
  </si>
  <si>
    <t>MAIMONIDE EYE CLINIC</t>
  </si>
  <si>
    <t>Wilken,Philip,MD</t>
  </si>
  <si>
    <t>Ronen,TalMD</t>
  </si>
  <si>
    <t>E0075835</t>
  </si>
  <si>
    <t>RONEN TAL MD</t>
  </si>
  <si>
    <t>RONEN TAL</t>
  </si>
  <si>
    <t>Viray,AlvinMD</t>
  </si>
  <si>
    <t>E0074337</t>
  </si>
  <si>
    <t>VIRAY ALVIN K MD</t>
  </si>
  <si>
    <t>VIRAY ALVIN</t>
  </si>
  <si>
    <t>Weissman,AliciaMD</t>
  </si>
  <si>
    <t>E0052838</t>
  </si>
  <si>
    <t>WEISSMAN ALICIA MARLENE MD</t>
  </si>
  <si>
    <t>WEISSMAN ALICIA</t>
  </si>
  <si>
    <t>ANMINGLUO,M.D.</t>
  </si>
  <si>
    <t>E0097984</t>
  </si>
  <si>
    <t>LUO ANMING MD</t>
  </si>
  <si>
    <t>(718) 436-3088</t>
  </si>
  <si>
    <t>wei@atlantisrehab.net</t>
  </si>
  <si>
    <t>LUO ANMING</t>
  </si>
  <si>
    <t>SANGKAN,MD</t>
  </si>
  <si>
    <t>(212) 226-2251</t>
  </si>
  <si>
    <t>MichealDawson.NP</t>
  </si>
  <si>
    <t>E0366778</t>
  </si>
  <si>
    <t>DAWSON MICHAEL E</t>
  </si>
  <si>
    <t>LindaWeiner</t>
  </si>
  <si>
    <t>DAWSON MICHAEL</t>
  </si>
  <si>
    <t>61-10 QUEENS BLVS</t>
  </si>
  <si>
    <t>DavidKaplan</t>
  </si>
  <si>
    <t>(718) 906-6713</t>
  </si>
  <si>
    <t>SharleneWillock</t>
  </si>
  <si>
    <t>(718) 906-6702</t>
  </si>
  <si>
    <t>JenniferPetkos</t>
  </si>
  <si>
    <t>(718) 906-6712</t>
  </si>
  <si>
    <t>JenniferJang</t>
  </si>
  <si>
    <t>(718) 906-6708</t>
  </si>
  <si>
    <t>GraceBeek</t>
  </si>
  <si>
    <t>(718) 906-6701</t>
  </si>
  <si>
    <t>Dey,RajanMD</t>
  </si>
  <si>
    <t>E0320715</t>
  </si>
  <si>
    <t>DEY RAJAN</t>
  </si>
  <si>
    <t>Dinsmore,RobertMD</t>
  </si>
  <si>
    <t>E0217147</t>
  </si>
  <si>
    <t>DINSMORE ROBERT E          MD</t>
  </si>
  <si>
    <t>DINSMORE ROBERT</t>
  </si>
  <si>
    <t>FrantzLubin</t>
  </si>
  <si>
    <t>E0135238</t>
  </si>
  <si>
    <t>LUBIN FRANTZ HERNOULD MD</t>
  </si>
  <si>
    <t>(212) 358-3030</t>
  </si>
  <si>
    <t>LUBIN FRANTZ</t>
  </si>
  <si>
    <t>LUBIN FRANTZ HERNOULD  MD</t>
  </si>
  <si>
    <t>FH LUBIN INC</t>
  </si>
  <si>
    <t>AllenSutton</t>
  </si>
  <si>
    <t>DR.GLORIAELLIS</t>
  </si>
  <si>
    <t>E0125502</t>
  </si>
  <si>
    <t>ELLIS GLORIA MD</t>
  </si>
  <si>
    <t>ROYWALLACH</t>
  </si>
  <si>
    <t>ELLIS GLORIA DR.</t>
  </si>
  <si>
    <t>DR.FREDHESSE</t>
  </si>
  <si>
    <t>E0048165</t>
  </si>
  <si>
    <t>HESSE FREDERICK R</t>
  </si>
  <si>
    <t>HESSE FREDERICK</t>
  </si>
  <si>
    <t>DR.GABRIELAHUNDORFEAN</t>
  </si>
  <si>
    <t>DR.CHRISTOPHERRIZZO</t>
  </si>
  <si>
    <t>GerardSalomon</t>
  </si>
  <si>
    <t>E0142087</t>
  </si>
  <si>
    <t>SALOMON GERARD MD</t>
  </si>
  <si>
    <t>SALOMON GERARD DR.</t>
  </si>
  <si>
    <t>Muir,JaniceMD</t>
  </si>
  <si>
    <t>E0011945</t>
  </si>
  <si>
    <t>MUIR JANICE MD</t>
  </si>
  <si>
    <t>MUIR JANIE</t>
  </si>
  <si>
    <t>MUIR JANICE CAMILLE</t>
  </si>
  <si>
    <t>Madonna,Richard</t>
  </si>
  <si>
    <t>E0208344</t>
  </si>
  <si>
    <t>MADONNA RICHARD JAMES</t>
  </si>
  <si>
    <t>MADONNA RICHARD DR.</t>
  </si>
  <si>
    <t>Morrison,Scott</t>
  </si>
  <si>
    <t>E0208274</t>
  </si>
  <si>
    <t>MORRISON SCOTT I OD</t>
  </si>
  <si>
    <t>MORRISON SCOTT DR.</t>
  </si>
  <si>
    <t>RobertaNewman-Hernandez</t>
  </si>
  <si>
    <t>E0336603</t>
  </si>
  <si>
    <t>NEWMAN-HERNANDEZ ROBERTA</t>
  </si>
  <si>
    <t>WilmaArias</t>
  </si>
  <si>
    <t>E0286104</t>
  </si>
  <si>
    <t>ARIAS WILMA MERCEDES</t>
  </si>
  <si>
    <t>ARIAS WILMA</t>
  </si>
  <si>
    <t>AngelicaSantana</t>
  </si>
  <si>
    <t>SANTANA ANGELICA</t>
  </si>
  <si>
    <t>801 AMSTERDAM AVENUE, THE RYAN CENTER FOR WOMEN &amp; CHILDREN</t>
  </si>
  <si>
    <t>AFOLABIPOROYE,NP</t>
  </si>
  <si>
    <t>E0346070</t>
  </si>
  <si>
    <t>POROYE AFOLABI O</t>
  </si>
  <si>
    <t>POROYE AFOLABI</t>
  </si>
  <si>
    <t>Dr.StephenGilman</t>
  </si>
  <si>
    <t>Najara,Julia</t>
  </si>
  <si>
    <t>2089ThirdAve</t>
  </si>
  <si>
    <t>GloriaLauriello</t>
  </si>
  <si>
    <t>E0213554</t>
  </si>
  <si>
    <t>LAURIELLO GLORIA M S       MD</t>
  </si>
  <si>
    <t>(516) 364-0753</t>
  </si>
  <si>
    <t>Glauriello@isabella.org</t>
  </si>
  <si>
    <t>SEGUERRA-LAURIELLO GLORIA DR.</t>
  </si>
  <si>
    <t>LAURIELLO GLORIA M S</t>
  </si>
  <si>
    <t>NancyBrooks</t>
  </si>
  <si>
    <t>E0384932</t>
  </si>
  <si>
    <t>BROOKS NANCY B</t>
  </si>
  <si>
    <t>(917) 209-2088</t>
  </si>
  <si>
    <t>nbrooks@uhc.com</t>
  </si>
  <si>
    <t>BROOKS NANCY MS.</t>
  </si>
  <si>
    <t>VictoriaCoon</t>
  </si>
  <si>
    <t>E0066798</t>
  </si>
  <si>
    <t>COON VICTORIA BAUMERT</t>
  </si>
  <si>
    <t>COON VICTORIA</t>
  </si>
  <si>
    <t>JamesMcKnight</t>
  </si>
  <si>
    <t>E0016191</t>
  </si>
  <si>
    <t>MCKNIGHT JAMES MD</t>
  </si>
  <si>
    <t>MCKNIGHT JAMES</t>
  </si>
  <si>
    <t>MichaelKaplowitz</t>
  </si>
  <si>
    <t>E0139672</t>
  </si>
  <si>
    <t>KAPLOWITZ MICHAEL MD</t>
  </si>
  <si>
    <t>KAPLOWITZ MICHAEL DR.</t>
  </si>
  <si>
    <t>5645 MAIN ST # 3E</t>
  </si>
  <si>
    <t>EvelynBrobbey</t>
  </si>
  <si>
    <t>E0019887</t>
  </si>
  <si>
    <t>BROBBEY EVELYN MD</t>
  </si>
  <si>
    <t>BROBBEY EVELYN MRS.</t>
  </si>
  <si>
    <t>BROBBEY EVELYN AKOMA</t>
  </si>
  <si>
    <t>1050 CLOVE RD</t>
  </si>
  <si>
    <t>JoannSciacca</t>
  </si>
  <si>
    <t>E0367621</t>
  </si>
  <si>
    <t>SCIACCA JOANN</t>
  </si>
  <si>
    <t>SCIACCA JOANNE</t>
  </si>
  <si>
    <t>228 LINDA AVE</t>
  </si>
  <si>
    <t>DavidAmler</t>
  </si>
  <si>
    <t>E0246148</t>
  </si>
  <si>
    <t>AMLER DAVID H              MD</t>
  </si>
  <si>
    <t>CHESTER PED PC</t>
  </si>
  <si>
    <t>RichardLane</t>
  </si>
  <si>
    <t>E0101122</t>
  </si>
  <si>
    <t>LANE RICHARD</t>
  </si>
  <si>
    <t>Angioletti,Louis,S</t>
  </si>
  <si>
    <t>E0162956</t>
  </si>
  <si>
    <t>ANGIOLETTI LOUIS SCOTT MD</t>
  </si>
  <si>
    <t>ANGIOLETTI LOUIS</t>
  </si>
  <si>
    <t>ANGIOLETTI LOUIS SCOTT</t>
  </si>
  <si>
    <t>GRAMERCY PARK EYE</t>
  </si>
  <si>
    <t>Koster,Harry</t>
  </si>
  <si>
    <t>E0159178</t>
  </si>
  <si>
    <t>KOSTER HARRY ROBERT M MD</t>
  </si>
  <si>
    <t>KOSTER HARRY</t>
  </si>
  <si>
    <t>Eviatar,Joseph</t>
  </si>
  <si>
    <t>E0159172</t>
  </si>
  <si>
    <t>EVIATAR JOSEPH ALEXANDER  MD</t>
  </si>
  <si>
    <t>EVIATAR JOSEPH DR.</t>
  </si>
  <si>
    <t>420 W 23RD ST</t>
  </si>
  <si>
    <t>Williams,AriaDO</t>
  </si>
  <si>
    <t>E0362298</t>
  </si>
  <si>
    <t>WILLIAMS ARIA K</t>
  </si>
  <si>
    <t>WILLIAMS ARIA</t>
  </si>
  <si>
    <t>Winchester-Penny,ShermaMD</t>
  </si>
  <si>
    <t>E0124555</t>
  </si>
  <si>
    <t>WINCHESTER-PENNY SHERMA MD</t>
  </si>
  <si>
    <t>WINCHESTER-PENNY SHERMA</t>
  </si>
  <si>
    <t>Wu,VictorMD</t>
  </si>
  <si>
    <t>E0139899</t>
  </si>
  <si>
    <t>WU VICTOR HSUEH-WEN MD</t>
  </si>
  <si>
    <t>WU VICTOR DR.</t>
  </si>
  <si>
    <t>Yeon,HowardBMD</t>
  </si>
  <si>
    <t>E0004183</t>
  </si>
  <si>
    <t>YEON HOWARD BOK</t>
  </si>
  <si>
    <t>YEON HOWARD</t>
  </si>
  <si>
    <t>Ray-Schoenfeld,Naomi,NP(SBHC)</t>
  </si>
  <si>
    <t>E0374214</t>
  </si>
  <si>
    <t>RAY-SCHOENFELD NAOMI</t>
  </si>
  <si>
    <t>RABINO NAOMI</t>
  </si>
  <si>
    <t>Remde,AlanMD</t>
  </si>
  <si>
    <t>E0385868</t>
  </si>
  <si>
    <t>REMDE ALAN HUGH</t>
  </si>
  <si>
    <t>REMDE ALAN DR.</t>
  </si>
  <si>
    <t>433 BELLEVUE AVE FL 4</t>
  </si>
  <si>
    <t>TRENTON</t>
  </si>
  <si>
    <t>AlisaKauffman</t>
  </si>
  <si>
    <t>(917) 826-6278</t>
  </si>
  <si>
    <t>alisakau@dental.upenn.edu</t>
  </si>
  <si>
    <t>KAUFFMAN ALISA DR.</t>
  </si>
  <si>
    <t>10 W 66ST, 29D</t>
  </si>
  <si>
    <t>JohnJ.D'Ambrosio</t>
  </si>
  <si>
    <t>E0201376</t>
  </si>
  <si>
    <t>D AMBROSIO JOHN J MD       JR</t>
  </si>
  <si>
    <t>(914) 924-4551</t>
  </si>
  <si>
    <t>jjdambrosio@verizon.net</t>
  </si>
  <si>
    <t>D'AMBROSIO JOHN DR.</t>
  </si>
  <si>
    <t>D AMBROSIO JOHN JOSEPH JR</t>
  </si>
  <si>
    <t>147 PARK AVE</t>
  </si>
  <si>
    <t>RogerVilli</t>
  </si>
  <si>
    <t>rogervilli@aol.com</t>
  </si>
  <si>
    <t>SalvatoreConte</t>
  </si>
  <si>
    <t>E0273507</t>
  </si>
  <si>
    <t>CONTE SALVATORE            MD</t>
  </si>
  <si>
    <t>(718) 294-1010</t>
  </si>
  <si>
    <t>thecontes@optonline.net</t>
  </si>
  <si>
    <t>EunaeChristinaKim</t>
  </si>
  <si>
    <t>E0004213</t>
  </si>
  <si>
    <t>KIM EUNAE CHRISTINA</t>
  </si>
  <si>
    <t>eunaeck@yahoo.com</t>
  </si>
  <si>
    <t>KIM EUNAE DR.</t>
  </si>
  <si>
    <t>KIM EUNAE CHRISTINA PHD</t>
  </si>
  <si>
    <t>910 W END AVE</t>
  </si>
  <si>
    <t>Lowe,Teresa</t>
  </si>
  <si>
    <t>FrankMaselli</t>
  </si>
  <si>
    <t>drm3125@gmail.com</t>
  </si>
  <si>
    <t>LeilaHingFidelman</t>
  </si>
  <si>
    <t>BERNICEROSTOCKI</t>
  </si>
  <si>
    <t>LisaChan-O'Connell</t>
  </si>
  <si>
    <t>E0296216</t>
  </si>
  <si>
    <t>CHAN-O CONNELL LISA</t>
  </si>
  <si>
    <t>CHAN-O'CONNELL LISA</t>
  </si>
  <si>
    <t>111 E 59TH ST</t>
  </si>
  <si>
    <t>ShellyAgarwal</t>
  </si>
  <si>
    <t>E0290368</t>
  </si>
  <si>
    <t>AGARWAL SHELLY</t>
  </si>
  <si>
    <t>AGARWAL SHELLY DR.</t>
  </si>
  <si>
    <t>MichaelFischer</t>
  </si>
  <si>
    <t>E0296222</t>
  </si>
  <si>
    <t>FISHCER MICHAEL</t>
  </si>
  <si>
    <t>FISCHER MICHAEL DR.</t>
  </si>
  <si>
    <t>FISCHER MICHAEL</t>
  </si>
  <si>
    <t>Zedek,IlanMD,FACOG</t>
  </si>
  <si>
    <t>E0036948</t>
  </si>
  <si>
    <t>ZEDEK ILAN J MD</t>
  </si>
  <si>
    <t>ZEDEK ILAN</t>
  </si>
  <si>
    <t>Zhao,Qing-HuaMD</t>
  </si>
  <si>
    <t>E0044609</t>
  </si>
  <si>
    <t>ZHAO QING HUA MD</t>
  </si>
  <si>
    <t>ZHAO QING-HUA MS.</t>
  </si>
  <si>
    <t>Adamczyk,Diane</t>
  </si>
  <si>
    <t>E0106886</t>
  </si>
  <si>
    <t>ADAMCZYK DIANE</t>
  </si>
  <si>
    <t>ADAMCZYK DIANE DR.</t>
  </si>
  <si>
    <t>Canellos,Harriette</t>
  </si>
  <si>
    <t>Libassi,David</t>
  </si>
  <si>
    <t>Richter,Scott</t>
  </si>
  <si>
    <t>E0106859</t>
  </si>
  <si>
    <t>RICHTER SCOTT</t>
  </si>
  <si>
    <t>Schuettenberg,Susan</t>
  </si>
  <si>
    <t>IrinaKhetsuriani</t>
  </si>
  <si>
    <t>E0358280</t>
  </si>
  <si>
    <t>KHETSURIANI IRINA</t>
  </si>
  <si>
    <t>SteveDummit</t>
  </si>
  <si>
    <t>E0141069</t>
  </si>
  <si>
    <t>DUMMIT ELDON STEVEN III MD</t>
  </si>
  <si>
    <t>DUMMIT ELDON</t>
  </si>
  <si>
    <t>ST LUKES HSP</t>
  </si>
  <si>
    <t>StephanieSpanos</t>
  </si>
  <si>
    <t>E0073335</t>
  </si>
  <si>
    <t>SPANOS STEPHANIE B MD</t>
  </si>
  <si>
    <t>SPANOS STEPHANIE DR.</t>
  </si>
  <si>
    <t>JillMaddox</t>
  </si>
  <si>
    <t>E0323244</t>
  </si>
  <si>
    <t>MADDOX JILL</t>
  </si>
  <si>
    <t>MADDOX JILL DR.</t>
  </si>
  <si>
    <t>160 SCHERMERHORN ST FL 2</t>
  </si>
  <si>
    <t>MoisePlantin</t>
  </si>
  <si>
    <t>E0115444</t>
  </si>
  <si>
    <t>PLANTIN MOISE</t>
  </si>
  <si>
    <t>PLANTIN MOISE DR.</t>
  </si>
  <si>
    <t>PLANTIN MOISE LESLIE</t>
  </si>
  <si>
    <t>JasonCheng</t>
  </si>
  <si>
    <t>E0361121</t>
  </si>
  <si>
    <t>CHENG JASON ERIC</t>
  </si>
  <si>
    <t>CHENG JASON DR.</t>
  </si>
  <si>
    <t>200 TILLARY ST</t>
  </si>
  <si>
    <t>ElissaLapide</t>
  </si>
  <si>
    <t>E0360313</t>
  </si>
  <si>
    <t>LAPIDE ELISSA M</t>
  </si>
  <si>
    <t>LAPIDE ELISSA DR.</t>
  </si>
  <si>
    <t>2384 ATLANTIC AVE # 401</t>
  </si>
  <si>
    <t>HyacinthWilliamson</t>
  </si>
  <si>
    <t>E0111041</t>
  </si>
  <si>
    <t>WILLIAMSON HYACINTH</t>
  </si>
  <si>
    <t>WILLIAMSON HYACINTH DR.</t>
  </si>
  <si>
    <t>WILLIAMSON HYACINTH LEONIE</t>
  </si>
  <si>
    <t>1623 KINGS HWY</t>
  </si>
  <si>
    <t>JosephVoigt</t>
  </si>
  <si>
    <t>E0144225</t>
  </si>
  <si>
    <t>VOIGT JOSEPH NICHOLAS MD</t>
  </si>
  <si>
    <t>VOIGT JOSEPH DR.</t>
  </si>
  <si>
    <t>PatrickPlantin</t>
  </si>
  <si>
    <t>E0187574</t>
  </si>
  <si>
    <t>PLANTIN PATRICK MD</t>
  </si>
  <si>
    <t>PLANTIN PATRICK</t>
  </si>
  <si>
    <t>BROOKDALE HOSP</t>
  </si>
  <si>
    <t>IlanaSlaff,M.D.</t>
  </si>
  <si>
    <t>DianeChang,M.D.</t>
  </si>
  <si>
    <t>E0342464</t>
  </si>
  <si>
    <t>CHANG DIANE TSING WEN</t>
  </si>
  <si>
    <t>MichaelBergen,M.S.,CCC-A</t>
  </si>
  <si>
    <t>E0341741</t>
  </si>
  <si>
    <t>BERGEN MICHAEL HOWARD</t>
  </si>
  <si>
    <t>BERGEN MICHAEL</t>
  </si>
  <si>
    <t>460 W 34TH ST FL 9</t>
  </si>
  <si>
    <t>DonaldVogel,BoardCertifiedAudiologist</t>
  </si>
  <si>
    <t>E0341996</t>
  </si>
  <si>
    <t>VOGEL DONALD A</t>
  </si>
  <si>
    <t>VOGEL DONALD DR.</t>
  </si>
  <si>
    <t>AndreaZimmerman</t>
  </si>
  <si>
    <t>E0184126</t>
  </si>
  <si>
    <t>HINDES-ZIMMERMAN ANDREA M OD</t>
  </si>
  <si>
    <t>ZIMMERMAN ANDREA</t>
  </si>
  <si>
    <t>167 LINCOLN PL</t>
  </si>
  <si>
    <t>BruceRosenthal</t>
  </si>
  <si>
    <t>E0296219</t>
  </si>
  <si>
    <t>ROSENTHAL BRUCE</t>
  </si>
  <si>
    <t>ROSENTHAL BRUCE DR.</t>
  </si>
  <si>
    <t>MichaelBlady</t>
  </si>
  <si>
    <t>E0322038</t>
  </si>
  <si>
    <t>BLADY MICHAEL</t>
  </si>
  <si>
    <t>mblady@thebridgeny.org</t>
  </si>
  <si>
    <t>1931 MOTT AVE</t>
  </si>
  <si>
    <t>LaurieCampbell</t>
  </si>
  <si>
    <t>E0346830</t>
  </si>
  <si>
    <t>CAMPBELL LAUREN</t>
  </si>
  <si>
    <t>lcampbell@thebridgeny.org</t>
  </si>
  <si>
    <t>MONTANARO LAUREN</t>
  </si>
  <si>
    <t>248 WEST 108TH STREE</t>
  </si>
  <si>
    <t>OlgaBrito</t>
  </si>
  <si>
    <t>(718) 328-1490</t>
  </si>
  <si>
    <t>obrito@thebridgeny.org</t>
  </si>
  <si>
    <t>BRITO OLGA MRS.</t>
  </si>
  <si>
    <t>DanielRay</t>
  </si>
  <si>
    <t>dray@thebridgeny.org</t>
  </si>
  <si>
    <t>RAY DANIEL</t>
  </si>
  <si>
    <t>Cassidy,ChrisPA-C</t>
  </si>
  <si>
    <t>E0303476</t>
  </si>
  <si>
    <t>CASSIDY CHRISTOPHER</t>
  </si>
  <si>
    <t>Marks,LuraWendyNP</t>
  </si>
  <si>
    <t>E0305599</t>
  </si>
  <si>
    <t>MARKS LURA WENDY</t>
  </si>
  <si>
    <t>MARKS LURA DR.</t>
  </si>
  <si>
    <t>1 WEBSTER AVE STE 505</t>
  </si>
  <si>
    <t>Subbiah,RajanMD</t>
  </si>
  <si>
    <t>E0306873</t>
  </si>
  <si>
    <t>K SUBBIAH RAJAN SADAGOPAL</t>
  </si>
  <si>
    <t>KARUVELANKULAM SUBBIAH RAJAN</t>
  </si>
  <si>
    <t>KARUVELANKULAM SUBBIAH RAJAN S</t>
  </si>
  <si>
    <t>Sulangi-Lorenc,SherylMD</t>
  </si>
  <si>
    <t>E0307662</t>
  </si>
  <si>
    <t>SULANGI-LORENC SHERYL RIVERA</t>
  </si>
  <si>
    <t>SULANGI-LORENC SHERYL</t>
  </si>
  <si>
    <t>Cho,MichaelMD</t>
  </si>
  <si>
    <t>E0308363</t>
  </si>
  <si>
    <t>CHO MICHAEL NAM-SUNG</t>
  </si>
  <si>
    <t>Shah,MananMD</t>
  </si>
  <si>
    <t>E0309430</t>
  </si>
  <si>
    <t>Odunuga,OlufunmilayoMD</t>
  </si>
  <si>
    <t>E0310645</t>
  </si>
  <si>
    <t>ODUNUGA OLUFUNMILA</t>
  </si>
  <si>
    <t>ODUNUGA OLUFUNMILAYO DR.</t>
  </si>
  <si>
    <t>ODUNUGA OLUFUNMILAYO O</t>
  </si>
  <si>
    <t>Kaw,AnitaMD</t>
  </si>
  <si>
    <t>E0311200</t>
  </si>
  <si>
    <t>KAW ANITA</t>
  </si>
  <si>
    <t>Dymond,CalvinPA-C</t>
  </si>
  <si>
    <t>E0035090</t>
  </si>
  <si>
    <t>DYMOND CALVIN M</t>
  </si>
  <si>
    <t>DYMOND CALVIN</t>
  </si>
  <si>
    <t>Pinto,EduardoMD</t>
  </si>
  <si>
    <t>E0035008</t>
  </si>
  <si>
    <t>PINTO EDUARDO NAVARRO</t>
  </si>
  <si>
    <t>PINTO EDUARDO</t>
  </si>
  <si>
    <t>Inzerillo,ChristopherMD</t>
  </si>
  <si>
    <t>E0034729</t>
  </si>
  <si>
    <t>INZERILLO V CHRISTOPHER</t>
  </si>
  <si>
    <t>INZERILLO V. CHRISTOPHER</t>
  </si>
  <si>
    <t>Shamah,JenniferCNP</t>
  </si>
  <si>
    <t>E0034679</t>
  </si>
  <si>
    <t>SHAMAH JENNIFER</t>
  </si>
  <si>
    <t>SHAMAH JENNIFER SARAH</t>
  </si>
  <si>
    <t>Hull,KristenMD</t>
  </si>
  <si>
    <t>Jafri,SyedMD</t>
  </si>
  <si>
    <t>E0034220</t>
  </si>
  <si>
    <t>JAFRI SYED Z A MD</t>
  </si>
  <si>
    <t>JAFRI SYED DR.</t>
  </si>
  <si>
    <t>JAFRI SYED ZAHEER ABBAS</t>
  </si>
  <si>
    <t>30 HATFIELD LN</t>
  </si>
  <si>
    <t>Stambaugh,KweonMD,FACS</t>
  </si>
  <si>
    <t>E0034160</t>
  </si>
  <si>
    <t>STAMBAUGH KWEON I MD</t>
  </si>
  <si>
    <t>STAMBAUGH KWEON</t>
  </si>
  <si>
    <t>STAMBAUGH KWEON I</t>
  </si>
  <si>
    <t>Scoyni,RobertMD</t>
  </si>
  <si>
    <t>E0032604</t>
  </si>
  <si>
    <t>SCOYNI ROBERT J MD</t>
  </si>
  <si>
    <t>SCOYNI ROBERT</t>
  </si>
  <si>
    <t>SCOYNI ROBERT JAMES</t>
  </si>
  <si>
    <t>Jessup,ToddMD</t>
  </si>
  <si>
    <t>E0032602</t>
  </si>
  <si>
    <t>JESSUP TODD P</t>
  </si>
  <si>
    <t>JESSUP TODD</t>
  </si>
  <si>
    <t>Sherman,DeborahNP</t>
  </si>
  <si>
    <t>E0031978</t>
  </si>
  <si>
    <t>SHERMAN DEBORAH S NP</t>
  </si>
  <si>
    <t>McLaughlin,JamesMD,FACC</t>
  </si>
  <si>
    <t>E0031607</t>
  </si>
  <si>
    <t>MCLAUGHLIN JAMES DANIEL MD</t>
  </si>
  <si>
    <t>MCLAUGHLIN JAMES</t>
  </si>
  <si>
    <t>MCLAUGHLIN JAMES DANIEL</t>
  </si>
  <si>
    <t>Ruffy,RamonMD</t>
  </si>
  <si>
    <t>E0030636</t>
  </si>
  <si>
    <t>RUFFY  X</t>
  </si>
  <si>
    <t>RUFFY RAMON DR.</t>
  </si>
  <si>
    <t>RUFFY RAMON B</t>
  </si>
  <si>
    <t>Lopez,NancyPA-C</t>
  </si>
  <si>
    <t>E0028497</t>
  </si>
  <si>
    <t>LOPEZ NANCY RPA</t>
  </si>
  <si>
    <t>LOPEZ NANCY MS.</t>
  </si>
  <si>
    <t>236 CRYSTAL RUN RD</t>
  </si>
  <si>
    <t>Greer,VernaMD</t>
  </si>
  <si>
    <t>E0026083</t>
  </si>
  <si>
    <t>GREER VERNA</t>
  </si>
  <si>
    <t>GREER VERNA DR.</t>
  </si>
  <si>
    <t>GREER VERNA M</t>
  </si>
  <si>
    <t>Gialousakis,John</t>
  </si>
  <si>
    <t>JamesGreis</t>
  </si>
  <si>
    <t>(917) 698-8161</t>
  </si>
  <si>
    <t>MiguelCima</t>
  </si>
  <si>
    <t>E0260263</t>
  </si>
  <si>
    <t>CIMA MIGUEL A MD</t>
  </si>
  <si>
    <t>(516) 222-1000</t>
  </si>
  <si>
    <t>CIMA MIGUEL DR.</t>
  </si>
  <si>
    <t>S 28</t>
  </si>
  <si>
    <t>LoraWolk,M.D.</t>
  </si>
  <si>
    <t>E0364066</t>
  </si>
  <si>
    <t>WOLK LORA HILARY</t>
  </si>
  <si>
    <t>WOLK LORA DR.</t>
  </si>
  <si>
    <t>Mathew,LibyMD</t>
  </si>
  <si>
    <t>E0283375</t>
  </si>
  <si>
    <t>MATHEW LIBY</t>
  </si>
  <si>
    <t>Kim,Hanna</t>
  </si>
  <si>
    <t>E0283923</t>
  </si>
  <si>
    <t>KIM HANNA</t>
  </si>
  <si>
    <t>KIM HANNA YOON</t>
  </si>
  <si>
    <t>Mercado,MariaKristinMD</t>
  </si>
  <si>
    <t>E0283940</t>
  </si>
  <si>
    <t>MERCADO MARIA</t>
  </si>
  <si>
    <t>MERCADO MARIA KRISTIN</t>
  </si>
  <si>
    <t>MERCADO MARIA KRISTIN P MD</t>
  </si>
  <si>
    <t>Pavese,HeidiFNP</t>
  </si>
  <si>
    <t>E0011570</t>
  </si>
  <si>
    <t>PAVESE HEIDI ELIZABETH</t>
  </si>
  <si>
    <t>PAVESE HEIDI</t>
  </si>
  <si>
    <t>10 PRINCE ST</t>
  </si>
  <si>
    <t>Ma,KaiyuMD</t>
  </si>
  <si>
    <t>E0011134</t>
  </si>
  <si>
    <t>MA KAIYU MD</t>
  </si>
  <si>
    <t>MA KAIYU</t>
  </si>
  <si>
    <t>LeonMullen</t>
  </si>
  <si>
    <t>E0233380</t>
  </si>
  <si>
    <t>MULLEN LEON                MD</t>
  </si>
  <si>
    <t>(516) 642-0255</t>
  </si>
  <si>
    <t>MULLEN LEON MR.</t>
  </si>
  <si>
    <t>33 FRONT ST</t>
  </si>
  <si>
    <t>Dr.RageshRohatgi</t>
  </si>
  <si>
    <t>E0044317</t>
  </si>
  <si>
    <t>ROHATGI SHIPHALI MD</t>
  </si>
  <si>
    <t>RajeshRohatgi</t>
  </si>
  <si>
    <t>(516) 746-0422</t>
  </si>
  <si>
    <t>rajeshrohatgi@hotmail.com</t>
  </si>
  <si>
    <t>ROHATGI SHIPHALI MRS.</t>
  </si>
  <si>
    <t>NASSAU EXTENDED CARE</t>
  </si>
  <si>
    <t>KauserYasmeen</t>
  </si>
  <si>
    <t>E0052950</t>
  </si>
  <si>
    <t>YASMEEN KAUSER MD</t>
  </si>
  <si>
    <t>(516) 942-5800</t>
  </si>
  <si>
    <t>YASMEEN KAUSER DR.</t>
  </si>
  <si>
    <t>SUITES 1&amp;2</t>
  </si>
  <si>
    <t>GurmitGill</t>
  </si>
  <si>
    <t>E0162963</t>
  </si>
  <si>
    <t>GILL GURMIT S  MD</t>
  </si>
  <si>
    <t>(516) 741-0055</t>
  </si>
  <si>
    <t>GILL GURMIT DR.</t>
  </si>
  <si>
    <t>HEMPSTEAD GENERAL</t>
  </si>
  <si>
    <t>SyedAhmed</t>
  </si>
  <si>
    <t>(516) 505-3042</t>
  </si>
  <si>
    <t>RonadlBrenner</t>
  </si>
  <si>
    <t>E0268419</t>
  </si>
  <si>
    <t>BRENNER RONALD             MD</t>
  </si>
  <si>
    <t>(516) 705-1818</t>
  </si>
  <si>
    <t>BRENNER RONALD</t>
  </si>
  <si>
    <t>67 WALNUT CT</t>
  </si>
  <si>
    <t>YassamanHourizadeh,M.S.,CCC-SLP</t>
  </si>
  <si>
    <t>E0355862</t>
  </si>
  <si>
    <t>HOURIZADEH YASSAMAN</t>
  </si>
  <si>
    <t>HOURIZADEH YASSAMAN MS.</t>
  </si>
  <si>
    <t>NicoleStratchan,M.S.,CCC-SLP</t>
  </si>
  <si>
    <t>E0363046</t>
  </si>
  <si>
    <t>STRATCHAN NICOLE ERICA</t>
  </si>
  <si>
    <t>STRATCHAN NICOLE</t>
  </si>
  <si>
    <t>CannaIgari,OTR/L</t>
  </si>
  <si>
    <t>E0367053</t>
  </si>
  <si>
    <t>IGARI CANNA</t>
  </si>
  <si>
    <t>Booker,ThomasMD</t>
  </si>
  <si>
    <t>E0284137</t>
  </si>
  <si>
    <t>BOOKER THOMAS</t>
  </si>
  <si>
    <t>BOOKER THOMAS DR.</t>
  </si>
  <si>
    <t>BOOKER THOMAS JOHN MD</t>
  </si>
  <si>
    <t>Gupta,ParantapMD</t>
  </si>
  <si>
    <t>E0333898</t>
  </si>
  <si>
    <t>GUPTA PARANTAP</t>
  </si>
  <si>
    <t>Shiblee,TowhidMD</t>
  </si>
  <si>
    <t>E0334122</t>
  </si>
  <si>
    <t>SHIBLEE TOWHID</t>
  </si>
  <si>
    <t>Dobuzinsky,OlgaMd</t>
  </si>
  <si>
    <t>E0334643</t>
  </si>
  <si>
    <t>DOBUZINSKY OLGA MD</t>
  </si>
  <si>
    <t>DOBUZINSKY OLGA DR.</t>
  </si>
  <si>
    <t>Avitabile,NicholasMD</t>
  </si>
  <si>
    <t>E0335183</t>
  </si>
  <si>
    <t>AVITABILE NICHOLAS</t>
  </si>
  <si>
    <t>AVITABILE NICHOLAS DR.</t>
  </si>
  <si>
    <t>Miller,MichaelMD</t>
  </si>
  <si>
    <t>E0335188</t>
  </si>
  <si>
    <t>MILLER MICHAEL A</t>
  </si>
  <si>
    <t>Christoforour,DimitriosMD</t>
  </si>
  <si>
    <t>E0335894</t>
  </si>
  <si>
    <t>CHRISTOFOROU DIMITRIOS C</t>
  </si>
  <si>
    <t>CHRISTOFOROU DIMITRIOS DR.</t>
  </si>
  <si>
    <t>Polishchuk,DaniilMD</t>
  </si>
  <si>
    <t>E0336342</t>
  </si>
  <si>
    <t>POLISHCHUK DANIIL L</t>
  </si>
  <si>
    <t>POLISHCHUK DANIIL DR.</t>
  </si>
  <si>
    <t>Nguyen,Henry,FNP</t>
  </si>
  <si>
    <t>E0351950</t>
  </si>
  <si>
    <t>NGUYEN HENRY VAN</t>
  </si>
  <si>
    <t>NGUYEN HENRY</t>
  </si>
  <si>
    <t>Ho,WesleyMD</t>
  </si>
  <si>
    <t>E0367539</t>
  </si>
  <si>
    <t>HO WESLEY HOK MAN</t>
  </si>
  <si>
    <t>HO WESLEY DR.</t>
  </si>
  <si>
    <t>1 FAMILY PRACTICE DR STE 1</t>
  </si>
  <si>
    <t>Lukose,James,PA</t>
  </si>
  <si>
    <t>LUKOSE JAMES MR.</t>
  </si>
  <si>
    <t>350 LENOX RD, 5N</t>
  </si>
  <si>
    <t>Rosenberg,Rachel,MD</t>
  </si>
  <si>
    <t>E0386327</t>
  </si>
  <si>
    <t>ROSENBERG RACHEL</t>
  </si>
  <si>
    <t>ROSENBERG RACHEL KURTZ</t>
  </si>
  <si>
    <t>Dr.VasaChriagVindokimar</t>
  </si>
  <si>
    <t>E0074492</t>
  </si>
  <si>
    <t>VASA CHIROQ V MD</t>
  </si>
  <si>
    <t>(718) 441-3970</t>
  </si>
  <si>
    <t>VASA CHIRAG DR.</t>
  </si>
  <si>
    <t>CMC STAFF 4FLR</t>
  </si>
  <si>
    <t>Dr.IraRothfield</t>
  </si>
  <si>
    <t>(718) 274-4700</t>
  </si>
  <si>
    <t>31-2829thStreet</t>
  </si>
  <si>
    <t>Astoria</t>
  </si>
  <si>
    <t>Dr.JosephLeider</t>
  </si>
  <si>
    <t>(845) 356-3166</t>
  </si>
  <si>
    <t>75CollegRoad</t>
  </si>
  <si>
    <t>Monsey</t>
  </si>
  <si>
    <t>Dr.ElenaMarcantonis</t>
  </si>
  <si>
    <t>(212) 724-3530</t>
  </si>
  <si>
    <t>138west74thStreetApt.3A</t>
  </si>
  <si>
    <t>Dr.TheodoreGiannaris</t>
  </si>
  <si>
    <t>(718) 278-1855</t>
  </si>
  <si>
    <t>27-47CrescentSt.</t>
  </si>
  <si>
    <t>Dr.AshokRajput</t>
  </si>
  <si>
    <t>(631) 421-4264</t>
  </si>
  <si>
    <t>21PhaetonsDrive</t>
  </si>
  <si>
    <t>Merrick</t>
  </si>
  <si>
    <t>Dr.SanfordGould</t>
  </si>
  <si>
    <t>E0201514</t>
  </si>
  <si>
    <t>GOULD SANFORD MD</t>
  </si>
  <si>
    <t>(718) 639-5400</t>
  </si>
  <si>
    <t>GOULD SANFORD DR.</t>
  </si>
  <si>
    <t>3347 91ST ST</t>
  </si>
  <si>
    <t>Dr.RamseyFakhuri</t>
  </si>
  <si>
    <t>E0158916</t>
  </si>
  <si>
    <t>FAKHURI RAMSEY JOHN</t>
  </si>
  <si>
    <t>(718) 472-3870</t>
  </si>
  <si>
    <t>FAKHURI RAMSEY</t>
  </si>
  <si>
    <t>4415 43RD AVE APT C1</t>
  </si>
  <si>
    <t>Dr.MelanieJoannow</t>
  </si>
  <si>
    <t>E0141315</t>
  </si>
  <si>
    <t>JOANNOW MELANIE MD</t>
  </si>
  <si>
    <t>(718) 204-6932</t>
  </si>
  <si>
    <t>JOANNOW MELANIE</t>
  </si>
  <si>
    <t>37 MCLANE DR</t>
  </si>
  <si>
    <t>Ghezel-Ayagh,AnoushehMD</t>
  </si>
  <si>
    <t>E0005081</t>
  </si>
  <si>
    <t>GHEZEL-AYAGH ANOUSHEH</t>
  </si>
  <si>
    <t>GHEZEL-AYAGH ANOUSHEH DR.</t>
  </si>
  <si>
    <t>GHEZEL-AYAGH ANOUSHEH MD</t>
  </si>
  <si>
    <t>Hoffman,MichaelMD</t>
  </si>
  <si>
    <t>DR.PadmanabhPaddu</t>
  </si>
  <si>
    <t>(718) 784-4502</t>
  </si>
  <si>
    <t>ObioraAnyoku</t>
  </si>
  <si>
    <t>E0104849</t>
  </si>
  <si>
    <t>ANYOKU OBIORA OLISAELOKA MD</t>
  </si>
  <si>
    <t>(718) 868-4553</t>
  </si>
  <si>
    <t>ANYOKU OBIORA</t>
  </si>
  <si>
    <t>2008 SEAGIRT BLVD</t>
  </si>
  <si>
    <t>Izikson,LeonidMD</t>
  </si>
  <si>
    <t>E0291021</t>
  </si>
  <si>
    <t>IZIKSON LEONID MD</t>
  </si>
  <si>
    <t>IZIKSON LEONID</t>
  </si>
  <si>
    <t>Ranin-Lay,MariaMD</t>
  </si>
  <si>
    <t>E0293846</t>
  </si>
  <si>
    <t>RANIN-LAY MARI</t>
  </si>
  <si>
    <t>RANIN-LAY MARIA DR.</t>
  </si>
  <si>
    <t>RANIN-LAY MARIA TERESA</t>
  </si>
  <si>
    <t>KathleenCorrigan</t>
  </si>
  <si>
    <t>E0002836</t>
  </si>
  <si>
    <t>CORRIGAN KATHLEEN</t>
  </si>
  <si>
    <t>CORRIGAN KATHLEEN DR.</t>
  </si>
  <si>
    <t>AndrewLam</t>
  </si>
  <si>
    <t>E0045517</t>
  </si>
  <si>
    <t>LAM ANDREW HO-YIN</t>
  </si>
  <si>
    <t>LAM ANDREW</t>
  </si>
  <si>
    <t>279 E 3RD ST</t>
  </si>
  <si>
    <t>FrancesBerberena</t>
  </si>
  <si>
    <t>E0321086</t>
  </si>
  <si>
    <t>BERBERENA FRANCES</t>
  </si>
  <si>
    <t>BERBERENA FRANCIS</t>
  </si>
  <si>
    <t>DominickReda</t>
  </si>
  <si>
    <t>CaroleSgaglione</t>
  </si>
  <si>
    <t>RoseannGuglielmo</t>
  </si>
  <si>
    <t>E0363949</t>
  </si>
  <si>
    <t>GUGLIELMO ROSEANN</t>
  </si>
  <si>
    <t>GUGLIELMO ROSEANN MS.</t>
  </si>
  <si>
    <t>KimberlyMcHugh</t>
  </si>
  <si>
    <t>E0326680</t>
  </si>
  <si>
    <t>KIMBERLY MARIE MCHUGH</t>
  </si>
  <si>
    <t>MCHUGH KIMBERLY DR.</t>
  </si>
  <si>
    <t>MCHUGH KIMBERLY MARIE</t>
  </si>
  <si>
    <t>KimberlyHibbert</t>
  </si>
  <si>
    <t>E0348478</t>
  </si>
  <si>
    <t>HIBBERT KIMBERLY G</t>
  </si>
  <si>
    <t>khibbert@thebridgeny.org</t>
  </si>
  <si>
    <t>HIBBERT KIMBERLY MISS</t>
  </si>
  <si>
    <t>4062 BAYCHESTER AVE</t>
  </si>
  <si>
    <t>Jaeger,DavidMDPhD</t>
  </si>
  <si>
    <t>E0039576</t>
  </si>
  <si>
    <t>JAEGER DAVID A MD</t>
  </si>
  <si>
    <t>JAEGER DAVID</t>
  </si>
  <si>
    <t>Ascencio,JaniceMD</t>
  </si>
  <si>
    <t>E0039105</t>
  </si>
  <si>
    <t>ASCENCIO JANICE K MD</t>
  </si>
  <si>
    <t>ASCENCIO JANICE</t>
  </si>
  <si>
    <t>ASCENCIO JANICE KRYSTAL</t>
  </si>
  <si>
    <t>Tawil,LaurenceMD</t>
  </si>
  <si>
    <t>E0038718</t>
  </si>
  <si>
    <t>TAWIL LAURENCE A MD</t>
  </si>
  <si>
    <t>TAWIL LAURENCE</t>
  </si>
  <si>
    <t>Dr.NaliniPaddu</t>
  </si>
  <si>
    <t>E0209178</t>
  </si>
  <si>
    <t>PADDU NALINI UPADHYAYA</t>
  </si>
  <si>
    <t>(516) 220-0267</t>
  </si>
  <si>
    <t>PADDU NALINI</t>
  </si>
  <si>
    <t>APT 1H</t>
  </si>
  <si>
    <t>KarenHill</t>
  </si>
  <si>
    <t>StevenMargolies</t>
  </si>
  <si>
    <t>(631) 306-5895</t>
  </si>
  <si>
    <t>slmargolies@phoenixhouse.org</t>
  </si>
  <si>
    <t>E0312035</t>
  </si>
  <si>
    <t>MARGOLIES STEVEN LAWRENCE</t>
  </si>
  <si>
    <t>Sherman,Jerome</t>
  </si>
  <si>
    <t>E0106853</t>
  </si>
  <si>
    <t>SHERMAN JEROME</t>
  </si>
  <si>
    <t>SHERMAN JEROME DR.</t>
  </si>
  <si>
    <t>Soden,Richard</t>
  </si>
  <si>
    <t>Speaker,Mark</t>
  </si>
  <si>
    <t>E0202840</t>
  </si>
  <si>
    <t>SPEAKER MARK GEORGE        MD</t>
  </si>
  <si>
    <t>SPEAKER MARK DR.</t>
  </si>
  <si>
    <t>SPEAKER MARK G</t>
  </si>
  <si>
    <t>Stamm,Joseph</t>
  </si>
  <si>
    <t>Osman,SamiMD</t>
  </si>
  <si>
    <t>E0007164</t>
  </si>
  <si>
    <t>OSMAN SAMI</t>
  </si>
  <si>
    <t>Nadpara,Kajal</t>
  </si>
  <si>
    <t>E0007679</t>
  </si>
  <si>
    <t>NADPARA KAJALBER N</t>
  </si>
  <si>
    <t>NADPARA KAJAL</t>
  </si>
  <si>
    <t>NADPARA KAJALBER N MD</t>
  </si>
  <si>
    <t>Elsakka,ZainabPA-C</t>
  </si>
  <si>
    <t>E0005971</t>
  </si>
  <si>
    <t>ELSAKKA ZAINAB RPA</t>
  </si>
  <si>
    <t>ELSAKKA ZAINAB</t>
  </si>
  <si>
    <t>KhinWin</t>
  </si>
  <si>
    <t>E0330508</t>
  </si>
  <si>
    <t>WIN KHIN</t>
  </si>
  <si>
    <t>199 HEMPSTEAD TPKE</t>
  </si>
  <si>
    <t>JonathanFigueroa</t>
  </si>
  <si>
    <t>E0307423</t>
  </si>
  <si>
    <t>JONNATHAN FIGUEROA</t>
  </si>
  <si>
    <t>FIGUEROA JONNATHAN DR.</t>
  </si>
  <si>
    <t>FIGUEROA JONNATHAN</t>
  </si>
  <si>
    <t>851 MANHATTAN AVE</t>
  </si>
  <si>
    <t>KwakuAnakwa</t>
  </si>
  <si>
    <t>E0021010</t>
  </si>
  <si>
    <t>ANAKWA KWAKU</t>
  </si>
  <si>
    <t>ANAKWA KWAKU K</t>
  </si>
  <si>
    <t>Dr.AnilShirwaikar</t>
  </si>
  <si>
    <t>E0226172</t>
  </si>
  <si>
    <t>SHIRWAIKAR ANIL B          MD</t>
  </si>
  <si>
    <t>(718) 507-7404</t>
  </si>
  <si>
    <t>shirwaikaranil@gmail.com</t>
  </si>
  <si>
    <t>SHIRWAIKAR ANIL DR.</t>
  </si>
  <si>
    <t>SHIRWAIKAR ANIL BALKRISHN</t>
  </si>
  <si>
    <t>9011 35TH AVE</t>
  </si>
  <si>
    <t>Dr.StuartStauber</t>
  </si>
  <si>
    <t>E0223748</t>
  </si>
  <si>
    <t>STAUBER STUART L           MD</t>
  </si>
  <si>
    <t>(718) 278-2727</t>
  </si>
  <si>
    <t>STAUBER STUART DR.</t>
  </si>
  <si>
    <t>Dr.GustavoDepetris</t>
  </si>
  <si>
    <t>E0136961</t>
  </si>
  <si>
    <t>DEPETRIS GUSTAVO RAUL MD</t>
  </si>
  <si>
    <t>(718) 956-7988</t>
  </si>
  <si>
    <t>DEPETRIS GUSTAVO DR.</t>
  </si>
  <si>
    <t>2322 30TH AVE</t>
  </si>
  <si>
    <t>Dr.HowardCohn</t>
  </si>
  <si>
    <t>E0132430</t>
  </si>
  <si>
    <t>COHN HOWARD IRWIN</t>
  </si>
  <si>
    <t>(516) 297-9544</t>
  </si>
  <si>
    <t>COHN HOWARD DR.</t>
  </si>
  <si>
    <t>COHN HOWARD IRWIN MD</t>
  </si>
  <si>
    <t>26001 79TH AVE</t>
  </si>
  <si>
    <t>Dr.NimeshPatel</t>
  </si>
  <si>
    <t>E0207719</t>
  </si>
  <si>
    <t>PLOKAMAKIS MICHAEL         MD</t>
  </si>
  <si>
    <t>(718) 932-9070</t>
  </si>
  <si>
    <t>PLOKAMAKIS MICHAEL DR.</t>
  </si>
  <si>
    <t>2597 38TH ST</t>
  </si>
  <si>
    <t>Dr.MinzaliaZoubtsova</t>
  </si>
  <si>
    <t>E0021758</t>
  </si>
  <si>
    <t>ZOUBTSOVA MINZALIA MD</t>
  </si>
  <si>
    <t>(800) 516-5779</t>
  </si>
  <si>
    <t>ZOUBTSOVA MINZALIA</t>
  </si>
  <si>
    <t>CarolynEast,M.S.,CF-SLP</t>
  </si>
  <si>
    <t>E0372893</t>
  </si>
  <si>
    <t>EAST CAROLYN ALICIA</t>
  </si>
  <si>
    <t>EAST CAROLYN</t>
  </si>
  <si>
    <t>ValerieBazile</t>
  </si>
  <si>
    <t>E0376980</t>
  </si>
  <si>
    <t>BAZILE VALERIE</t>
  </si>
  <si>
    <t>LouiseAustin</t>
  </si>
  <si>
    <t>E0370559</t>
  </si>
  <si>
    <t>AUSTIN LOUISE</t>
  </si>
  <si>
    <t>TakyanChan</t>
  </si>
  <si>
    <t>E0017968</t>
  </si>
  <si>
    <t>CHAN TAKYAN DDS</t>
  </si>
  <si>
    <t>CHAN TAKYAN</t>
  </si>
  <si>
    <t>447 FULTON ST</t>
  </si>
  <si>
    <t>JessicaLevatino</t>
  </si>
  <si>
    <t>E0394997</t>
  </si>
  <si>
    <t>LEVATINO JESSICA LYNN</t>
  </si>
  <si>
    <t>LEVATINO JESSICA</t>
  </si>
  <si>
    <t>110 W 97TH STREET</t>
  </si>
  <si>
    <t>RashannaLynch</t>
  </si>
  <si>
    <t>E0369307</t>
  </si>
  <si>
    <t>LYNCH RASHANNA DENISE</t>
  </si>
  <si>
    <t>LYNCH RASHANNA DR.</t>
  </si>
  <si>
    <t>MartinAviles</t>
  </si>
  <si>
    <t>E0051070</t>
  </si>
  <si>
    <t>AVILES MARTIN</t>
  </si>
  <si>
    <t>AVILES MARTIN DR.</t>
  </si>
  <si>
    <t>GeorgeXenakis</t>
  </si>
  <si>
    <t>E0021001</t>
  </si>
  <si>
    <t>XENAKIS GEORGE</t>
  </si>
  <si>
    <t>XENAKIS GEORGE DR.</t>
  </si>
  <si>
    <t>4 EAST 46TH STREET 2ND FLOOR</t>
  </si>
  <si>
    <t>JenniferLee</t>
  </si>
  <si>
    <t>E0003793</t>
  </si>
  <si>
    <t>LEE JENNIFER S</t>
  </si>
  <si>
    <t>LEE JENNIFER DR.</t>
  </si>
  <si>
    <t>SyedAbidi</t>
  </si>
  <si>
    <t>E0126429</t>
  </si>
  <si>
    <t>ABIDI SYED MD</t>
  </si>
  <si>
    <t>(516) 671-0109</t>
  </si>
  <si>
    <t>ABIDI SYED</t>
  </si>
  <si>
    <t>450 SEAVIEW AVE</t>
  </si>
  <si>
    <t>MohammedAli</t>
  </si>
  <si>
    <t>E0179536</t>
  </si>
  <si>
    <t>ALI MOHAMMED FAISAL MD</t>
  </si>
  <si>
    <t>(516) 763-1962</t>
  </si>
  <si>
    <t>ALI MOHAMMED DR.</t>
  </si>
  <si>
    <t>2000 N VILLAGE AVE</t>
  </si>
  <si>
    <t>Thau,Andrea</t>
  </si>
  <si>
    <t>Appel,Julia</t>
  </si>
  <si>
    <t>E0088680</t>
  </si>
  <si>
    <t>APPEL JULIA</t>
  </si>
  <si>
    <t>Cohen,Jay</t>
  </si>
  <si>
    <t>Dul,Mitchell</t>
  </si>
  <si>
    <t>Gundel,Ralph</t>
  </si>
  <si>
    <t>Kapoor,Neera</t>
  </si>
  <si>
    <t>E0088656</t>
  </si>
  <si>
    <t>KAPOOR NEERA</t>
  </si>
  <si>
    <t>Krumholz,David</t>
  </si>
  <si>
    <t>Larson,Steven</t>
  </si>
  <si>
    <t>E0088653</t>
  </si>
  <si>
    <t>LARSON STEVEN</t>
  </si>
  <si>
    <t>LARSON STEVEN DR.</t>
  </si>
  <si>
    <t>LARSON STEVEN M</t>
  </si>
  <si>
    <t>DianneLaPointeRudow</t>
  </si>
  <si>
    <t>E0105533</t>
  </si>
  <si>
    <t>LAPOINTE DIANNE RUDOW</t>
  </si>
  <si>
    <t>LAPOINTE-RUDOWBS DIANNE</t>
  </si>
  <si>
    <t>EvaMacdowall</t>
  </si>
  <si>
    <t>E0329682</t>
  </si>
  <si>
    <t>MACDOWALL EVA</t>
  </si>
  <si>
    <t>MACDOWALL EVA MRS.</t>
  </si>
  <si>
    <t>BarneyVaughn</t>
  </si>
  <si>
    <t>E0335855</t>
  </si>
  <si>
    <t>VAUGHAN BARNEY</t>
  </si>
  <si>
    <t>VAUGHAN BARNEY DR.</t>
  </si>
  <si>
    <t>200 W 57TH ST STE 1310</t>
  </si>
  <si>
    <t>ParbhuSamaroo</t>
  </si>
  <si>
    <t>JoyceTabb</t>
  </si>
  <si>
    <t>E0359582</t>
  </si>
  <si>
    <t>TABB JOYCE</t>
  </si>
  <si>
    <t>TABB JOYCE MS.</t>
  </si>
  <si>
    <t>164 W 74TH ST FL 1</t>
  </si>
  <si>
    <t>AudreyBlidgen-Torres</t>
  </si>
  <si>
    <t>E0372609</t>
  </si>
  <si>
    <t>BLIDGEN-TORRES AUDREY F</t>
  </si>
  <si>
    <t>BLIDGEN-TORRES AUDREY DR.</t>
  </si>
  <si>
    <t>164 20TH ST STE 4C</t>
  </si>
  <si>
    <t>JoyceBernarbo</t>
  </si>
  <si>
    <t>RamonSantaliz</t>
  </si>
  <si>
    <t>SANTALIZ RAMON</t>
  </si>
  <si>
    <t>946 HOE AVE, APT 1A</t>
  </si>
  <si>
    <t>GabrielTsuboyama</t>
  </si>
  <si>
    <t>E0021655</t>
  </si>
  <si>
    <t>TSUBOYAMA GABRIEL KAZUO MD</t>
  </si>
  <si>
    <t>IveHonahan</t>
  </si>
  <si>
    <t>(212) 361-1646</t>
  </si>
  <si>
    <t>ihonahan@odysseyhouseinc.org</t>
  </si>
  <si>
    <t>TSUBOYAMA GABRIEL DR.</t>
  </si>
  <si>
    <t>163 W 125TH ST</t>
  </si>
  <si>
    <t>CurtisN.Amos</t>
  </si>
  <si>
    <t>E0321165</t>
  </si>
  <si>
    <t>AMOS CURTIS</t>
  </si>
  <si>
    <t>219 E 121ST ST # C-LEVEL</t>
  </si>
  <si>
    <t>RobertoCortez,D.P.M.</t>
  </si>
  <si>
    <t>E0205543</t>
  </si>
  <si>
    <t>CORTEZ ROBERTO J DPM</t>
  </si>
  <si>
    <t>CORTEZ ROBERT DR.</t>
  </si>
  <si>
    <t>MegAllynKrilov,M.D.</t>
  </si>
  <si>
    <t>Dr.ArleneGarcia</t>
  </si>
  <si>
    <t>E0163362</t>
  </si>
  <si>
    <t>GARCIA ARLENE MARIE MD</t>
  </si>
  <si>
    <t>GARCIA ARLENE DR.</t>
  </si>
  <si>
    <t>Law(formerlyLlerena),Cristina</t>
  </si>
  <si>
    <t>E0012712</t>
  </si>
  <si>
    <t>LLERENA CRISTINA</t>
  </si>
  <si>
    <t>LAW CRISTINA DR.</t>
  </si>
  <si>
    <t>LAW CRISTINA LLERENA MARIA</t>
  </si>
  <si>
    <t>Rutman,Hadassa</t>
  </si>
  <si>
    <t>E0000196</t>
  </si>
  <si>
    <t>RUTMAN HADASSA</t>
  </si>
  <si>
    <t>Stanberry,Andre</t>
  </si>
  <si>
    <t>E0292815</t>
  </si>
  <si>
    <t>STANBERRY ANDRE</t>
  </si>
  <si>
    <t>STANBERRY ANDRE DR.</t>
  </si>
  <si>
    <t>Marinoff,Rebecca</t>
  </si>
  <si>
    <t>E0303228</t>
  </si>
  <si>
    <t>MARINOFF REBECCA</t>
  </si>
  <si>
    <t>MARINOFF REBECCA DR.</t>
  </si>
  <si>
    <t>LezliBraswell,M.D.</t>
  </si>
  <si>
    <t>E0364137</t>
  </si>
  <si>
    <t>BRASWELL LEZLI</t>
  </si>
  <si>
    <t>BRASWELL LEZLI DR.</t>
  </si>
  <si>
    <t>3060 E TREMONT AVE FL 2</t>
  </si>
  <si>
    <t>AlanLiu,M.D.</t>
  </si>
  <si>
    <t>E0290401</t>
  </si>
  <si>
    <t>LIU ALAN</t>
  </si>
  <si>
    <t>262 CENTRAL PARK W</t>
  </si>
  <si>
    <t>NancyAbdel-Wahab,M.D.</t>
  </si>
  <si>
    <t>E0313023</t>
  </si>
  <si>
    <t>ABDEL-WAHAB NANCY HUSSEIN</t>
  </si>
  <si>
    <t>ABDEL-WAHAB NANCY DR.</t>
  </si>
  <si>
    <t>BenjaminWong,D.D.S.</t>
  </si>
  <si>
    <t>E0031300</t>
  </si>
  <si>
    <t>WONG BENJAMIN C DDS</t>
  </si>
  <si>
    <t>WONG BENJAMIN</t>
  </si>
  <si>
    <t>WONG BENJAMIN C</t>
  </si>
  <si>
    <t>8257A 51ST AVE</t>
  </si>
  <si>
    <t>IrinaYulis,M.A.,CCC-SLP</t>
  </si>
  <si>
    <t>E0373187</t>
  </si>
  <si>
    <t>YULIS IRINA</t>
  </si>
  <si>
    <t>GusMonioudis,D.D.S.</t>
  </si>
  <si>
    <t>E0049040</t>
  </si>
  <si>
    <t>MONIOUDIS GUS DDS</t>
  </si>
  <si>
    <t>MONIOUDIS GUS DR.</t>
  </si>
  <si>
    <t>MONIOUDIS GUS CONSTANTINE</t>
  </si>
  <si>
    <t>351 87TH ST</t>
  </si>
  <si>
    <t>LucyBecker,LPN</t>
  </si>
  <si>
    <t>E0348638</t>
  </si>
  <si>
    <t>BECKER LUCY</t>
  </si>
  <si>
    <t>KatherineHayden,A.A.S.</t>
  </si>
  <si>
    <t>E0228646</t>
  </si>
  <si>
    <t>PORITZKY ROBERT H         DDS</t>
  </si>
  <si>
    <t>HAYDEN KATHERINE MS.</t>
  </si>
  <si>
    <t>1045 PARK ST</t>
  </si>
  <si>
    <t>KatrinaBell,D.D.S.</t>
  </si>
  <si>
    <t>E0044466</t>
  </si>
  <si>
    <t>KARTINA N BELL</t>
  </si>
  <si>
    <t>BELL KATRINA</t>
  </si>
  <si>
    <t>SoniaLopez</t>
  </si>
  <si>
    <t>E0137841</t>
  </si>
  <si>
    <t>LOPEZ SONIA J MD</t>
  </si>
  <si>
    <t>sonia.lopez@samaritanvillage.org</t>
  </si>
  <si>
    <t>LOPEZ SONIA DR.</t>
  </si>
  <si>
    <t>CharlesMadray</t>
  </si>
  <si>
    <t>charles.madray@samaritanvillage.org</t>
  </si>
  <si>
    <t>MADRAY CHARLES MR.</t>
  </si>
  <si>
    <t>22 CHAPEL ST</t>
  </si>
  <si>
    <t>JonathanHalter,RN</t>
  </si>
  <si>
    <t>E0372027</t>
  </si>
  <si>
    <t>HALTER JONATHAN E</t>
  </si>
  <si>
    <t>MichaelUpston</t>
  </si>
  <si>
    <t>(718) 224-0566</t>
  </si>
  <si>
    <t>mupston@sfy.org</t>
  </si>
  <si>
    <t>HALTER JONATHAN</t>
  </si>
  <si>
    <t>59-28 LITTLE NECK PKWY</t>
  </si>
  <si>
    <t>MichaelVington</t>
  </si>
  <si>
    <t>E0116661</t>
  </si>
  <si>
    <t>VINGTON MICHEL SACHA MD</t>
  </si>
  <si>
    <t>mvington@thebridgeny.org</t>
  </si>
  <si>
    <t>VINGTON MICHEL DR.</t>
  </si>
  <si>
    <t>567 QUINCY ST</t>
  </si>
  <si>
    <t>ElizabethCahn</t>
  </si>
  <si>
    <t>E0342050</t>
  </si>
  <si>
    <t>CAHN ELIZABETH ANN</t>
  </si>
  <si>
    <t>ecahn@thebridgeny.org</t>
  </si>
  <si>
    <t>CAHN ELIZABETH</t>
  </si>
  <si>
    <t>248 W 108TH ST FL 5</t>
  </si>
  <si>
    <t>VASANTHABATTU</t>
  </si>
  <si>
    <t>POLINAFEYGIN</t>
  </si>
  <si>
    <t>HillaryPerlman</t>
  </si>
  <si>
    <t>E0346928</t>
  </si>
  <si>
    <t>PERLMAN HILLARY</t>
  </si>
  <si>
    <t>hperlman@thebridgeny.org</t>
  </si>
  <si>
    <t>KirkBrown</t>
  </si>
  <si>
    <t>E0315813</t>
  </si>
  <si>
    <t>BROWN KIRK A</t>
  </si>
  <si>
    <t>(718) 681-0345</t>
  </si>
  <si>
    <t>kbrown@thebridgeny.org</t>
  </si>
  <si>
    <t>BROWN KIRK MR.</t>
  </si>
  <si>
    <t>101 ALKIER ST</t>
  </si>
  <si>
    <t>LaurenSims</t>
  </si>
  <si>
    <t>lsims@thebridgeny.org</t>
  </si>
  <si>
    <t>THE BRIDGE</t>
  </si>
  <si>
    <t>JacquelineCosme</t>
  </si>
  <si>
    <t>E0132155</t>
  </si>
  <si>
    <t>COSME JACQUELINE MD</t>
  </si>
  <si>
    <t>COSME JACQUELINE</t>
  </si>
  <si>
    <t>390 W END AVE</t>
  </si>
  <si>
    <t>Back,SaraFNP</t>
  </si>
  <si>
    <t>E0089173</t>
  </si>
  <si>
    <t>BACK SARA DEBORAH</t>
  </si>
  <si>
    <t>BACK SARA MS.</t>
  </si>
  <si>
    <t>Zhou,Guoping,MD</t>
  </si>
  <si>
    <t>LudmilaSedlakova</t>
  </si>
  <si>
    <t>drs3125@gmail.com</t>
  </si>
  <si>
    <t>TheodoreNowakiwskyj</t>
  </si>
  <si>
    <t>E0050057</t>
  </si>
  <si>
    <t>NOWAKIWSKYJ THEODORE MD</t>
  </si>
  <si>
    <t>NOWAKIWSKYJ THEODORE</t>
  </si>
  <si>
    <t>YadagiriChepuru</t>
  </si>
  <si>
    <t>(914) 424-6128</t>
  </si>
  <si>
    <t>girichepurumd@aol.com</t>
  </si>
  <si>
    <t>JillGroves</t>
  </si>
  <si>
    <t>drj3125@gmail.com</t>
  </si>
  <si>
    <t>MichaelAder</t>
  </si>
  <si>
    <t>(718) 543-3636</t>
  </si>
  <si>
    <t>msader18@gmail.com</t>
  </si>
  <si>
    <t>3765RiverdaleAve./Ste.#7</t>
  </si>
  <si>
    <t>RobinPinzon</t>
  </si>
  <si>
    <t>Rrp576@aol.com</t>
  </si>
  <si>
    <t>VertaSmith</t>
  </si>
  <si>
    <t>E0085781</t>
  </si>
  <si>
    <t>SMITH VERTA I MD</t>
  </si>
  <si>
    <t>MaliTrilla</t>
  </si>
  <si>
    <t>(212) 360-2661</t>
  </si>
  <si>
    <t>mtrilla@settlementhealth.org</t>
  </si>
  <si>
    <t>SMITH VERTA DR.</t>
  </si>
  <si>
    <t>SMITH VERTA I</t>
  </si>
  <si>
    <t>212 E 106TH ST</t>
  </si>
  <si>
    <t>ElizabethWhite</t>
  </si>
  <si>
    <t>E0139460</t>
  </si>
  <si>
    <t>WHITE ELIZABETH STUYVESANT MD</t>
  </si>
  <si>
    <t>WHITE ELIZABETH DR.</t>
  </si>
  <si>
    <t>RandallRoss,M.D.</t>
  </si>
  <si>
    <t>Agashiwala,Rajiv</t>
  </si>
  <si>
    <t>E0323179</t>
  </si>
  <si>
    <t>AGASHIWALA RAJIV</t>
  </si>
  <si>
    <t>AGASHIWALA RAJIV DR.</t>
  </si>
  <si>
    <t>AGASHIWALA RAJIV MAHESH</t>
  </si>
  <si>
    <t>Cox,Katherine</t>
  </si>
  <si>
    <t>E0356838</t>
  </si>
  <si>
    <t>COX KATHERINE ANNE</t>
  </si>
  <si>
    <t>COX KATHERINE DR.</t>
  </si>
  <si>
    <t>Crooks,Michael</t>
  </si>
  <si>
    <t>E0115512</t>
  </si>
  <si>
    <t>CROOKS MICHAEL</t>
  </si>
  <si>
    <t>CROOKS MICHAEL HUGH</t>
  </si>
  <si>
    <t>Decicco,Barbara</t>
  </si>
  <si>
    <t>E0038890</t>
  </si>
  <si>
    <t>DECICCO BARBARA</t>
  </si>
  <si>
    <t>DECICCO BARBARA MS.</t>
  </si>
  <si>
    <t>DavidFoster</t>
  </si>
  <si>
    <t>E0084610</t>
  </si>
  <si>
    <t>FOSTER DAVID L</t>
  </si>
  <si>
    <t>935 NORTHERN BLVD</t>
  </si>
  <si>
    <t>JunLI</t>
  </si>
  <si>
    <t>E0052476</t>
  </si>
  <si>
    <t>LI JUN MD</t>
  </si>
  <si>
    <t>LI JUN DR.</t>
  </si>
  <si>
    <t>641 W 230TH ST</t>
  </si>
  <si>
    <t>MariaAbreu,Diploma</t>
  </si>
  <si>
    <t>ABREU MARIA</t>
  </si>
  <si>
    <t>460 W 34TH ST, 9TH FLOOR</t>
  </si>
  <si>
    <t>RobertMarcus,D.P.M.</t>
  </si>
  <si>
    <t>E0070307</t>
  </si>
  <si>
    <t>MARCUS ROBERT S  DPM</t>
  </si>
  <si>
    <t>MARCUS ROBERT</t>
  </si>
  <si>
    <t>MARCUS ROBERT S DPM</t>
  </si>
  <si>
    <t>185 CEDAR LN STE U5</t>
  </si>
  <si>
    <t>ElstonVolkerts,N.P.</t>
  </si>
  <si>
    <t>E0013076</t>
  </si>
  <si>
    <t>VOLKERTS ELSTON LEROY</t>
  </si>
  <si>
    <t>VOLKERTS ELSTON</t>
  </si>
  <si>
    <t>THREE BARK AVE</t>
  </si>
  <si>
    <t>EdwardKoenig,RPA-C,</t>
  </si>
  <si>
    <t>E0142878</t>
  </si>
  <si>
    <t>KOENIG EDWARD S</t>
  </si>
  <si>
    <t>KOENIG EDWARD MR.</t>
  </si>
  <si>
    <t>MaryCarlson,R.N.</t>
  </si>
  <si>
    <t>CARLSON MARY</t>
  </si>
  <si>
    <t>Vaughn,Matthew</t>
  </si>
  <si>
    <t>E0382062</t>
  </si>
  <si>
    <t>VAUGHN MATTHEW TIMOTHY</t>
  </si>
  <si>
    <t>VAUGHN MATTHEW DR.</t>
  </si>
  <si>
    <t>Blum,Corinne</t>
  </si>
  <si>
    <t>Bovenzi,Matthew</t>
  </si>
  <si>
    <t>E0382030</t>
  </si>
  <si>
    <t>BOVEUZI MATTHEW DAVID</t>
  </si>
  <si>
    <t>BOVENZI MATTHEW DR.</t>
  </si>
  <si>
    <t>BOVENZI MATTHEW DAVID</t>
  </si>
  <si>
    <t>Dye,Colleen</t>
  </si>
  <si>
    <t>Poirier,Kimberley</t>
  </si>
  <si>
    <t>E0382113</t>
  </si>
  <si>
    <t>POIRIER KIMBERLEY PAULA</t>
  </si>
  <si>
    <t>POIRIER KIMBERLEY</t>
  </si>
  <si>
    <t>Sangani,Nicole</t>
  </si>
  <si>
    <t>E0381987</t>
  </si>
  <si>
    <t>SANGANI NICOLE PARESH</t>
  </si>
  <si>
    <t>SANGANI NICOLE DR.</t>
  </si>
  <si>
    <t>Westcott,Jacquline</t>
  </si>
  <si>
    <t>E0382311</t>
  </si>
  <si>
    <t>WESTCOTT JACQUELINE C</t>
  </si>
  <si>
    <t>WESTCOTT JACQUELINE</t>
  </si>
  <si>
    <t>Davelman,FelixMD</t>
  </si>
  <si>
    <t>E0007931</t>
  </si>
  <si>
    <t>DAVELMAN FELIX S</t>
  </si>
  <si>
    <t>DAVELMAN FELIX</t>
  </si>
  <si>
    <t>NickNicoloffPA</t>
  </si>
  <si>
    <t>E0394081</t>
  </si>
  <si>
    <t>NICOLOFF NICK NICOLAEV</t>
  </si>
  <si>
    <t>NICOLOFF NICK</t>
  </si>
  <si>
    <t>EmilyGerteis</t>
  </si>
  <si>
    <t>E0377589</t>
  </si>
  <si>
    <t>GERTEIS EMILY P</t>
  </si>
  <si>
    <t>GERTEIS EMILY</t>
  </si>
  <si>
    <t>GERTEIS EMILY PARKER</t>
  </si>
  <si>
    <t>MargoSimon</t>
  </si>
  <si>
    <t>E0332799</t>
  </si>
  <si>
    <t>SIMON MARGO</t>
  </si>
  <si>
    <t>SIMON MARGO DR.</t>
  </si>
  <si>
    <t>SIMON MARGO DEBORAH</t>
  </si>
  <si>
    <t>VanYu</t>
  </si>
  <si>
    <t>E0354794</t>
  </si>
  <si>
    <t>YU VAN</t>
  </si>
  <si>
    <t>YU VAN DR.</t>
  </si>
  <si>
    <t>YaffaKagan</t>
  </si>
  <si>
    <t>E0367553</t>
  </si>
  <si>
    <t>KAGAN YAFFA Y</t>
  </si>
  <si>
    <t>KAGAN YAFFA</t>
  </si>
  <si>
    <t>AdrienneQuirolo</t>
  </si>
  <si>
    <t>E0324487</t>
  </si>
  <si>
    <t>QUIROLO ADRIENNE</t>
  </si>
  <si>
    <t>QUIROLO ADRIENNE MS.</t>
  </si>
  <si>
    <t>AlexaKnorr</t>
  </si>
  <si>
    <t>E0350508</t>
  </si>
  <si>
    <t>KNORR ALEXA</t>
  </si>
  <si>
    <t>Coughlin,MargaretMD</t>
  </si>
  <si>
    <t>E0036946</t>
  </si>
  <si>
    <t>COUGHLIN MARGARET MARY MD</t>
  </si>
  <si>
    <t>COUGHLIN MARGARET</t>
  </si>
  <si>
    <t>COUGHLIN MARGARET MARY</t>
  </si>
  <si>
    <t>PhuongP.Nguyen</t>
  </si>
  <si>
    <t>NGUYEN PHUONG MS.</t>
  </si>
  <si>
    <t>95 PERRY ST APT 20</t>
  </si>
  <si>
    <t>PaulaScott</t>
  </si>
  <si>
    <t>(718) 557-1489</t>
  </si>
  <si>
    <t>pscott@thebridgeny.org</t>
  </si>
  <si>
    <t>SCOTT PAULA MS.</t>
  </si>
  <si>
    <t>SharynBurns</t>
  </si>
  <si>
    <t>sburns@thebridgeny.org</t>
  </si>
  <si>
    <t>BURNS SHARYN MS.</t>
  </si>
  <si>
    <t>1793 AMSTERDAM AVE FL 1, 1793 A,MSTERDAM AVENUE FL 1</t>
  </si>
  <si>
    <t>PatMyrie</t>
  </si>
  <si>
    <t>(718) 542-8080</t>
  </si>
  <si>
    <t>pmyrie@thebridgeny.org</t>
  </si>
  <si>
    <t>MYRIE PATRICIA</t>
  </si>
  <si>
    <t>866 EAST 165TH STREET LOWER LEVEL, THE BRIDGE ACT TEAM</t>
  </si>
  <si>
    <t>MarieDunn</t>
  </si>
  <si>
    <t>mdunn@thebridgeny.org</t>
  </si>
  <si>
    <t>DUNN MARIE MRS.</t>
  </si>
  <si>
    <t>Toledo,ElizabethNP</t>
  </si>
  <si>
    <t>E0014134</t>
  </si>
  <si>
    <t>TOLEDO ELIZABETH NP</t>
  </si>
  <si>
    <t>TOLEDO ELIZABETH</t>
  </si>
  <si>
    <t>Eleftherion,Caitlin</t>
  </si>
  <si>
    <t>E0382304</t>
  </si>
  <si>
    <t>ELEFTHERIAN CAITLIN ANN</t>
  </si>
  <si>
    <t>ELEFTHERION CAITLIN</t>
  </si>
  <si>
    <t>GlennW.DeLuca</t>
  </si>
  <si>
    <t>15CanalRd</t>
  </si>
  <si>
    <t>PelhamManor</t>
  </si>
  <si>
    <t>AnandV.Patel</t>
  </si>
  <si>
    <t>1400PelhamPky,Bld6,Unit8D</t>
  </si>
  <si>
    <t>ResikaUbayawardena</t>
  </si>
  <si>
    <t>311W.231stSt</t>
  </si>
  <si>
    <t>RubyMathew</t>
  </si>
  <si>
    <t>33CedarSt,room5</t>
  </si>
  <si>
    <t>Rye</t>
  </si>
  <si>
    <t>SusanKaskowitz</t>
  </si>
  <si>
    <t>E0346748</t>
  </si>
  <si>
    <t>KASKOWITZ SUSAN</t>
  </si>
  <si>
    <t>skaskowitz@thebridgeny.org</t>
  </si>
  <si>
    <t>KASKOWITZ SUSAN MS.</t>
  </si>
  <si>
    <t>RhianneLarson</t>
  </si>
  <si>
    <t>rlarson@thebridgeny.org</t>
  </si>
  <si>
    <t>LARSON RHIANNE</t>
  </si>
  <si>
    <t>226 W 242ND ST, APT 4C</t>
  </si>
  <si>
    <t>LawrenceSiegal</t>
  </si>
  <si>
    <t>E0228457</t>
  </si>
  <si>
    <t>SIEGEL LAWRENCE A          MD</t>
  </si>
  <si>
    <t>lsiegel@thebridgeny.org</t>
  </si>
  <si>
    <t>SIEGEL LAWRENCE</t>
  </si>
  <si>
    <t>SIEGEL LAWRENCE A</t>
  </si>
  <si>
    <t>MichaelBarnett</t>
  </si>
  <si>
    <t>mbarnett@thebridgeny.org</t>
  </si>
  <si>
    <t>248West108thStreet`</t>
  </si>
  <si>
    <t>PatriciaLarson-Callahan</t>
  </si>
  <si>
    <t>pcallahan@thebridgeny.org</t>
  </si>
  <si>
    <t>DavidDeLaRosa</t>
  </si>
  <si>
    <t>ddelarosa@thebridgeny.org</t>
  </si>
  <si>
    <t>CorneliusDufallo</t>
  </si>
  <si>
    <t>cdufallo@thebridgeny.org</t>
  </si>
  <si>
    <t>866165thStreet</t>
  </si>
  <si>
    <t>RochelleEisner</t>
  </si>
  <si>
    <t>reisner@thebridgeny.org</t>
  </si>
  <si>
    <t>JudeHenry</t>
  </si>
  <si>
    <t>jhenry@thebridgeny.org</t>
  </si>
  <si>
    <t>ArsenioJiminez</t>
  </si>
  <si>
    <t>ajiminez@thebridgeny.org</t>
  </si>
  <si>
    <t>JoannaFried</t>
  </si>
  <si>
    <t>E0354814</t>
  </si>
  <si>
    <t>FRIED JOANNA L</t>
  </si>
  <si>
    <t>FRIED JOANNA DR.</t>
  </si>
  <si>
    <t>AnthonyCarino</t>
  </si>
  <si>
    <t>E0354808</t>
  </si>
  <si>
    <t>CARINO ANTHONY JAMES</t>
  </si>
  <si>
    <t>CARINO ANTHONY</t>
  </si>
  <si>
    <t>DavidSeitzMD</t>
  </si>
  <si>
    <t>RosaMino</t>
  </si>
  <si>
    <t>E0103016</t>
  </si>
  <si>
    <t>MINO ROSA ELENA MD</t>
  </si>
  <si>
    <t>MINO ROSA</t>
  </si>
  <si>
    <t>DWNTOWN FAMILY CARE</t>
  </si>
  <si>
    <t>JamesPressler</t>
  </si>
  <si>
    <t>E0244069</t>
  </si>
  <si>
    <t>PRESSLER JAMES             MD</t>
  </si>
  <si>
    <t>PRESSLER JAMES DR.</t>
  </si>
  <si>
    <t>YoungAhn</t>
  </si>
  <si>
    <t>E0362564</t>
  </si>
  <si>
    <t>AHN YOUNG J</t>
  </si>
  <si>
    <t>AHN YOUNG DR.</t>
  </si>
  <si>
    <t>PatricianHailey</t>
  </si>
  <si>
    <t>E0137330</t>
  </si>
  <si>
    <t>HAILEY PATRICIA C MD</t>
  </si>
  <si>
    <t>HAILEY PATRICIA</t>
  </si>
  <si>
    <t>AnthonySchmertz</t>
  </si>
  <si>
    <t>E0286097</t>
  </si>
  <si>
    <t>SCHMERTZ ANTHONY</t>
  </si>
  <si>
    <t>BerthaRamos-Ramirez</t>
  </si>
  <si>
    <t>E0084331</t>
  </si>
  <si>
    <t>RAMOS-RAMIREZ BERTA</t>
  </si>
  <si>
    <t>RAMOS RAMIREZ BERTHA</t>
  </si>
  <si>
    <t>StevenKlein</t>
  </si>
  <si>
    <t>Dr.Klein</t>
  </si>
  <si>
    <t>(718) 891-1000</t>
  </si>
  <si>
    <t>drsklein@optonline.net</t>
  </si>
  <si>
    <t>SEXY SMILE DENTAL PC</t>
  </si>
  <si>
    <t>2746 OCEAN AVE</t>
  </si>
  <si>
    <t>SalwaGerges</t>
  </si>
  <si>
    <t>E0093003</t>
  </si>
  <si>
    <t>GERGES SALWA MIKHAIL MD</t>
  </si>
  <si>
    <t>Dr.Gerges</t>
  </si>
  <si>
    <t>(718) 755-0002</t>
  </si>
  <si>
    <t>sgergesmaimonidesmed.org</t>
  </si>
  <si>
    <t>GERGES SALWA</t>
  </si>
  <si>
    <t>L I C HSP</t>
  </si>
  <si>
    <t>SusanPodbielski</t>
  </si>
  <si>
    <t>spodbielski@thebridgeny.org</t>
  </si>
  <si>
    <t>JudithRosenthal</t>
  </si>
  <si>
    <t>jrosenthal@thebridgeny.org</t>
  </si>
  <si>
    <t>JeffreyWelch</t>
  </si>
  <si>
    <t>jwelch@thebridgeny.org</t>
  </si>
  <si>
    <t>1413SheridanAve</t>
  </si>
  <si>
    <t>WillieWitherspoon</t>
  </si>
  <si>
    <t>(212) 722-4350</t>
  </si>
  <si>
    <t>wwitherspoon@thebridgeny.org</t>
  </si>
  <si>
    <t>118East111thStreet</t>
  </si>
  <si>
    <t>JaszmiereWoodson</t>
  </si>
  <si>
    <t>jwoodson@thebridgeny.org</t>
  </si>
  <si>
    <t>VeronicaZephyrine</t>
  </si>
  <si>
    <t>vzephyrine@thebridgeny.org</t>
  </si>
  <si>
    <t>MichaelMerkin</t>
  </si>
  <si>
    <t>E0116195</t>
  </si>
  <si>
    <t>MERKIN MICHAEL</t>
  </si>
  <si>
    <t>MERKIN MICHAEL DR.</t>
  </si>
  <si>
    <t>Du,JinlinMD</t>
  </si>
  <si>
    <t>E0039582</t>
  </si>
  <si>
    <t>DU JINLIN MD</t>
  </si>
  <si>
    <t>DU JINLIN</t>
  </si>
  <si>
    <t>Nolan,Ann</t>
  </si>
  <si>
    <t>E0313970</t>
  </si>
  <si>
    <t>NOLAN ANN</t>
  </si>
  <si>
    <t>NOLAN ANN DR.</t>
  </si>
  <si>
    <t>Schulman,Erica</t>
  </si>
  <si>
    <t>Richdale,Kathryn</t>
  </si>
  <si>
    <t>E0325432</t>
  </si>
  <si>
    <t>RICHDALE KATHRYN</t>
  </si>
  <si>
    <t>RICHDALE KATHRYN DR.</t>
  </si>
  <si>
    <t>Wong,Thomas</t>
  </si>
  <si>
    <t>Iacono,Danielle</t>
  </si>
  <si>
    <t>Nguyen,Tracy</t>
  </si>
  <si>
    <t>Duchnowski,Eva</t>
  </si>
  <si>
    <t>Brooks,Steven,E</t>
  </si>
  <si>
    <t>E0354139</t>
  </si>
  <si>
    <t>BROOKS STEVEN ELLIOT</t>
  </si>
  <si>
    <t>BROOKS STEVEN DR.</t>
  </si>
  <si>
    <t>Ankola,Prashant</t>
  </si>
  <si>
    <t>E0365015</t>
  </si>
  <si>
    <t>ANKOLA PRASHANT</t>
  </si>
  <si>
    <t>ANKOLA PRASHANT DR.</t>
  </si>
  <si>
    <t>Lappan,Elisabeth</t>
  </si>
  <si>
    <t>E0377095</t>
  </si>
  <si>
    <t>LAPPAN ELISABETH G</t>
  </si>
  <si>
    <t>LAPPAN ELISABETH</t>
  </si>
  <si>
    <t>Pilz,Yasmine</t>
  </si>
  <si>
    <t>E0318121</t>
  </si>
  <si>
    <t>PETROSYAN TAMARA</t>
  </si>
  <si>
    <t>PETROSYAN TAMARA MRS.</t>
  </si>
  <si>
    <t>PETROSYAN TAMARA V</t>
  </si>
  <si>
    <t>Lim,Jennifer</t>
  </si>
  <si>
    <t>E0382160</t>
  </si>
  <si>
    <t>LIM JENNIFER HUI</t>
  </si>
  <si>
    <t>LIM JENNIFER</t>
  </si>
  <si>
    <t>Mallios,Jenelle</t>
  </si>
  <si>
    <t>DONALDROSS</t>
  </si>
  <si>
    <t>KRISTINROBIE</t>
  </si>
  <si>
    <t>NERLIGEBASAVARAJU</t>
  </si>
  <si>
    <t>HowardForster</t>
  </si>
  <si>
    <t>E0116082</t>
  </si>
  <si>
    <t>FORSTER HOWARD</t>
  </si>
  <si>
    <t>2928 W 36TH ST</t>
  </si>
  <si>
    <t>ZinaidaLuft</t>
  </si>
  <si>
    <t>E0115803</t>
  </si>
  <si>
    <t>LUFT ZINAIDA</t>
  </si>
  <si>
    <t>LUFT ZINAIDA DR.</t>
  </si>
  <si>
    <t>2020 CONEY ISLAND AVE FL 1</t>
  </si>
  <si>
    <t>JoliePataki</t>
  </si>
  <si>
    <t>E0096600</t>
  </si>
  <si>
    <t>PATAKI JOLIE</t>
  </si>
  <si>
    <t>PATAKI JOLIE DR.</t>
  </si>
  <si>
    <t>480 OLD WESTBURY RD</t>
  </si>
  <si>
    <t>EveSullivan</t>
  </si>
  <si>
    <t>E0014715</t>
  </si>
  <si>
    <t>SULLIVAN EVE</t>
  </si>
  <si>
    <t>SISSER SULLIVAN EVE DR.</t>
  </si>
  <si>
    <t>SULLIVAN EVE SISSER</t>
  </si>
  <si>
    <t>24302 NORTHERN BLVD</t>
  </si>
  <si>
    <t>DOUGLASTON</t>
  </si>
  <si>
    <t>RichardHoetzel</t>
  </si>
  <si>
    <t>E0268561</t>
  </si>
  <si>
    <t>HOETZEL RICHARD            MD</t>
  </si>
  <si>
    <t>HOETZEL RICHARD DR.</t>
  </si>
  <si>
    <t>HOETZEL RICHARD</t>
  </si>
  <si>
    <t>JackieBosworth</t>
  </si>
  <si>
    <t>E0323354</t>
  </si>
  <si>
    <t>BOSWORTH JACKIE</t>
  </si>
  <si>
    <t>BOSWORTH JACKIE DR.</t>
  </si>
  <si>
    <t>RhodaBerger</t>
  </si>
  <si>
    <t>E0355210</t>
  </si>
  <si>
    <t>FRIDMAN CARMELA</t>
  </si>
  <si>
    <t>2020 CONEY ISLAND AVE # 2A</t>
  </si>
  <si>
    <t>MaryLincoln</t>
  </si>
  <si>
    <t>E0203618</t>
  </si>
  <si>
    <t>LINCOLN MARY ANNA</t>
  </si>
  <si>
    <t>LINCOLN MARY</t>
  </si>
  <si>
    <t>DavidSteinberg</t>
  </si>
  <si>
    <t>E0012638</t>
  </si>
  <si>
    <t>STEINBERG DAVID</t>
  </si>
  <si>
    <t>AldoPorco</t>
  </si>
  <si>
    <t>E0356098</t>
  </si>
  <si>
    <t>PORCO ALDO</t>
  </si>
  <si>
    <t>PORCO MD ALDO</t>
  </si>
  <si>
    <t>AngelaSmith</t>
  </si>
  <si>
    <t>E0066036</t>
  </si>
  <si>
    <t>SMITH ANGELA LANTZ</t>
  </si>
  <si>
    <t>LANTZ SMITH ANGELA DR.</t>
  </si>
  <si>
    <t>TrudyRubin</t>
  </si>
  <si>
    <t>E0362327</t>
  </si>
  <si>
    <t>RUBIN TRUDY</t>
  </si>
  <si>
    <t>MichelleLatimer</t>
  </si>
  <si>
    <t>E0022357</t>
  </si>
  <si>
    <t>LATIMER MICHELLE</t>
  </si>
  <si>
    <t>LATIMER MICHELLE ANN</t>
  </si>
  <si>
    <t>RaminHodjati</t>
  </si>
  <si>
    <t>E0035641</t>
  </si>
  <si>
    <t>HODJATI RAMIN</t>
  </si>
  <si>
    <t>(917) 981-7297</t>
  </si>
  <si>
    <t>Rhodjati@isabella.org</t>
  </si>
  <si>
    <t>HODJATI RAMIN DR.</t>
  </si>
  <si>
    <t>HODJATI RAMIN MD</t>
  </si>
  <si>
    <t>ArdellaJones</t>
  </si>
  <si>
    <t>E0033928</t>
  </si>
  <si>
    <t>JONES ARDELLA MARILYN</t>
  </si>
  <si>
    <t>(917) 576-4064</t>
  </si>
  <si>
    <t>Ajones@isabella.org</t>
  </si>
  <si>
    <t>JONES ARDELLA MRS.</t>
  </si>
  <si>
    <t>DensyJohnson</t>
  </si>
  <si>
    <t>E0000788</t>
  </si>
  <si>
    <t>DENSY JOHNSON</t>
  </si>
  <si>
    <t>(914) 374-1908</t>
  </si>
  <si>
    <t>djohnson@isabella.org</t>
  </si>
  <si>
    <t>JOHNSON DENSY MRS.</t>
  </si>
  <si>
    <t>JOHNSON DENSY</t>
  </si>
  <si>
    <t>WilliamWinkler</t>
  </si>
  <si>
    <t>(212) 961-9090</t>
  </si>
  <si>
    <t>wpwl@columbia.edu</t>
  </si>
  <si>
    <t>1090AmsterdamAveSte.6D</t>
  </si>
  <si>
    <t>MayraSueroWade</t>
  </si>
  <si>
    <t>E0136009</t>
  </si>
  <si>
    <t>SUERO-WADE MAYRA DDS</t>
  </si>
  <si>
    <t>(201) 825-4554</t>
  </si>
  <si>
    <t>suerowade@aol.com</t>
  </si>
  <si>
    <t>SUERO-WADE MAYRA DR.</t>
  </si>
  <si>
    <t>SUERO-WADE MAYRA</t>
  </si>
  <si>
    <t>AdrianaRestrepo</t>
  </si>
  <si>
    <t>E0407858</t>
  </si>
  <si>
    <t>RESTREPO ADRIANA</t>
  </si>
  <si>
    <t>(201) 686-8640</t>
  </si>
  <si>
    <t>arestrepo@isabella.org</t>
  </si>
  <si>
    <t>DiannaGutman</t>
  </si>
  <si>
    <t>E0056789</t>
  </si>
  <si>
    <t>GUTMAN DIANNA VALERIA</t>
  </si>
  <si>
    <t>(646) 831-7852</t>
  </si>
  <si>
    <t>Dgutman@isabella.org</t>
  </si>
  <si>
    <t>GUTMAN DIANNA MISS</t>
  </si>
  <si>
    <t>1 PENN PLZ</t>
  </si>
  <si>
    <t>SaimaSultan</t>
  </si>
  <si>
    <t>E0000178</t>
  </si>
  <si>
    <t>SULTAN SAIMA</t>
  </si>
  <si>
    <t>(646) 285-7698</t>
  </si>
  <si>
    <t>Ssultan@isabella.org</t>
  </si>
  <si>
    <t>SULTAN SAIMA DR.</t>
  </si>
  <si>
    <t>DavidEmanuel</t>
  </si>
  <si>
    <t>(201) 669-0841</t>
  </si>
  <si>
    <t>Demanuel@isabella.org</t>
  </si>
  <si>
    <t>515AudubonAve</t>
  </si>
  <si>
    <t>FrankReyes</t>
  </si>
  <si>
    <t>(914) 275-6114</t>
  </si>
  <si>
    <t>frankereyes@aol.com</t>
  </si>
  <si>
    <t>SylviaSimmons</t>
  </si>
  <si>
    <t>E0318637</t>
  </si>
  <si>
    <t>SIMMONS SYLVIA</t>
  </si>
  <si>
    <t>(917) 295-7916</t>
  </si>
  <si>
    <t>ssmmns21203@hotmail.com</t>
  </si>
  <si>
    <t>MarkButhorn</t>
  </si>
  <si>
    <t>markburthorn@aol.com</t>
  </si>
  <si>
    <t>BUTHORN MARK</t>
  </si>
  <si>
    <t>300 OLD COUNTRY ROAD, SUITE 340</t>
  </si>
  <si>
    <t>WilliamFlorio</t>
  </si>
  <si>
    <t>E0223933</t>
  </si>
  <si>
    <t>FLORIO WILLIAM T MD</t>
  </si>
  <si>
    <t>Dr.Florio</t>
  </si>
  <si>
    <t>(718) 836-2460</t>
  </si>
  <si>
    <t>billflorio@msn.com</t>
  </si>
  <si>
    <t>FLORIO WILLIAM DR.</t>
  </si>
  <si>
    <t>MauriceJohnson</t>
  </si>
  <si>
    <t>E0343865</t>
  </si>
  <si>
    <t>MAURICE C JOHNSON MD PC</t>
  </si>
  <si>
    <t>Dr.Johnson</t>
  </si>
  <si>
    <t>(718) 774-3950</t>
  </si>
  <si>
    <t>mcjohnsonmdpc618@hotmail.comPhysician</t>
  </si>
  <si>
    <t>MAURICE C JOHNSON, MD PC</t>
  </si>
  <si>
    <t>618 SCHENECTADY AVE</t>
  </si>
  <si>
    <t>WarrenGoodman,D.P.M.,F.A.C.F.O</t>
  </si>
  <si>
    <t>E0209331</t>
  </si>
  <si>
    <t>GOODMAN WARREN JAY DPM</t>
  </si>
  <si>
    <t>GOODMAN WARREN</t>
  </si>
  <si>
    <t>380 AVE STE12</t>
  </si>
  <si>
    <t>CindyYueh,M.D.</t>
  </si>
  <si>
    <t>E0369267</t>
  </si>
  <si>
    <t>YUEH CINDY TSAI-ZUNG</t>
  </si>
  <si>
    <t>YUEH CINDY</t>
  </si>
  <si>
    <t>EliyahuKopstick</t>
  </si>
  <si>
    <t>E0025075</t>
  </si>
  <si>
    <t>KOPSTICK ELIYAHU SAMUEL MD</t>
  </si>
  <si>
    <t>KOPSTICK ELIYAHU DR.</t>
  </si>
  <si>
    <t>KOPSTICK ELIYAHU SAMUEL</t>
  </si>
  <si>
    <t>2315 VICTORY BLVD</t>
  </si>
  <si>
    <t>NevenNassif</t>
  </si>
  <si>
    <t>E0314697</t>
  </si>
  <si>
    <t>NASSIF NEVEN IBRAHIM</t>
  </si>
  <si>
    <t>NASSIF NEVEN DR.</t>
  </si>
  <si>
    <t>JoelBlush</t>
  </si>
  <si>
    <t>E0018068</t>
  </si>
  <si>
    <t>BLUSH JOEL A MD</t>
  </si>
  <si>
    <t>BLUSH JOEL</t>
  </si>
  <si>
    <t>BLUSH JOEL A</t>
  </si>
  <si>
    <t>ShyeWortman</t>
  </si>
  <si>
    <t>E0128584</t>
  </si>
  <si>
    <t>WORTMAN SHYE S MD</t>
  </si>
  <si>
    <t>WORTMAN SHYE DR.</t>
  </si>
  <si>
    <t>UNIV PHYS GRP PC</t>
  </si>
  <si>
    <t>LouisEmmer</t>
  </si>
  <si>
    <t>E0030511</t>
  </si>
  <si>
    <t>EMMER LOUIS MARK MD</t>
  </si>
  <si>
    <t>EMMER LOUIS DR.</t>
  </si>
  <si>
    <t>EMMER LOUIS MARK</t>
  </si>
  <si>
    <t>NirupamaParikh</t>
  </si>
  <si>
    <t>E0125478</t>
  </si>
  <si>
    <t>PARIKH NIRUPAMA</t>
  </si>
  <si>
    <t>SINGH PARIKH NIRUPAMA DR.</t>
  </si>
  <si>
    <t>JonathanWeber</t>
  </si>
  <si>
    <t>E0102258</t>
  </si>
  <si>
    <t>WEBER JONATHAN</t>
  </si>
  <si>
    <t>191 BRADLEY AVE</t>
  </si>
  <si>
    <t>CatherineGuidera</t>
  </si>
  <si>
    <t>E0016162</t>
  </si>
  <si>
    <t>GUIDERA CATHERINE NP</t>
  </si>
  <si>
    <t>GUIDERA CATHERINE</t>
  </si>
  <si>
    <t>HaroldMilstein</t>
  </si>
  <si>
    <t>E0236543</t>
  </si>
  <si>
    <t>MILSTEIN HAROLD            MD</t>
  </si>
  <si>
    <t>MILSTEIN HAROLD</t>
  </si>
  <si>
    <t>153 PIERREPONT ST</t>
  </si>
  <si>
    <t>MaryBraza</t>
  </si>
  <si>
    <t>E0337294</t>
  </si>
  <si>
    <t>BRAZA MARY</t>
  </si>
  <si>
    <t>BRAZA MARY DR.</t>
  </si>
  <si>
    <t>BRAZA MARY ELIZABETH</t>
  </si>
  <si>
    <t>BerthaJohn</t>
  </si>
  <si>
    <t>E0059689</t>
  </si>
  <si>
    <t>JOHN BERTHA</t>
  </si>
  <si>
    <t>JOHN BERTHA DR.</t>
  </si>
  <si>
    <t>JOHN BERTHA ALISON</t>
  </si>
  <si>
    <t>EdgarCamargo</t>
  </si>
  <si>
    <t>E0080863</t>
  </si>
  <si>
    <t>CAMARGO EDGAR MD</t>
  </si>
  <si>
    <t>CAMARGO EDGAR DR.</t>
  </si>
  <si>
    <t>DOWNTOWN FAMILY CNTR</t>
  </si>
  <si>
    <t>JaimeLopez-Santini</t>
  </si>
  <si>
    <t>E0103011</t>
  </si>
  <si>
    <t>LOPEZ-SANTINI JAIME</t>
  </si>
  <si>
    <t>LOPEZ-SANTINI JAIME DR.</t>
  </si>
  <si>
    <t>LOPEZ-SANTINI JAIME FRANCISCO</t>
  </si>
  <si>
    <t>JohnPoff</t>
  </si>
  <si>
    <t>E0121782</t>
  </si>
  <si>
    <t>POFF JOHN EDWARD</t>
  </si>
  <si>
    <t>POFF JOHN</t>
  </si>
  <si>
    <t>ChristineHeslop</t>
  </si>
  <si>
    <t>E0208879</t>
  </si>
  <si>
    <t>HESLOP CHRISTINE CNM</t>
  </si>
  <si>
    <t>HESLOP CHRISTINE MS.</t>
  </si>
  <si>
    <t>DavidW.Brook</t>
  </si>
  <si>
    <t>BROOK DAVID</t>
  </si>
  <si>
    <t>215 LEXINGTON AVE, 15TH FLOOR</t>
  </si>
  <si>
    <t>ViktoriyaKhaitova</t>
  </si>
  <si>
    <t>E0370572</t>
  </si>
  <si>
    <t>KHAITOVA VIKTORIYA</t>
  </si>
  <si>
    <t>BetsyKoickel</t>
  </si>
  <si>
    <t>JenniferV.Charles</t>
  </si>
  <si>
    <t>CHARLES JENNIFER MRS.</t>
  </si>
  <si>
    <t>ONE GUSTAVE LEVY PLACE, BOX 1059</t>
  </si>
  <si>
    <t>KarinaChu</t>
  </si>
  <si>
    <t>E0446717</t>
  </si>
  <si>
    <t>CHU KARINA</t>
  </si>
  <si>
    <t>EricaM.Tuggey</t>
  </si>
  <si>
    <t>E0363655</t>
  </si>
  <si>
    <t>TUGGEY ERICA M</t>
  </si>
  <si>
    <t>TUGGEY ERICA</t>
  </si>
  <si>
    <t>1440 MADISON AVE</t>
  </si>
  <si>
    <t>DanielKoblentz</t>
  </si>
  <si>
    <t>E0271138</t>
  </si>
  <si>
    <t>KOBLENTZ DANIEL E          MD</t>
  </si>
  <si>
    <t>KOBLENTZ DANIEL</t>
  </si>
  <si>
    <t>1150 5TH AVE</t>
  </si>
  <si>
    <t>Singh,SimarjitMD</t>
  </si>
  <si>
    <t>E0336227</t>
  </si>
  <si>
    <t>SINGH SIMARJIT</t>
  </si>
  <si>
    <t>Leroy-Sterling,MarilynNP</t>
  </si>
  <si>
    <t>E0338114</t>
  </si>
  <si>
    <t>LEROY-STERLING MARILYN</t>
  </si>
  <si>
    <t>Osherov,Gregori</t>
  </si>
  <si>
    <t>E0382157</t>
  </si>
  <si>
    <t>OSHEROV GREGORI</t>
  </si>
  <si>
    <t>Sukhija,Serena</t>
  </si>
  <si>
    <t>E0382148</t>
  </si>
  <si>
    <t>SUKHIJA SERENA BALU</t>
  </si>
  <si>
    <t>SUKHIJA SERENA</t>
  </si>
  <si>
    <t>Fetkin,Sheree</t>
  </si>
  <si>
    <t>E0382135</t>
  </si>
  <si>
    <t>FETKIN SHEREE A</t>
  </si>
  <si>
    <t>FETKIN SHEREE</t>
  </si>
  <si>
    <t>E0382081</t>
  </si>
  <si>
    <t>FREESE ALI MIATELLE</t>
  </si>
  <si>
    <t>FREESE ALI DR.</t>
  </si>
  <si>
    <t>Phan,Tyler</t>
  </si>
  <si>
    <t>E0085432</t>
  </si>
  <si>
    <t>PASS LISA K PHD</t>
  </si>
  <si>
    <t>PASS LISA DR.</t>
  </si>
  <si>
    <t>Uy,GuillermoMD</t>
  </si>
  <si>
    <t>E0283572</t>
  </si>
  <si>
    <t>UY GUILLERMO M MD</t>
  </si>
  <si>
    <t>UY GUILLERMO</t>
  </si>
  <si>
    <t>UY GUILLERMO MANALANG</t>
  </si>
  <si>
    <t>Tomlinson,DanielMD</t>
  </si>
  <si>
    <t>E0013421</t>
  </si>
  <si>
    <t>TOMLINSON DANIEL P MD</t>
  </si>
  <si>
    <t>TOMLINSON DANIEL</t>
  </si>
  <si>
    <t>Sethi,GurvinderMD</t>
  </si>
  <si>
    <t>E0013311</t>
  </si>
  <si>
    <t>SETHI GURVINDER MD</t>
  </si>
  <si>
    <t>SETHI GURVINDER</t>
  </si>
  <si>
    <t>40 CROSSWAYS PARK DR</t>
  </si>
  <si>
    <t>Ferraiolo,JessicaPA-C</t>
  </si>
  <si>
    <t>E0011981</t>
  </si>
  <si>
    <t>FERRAIOLO JESSICA RPA</t>
  </si>
  <si>
    <t>FERRAIOLO JESSICA</t>
  </si>
  <si>
    <t>FERRAIOLO JESSICA LYNN</t>
  </si>
  <si>
    <t>Iannitti-Hukse,AngelaMD</t>
  </si>
  <si>
    <t>E0011753</t>
  </si>
  <si>
    <t>IANNITTI-HULSE IANNITTI-H</t>
  </si>
  <si>
    <t>IANNITTI-HULSE ANGELA</t>
  </si>
  <si>
    <t>IANNITTI-HULSE ANGELA MD</t>
  </si>
  <si>
    <t>AnitaSingal</t>
  </si>
  <si>
    <t>E0383546</t>
  </si>
  <si>
    <t>SINGAL ANITA</t>
  </si>
  <si>
    <t>SINGAL ANITA DR.</t>
  </si>
  <si>
    <t>MadelineJack</t>
  </si>
  <si>
    <t>E0054597</t>
  </si>
  <si>
    <t>JACK MADELINE</t>
  </si>
  <si>
    <t>JACK MADELINE J</t>
  </si>
  <si>
    <t>EmmettRobinson</t>
  </si>
  <si>
    <t>ReenaAgarwal</t>
  </si>
  <si>
    <t>RobertTasca</t>
  </si>
  <si>
    <t>E0039557</t>
  </si>
  <si>
    <t>TASCA ROBERT</t>
  </si>
  <si>
    <t>TASCA ROBERT R</t>
  </si>
  <si>
    <t>Pidkaminetskiy,VasylMD</t>
  </si>
  <si>
    <t>E0336368</t>
  </si>
  <si>
    <t>PIDKAMINETSKIY VASYL</t>
  </si>
  <si>
    <t>PIDKAMINETSKIY VASYL DR.</t>
  </si>
  <si>
    <t>Kauffman,AmyMD</t>
  </si>
  <si>
    <t>E0336373</t>
  </si>
  <si>
    <t>KAUFFMAN AMY</t>
  </si>
  <si>
    <t>Shah,ParthMD</t>
  </si>
  <si>
    <t>E0336375</t>
  </si>
  <si>
    <t>Fishman,OlgaMD</t>
  </si>
  <si>
    <t>E0011486</t>
  </si>
  <si>
    <t>FISHMAN OLGA MD</t>
  </si>
  <si>
    <t>FISHMAN OLGA DR.</t>
  </si>
  <si>
    <t>RichardGold</t>
  </si>
  <si>
    <t>MohammadAhsan</t>
  </si>
  <si>
    <t>MargaretMiller</t>
  </si>
  <si>
    <t>(718) 906-6704</t>
  </si>
  <si>
    <t>ChonaArenas</t>
  </si>
  <si>
    <t>(718) 906-6705</t>
  </si>
  <si>
    <t>PaulineSmith</t>
  </si>
  <si>
    <t>(718) 906-6707</t>
  </si>
  <si>
    <t>JamesReichert</t>
  </si>
  <si>
    <t>YelanaShvets</t>
  </si>
  <si>
    <t>(718) 906-6709</t>
  </si>
  <si>
    <t>AmyCohen</t>
  </si>
  <si>
    <t>(718) 906-6706</t>
  </si>
  <si>
    <t>JanineFiorello</t>
  </si>
  <si>
    <t>BarbaraWells</t>
  </si>
  <si>
    <t>(718) 906-6710</t>
  </si>
  <si>
    <t>EvelynTwohig</t>
  </si>
  <si>
    <t>(718) 906-6703</t>
  </si>
  <si>
    <t>FervicSalvacion,PT</t>
  </si>
  <si>
    <t>E0367597</t>
  </si>
  <si>
    <t>SALVACION FERVIC MORANTE</t>
  </si>
  <si>
    <t>SALVACION FERVIC</t>
  </si>
  <si>
    <t>Krumholtz,Ira</t>
  </si>
  <si>
    <t>Krisel,AngelaPA-C</t>
  </si>
  <si>
    <t>E0017954</t>
  </si>
  <si>
    <t>KRISEL ANGELA RPA</t>
  </si>
  <si>
    <t>KRISEL ANGELA</t>
  </si>
  <si>
    <t>Hujus,AmyPA-C</t>
  </si>
  <si>
    <t>E0017236</t>
  </si>
  <si>
    <t>HUJUS AMY RPA</t>
  </si>
  <si>
    <t>HUJUS AMY</t>
  </si>
  <si>
    <t>Yeddu,MriliniMD</t>
  </si>
  <si>
    <t>E0015362</t>
  </si>
  <si>
    <t>YEDDU MRILINI MARTHAMOSES MD</t>
  </si>
  <si>
    <t>YEDDU MRILINI DR.</t>
  </si>
  <si>
    <t>WaiYinLeung</t>
  </si>
  <si>
    <t>E0017063</t>
  </si>
  <si>
    <t>LEUNG WAI YIN NP</t>
  </si>
  <si>
    <t>LEUNG WAI-YIN</t>
  </si>
  <si>
    <t>SinhT.Ta</t>
  </si>
  <si>
    <t>TA SINH DR.</t>
  </si>
  <si>
    <t>15 E 91 ST</t>
  </si>
  <si>
    <t>ElizabethG.Loran</t>
  </si>
  <si>
    <t>LORAN ELIZABETH</t>
  </si>
  <si>
    <t>622 WEST 168TH STREET, COLUMBIA PRESBYTERIAN MEDICAL CENTER,</t>
  </si>
  <si>
    <t>DavidRivera</t>
  </si>
  <si>
    <t>drivera@thebridgeny.org</t>
  </si>
  <si>
    <t>1795LexingtonAve</t>
  </si>
  <si>
    <t>LindaGrunbaum</t>
  </si>
  <si>
    <t>lgrunbaum@thebridgeny.org</t>
  </si>
  <si>
    <t>GRUNBAUM LINDA</t>
  </si>
  <si>
    <t>310 W END AVE # 12A</t>
  </si>
  <si>
    <t>LisaFerrari</t>
  </si>
  <si>
    <t>E0021336</t>
  </si>
  <si>
    <t>SULLIVAN LISA</t>
  </si>
  <si>
    <t>lferrari@thebridgeny.org</t>
  </si>
  <si>
    <t>FERRARI LISA MS.</t>
  </si>
  <si>
    <t>CaroleRoc</t>
  </si>
  <si>
    <t>E0007710</t>
  </si>
  <si>
    <t>ROC CAROLE MARIE MD</t>
  </si>
  <si>
    <t>ROC CAROLE</t>
  </si>
  <si>
    <t>ROC CAROLE MARIE CARMELLE</t>
  </si>
  <si>
    <t>ChristinaCruz</t>
  </si>
  <si>
    <t>E0382778</t>
  </si>
  <si>
    <t>CRUZ CHRISTINA</t>
  </si>
  <si>
    <t>CRUZ CHRISTINA DR.</t>
  </si>
  <si>
    <t>CRUZ CHRISTINA MARIE</t>
  </si>
  <si>
    <t>Modica,Patricia</t>
  </si>
  <si>
    <t>Mozlin,Rochelle</t>
  </si>
  <si>
    <t>E0088649</t>
  </si>
  <si>
    <t>MOZLIN ROCHELLE</t>
  </si>
  <si>
    <t>AllaPlotkina</t>
  </si>
  <si>
    <t>E0107481</t>
  </si>
  <si>
    <t>PLOTKINA ALLA M MD</t>
  </si>
  <si>
    <t>PLOTKINA ALLA DR.</t>
  </si>
  <si>
    <t>702 OCEAN PKWY</t>
  </si>
  <si>
    <t>MicheleFeldman,L.C.S.W.</t>
  </si>
  <si>
    <t>E0422990</t>
  </si>
  <si>
    <t>FELDMAN MICHELE D</t>
  </si>
  <si>
    <t>FELDMAN MICHELE</t>
  </si>
  <si>
    <t>AlexanderLipovtsev,L.M.S.W.</t>
  </si>
  <si>
    <t>LIPOVTSEV ALEXANDER</t>
  </si>
  <si>
    <t>205 W 119TH ST, 6-E</t>
  </si>
  <si>
    <t>MichaelBehar</t>
  </si>
  <si>
    <t>E0229107</t>
  </si>
  <si>
    <t>BEHAR MICHAEL STEPHAN      MD</t>
  </si>
  <si>
    <t>BEHAR MICHAEL DR.</t>
  </si>
  <si>
    <t>RogerHarris</t>
  </si>
  <si>
    <t>E0184741</t>
  </si>
  <si>
    <t>HARRIS ROGER MD</t>
  </si>
  <si>
    <t>HARRIS ROGER DR.</t>
  </si>
  <si>
    <t>RamaseshuAnne,M.D.</t>
  </si>
  <si>
    <t>E0077151</t>
  </si>
  <si>
    <t>RAMASESHU ANNE MD</t>
  </si>
  <si>
    <t>ANNE RAMASESHU DR.</t>
  </si>
  <si>
    <t>SO NASSAU COMM HSP</t>
  </si>
  <si>
    <t>VatcharapanUmpaichitra,M.D.</t>
  </si>
  <si>
    <t>E0065109</t>
  </si>
  <si>
    <t>UMPAICHITRA VATCHARAPAN MD</t>
  </si>
  <si>
    <t>UMPAICHITRA VATCHARAPAN</t>
  </si>
  <si>
    <t>StuartO.Schecter</t>
  </si>
  <si>
    <t>E0143427</t>
  </si>
  <si>
    <t>SCHECTER STUART O MD</t>
  </si>
  <si>
    <t>SCHECTER STUART</t>
  </si>
  <si>
    <t>KumudJindal</t>
  </si>
  <si>
    <t>E0043291</t>
  </si>
  <si>
    <t>JINDAL KUMUD BANDHU MD</t>
  </si>
  <si>
    <t>(917) 365-7082</t>
  </si>
  <si>
    <t>Kjindal@isabella.org</t>
  </si>
  <si>
    <t>JINDAL KUMUD DR.</t>
  </si>
  <si>
    <t>Cuevas,Asima</t>
  </si>
  <si>
    <t>Jurman,Marlene</t>
  </si>
  <si>
    <t>E0034911</t>
  </si>
  <si>
    <t>JURMAN MARLENE</t>
  </si>
  <si>
    <t>32 W 42ND ST RM 1029</t>
  </si>
  <si>
    <t>RebeccaAngler,R.N.</t>
  </si>
  <si>
    <t>E0347084</t>
  </si>
  <si>
    <t>ANGLER REBECCA ALISON</t>
  </si>
  <si>
    <t>ANGLER REBECCA</t>
  </si>
  <si>
    <t>KathrynButvick,Ph.D.,RNC</t>
  </si>
  <si>
    <t>E0347618</t>
  </si>
  <si>
    <t>BUTVICK KATHRYN MAHER</t>
  </si>
  <si>
    <t>BUTVICK KATHRYN</t>
  </si>
  <si>
    <t>AnneHalligan-Luca,R.N.</t>
  </si>
  <si>
    <t>E0348385</t>
  </si>
  <si>
    <t>HALLIGAN-LUCA ANNE ROSE</t>
  </si>
  <si>
    <t>HALLIGAN-LUCA ANNE</t>
  </si>
  <si>
    <t>AsiyaKabir,M.D.</t>
  </si>
  <si>
    <t>E0351046</t>
  </si>
  <si>
    <t>KABIR ASIYA</t>
  </si>
  <si>
    <t>KABIR ASIYA DR.</t>
  </si>
  <si>
    <t>RadiantSmalls,R.N.</t>
  </si>
  <si>
    <t>SMALLS RADIANT MR.</t>
  </si>
  <si>
    <t>AdamKaufman,MD</t>
  </si>
  <si>
    <t>E0364999</t>
  </si>
  <si>
    <t>KAUFMAN ADAM S</t>
  </si>
  <si>
    <t>(212) 876-6083</t>
  </si>
  <si>
    <t>akaufman@mhaofnyc.org</t>
  </si>
  <si>
    <t>KAUFMAN ADAM</t>
  </si>
  <si>
    <t>KAUFMAN ADAM SETH</t>
  </si>
  <si>
    <t>EllaAverbukh,M.S.,CCC-SLP</t>
  </si>
  <si>
    <t>E0018000</t>
  </si>
  <si>
    <t>AVERBUKH ELLA SLP</t>
  </si>
  <si>
    <t>AVERBUKH ELLA</t>
  </si>
  <si>
    <t>AmberChaves,OTR/L</t>
  </si>
  <si>
    <t>E0015696</t>
  </si>
  <si>
    <t>CHAVES AMBER ELIZABETH RUTH</t>
  </si>
  <si>
    <t>CHAVES AMBER</t>
  </si>
  <si>
    <t>NoreenLagman,B.S.P.T.</t>
  </si>
  <si>
    <t>E0013987</t>
  </si>
  <si>
    <t>LAGMAN NOREEN DIMATULAC</t>
  </si>
  <si>
    <t>LAGMAN NOREEN</t>
  </si>
  <si>
    <t>JasminaTyson</t>
  </si>
  <si>
    <t>E0366612</t>
  </si>
  <si>
    <t>TYSON JASMINA</t>
  </si>
  <si>
    <t>TYSON JASMINA MRS.</t>
  </si>
  <si>
    <t>5E 98TH ST FL 9</t>
  </si>
  <si>
    <t>LuisFagundes</t>
  </si>
  <si>
    <t>lfagundes@thebridgeny.org</t>
  </si>
  <si>
    <t>FAGUNDES LUIS MR.</t>
  </si>
  <si>
    <t>PialiDas</t>
  </si>
  <si>
    <t>E0073238</t>
  </si>
  <si>
    <t>DAS PIALI</t>
  </si>
  <si>
    <t>pdas@thebridgeny.org</t>
  </si>
  <si>
    <t>DAS PIALI DR.</t>
  </si>
  <si>
    <t>DAS PIALI MURKHERJEE MD</t>
  </si>
  <si>
    <t>SharonGold</t>
  </si>
  <si>
    <t>E0346745</t>
  </si>
  <si>
    <t>PLAUE SHARON GOLD</t>
  </si>
  <si>
    <t>sgold@thebridgeny.org</t>
  </si>
  <si>
    <t>GOLD PLAUE SHARON</t>
  </si>
  <si>
    <t>JanetVanatko</t>
  </si>
  <si>
    <t>jvanatko@thebridgeny.org</t>
  </si>
  <si>
    <t>VANATKO JANET</t>
  </si>
  <si>
    <t>Denis,LuniqueMD</t>
  </si>
  <si>
    <t>E0364046</t>
  </si>
  <si>
    <t>DENIS LUNIQUE</t>
  </si>
  <si>
    <t>Hines,ScottMD</t>
  </si>
  <si>
    <t>E0024438</t>
  </si>
  <si>
    <t>HINES SCOTT T MD</t>
  </si>
  <si>
    <t>HINES SCOTT</t>
  </si>
  <si>
    <t>HINES SCOTT THOMAS</t>
  </si>
  <si>
    <t>MirnaSambula,L.M.S.W.</t>
  </si>
  <si>
    <t>SAMBULA MIRNA</t>
  </si>
  <si>
    <t>RachelleVeasley,L.M.S.W.</t>
  </si>
  <si>
    <t>EmelyVelez,L.M.S.W.</t>
  </si>
  <si>
    <t>VELEZ EMELY MS.</t>
  </si>
  <si>
    <t>LarisaCorrea,L.M.S.W.</t>
  </si>
  <si>
    <t>CORREA LARISA MS.</t>
  </si>
  <si>
    <t>DeborahOrlan-Marcus,M.S.,CCC-A</t>
  </si>
  <si>
    <t>ORLAN-MARCUS DEBORAH</t>
  </si>
  <si>
    <t>185 CEDAR LN, U5</t>
  </si>
  <si>
    <t>KayleighKohnke,L.M.S.W.</t>
  </si>
  <si>
    <t>KOHNKE KAYLEIGH</t>
  </si>
  <si>
    <t>37 PARK AVE</t>
  </si>
  <si>
    <t>AlisonNyman,L.M.S.W.</t>
  </si>
  <si>
    <t>NYMAN ALISON</t>
  </si>
  <si>
    <t>131 E 23RD ST APT 11D</t>
  </si>
  <si>
    <t>DavidShuster,D.P.M.</t>
  </si>
  <si>
    <t>StevenDivack,M.D.</t>
  </si>
  <si>
    <t>E0247285</t>
  </si>
  <si>
    <t>DIVACK STEVEN MARC         MD</t>
  </si>
  <si>
    <t>DIVACK STEVEN DR.</t>
  </si>
  <si>
    <t>DIVACK STEVEN MARC</t>
  </si>
  <si>
    <t>135 EASTERN PKWY</t>
  </si>
  <si>
    <t>MitraRezvani</t>
  </si>
  <si>
    <t>E0042162</t>
  </si>
  <si>
    <t>REZVANI MITRA MD</t>
  </si>
  <si>
    <t>(917) 873-7995</t>
  </si>
  <si>
    <t>Mrezvani@isabella.org</t>
  </si>
  <si>
    <t>REZVANI MITRA DR.</t>
  </si>
  <si>
    <t>UNIV MED PRAC ASSOC</t>
  </si>
  <si>
    <t>Ritter,Steven</t>
  </si>
  <si>
    <t>Tannen,Barry</t>
  </si>
  <si>
    <t>E0088634</t>
  </si>
  <si>
    <t>TANNEN BARRY</t>
  </si>
  <si>
    <t>TANNEN BARRY DR.</t>
  </si>
  <si>
    <t>TANNEN BARRY M</t>
  </si>
  <si>
    <t>Vricella,Marilyn</t>
  </si>
  <si>
    <t>E0088633</t>
  </si>
  <si>
    <t>VRICELLA MARILYN</t>
  </si>
  <si>
    <t>Dayan,Alan</t>
  </si>
  <si>
    <t>Alianakian,Rosine</t>
  </si>
  <si>
    <t>E0058587</t>
  </si>
  <si>
    <t>ALIANAKIAN ROSINE</t>
  </si>
  <si>
    <t>ALIANAKIAN ROSINE DR.</t>
  </si>
  <si>
    <t>Ngo,Tammy</t>
  </si>
  <si>
    <t>Han,MyoungHee</t>
  </si>
  <si>
    <t>E0055896</t>
  </si>
  <si>
    <t>HAN MYOUNG</t>
  </si>
  <si>
    <t>HAN MYOUNG HEE DR.</t>
  </si>
  <si>
    <t>Carter,Tanya</t>
  </si>
  <si>
    <t>E0055778</t>
  </si>
  <si>
    <t>CARTER TANYA</t>
  </si>
  <si>
    <t>Steiner,Audra</t>
  </si>
  <si>
    <t>Yang,Andrea</t>
  </si>
  <si>
    <t>ChristinaHollingsworth</t>
  </si>
  <si>
    <t>E0360750</t>
  </si>
  <si>
    <t>HOLLINGSWORTH CHRISTINA E</t>
  </si>
  <si>
    <t>HOLLINGSWORTH CHRISTINA MS.</t>
  </si>
  <si>
    <t>2384 ATLANTIC AVE</t>
  </si>
  <si>
    <t>BrighidGannon</t>
  </si>
  <si>
    <t>E0370112</t>
  </si>
  <si>
    <t>GANNON BRIGHID ARMSTRONG</t>
  </si>
  <si>
    <t>GANNON BRIGHID</t>
  </si>
  <si>
    <t>8 INDEPENDENCE DR</t>
  </si>
  <si>
    <t>MANHASSET HILLS</t>
  </si>
  <si>
    <t>JeanieTse</t>
  </si>
  <si>
    <t>E0322031</t>
  </si>
  <si>
    <t>TSE JEANIE</t>
  </si>
  <si>
    <t>TSE JEANIE DR.</t>
  </si>
  <si>
    <t>817 BROADWAY FL 9</t>
  </si>
  <si>
    <t>KarenLoberas,OTR/L</t>
  </si>
  <si>
    <t>E0363895</t>
  </si>
  <si>
    <t>LOBERAS KAREN KATHERINE CAPISTRANO</t>
  </si>
  <si>
    <t>LOBERAS KAREN</t>
  </si>
  <si>
    <t>AprilRaiford,PT</t>
  </si>
  <si>
    <t>E0346718</t>
  </si>
  <si>
    <t>RAIFORD APRIL ALCENIA</t>
  </si>
  <si>
    <t>RAIFORD APRIL MS.</t>
  </si>
  <si>
    <t>3364 NOSTRAND AVE</t>
  </si>
  <si>
    <t>ChristinaChoi,OTR/L</t>
  </si>
  <si>
    <t>E0347099</t>
  </si>
  <si>
    <t>CHOI CHRISTINA</t>
  </si>
  <si>
    <t>JacarandaChapaJosephs,OTR/L</t>
  </si>
  <si>
    <t>E0347102</t>
  </si>
  <si>
    <t>CHAPA JOSEPHS JACARANDA</t>
  </si>
  <si>
    <t>MaureenCarlos,PT</t>
  </si>
  <si>
    <t>E0347131</t>
  </si>
  <si>
    <t>CARLOS MAUREEN ANN BARLAAN</t>
  </si>
  <si>
    <t>CARLOS MAUREEN ANN MRS.</t>
  </si>
  <si>
    <t>CherylPernes,DPT</t>
  </si>
  <si>
    <t>E0350299</t>
  </si>
  <si>
    <t>PERNES CHERYL PALAFOX</t>
  </si>
  <si>
    <t>PERNES CHERYL MS.</t>
  </si>
  <si>
    <t>KyriakiSpiridis,M.S.,CCC-SLP</t>
  </si>
  <si>
    <t>E0351194</t>
  </si>
  <si>
    <t>SPIRIDIS KYRIAKI KIKI</t>
  </si>
  <si>
    <t>SPIRIDIS KYRIAKI</t>
  </si>
  <si>
    <t>17 GUILFORD RD</t>
  </si>
  <si>
    <t>LauraFischer,M.A.,CCC-SLP</t>
  </si>
  <si>
    <t>E0354998</t>
  </si>
  <si>
    <t>FISCHER LAURA MEYERS</t>
  </si>
  <si>
    <t>FISCHER LAURA</t>
  </si>
  <si>
    <t>MagdaliniKasimis,M.A.,CCC-SLP</t>
  </si>
  <si>
    <t>E0355861</t>
  </si>
  <si>
    <t>KASIMIS MAGDALINI</t>
  </si>
  <si>
    <t>Abankwah,Akosua,ANP</t>
  </si>
  <si>
    <t>E0312098</t>
  </si>
  <si>
    <t>ABANKWAH AKOSUA SARPOMAA</t>
  </si>
  <si>
    <t>ABANKWAH AKOSUA</t>
  </si>
  <si>
    <t>1824 MADISON AVENUE</t>
  </si>
  <si>
    <t>LaraOboler</t>
  </si>
  <si>
    <t>E0018958</t>
  </si>
  <si>
    <t>OBOLER LARA S MD</t>
  </si>
  <si>
    <t>OBOLER LARA</t>
  </si>
  <si>
    <t>AnnaHolmgren</t>
  </si>
  <si>
    <t>E0052512</t>
  </si>
  <si>
    <t>HOLMGREN ANNA</t>
  </si>
  <si>
    <t>HOLMGREN ANNA DR.</t>
  </si>
  <si>
    <t>SylvesterEvangalistia</t>
  </si>
  <si>
    <t>E0079323</t>
  </si>
  <si>
    <t>EVANGELISTA SYLVESTER ANTHONY</t>
  </si>
  <si>
    <t>EVANGELISTA SYLVESTER DR.</t>
  </si>
  <si>
    <t>ChetnaKothari</t>
  </si>
  <si>
    <t>E0159699</t>
  </si>
  <si>
    <t>KOTHARI CHETNA A MD</t>
  </si>
  <si>
    <t>(516) 572-6177</t>
  </si>
  <si>
    <t>KOTHARI CHETNA</t>
  </si>
  <si>
    <t>YitzhakTwersky</t>
  </si>
  <si>
    <t>E0172428</t>
  </si>
  <si>
    <t>TWERSKY YITZHAK DAVID  MD</t>
  </si>
  <si>
    <t>(516) 371-1973</t>
  </si>
  <si>
    <t>TWERSKY YITZHAK DR.</t>
  </si>
  <si>
    <t>Fekete,ZoltanMDPHD</t>
  </si>
  <si>
    <t>E0038698</t>
  </si>
  <si>
    <t>FEKETE ZOLTAN MD</t>
  </si>
  <si>
    <t>FEKETE ZOLTAN</t>
  </si>
  <si>
    <t>Selbo,ScotMD</t>
  </si>
  <si>
    <t>E0038697</t>
  </si>
  <si>
    <t>SELBO SCOT T MD</t>
  </si>
  <si>
    <t>SELBO SCOT</t>
  </si>
  <si>
    <t>Robertson,KarynPA</t>
  </si>
  <si>
    <t>E0038427</t>
  </si>
  <si>
    <t>ROBERTSON KARYN F RPA</t>
  </si>
  <si>
    <t>ROBERTSON KARYN MS.</t>
  </si>
  <si>
    <t>Nelson,JulianMD,FAAP</t>
  </si>
  <si>
    <t>E0038342</t>
  </si>
  <si>
    <t>NELSON JULIAN T MD</t>
  </si>
  <si>
    <t>NELSON JULIAN</t>
  </si>
  <si>
    <t>NELSON JULIAN TAMARO</t>
  </si>
  <si>
    <t>CRYSTAL RUN LLP</t>
  </si>
  <si>
    <t>Tawil,RashmiPMD</t>
  </si>
  <si>
    <t>E0038160</t>
  </si>
  <si>
    <t>TAWIL RASHMI P MD</t>
  </si>
  <si>
    <t>TAWIL RASHMI</t>
  </si>
  <si>
    <t>Sacks,SandraMD</t>
  </si>
  <si>
    <t>E0038144</t>
  </si>
  <si>
    <t>SACKS SANDRA MD</t>
  </si>
  <si>
    <t>SACKS SANDRA</t>
  </si>
  <si>
    <t>LONG ISLAND PLASTIC</t>
  </si>
  <si>
    <t>Quilatan,RomeoMD</t>
  </si>
  <si>
    <t>E0019674</t>
  </si>
  <si>
    <t>QUILATAN ROMEO L JR MD</t>
  </si>
  <si>
    <t>QUILATAN ROMEO</t>
  </si>
  <si>
    <t>QUILATAN ROMEO LABUTONG</t>
  </si>
  <si>
    <t>Rowe,StevenJMD</t>
  </si>
  <si>
    <t>E0019530</t>
  </si>
  <si>
    <t>ROWE STEVEN JAY MD</t>
  </si>
  <si>
    <t>ROWE STEVEN</t>
  </si>
  <si>
    <t>TarshaHunter</t>
  </si>
  <si>
    <t>E0283852</t>
  </si>
  <si>
    <t>HUNTER TARSHA</t>
  </si>
  <si>
    <t>HUNTER TARSHA DR.</t>
  </si>
  <si>
    <t>HUNTER TARSHA MONIQUE</t>
  </si>
  <si>
    <t>2384 ATLANTIC AVE FL 4</t>
  </si>
  <si>
    <t>EricaMalloy</t>
  </si>
  <si>
    <t>E0365394</t>
  </si>
  <si>
    <t>MALLOY ERICA L</t>
  </si>
  <si>
    <t>MALLOY ERICA</t>
  </si>
  <si>
    <t>921 E NEW YORK AVE</t>
  </si>
  <si>
    <t>ElizabethScott</t>
  </si>
  <si>
    <t>E0334225</t>
  </si>
  <si>
    <t>SCOTT ELIZABETH</t>
  </si>
  <si>
    <t>SCOTT ELIZABETH B</t>
  </si>
  <si>
    <t>JillianHaiesGrover</t>
  </si>
  <si>
    <t>E0293973</t>
  </si>
  <si>
    <t>GROVER JILLIAN</t>
  </si>
  <si>
    <t>HAIES JILLIAN</t>
  </si>
  <si>
    <t>GROVER JILLIAN FAYE</t>
  </si>
  <si>
    <t>MartaBrana-Berrios</t>
  </si>
  <si>
    <t>E0331770</t>
  </si>
  <si>
    <t>BRANA-BERRIOS MARTA A</t>
  </si>
  <si>
    <t>BRANA-BERRIOS MARTA DR.</t>
  </si>
  <si>
    <t>VanessaBobb</t>
  </si>
  <si>
    <t>E0291699</t>
  </si>
  <si>
    <t>BOBB VANESSA TONEY</t>
  </si>
  <si>
    <t>BOBB VANESSA DR.</t>
  </si>
  <si>
    <t>4600 BROADWAY</t>
  </si>
  <si>
    <t>Shahid,AtterMD</t>
  </si>
  <si>
    <t>E0284562</t>
  </si>
  <si>
    <t>SHAHID ATTER MUHAMMAD</t>
  </si>
  <si>
    <t>SHAHID ATTER</t>
  </si>
  <si>
    <t>1401 MASSACHUSETTS AVE</t>
  </si>
  <si>
    <t>Gorelov,DmitriDO</t>
  </si>
  <si>
    <t>E0284821</t>
  </si>
  <si>
    <t>GORELOV DMITRI DO</t>
  </si>
  <si>
    <t>GORELOV DMITRI</t>
  </si>
  <si>
    <t>Hnin,KhinMD</t>
  </si>
  <si>
    <t>E0284971</t>
  </si>
  <si>
    <t>HNIN KHIN</t>
  </si>
  <si>
    <t>HNIN KHIN NGE</t>
  </si>
  <si>
    <t>Lazaroff,FlorenceMD</t>
  </si>
  <si>
    <t>E0285531</t>
  </si>
  <si>
    <t>LAZAROFF FLORENCE MD</t>
  </si>
  <si>
    <t>LAZAROFF FLORENCE</t>
  </si>
  <si>
    <t>George,ElizabethMD</t>
  </si>
  <si>
    <t>E0285575</t>
  </si>
  <si>
    <t>GEORGE ELIZABETH MARY MD</t>
  </si>
  <si>
    <t>GEORGE ELIZABETH</t>
  </si>
  <si>
    <t>Gomez,DorianMD</t>
  </si>
  <si>
    <t>E0285574</t>
  </si>
  <si>
    <t>GOMEZ DORIAN Y</t>
  </si>
  <si>
    <t>GOMEZ DORIAN DR.</t>
  </si>
  <si>
    <t>GOMEZ DORIAN YOLANDA</t>
  </si>
  <si>
    <t>Gershenhorn,AlexMD</t>
  </si>
  <si>
    <t>E0288975</t>
  </si>
  <si>
    <t>GERSHENHORN ALEX J MD</t>
  </si>
  <si>
    <t>GERSHENHORN ALEX</t>
  </si>
  <si>
    <t>GERSHENHORN ALEX JAY</t>
  </si>
  <si>
    <t>Kondagunta,GnanambaVaruniMD</t>
  </si>
  <si>
    <t>E0289271</t>
  </si>
  <si>
    <t>KONDAGUNTA GNANAMBA</t>
  </si>
  <si>
    <t>KONDAGUNTA GNANAMBA MD</t>
  </si>
  <si>
    <t>Gershenhorn,ValerieMD</t>
  </si>
  <si>
    <t>E0289345</t>
  </si>
  <si>
    <t>NOZAD VALERIE</t>
  </si>
  <si>
    <t>GERSHENHORN VALERIE</t>
  </si>
  <si>
    <t>GERSHENHORN VALERIE A DO</t>
  </si>
  <si>
    <t>HeatherHenry,M.A.,CCC-SLP</t>
  </si>
  <si>
    <t>E0355094</t>
  </si>
  <si>
    <t>HENRY HEATHER M</t>
  </si>
  <si>
    <t>HENRY HEATHER</t>
  </si>
  <si>
    <t>GregReynolds,M.A.,CCC-SLP</t>
  </si>
  <si>
    <t>E0355003</t>
  </si>
  <si>
    <t>REYNOLDS GREGORY</t>
  </si>
  <si>
    <t>AndreaHorton,M.S.,CCC-SLP</t>
  </si>
  <si>
    <t>E0355005</t>
  </si>
  <si>
    <t>HORTON ANDREA BARRON</t>
  </si>
  <si>
    <t>HORTON ANDREA</t>
  </si>
  <si>
    <t>JasonMohabir,M.S.,CCC-SLP</t>
  </si>
  <si>
    <t>E0355382</t>
  </si>
  <si>
    <t>MOHABIR JASON</t>
  </si>
  <si>
    <t>MOHABIR JASON MR.</t>
  </si>
  <si>
    <t>MaryEllenAlexander,R.N.</t>
  </si>
  <si>
    <t>E0355770</t>
  </si>
  <si>
    <t>ALEXANDER MARY ELLEN</t>
  </si>
  <si>
    <t>ALEXANDER MARY</t>
  </si>
  <si>
    <t>ShonetteCollins,OTR/L</t>
  </si>
  <si>
    <t>E0343009</t>
  </si>
  <si>
    <t>COLLINS SHONETTE V</t>
  </si>
  <si>
    <t>COLLINS SHONETTE</t>
  </si>
  <si>
    <t>Lehn,JacobPA-C</t>
  </si>
  <si>
    <t>E0332171</t>
  </si>
  <si>
    <t>LEHN JACOB D</t>
  </si>
  <si>
    <t>LEHN JACOB</t>
  </si>
  <si>
    <t>Lessner,SethMD</t>
  </si>
  <si>
    <t>E0333500</t>
  </si>
  <si>
    <t>LESSNER SETH JOSEPH</t>
  </si>
  <si>
    <t>LESSNER SETH DR.</t>
  </si>
  <si>
    <t>Singh,ManoranjanMD</t>
  </si>
  <si>
    <t>E0333863</t>
  </si>
  <si>
    <t>SINGH MANORANJAN</t>
  </si>
  <si>
    <t>Cuomo,LindaMD</t>
  </si>
  <si>
    <t>E0293318</t>
  </si>
  <si>
    <t>CUOMO LINDA JANINE MD</t>
  </si>
  <si>
    <t>CUOMO LINDA DR.</t>
  </si>
  <si>
    <t>Eugenio,PaulMD</t>
  </si>
  <si>
    <t>E0293595</t>
  </si>
  <si>
    <t>EUGENIO PAUL L</t>
  </si>
  <si>
    <t>EUGENIO PAUL DR.</t>
  </si>
  <si>
    <t>DeboraVelasco</t>
  </si>
  <si>
    <t>E0114449</t>
  </si>
  <si>
    <t>VELASCO DEBORA</t>
  </si>
  <si>
    <t>681 LEXINGTON AVE FL 4</t>
  </si>
  <si>
    <t>AmitKhaneja,M.D.</t>
  </si>
  <si>
    <t>E0328040</t>
  </si>
  <si>
    <t>KHANEJA AMIT</t>
  </si>
  <si>
    <t>KHANEJA AMIT DR.</t>
  </si>
  <si>
    <t>KHANEJA AMIT MD</t>
  </si>
  <si>
    <t>16 SUMNER PL</t>
  </si>
  <si>
    <t>SunilDesai,D.M.D</t>
  </si>
  <si>
    <t>E0330180</t>
  </si>
  <si>
    <t>DESAI SUNIL</t>
  </si>
  <si>
    <t>DESAI SUNIL DR.</t>
  </si>
  <si>
    <t>NancyDormevil(Duclonat),R.D.H.</t>
  </si>
  <si>
    <t>DUCLONAT NANCY</t>
  </si>
  <si>
    <t>LatishaCarter</t>
  </si>
  <si>
    <t>E0038491</t>
  </si>
  <si>
    <t>CARTER-MAXWELL LATISHA LPN</t>
  </si>
  <si>
    <t>lcarter@thebridgeny.org</t>
  </si>
  <si>
    <t>CARTER LATISHA MS.</t>
  </si>
  <si>
    <t>60 AMSTERDAM AVE</t>
  </si>
  <si>
    <t>GladysMitchell</t>
  </si>
  <si>
    <t>gmitchell@thebridgeny.org</t>
  </si>
  <si>
    <t>MITCHELL GLADYS MS.</t>
  </si>
  <si>
    <t>485 LENOX AVE, #6D</t>
  </si>
  <si>
    <t>BrianFefferman</t>
  </si>
  <si>
    <t>bfefferman@thebridgeny.org</t>
  </si>
  <si>
    <t>FEFFERMAN BRIAN</t>
  </si>
  <si>
    <t>2553 BEECH ST</t>
  </si>
  <si>
    <t>RoryGilbert</t>
  </si>
  <si>
    <t>rgilbert@thebridgeny.org</t>
  </si>
  <si>
    <t>GILBERT RORY MR.</t>
  </si>
  <si>
    <t>MargotMcCulloch</t>
  </si>
  <si>
    <t>E0346888</t>
  </si>
  <si>
    <t>MCCULLOCH MARGOT</t>
  </si>
  <si>
    <t>mmcculloch@thebridgeny.org</t>
  </si>
  <si>
    <t>MCCULLOCH MARGOT MS.</t>
  </si>
  <si>
    <t>SusanBaydur</t>
  </si>
  <si>
    <t>sbaydur@thebridge.org</t>
  </si>
  <si>
    <t>BAYDUR SUSAN</t>
  </si>
  <si>
    <t>551 W 125TH ST</t>
  </si>
  <si>
    <t>MaryStone</t>
  </si>
  <si>
    <t>E0334234</t>
  </si>
  <si>
    <t>STONE MARY</t>
  </si>
  <si>
    <t>mstone@thebridgeny.org</t>
  </si>
  <si>
    <t>STONE MARY MS.</t>
  </si>
  <si>
    <t>115 W 27TH ST</t>
  </si>
  <si>
    <t>CraigWalters</t>
  </si>
  <si>
    <t>cwalters@thebridgeny.org</t>
  </si>
  <si>
    <t>WALTERS CRAIG MR.</t>
  </si>
  <si>
    <t>126 VALLEY STREET 1E</t>
  </si>
  <si>
    <t>SuzanneCalvert</t>
  </si>
  <si>
    <t>scalvert@thebridgeny.org</t>
  </si>
  <si>
    <t>CALVERT SUZANNE</t>
  </si>
  <si>
    <t>BobbyStaley</t>
  </si>
  <si>
    <t>bstaley@thebridgeny.org</t>
  </si>
  <si>
    <t>STALEY BOBBY MR.</t>
  </si>
  <si>
    <t>SuzetteSclafani</t>
  </si>
  <si>
    <t>ssclafani@thebridgeny.org</t>
  </si>
  <si>
    <t>SCLAFANI SUZETTE MRS.</t>
  </si>
  <si>
    <t>912 AMSTERDAM AVE</t>
  </si>
  <si>
    <t>JenniferKwok</t>
  </si>
  <si>
    <t>E0342060</t>
  </si>
  <si>
    <t>KWOK JENNIFER CS</t>
  </si>
  <si>
    <t>jkwok@thebridgeny.org</t>
  </si>
  <si>
    <t>KWOK JENNIFER</t>
  </si>
  <si>
    <t>FrediLessac</t>
  </si>
  <si>
    <t>E0021346</t>
  </si>
  <si>
    <t>LESSAC FREDI</t>
  </si>
  <si>
    <t>flessac@thebridgeny.org</t>
  </si>
  <si>
    <t>LESSAC FREDI MS.</t>
  </si>
  <si>
    <t>AngelaRobinson</t>
  </si>
  <si>
    <t>arobinson@thebridge.org</t>
  </si>
  <si>
    <t>Faskowitz,AndrewDO</t>
  </si>
  <si>
    <t>E0291982</t>
  </si>
  <si>
    <t>FASKOWITZ ANDREW JAY DO</t>
  </si>
  <si>
    <t>FASKOWITZ ANDREW DR.</t>
  </si>
  <si>
    <t>FASKOWITZ ANDREW JAY</t>
  </si>
  <si>
    <t>Fiorianti,JohnMD</t>
  </si>
  <si>
    <t>E0292373</t>
  </si>
  <si>
    <t>FIORIANTI JOHN ANTHONY MD</t>
  </si>
  <si>
    <t>FIORIANTI JOHN DR.</t>
  </si>
  <si>
    <t>FIORIANTI JOHN ANTHONY</t>
  </si>
  <si>
    <t>Remenar,Lin-LinMD</t>
  </si>
  <si>
    <t>E0292421</t>
  </si>
  <si>
    <t>REMENAR LIN-LIN YU-LIN MD</t>
  </si>
  <si>
    <t>REMENAR LIN LIN</t>
  </si>
  <si>
    <t>REMENAR LIN-LIN YU-LIN</t>
  </si>
  <si>
    <t>MiquellePatterson</t>
  </si>
  <si>
    <t>E0298404</t>
  </si>
  <si>
    <t>PATTERSON MIQUELLE RUKIA</t>
  </si>
  <si>
    <t>PATTERSON MIQUELLE</t>
  </si>
  <si>
    <t>BrianShim,LPN</t>
  </si>
  <si>
    <t>E0361336</t>
  </si>
  <si>
    <t>SHIM BRIAN</t>
  </si>
  <si>
    <t>RoeyPasternak,M.D.</t>
  </si>
  <si>
    <t>E0361713</t>
  </si>
  <si>
    <t>PASTERNAK ROEY</t>
  </si>
  <si>
    <t>StephanieRoesser,R.N.</t>
  </si>
  <si>
    <t>E0369596</t>
  </si>
  <si>
    <t>ROESSER STEPHANIE ELLEN</t>
  </si>
  <si>
    <t>ROESSER STEPHANIE</t>
  </si>
  <si>
    <t>SandraSmith,M.S.,CCC-SLP</t>
  </si>
  <si>
    <t>E0371975</t>
  </si>
  <si>
    <t>SMITH SANDRA L</t>
  </si>
  <si>
    <t>ArielleTeitcher,OTR/L</t>
  </si>
  <si>
    <t>E0372180</t>
  </si>
  <si>
    <t>TEITCHER ARIELLE</t>
  </si>
  <si>
    <t>AliciaWimmer,OTR/L</t>
  </si>
  <si>
    <t>E0375556</t>
  </si>
  <si>
    <t>WIMMER ALICIA</t>
  </si>
  <si>
    <t>TulawattieBhimsen,A.A.S.</t>
  </si>
  <si>
    <t>E0376517</t>
  </si>
  <si>
    <t>BHIMSEN TULAWATTIE DEVI</t>
  </si>
  <si>
    <t>BHIMSEN TULAWATTIE</t>
  </si>
  <si>
    <t>HenriettaLi,OTR/L</t>
  </si>
  <si>
    <t>E0377177</t>
  </si>
  <si>
    <t>LI HENRIETTA</t>
  </si>
  <si>
    <t>AtsukoIshikawa,M.D.</t>
  </si>
  <si>
    <t>E0316978</t>
  </si>
  <si>
    <t>ISHIKAWA ATSUKO</t>
  </si>
  <si>
    <t>ISHIKAWA ATSUKO DR.</t>
  </si>
  <si>
    <t>15 W 44TH ST FL 10</t>
  </si>
  <si>
    <t>CristinaBunac-Cuevas,M.S.,CCC-SLP</t>
  </si>
  <si>
    <t>E0367122</t>
  </si>
  <si>
    <t>BUNAC-CUEVAS CRISTINA M</t>
  </si>
  <si>
    <t>BUNAC-CUEVAS CRISTINA</t>
  </si>
  <si>
    <t>184 ELDRIDGE ST</t>
  </si>
  <si>
    <t>Burnham,DanielMD</t>
  </si>
  <si>
    <t>E0035885</t>
  </si>
  <si>
    <t>BURNHAM DANIEL CHRISTIAN</t>
  </si>
  <si>
    <t>BURNHAM DANIEL DR.</t>
  </si>
  <si>
    <t>BURNHAM DANIEL C</t>
  </si>
  <si>
    <t>Hmidi,AliMD</t>
  </si>
  <si>
    <t>E0035359</t>
  </si>
  <si>
    <t>HMIDI ALI MD</t>
  </si>
  <si>
    <t>HMIDI ALI</t>
  </si>
  <si>
    <t>MeganAsher</t>
  </si>
  <si>
    <t>SarahAcker</t>
  </si>
  <si>
    <t>E0393242</t>
  </si>
  <si>
    <t>ACKER KAI SARAH</t>
  </si>
  <si>
    <t>DebbieCarrero</t>
  </si>
  <si>
    <t>(718) 907-6236</t>
  </si>
  <si>
    <t>carrero@housingworks.org</t>
  </si>
  <si>
    <t>ACKER SARAH MS.</t>
  </si>
  <si>
    <t>2640 PITKIN AVE</t>
  </si>
  <si>
    <t>Giegel,MelanieFNP</t>
  </si>
  <si>
    <t>E0383107</t>
  </si>
  <si>
    <t>GIEGEL MELANIE JOY</t>
  </si>
  <si>
    <t>GIEGEL MELANIE</t>
  </si>
  <si>
    <t>113 E 13TH ST</t>
  </si>
  <si>
    <t>LoriA.Reyes</t>
  </si>
  <si>
    <t>REYES LORI MS.</t>
  </si>
  <si>
    <t>AndrewJ.Ciancimino</t>
  </si>
  <si>
    <t>E0419131</t>
  </si>
  <si>
    <t>CIANCIMINO ANDREW</t>
  </si>
  <si>
    <t>CIANCIMINO ANDREW DR.</t>
  </si>
  <si>
    <t>CIANCIMINO ANDREW JAMES</t>
  </si>
  <si>
    <t>VickiR.LoPachin</t>
  </si>
  <si>
    <t>E0131082</t>
  </si>
  <si>
    <t>LOPACHIN VICKI LYNN MD</t>
  </si>
  <si>
    <t>LOPACHIN VICKI</t>
  </si>
  <si>
    <t>MARATHON MEDICAL</t>
  </si>
  <si>
    <t>NitiY.Chokshi</t>
  </si>
  <si>
    <t>E0384543</t>
  </si>
  <si>
    <t>CHOKSHI NITI Y</t>
  </si>
  <si>
    <t>CHOKSHI NITI</t>
  </si>
  <si>
    <t>1 GUSTAVE L LEVY PL # 1200</t>
  </si>
  <si>
    <t>JessicaL.Smith</t>
  </si>
  <si>
    <t>SMITH JESSICA MS.</t>
  </si>
  <si>
    <t>1 GUSTAVE L LEVY PL, BOX 1458</t>
  </si>
  <si>
    <t>RICHARDYAN</t>
  </si>
  <si>
    <t>Giraud,LissetteMD</t>
  </si>
  <si>
    <t>E0009973</t>
  </si>
  <si>
    <t>GIRAUD LISSETTE MD</t>
  </si>
  <si>
    <t>GIRAUD LISSETTE</t>
  </si>
  <si>
    <t>Bekele-Arcuri,ZewdituMD</t>
  </si>
  <si>
    <t>E0009407</t>
  </si>
  <si>
    <t>BEKELE-ARCURI ZEWDITU</t>
  </si>
  <si>
    <t>Rudnick,JonathanDO</t>
  </si>
  <si>
    <t>E0000018</t>
  </si>
  <si>
    <t>RUDNICK JONATHAN A</t>
  </si>
  <si>
    <t>RUDNICK JONATHAN DR.</t>
  </si>
  <si>
    <t>RUDNICK JONATHAN A DO</t>
  </si>
  <si>
    <t>Beharrie,AndrewMD</t>
  </si>
  <si>
    <t>E0000237</t>
  </si>
  <si>
    <t>BEHARRIE ANDREW W</t>
  </si>
  <si>
    <t>BEHARRIE ANDREW DR.</t>
  </si>
  <si>
    <t>Tenney,Nancy,FNP</t>
  </si>
  <si>
    <t>E0308646</t>
  </si>
  <si>
    <t>TENNEY NANCY LEE</t>
  </si>
  <si>
    <t>TENNEY NANCY</t>
  </si>
  <si>
    <t>690 AMSTERDAM AVE</t>
  </si>
  <si>
    <t>Woodley,Walter,MD</t>
  </si>
  <si>
    <t>E0192910</t>
  </si>
  <si>
    <t>WOODLEY WALTER EUSTACE</t>
  </si>
  <si>
    <t>WOODLEY WALTER</t>
  </si>
  <si>
    <t>THE KINGSTON HOSP</t>
  </si>
  <si>
    <t>JohnnyLee</t>
  </si>
  <si>
    <t>E0109456</t>
  </si>
  <si>
    <t>LEE JOHNNY MD</t>
  </si>
  <si>
    <t>LEE JOHNNY DR.</t>
  </si>
  <si>
    <t>DEPT OF EMERG MED</t>
  </si>
  <si>
    <t>RivkiePenstein-Hirt</t>
  </si>
  <si>
    <t>E0115410</t>
  </si>
  <si>
    <t>PENSTEIN-HIRT RIVKIE MD</t>
  </si>
  <si>
    <t>PENSTEIN-HIRT RIVKIE DR.</t>
  </si>
  <si>
    <t>AnsellT.Horn</t>
  </si>
  <si>
    <t>E0025775</t>
  </si>
  <si>
    <t>HORN ANSELL NP</t>
  </si>
  <si>
    <t>HORN ANSELL MR.</t>
  </si>
  <si>
    <t>GaryC.Butts</t>
  </si>
  <si>
    <t>E0215602</t>
  </si>
  <si>
    <t>BUTTS GARY C               MD</t>
  </si>
  <si>
    <t>BUTTS GARY</t>
  </si>
  <si>
    <t>PercyBoateng</t>
  </si>
  <si>
    <t>E0336306</t>
  </si>
  <si>
    <t>BOATENG PERCY</t>
  </si>
  <si>
    <t>1190 5TH AVE # 1028</t>
  </si>
  <si>
    <t>Dr.AnastasiosManessis</t>
  </si>
  <si>
    <t>(917) 733-3436</t>
  </si>
  <si>
    <t>275SeventhAvenue</t>
  </si>
  <si>
    <t>Dr.RonaldStritzler</t>
  </si>
  <si>
    <t>(718) 740-8392</t>
  </si>
  <si>
    <t>193-03UnionTpke</t>
  </si>
  <si>
    <t>FreshMeadows</t>
  </si>
  <si>
    <t>Dr.SteliosViennas</t>
  </si>
  <si>
    <t>(646) 553-5220</t>
  </si>
  <si>
    <t>38-0231Avenue</t>
  </si>
  <si>
    <t>Dr.JacquelineDauhajre</t>
  </si>
  <si>
    <t>140East80thStreet</t>
  </si>
  <si>
    <t>Dr.AjoyK.Sinha</t>
  </si>
  <si>
    <t>(718) 661-2222</t>
  </si>
  <si>
    <t>RobertJ.Brunner</t>
  </si>
  <si>
    <t>E0011240</t>
  </si>
  <si>
    <t>BRUNNER ROBERT J MD</t>
  </si>
  <si>
    <t>BRUNNER ROBERT</t>
  </si>
  <si>
    <t>BRUNNER ROBERT J</t>
  </si>
  <si>
    <t>JudithA.Neugroschl</t>
  </si>
  <si>
    <t>E0124463</t>
  </si>
  <si>
    <t>NEUGROSCHL JUDITH AVIVA MD</t>
  </si>
  <si>
    <t>NEUGROSCHL JUDITH DR.</t>
  </si>
  <si>
    <t>AtaraB.Schultz</t>
  </si>
  <si>
    <t>E0303289</t>
  </si>
  <si>
    <t>SCHULTZ ATARA</t>
  </si>
  <si>
    <t>SCHULTZ ATARA DR.</t>
  </si>
  <si>
    <t>AneyT.Chacko</t>
  </si>
  <si>
    <t>E0362817</t>
  </si>
  <si>
    <t>CHACKO ANEY T</t>
  </si>
  <si>
    <t>CHACKO ANEY MRS.</t>
  </si>
  <si>
    <t>1 GUSTAVE L LEVY PL # 1458</t>
  </si>
  <si>
    <t>SteveL.Liao</t>
  </si>
  <si>
    <t>E0316678</t>
  </si>
  <si>
    <t>LIAO STEVE LIN</t>
  </si>
  <si>
    <t>LIAO STEVE DR.</t>
  </si>
  <si>
    <t>Porzelt,SarahPA-C</t>
  </si>
  <si>
    <t>E0330227</t>
  </si>
  <si>
    <t>PORZELT SARAH I</t>
  </si>
  <si>
    <t>PORZELT SARAH</t>
  </si>
  <si>
    <t>Gorelova,VictoriaPA-C</t>
  </si>
  <si>
    <t>E0330565</t>
  </si>
  <si>
    <t>GORELOVA VICTORIA</t>
  </si>
  <si>
    <t>Kheterpal,EmilMD</t>
  </si>
  <si>
    <t>E0331625</t>
  </si>
  <si>
    <t>KHETERPAL EMIL</t>
  </si>
  <si>
    <t>KHETERPAL EMIL MITTER</t>
  </si>
  <si>
    <t>MARCELBENOIT</t>
  </si>
  <si>
    <t>SiobhanSundel</t>
  </si>
  <si>
    <t>E0092656</t>
  </si>
  <si>
    <t>SUNDEL SIOBHAN</t>
  </si>
  <si>
    <t>1470 MADISON AVE</t>
  </si>
  <si>
    <t>MaryAnnG.Walker</t>
  </si>
  <si>
    <t>E0089026</t>
  </si>
  <si>
    <t>WALKER MARY ANN GUEVARRA</t>
  </si>
  <si>
    <t>WALKER MARY ANN</t>
  </si>
  <si>
    <t>1 GUSTAVE L LEVY PL # 1495</t>
  </si>
  <si>
    <t>LynetteC.Luz</t>
  </si>
  <si>
    <t>E0365947</t>
  </si>
  <si>
    <t>LUZ LYNETTE C</t>
  </si>
  <si>
    <t>LUZ LYNETTE</t>
  </si>
  <si>
    <t>313 BERKSHIRE AVE</t>
  </si>
  <si>
    <t>DanV.Iosifescu</t>
  </si>
  <si>
    <t>IOSIFESCU DAN DR.</t>
  </si>
  <si>
    <t>55 FRUIT ST, WRN 6</t>
  </si>
  <si>
    <t>KristenR.McNicholasGlynn</t>
  </si>
  <si>
    <t>GLYNN KRISTEN MRS.</t>
  </si>
  <si>
    <t>1 GUSTAVE LEVY PLACE, BOX 1104</t>
  </si>
  <si>
    <t>AndreaR.Gamez</t>
  </si>
  <si>
    <t>GAMEZ ANDREA</t>
  </si>
  <si>
    <t>10 E 102ND ST</t>
  </si>
  <si>
    <t>MaureenE.Cannon</t>
  </si>
  <si>
    <t>E0372755</t>
  </si>
  <si>
    <t>CANNON MAUREEN ELIZABETH</t>
  </si>
  <si>
    <t>CANNON MAUREEN</t>
  </si>
  <si>
    <t>ElizabethD.Strong</t>
  </si>
  <si>
    <t>STRONG ELIZABETH MRS.</t>
  </si>
  <si>
    <t>1 GUSTAVE L LEVY PLACE, BOX 1198 MOUNT SINAI SCHOOL OF MEDICINE</t>
  </si>
  <si>
    <t>JulieW.Fung</t>
  </si>
  <si>
    <t>E0420995</t>
  </si>
  <si>
    <t>FUNG JULIE WING SZE</t>
  </si>
  <si>
    <t>FUNG WING SZE MS.</t>
  </si>
  <si>
    <t>JaneE.Kostadinov</t>
  </si>
  <si>
    <t>E0361729</t>
  </si>
  <si>
    <t>KOSTADINOV JANE E</t>
  </si>
  <si>
    <t>KOSTADINOV JANE MS.</t>
  </si>
  <si>
    <t>SaadA.Bhatti</t>
  </si>
  <si>
    <t>E0007529</t>
  </si>
  <si>
    <t>BHATTI SAAD</t>
  </si>
  <si>
    <t>AnishaM.Lalwani</t>
  </si>
  <si>
    <t>E0369921</t>
  </si>
  <si>
    <t>LALWANI ANISHA M</t>
  </si>
  <si>
    <t>LALWANI ANISHA</t>
  </si>
  <si>
    <t>JuliaAttenborough</t>
  </si>
  <si>
    <t>E0365368</t>
  </si>
  <si>
    <t>ATTENBOROUGH JULIA</t>
  </si>
  <si>
    <t>AriaA.Tanzi</t>
  </si>
  <si>
    <t>E0344035</t>
  </si>
  <si>
    <t>TANZI ARIA</t>
  </si>
  <si>
    <t>100TH ST AND MADISON</t>
  </si>
  <si>
    <t>MellessaN.Lurch</t>
  </si>
  <si>
    <t>E0372481</t>
  </si>
  <si>
    <t>LURCH MELLESSA N</t>
  </si>
  <si>
    <t>LURCH MELLESSA</t>
  </si>
  <si>
    <t>MagalieM.Polycarpe</t>
  </si>
  <si>
    <t>MazullahKamran</t>
  </si>
  <si>
    <t>E0091440</t>
  </si>
  <si>
    <t>KAMRAN MAZULLAH MD</t>
  </si>
  <si>
    <t>KAMRAN MAZULLAH</t>
  </si>
  <si>
    <t>CARDIO ASSOC DPT</t>
  </si>
  <si>
    <t>MaritesM.Arizabal</t>
  </si>
  <si>
    <t>E0362858</t>
  </si>
  <si>
    <t>ARIZABAL MARITES MALABRIGO</t>
  </si>
  <si>
    <t>ARIZABAL MARITES MS.</t>
  </si>
  <si>
    <t>MariettaDePerio</t>
  </si>
  <si>
    <t>E0365942</t>
  </si>
  <si>
    <t>DE PERIO MARIETTA G</t>
  </si>
  <si>
    <t>DE PERIO MARIETTA MISS</t>
  </si>
  <si>
    <t>MiaY.Genovese</t>
  </si>
  <si>
    <t>GENOVESE MIA</t>
  </si>
  <si>
    <t>457 ATLANTIC AVE, APT 2B</t>
  </si>
  <si>
    <t>AndrewT.Goldberg</t>
  </si>
  <si>
    <t>E0383065</t>
  </si>
  <si>
    <t>GOLDBERG ANDREW TODD</t>
  </si>
  <si>
    <t>GOLDBERG ANDREW DR.</t>
  </si>
  <si>
    <t>JillA.Wiener</t>
  </si>
  <si>
    <t>E0204707</t>
  </si>
  <si>
    <t>WIENER JILL A              MD</t>
  </si>
  <si>
    <t>WIENER JILL DR.</t>
  </si>
  <si>
    <t>130 W KINGSBRIDGE RD</t>
  </si>
  <si>
    <t>MaxA.Kahn</t>
  </si>
  <si>
    <t>E0260695</t>
  </si>
  <si>
    <t>KAHN MAX A                 MD</t>
  </si>
  <si>
    <t>KAHN MAX</t>
  </si>
  <si>
    <t>SuzanneM.Connolly</t>
  </si>
  <si>
    <t>CONNOLLY SUZANNE</t>
  </si>
  <si>
    <t>40 WINDSOR GATE DR</t>
  </si>
  <si>
    <t>NORTH HILLS</t>
  </si>
  <si>
    <t>TanielleY.Sterling</t>
  </si>
  <si>
    <t>STERLING TANIELLE</t>
  </si>
  <si>
    <t>HetalShah</t>
  </si>
  <si>
    <t>SHAH HETAL MRS.</t>
  </si>
  <si>
    <t>ElizabethA.J.Salzer</t>
  </si>
  <si>
    <t>E0136333</t>
  </si>
  <si>
    <t>SALZER ELIZABETH ANNE JOAN</t>
  </si>
  <si>
    <t>SALZER ELIZABETH</t>
  </si>
  <si>
    <t>UNIV AVE FAM PRACT</t>
  </si>
  <si>
    <t>NancyBarletta</t>
  </si>
  <si>
    <t>E0372382</t>
  </si>
  <si>
    <t>BARLETTA NANCY MONTERO</t>
  </si>
  <si>
    <t>BARLETTA NANCY MRS.</t>
  </si>
  <si>
    <t>TimothyF.N.Sullivan</t>
  </si>
  <si>
    <t>E0382563</t>
  </si>
  <si>
    <t>SULLIVAN TIMOTHY F N</t>
  </si>
  <si>
    <t>SULLIVAN TIMOTHY DR.</t>
  </si>
  <si>
    <t>AliciaM.Hurtado</t>
  </si>
  <si>
    <t>E0425577</t>
  </si>
  <si>
    <t>HURTADO ALICIA MARLENE</t>
  </si>
  <si>
    <t>HURTADO ALICIA DR.</t>
  </si>
  <si>
    <t>AndreaNichols,M.D.</t>
  </si>
  <si>
    <t>E0123379</t>
  </si>
  <si>
    <t>NICHOLS ANDREA MARISA MD</t>
  </si>
  <si>
    <t>NICHOLS ANDREA</t>
  </si>
  <si>
    <t>KusumKathpalia,M.D.</t>
  </si>
  <si>
    <t>AnjaniBhatt,M.D.</t>
  </si>
  <si>
    <t>E0216646</t>
  </si>
  <si>
    <t>BHATT ANJANI A             MD</t>
  </si>
  <si>
    <t>BHATT ANJANI DR.</t>
  </si>
  <si>
    <t>BHATT ANJANI A</t>
  </si>
  <si>
    <t>871 E PARK AVE</t>
  </si>
  <si>
    <t>MelissaMadalone</t>
  </si>
  <si>
    <t>E0326929</t>
  </si>
  <si>
    <t>MADALONE MELISSA</t>
  </si>
  <si>
    <t>MADALONE MELISSA NP</t>
  </si>
  <si>
    <t>AndrinKasemi</t>
  </si>
  <si>
    <t>E0373232</t>
  </si>
  <si>
    <t>KASEMI ANDRIN</t>
  </si>
  <si>
    <t>KASEMI ANDRIN DR.</t>
  </si>
  <si>
    <t>YakovSharov</t>
  </si>
  <si>
    <t>Ford,Miriam,FNP</t>
  </si>
  <si>
    <t>E0292956</t>
  </si>
  <si>
    <t>FORD MIRIAM</t>
  </si>
  <si>
    <t>FORD MIRIAM ITA</t>
  </si>
  <si>
    <t>130 W TREMONT AVE</t>
  </si>
  <si>
    <t>Tawil,RamziMD</t>
  </si>
  <si>
    <t>E0006407</t>
  </si>
  <si>
    <t>TAWIL RAMZI A MD</t>
  </si>
  <si>
    <t>TAWIL RAMZI</t>
  </si>
  <si>
    <t>RualdoKanani</t>
  </si>
  <si>
    <t>KANANI RUALDO</t>
  </si>
  <si>
    <t>JanicaBarnett</t>
  </si>
  <si>
    <t>E0435115</t>
  </si>
  <si>
    <t>BARNETT JANICA</t>
  </si>
  <si>
    <t>55 PALMER AVE FL 5</t>
  </si>
  <si>
    <t>GlennA.Martin</t>
  </si>
  <si>
    <t>E0076678</t>
  </si>
  <si>
    <t>MARTIN GLENN ANDREW</t>
  </si>
  <si>
    <t>MARTIN GLENN DR.</t>
  </si>
  <si>
    <t>GaryC.Stone</t>
  </si>
  <si>
    <t>E0111252</t>
  </si>
  <si>
    <t>STONE GARY CARL MD</t>
  </si>
  <si>
    <t>STONE GARY DR.</t>
  </si>
  <si>
    <t>MichaelE.Silverman</t>
  </si>
  <si>
    <t>SILVERMAN MICHAEL DR.</t>
  </si>
  <si>
    <t>SylvieRosenbloom</t>
  </si>
  <si>
    <t>E0285769</t>
  </si>
  <si>
    <t>ROSENBLOOM SYLVIE</t>
  </si>
  <si>
    <t>ROSENBLOOM SYLVIE DR.</t>
  </si>
  <si>
    <t>StevenSarin</t>
  </si>
  <si>
    <t>SARIN STEVEN DR.</t>
  </si>
  <si>
    <t>19 W 44TH ST, SUITE 400</t>
  </si>
  <si>
    <t>SergeAMitelman</t>
  </si>
  <si>
    <t>E0084311</t>
  </si>
  <si>
    <t>MITELMAN SERGE A MD</t>
  </si>
  <si>
    <t>MITELMAN SERGE DR.</t>
  </si>
  <si>
    <t>HaroldW.Koenigsberg</t>
  </si>
  <si>
    <t>E0274651</t>
  </si>
  <si>
    <t>KOENIGSBERG HAROLD W       MD</t>
  </si>
  <si>
    <t>KOENIGSBERG HAROLD DR.</t>
  </si>
  <si>
    <t>KaraL.Trlica</t>
  </si>
  <si>
    <t>E0384981</t>
  </si>
  <si>
    <t>TRLICA KARA L</t>
  </si>
  <si>
    <t>TRLICA KARA MISS</t>
  </si>
  <si>
    <t>TRLICA KARA LYNN</t>
  </si>
  <si>
    <t>KristineKaw</t>
  </si>
  <si>
    <t>KAW KRISTINE</t>
  </si>
  <si>
    <t>JeffreyH.Newcorn</t>
  </si>
  <si>
    <t>E0135168</t>
  </si>
  <si>
    <t>NEWCORN JEFFREY H MD</t>
  </si>
  <si>
    <t>NEWCORN JEFFREY</t>
  </si>
  <si>
    <t>NicoleG.Elitch</t>
  </si>
  <si>
    <t>E0363660</t>
  </si>
  <si>
    <t>ELITCH NICOLE G</t>
  </si>
  <si>
    <t>ELITCH NICOLE</t>
  </si>
  <si>
    <t>DorothyW.Hopton</t>
  </si>
  <si>
    <t>E0372916</t>
  </si>
  <si>
    <t>HOPTON DOROTHY W</t>
  </si>
  <si>
    <t>HOPTON DOROTHY MS.</t>
  </si>
  <si>
    <t>RebeccaR.Seigel</t>
  </si>
  <si>
    <t>E0108139</t>
  </si>
  <si>
    <t>SEIGEL REBECCA RAE MD</t>
  </si>
  <si>
    <t>SEIGEL REBECCA</t>
  </si>
  <si>
    <t>BROOKLYN HSP CTR</t>
  </si>
  <si>
    <t>MarleneOthoniel</t>
  </si>
  <si>
    <t>E0022381</t>
  </si>
  <si>
    <t>OTHONIEL MARLENE</t>
  </si>
  <si>
    <t>OTHONIEL MARLENE MS.</t>
  </si>
  <si>
    <t>DonnaleeCataldo</t>
  </si>
  <si>
    <t>E0108690</t>
  </si>
  <si>
    <t>CATALDO DONNALEE</t>
  </si>
  <si>
    <t>EvgenyMikler</t>
  </si>
  <si>
    <t>E0349541</t>
  </si>
  <si>
    <t>MIKLER EVGENY</t>
  </si>
  <si>
    <t>MIKLER EVGENY MR.</t>
  </si>
  <si>
    <t>1 GUSTAVE L LEVY PLACE</t>
  </si>
  <si>
    <t>YvetteDoan-Schultz</t>
  </si>
  <si>
    <t>E0289859</t>
  </si>
  <si>
    <t>DOAN-SCHULTZ YVETTE CHI</t>
  </si>
  <si>
    <t>DOAN-SCHULTZ YVETTE</t>
  </si>
  <si>
    <t>ADAHOBEKA</t>
  </si>
  <si>
    <t>E0362708</t>
  </si>
  <si>
    <t>OBEKPA ADAH EDACHE</t>
  </si>
  <si>
    <t>(646) 377-5449</t>
  </si>
  <si>
    <t>OBEKPA@GMAIL.COM</t>
  </si>
  <si>
    <t>OBEKPA ADAH</t>
  </si>
  <si>
    <t>350 5TH AVE FL 59</t>
  </si>
  <si>
    <t>ElaineM.Gorman</t>
  </si>
  <si>
    <t>E0363337</t>
  </si>
  <si>
    <t>GORMAN ELAINE MARY</t>
  </si>
  <si>
    <t>GORMAN ELAINE</t>
  </si>
  <si>
    <t>GORMAN ELAINE M</t>
  </si>
  <si>
    <t>NaomiCham</t>
  </si>
  <si>
    <t>E0363659</t>
  </si>
  <si>
    <t>CHAM NAOMI</t>
  </si>
  <si>
    <t>1468 MADISON AVE # 1179</t>
  </si>
  <si>
    <t>ChristineS.Young</t>
  </si>
  <si>
    <t>E0363274</t>
  </si>
  <si>
    <t>YOUNG CHRISTINE S</t>
  </si>
  <si>
    <t>TSAI CHRISTINE</t>
  </si>
  <si>
    <t>1 GUSTAVE L LEVY PL BOX 1198</t>
  </si>
  <si>
    <t>TanjaAufderHeyde</t>
  </si>
  <si>
    <t>AUF DER HEYDE TANJA DR.</t>
  </si>
  <si>
    <t>345 E 102ND ST</t>
  </si>
  <si>
    <t>ReemaG.Maracheril</t>
  </si>
  <si>
    <t>MARACHERIL REEMA</t>
  </si>
  <si>
    <t>1176 FIFTH AVENUE, 9TH FLOOR</t>
  </si>
  <si>
    <t>LenaElHachem</t>
  </si>
  <si>
    <t>E0342821</t>
  </si>
  <si>
    <t>EL-HACHEM LENA</t>
  </si>
  <si>
    <t>EL HACHEM LENA</t>
  </si>
  <si>
    <t>PatriciaL.Barschow-Marton</t>
  </si>
  <si>
    <t>E0364503</t>
  </si>
  <si>
    <t>BARSCHOW-MARTON PATRICIA LYNN</t>
  </si>
  <si>
    <t>MARTON PATRICIA MS.</t>
  </si>
  <si>
    <t>JohnJ.Rynne</t>
  </si>
  <si>
    <t>RYNNE JOHN</t>
  </si>
  <si>
    <t>AliPayami</t>
  </si>
  <si>
    <t>E0328587</t>
  </si>
  <si>
    <t>PAYAMI ALI</t>
  </si>
  <si>
    <t>PAYAMI ALI DR.</t>
  </si>
  <si>
    <t>94-13 FLATLANDS AVE #102W</t>
  </si>
  <si>
    <t>GildaForseter</t>
  </si>
  <si>
    <t>E0364847</t>
  </si>
  <si>
    <t>FORSETER GILDA</t>
  </si>
  <si>
    <t>FORSETER GILDA MS.</t>
  </si>
  <si>
    <t>VirginiaM.Prieto</t>
  </si>
  <si>
    <t>PRIETO VIRGINIA MISS</t>
  </si>
  <si>
    <t>GP 7 WEST 1 GUSTAVE L. LEVY PLACE</t>
  </si>
  <si>
    <t>GalinaGozenput</t>
  </si>
  <si>
    <t>E0375776</t>
  </si>
  <si>
    <t>GOZENPUT GALINA</t>
  </si>
  <si>
    <t>100TH ST AND MADISON AVE</t>
  </si>
  <si>
    <t>ChristineM.Angrisani</t>
  </si>
  <si>
    <t>E0361722</t>
  </si>
  <si>
    <t>ANGRISANI CHRISTINE M</t>
  </si>
  <si>
    <t>ACINAPURA CHRISTINE</t>
  </si>
  <si>
    <t>JanaPetriganova</t>
  </si>
  <si>
    <t>E0365039</t>
  </si>
  <si>
    <t>PETRIGANOVA JANA</t>
  </si>
  <si>
    <t>RobertoGalaoMalo</t>
  </si>
  <si>
    <t>E0364486</t>
  </si>
  <si>
    <t>GALAO MALO ROBERTO</t>
  </si>
  <si>
    <t>AlizzaR.Retter</t>
  </si>
  <si>
    <t>RETTER ALIZZA</t>
  </si>
  <si>
    <t>KateR.Spencer</t>
  </si>
  <si>
    <t>E0305518</t>
  </si>
  <si>
    <t>SPENCER KATE R</t>
  </si>
  <si>
    <t>SPENCER KATE MRS.</t>
  </si>
  <si>
    <t>JaimeJ.Michalski</t>
  </si>
  <si>
    <t>MICHALSKI JAIME</t>
  </si>
  <si>
    <t>1 GUSTAVE L LEVY PL, DEPARTMENT OF MEDICINE</t>
  </si>
  <si>
    <t>RiteshA.Ramdhani</t>
  </si>
  <si>
    <t>E0379138</t>
  </si>
  <si>
    <t>RAMDHANI RITESH ANAND</t>
  </si>
  <si>
    <t>RAMDHANI RITESH DR.</t>
  </si>
  <si>
    <t>5 E 98TH ST FL 1</t>
  </si>
  <si>
    <t>NaziaAjani</t>
  </si>
  <si>
    <t>E0350052</t>
  </si>
  <si>
    <t>AJANI NAZIA</t>
  </si>
  <si>
    <t>MelissaM.Dudas</t>
  </si>
  <si>
    <t>E0405366</t>
  </si>
  <si>
    <t>DUDAS MELISSA MAUREEN</t>
  </si>
  <si>
    <t>DUDAS MELISSA DR.</t>
  </si>
  <si>
    <t>PatriciaTang</t>
  </si>
  <si>
    <t>TANG PATRICIA</t>
  </si>
  <si>
    <t>KathleenA.Lee</t>
  </si>
  <si>
    <t>E0382542</t>
  </si>
  <si>
    <t>LEE KATHLEEN</t>
  </si>
  <si>
    <t>LEE KATHLEEN DR.</t>
  </si>
  <si>
    <t>SarahG.Hodulik</t>
  </si>
  <si>
    <t>E0383503</t>
  </si>
  <si>
    <t>HODULIK SARAH</t>
  </si>
  <si>
    <t>14 GUSTAVE L LEVY PL</t>
  </si>
  <si>
    <t>IrinaFainberg</t>
  </si>
  <si>
    <t>FAINBERG IRINA MRS.</t>
  </si>
  <si>
    <t>105 KINGS HWY APT 4C</t>
  </si>
  <si>
    <t>ErnaBander</t>
  </si>
  <si>
    <t>E0362766</t>
  </si>
  <si>
    <t>BANDER ERNA</t>
  </si>
  <si>
    <t>MarinaKrymskaya</t>
  </si>
  <si>
    <t>E0293961</t>
  </si>
  <si>
    <t>KRYMSKAYA ARINA</t>
  </si>
  <si>
    <t>KRYMSKAYA MARINA MRS.</t>
  </si>
  <si>
    <t>KRYMSKAYA MARINA</t>
  </si>
  <si>
    <t>317 E 17TH ST</t>
  </si>
  <si>
    <t>AMERICARECERTIFIEDSPECIALSERVICES,INC.</t>
  </si>
  <si>
    <t>AMIDACARE,INC.</t>
  </si>
  <si>
    <t>APICHACOMMUNITYHEALTHCENTER</t>
  </si>
  <si>
    <t>AntoniaS.New</t>
  </si>
  <si>
    <t>NEW ANTONIA DR.</t>
  </si>
  <si>
    <t>1 GUSTAVE L LEVY PL, BOX 1217</t>
  </si>
  <si>
    <t>KevinD.E.Williams</t>
  </si>
  <si>
    <t>ST VINCENT CATHOLIC MEDICAL CENTERS</t>
  </si>
  <si>
    <t>TraceyR.Tennessee</t>
  </si>
  <si>
    <t>TENNESSEE TRACEY</t>
  </si>
  <si>
    <t>GlorilynCorpuz,OTR/L</t>
  </si>
  <si>
    <t>E0341011</t>
  </si>
  <si>
    <t>CORPUZ GLORILYN MONTESA</t>
  </si>
  <si>
    <t>CORPUZ GLORILYN</t>
  </si>
  <si>
    <t>21111 NORTHERN BLVD # 2FL</t>
  </si>
  <si>
    <t>JaclynE.Tucker</t>
  </si>
  <si>
    <t>TUCKER JACLYN</t>
  </si>
  <si>
    <t>6011 HARRY HINES BLVD, SUITE V4.114</t>
  </si>
  <si>
    <t>MichaelK.Goulston</t>
  </si>
  <si>
    <t>GOULSTON MICHAEL DR.</t>
  </si>
  <si>
    <t>295 DURHAM AVE, SUITE 213</t>
  </si>
  <si>
    <t>SOUTH PLAINFIELD</t>
  </si>
  <si>
    <t>SeonheeAn</t>
  </si>
  <si>
    <t>E0364350</t>
  </si>
  <si>
    <t>AN SEONHEE</t>
  </si>
  <si>
    <t>JoshuaGuttman</t>
  </si>
  <si>
    <t>E0383202</t>
  </si>
  <si>
    <t>GUTTMAN JOSHUA</t>
  </si>
  <si>
    <t>GUTTMAN JOSHUA DR.</t>
  </si>
  <si>
    <t>KimihikoOishi</t>
  </si>
  <si>
    <t>E0376050</t>
  </si>
  <si>
    <t>OISHI KIMIHOKO</t>
  </si>
  <si>
    <t>OISHI KIMIHIKO</t>
  </si>
  <si>
    <t>1428 MADISON AVE FL 1</t>
  </si>
  <si>
    <t>KristelleO.Pulido</t>
  </si>
  <si>
    <t>E0371209</t>
  </si>
  <si>
    <t>PULIDO KRISTELLE OLANKA</t>
  </si>
  <si>
    <t>PULIDO KRISTELLE MISS</t>
  </si>
  <si>
    <t>SalmaRahimi</t>
  </si>
  <si>
    <t>E0417040</t>
  </si>
  <si>
    <t>RAHIMI SALMA</t>
  </si>
  <si>
    <t>RAHIMI SALMA DR.</t>
  </si>
  <si>
    <t>ShavonnCStallings</t>
  </si>
  <si>
    <t>E0425006</t>
  </si>
  <si>
    <t>STALLINGS SHAVONN</t>
  </si>
  <si>
    <t>STALLINGS SHAVONN CRYSTAL</t>
  </si>
  <si>
    <t>SandyXian</t>
  </si>
  <si>
    <t>XIAN SANDY</t>
  </si>
  <si>
    <t>1176 5TH AVENUE, 9TH FLOOR</t>
  </si>
  <si>
    <t>SedefEverest</t>
  </si>
  <si>
    <t>EVEREST SEDEF</t>
  </si>
  <si>
    <t>ShwetaGera</t>
  </si>
  <si>
    <t>GERA SHWETA</t>
  </si>
  <si>
    <t>1111 AMSTERDAM AVE BLDG GROUND</t>
  </si>
  <si>
    <t>DominickRichardGuerrero</t>
  </si>
  <si>
    <t>GUERRERO DOMINICK DR.</t>
  </si>
  <si>
    <t>47 NEW SCOTLAND AVE, DEPARTMENT OF SURGERY</t>
  </si>
  <si>
    <t>PeterR.Dottino</t>
  </si>
  <si>
    <t>E0221702</t>
  </si>
  <si>
    <t>DOTTINO PETER R MD</t>
  </si>
  <si>
    <t>DOTTINO PETER DR.</t>
  </si>
  <si>
    <t>DOTTINO PETER R</t>
  </si>
  <si>
    <t>AlizaBen-Zacharia</t>
  </si>
  <si>
    <t>E0085843</t>
  </si>
  <si>
    <t>BEN-ZACHARIA ALIZA</t>
  </si>
  <si>
    <t>HangFongKittyChan</t>
  </si>
  <si>
    <t>E0388636</t>
  </si>
  <si>
    <t>CHAN HANG</t>
  </si>
  <si>
    <t>CHAN HANG FONG KITTY</t>
  </si>
  <si>
    <t>AakashAggarwal</t>
  </si>
  <si>
    <t>E0395476</t>
  </si>
  <si>
    <t>AGGARWAL AAKASH</t>
  </si>
  <si>
    <t>BETTYLIM</t>
  </si>
  <si>
    <t>E0006160</t>
  </si>
  <si>
    <t>LIM BETTY MD</t>
  </si>
  <si>
    <t>LIM BETTY</t>
  </si>
  <si>
    <t>ONE GUSTAVE L LEVY PLACE</t>
  </si>
  <si>
    <t>RENEWALPROJECT</t>
  </si>
  <si>
    <t>E0107909</t>
  </si>
  <si>
    <t>PROJECT RENEWAL</t>
  </si>
  <si>
    <t>PROJECT RENEWAL INC</t>
  </si>
  <si>
    <t>HEALTH SVC ADMIN</t>
  </si>
  <si>
    <t>KatrinaM.Duncan</t>
  </si>
  <si>
    <t>E0400674</t>
  </si>
  <si>
    <t>DUNCAN KATRINA M</t>
  </si>
  <si>
    <t>DUNCAN KATRINA MS.</t>
  </si>
  <si>
    <t>DavidDorfman</t>
  </si>
  <si>
    <t>DORFMAN DAVID DR.</t>
  </si>
  <si>
    <t>1 GUSTAVE L LEVY PL, DEPT OF PSYCHIATRY</t>
  </si>
  <si>
    <t>EvaSaluk</t>
  </si>
  <si>
    <t>SALUK EVA MISS</t>
  </si>
  <si>
    <t>ClaudethR.Adams-Henry</t>
  </si>
  <si>
    <t>E0019403</t>
  </si>
  <si>
    <t>ADAMS-HENRY CLAUDETH</t>
  </si>
  <si>
    <t>ADAMS CLAUDETH</t>
  </si>
  <si>
    <t>ADAMS-HENRY CLAUDETH R</t>
  </si>
  <si>
    <t>RachelAnnunziato</t>
  </si>
  <si>
    <t>E0286089</t>
  </si>
  <si>
    <t>ANNUNZIATO RACHEL</t>
  </si>
  <si>
    <t>ANNUNZIATO RACHEL DR.</t>
  </si>
  <si>
    <t>80TH STREET &amp; 41 AVE</t>
  </si>
  <si>
    <t>PayalG.Patel</t>
  </si>
  <si>
    <t>E0412264</t>
  </si>
  <si>
    <t>PATEL PAYAL G</t>
  </si>
  <si>
    <t>CathyA.Lombardo</t>
  </si>
  <si>
    <t>E0135289</t>
  </si>
  <si>
    <t>LOMBARDO CATHY ANN</t>
  </si>
  <si>
    <t>120 NEW YORK AVE</t>
  </si>
  <si>
    <t>AlvinM.Alfonso</t>
  </si>
  <si>
    <t>ALFONSO ALVIN</t>
  </si>
  <si>
    <t>DANASUN</t>
  </si>
  <si>
    <t>SUN DANA</t>
  </si>
  <si>
    <t>17 E 102ND ST, 7TH FLOOR #1087</t>
  </si>
  <si>
    <t>TIBIANABRAMOVITZ</t>
  </si>
  <si>
    <t>E0185699</t>
  </si>
  <si>
    <t>TIBIAN ABRAMOVITZ</t>
  </si>
  <si>
    <t>ABRAMOVITZ TIBIAN</t>
  </si>
  <si>
    <t>3131 KINGS HWY STE C5</t>
  </si>
  <si>
    <t>ARIELLEMITTON</t>
  </si>
  <si>
    <t>MITTON ARIELLE</t>
  </si>
  <si>
    <t>1 GUSTAVE L LEVY PL, DEPT OF MED - BOX 1118</t>
  </si>
  <si>
    <t>ANNEMILLER</t>
  </si>
  <si>
    <t>CRAMER ANNE</t>
  </si>
  <si>
    <t>2150 PENNSYLVANIA AVE NW, INTERNAL MEDICINE</t>
  </si>
  <si>
    <t>WASHINGTON</t>
  </si>
  <si>
    <t>DC</t>
  </si>
  <si>
    <t>NadiaA.Syed</t>
  </si>
  <si>
    <t>SYED NADIA DR.</t>
  </si>
  <si>
    <t>9800 4TH AVE NE, GROUP HEALTH</t>
  </si>
  <si>
    <t>AngelitaFlorendo</t>
  </si>
  <si>
    <t>E0361583</t>
  </si>
  <si>
    <t>FLORENDO ANGELITA FULGAR</t>
  </si>
  <si>
    <t>FLORENDO ANGELITA MS.</t>
  </si>
  <si>
    <t>LeilaG.Garcia-Ona</t>
  </si>
  <si>
    <t>E0361534</t>
  </si>
  <si>
    <t>GARCIA-ONA LEILA G</t>
  </si>
  <si>
    <t>GARCIA-ONA LEILA</t>
  </si>
  <si>
    <t>RobertM.Fischer</t>
  </si>
  <si>
    <t>E0202085</t>
  </si>
  <si>
    <t>FISCHER ROBERT MICHAEL     MD</t>
  </si>
  <si>
    <t>FISCHER ROBERT</t>
  </si>
  <si>
    <t>NinaZParks-Taylor</t>
  </si>
  <si>
    <t>PARKS-TAYLOR NINA</t>
  </si>
  <si>
    <t>KOK-MINKYAN</t>
  </si>
  <si>
    <t>E0102896</t>
  </si>
  <si>
    <t>KYAN KOK-MIN MD</t>
  </si>
  <si>
    <t>KYAN KOK-MIN</t>
  </si>
  <si>
    <t>CHIBUZOENEMCHUKWU</t>
  </si>
  <si>
    <t>ENEMCHUKWU CHIBUZO</t>
  </si>
  <si>
    <t>5500 FORTUNES RIDGE DR, 80B</t>
  </si>
  <si>
    <t>RichardR.P.Warner</t>
  </si>
  <si>
    <t>E0280860</t>
  </si>
  <si>
    <t>WARNER RICHARD R P PC      MD</t>
  </si>
  <si>
    <t>WARNER RICHARD</t>
  </si>
  <si>
    <t>1751 YORK AVE</t>
  </si>
  <si>
    <t>NicoleAPaul</t>
  </si>
  <si>
    <t>E0363390</t>
  </si>
  <si>
    <t>PAUL NICOLE ALYSE</t>
  </si>
  <si>
    <t>PAUL NICOLE MS.</t>
  </si>
  <si>
    <t>NatashaR.Anandaraja</t>
  </si>
  <si>
    <t>E0292574</t>
  </si>
  <si>
    <t>ANANDARAJA NATASHA RUVINI MD</t>
  </si>
  <si>
    <t>ANANDARAJA NATASHA</t>
  </si>
  <si>
    <t>LisaM.Hogan</t>
  </si>
  <si>
    <t>E0077552</t>
  </si>
  <si>
    <t>HOGAN LISA MOJON</t>
  </si>
  <si>
    <t>HOGAN LISA</t>
  </si>
  <si>
    <t>ONE GUSTAVE LEVY PLACE</t>
  </si>
  <si>
    <t>PatrickWalsh</t>
  </si>
  <si>
    <t>WALSH PATRICK</t>
  </si>
  <si>
    <t>MatthewJ.Lane</t>
  </si>
  <si>
    <t>E0028292</t>
  </si>
  <si>
    <t>LANE MATTHEW JOHN MD</t>
  </si>
  <si>
    <t>LANE MATTHEW</t>
  </si>
  <si>
    <t>MadeehaSaeed</t>
  </si>
  <si>
    <t>E0402564</t>
  </si>
  <si>
    <t>SAEED MADEEHA</t>
  </si>
  <si>
    <t>SAEED MADEEHA DR.</t>
  </si>
  <si>
    <t>MichaelM.Scimeca</t>
  </si>
  <si>
    <t>E0228668</t>
  </si>
  <si>
    <t>SCIMECA MICHAEL M          MD</t>
  </si>
  <si>
    <t>SCIMECA MICHAEL DR.</t>
  </si>
  <si>
    <t>LindaRogers</t>
  </si>
  <si>
    <t>E0117160</t>
  </si>
  <si>
    <t>ROGERS LINDA MD</t>
  </si>
  <si>
    <t>ROGERS LINDA DR.</t>
  </si>
  <si>
    <t>ROGERS LINDA</t>
  </si>
  <si>
    <t>NadejdaM.Tsankova</t>
  </si>
  <si>
    <t>E0378394</t>
  </si>
  <si>
    <t>TSANKOVA NADEJDA</t>
  </si>
  <si>
    <t>TSANKOVA NADEJDA DR.</t>
  </si>
  <si>
    <t>TSANKOVA NADEJDA MINCHEVA</t>
  </si>
  <si>
    <t>StephanieMendez</t>
  </si>
  <si>
    <t>E0029583</t>
  </si>
  <si>
    <t>MENDEZ STEPHANIE M  LPN</t>
  </si>
  <si>
    <t>MENDEZ STEPHANIE MRS.</t>
  </si>
  <si>
    <t>226 HILLSIDE LN</t>
  </si>
  <si>
    <t>MichaelW.Siegell</t>
  </si>
  <si>
    <t>E0038219</t>
  </si>
  <si>
    <t>SIEGELL MICHAEL WARREN MD</t>
  </si>
  <si>
    <t>SIEGELL MICHAEL</t>
  </si>
  <si>
    <t>750 PARK AVE STE C</t>
  </si>
  <si>
    <t>MargaretC.Sewell</t>
  </si>
  <si>
    <t>E0099158</t>
  </si>
  <si>
    <t>SEWELL MARGARET COOPER PHD</t>
  </si>
  <si>
    <t>SEWELL MARGARET DR.</t>
  </si>
  <si>
    <t>SEWELL MARGARET COOPER</t>
  </si>
  <si>
    <t>MarlaC.Dubinsky</t>
  </si>
  <si>
    <t>E0390987</t>
  </si>
  <si>
    <t>DUBINSKY MARLA CINDY</t>
  </si>
  <si>
    <t>DUBINSKY MARLA DR.</t>
  </si>
  <si>
    <t>BETANCESHEALTHCENTER</t>
  </si>
  <si>
    <t>E0274103</t>
  </si>
  <si>
    <t>BETANCES HEALTH CENTER</t>
  </si>
  <si>
    <t>SusanDoyle-Lindrud</t>
  </si>
  <si>
    <t>DOYLE-LINDRUD SUSAN DR.</t>
  </si>
  <si>
    <t>J2 BRIER HILL CT</t>
  </si>
  <si>
    <t>LeticiaS.Jakasal</t>
  </si>
  <si>
    <t>E0363063</t>
  </si>
  <si>
    <t>JAKASAL LETICIA S</t>
  </si>
  <si>
    <t>JAKASAL LETICIA MS.</t>
  </si>
  <si>
    <t>MichaelR.Shohet</t>
  </si>
  <si>
    <t>E0082376</t>
  </si>
  <si>
    <t>SHOHET MICHAEL MD</t>
  </si>
  <si>
    <t>SHOHET MICHAEL DR.</t>
  </si>
  <si>
    <t>620 COLUMBUS AVE</t>
  </si>
  <si>
    <t>RogerN.Levy</t>
  </si>
  <si>
    <t>E0225647</t>
  </si>
  <si>
    <t>LEVY ROGER N               MD</t>
  </si>
  <si>
    <t>LEVY ROGER DR.</t>
  </si>
  <si>
    <t>955 5TH AVE</t>
  </si>
  <si>
    <t>OscarPelaez</t>
  </si>
  <si>
    <t>E0228430</t>
  </si>
  <si>
    <t>PELAEZ OSCAR               MD</t>
  </si>
  <si>
    <t>PELAEZ OSCAR</t>
  </si>
  <si>
    <t>4037 74TH ST</t>
  </si>
  <si>
    <t>KennethL.Davis</t>
  </si>
  <si>
    <t>DAVIS KENNETH</t>
  </si>
  <si>
    <t>1 GUSTAVE L LEVY PL, BOX 1220</t>
  </si>
  <si>
    <t>GregoryA.Elder</t>
  </si>
  <si>
    <t>E0135278</t>
  </si>
  <si>
    <t>ELDER GREGORY A MD</t>
  </si>
  <si>
    <t>ELDER GREGORY DR.</t>
  </si>
  <si>
    <t>130 W KINGSBRIDGE RD # 3F22</t>
  </si>
  <si>
    <t>AnilChacko</t>
  </si>
  <si>
    <t>CHACKO ANIL DR.</t>
  </si>
  <si>
    <t>ONE GUSTAVE L. LEVY PLACE, BOX 1230</t>
  </si>
  <si>
    <t>MirnaClerie</t>
  </si>
  <si>
    <t>E0397706</t>
  </si>
  <si>
    <t>CLERIE MIRNA</t>
  </si>
  <si>
    <t>200 OLD COUNTRY RD STE 450</t>
  </si>
  <si>
    <t>VeenaNagarajanRao</t>
  </si>
  <si>
    <t>RAO VEENA DR.</t>
  </si>
  <si>
    <t>Lieberman,ElliottR.</t>
  </si>
  <si>
    <t>E0236453</t>
  </si>
  <si>
    <t>LIEBERMAN ELLIOTT  MD</t>
  </si>
  <si>
    <t>(631) 360-7450</t>
  </si>
  <si>
    <t>hlynn@imppllc.com</t>
  </si>
  <si>
    <t>LIEBERMAN ELLIOTT DR.</t>
  </si>
  <si>
    <t>875 OLD COUNTRY RD</t>
  </si>
  <si>
    <t>Luntz,RobertK.</t>
  </si>
  <si>
    <t>E0116331</t>
  </si>
  <si>
    <t>LUNTZ ROBERT KEVIN MD</t>
  </si>
  <si>
    <t>(631) 474-3000</t>
  </si>
  <si>
    <t>fmartinis@imppllc.com</t>
  </si>
  <si>
    <t>LUNTZ ROBERT</t>
  </si>
  <si>
    <t>Lynn,HowardS.</t>
  </si>
  <si>
    <t>E0141427</t>
  </si>
  <si>
    <t>LYNN HOWARD S MD</t>
  </si>
  <si>
    <t>(516) 378-0123</t>
  </si>
  <si>
    <t>omclenan@imppllc.com</t>
  </si>
  <si>
    <t>LYNN HOWARD</t>
  </si>
  <si>
    <t>LYNN HOWARD SCOTT</t>
  </si>
  <si>
    <t>373 ROUTE 111 STE 7</t>
  </si>
  <si>
    <t>Martinis,FrancisG.</t>
  </si>
  <si>
    <t>E0116333</t>
  </si>
  <si>
    <t>MARTINIS FRANCIS GERA</t>
  </si>
  <si>
    <t>(516) 873-5353</t>
  </si>
  <si>
    <t>bmellinger@imppllc.com</t>
  </si>
  <si>
    <t>MARTINIS FRANCIS DR.</t>
  </si>
  <si>
    <t>MARTINIS FRANCIS GERARD</t>
  </si>
  <si>
    <t>5400 NESCONSET HWY</t>
  </si>
  <si>
    <t>McLenan,OrvilleW.</t>
  </si>
  <si>
    <t>E0107258</t>
  </si>
  <si>
    <t>MCLENAN ORVILLE WAYNE MD</t>
  </si>
  <si>
    <t>(516) 394-9600</t>
  </si>
  <si>
    <t>smendrinos@imppllc.com</t>
  </si>
  <si>
    <t>MCLENAN ORVILLE</t>
  </si>
  <si>
    <t>294 W MERRICK RD STE 2</t>
  </si>
  <si>
    <t>Mellinger,BrettC.</t>
  </si>
  <si>
    <t>E0186982</t>
  </si>
  <si>
    <t>MELLINGER BRETT C MD</t>
  </si>
  <si>
    <t>(516) 520-8080</t>
  </si>
  <si>
    <t>mmene@imppllc.com</t>
  </si>
  <si>
    <t>MELLINGER BRETT</t>
  </si>
  <si>
    <t>100 GARDEN CITY PLZ</t>
  </si>
  <si>
    <t>Mendrinos,SavvasE.</t>
  </si>
  <si>
    <t>E0323039</t>
  </si>
  <si>
    <t>MENDRINOS SAVVAS</t>
  </si>
  <si>
    <t>emitchnick@imppllc.com</t>
  </si>
  <si>
    <t>Mene,MatthewP.</t>
  </si>
  <si>
    <t>E0123389</t>
  </si>
  <si>
    <t>MENE MATTHEW P MD</t>
  </si>
  <si>
    <t>(631) 475-5335</t>
  </si>
  <si>
    <t>rmusto@imppllc.com</t>
  </si>
  <si>
    <t>MENE MATTHEW</t>
  </si>
  <si>
    <t>Mitchnick,EricI.</t>
  </si>
  <si>
    <t>E0156470</t>
  </si>
  <si>
    <t>MITCHNICK ERIC IRA MD</t>
  </si>
  <si>
    <t>mnagar@imppllc.com</t>
  </si>
  <si>
    <t>MITCHNICK ERIC</t>
  </si>
  <si>
    <t>MITCHNICK ERIC IRA</t>
  </si>
  <si>
    <t>Musto,RichardV.</t>
  </si>
  <si>
    <t>E0236832</t>
  </si>
  <si>
    <t>MUSTO RICHARD V            MD</t>
  </si>
  <si>
    <t>(516) 932-6007</t>
  </si>
  <si>
    <t>eobedian@imppllc.com</t>
  </si>
  <si>
    <t>MUSTO RICHARD</t>
  </si>
  <si>
    <t>250 YAPHANK RD STE 11B</t>
  </si>
  <si>
    <t>HenriettaAkintoye</t>
  </si>
  <si>
    <t>AKINTOYE HENRIETTA DR.</t>
  </si>
  <si>
    <t>DavidWadeNeckman</t>
  </si>
  <si>
    <t>NECKMAN DAVID</t>
  </si>
  <si>
    <t>50 E 98TH ST, APT. 11A</t>
  </si>
  <si>
    <t>Quoc-SyKinhNguyen</t>
  </si>
  <si>
    <t>NGUYEN QUOC-SY</t>
  </si>
  <si>
    <t>PuravChetanShah</t>
  </si>
  <si>
    <t>SHAH PURAV</t>
  </si>
  <si>
    <t>515 W 59TH ST APT 5P</t>
  </si>
  <si>
    <t>AmandaGanza</t>
  </si>
  <si>
    <t>GANZA AMANDA</t>
  </si>
  <si>
    <t>1000 10TH AVE, DEPARTMENT OF OBSTETRICS AND GYNECOLOGY</t>
  </si>
  <si>
    <t>AlexisDyanaGreene</t>
  </si>
  <si>
    <t>GREENE ALEXIS DR.</t>
  </si>
  <si>
    <t>EkkawitChanchorn</t>
  </si>
  <si>
    <t>CHANCHORN EKKAWIT MR.</t>
  </si>
  <si>
    <t>800 E CARPENTER ST</t>
  </si>
  <si>
    <t>SujajDahal</t>
  </si>
  <si>
    <t>E0440213</t>
  </si>
  <si>
    <t>DAHAL SURAJ</t>
  </si>
  <si>
    <t>SamuelAaronHunter</t>
  </si>
  <si>
    <t>HUNTER SAMUEL</t>
  </si>
  <si>
    <t>339 E 94TH ST, APT 3B</t>
  </si>
  <si>
    <t>BrandonSarkisKandarian</t>
  </si>
  <si>
    <t>KANDARIAN BRANDON</t>
  </si>
  <si>
    <t>MeganNickelsRogge</t>
  </si>
  <si>
    <t>ROGGE MEGAN</t>
  </si>
  <si>
    <t>55 MOUNT CARMEL CT</t>
  </si>
  <si>
    <t>FENTON</t>
  </si>
  <si>
    <t>ShivaniBashiyan</t>
  </si>
  <si>
    <t>BASHIYAN SHIVANI</t>
  </si>
  <si>
    <t>1090 AMSTERDAM AVE, 11B</t>
  </si>
  <si>
    <t>DavidaAnnKornreich</t>
  </si>
  <si>
    <t>KORNREICH DAVIDA</t>
  </si>
  <si>
    <t>5 E 98TH ST FL 5</t>
  </si>
  <si>
    <t>MatthewBai</t>
  </si>
  <si>
    <t>E0410256</t>
  </si>
  <si>
    <t>BAI MATTHEW</t>
  </si>
  <si>
    <t>EricMichaelBassan</t>
  </si>
  <si>
    <t>BASSAN ERIC</t>
  </si>
  <si>
    <t>1 GUSTAVE L LEVY PL, BOX 1149</t>
  </si>
  <si>
    <t>KyamalyaIsmailova,MD</t>
  </si>
  <si>
    <t>IrfanAAzam</t>
  </si>
  <si>
    <t>AZAM IRFAN</t>
  </si>
  <si>
    <t>49 GREENTREE LN</t>
  </si>
  <si>
    <t>RinaAshishAnvekar</t>
  </si>
  <si>
    <t>E0452599</t>
  </si>
  <si>
    <t>ANVEKAR RINA ASHISH</t>
  </si>
  <si>
    <t>ANVEKAR RINA MRS.</t>
  </si>
  <si>
    <t>CassandraJJaundoo,PA</t>
  </si>
  <si>
    <t>E0395591</t>
  </si>
  <si>
    <t>JAUNDOO CASSANDRA JUANITA</t>
  </si>
  <si>
    <t>JAUNDOO CASSANDRA MISS</t>
  </si>
  <si>
    <t>RoxannaJimenez,MD</t>
  </si>
  <si>
    <t>E0061181</t>
  </si>
  <si>
    <t>JIMENEZ ROXANNA</t>
  </si>
  <si>
    <t>DaliahJohn,PA</t>
  </si>
  <si>
    <t>E0300062</t>
  </si>
  <si>
    <t>DALIAH JOHN</t>
  </si>
  <si>
    <t>JOHN DALIAH MRS.</t>
  </si>
  <si>
    <t>JOHN DALIAH</t>
  </si>
  <si>
    <t>KATHERINEMICHELIS</t>
  </si>
  <si>
    <t>MICHELIS KATHERINE</t>
  </si>
  <si>
    <t>16 WOODLAND PARK DR</t>
  </si>
  <si>
    <t>TENAFLY</t>
  </si>
  <si>
    <t>KazukoAbe</t>
  </si>
  <si>
    <t>ABE KAZUKO</t>
  </si>
  <si>
    <t>3556 90TH ST # 1F</t>
  </si>
  <si>
    <t>ShanePeterson</t>
  </si>
  <si>
    <t>E0389948</t>
  </si>
  <si>
    <t>PETERSON SHANE EMBER</t>
  </si>
  <si>
    <t>PETERSON SHANE DR.</t>
  </si>
  <si>
    <t>KathleenMKearney</t>
  </si>
  <si>
    <t>KEARNEY KATHLEEN MISS</t>
  </si>
  <si>
    <t>JosephJ.Manera</t>
  </si>
  <si>
    <t>E0332890</t>
  </si>
  <si>
    <t>MANERA JOSEPH JOHN PSYD</t>
  </si>
  <si>
    <t>MANERA JOSEPH</t>
  </si>
  <si>
    <t>MANERA JOSEPH JOHN</t>
  </si>
  <si>
    <t>3512 QUENTIN RD</t>
  </si>
  <si>
    <t>BOWERYRESIDENTS'COMMITTEE,INC.</t>
  </si>
  <si>
    <t>E0142815</t>
  </si>
  <si>
    <t>BRC HUMAN SERVICES CORP SCM</t>
  </si>
  <si>
    <t>BOWERY RESIDENTS' COMMITTEE, INC.</t>
  </si>
  <si>
    <t>BRC HUMAN SERVICES CORP</t>
  </si>
  <si>
    <t>80 CENTRE ST</t>
  </si>
  <si>
    <t>RogelioBermudez</t>
  </si>
  <si>
    <t>E0365707</t>
  </si>
  <si>
    <t>BERMUDEZ ROGELIO P</t>
  </si>
  <si>
    <t>BERMUDEZ ROGELIO MR.</t>
  </si>
  <si>
    <t>REBEKAHGOSPIN</t>
  </si>
  <si>
    <t>GOSPIN REBEKAH</t>
  </si>
  <si>
    <t>292 LONG RIDGE RD, SUITE 206</t>
  </si>
  <si>
    <t>DanielBryanAruch</t>
  </si>
  <si>
    <t>ARUCH DANIEL DR.</t>
  </si>
  <si>
    <t>171 ASHLEY AVE</t>
  </si>
  <si>
    <t>CHARLESTON</t>
  </si>
  <si>
    <t>BryanMahoney</t>
  </si>
  <si>
    <t>E0388534</t>
  </si>
  <si>
    <t>MAHONEY BRYAN PATRICK</t>
  </si>
  <si>
    <t>MAHONEY BRYAN DR.</t>
  </si>
  <si>
    <t>StevenMichaelKoehler</t>
  </si>
  <si>
    <t>KOEHLER STEVEN DR.</t>
  </si>
  <si>
    <t>5 E 98TH ST FL 9, BOX 1188</t>
  </si>
  <si>
    <t>RichardMayer</t>
  </si>
  <si>
    <t>E0121706</t>
  </si>
  <si>
    <t>MAYER RICHARD</t>
  </si>
  <si>
    <t>JohnThompson</t>
  </si>
  <si>
    <t>(718) 777-5243</t>
  </si>
  <si>
    <t>John.Thompson@psch.org</t>
  </si>
  <si>
    <t>MichaelCalvin</t>
  </si>
  <si>
    <t>E0000587</t>
  </si>
  <si>
    <t>MICHAEL CALVIN AUSTIN MD</t>
  </si>
  <si>
    <t>AvrilMaloney-McAlmont</t>
  </si>
  <si>
    <t>(718) 824-2790</t>
  </si>
  <si>
    <t>Avril.Maloney-Mcalmont@psch.org</t>
  </si>
  <si>
    <t>MICHAEL CALVIN AUSTIN</t>
  </si>
  <si>
    <t>21 FERNCLIFF DRIVE</t>
  </si>
  <si>
    <t>ChristinaNgocTramTran</t>
  </si>
  <si>
    <t>E0378224</t>
  </si>
  <si>
    <t>TRAN CHRISTINA NGOC TRAM</t>
  </si>
  <si>
    <t>TRAN CHRISTINA</t>
  </si>
  <si>
    <t>CrystalAmandaFernando</t>
  </si>
  <si>
    <t>FERNANDO CRYSTAL MS.</t>
  </si>
  <si>
    <t>10 UNION SQ E, SUITE 3K</t>
  </si>
  <si>
    <t>HardikGandhi,PA</t>
  </si>
  <si>
    <t>E0348303</t>
  </si>
  <si>
    <t>GANDHI HARDIK ATUL</t>
  </si>
  <si>
    <t>GANDHI HARDIK</t>
  </si>
  <si>
    <t>Scanlon,RobertF.</t>
  </si>
  <si>
    <t>E0158057</t>
  </si>
  <si>
    <t>SCANLON ROBERT FRANCIS JR MD</t>
  </si>
  <si>
    <t>(631) 351-3766</t>
  </si>
  <si>
    <t>donna.schneider@mountsinai.org</t>
  </si>
  <si>
    <t>SCANLON ROBERT DR.</t>
  </si>
  <si>
    <t>325 PARK AVE</t>
  </si>
  <si>
    <t>Shannon,PaulJ.</t>
  </si>
  <si>
    <t>E0334229</t>
  </si>
  <si>
    <t>SHANNON PAUL</t>
  </si>
  <si>
    <t>avasierecki@yahoo.com</t>
  </si>
  <si>
    <t>SHANNON PAUL DR.</t>
  </si>
  <si>
    <t>SHANNON PAUL JASON</t>
  </si>
  <si>
    <t>21 SOUTHDOWN RD</t>
  </si>
  <si>
    <t>Sierecki,MitchellR.</t>
  </si>
  <si>
    <t>E0339654</t>
  </si>
  <si>
    <t>SIERECKI MITCHELL</t>
  </si>
  <si>
    <t>(631) 351-8487</t>
  </si>
  <si>
    <t>mark.singer@mountsinai.org</t>
  </si>
  <si>
    <t>SIERECKI MITCHELL DR.</t>
  </si>
  <si>
    <t>KatherineMarieLoftus</t>
  </si>
  <si>
    <t>LOFTUS KATHERINE DR.</t>
  </si>
  <si>
    <t>42 WOLF RD UNIT 814</t>
  </si>
  <si>
    <t>NathanielHan-YinLoo</t>
  </si>
  <si>
    <t>LOO NATHANIEL DR.</t>
  </si>
  <si>
    <t>5323 HARRY HINES BLVD</t>
  </si>
  <si>
    <t>AntoinetteTolentino</t>
  </si>
  <si>
    <t>E0364811</t>
  </si>
  <si>
    <t>TOLENTINO ANTONIETTA</t>
  </si>
  <si>
    <t>KristenDams-O'Connor</t>
  </si>
  <si>
    <t>E0322233</t>
  </si>
  <si>
    <t>DAMS-OCONNOR KRISTEN</t>
  </si>
  <si>
    <t>DAMS-O'CONNOR KRISTEN DR.</t>
  </si>
  <si>
    <t>5 E 98TH ST # 1240B</t>
  </si>
  <si>
    <t>UnnatiPatel</t>
  </si>
  <si>
    <t>PATEL UNNATI</t>
  </si>
  <si>
    <t>ONE GUSTAVE L. LEVY PLACE, MOUNT SINAI HOSPITAL</t>
  </si>
  <si>
    <t>CamillaM.Levister</t>
  </si>
  <si>
    <t>E0388606</t>
  </si>
  <si>
    <t>LEVISTER CAMILLA</t>
  </si>
  <si>
    <t>LEVISTER CAMILLA MS.</t>
  </si>
  <si>
    <t>ReneD.Muslin</t>
  </si>
  <si>
    <t>MUSLIN RENE</t>
  </si>
  <si>
    <t>AnthonyAngelo</t>
  </si>
  <si>
    <t>E0152368</t>
  </si>
  <si>
    <t>ANGELO ANTHONY J MD</t>
  </si>
  <si>
    <t>ElizabethGalati</t>
  </si>
  <si>
    <t>(631) 669-5355</t>
  </si>
  <si>
    <t>egalati@fedoforg.org</t>
  </si>
  <si>
    <t>ANGELO ANTHONY</t>
  </si>
  <si>
    <t>NASSAU CTY MED CNTER</t>
  </si>
  <si>
    <t>Nagar,MichaelS.</t>
  </si>
  <si>
    <t>E0397264</t>
  </si>
  <si>
    <t>NAGAR MICHAEL SHAUN</t>
  </si>
  <si>
    <t>colsson@imppllc.com</t>
  </si>
  <si>
    <t>NAGAR MICHAEL DR.</t>
  </si>
  <si>
    <t>601 FRANKLIN AVE STE 300</t>
  </si>
  <si>
    <t>Obedian,Edward</t>
  </si>
  <si>
    <t>E0089312</t>
  </si>
  <si>
    <t>OBEDIAN EDWARD MD</t>
  </si>
  <si>
    <t>(914) 946-1406</t>
  </si>
  <si>
    <t>gowens@imppllc.com</t>
  </si>
  <si>
    <t>OBEDIAN EDWARD DR.</t>
  </si>
  <si>
    <t>GOOD SAMARITAN RADLG</t>
  </si>
  <si>
    <t>Olsson,CarlA.</t>
  </si>
  <si>
    <t>E0248888</t>
  </si>
  <si>
    <t>OLSSON CARL A MD PC</t>
  </si>
  <si>
    <t>(516) 437-4228</t>
  </si>
  <si>
    <t>epaul@imppllc.com</t>
  </si>
  <si>
    <t>OLSSON CARL</t>
  </si>
  <si>
    <t>3111 NEW HYDE PARK ROAD</t>
  </si>
  <si>
    <t>Owens,GeorgeF.</t>
  </si>
  <si>
    <t>(631) 963-7700</t>
  </si>
  <si>
    <t>apearlman@imppllc.com</t>
  </si>
  <si>
    <t>Paul,ElliotM.</t>
  </si>
  <si>
    <t>E0032343</t>
  </si>
  <si>
    <t>PAUL ELLIOT MARK MD</t>
  </si>
  <si>
    <t>(516) 796-2222</t>
  </si>
  <si>
    <t>ppeller@imppllc.com</t>
  </si>
  <si>
    <t>PAUL ELLIOT</t>
  </si>
  <si>
    <t>NikolaosAAlexandrou,MD</t>
  </si>
  <si>
    <t>E0118216</t>
  </si>
  <si>
    <t>ALEXANDROU NIKOLAOS A MD</t>
  </si>
  <si>
    <t>ALEXANDROU NIKOLAOS DR.</t>
  </si>
  <si>
    <t>RAMANSHARMA</t>
  </si>
  <si>
    <t>SHARMA RAMAN</t>
  </si>
  <si>
    <t>1510 LEXINGTON AVE, 12T</t>
  </si>
  <si>
    <t>Bogdanow,Lauren</t>
  </si>
  <si>
    <t>E0341567</t>
  </si>
  <si>
    <t>DICKERSON LAUREN</t>
  </si>
  <si>
    <t>BOGDANOW LAUREN</t>
  </si>
  <si>
    <t>TamaraAlieva</t>
  </si>
  <si>
    <t>E0284727</t>
  </si>
  <si>
    <t>ALIEVA TAMARA RPA</t>
  </si>
  <si>
    <t>ALIEVA TAMARA</t>
  </si>
  <si>
    <t>1555 ROCKAWAY PKWY</t>
  </si>
  <si>
    <t>JohnYeung</t>
  </si>
  <si>
    <t>E0384511</t>
  </si>
  <si>
    <t>YEUNG JOHN</t>
  </si>
  <si>
    <t>RolandG.Tayaba</t>
  </si>
  <si>
    <t>E0148328</t>
  </si>
  <si>
    <t>TAYABA ROLAND G MD</t>
  </si>
  <si>
    <t>TAYABA ROLAND</t>
  </si>
  <si>
    <t>MohamedNKishori</t>
  </si>
  <si>
    <t>KISHORI MOHAMED MR.</t>
  </si>
  <si>
    <t>IanJ.Cohen</t>
  </si>
  <si>
    <t>E0383207</t>
  </si>
  <si>
    <t>COHEN IAN JEFFREY</t>
  </si>
  <si>
    <t>COHEN IAN DR.</t>
  </si>
  <si>
    <t>16TH STREET AT 1ST A</t>
  </si>
  <si>
    <t>JasonDanielLitt</t>
  </si>
  <si>
    <t>LITT JASON DR.</t>
  </si>
  <si>
    <t>30 RENAISSANCE BLVD</t>
  </si>
  <si>
    <t>SharonSageman,MD</t>
  </si>
  <si>
    <t>E0181881</t>
  </si>
  <si>
    <t>LIPSCHITZ SAGEMAN SHARON B MD</t>
  </si>
  <si>
    <t>MadelineMaldonado</t>
  </si>
  <si>
    <t>(718) 364-7700</t>
  </si>
  <si>
    <t>mmaldonado@comunilife.org</t>
  </si>
  <si>
    <t>SAGEMAN SHARON</t>
  </si>
  <si>
    <t>ST LUKES ROOSEVELT H</t>
  </si>
  <si>
    <t>StewartSchwartz,MD</t>
  </si>
  <si>
    <t>AngeloVolpe</t>
  </si>
  <si>
    <t>VOLPE ANGELO</t>
  </si>
  <si>
    <t>IrinaShendrik</t>
  </si>
  <si>
    <t>E0327707</t>
  </si>
  <si>
    <t>SHENDRIK IRINA</t>
  </si>
  <si>
    <t>SHENDRIK IRINA MRS.</t>
  </si>
  <si>
    <t>KarinChoy</t>
  </si>
  <si>
    <t>E0340926</t>
  </si>
  <si>
    <t>CHOY KARIN E</t>
  </si>
  <si>
    <t>(712) 777-5243</t>
  </si>
  <si>
    <t>CHOY KARIN DR.</t>
  </si>
  <si>
    <t>CHOY KARIN ELIZABETH</t>
  </si>
  <si>
    <t>JeffreyDitzell</t>
  </si>
  <si>
    <t>E0346793</t>
  </si>
  <si>
    <t>DITZELL JEFFREY</t>
  </si>
  <si>
    <t>AyanaAli</t>
  </si>
  <si>
    <t>(347) 542-4249</t>
  </si>
  <si>
    <t>Ayana.Ali@psch.org</t>
  </si>
  <si>
    <t>DITZELL JEFFREY DR.</t>
  </si>
  <si>
    <t>DITZELL JEFFREY S</t>
  </si>
  <si>
    <t>37 BAY RIDGE AVE</t>
  </si>
  <si>
    <t>BenjaminChuckwuocha</t>
  </si>
  <si>
    <t>JulieHaar-Patton</t>
  </si>
  <si>
    <t>(347) 542-4220</t>
  </si>
  <si>
    <t>Julie.Haar@psch.org</t>
  </si>
  <si>
    <t>QiuxiaLan</t>
  </si>
  <si>
    <t>OctavioLiriano</t>
  </si>
  <si>
    <t>JustinPatrickMeyer</t>
  </si>
  <si>
    <t>MEYER JUSTIN DR.</t>
  </si>
  <si>
    <t>KarineGrigoryants</t>
  </si>
  <si>
    <t>E0339416</t>
  </si>
  <si>
    <t>GRIGORYANTS KARINE</t>
  </si>
  <si>
    <t>1 FARMINGDALE RD</t>
  </si>
  <si>
    <t>WEST BABYLON, NY, 11704</t>
  </si>
  <si>
    <t>SowmyaReddy</t>
  </si>
  <si>
    <t>E0363014</t>
  </si>
  <si>
    <t>REDDY SOWMYA</t>
  </si>
  <si>
    <t>REDDY SOWMYA DR.</t>
  </si>
  <si>
    <t>ONE FARMINGDALE ROAD</t>
  </si>
  <si>
    <t>MiraStaco</t>
  </si>
  <si>
    <t>E0334388</t>
  </si>
  <si>
    <t>STACO MIRA F</t>
  </si>
  <si>
    <t>STACO MIRA MRS.</t>
  </si>
  <si>
    <t>232 MERRICK RD</t>
  </si>
  <si>
    <t>E0202995</t>
  </si>
  <si>
    <t>ABT RENEE JUDITH           MD</t>
  </si>
  <si>
    <t>BleulerPsychotherapyCenter</t>
  </si>
  <si>
    <t>bpc1949@verizon.net</t>
  </si>
  <si>
    <t>ABT RENEE DR.</t>
  </si>
  <si>
    <t>135 CUSHMAN RD</t>
  </si>
  <si>
    <t>LauraAmram,M.D.</t>
  </si>
  <si>
    <t>E0127078</t>
  </si>
  <si>
    <t>HAROON HASINA AKTAR MD</t>
  </si>
  <si>
    <t>HAROON HASINA</t>
  </si>
  <si>
    <t>4517 BURLING ST</t>
  </si>
  <si>
    <t>E0009006</t>
  </si>
  <si>
    <t>SENOSIAN JAVIER  MD</t>
  </si>
  <si>
    <t>SENOSIAIN JAVIER DR.</t>
  </si>
  <si>
    <t>Bailly,Edward</t>
  </si>
  <si>
    <t>E0388608</t>
  </si>
  <si>
    <t>BAILLY EDWARD</t>
  </si>
  <si>
    <t>BAILLY EDWARD MR.</t>
  </si>
  <si>
    <t>BAILLY EDWARD JONATHAN</t>
  </si>
  <si>
    <t>17 E 102ND ST 7TH FL</t>
  </si>
  <si>
    <t>RafaelAGuillen,MD</t>
  </si>
  <si>
    <t>E0036881</t>
  </si>
  <si>
    <t>GUILLEN RAFAEL A MD</t>
  </si>
  <si>
    <t>GUILLEN RAFAEL</t>
  </si>
  <si>
    <t>AmritaGupte,MD</t>
  </si>
  <si>
    <t>E0027918</t>
  </si>
  <si>
    <t>GUPTE AMRITA K MD</t>
  </si>
  <si>
    <t>GUPTE AMRITA DR.</t>
  </si>
  <si>
    <t>MichaelEdelstein</t>
  </si>
  <si>
    <t>E0126101</t>
  </si>
  <si>
    <t>EDELSTEIN MICHAEL CHARLES DPM</t>
  </si>
  <si>
    <t>EDELSTEIN MICHAEL</t>
  </si>
  <si>
    <t>EDELSTEIN MICHAEL CHARLES</t>
  </si>
  <si>
    <t>21 WOOD SORRELL LN</t>
  </si>
  <si>
    <t>FarokhTarapore</t>
  </si>
  <si>
    <t>E0252397</t>
  </si>
  <si>
    <t>TARAPORE FAROKH EARCH MD</t>
  </si>
  <si>
    <t>(347) 432-42200</t>
  </si>
  <si>
    <t>TARAPORE FAROKH</t>
  </si>
  <si>
    <t>SHEEPSHEAD NURS HOME</t>
  </si>
  <si>
    <t>AbdulKhuwaja</t>
  </si>
  <si>
    <t>E0204170</t>
  </si>
  <si>
    <t>KHUWAJA ABDUL ALI MD PC</t>
  </si>
  <si>
    <t>MalikDean</t>
  </si>
  <si>
    <t>(718) 559-0555</t>
  </si>
  <si>
    <t>Malik.Dean@psch.org</t>
  </si>
  <si>
    <t>KHUWAJA ABDUL</t>
  </si>
  <si>
    <t>45 PARK E</t>
  </si>
  <si>
    <t>YvesBasse</t>
  </si>
  <si>
    <t>E0178780</t>
  </si>
  <si>
    <t>BASSE YVES LUC MD</t>
  </si>
  <si>
    <t>BASSE YVES DR.</t>
  </si>
  <si>
    <t>EduardoBondoc</t>
  </si>
  <si>
    <t>E0169762</t>
  </si>
  <si>
    <t>BONDOC EDUARDO CANLAS MD</t>
  </si>
  <si>
    <t>BONDOC EDUARDO</t>
  </si>
  <si>
    <t>1040 HEMPSTEAD TPKE STE LL2</t>
  </si>
  <si>
    <t>Pearlman,AndrewD.</t>
  </si>
  <si>
    <t>E0087136</t>
  </si>
  <si>
    <t>PEARLMAN ANDREW DOUGLAS MD</t>
  </si>
  <si>
    <t>(347) 295-2600</t>
  </si>
  <si>
    <t>Spolepalle@imppllc.com</t>
  </si>
  <si>
    <t>PEARLMAN ANDREW</t>
  </si>
  <si>
    <t>1324 MOTOR PKWY</t>
  </si>
  <si>
    <t>IgorDumic</t>
  </si>
  <si>
    <t>DUMIC IGOR DR.</t>
  </si>
  <si>
    <t>1400 BELLINGER ST</t>
  </si>
  <si>
    <t>EAU CLAIRE</t>
  </si>
  <si>
    <t>VarunJain</t>
  </si>
  <si>
    <t>JAIN VARUN</t>
  </si>
  <si>
    <t>9932 66TH RD, APT 3Q</t>
  </si>
  <si>
    <t>AlexanderMarinoSailon</t>
  </si>
  <si>
    <t>SAILON ALEXANDER</t>
  </si>
  <si>
    <t>4660 KENMORE AVE, SUITE 220</t>
  </si>
  <si>
    <t>ALEXANDRIA</t>
  </si>
  <si>
    <t>BenjaminJaredHeller</t>
  </si>
  <si>
    <t>HELLER BENJAMIN</t>
  </si>
  <si>
    <t>21 ROYDEN RD</t>
  </si>
  <si>
    <t>AlexandraKernerGolant</t>
  </si>
  <si>
    <t>E0408173</t>
  </si>
  <si>
    <t>GOLANT ALEXANDRA KERNER</t>
  </si>
  <si>
    <t>GOLANT ALEXANDRA DR.</t>
  </si>
  <si>
    <t>KristinaGoldenberg</t>
  </si>
  <si>
    <t>E0415822</t>
  </si>
  <si>
    <t>GOLDENBERG KRISTINA</t>
  </si>
  <si>
    <t>GOLDENBERG KRISTINA DR.</t>
  </si>
  <si>
    <t>64-05 YELLOWSTONE BLVD</t>
  </si>
  <si>
    <t>MadelaineMHaddican</t>
  </si>
  <si>
    <t>HADDICAN MADELAINE</t>
  </si>
  <si>
    <t>LALITPATEL</t>
  </si>
  <si>
    <t>E0035343</t>
  </si>
  <si>
    <t>PATEL LALIT POPATLAL MD</t>
  </si>
  <si>
    <t>PATEL LALIT</t>
  </si>
  <si>
    <t>PATEL LALIT POPATLAL</t>
  </si>
  <si>
    <t>370 9TH STREET</t>
  </si>
  <si>
    <t>Layne,JeffreyT.</t>
  </si>
  <si>
    <t>E0116300</t>
  </si>
  <si>
    <t>LAYNE JEFFREY</t>
  </si>
  <si>
    <t>(914) 949-7556</t>
  </si>
  <si>
    <t>slerner@imppllc.com</t>
  </si>
  <si>
    <t>LAYNE JEFFREY TODD</t>
  </si>
  <si>
    <t>1181 OLD COUNTRY RD</t>
  </si>
  <si>
    <t>Lefkowitz,GaryK.</t>
  </si>
  <si>
    <t>E0053053</t>
  </si>
  <si>
    <t>LEFKOWITZ GARY K MD</t>
  </si>
  <si>
    <t>mlevine@imppllc.com</t>
  </si>
  <si>
    <t>LEFKOWITZ GARY</t>
  </si>
  <si>
    <t>155 W MERRICK RD</t>
  </si>
  <si>
    <t>Lerner,SethE.</t>
  </si>
  <si>
    <t>E0138603</t>
  </si>
  <si>
    <t>LERNER SETH EDWARD MD</t>
  </si>
  <si>
    <t>clibby@imppllc.com</t>
  </si>
  <si>
    <t>LERNER SETH</t>
  </si>
  <si>
    <t>170 MAPLE AVE  STE 104</t>
  </si>
  <si>
    <t>Libby,CharlesE.</t>
  </si>
  <si>
    <t>E0116556</t>
  </si>
  <si>
    <t>LIBBY CHARLES</t>
  </si>
  <si>
    <t>(516) 931-1710</t>
  </si>
  <si>
    <t>rluntz@imppllc.com</t>
  </si>
  <si>
    <t>LIBBY CHARLES EDMUND</t>
  </si>
  <si>
    <t>210-08 NORTHERN BLVD STE 4</t>
  </si>
  <si>
    <t>THEASSOCIATIONFORREABILITATIVECASEMANAGEMENTANDHOUSING</t>
  </si>
  <si>
    <t>E0081360</t>
  </si>
  <si>
    <t>ASSOC/REHAB CASE MGNT HOU  MH</t>
  </si>
  <si>
    <t>THE ASSOCIATION FOR REABILITATIVE CASE MANAGEMENT AND HOUSING</t>
  </si>
  <si>
    <t>752 W 178TH ST</t>
  </si>
  <si>
    <t>JunaidIbrahim</t>
  </si>
  <si>
    <t>IBRAHIM JUNAID</t>
  </si>
  <si>
    <t>401 N BROADWAY ST, WEINBERG 2242</t>
  </si>
  <si>
    <t>EmilioMadrigal</t>
  </si>
  <si>
    <t>MADRIGAL EMILIO</t>
  </si>
  <si>
    <t>WenjingShi</t>
  </si>
  <si>
    <t>SHI WENJING</t>
  </si>
  <si>
    <t>LharaMariaDeLosAngelesSumarrivaLezama</t>
  </si>
  <si>
    <t>SUMARRIVA LEZAMA LHARA</t>
  </si>
  <si>
    <t>1425 BROADWAY, APT. 2R</t>
  </si>
  <si>
    <t>MarcelGreen</t>
  </si>
  <si>
    <t>GREEN MARCEL</t>
  </si>
  <si>
    <t>593 EDDY ST</t>
  </si>
  <si>
    <t>MehranRMoarefi,MD</t>
  </si>
  <si>
    <t>Magnas,TamarE.</t>
  </si>
  <si>
    <t>E0305679</t>
  </si>
  <si>
    <t>MAGNAS TAMAR</t>
  </si>
  <si>
    <t>(212) 535-3131</t>
  </si>
  <si>
    <t>yaelwapinski@yahoo.com</t>
  </si>
  <si>
    <t>MAGNAS TAMAR DR.</t>
  </si>
  <si>
    <t>5211 15TH AVE</t>
  </si>
  <si>
    <t>DouglasAllenTremblay</t>
  </si>
  <si>
    <t>TREMBLAY DOUGLAS</t>
  </si>
  <si>
    <t>17 E 102ND ST, 7TH FLOOR # 1087</t>
  </si>
  <si>
    <t>Gilbert,RichardS.</t>
  </si>
  <si>
    <t>E0090272</t>
  </si>
  <si>
    <t>GILBERT RICHARD MD</t>
  </si>
  <si>
    <t>(212) 289-0700</t>
  </si>
  <si>
    <t>vvarm001@umaryland.edu</t>
  </si>
  <si>
    <t>AllisonSauler</t>
  </si>
  <si>
    <t>E0430634</t>
  </si>
  <si>
    <t>SAULER ALLISON JEDDIS</t>
  </si>
  <si>
    <t>SAULER ALLISON</t>
  </si>
  <si>
    <t>DavidTerca</t>
  </si>
  <si>
    <t>TERCA DAVID</t>
  </si>
  <si>
    <t>JonathanYahav</t>
  </si>
  <si>
    <t>YAHAV JONATHAN</t>
  </si>
  <si>
    <t>ColinJohnFeuille</t>
  </si>
  <si>
    <t>FEUILLE COLIN</t>
  </si>
  <si>
    <t>17 E 102ND ST FL 7, #1087</t>
  </si>
  <si>
    <t>ShiraMiriamFrankel</t>
  </si>
  <si>
    <t>FRANKEL SHIRA</t>
  </si>
  <si>
    <t>JulieAFried</t>
  </si>
  <si>
    <t>FRIED JULIE</t>
  </si>
  <si>
    <t>BenjaminFriedman</t>
  </si>
  <si>
    <t>EmemInyangAdolf-Ubokudom</t>
  </si>
  <si>
    <t>ADOLF-UBOKUDOM EMEM DR.</t>
  </si>
  <si>
    <t>1500 SOUTH CALIFORNIA AVENUE</t>
  </si>
  <si>
    <t>MargaritaPresman</t>
  </si>
  <si>
    <t>E0398867</t>
  </si>
  <si>
    <t>PRESMAN MARGARITA</t>
  </si>
  <si>
    <t>PRESMAN MARGARITA DR.</t>
  </si>
  <si>
    <t>1933 78TH ST # 2C</t>
  </si>
  <si>
    <t>SaraWelinsky</t>
  </si>
  <si>
    <t>WELINSKY SARA MS.</t>
  </si>
  <si>
    <t>39 E 29TH ST, APT 8C</t>
  </si>
  <si>
    <t>LudwingAlexisFlorezSalamanca</t>
  </si>
  <si>
    <t>FLOREZ-SALAMANCA LUDWING</t>
  </si>
  <si>
    <t>CRA 29 N 94 - 03, CASA 14</t>
  </si>
  <si>
    <t>BUCARAMANGA</t>
  </si>
  <si>
    <t>SANTANDER</t>
  </si>
  <si>
    <t>AnthonyChu</t>
  </si>
  <si>
    <t>CHU ANTHONY</t>
  </si>
  <si>
    <t>450 E SPRING ST, #1</t>
  </si>
  <si>
    <t>AmaliaDorelien</t>
  </si>
  <si>
    <t>E0445456</t>
  </si>
  <si>
    <t>DORELIEN AMALIA</t>
  </si>
  <si>
    <t>LOWEREASTSIDESERVICECENTER,INC.</t>
  </si>
  <si>
    <t>46 E BROADWAY</t>
  </si>
  <si>
    <t>JosephAnthonyCapo</t>
  </si>
  <si>
    <t>E0428511</t>
  </si>
  <si>
    <t>CAPO JOSEPH ANTHONY</t>
  </si>
  <si>
    <t>CAPO JOSEPH</t>
  </si>
  <si>
    <t>310 E 14TH ST FL 1</t>
  </si>
  <si>
    <t>JeffreyPaulCranford</t>
  </si>
  <si>
    <t>E0380052</t>
  </si>
  <si>
    <t>CRANFORD JEFFREY PAUL</t>
  </si>
  <si>
    <t>CRANFORD JEFFREY DR.</t>
  </si>
  <si>
    <t>Jamal,Joseph</t>
  </si>
  <si>
    <t>E0321371</t>
  </si>
  <si>
    <t>JAMAL JOSEPH E</t>
  </si>
  <si>
    <t>(516) 766-2929</t>
  </si>
  <si>
    <t>ckandler@imppllc.com</t>
  </si>
  <si>
    <t>JAMAL JOSEPH DR.</t>
  </si>
  <si>
    <t>1305 FRANKLIN AVE STE 100</t>
  </si>
  <si>
    <t>Jhaveri,JignaD.</t>
  </si>
  <si>
    <t>E0129331</t>
  </si>
  <si>
    <t>JHAVERI JIGNA DESAI</t>
  </si>
  <si>
    <t>dkapoor@imppllc.com</t>
  </si>
  <si>
    <t>JHAVERI JIGNA DR.</t>
  </si>
  <si>
    <t>700 STEWART AVE</t>
  </si>
  <si>
    <t>Kandler,CharlesJ.</t>
  </si>
  <si>
    <t>E0114983</t>
  </si>
  <si>
    <t>KANDLER CHARLES J MD</t>
  </si>
  <si>
    <t>akatz@imppllc.com</t>
  </si>
  <si>
    <t>KANDLER CHARLES DR.</t>
  </si>
  <si>
    <t>200 N VILLAGE AVE STE 300</t>
  </si>
  <si>
    <t>Kapoor,DeepakA.</t>
  </si>
  <si>
    <t>E0137675</t>
  </si>
  <si>
    <t>KAPOOR DEEPAK A MD</t>
  </si>
  <si>
    <t>(845) 517-1720</t>
  </si>
  <si>
    <t>ramankaul49@hotmail.com</t>
  </si>
  <si>
    <t>KAPOOR DEEPAK</t>
  </si>
  <si>
    <t>KAPOOR DEEPAK AMRIT</t>
  </si>
  <si>
    <t>4230 HEMPSTEAD TPKE</t>
  </si>
  <si>
    <t>JenniferAllisonSedor</t>
  </si>
  <si>
    <t>SEDOR JENNIFER</t>
  </si>
  <si>
    <t>Stone,PeterL.</t>
  </si>
  <si>
    <t>ethall@imppllc.com</t>
  </si>
  <si>
    <t>JeetenSingha</t>
  </si>
  <si>
    <t>SINGHA JEETEN</t>
  </si>
  <si>
    <t>17 E 102ND ST, DEPT OF ORTHOPEDIC SURGERY/PODIATRY</t>
  </si>
  <si>
    <t>LisaJaneVassalotti</t>
  </si>
  <si>
    <t>VASSALOTTI LISA</t>
  </si>
  <si>
    <t>1249 PARK AVE, 4F</t>
  </si>
  <si>
    <t>JudyReneeBurke</t>
  </si>
  <si>
    <t>BURKE JUDY</t>
  </si>
  <si>
    <t>TiffanyMarieChristian</t>
  </si>
  <si>
    <t>CHRISTIAN TIFFANY</t>
  </si>
  <si>
    <t>1 GUSTAVE LEVY PLACE, BOX 1230</t>
  </si>
  <si>
    <t>MiguelAntonioBenavides</t>
  </si>
  <si>
    <t>BENAVIDES MIGUEL</t>
  </si>
  <si>
    <t>353 E 17TH ST, 20TH FLOOR</t>
  </si>
  <si>
    <t>KimberlyReneeKahne</t>
  </si>
  <si>
    <t>E0393071</t>
  </si>
  <si>
    <t>KAHNE KIMBERLY</t>
  </si>
  <si>
    <t>KAHNE KIMBERLY DR.</t>
  </si>
  <si>
    <t>KAHNE KIMBERLY RENEE</t>
  </si>
  <si>
    <t>KatyElizabethBockstall</t>
  </si>
  <si>
    <t>BOCKSTALL KATY DR.</t>
  </si>
  <si>
    <t>EricDanielBraunstein</t>
  </si>
  <si>
    <t>BRAUNSTEIN ERIC DR.</t>
  </si>
  <si>
    <t>17 E 102ND ST, 7TH FLOOR</t>
  </si>
  <si>
    <t>JuliaMarieBudde</t>
  </si>
  <si>
    <t>BUDDE JULIA</t>
  </si>
  <si>
    <t>300 MARTIN LUTHER KING JR DR SE, APT 312</t>
  </si>
  <si>
    <t>WilliamEdwardKarle</t>
  </si>
  <si>
    <t>E0380077</t>
  </si>
  <si>
    <t>KARLE WILLIAM EDWARD</t>
  </si>
  <si>
    <t>KARLE WILLIAM</t>
  </si>
  <si>
    <t>YuhuiYan,MD</t>
  </si>
  <si>
    <t>E0388584</t>
  </si>
  <si>
    <t>YAN YUHUI</t>
  </si>
  <si>
    <t>YAN YUHUI DR.</t>
  </si>
  <si>
    <t>JenniferWai-YinLee</t>
  </si>
  <si>
    <t>E0373021</t>
  </si>
  <si>
    <t>LEE JENNIFER WAI-YIN</t>
  </si>
  <si>
    <t>LEE JENNIFER</t>
  </si>
  <si>
    <t>AndrewBNightingale</t>
  </si>
  <si>
    <t>E0372997</t>
  </si>
  <si>
    <t>NIGHTINGALE ANDREW BRADLEY</t>
  </si>
  <si>
    <t>NIGHTINGALE ANDREW DR.</t>
  </si>
  <si>
    <t>JeanieYoungPaik</t>
  </si>
  <si>
    <t>E0373007</t>
  </si>
  <si>
    <t>PAIK JEANIE YOUNG</t>
  </si>
  <si>
    <t>PAIK JEANIE</t>
  </si>
  <si>
    <t>KhoaDangPham</t>
  </si>
  <si>
    <t>E0374008</t>
  </si>
  <si>
    <t>PHAM KHOA</t>
  </si>
  <si>
    <t>NYEEI-310 EAST 14TH STREET</t>
  </si>
  <si>
    <t>METROPOLITANJEWISHHOMECARE,INC.</t>
  </si>
  <si>
    <t>E0309501</t>
  </si>
  <si>
    <t>METROPOLITAN/JEWISH HSPC GNY/MJH</t>
  </si>
  <si>
    <t>METROPOLITAN JEWISH HOME CARE, INC.</t>
  </si>
  <si>
    <t>MJHS HOSPICE/PALLIATIVE CARE OF GNY</t>
  </si>
  <si>
    <t>39 BROADWAY SUITE 200</t>
  </si>
  <si>
    <t>NivMor</t>
  </si>
  <si>
    <t>E0412857</t>
  </si>
  <si>
    <t>MOR NIV</t>
  </si>
  <si>
    <t>ErwynChuaOng</t>
  </si>
  <si>
    <t>E0365928</t>
  </si>
  <si>
    <t>ONG ERWYN CHUA</t>
  </si>
  <si>
    <t>ONG ERWYN DR.</t>
  </si>
  <si>
    <t>317 E 17TH ST FL 7</t>
  </si>
  <si>
    <t>MatthewLouisGoland-VanRyn</t>
  </si>
  <si>
    <t>GOLAND-VAN RYN MATTHEW</t>
  </si>
  <si>
    <t>31 SYCAMORE CIR</t>
  </si>
  <si>
    <t>Guang-QianXiao,MD</t>
  </si>
  <si>
    <t>BARBARASCHOFIELD</t>
  </si>
  <si>
    <t>BeatrizCruzAlvarez</t>
  </si>
  <si>
    <t>E0442133</t>
  </si>
  <si>
    <t>CRUZ-ALVAREZ BEATRIZ</t>
  </si>
  <si>
    <t>JonathanPaulCauchi</t>
  </si>
  <si>
    <t>CAUCHI JONATHAN DR.</t>
  </si>
  <si>
    <t>1ST AVE AT 16TH STREET</t>
  </si>
  <si>
    <t>MohanDutt</t>
  </si>
  <si>
    <t>DUTT MOHAN DR.</t>
  </si>
  <si>
    <t>130 W KINGSBRIDGE RD, 7A-11</t>
  </si>
  <si>
    <t>LindseyChengYeh</t>
  </si>
  <si>
    <t>YEH LINDSEY</t>
  </si>
  <si>
    <t>710 LAWRENCE EXPY, GME DEPT. 384</t>
  </si>
  <si>
    <t>SANTA CLARA</t>
  </si>
  <si>
    <t>MichaelBarca</t>
  </si>
  <si>
    <t>BARCA MICHAEL</t>
  </si>
  <si>
    <t>LauraMichelleBorman</t>
  </si>
  <si>
    <t>E0425026</t>
  </si>
  <si>
    <t>BORMAN LAURA MICHELLE</t>
  </si>
  <si>
    <t>BORMAN LAURA</t>
  </si>
  <si>
    <t>EmilyCarroll</t>
  </si>
  <si>
    <t>EAGLSTEIN EMILY</t>
  </si>
  <si>
    <t>6200 SW 73RD ST</t>
  </si>
  <si>
    <t>SOUTH MIAMI</t>
  </si>
  <si>
    <t>PatriciaLaw,PA</t>
  </si>
  <si>
    <t>E0370486</t>
  </si>
  <si>
    <t>LAW PATRICIA</t>
  </si>
  <si>
    <t>Dr.IrinaNatalenko</t>
  </si>
  <si>
    <t>IrinaNatalenko</t>
  </si>
  <si>
    <t>(718) 417-7010</t>
  </si>
  <si>
    <t>natalenk@optonline.net</t>
  </si>
  <si>
    <t>Dr.JoelBlass</t>
  </si>
  <si>
    <t>JoelBlass</t>
  </si>
  <si>
    <t>jmblass@gmail.com</t>
  </si>
  <si>
    <t>10ClairmountAvenue</t>
  </si>
  <si>
    <t>MountVernon</t>
  </si>
  <si>
    <t>AmandaAli</t>
  </si>
  <si>
    <t>CorinaSharp</t>
  </si>
  <si>
    <t>975WestchesterAve.</t>
  </si>
  <si>
    <t>PrinaAmin</t>
  </si>
  <si>
    <t>JeffreyDSmith</t>
  </si>
  <si>
    <t>SMITH JEFFREY DR.</t>
  </si>
  <si>
    <t>550 WATER ST, STE I2</t>
  </si>
  <si>
    <t>SANTA CRUZ</t>
  </si>
  <si>
    <t>MilanB.Shah</t>
  </si>
  <si>
    <t>SHAH MILAN</t>
  </si>
  <si>
    <t>722 45TH ST</t>
  </si>
  <si>
    <t>DanielPosnerDinardo</t>
  </si>
  <si>
    <t>E0409812</t>
  </si>
  <si>
    <t>DINARDO DANIEL POSNER</t>
  </si>
  <si>
    <t>DINARDO DANIEL DR.</t>
  </si>
  <si>
    <t>JenniferCatherineHelwig</t>
  </si>
  <si>
    <t>E0428461</t>
  </si>
  <si>
    <t>RUANE JENNIFER CATHERINE</t>
  </si>
  <si>
    <t>RUANE JENNIFER</t>
  </si>
  <si>
    <t>10 NATHAN D PERLMAN PL   2ND FL</t>
  </si>
  <si>
    <t>TereseZ.Watkins-Laptiste</t>
  </si>
  <si>
    <t>E0430701</t>
  </si>
  <si>
    <t>WATKINS-LAPTISTE TERESE</t>
  </si>
  <si>
    <t>SarahKim</t>
  </si>
  <si>
    <t>E0334255</t>
  </si>
  <si>
    <t>KIM SARAH K</t>
  </si>
  <si>
    <t>10 UNION SQUARE AST STE 3G H AND J</t>
  </si>
  <si>
    <t>AriehChaimGreenbaum</t>
  </si>
  <si>
    <t>GREENBAUM ARIEH</t>
  </si>
  <si>
    <t>1925 EASTCHESTER RD, 3D</t>
  </si>
  <si>
    <t>Shieh,Jong-Chuan</t>
  </si>
  <si>
    <t>E0120221</t>
  </si>
  <si>
    <t>SHIEH JONG-CHUAN MD</t>
  </si>
  <si>
    <t>(718) 932-0007</t>
  </si>
  <si>
    <t>albert.winyard@mountsinai.org</t>
  </si>
  <si>
    <t>SHIEH JONG</t>
  </si>
  <si>
    <t>3822 147TH ST</t>
  </si>
  <si>
    <t>Webber,Barry</t>
  </si>
  <si>
    <t>E0167626</t>
  </si>
  <si>
    <t>WEBBER BARRY R MD</t>
  </si>
  <si>
    <t>(718) 932-1000</t>
  </si>
  <si>
    <t>edward.yang@mountsinai.org</t>
  </si>
  <si>
    <t>WEBBER BARRY</t>
  </si>
  <si>
    <t>EMSA LTD PT WYCKOFF</t>
  </si>
  <si>
    <t>TheodoreCFailmezger,MD</t>
  </si>
  <si>
    <t>E0275181</t>
  </si>
  <si>
    <t>FAILMEZGER THEODORE C      MD</t>
  </si>
  <si>
    <t>FAILMEZGER THEODORE</t>
  </si>
  <si>
    <t>31 WASHINGTON SQ W</t>
  </si>
  <si>
    <t>Jackness,CliftonM.</t>
  </si>
  <si>
    <t>E0414950</t>
  </si>
  <si>
    <t>JACKNESS CLIFTON</t>
  </si>
  <si>
    <t>albmd79@optonline.net</t>
  </si>
  <si>
    <t>JACKNESS CLIFTON DR.</t>
  </si>
  <si>
    <t>103 E 75TH ST</t>
  </si>
  <si>
    <t>Patel,SunilH.</t>
  </si>
  <si>
    <t>E0117509</t>
  </si>
  <si>
    <t>PATEL SUNIL MD</t>
  </si>
  <si>
    <t>(718) 792-7600</t>
  </si>
  <si>
    <t>heathertiffanycookmd@gmail.com</t>
  </si>
  <si>
    <t>2905 HYLAN BLVD</t>
  </si>
  <si>
    <t>EdmundA.Nahm</t>
  </si>
  <si>
    <t>E0380304</t>
  </si>
  <si>
    <t>NAHM EDMUND ALBERT</t>
  </si>
  <si>
    <t>NAHM EDMUND</t>
  </si>
  <si>
    <t>Katz,BruceE.</t>
  </si>
  <si>
    <t>E0222262</t>
  </si>
  <si>
    <t>KATZ BRUCE E               MD</t>
  </si>
  <si>
    <t>(718) 447-7110</t>
  </si>
  <si>
    <t>carolinpenrose@gmail.com</t>
  </si>
  <si>
    <t>KATZ BRUCE MR.</t>
  </si>
  <si>
    <t>14 E 82ND ST</t>
  </si>
  <si>
    <t>DaisyDuan</t>
  </si>
  <si>
    <t>DUAN DAISY</t>
  </si>
  <si>
    <t>EricJLee</t>
  </si>
  <si>
    <t>LEE ERIC DR.</t>
  </si>
  <si>
    <t>4700 W SUNSET BLVD, 5TH FLOOR</t>
  </si>
  <si>
    <t>MigdaliaFeliciano</t>
  </si>
  <si>
    <t>FELICIANO MIGDALIA DR.</t>
  </si>
  <si>
    <t>438 CALLE JUANITA, URB. BELLAS LOMAS</t>
  </si>
  <si>
    <t>MAYAGUEZ</t>
  </si>
  <si>
    <t>PR</t>
  </si>
  <si>
    <t>Varughese,ChristopherJ.</t>
  </si>
  <si>
    <t>E0387780</t>
  </si>
  <si>
    <t>VARUGHESE CHRISTOPHER J</t>
  </si>
  <si>
    <t>(212) 861-8976</t>
  </si>
  <si>
    <t>julijaq@aol.com</t>
  </si>
  <si>
    <t>VARUGHESE CHRISTOPHER DR.</t>
  </si>
  <si>
    <t>VARUGHESE CHRISTOPHER JOHN</t>
  </si>
  <si>
    <t>4207 30TH AVE</t>
  </si>
  <si>
    <t>LisaNicoleLinde</t>
  </si>
  <si>
    <t>LINDE LISA</t>
  </si>
  <si>
    <t>StacyLeeMcAllister</t>
  </si>
  <si>
    <t>MCALLISTER STACY</t>
  </si>
  <si>
    <t>3401 CIVIC CENTER BLVD, DIVISION OF CHILD AND ADOLESCENT PSYCHIATRY</t>
  </si>
  <si>
    <t>Katz,AlbertS.</t>
  </si>
  <si>
    <t>E0261480</t>
  </si>
  <si>
    <t>KATZ ALBERT S              MD</t>
  </si>
  <si>
    <t>(718) 517-3030</t>
  </si>
  <si>
    <t>hkivell@imppllc.com</t>
  </si>
  <si>
    <t>KATZ ALBERT DR.</t>
  </si>
  <si>
    <t>200 N VILLAGE AVE</t>
  </si>
  <si>
    <t>Kaul,Raman</t>
  </si>
  <si>
    <t>E0198929</t>
  </si>
  <si>
    <t>KAUL RAMAN                 MD</t>
  </si>
  <si>
    <t>mkleeman@imppllc.com</t>
  </si>
  <si>
    <t>KAUL RAMAN DR.</t>
  </si>
  <si>
    <t>MAHOPAC RADIOLOGY PC</t>
  </si>
  <si>
    <t>Kivell,HowardN.</t>
  </si>
  <si>
    <t>akohan@imppllc.com</t>
  </si>
  <si>
    <t>Kleeman,MichaelW.</t>
  </si>
  <si>
    <t>E0020413</t>
  </si>
  <si>
    <t>KLEEMAN MICHAEL WILLIAM MD</t>
  </si>
  <si>
    <t>ekreutzer@imppllc.com</t>
  </si>
  <si>
    <t>KLEEMAN MICHAEL</t>
  </si>
  <si>
    <t>ClaireBrandon</t>
  </si>
  <si>
    <t>E0456667</t>
  </si>
  <si>
    <t>BRANDON CLAIRE</t>
  </si>
  <si>
    <t>BRANDON CLAIRE DR.</t>
  </si>
  <si>
    <t>HartNicholasKopple-Perry</t>
  </si>
  <si>
    <t>E0445120</t>
  </si>
  <si>
    <t>KOPPLE-PERRY HART NICHOLAS</t>
  </si>
  <si>
    <t>KOPPLE-PERRY HART DR.</t>
  </si>
  <si>
    <t>GaryStruckMclaughlin</t>
  </si>
  <si>
    <t>MCLAUGHLIN GARY DR.</t>
  </si>
  <si>
    <t>182 MILLERS CORNERS RD</t>
  </si>
  <si>
    <t>InnaRudman</t>
  </si>
  <si>
    <t>E0367256</t>
  </si>
  <si>
    <t>RUDMAN INNA</t>
  </si>
  <si>
    <t>HENGEL INNA DR.</t>
  </si>
  <si>
    <t>LaurenMTerranova</t>
  </si>
  <si>
    <t>E0367282</t>
  </si>
  <si>
    <t>TERRANOVA LAUREN MARY</t>
  </si>
  <si>
    <t>TERRANOVA LAUREN DR.</t>
  </si>
  <si>
    <t>FairenNWalker</t>
  </si>
  <si>
    <t>WALKER FAIREN MS.</t>
  </si>
  <si>
    <t>1526 COUNTY ROAD 424</t>
  </si>
  <si>
    <t>RANBURNE</t>
  </si>
  <si>
    <t>Chan,Sherman</t>
  </si>
  <si>
    <t>E0321680</t>
  </si>
  <si>
    <t>CHAN SHERMAN MD</t>
  </si>
  <si>
    <t>(516) 487-5577</t>
  </si>
  <si>
    <t>michaeloheb@yahoo.com</t>
  </si>
  <si>
    <t>CHAN SHERMAN DR.</t>
  </si>
  <si>
    <t>315 E SHORE RD</t>
  </si>
  <si>
    <t>Lee,MelissaS.</t>
  </si>
  <si>
    <t>E0323384</t>
  </si>
  <si>
    <t>LEE MELISSA</t>
  </si>
  <si>
    <t>kathy.navid@gmail.com</t>
  </si>
  <si>
    <t>LEE MELISSA SUE</t>
  </si>
  <si>
    <t>2715 30TH AVE</t>
  </si>
  <si>
    <t>DipikaBJoshi</t>
  </si>
  <si>
    <t>E0373886</t>
  </si>
  <si>
    <t>JOSHI DIPIKA B</t>
  </si>
  <si>
    <t>JOSHI DIPIKA</t>
  </si>
  <si>
    <t>CaoMinhAlexandreDo</t>
  </si>
  <si>
    <t>DO CAO MINH MR.</t>
  </si>
  <si>
    <t>1400 PELHAM PARKWAY SOUTH, JACOBI MEDICAL CENTER</t>
  </si>
  <si>
    <t>NavjotKhinda</t>
  </si>
  <si>
    <t>KHINDA NAVJOT DR.</t>
  </si>
  <si>
    <t>1090 AMSTERDAM AVE, 16TH FLOOR</t>
  </si>
  <si>
    <t>JamiAyaFukui</t>
  </si>
  <si>
    <t>FUKUI JAMI</t>
  </si>
  <si>
    <t>224 SUYDAM ST</t>
  </si>
  <si>
    <t>BobbyChi-HungLiaw</t>
  </si>
  <si>
    <t>E0412073</t>
  </si>
  <si>
    <t>LIAW BOBBY</t>
  </si>
  <si>
    <t>LIAW BOBBY DR.</t>
  </si>
  <si>
    <t>SaraIColon-Santiago</t>
  </si>
  <si>
    <t>COLON SARA</t>
  </si>
  <si>
    <t>6 CALLE LOS CIPRESES</t>
  </si>
  <si>
    <t>MOCA</t>
  </si>
  <si>
    <t>FarrahHussain</t>
  </si>
  <si>
    <t>HUSSAIN FARRAH</t>
  </si>
  <si>
    <t>1000 10TH AVE, SUITE 10C</t>
  </si>
  <si>
    <t>TsionKetema</t>
  </si>
  <si>
    <t>KETEMA TSION</t>
  </si>
  <si>
    <t>1000 10TH AVE, 10C</t>
  </si>
  <si>
    <t>DeborahYuan-YuHo</t>
  </si>
  <si>
    <t>HO DEBORAH</t>
  </si>
  <si>
    <t>3401 CIVIC CENTER BLVD, DIVISION OF CARDIOLOGY</t>
  </si>
  <si>
    <t>Newton,MichaelJ.</t>
  </si>
  <si>
    <t>E0265568</t>
  </si>
  <si>
    <t>NEWTON MICHAEL J           MD</t>
  </si>
  <si>
    <t>(212) 288-4300</t>
  </si>
  <si>
    <t>gbomdpc@verizon.net</t>
  </si>
  <si>
    <t>NEWTON MICHAEL DR.</t>
  </si>
  <si>
    <t>NEWTON MICHAEL JOSEPH</t>
  </si>
  <si>
    <t>799 PARK AVE</t>
  </si>
  <si>
    <t>BrendaKeruboRatemo</t>
  </si>
  <si>
    <t>RATEMO BRENDA</t>
  </si>
  <si>
    <t>1428 MADISON AVE, ONE GUSTAVE L. LEVY PLACE, BOX 1230</t>
  </si>
  <si>
    <t>RobertWilliamRegenhardt</t>
  </si>
  <si>
    <t>REGENHARDT ROBERT DR.</t>
  </si>
  <si>
    <t>6971 SW 35TH AVE</t>
  </si>
  <si>
    <t>BUSHNELL</t>
  </si>
  <si>
    <t>JoshuaL.Rein</t>
  </si>
  <si>
    <t>REIN JOSHUA</t>
  </si>
  <si>
    <t>353 E 17TH ST, 2ND FLOOR ROOM 223</t>
  </si>
  <si>
    <t>CristosIfantides</t>
  </si>
  <si>
    <t>IFANTIDES CRISTOS</t>
  </si>
  <si>
    <t>CraigRyanGluckman</t>
  </si>
  <si>
    <t>GLUCKMAN CRAIG</t>
  </si>
  <si>
    <t>FIRST AVENUE AT 16TH STREET</t>
  </si>
  <si>
    <t>HiroshiGotanda</t>
  </si>
  <si>
    <t>GOTANDA HIROSHI</t>
  </si>
  <si>
    <t>1ST AVE. AT 16TH ST.</t>
  </si>
  <si>
    <t>AshwinShreekantSawant</t>
  </si>
  <si>
    <t>E0419543</t>
  </si>
  <si>
    <t>RIVERA ARGELIS</t>
  </si>
  <si>
    <t>SAWANT ASHWIN DR.</t>
  </si>
  <si>
    <t>SAWANT ASHWIN SHREEKANT</t>
  </si>
  <si>
    <t>ZahraGhiassi-Nejad</t>
  </si>
  <si>
    <t>GHIASSI-NEJAD ZAHRA</t>
  </si>
  <si>
    <t>SusanEvaMaya</t>
  </si>
  <si>
    <t>MAYA SUSAN</t>
  </si>
  <si>
    <t>17 E 102ND ST FL 7, DEPARTMENT OF MEDICINE BOX #1087</t>
  </si>
  <si>
    <t>ElizabethAnneBond</t>
  </si>
  <si>
    <t>BOND ELIZABETH</t>
  </si>
  <si>
    <t>150 WARREN ST</t>
  </si>
  <si>
    <t>CHRISTIANSBURG</t>
  </si>
  <si>
    <t>JuliaP.Brockway</t>
  </si>
  <si>
    <t>BROCKWAY JULIA DR.</t>
  </si>
  <si>
    <t>ZahavaNillyBrodt</t>
  </si>
  <si>
    <t>BRODT ZAHAVA</t>
  </si>
  <si>
    <t>353 E 17TH ST, 2ND FLOOR, ROOM 223</t>
  </si>
  <si>
    <t>LINDADECHERRIE</t>
  </si>
  <si>
    <t>E0032216</t>
  </si>
  <si>
    <t>DECHERRIE LINDA VANDAELE MD</t>
  </si>
  <si>
    <t>LISAMCFARLANE</t>
  </si>
  <si>
    <t>(212) 241-4141</t>
  </si>
  <si>
    <t>lisa.mcfarlane@mountsinai.org</t>
  </si>
  <si>
    <t>DECHERRIE LINDA</t>
  </si>
  <si>
    <t>MaxMasgudov</t>
  </si>
  <si>
    <t>E0306202</t>
  </si>
  <si>
    <t>MAX MASGUDOV</t>
  </si>
  <si>
    <t>MASGUDOV MAX MR.</t>
  </si>
  <si>
    <t>MASGUDOV MAX</t>
  </si>
  <si>
    <t>2333 65TH ST</t>
  </si>
  <si>
    <t>NEWALTERNATIVESFORCHILDRENINC.</t>
  </si>
  <si>
    <t>E0015130</t>
  </si>
  <si>
    <t>NEW ALTERNATIVES F CHILDREN</t>
  </si>
  <si>
    <t>NEW ALTERNATIVES FOR CHILDREN INC.</t>
  </si>
  <si>
    <t>OUTREACHDEVELOPMENTCORPORATION</t>
  </si>
  <si>
    <t>PATHWAYSTOHOUSING,INC.</t>
  </si>
  <si>
    <t>E0062622</t>
  </si>
  <si>
    <t>PATHWAYS TO HOUSING INC</t>
  </si>
  <si>
    <t>PATHWAYS TO HOUSING, INC.</t>
  </si>
  <si>
    <t>186E E 123RD ST</t>
  </si>
  <si>
    <t>EduardoJ.ZouainRodriguez</t>
  </si>
  <si>
    <t>ZOUAIN EDUARDO</t>
  </si>
  <si>
    <t>1199 PRINCE AVE</t>
  </si>
  <si>
    <t>LouisetteLiseSoussan</t>
  </si>
  <si>
    <t>SOUSSAN LOUISETTE</t>
  </si>
  <si>
    <t>FACULTYPRACTICEASSOCIATESMOUNTSINAISCHOOLOFMEDICINE</t>
  </si>
  <si>
    <t>E0342918</t>
  </si>
  <si>
    <t>FACULTY PRACTICE ASSOCIATES MOUNT S</t>
  </si>
  <si>
    <t>ICAHN SCHOOL OF MEDICINE AT MOUNT SINAI</t>
  </si>
  <si>
    <t>ICAHN SCHOOL OF MED AT MT SINAI</t>
  </si>
  <si>
    <t>FRATELLONEMEDICALASSOCIATES,LLP</t>
  </si>
  <si>
    <t>FRATELLONE MEDICAL ASSOCIATES, LLP</t>
  </si>
  <si>
    <t>47 W 57TH ST</t>
  </si>
  <si>
    <t>GAYMENHEALTHCRISIS</t>
  </si>
  <si>
    <t>HAMILTON-MADISONHOUSE,INC.</t>
  </si>
  <si>
    <t>HENRYSTREETSETTLEMENTHEALTHCORPORATION</t>
  </si>
  <si>
    <t>E0273854</t>
  </si>
  <si>
    <t>HENRY ST SETTLEMENT HLTH CORP</t>
  </si>
  <si>
    <t>HENRY STREET SETTLEMENT HEALTH CORPORATION</t>
  </si>
  <si>
    <t>HEALTH UNLIMITED</t>
  </si>
  <si>
    <t>MOVED SEE 02843112</t>
  </si>
  <si>
    <t>HERITAGEHEALTHANDHOUSING,INC</t>
  </si>
  <si>
    <t>JuanCarlosHernandezPrera</t>
  </si>
  <si>
    <t>E0412749</t>
  </si>
  <si>
    <t>HERNANDEZ PRERA JUAN</t>
  </si>
  <si>
    <t>HERNANDEZ PRERA JUAN MR.</t>
  </si>
  <si>
    <t>HERNANDEZ PRERA JUAN CARLOS</t>
  </si>
  <si>
    <t>BaileyAlanReindl</t>
  </si>
  <si>
    <t>REINDL BAILEY DR.</t>
  </si>
  <si>
    <t>1 GUSTAVE L LEVY PL, BOX 1194</t>
  </si>
  <si>
    <t>LeylaKochakYazdi</t>
  </si>
  <si>
    <t>KOCHAK YAZDI LEYLA</t>
  </si>
  <si>
    <t>5601 LOCH RAVEN BLVD, RMB 502</t>
  </si>
  <si>
    <t>Riccio,LisaL.</t>
  </si>
  <si>
    <t>E0058397</t>
  </si>
  <si>
    <t>RICCIO LISA</t>
  </si>
  <si>
    <t>robert.scanlon@mountsinai.org</t>
  </si>
  <si>
    <t>RICCIO LISA L</t>
  </si>
  <si>
    <t>Rosett,GlennM.</t>
  </si>
  <si>
    <t>E0116520</t>
  </si>
  <si>
    <t>ROSETT GLENN MARTIN</t>
  </si>
  <si>
    <t>(631) 367-5444</t>
  </si>
  <si>
    <t>gschmitz9@hotmail.com</t>
  </si>
  <si>
    <t>ROSETT GLENN DR.</t>
  </si>
  <si>
    <t>FatimaAltafShaik</t>
  </si>
  <si>
    <t>SHAIK FATIMA</t>
  </si>
  <si>
    <t>4370 KISSENA BLVD APT 2D</t>
  </si>
  <si>
    <t>PunitaPankajShroff</t>
  </si>
  <si>
    <t>SHROFF PUNITA</t>
  </si>
  <si>
    <t>14 AMBER LN</t>
  </si>
  <si>
    <t>KonstantinStojanovic</t>
  </si>
  <si>
    <t>STOJANOVIC KONSTANTIN</t>
  </si>
  <si>
    <t>101 PINEVIEW TER</t>
  </si>
  <si>
    <t>KatharineTam</t>
  </si>
  <si>
    <t>TAM KATHARINE</t>
  </si>
  <si>
    <t>1625 E 12TH ST</t>
  </si>
  <si>
    <t>SarahDevlinBrunner</t>
  </si>
  <si>
    <t>E0401299</t>
  </si>
  <si>
    <t>BRUNNER SARAH DEVLIN</t>
  </si>
  <si>
    <t>DEVLIN SARAH</t>
  </si>
  <si>
    <t>THEROBERTMAPPLETHORPERESIDENTIALTREATMENTFACILITYBETHISREALNUR</t>
  </si>
  <si>
    <t>E0152375</t>
  </si>
  <si>
    <t>THE ROBERT MAPPLETHORPE RTF A</t>
  </si>
  <si>
    <t>THE ROBERT MAPPLETHORPE RESIDENTIAL TREATMENT FACILITY BETH ISREAL NUR</t>
  </si>
  <si>
    <t>327 E 17TH ST</t>
  </si>
  <si>
    <t>VILLAGECENTERFORCARE</t>
  </si>
  <si>
    <t>E0146062</t>
  </si>
  <si>
    <t>VILLAGE CENTER FOR CARE AI</t>
  </si>
  <si>
    <t>VILLAGE CENTER FOR CARE</t>
  </si>
  <si>
    <t>154 CHRISTOPHER ST</t>
  </si>
  <si>
    <t>MeghanElizabethCochrane</t>
  </si>
  <si>
    <t>COCHRANE MEGHAN</t>
  </si>
  <si>
    <t>81 HIGHLAND AVE</t>
  </si>
  <si>
    <t>AnupriyaBarot</t>
  </si>
  <si>
    <t>BAROT ANUPRIYA</t>
  </si>
  <si>
    <t>350 ENGLE ST</t>
  </si>
  <si>
    <t>HyewonLee</t>
  </si>
  <si>
    <t>LEE HYEWON</t>
  </si>
  <si>
    <t>1 GUSTAVE L. LEVY PLACE, MT. SINAI DENTISTRY</t>
  </si>
  <si>
    <t>MatthewKilthau</t>
  </si>
  <si>
    <t>E0449263</t>
  </si>
  <si>
    <t>KILTHAU MATTHEW ERIK</t>
  </si>
  <si>
    <t>KILTHAU MATTHEW</t>
  </si>
  <si>
    <t>WESTSIDEFEDERATIONFORSENIORANDSUPPORTIVEHOUSINGINC</t>
  </si>
  <si>
    <t>WEST SIDE FEDERATION FOR SENIOR AND SUPPORTIVE HOUSING INC</t>
  </si>
  <si>
    <t>2345 BROADWAY</t>
  </si>
  <si>
    <t>RomyA.Reading</t>
  </si>
  <si>
    <t>E0397084</t>
  </si>
  <si>
    <t>READING ROMY ALEXANDRA</t>
  </si>
  <si>
    <t>READING ROMY</t>
  </si>
  <si>
    <t>DeeptiZalavadia</t>
  </si>
  <si>
    <t>E0412721</t>
  </si>
  <si>
    <t>ZALAVADIA DEEPTI</t>
  </si>
  <si>
    <t>ZALAVADIA DEEPTI DR.</t>
  </si>
  <si>
    <t>PratikPanchal</t>
  </si>
  <si>
    <t>PANCHAL PRATIK DR.</t>
  </si>
  <si>
    <t>56-45 MAIN STREET, NY HOSPITAL QUEENS DEPARTMENT OF CARDIOLOGY</t>
  </si>
  <si>
    <t>AmyTan</t>
  </si>
  <si>
    <t>TAN AMY</t>
  </si>
  <si>
    <t>VENKATARAMANAVIJAY</t>
  </si>
  <si>
    <t>E0022150</t>
  </si>
  <si>
    <t>VIJAY VENKATARAMANA MD</t>
  </si>
  <si>
    <t>VIJAY VENKATARAMANA</t>
  </si>
  <si>
    <t>Kumra,Vandana</t>
  </si>
  <si>
    <t>E0112222</t>
  </si>
  <si>
    <t>KUMRA VANDANA MD</t>
  </si>
  <si>
    <t>(212) 996-1400</t>
  </si>
  <si>
    <t>Podisurg@yahoo.com</t>
  </si>
  <si>
    <t>KUMRA VANDANA DR.</t>
  </si>
  <si>
    <t>WILLIAMFRYANCOMMUNITYHEALTHCENTERINC</t>
  </si>
  <si>
    <t>QPH,INC</t>
  </si>
  <si>
    <t>E0157155</t>
  </si>
  <si>
    <t>HOLLISWOOD HOSP ADOL DTP</t>
  </si>
  <si>
    <t>QPH, INC</t>
  </si>
  <si>
    <t>PARTILA HSP ADT CDT</t>
  </si>
  <si>
    <t>RYAN-CHELSEACLINTONCOMMUNITYHEALTHCENTER</t>
  </si>
  <si>
    <t>E0081869</t>
  </si>
  <si>
    <t>RYAN/CHELSEA CLINTON COMM H C</t>
  </si>
  <si>
    <t>RYAN-CHELSEA CLINTON COMMUNITY HEALTH CENTER</t>
  </si>
  <si>
    <t>SERVICEPROGRAMFOROLDERPEOPLE</t>
  </si>
  <si>
    <t>E0273901</t>
  </si>
  <si>
    <t>SERVICE PROG OLDER PEOPLE</t>
  </si>
  <si>
    <t>SERVICE PROGRAM FOR OLDER PEOPLE INC</t>
  </si>
  <si>
    <t>SPOP CL &amp; CD</t>
  </si>
  <si>
    <t>SILVERLAKESUPPORTSERVICES,INC</t>
  </si>
  <si>
    <t>E0090311</t>
  </si>
  <si>
    <t>SILVER LAKE SUPPORT SERVICES</t>
  </si>
  <si>
    <t>SILVER LAKE SUPPORT SERVICES, INC</t>
  </si>
  <si>
    <t>797 BRIGHTON AVE</t>
  </si>
  <si>
    <t>WendiZhou</t>
  </si>
  <si>
    <t>ZHOU WENDI DR.</t>
  </si>
  <si>
    <t>1255 W WASHINGTON ST</t>
  </si>
  <si>
    <t>TEMPE</t>
  </si>
  <si>
    <t>ICDINTERNATIONALCENTERFORTHEDISABLED</t>
  </si>
  <si>
    <t>E0273982</t>
  </si>
  <si>
    <t>ICD INTERNATL CTR FOR DISABL</t>
  </si>
  <si>
    <t>ICD INTERNATIONAL CENTER FOR THE DISABLED</t>
  </si>
  <si>
    <t>AmandaVanArnumLewis</t>
  </si>
  <si>
    <t>LEWIS AMANDA</t>
  </si>
  <si>
    <t>LavanyaVarma</t>
  </si>
  <si>
    <t>VARMA LAVANYA DR.</t>
  </si>
  <si>
    <t>221 W 251ST ST, APT# 2A</t>
  </si>
  <si>
    <t>IsabelleDeMatteis</t>
  </si>
  <si>
    <t>E0443396</t>
  </si>
  <si>
    <t>DEMATTEIS ISABELLE</t>
  </si>
  <si>
    <t>AndreasCosmatos,MD</t>
  </si>
  <si>
    <t>E0210939</t>
  </si>
  <si>
    <t>COSMATOS ANDREAS MD</t>
  </si>
  <si>
    <t>COSMATOS ANDREAS DR.</t>
  </si>
  <si>
    <t>135 WILLIAM ST</t>
  </si>
  <si>
    <t>StephenWebster,PA</t>
  </si>
  <si>
    <t>E0307893</t>
  </si>
  <si>
    <t>WEBSTER STEPHEN JAMES</t>
  </si>
  <si>
    <t>WEBSTER STEPHEN MR.</t>
  </si>
  <si>
    <t>NargizAliyeva</t>
  </si>
  <si>
    <t>E0383384</t>
  </si>
  <si>
    <t>ALIYEVA NARGIZ</t>
  </si>
  <si>
    <t>1111 AMSTERDAM AVE CLARK 7</t>
  </si>
  <si>
    <t>ShinobuItagaki</t>
  </si>
  <si>
    <t>ITAGAKI SHINOBU DR.</t>
  </si>
  <si>
    <t>121 E 97TH ST APT 24</t>
  </si>
  <si>
    <t>SvetlanaAbrams</t>
  </si>
  <si>
    <t>ABRAMS SVETLANA DR.</t>
  </si>
  <si>
    <t>RamyaPratimaSeeni</t>
  </si>
  <si>
    <t>SEENI RAMYA</t>
  </si>
  <si>
    <t>317 E 17TH ST FL 9, PSYCHIATRY</t>
  </si>
  <si>
    <t>JorgeFranciscoPereira</t>
  </si>
  <si>
    <t>PEREIRA JORGE DR.</t>
  </si>
  <si>
    <t>50 E 98TH ST, APT 14R</t>
  </si>
  <si>
    <t>AllisonRachelPolland</t>
  </si>
  <si>
    <t>POLLAND ALLISON DR.</t>
  </si>
  <si>
    <t>AndrewFerraro</t>
  </si>
  <si>
    <t>FERRARO ANDREW</t>
  </si>
  <si>
    <t>EmiliaAddo</t>
  </si>
  <si>
    <t>E0016790</t>
  </si>
  <si>
    <t>ADDO EMILIA NP</t>
  </si>
  <si>
    <t>ADDO EMILIA MRS.</t>
  </si>
  <si>
    <t>ADDO EMILIA</t>
  </si>
  <si>
    <t>120 E 16TH ST FL 6</t>
  </si>
  <si>
    <t>RabeaKhedimi</t>
  </si>
  <si>
    <t>JonathanMSchulhof</t>
  </si>
  <si>
    <t>E0421589</t>
  </si>
  <si>
    <t>SCHULHOF JONATHAN</t>
  </si>
  <si>
    <t>SCHULHOF JONATHAN DR.</t>
  </si>
  <si>
    <t>SCHULHOF JONATHAN MICHAEL</t>
  </si>
  <si>
    <t>ChristinaRoseShayevitz</t>
  </si>
  <si>
    <t>E0415244</t>
  </si>
  <si>
    <t>SHAYEVITZ CHRISTINA ROSE</t>
  </si>
  <si>
    <t>SHAYEVITZ CHRISTINA</t>
  </si>
  <si>
    <t>MarlaAnnShu</t>
  </si>
  <si>
    <t>SHU MARLA MS.</t>
  </si>
  <si>
    <t>1ST AVENUE AT 16TH STREET, BETH ISRAEL MEDICAL CENTER</t>
  </si>
  <si>
    <t>Kohan,AlfredD.</t>
  </si>
  <si>
    <t>E0095260</t>
  </si>
  <si>
    <t>KOHAN ALFRED D MD</t>
  </si>
  <si>
    <t>(845) 354-5000</t>
  </si>
  <si>
    <t>rkroll@Imppllc.com</t>
  </si>
  <si>
    <t>KOHAN ALFRED</t>
  </si>
  <si>
    <t>Kreutzer,EricR.</t>
  </si>
  <si>
    <t>(631) 321-0606</t>
  </si>
  <si>
    <t>akukadia@imppllc.com</t>
  </si>
  <si>
    <t>Kroll,Richard</t>
  </si>
  <si>
    <t>E0253471</t>
  </si>
  <si>
    <t>KROLL RICHARD              MD</t>
  </si>
  <si>
    <t>klatino@imppllc.com</t>
  </si>
  <si>
    <t>KROLL RICHARD</t>
  </si>
  <si>
    <t>KROLL RICHARD MD</t>
  </si>
  <si>
    <t>2 MEDICAL DR STE 10</t>
  </si>
  <si>
    <t>W NYACK</t>
  </si>
  <si>
    <t>Kukadia,AshokN.</t>
  </si>
  <si>
    <t>E0121781</t>
  </si>
  <si>
    <t>KUKADIA ASHOK N MD</t>
  </si>
  <si>
    <t>(516) 933-6060</t>
  </si>
  <si>
    <t>jlayne@imppllc.com</t>
  </si>
  <si>
    <t>KUKADIA ASHOK DR.</t>
  </si>
  <si>
    <t>500 MONTAUK HWY STE U</t>
  </si>
  <si>
    <t>Latino,KathleenL.</t>
  </si>
  <si>
    <t>E0156460</t>
  </si>
  <si>
    <t>LATINO KATHLEEN LOUISE MD</t>
  </si>
  <si>
    <t>glefkowitz@imppllc.com</t>
  </si>
  <si>
    <t>LATINO KATHLEEN</t>
  </si>
  <si>
    <t>2 MEDICAL PARK DR STE 10</t>
  </si>
  <si>
    <t>MargaretHGoracy</t>
  </si>
  <si>
    <t>GORACY MARGARET</t>
  </si>
  <si>
    <t>12 EXECUTIVE PARK DR NE, STE 331</t>
  </si>
  <si>
    <t>MayraRodriguez</t>
  </si>
  <si>
    <t>E0404673</t>
  </si>
  <si>
    <t>RODRIGUEZ MAYRA</t>
  </si>
  <si>
    <t>RODRIGUEZ MAYRA DR.</t>
  </si>
  <si>
    <t>Kahn,Hirshel</t>
  </si>
  <si>
    <t>E0102947</t>
  </si>
  <si>
    <t>KAHN HIRSHEL</t>
  </si>
  <si>
    <t>(718) 302-5437</t>
  </si>
  <si>
    <t>Jay.Begun@mssm.edu</t>
  </si>
  <si>
    <t>14-16 HEYWARD ST</t>
  </si>
  <si>
    <t>CalebChing-HsiangLee</t>
  </si>
  <si>
    <t>LEE CALEB DR.</t>
  </si>
  <si>
    <t>LindaXinPang</t>
  </si>
  <si>
    <t>PANG LINDA</t>
  </si>
  <si>
    <t>801 MASSACHUSETTS AVE, CROSSTOWN 2</t>
  </si>
  <si>
    <t>DallasFDunn</t>
  </si>
  <si>
    <t>E0431197</t>
  </si>
  <si>
    <t>DUNN DALLAS F</t>
  </si>
  <si>
    <t>DUNN DALLAS</t>
  </si>
  <si>
    <t>AlexanderRubinov</t>
  </si>
  <si>
    <t>RUBINOV ALEX DR.</t>
  </si>
  <si>
    <t>HARLEMUNITEDCOMMUNITYAIDSCENTERAI</t>
  </si>
  <si>
    <t>Small,ElizabethA.</t>
  </si>
  <si>
    <t>E0153580</t>
  </si>
  <si>
    <t>SMALL ELIZABETH A MD</t>
  </si>
  <si>
    <t>(914) 594-4444</t>
  </si>
  <si>
    <t>kirk_sperber@nymc.edu</t>
  </si>
  <si>
    <t>SMALL ELIZABETH</t>
  </si>
  <si>
    <t>SMALL ELIZABETH ANN</t>
  </si>
  <si>
    <t>Sperber,KirkE.</t>
  </si>
  <si>
    <t>E0121097</t>
  </si>
  <si>
    <t>SPERBER KIRK E MD</t>
  </si>
  <si>
    <t>(631) 367-5240</t>
  </si>
  <si>
    <t>Jtloczkowski@nshs.edu;John.tloczkowski@mountsinai.org</t>
  </si>
  <si>
    <t>SPERBER KIRK</t>
  </si>
  <si>
    <t>Stumacher,BarbaraL.</t>
  </si>
  <si>
    <t>E0116500</t>
  </si>
  <si>
    <t>STUMACHER BARBARA</t>
  </si>
  <si>
    <t>(631) 367-5300</t>
  </si>
  <si>
    <t>Nina.Tomei@mountsinai.org</t>
  </si>
  <si>
    <t>STUMACHER BARBARA DR.</t>
  </si>
  <si>
    <t>STUMACHER BARBARA LYNN</t>
  </si>
  <si>
    <t>59 SOUTHERN BLVD</t>
  </si>
  <si>
    <t>LuzEstherLiriano-Ward</t>
  </si>
  <si>
    <t>LIRIANO-WARD LUZ</t>
  </si>
  <si>
    <t>KristinAnnMeliambro</t>
  </si>
  <si>
    <t>E0406610</t>
  </si>
  <si>
    <t>MELIAMBRO KRISITN ANN</t>
  </si>
  <si>
    <t>MELIAMBRO KRISTIN DR.</t>
  </si>
  <si>
    <t>CarolPak-Teng</t>
  </si>
  <si>
    <t>E0440915</t>
  </si>
  <si>
    <t>PAK-TENG CAROL E</t>
  </si>
  <si>
    <t>PAK-TENG CAROL DR.</t>
  </si>
  <si>
    <t>LindsayRachelMorrison</t>
  </si>
  <si>
    <t>MORRISON LINDSAY</t>
  </si>
  <si>
    <t>1111 AMSTERDAM AVE, PLANT BUILDING, SUITE 2050</t>
  </si>
  <si>
    <t>Zheng,Zimu</t>
  </si>
  <si>
    <t>E0014407</t>
  </si>
  <si>
    <t>ZHENG ZIMU MD</t>
  </si>
  <si>
    <t>(212) 317-4548</t>
  </si>
  <si>
    <t>mlmeladara@gmail.com</t>
  </si>
  <si>
    <t>ZHENG ZIMU</t>
  </si>
  <si>
    <t>Hutman,SammyA.</t>
  </si>
  <si>
    <t>E0116044</t>
  </si>
  <si>
    <t>HUTMAN SAMMY AARON MD</t>
  </si>
  <si>
    <t>(845) 783-2920</t>
  </si>
  <si>
    <t>stevenwolinsky@gmail.com</t>
  </si>
  <si>
    <t>HUTMAN SAMMY DR.</t>
  </si>
  <si>
    <t>HEBREW HOME FOR AGED</t>
  </si>
  <si>
    <t>Tuchman,JosephG.</t>
  </si>
  <si>
    <t>E0277097</t>
  </si>
  <si>
    <t>TUCHMAN JOSEPH G PC        MD</t>
  </si>
  <si>
    <t>(212) 996-2559</t>
  </si>
  <si>
    <t>doctormike@kidsent.com</t>
  </si>
  <si>
    <t>TUCHMAN JOSEPH DR.</t>
  </si>
  <si>
    <t>TUCHMAN JOSEPH G</t>
  </si>
  <si>
    <t>503 STATE ROUTE 208</t>
  </si>
  <si>
    <t>Wolinsky,Steven</t>
  </si>
  <si>
    <t>E0184234</t>
  </si>
  <si>
    <t>WOLINSKY STEVEN MD</t>
  </si>
  <si>
    <t>(212) 427-2000</t>
  </si>
  <si>
    <t>davidberman@hotmail.com</t>
  </si>
  <si>
    <t>WOLINSKY STEVEN</t>
  </si>
  <si>
    <t>ORANGE DERMATOLOGY</t>
  </si>
  <si>
    <t>Rechtschaffen,ThomasH.</t>
  </si>
  <si>
    <t>erizkala@gmail.org</t>
  </si>
  <si>
    <t>Ricciardi,Riccardo,Jr.</t>
  </si>
  <si>
    <t>E0148155</t>
  </si>
  <si>
    <t>RICCIARDI RICCARDO JR MD</t>
  </si>
  <si>
    <t>(516) 676-2270</t>
  </si>
  <si>
    <t>arobbins@imptllc.com</t>
  </si>
  <si>
    <t>RICCIARDI RICCARDO</t>
  </si>
  <si>
    <t>Rizkala,EmadR.</t>
  </si>
  <si>
    <t>E0349194</t>
  </si>
  <si>
    <t>RIZKALA EMAD REMOND</t>
  </si>
  <si>
    <t>rrose@imppllc.com</t>
  </si>
  <si>
    <t>RIZKALA EMAD DR.</t>
  </si>
  <si>
    <t>Robbins,StevenE.</t>
  </si>
  <si>
    <t>E0128648</t>
  </si>
  <si>
    <t>ROBBINS STEVEN ERIC MD</t>
  </si>
  <si>
    <t>(631) 598-5500</t>
  </si>
  <si>
    <t>mschumer@impplc.com</t>
  </si>
  <si>
    <t>ROBBINS STEVEN</t>
  </si>
  <si>
    <t>Rose,RichardH.</t>
  </si>
  <si>
    <t>E0165671</t>
  </si>
  <si>
    <t>ROSE RICHARD HARLOWE MD</t>
  </si>
  <si>
    <t>(914) 337-8505</t>
  </si>
  <si>
    <t>lsigler@imppllc.com</t>
  </si>
  <si>
    <t>ROSE RICHARD DR.</t>
  </si>
  <si>
    <t>4 MEDICAL DR</t>
  </si>
  <si>
    <t>Schumer,MarcA.</t>
  </si>
  <si>
    <t>E0151532</t>
  </si>
  <si>
    <t>SCHUMER MARC ALLAN MD</t>
  </si>
  <si>
    <t>(212) 673-7300</t>
  </si>
  <si>
    <t>mstein@imppllc.com</t>
  </si>
  <si>
    <t>SCHUMER MARC</t>
  </si>
  <si>
    <t>SCHUMER MARC ALLAN</t>
  </si>
  <si>
    <t>NASSAU SUFFOLK RAD</t>
  </si>
  <si>
    <t>Sigler,LawrenceJ.</t>
  </si>
  <si>
    <t>E0201629</t>
  </si>
  <si>
    <t>SIGLER LAWRENCE J MD</t>
  </si>
  <si>
    <t>pstone@imppllc.com</t>
  </si>
  <si>
    <t>SIGLER LAWRENCE</t>
  </si>
  <si>
    <t>26 PONDFIELD RD W</t>
  </si>
  <si>
    <t>Stein,Mark</t>
  </si>
  <si>
    <t>E0276016</t>
  </si>
  <si>
    <t>STEIN MARK                 MD</t>
  </si>
  <si>
    <t>rsunshine@imppllc.com</t>
  </si>
  <si>
    <t>STEIN MARK</t>
  </si>
  <si>
    <t>2185 WANTAGH AVE</t>
  </si>
  <si>
    <t>WANTAGH</t>
  </si>
  <si>
    <t>KrishnaChaitanyaMadhavarapu</t>
  </si>
  <si>
    <t>MADHAVARAPU KRISHNA</t>
  </si>
  <si>
    <t>1111 AMSTERDAM AVE, PLANT BUILDING, GROUND FLOOR, ROOM 2050</t>
  </si>
  <si>
    <t>NicholasMcGarvey</t>
  </si>
  <si>
    <t>MCGARVEY NICHOLAS</t>
  </si>
  <si>
    <t>1000 10TH AVE RM 3A-15</t>
  </si>
  <si>
    <t>MansiMehta</t>
  </si>
  <si>
    <t>MEHTA MANSI DR.</t>
  </si>
  <si>
    <t>Sunshine,RobertD.</t>
  </si>
  <si>
    <t>E0194798</t>
  </si>
  <si>
    <t>SUNSHINE ROBERT D</t>
  </si>
  <si>
    <t>(914) 636-2121</t>
  </si>
  <si>
    <t>strauzzi@imppllc.com</t>
  </si>
  <si>
    <t>SUNSHINE ROBERT</t>
  </si>
  <si>
    <t>4230 HEMPSTEAD TPKE STE 200</t>
  </si>
  <si>
    <t>Thall,EricH.</t>
  </si>
  <si>
    <t>E0116347</t>
  </si>
  <si>
    <t>THALL ERIC HAYIM MD</t>
  </si>
  <si>
    <t>jweiss@imppllc.com</t>
  </si>
  <si>
    <t>THALL ERIC DR.</t>
  </si>
  <si>
    <t>Weiss,JeffreyN.</t>
  </si>
  <si>
    <t>E0157974</t>
  </si>
  <si>
    <t>WEISS JEFFREY N MD</t>
  </si>
  <si>
    <t>fyuvienco@imppllc.com</t>
  </si>
  <si>
    <t>4100 DUFF PL STE A</t>
  </si>
  <si>
    <t>Woolley,MatthewL.</t>
  </si>
  <si>
    <t>E0071529</t>
  </si>
  <si>
    <t>WOOLLEY MATTHEW L MD</t>
  </si>
  <si>
    <t>(914) 337-3070</t>
  </si>
  <si>
    <t>jzajac@imppllc.com</t>
  </si>
  <si>
    <t>WOOLLEY MATTHEW DR.</t>
  </si>
  <si>
    <t>500 MONTAUK HWY</t>
  </si>
  <si>
    <t>Zajac,JosephR.</t>
  </si>
  <si>
    <t>E0115152</t>
  </si>
  <si>
    <t>ZAJAC JOSEPH</t>
  </si>
  <si>
    <t>szimberg@imppllc.com</t>
  </si>
  <si>
    <t>ZAJAC JOSPEH DR.</t>
  </si>
  <si>
    <t>ZAJAC JOSEPH R</t>
  </si>
  <si>
    <t>1 PONDFIELD RD STE 203</t>
  </si>
  <si>
    <t>Ziegelbaum,MichaelM.</t>
  </si>
  <si>
    <t>E0191515</t>
  </si>
  <si>
    <t>ZIEGELBAUM MICHAEL MARK MD</t>
  </si>
  <si>
    <t>(646) 926-3384</t>
  </si>
  <si>
    <t>dr.schwartz@IntegrativeCardiology.com</t>
  </si>
  <si>
    <t>ZIEGELBAUM MICHAEL</t>
  </si>
  <si>
    <t>Zimberg,ShawnH.</t>
  </si>
  <si>
    <t>E0100066</t>
  </si>
  <si>
    <t>ZIMBERG SHAWN HOWARD MD</t>
  </si>
  <si>
    <t>(631) 979-8880</t>
  </si>
  <si>
    <t>sherrymetro@hotmail.com</t>
  </si>
  <si>
    <t>ZIMBERG SHAWN</t>
  </si>
  <si>
    <t>Rappaport,LewisB.</t>
  </si>
  <si>
    <t>E0000231</t>
  </si>
  <si>
    <t>LEWIS BRUCE RAPPAPORT</t>
  </si>
  <si>
    <t>(631) 351-3744</t>
  </si>
  <si>
    <t>drjcool1@gmail.com</t>
  </si>
  <si>
    <t>RAPPAPORT LEWIS DR.</t>
  </si>
  <si>
    <t>RAPPAPORT LEWIS BRUCE MD</t>
  </si>
  <si>
    <t>MatthewTorresSanidad</t>
  </si>
  <si>
    <t>SANIDAD MATTHEW</t>
  </si>
  <si>
    <t>7917 WILLFIELD CT</t>
  </si>
  <si>
    <t>FAIRFAX STATION</t>
  </si>
  <si>
    <t>PRABHJOTSINGH</t>
  </si>
  <si>
    <t>SINGH PRABHJOT</t>
  </si>
  <si>
    <t>3908 VERDURE LN</t>
  </si>
  <si>
    <t>ZIONSVILLE</t>
  </si>
  <si>
    <t>BEHAV MED CL</t>
  </si>
  <si>
    <t>ISABELLAGERIATRICCENTER</t>
  </si>
  <si>
    <t>E0268107</t>
  </si>
  <si>
    <t>ISABELLA GERIATRIC CTR INC</t>
  </si>
  <si>
    <t>ISABELLA GERIATRIC CENTER, INC.</t>
  </si>
  <si>
    <t>ISABELLAVISITINGCAREINC</t>
  </si>
  <si>
    <t>ISABELLA VISITING CARE INC</t>
  </si>
  <si>
    <t>515 AUDUBON AVE, ATT: FINANCE</t>
  </si>
  <si>
    <t>JACOBPERLOWHOSPICECORP.</t>
  </si>
  <si>
    <t>AudreeBlytheCondren</t>
  </si>
  <si>
    <t>TADROS AUDREE MISS</t>
  </si>
  <si>
    <t>1 GUSTAVE LEVY</t>
  </si>
  <si>
    <t>NatalieKSmith</t>
  </si>
  <si>
    <t>SMITH NATALIE</t>
  </si>
  <si>
    <t>300 MILTON RD</t>
  </si>
  <si>
    <t>JonathanRaphaelSnitzer</t>
  </si>
  <si>
    <t>SNITZER JONATHAN MR.</t>
  </si>
  <si>
    <t>13001 E 17TH PL</t>
  </si>
  <si>
    <t>WillXuguangSun</t>
  </si>
  <si>
    <t>SUN WILL</t>
  </si>
  <si>
    <t>233 S 6TH ST APT 511</t>
  </si>
  <si>
    <t>CoreyVincentTong</t>
  </si>
  <si>
    <t>TONG COREY MR.</t>
  </si>
  <si>
    <t>108 S 1ST ST</t>
  </si>
  <si>
    <t>SURF CITY</t>
  </si>
  <si>
    <t>AaronBTrimble</t>
  </si>
  <si>
    <t>TRIMBLE AARON DR.</t>
  </si>
  <si>
    <t>332 W 101ST ST, APT 4R</t>
  </si>
  <si>
    <t>KennethSheinjeTseng</t>
  </si>
  <si>
    <t>TSENG KENNETH</t>
  </si>
  <si>
    <t>38591 ROSS ST</t>
  </si>
  <si>
    <t>Meed,StevenD.</t>
  </si>
  <si>
    <t>E0221198</t>
  </si>
  <si>
    <t>MEED STEVEN D MD</t>
  </si>
  <si>
    <t>(212) 988-1018</t>
  </si>
  <si>
    <t>robmmd@aol.com</t>
  </si>
  <si>
    <t>MEED STEVEN</t>
  </si>
  <si>
    <t>270 W END AVE</t>
  </si>
  <si>
    <t>BenjaminElswick</t>
  </si>
  <si>
    <t>ELSWICK BENJAMIN DR.</t>
  </si>
  <si>
    <t>1111 AMSTERDAM AVE # 10025</t>
  </si>
  <si>
    <t>CyrusKavasjiDadachanji</t>
  </si>
  <si>
    <t>DADACHANJI CYRUS DR.</t>
  </si>
  <si>
    <t>25495 MEDICAL CENTER DR, SUITE 102</t>
  </si>
  <si>
    <t>MURRIETA</t>
  </si>
  <si>
    <t>ShahbazAFarnad</t>
  </si>
  <si>
    <t>E0412974</t>
  </si>
  <si>
    <t>FARNAD SHAHBAZ</t>
  </si>
  <si>
    <t>FARNAD SHAHBAZ DR.</t>
  </si>
  <si>
    <t>FARNAD SHAHBAZ A</t>
  </si>
  <si>
    <t>Dr.SchillerDesgrottes</t>
  </si>
  <si>
    <t>E0222271</t>
  </si>
  <si>
    <t>DESGROTTES SCHILLER Y M    MD</t>
  </si>
  <si>
    <t>DESGROTTES SCHILLER</t>
  </si>
  <si>
    <t>387 LINDEN BLVD</t>
  </si>
  <si>
    <t>ArashFazl</t>
  </si>
  <si>
    <t>FAZL ARASH DR.</t>
  </si>
  <si>
    <t>67 E 97TH ST, APT 2</t>
  </si>
  <si>
    <t>ArchanaRamaswami</t>
  </si>
  <si>
    <t>RAMASWAMI ARCHANA MS.</t>
  </si>
  <si>
    <t>VicenteOrozco-Sevilla</t>
  </si>
  <si>
    <t>OROZCO -SEVILLA VICENTE</t>
  </si>
  <si>
    <t>1190 5TH AVE DEPT OF, BOX 1028</t>
  </si>
  <si>
    <t>AliceChedid</t>
  </si>
  <si>
    <t>CHEDID ALICE DR.</t>
  </si>
  <si>
    <t>350 ENGLE ST, ENGLEWOOD HOSPITAL</t>
  </si>
  <si>
    <t>MichelleChi</t>
  </si>
  <si>
    <t>CHI MICHELLE</t>
  </si>
  <si>
    <t>JeongwonChoi</t>
  </si>
  <si>
    <t>CHOI JEONGWON</t>
  </si>
  <si>
    <t>65 FAIRVIEW ST, APT 1A</t>
  </si>
  <si>
    <t>PierreBoulosElHachem</t>
  </si>
  <si>
    <t>EL HACHEM PIERRE DR.</t>
  </si>
  <si>
    <t>EricWeitzner,MD</t>
  </si>
  <si>
    <t>E0360527</t>
  </si>
  <si>
    <t>WEITZNER ERIC</t>
  </si>
  <si>
    <t>(212) 531-2727</t>
  </si>
  <si>
    <t>eweitzner@goddard.org</t>
  </si>
  <si>
    <t>WEITZNER ERIC DR.</t>
  </si>
  <si>
    <t>175 W 79TH ST STE 1A</t>
  </si>
  <si>
    <t>JanaColton,MD</t>
  </si>
  <si>
    <t>E0365847</t>
  </si>
  <si>
    <t>COLTON JANA ALEXANDRA</t>
  </si>
  <si>
    <t>jcolton@goddard.org</t>
  </si>
  <si>
    <t>COLTON JANA</t>
  </si>
  <si>
    <t>E0023194</t>
  </si>
  <si>
    <t>GODDARD RIVERSIDE COMMUNITY</t>
  </si>
  <si>
    <t>GODDARD RIVERSIDE COMMUNITY CENTER</t>
  </si>
  <si>
    <t>GODDARD RIVERSIDE COMMUNITY CTR</t>
  </si>
  <si>
    <t>153 MANHATTAN AVE</t>
  </si>
  <si>
    <t>JonathanDovWeinberger</t>
  </si>
  <si>
    <t>WEINBERGER JONATHAN</t>
  </si>
  <si>
    <t>10 NATHAN D PERLMAN PL, 20 BAIRD HALL, ROOM 50</t>
  </si>
  <si>
    <t>NorihiroYamaguchi</t>
  </si>
  <si>
    <t>YAMAGUCHI NORIHIRO DR.</t>
  </si>
  <si>
    <t>4 EMERSON PL, APT. 806</t>
  </si>
  <si>
    <t>MatejaJovanovic</t>
  </si>
  <si>
    <t>JOVANOVIC MATEJA DR.</t>
  </si>
  <si>
    <t>3259 W OLIVE AVE APT 3W</t>
  </si>
  <si>
    <t>SwapnaKolli</t>
  </si>
  <si>
    <t>JUBBAL SANDEEP</t>
  </si>
  <si>
    <t>55 LAKE AVE N</t>
  </si>
  <si>
    <t>AshleyVirginiaCatharineWells</t>
  </si>
  <si>
    <t>WELLS ASHLEY</t>
  </si>
  <si>
    <t>169 E 102ND ST, APT 1B</t>
  </si>
  <si>
    <t>JefferyChao</t>
  </si>
  <si>
    <t>CHAO JEFFERY</t>
  </si>
  <si>
    <t>1000 10TH AVENUE; NY, NY 10019</t>
  </si>
  <si>
    <t>SeanJasonAdwar</t>
  </si>
  <si>
    <t>ADWAR SEAN DR.</t>
  </si>
  <si>
    <t>17 GRENFELL DR</t>
  </si>
  <si>
    <t>BrianKristofferSlater</t>
  </si>
  <si>
    <t>E0409157</t>
  </si>
  <si>
    <t>SLATER BRIAN KRISTOFFER</t>
  </si>
  <si>
    <t>SLATER BRIAN</t>
  </si>
  <si>
    <t>RachelAlenaZhuk</t>
  </si>
  <si>
    <t>ZHUK RACHEL DR.</t>
  </si>
  <si>
    <t>1 GUSTAVE L LEVY PL, BOX 1230, PSYCHIATRY RESIDENCY TRAINING</t>
  </si>
  <si>
    <t>GibsonThomasGeorge</t>
  </si>
  <si>
    <t>GEORGE GIBSON DR.</t>
  </si>
  <si>
    <t>807 LAWN AVE</t>
  </si>
  <si>
    <t>SELLERSVILLE</t>
  </si>
  <si>
    <t>DeanaTeplitskyNes</t>
  </si>
  <si>
    <t>NES DEANA MRS.</t>
  </si>
  <si>
    <t>ShaunFrancisAgnelNoronha</t>
  </si>
  <si>
    <t>NORONHA SHAUN DR.</t>
  </si>
  <si>
    <t>1000 10TH AVE, ROOSEVELT HOSPITAL</t>
  </si>
  <si>
    <t>SamanthaDresser,L.C.S.W.</t>
  </si>
  <si>
    <t>E0367382</t>
  </si>
  <si>
    <t>DRESSER SAMANTHA JANE GORDON</t>
  </si>
  <si>
    <t>DRESSER SAMANTHA</t>
  </si>
  <si>
    <t>MaryBethSivak,M.S.</t>
  </si>
  <si>
    <t>211-11NorthernBlvd-2ndFloor</t>
  </si>
  <si>
    <t>Bayside</t>
  </si>
  <si>
    <t>GregoryMontes</t>
  </si>
  <si>
    <t>MONTES GREGORY</t>
  </si>
  <si>
    <t>330 EAST 17TH ST</t>
  </si>
  <si>
    <t>DeepakSharma</t>
  </si>
  <si>
    <t>SHARMA DEEPAK</t>
  </si>
  <si>
    <t>5660 POST RD</t>
  </si>
  <si>
    <t>EricaKirstenRapp</t>
  </si>
  <si>
    <t>E0355244</t>
  </si>
  <si>
    <t>RAPP ERICA K</t>
  </si>
  <si>
    <t>RAPP ERICA</t>
  </si>
  <si>
    <t>810 CLASSON AVE</t>
  </si>
  <si>
    <t>MarcoMTan,MD</t>
  </si>
  <si>
    <t>E0296903</t>
  </si>
  <si>
    <t>MARCO MARZANTAN</t>
  </si>
  <si>
    <t>TAN MARCO</t>
  </si>
  <si>
    <t>TAN MARCO MARZAN</t>
  </si>
  <si>
    <t>PoonamPaiBantwalHebbalasankatte</t>
  </si>
  <si>
    <t>PAI BANTWAL HEBBALASANKATTE POONAM</t>
  </si>
  <si>
    <t>AlopiPatel</t>
  </si>
  <si>
    <t>PATEL ALOPI</t>
  </si>
  <si>
    <t>JonathanAdamPaul</t>
  </si>
  <si>
    <t>PAUL JONATHAN</t>
  </si>
  <si>
    <t>DanielRogel</t>
  </si>
  <si>
    <t>ROGEL DANIEL DR.</t>
  </si>
  <si>
    <t>ChristieAnneLech</t>
  </si>
  <si>
    <t>E0417971</t>
  </si>
  <si>
    <t>LECH CHRISTIE ANNE</t>
  </si>
  <si>
    <t>LECH CHRISTIE</t>
  </si>
  <si>
    <t>EricLee</t>
  </si>
  <si>
    <t>LEE ERIC</t>
  </si>
  <si>
    <t>SumintraDillonWood</t>
  </si>
  <si>
    <t>WOOD SUMINTRA DR.</t>
  </si>
  <si>
    <t>MilanaZaurova</t>
  </si>
  <si>
    <t>ZAUROVA MILANA DR.</t>
  </si>
  <si>
    <t>50 E 98TH ST APT 10G1</t>
  </si>
  <si>
    <t>KatharinaAnger,Ph.D.</t>
  </si>
  <si>
    <t>E0342107</t>
  </si>
  <si>
    <t>ANGER KATHARINA</t>
  </si>
  <si>
    <t>ANGER KATHARINA DR.</t>
  </si>
  <si>
    <t>KimDiDonato,Ph.D.</t>
  </si>
  <si>
    <t>E0106760</t>
  </si>
  <si>
    <t>DIDONATO KIM E</t>
  </si>
  <si>
    <t>DIDONATO KIM</t>
  </si>
  <si>
    <t>AnthonyMarucci,L.M.S.W.</t>
  </si>
  <si>
    <t>MARUCCI ANTHONY</t>
  </si>
  <si>
    <t>RitaJohnstone-Lyons,OTR/L</t>
  </si>
  <si>
    <t>E0381709</t>
  </si>
  <si>
    <t>JOHNSTONE-LYONS RITA L</t>
  </si>
  <si>
    <t>JOHNSTONE-LYONS RITA MRS.</t>
  </si>
  <si>
    <t>DinaLarina,M.A.,LMHC</t>
  </si>
  <si>
    <t>LARINA DINA</t>
  </si>
  <si>
    <t>TanviSinkar,MSPT</t>
  </si>
  <si>
    <t>E0376428</t>
  </si>
  <si>
    <t>SINKAR TANVI KISHOR</t>
  </si>
  <si>
    <t>SINKAR TANVI</t>
  </si>
  <si>
    <t>IvanRafaelMatosDiaz</t>
  </si>
  <si>
    <t>MATOS DIAZ IVAN</t>
  </si>
  <si>
    <t>10 UNION SQ E, SUITE 5H</t>
  </si>
  <si>
    <t>AllisonPaigeNavis</t>
  </si>
  <si>
    <t>NAVIS ALLISON MS.</t>
  </si>
  <si>
    <t>10 UNION SQUARE EAST, SUITE 5K</t>
  </si>
  <si>
    <t>RenoDiScala,MD</t>
  </si>
  <si>
    <t>E0127845</t>
  </si>
  <si>
    <t>DI SCALA RENO GENNARO MD</t>
  </si>
  <si>
    <t>DI SCALA RENO DR.</t>
  </si>
  <si>
    <t>ErezDayan</t>
  </si>
  <si>
    <t>DAYAN EREZ DR.</t>
  </si>
  <si>
    <t>LincolnSisonSison</t>
  </si>
  <si>
    <t>SISON LINCOLN</t>
  </si>
  <si>
    <t>515 W 59TH ST, APARTMENT 11C</t>
  </si>
  <si>
    <t>PalwashaAMahir,PA</t>
  </si>
  <si>
    <t>E0365189</t>
  </si>
  <si>
    <t>MAHIR PALWASHA A</t>
  </si>
  <si>
    <t>MAHIR PALWASHA MS.</t>
  </si>
  <si>
    <t>KathleenJiYoungLee</t>
  </si>
  <si>
    <t>E0006959</t>
  </si>
  <si>
    <t>PARK KATHLEEN JIYOUNG</t>
  </si>
  <si>
    <t>LEE KATHLEEN JIYOUNG MD</t>
  </si>
  <si>
    <t>ChristopherFrankSikorski</t>
  </si>
  <si>
    <t>E0412858</t>
  </si>
  <si>
    <t>SIKORSKI CHRISTOPHER</t>
  </si>
  <si>
    <t>SIKORSKI CHRISTOPHER DR.</t>
  </si>
  <si>
    <t>SIKORSKI CHRISTOPHER FRANK</t>
  </si>
  <si>
    <t>KrupaSureshMajmundar</t>
  </si>
  <si>
    <t>MAJMUNDAR KRUPA</t>
  </si>
  <si>
    <t>833 CHESTNUT ST, SUITE 701</t>
  </si>
  <si>
    <t>MunirShaileshPatel</t>
  </si>
  <si>
    <t>PATEL MUNIR</t>
  </si>
  <si>
    <t>MichaelJosephSeaman</t>
  </si>
  <si>
    <t>SEAMAN MICHAEL</t>
  </si>
  <si>
    <t>1111 AMSTERDAM AVE, DEPARTMENT.OF ANESTHESIA</t>
  </si>
  <si>
    <t>DoyunPark</t>
  </si>
  <si>
    <t>PARK DOYUN</t>
  </si>
  <si>
    <t>GurpreetKaurMudan</t>
  </si>
  <si>
    <t>MUDAN GURPREET</t>
  </si>
  <si>
    <t>JamesMMelis,MD</t>
  </si>
  <si>
    <t>E0301334</t>
  </si>
  <si>
    <t>MELIS JAMES MARK</t>
  </si>
  <si>
    <t>MELIS JAMES DR.</t>
  </si>
  <si>
    <t>DonPirraglia,DO</t>
  </si>
  <si>
    <t>E0120228</t>
  </si>
  <si>
    <t>PIRRAGLIA DON C DO</t>
  </si>
  <si>
    <t>PIRRAGLIA DON DR.</t>
  </si>
  <si>
    <t>DarrenMarcKwong</t>
  </si>
  <si>
    <t>KWONG DARREN MR.</t>
  </si>
  <si>
    <t>207 S SANTA ANITA ST, SUITE 205</t>
  </si>
  <si>
    <t>SAN GABRIEL</t>
  </si>
  <si>
    <t>JilpaPatel,PA</t>
  </si>
  <si>
    <t>PATEL JILPA MS.</t>
  </si>
  <si>
    <t>14850 87TH AVE FL 2</t>
  </si>
  <si>
    <t>AmandaLeighHarris</t>
  </si>
  <si>
    <t>HARRIS AMANDA</t>
  </si>
  <si>
    <t>DuhwanKang</t>
  </si>
  <si>
    <t>KANG DUHWAN</t>
  </si>
  <si>
    <t>Alexander,StevenC.</t>
  </si>
  <si>
    <t>E0009614</t>
  </si>
  <si>
    <t>ALEXANDER STEVEN CRAIG MD</t>
  </si>
  <si>
    <t>(718) 445-5705</t>
  </si>
  <si>
    <t>yiqunhui@gmail.com</t>
  </si>
  <si>
    <t>ALEXANDER STEVEN DR.</t>
  </si>
  <si>
    <t>Hui,Yiqun</t>
  </si>
  <si>
    <t>E0326891</t>
  </si>
  <si>
    <t>HUI YIQUN</t>
  </si>
  <si>
    <t>(718) 424-0669</t>
  </si>
  <si>
    <t>entassc@aim.com</t>
  </si>
  <si>
    <t>HUI YIQUN DR.</t>
  </si>
  <si>
    <t>Keller,RoniM.</t>
  </si>
  <si>
    <t>E0356721</t>
  </si>
  <si>
    <t>KELLER RONI MEREDITH</t>
  </si>
  <si>
    <t>neil.prufer@yahoo.com</t>
  </si>
  <si>
    <t>KELLER RONI DR.</t>
  </si>
  <si>
    <t>Lebo,DebraB.</t>
  </si>
  <si>
    <t>E0114917</t>
  </si>
  <si>
    <t>LEBO DEBRA BETH</t>
  </si>
  <si>
    <t>(718) 726-7000</t>
  </si>
  <si>
    <t>nyents@optonline.net</t>
  </si>
  <si>
    <t>LEBO DEBRA DR.</t>
  </si>
  <si>
    <t>MatthewIanTomey</t>
  </si>
  <si>
    <t>E0448387</t>
  </si>
  <si>
    <t>TOMEY MATTHEW IAN</t>
  </si>
  <si>
    <t>TOMEY MATTHEW DR.</t>
  </si>
  <si>
    <t>ElizabethTobyChorney</t>
  </si>
  <si>
    <t>CHORNEY ELIZABETH DR.</t>
  </si>
  <si>
    <t>68 GOULD RD</t>
  </si>
  <si>
    <t>WEST LEBANON</t>
  </si>
  <si>
    <t>SuSuAung</t>
  </si>
  <si>
    <t>E0412975</t>
  </si>
  <si>
    <t>AUNG SU SU</t>
  </si>
  <si>
    <t>AUNG SU</t>
  </si>
  <si>
    <t>275 8TH AVE</t>
  </si>
  <si>
    <t>AbdallahAbouZahr</t>
  </si>
  <si>
    <t>ABOU ZAHR ABDALLAH</t>
  </si>
  <si>
    <t>5201 HARRY HINES BLVD</t>
  </si>
  <si>
    <t>ElenaKatz</t>
  </si>
  <si>
    <t>E0371966</t>
  </si>
  <si>
    <t>KATZ ELENA</t>
  </si>
  <si>
    <t>10 UNION SQ E # 4C</t>
  </si>
  <si>
    <t>DeenaSaraGoldwater</t>
  </si>
  <si>
    <t>GOLDWATER DEENA DR.</t>
  </si>
  <si>
    <t>1 GUSTAVE L LEVY PL, BOX 1030</t>
  </si>
  <si>
    <t>MichelleNicoleVazquez</t>
  </si>
  <si>
    <t>E0364173</t>
  </si>
  <si>
    <t>VAZQUEZ MICHELLE</t>
  </si>
  <si>
    <t>VAZQUEZ MICHELLE NICOLE</t>
  </si>
  <si>
    <t>ChaiyapatCharoonbara</t>
  </si>
  <si>
    <t>CHAROONBARA CHAIYAPAT DR.</t>
  </si>
  <si>
    <t>610 HERO WAY</t>
  </si>
  <si>
    <t>Dr.AlvinHolcomb</t>
  </si>
  <si>
    <t>AlvinHolcomb</t>
  </si>
  <si>
    <t>(631) 491-4982</t>
  </si>
  <si>
    <t>aholcomb@aol.com</t>
  </si>
  <si>
    <t>RemilCaraballo</t>
  </si>
  <si>
    <t>NatalyaGoykhberg</t>
  </si>
  <si>
    <t>(917) 485-7249</t>
  </si>
  <si>
    <t>Natalya.Goykhberg@nyfoundling.org</t>
  </si>
  <si>
    <t>CARABALLO REMIL MR.</t>
  </si>
  <si>
    <t>2090 7TH AVE, 7TH FLOOR</t>
  </si>
  <si>
    <t>GOYKHBERG NATALYA</t>
  </si>
  <si>
    <t>2090 ADAM CLAYTON POWELL JR BLVD, 7TH FLOOR</t>
  </si>
  <si>
    <t>RebeccaFein</t>
  </si>
  <si>
    <t>E0341395</t>
  </si>
  <si>
    <t>FEIN REBECCA</t>
  </si>
  <si>
    <t>MadelineCepeda</t>
  </si>
  <si>
    <t>(212) 727-6826</t>
  </si>
  <si>
    <t>Madeline.Cepeda@nyfoundling.org</t>
  </si>
  <si>
    <t>2090 7TH ADAM CLAYTO</t>
  </si>
  <si>
    <t>MountSianiHealthSystem</t>
  </si>
  <si>
    <t>E0338847</t>
  </si>
  <si>
    <t>GERNER JENNY</t>
  </si>
  <si>
    <t>JennyGerner</t>
  </si>
  <si>
    <t>GERNER JENNY DR.</t>
  </si>
  <si>
    <t>1827 MADISON AVE</t>
  </si>
  <si>
    <t>E0230775</t>
  </si>
  <si>
    <t>KLEIN ROBERT STEPHEN       MD</t>
  </si>
  <si>
    <t>RobertKlein</t>
  </si>
  <si>
    <t>KLEIN ROBERT</t>
  </si>
  <si>
    <t>MONTEFIORE HSP</t>
  </si>
  <si>
    <t>SagarPatel</t>
  </si>
  <si>
    <t>PATEL SAGAR DR.</t>
  </si>
  <si>
    <t>1600 PHILLIPS RD</t>
  </si>
  <si>
    <t>TALLAHASSEE</t>
  </si>
  <si>
    <t>UsmanAhmadZafar</t>
  </si>
  <si>
    <t>ZAFAR USMAN DR.</t>
  </si>
  <si>
    <t>1600 HAGYS FORD RD APT 2M</t>
  </si>
  <si>
    <t>PENN VALLEY</t>
  </si>
  <si>
    <t>VikramVedprakashAgarwal</t>
  </si>
  <si>
    <t>AGARWAL VIKRAM DR.</t>
  </si>
  <si>
    <t>1000 10TH AVE, SUITE 3A-02</t>
  </si>
  <si>
    <t>Berson,RobertJ.</t>
  </si>
  <si>
    <t>E0254995</t>
  </si>
  <si>
    <t>BERSON ROBERT JEFFREY MD</t>
  </si>
  <si>
    <t>(516) 746-5550</t>
  </si>
  <si>
    <t>abruno@imppllc.com</t>
  </si>
  <si>
    <t>BERSON ROBERT</t>
  </si>
  <si>
    <t>Bronn,DonaldG.</t>
  </si>
  <si>
    <t>E0321503</t>
  </si>
  <si>
    <t>BRONN DONALD GEORGE</t>
  </si>
  <si>
    <t>mbuchbinder@imppllc.com</t>
  </si>
  <si>
    <t>BRONN DONALD DR.</t>
  </si>
  <si>
    <t>688 OLD COUNTRY RD</t>
  </si>
  <si>
    <t>Barnswell,CarltonB.,Jr.</t>
  </si>
  <si>
    <t>E0124808</t>
  </si>
  <si>
    <t>BARNSWELL CARLTON B JR MD</t>
  </si>
  <si>
    <t>SMB112155@aol.com</t>
  </si>
  <si>
    <t>BARNSWELL CARLTON</t>
  </si>
  <si>
    <t>438 ELMONT RD</t>
  </si>
  <si>
    <t>Bauer,RossE.</t>
  </si>
  <si>
    <t>E0311889</t>
  </si>
  <si>
    <t>BAUER ROSS</t>
  </si>
  <si>
    <t>(631) 587-5444</t>
  </si>
  <si>
    <t>rberson@imppllc.com</t>
  </si>
  <si>
    <t>BAUER ROSS DR.</t>
  </si>
  <si>
    <t>BAUER ROSS ELLIOT</t>
  </si>
  <si>
    <t>AlHaithamMAlShetawi</t>
  </si>
  <si>
    <t>E0395644</t>
  </si>
  <si>
    <t>ALL SHETAWI AL HAITHAM</t>
  </si>
  <si>
    <t>AL SHETAWI AL HAITHAM</t>
  </si>
  <si>
    <t>AL SHETAWI HAITHAM</t>
  </si>
  <si>
    <t>6118 RIVERDALE AVE</t>
  </si>
  <si>
    <t>StevenDuongNguyen</t>
  </si>
  <si>
    <t>NGUYEN STEVEN DR.</t>
  </si>
  <si>
    <t>1400 PELHAM PARKWAY SOUTH. DEPARTMENT OF DENTISTRY, JACOBI MEDICAL CENTER</t>
  </si>
  <si>
    <t>ErikaVillanueva</t>
  </si>
  <si>
    <t>E0406341</t>
  </si>
  <si>
    <t>VILLANUEVA ERIKA</t>
  </si>
  <si>
    <t>207 E 84TH ST</t>
  </si>
  <si>
    <t>JessicaNiakan</t>
  </si>
  <si>
    <t>E0424877</t>
  </si>
  <si>
    <t>BEYDA JESSICA NIAKAN</t>
  </si>
  <si>
    <t>BEYDA JESSICA</t>
  </si>
  <si>
    <t>ONE GUSTAVE L LEVY P</t>
  </si>
  <si>
    <t>SharonWiesel</t>
  </si>
  <si>
    <t>E0402521</t>
  </si>
  <si>
    <t>WIESEL SHARON</t>
  </si>
  <si>
    <t>JoanClark</t>
  </si>
  <si>
    <t>(718) 250-8588</t>
  </si>
  <si>
    <t>joc9158@nyp.org</t>
  </si>
  <si>
    <t>1280 DEKALB AVE</t>
  </si>
  <si>
    <t>CynthiaKatz</t>
  </si>
  <si>
    <t>E0010391</t>
  </si>
  <si>
    <t>KATZ CYNTHIA J MD</t>
  </si>
  <si>
    <t>KATZ CYNTHIA</t>
  </si>
  <si>
    <t>AntoineEwald,MD</t>
  </si>
  <si>
    <t>E0135544</t>
  </si>
  <si>
    <t>ANTOINE EWALD JONATHAN MD</t>
  </si>
  <si>
    <t>Dr.HerrickLipton/JeremyMerrill</t>
  </si>
  <si>
    <t>herrick@nhcc.us/jeremy@nhcc.us</t>
  </si>
  <si>
    <t>ANTOINE EWALD</t>
  </si>
  <si>
    <t>AmnonBeniaminovitz</t>
  </si>
  <si>
    <t>E0413771</t>
  </si>
  <si>
    <t>BENIAMINOVITZ AMNON</t>
  </si>
  <si>
    <t>10 UNION SQ E FRNT 2A</t>
  </si>
  <si>
    <t>KanwarIqbalSGill</t>
  </si>
  <si>
    <t>E0325647</t>
  </si>
  <si>
    <t>GILL KANWAR</t>
  </si>
  <si>
    <t>GILL KANWAR IQBAL</t>
  </si>
  <si>
    <t>GILL KANWAR IQBAL SINGH</t>
  </si>
  <si>
    <t>FNUHafeezUlHassan</t>
  </si>
  <si>
    <t>HAFEEZ UL HASSAN UNKNOWN</t>
  </si>
  <si>
    <t>515 W 59TH ST, APT 11G</t>
  </si>
  <si>
    <t>MahjabeenHaq</t>
  </si>
  <si>
    <t>HAQ MAHJABEEN</t>
  </si>
  <si>
    <t>1000 TENTH AVENUE</t>
  </si>
  <si>
    <t>MichaelEricHerman</t>
  </si>
  <si>
    <t>HERMAN MICHAEL DR.</t>
  </si>
  <si>
    <t>20 EMERSON DR</t>
  </si>
  <si>
    <t>RaymondEdwardMarcovici</t>
  </si>
  <si>
    <t>E0438682</t>
  </si>
  <si>
    <t>MARCOVICI RAYMOND EDWARD</t>
  </si>
  <si>
    <t>MARCOVICI RAYMOND</t>
  </si>
  <si>
    <t>AndrewJohnMastanduono</t>
  </si>
  <si>
    <t>E0437729</t>
  </si>
  <si>
    <t>MASTANDUONO ANDREW JOHN</t>
  </si>
  <si>
    <t>MASTANDUONO ANDREW</t>
  </si>
  <si>
    <t>LaurenNicoleBeck</t>
  </si>
  <si>
    <t>BECK LAUREN DR.</t>
  </si>
  <si>
    <t>158 SINGAPORE CIR</t>
  </si>
  <si>
    <t>BIRMINGHAM</t>
  </si>
  <si>
    <t>JosepMartiSanchez</t>
  </si>
  <si>
    <t>E0390416</t>
  </si>
  <si>
    <t>MARTI SANCHEZ JOSEP</t>
  </si>
  <si>
    <t>MARTI SANCHEZ JOSEP DR.</t>
  </si>
  <si>
    <t>DoertheAdrianaAndreae</t>
  </si>
  <si>
    <t>E0426516</t>
  </si>
  <si>
    <t>ANDREAE DOERTHE</t>
  </si>
  <si>
    <t>ANDREAE DOERTHE MRS.</t>
  </si>
  <si>
    <t>1245 PARK AVE LBBY</t>
  </si>
  <si>
    <t>Huai-BinMabelKo</t>
  </si>
  <si>
    <t>E0417095</t>
  </si>
  <si>
    <t>KO HUAI-BIN</t>
  </si>
  <si>
    <t>KO HUAI-BIN MS.</t>
  </si>
  <si>
    <t>KO HUAI-BIN MABEL</t>
  </si>
  <si>
    <t>1468 MADISON AVE</t>
  </si>
  <si>
    <t>TatianaGennadievnaShtilbans</t>
  </si>
  <si>
    <t>SHTILBANS TATIANA</t>
  </si>
  <si>
    <t>201 W 109TH ST APT 6C</t>
  </si>
  <si>
    <t>AlonaNayot</t>
  </si>
  <si>
    <t>NAYOT ALONA</t>
  </si>
  <si>
    <t>JenniferMiyukiRedd</t>
  </si>
  <si>
    <t>REDD JENNIFER</t>
  </si>
  <si>
    <t>425 OAK LN</t>
  </si>
  <si>
    <t>TOWSON</t>
  </si>
  <si>
    <t>NeerajNarula</t>
  </si>
  <si>
    <t>NARULA NEERAJ DR.</t>
  </si>
  <si>
    <t>1 GUSTAVE L LEVY PL, BOX 1069</t>
  </si>
  <si>
    <t>AnnikaMargueriteMeyer</t>
  </si>
  <si>
    <t>MEYER ANNIKA</t>
  </si>
  <si>
    <t>DavidDayan-Rosenman</t>
  </si>
  <si>
    <t>AnnieLevesque</t>
  </si>
  <si>
    <t>E0430668</t>
  </si>
  <si>
    <t>LEVESQUE ANNIE</t>
  </si>
  <si>
    <t>PavanKundanMadan</t>
  </si>
  <si>
    <t>MADAN PAVAN</t>
  </si>
  <si>
    <t>1712 PICASSO AVE, STE D</t>
  </si>
  <si>
    <t>DAVIS</t>
  </si>
  <si>
    <t>Sunny-SkyeKeppel</t>
  </si>
  <si>
    <t>KEPPEL SUNNY-SKYE DR.</t>
  </si>
  <si>
    <t>350 E 17TH ST, BAIRD HALL SUITE 20BH54</t>
  </si>
  <si>
    <t>LeahGraceKatta</t>
  </si>
  <si>
    <t>KATTA LEAH</t>
  </si>
  <si>
    <t>LauraJulianaCastellanosReyes</t>
  </si>
  <si>
    <t>CASTELLANOS LAURA</t>
  </si>
  <si>
    <t>208 W 119TH ST APT 3N</t>
  </si>
  <si>
    <t>Dzanic-Cemalovic,Naida</t>
  </si>
  <si>
    <t>E0053663</t>
  </si>
  <si>
    <t>DZANIC-CEMALOVIC NAIDA</t>
  </si>
  <si>
    <t>(212) 794-2000</t>
  </si>
  <si>
    <t>mecfsoffice@enlander.com</t>
  </si>
  <si>
    <t>CEMALOVIC NAIDA DZANIC</t>
  </si>
  <si>
    <t>Shulman,Julius</t>
  </si>
  <si>
    <t>E0276707</t>
  </si>
  <si>
    <t>SHULMAN JULIUS  MD</t>
  </si>
  <si>
    <t>(212) 348-7800</t>
  </si>
  <si>
    <t>eswobgyn@gmail.com;mksilverstein@gmail.com</t>
  </si>
  <si>
    <t>SHULMAN JULIUS DR.</t>
  </si>
  <si>
    <t>SHULMAN JULIUS</t>
  </si>
  <si>
    <t>229 E 79TH ST # 1L</t>
  </si>
  <si>
    <t>JacquelineCarlaYano</t>
  </si>
  <si>
    <t>YANO JACQUELINE</t>
  </si>
  <si>
    <t>ReadeAndrewDeLeacy</t>
  </si>
  <si>
    <t>E0422046</t>
  </si>
  <si>
    <t>DE LEACY READE ANDREW</t>
  </si>
  <si>
    <t>DE LEACY READE DR.</t>
  </si>
  <si>
    <t>1450 MADISON AVE</t>
  </si>
  <si>
    <t>CynthiaDarleneSantos</t>
  </si>
  <si>
    <t>SANTOS CYNTHIA DR.</t>
  </si>
  <si>
    <t>1 GUSTAVE LEVY PLACE, BOX 1149</t>
  </si>
  <si>
    <t>DustinDonley</t>
  </si>
  <si>
    <t>DONLEY DUSTIN</t>
  </si>
  <si>
    <t>445 E 69TH ST # 11N</t>
  </si>
  <si>
    <t>NeerajMangla</t>
  </si>
  <si>
    <t>MANGLA NEERAJ</t>
  </si>
  <si>
    <t>4330 LAKE APACHE DR</t>
  </si>
  <si>
    <t>CORPUS CHRISTI</t>
  </si>
  <si>
    <t>JonathanWMartin</t>
  </si>
  <si>
    <t>MARTIN JONATHAN DR.</t>
  </si>
  <si>
    <t>600 S PAULINA ST, STE 140</t>
  </si>
  <si>
    <t>MarianaMercader</t>
  </si>
  <si>
    <t>MERCADER MARIANA MRS.</t>
  </si>
  <si>
    <t>1 CALLE 11 APT 907</t>
  </si>
  <si>
    <t>SAN JUAN</t>
  </si>
  <si>
    <t>DovidS.Moradi</t>
  </si>
  <si>
    <t>MORADI DOVID</t>
  </si>
  <si>
    <t>931 SALEM AVE</t>
  </si>
  <si>
    <t>HILLSIDE</t>
  </si>
  <si>
    <t>SonalBajaj</t>
  </si>
  <si>
    <t>BAJAJ SONAL</t>
  </si>
  <si>
    <t>150 55TH ST, DEPT OF INTERNAL MEDICINE, LUTHERAN MEDICAL CENTER</t>
  </si>
  <si>
    <t>AntonioN.IyarsamiPA</t>
  </si>
  <si>
    <t>E0376669</t>
  </si>
  <si>
    <t>IYARSAMI ANTONIO N</t>
  </si>
  <si>
    <t>IYARSAMI ANTONIO MR.</t>
  </si>
  <si>
    <t>VikashSingh</t>
  </si>
  <si>
    <t>SINGH VIKASH</t>
  </si>
  <si>
    <t>1500 SAN PABLO ST, 2ND FLOOR</t>
  </si>
  <si>
    <t>MichaelThomasStarc</t>
  </si>
  <si>
    <t>E0433477</t>
  </si>
  <si>
    <t>STARC MICHAEL THOMAS</t>
  </si>
  <si>
    <t>STARC MICHAEL DR.</t>
  </si>
  <si>
    <t>Boxer,JonathanA.</t>
  </si>
  <si>
    <t>E0041908</t>
  </si>
  <si>
    <t>BOXER JONATHAN A MD</t>
  </si>
  <si>
    <t>storkcallan@gmail.com</t>
  </si>
  <si>
    <t>BOXER JONATHAN</t>
  </si>
  <si>
    <t>Brunner,StevenJ.</t>
  </si>
  <si>
    <t>E0040010</t>
  </si>
  <si>
    <t>BRUNNER STEVEN J MD</t>
  </si>
  <si>
    <t>(631) 351-3700</t>
  </si>
  <si>
    <t>jessicacap@hotmail.com</t>
  </si>
  <si>
    <t>BRUNNER STEVEN DR.</t>
  </si>
  <si>
    <t>BrianDSchwab</t>
  </si>
  <si>
    <t>E0370244</t>
  </si>
  <si>
    <t>SCHWAB BRIAN DAVID</t>
  </si>
  <si>
    <t>SCHWAB BRIAN</t>
  </si>
  <si>
    <t>LindsayMarieFox</t>
  </si>
  <si>
    <t>FOX LINDSAY DR.</t>
  </si>
  <si>
    <t>455 1ST AVE, ROOM 124</t>
  </si>
  <si>
    <t>Chhabra,Amit</t>
  </si>
  <si>
    <t>E0332402</t>
  </si>
  <si>
    <t>CHHABRA AMIT</t>
  </si>
  <si>
    <t>mdjdhummel@msn.com</t>
  </si>
  <si>
    <t>CHHABRA AMIT DR.</t>
  </si>
  <si>
    <t>JordanSasson</t>
  </si>
  <si>
    <t>SASSON JORDAN DR.</t>
  </si>
  <si>
    <t>3824 213TH ST, APT. 1A</t>
  </si>
  <si>
    <t>ArielNassim</t>
  </si>
  <si>
    <t>E0435067</t>
  </si>
  <si>
    <t>NASSIM ARIEL</t>
  </si>
  <si>
    <t>1000 NORTHERN BLVD # S</t>
  </si>
  <si>
    <t>CoralOlazagastiPrieto</t>
  </si>
  <si>
    <t>OLAZAGASTI CORAL</t>
  </si>
  <si>
    <t>24 CALLE VALENCIA</t>
  </si>
  <si>
    <t>GUAYNABO</t>
  </si>
  <si>
    <t>AaronJosefWeiss</t>
  </si>
  <si>
    <t>WEISS AARON DR.</t>
  </si>
  <si>
    <t>130 E 96TH ST, APARTMENT 4A</t>
  </si>
  <si>
    <t>DanielKyungHan</t>
  </si>
  <si>
    <t>E0429705</t>
  </si>
  <si>
    <t>HAN DANIEL KYUNG</t>
  </si>
  <si>
    <t>HAN DANIEL DR.</t>
  </si>
  <si>
    <t>AjitGadahadRao</t>
  </si>
  <si>
    <t>RAO AJIT MR.</t>
  </si>
  <si>
    <t>RobertDavidStewart</t>
  </si>
  <si>
    <t>E0418327</t>
  </si>
  <si>
    <t>STEWART ROBERT DAVID</t>
  </si>
  <si>
    <t>STEWART ROBERT</t>
  </si>
  <si>
    <t>TamaraKamash</t>
  </si>
  <si>
    <t>KAMASH TAMARA</t>
  </si>
  <si>
    <t>3960 NEW COVINGTON PIKE</t>
  </si>
  <si>
    <t>DavidM.Pinn</t>
  </si>
  <si>
    <t>PINN DAVID</t>
  </si>
  <si>
    <t>54 SEALY DR</t>
  </si>
  <si>
    <t>OrlandoZepeda</t>
  </si>
  <si>
    <t>ZEPEDA ORLANDO</t>
  </si>
  <si>
    <t>2722 GREEN ST</t>
  </si>
  <si>
    <t>SAN FRANCISCO</t>
  </si>
  <si>
    <t>EvanM.Bishop-Rimmer</t>
  </si>
  <si>
    <t>BISHOP-RIMMER EVAN</t>
  </si>
  <si>
    <t>ChiNgaChan</t>
  </si>
  <si>
    <t>CHAN CHI NGA</t>
  </si>
  <si>
    <t>IbrahimHalilSahin</t>
  </si>
  <si>
    <t>SAHIN IBRAHIM</t>
  </si>
  <si>
    <t>JosephHsiehLiao</t>
  </si>
  <si>
    <t>LIAO JOSEPH</t>
  </si>
  <si>
    <t>86 SAINT BOTOLPH ST, APT 13</t>
  </si>
  <si>
    <t>LisaJMao</t>
  </si>
  <si>
    <t>MAO LISA DR.</t>
  </si>
  <si>
    <t>126 COUNTRY VILLAGE LN</t>
  </si>
  <si>
    <t>SamuelJamesBallentine</t>
  </si>
  <si>
    <t>BALLENTINE SAMUEL</t>
  </si>
  <si>
    <t>AshwineeRagam</t>
  </si>
  <si>
    <t>E0421048</t>
  </si>
  <si>
    <t>RAGAM ASHWINEE</t>
  </si>
  <si>
    <t>RAGAM ASHWINEE PALLAVI</t>
  </si>
  <si>
    <t>PragyaRanjan</t>
  </si>
  <si>
    <t>RANJAN PRAGYA DR.</t>
  </si>
  <si>
    <t>515 W 59TH ST, APT. # 19G</t>
  </si>
  <si>
    <t>MishelEshaghianpour</t>
  </si>
  <si>
    <t>ESHAGHIANPOUR MISHEL DR.</t>
  </si>
  <si>
    <t>130 W KINGSBRIDGE RD, JAMES J PETERS VA MEDICAL CENTER</t>
  </si>
  <si>
    <t>RobertMichaelCarroll</t>
  </si>
  <si>
    <t>CARROLL ROBERT</t>
  </si>
  <si>
    <t>RyanUngaro</t>
  </si>
  <si>
    <t>E0429681</t>
  </si>
  <si>
    <t>UNGARO RYAN COLIN</t>
  </si>
  <si>
    <t>UNGARO RYAN</t>
  </si>
  <si>
    <t>MarvinVincentWeaver</t>
  </si>
  <si>
    <t>WEAVER MARVIN</t>
  </si>
  <si>
    <t>8888 SUMMA AVE, CARDIOLOGY TOWER 3RD FLOOR</t>
  </si>
  <si>
    <t>BATON ROUGE</t>
  </si>
  <si>
    <t>RupeshKshetri</t>
  </si>
  <si>
    <t>KSHETRI RUPESH DR.</t>
  </si>
  <si>
    <t>3220 CORLEAR AVE APT 2A</t>
  </si>
  <si>
    <t>Felderman,TheodoreP.</t>
  </si>
  <si>
    <t>E0205989</t>
  </si>
  <si>
    <t>FELDERMAN THEODORE PAUL    MD</t>
  </si>
  <si>
    <t>jfisch@imppllc.com</t>
  </si>
  <si>
    <t>FELDERMAN THEODORE</t>
  </si>
  <si>
    <t>Ficazzola,MichaelA.</t>
  </si>
  <si>
    <t>E0090297</t>
  </si>
  <si>
    <t>FICAZZOLA MICHAEL A MD</t>
  </si>
  <si>
    <t>jfleischmann@imppllc.com</t>
  </si>
  <si>
    <t>FICAZZOLA MICHAEL</t>
  </si>
  <si>
    <t>955 YONKERS AVE # S102</t>
  </si>
  <si>
    <t>Fisch,Joseph</t>
  </si>
  <si>
    <t>E0156817</t>
  </si>
  <si>
    <t>FISCH JOSEPH MD</t>
  </si>
  <si>
    <t>nfleischman@hotmail.com</t>
  </si>
  <si>
    <t>FISCH JOSEPH</t>
  </si>
  <si>
    <t>Fleischmann,Jonathan</t>
  </si>
  <si>
    <t>mfraiman@imppllc.com</t>
  </si>
  <si>
    <t>Fleischmann,NicoleB.</t>
  </si>
  <si>
    <t>(914) 968-0000</t>
  </si>
  <si>
    <t>cgerardi@imppllc.com</t>
  </si>
  <si>
    <t>Fraiman,MitchellC.</t>
  </si>
  <si>
    <t>E0083888</t>
  </si>
  <si>
    <t>FRAIMAN MITCHELL MD</t>
  </si>
  <si>
    <t>jgiella@imppllc.com</t>
  </si>
  <si>
    <t>FRAIMAN MITCHELL</t>
  </si>
  <si>
    <t>Gerardi,Carl</t>
  </si>
  <si>
    <t>E0126688</t>
  </si>
  <si>
    <t>GERARDI CARL MD</t>
  </si>
  <si>
    <t>cglassman@imppllc.com</t>
  </si>
  <si>
    <t>GERARDI CARL</t>
  </si>
  <si>
    <t>Giella,JohnG.</t>
  </si>
  <si>
    <t>E0137464</t>
  </si>
  <si>
    <t>GIELLA JOHN GERARD MD</t>
  </si>
  <si>
    <t>mgrinberg@imppllc.com</t>
  </si>
  <si>
    <t>GIELLA JOHN</t>
  </si>
  <si>
    <t>Glassman,CharlesN.</t>
  </si>
  <si>
    <t>E0252658</t>
  </si>
  <si>
    <t>GLASSMAN CHARLES NORMAN    MD</t>
  </si>
  <si>
    <t>mgross@imppllc.com</t>
  </si>
  <si>
    <t>GLASSMAN CHARLES</t>
  </si>
  <si>
    <t>RubinaFerozKhan,PA</t>
  </si>
  <si>
    <t>E0072802</t>
  </si>
  <si>
    <t>KHAN RUBINA RPA</t>
  </si>
  <si>
    <t>KHAN RUBINA</t>
  </si>
  <si>
    <t>MSHQ EMERGENCY CARE</t>
  </si>
  <si>
    <t>OlanrewajuOAdedokun</t>
  </si>
  <si>
    <t>ADEDOKUN OLANREWAJU</t>
  </si>
  <si>
    <t>1824 MADISON AVE, 5TH FLOOR</t>
  </si>
  <si>
    <t>KATHERINEWANG</t>
  </si>
  <si>
    <t>E0442024</t>
  </si>
  <si>
    <t>WANG KATHERINE ANNE</t>
  </si>
  <si>
    <t>JessicaLBauer</t>
  </si>
  <si>
    <t>BAUER JESSICA DR.</t>
  </si>
  <si>
    <t>3055 ROSLYN ST, #230</t>
  </si>
  <si>
    <t>ZubinFirdausUdwadia</t>
  </si>
  <si>
    <t>UDWADIA ZUBIN MR.</t>
  </si>
  <si>
    <t>PraneetKaurWander</t>
  </si>
  <si>
    <t>WANDER PRANEET</t>
  </si>
  <si>
    <t>1000 10TH AVE, RM. 3A-15</t>
  </si>
  <si>
    <t>HongyinWang</t>
  </si>
  <si>
    <t>E0429491</t>
  </si>
  <si>
    <t>WANG HONGYIN</t>
  </si>
  <si>
    <t>763 56TH ST STE 1</t>
  </si>
  <si>
    <t>BiancaJeanMolina</t>
  </si>
  <si>
    <t>MOLINA BIANCA</t>
  </si>
  <si>
    <t>14 BISHOP ST</t>
  </si>
  <si>
    <t>ChristineJi-YoungPark</t>
  </si>
  <si>
    <t>PARK CHRISTINE</t>
  </si>
  <si>
    <t>353 E 17TH ST, 2ND FLOOR RM. 223</t>
  </si>
  <si>
    <t>BrianSethFuchs</t>
  </si>
  <si>
    <t>E0432356</t>
  </si>
  <si>
    <t>FUCHS BRIAN SETH</t>
  </si>
  <si>
    <t>FUCHS BRIAN DR.</t>
  </si>
  <si>
    <t>AlfredoGutierrez</t>
  </si>
  <si>
    <t>GUTIERREZ ALFREDO</t>
  </si>
  <si>
    <t>1428 MADISON AVE</t>
  </si>
  <si>
    <t>Chao,Steven</t>
  </si>
  <si>
    <t>E0048461</t>
  </si>
  <si>
    <t>CHAO STEVEN S MD</t>
  </si>
  <si>
    <t>kallymd@hotmail.com</t>
  </si>
  <si>
    <t>CHAO STEVEN</t>
  </si>
  <si>
    <t>VinitBipinAmin</t>
  </si>
  <si>
    <t>AMIN VINIT DR.</t>
  </si>
  <si>
    <t>38 STANFORD RD W</t>
  </si>
  <si>
    <t>LaurenMeshkovBonati</t>
  </si>
  <si>
    <t>BONATI LAUREN DR.</t>
  </si>
  <si>
    <t>RebeccaSchillerRoediger</t>
  </si>
  <si>
    <t>ROEDIGER REBECCA</t>
  </si>
  <si>
    <t>17 E 102ND ST FL 7 #1087</t>
  </si>
  <si>
    <t>BrittanyKolnaskiSolar</t>
  </si>
  <si>
    <t>E0419830</t>
  </si>
  <si>
    <t>SOLAR BRITTANY K</t>
  </si>
  <si>
    <t>SOLAR BRITTANY</t>
  </si>
  <si>
    <t>LesleyAnneMichael</t>
  </si>
  <si>
    <t>E0396154</t>
  </si>
  <si>
    <t>MICHAEL LESLEY ANNE</t>
  </si>
  <si>
    <t>MICHAEL LESLEY</t>
  </si>
  <si>
    <t>10 NATHAN D PERLMAN PL FL 2</t>
  </si>
  <si>
    <t>EvelynAureliaDennison</t>
  </si>
  <si>
    <t>DENNISON EVELYN</t>
  </si>
  <si>
    <t>10200 NE 132ND ST</t>
  </si>
  <si>
    <t>KIRKLAND</t>
  </si>
  <si>
    <t>BenjaminNeilAngarita</t>
  </si>
  <si>
    <t>E0343837</t>
  </si>
  <si>
    <t>ANGARITA BENJAMIN N</t>
  </si>
  <si>
    <t>ANGARITA BENJAMIN DR.</t>
  </si>
  <si>
    <t>Katz,Michael</t>
  </si>
  <si>
    <t>E0085046</t>
  </si>
  <si>
    <t>KATZ MICHAEL DPM</t>
  </si>
  <si>
    <t>(631) 351-3758</t>
  </si>
  <si>
    <t>has423@yahoo.com</t>
  </si>
  <si>
    <t>KATZ MICHAEL MR.</t>
  </si>
  <si>
    <t>KATZ MICHAEL</t>
  </si>
  <si>
    <t>137-04 GUY R BREWER BLVD</t>
  </si>
  <si>
    <t>MOUNTSINAISCHOOLOFMEDICINE</t>
  </si>
  <si>
    <t>E0165705</t>
  </si>
  <si>
    <t>MOUNT SINAI SCHOOL OF MEDICINE</t>
  </si>
  <si>
    <t>NATIONALASSOCIATIONONDRUGABUSEPROBLEMS,INC.</t>
  </si>
  <si>
    <t>SimonForbesDesjardins</t>
  </si>
  <si>
    <t>E0359079</t>
  </si>
  <si>
    <t>DESJARDINS SIMON F</t>
  </si>
  <si>
    <t>DESJARDINS SIMON MR.</t>
  </si>
  <si>
    <t>DESJARDINS SIMON FORBES</t>
  </si>
  <si>
    <t>PO BOX 28082</t>
  </si>
  <si>
    <t>Moorley,MayaD.</t>
  </si>
  <si>
    <t>E0039958</t>
  </si>
  <si>
    <t>MOORLEY MAYA DEVI MD</t>
  </si>
  <si>
    <t>(631) 351-3780</t>
  </si>
  <si>
    <t>drdneumann@yahoo.com</t>
  </si>
  <si>
    <t>MOORLEY MAYA</t>
  </si>
  <si>
    <t>OgnjenkaMilivojeNadazdin-Boskovic</t>
  </si>
  <si>
    <t>NADAZDIN BOSKOVIC OGNJENKA DR.</t>
  </si>
  <si>
    <t>258 HARVARD ST</t>
  </si>
  <si>
    <t>JimitA.Pandya</t>
  </si>
  <si>
    <t>PANDYA JIMIT</t>
  </si>
  <si>
    <t>101 PAGE ST</t>
  </si>
  <si>
    <t>NEW BEDFORD</t>
  </si>
  <si>
    <t>DanielaIribarne</t>
  </si>
  <si>
    <t>IRIBARNE DANIELA</t>
  </si>
  <si>
    <t>1900 MERIDIAN AVE APT 202</t>
  </si>
  <si>
    <t>MIAMI BEACH</t>
  </si>
  <si>
    <t>CherylAnnVinograd</t>
  </si>
  <si>
    <t>VINOGRAD CHERYL</t>
  </si>
  <si>
    <t>40 EVANS ST</t>
  </si>
  <si>
    <t>Peller,PaulA.</t>
  </si>
  <si>
    <t>E0128083</t>
  </si>
  <si>
    <t>PELLER PAUL AHRON MD</t>
  </si>
  <si>
    <t>radfar@aol.com</t>
  </si>
  <si>
    <t>PELLER PAUL</t>
  </si>
  <si>
    <t>PELLER PAUL A MD</t>
  </si>
  <si>
    <t>Radparvar,Dariush</t>
  </si>
  <si>
    <t>E0133426</t>
  </si>
  <si>
    <t>RADPARVAR DARIUSH MD</t>
  </si>
  <si>
    <t>trechtschaffen@imppllc.com</t>
  </si>
  <si>
    <t>RADPARVAR DARIUSH DR.</t>
  </si>
  <si>
    <t>NnennayaChisomDuke</t>
  </si>
  <si>
    <t>DUKE NNENNAYA</t>
  </si>
  <si>
    <t>1824 MADISON AVE FL 5</t>
  </si>
  <si>
    <t>Faiella,Louis,III</t>
  </si>
  <si>
    <t>E0128397</t>
  </si>
  <si>
    <t>FAIELLA LOUIS III MD</t>
  </si>
  <si>
    <t>mficazzola@imppllc.com</t>
  </si>
  <si>
    <t>FAIELLA LOUIS</t>
  </si>
  <si>
    <t>JamesVillamere</t>
  </si>
  <si>
    <t>VILLAMERE JAMES DR.</t>
  </si>
  <si>
    <t>525 W 28TH ST, APARTMENT 1057</t>
  </si>
  <si>
    <t>ZiadNabilKronfol</t>
  </si>
  <si>
    <t>KRONFOL ZIAD DR.</t>
  </si>
  <si>
    <t>4800 ALBERTA AVE</t>
  </si>
  <si>
    <t>EL PASO</t>
  </si>
  <si>
    <t>MartineLutter-Hoppenheim</t>
  </si>
  <si>
    <t>E0423971</t>
  </si>
  <si>
    <t>LUTTER-HOPPENHEIM MARTINE</t>
  </si>
  <si>
    <t>LUTTER-HOPPENHEIM MARTINE DR.</t>
  </si>
  <si>
    <t>Fetterman,AlanD.</t>
  </si>
  <si>
    <t>E0201228</t>
  </si>
  <si>
    <t>FETTERMAN ALAN DAVID       MD</t>
  </si>
  <si>
    <t>(631) 382-4833</t>
  </si>
  <si>
    <t>Mark.Goldman@sbumed.org</t>
  </si>
  <si>
    <t>FETTERMAN ALAN</t>
  </si>
  <si>
    <t>HSC T 16 ROOM 080</t>
  </si>
  <si>
    <t>Hossain,Syeda</t>
  </si>
  <si>
    <t>E0288427</t>
  </si>
  <si>
    <t>SYEDA T HOSSAIN MD</t>
  </si>
  <si>
    <t>(631) 351-3728</t>
  </si>
  <si>
    <t>edouard.kamhi@mountsinai.org</t>
  </si>
  <si>
    <t>HOSSAIN SYEDA</t>
  </si>
  <si>
    <t>HOSSAIN SYEDA T MD</t>
  </si>
  <si>
    <t>AnandNarasimhadevaraVenkata</t>
  </si>
  <si>
    <t>VENKATA ANAND NARASIMHADEVAR</t>
  </si>
  <si>
    <t>24 S MOUNT AUBURN RD</t>
  </si>
  <si>
    <t>CAPE GIRARDEAU</t>
  </si>
  <si>
    <t>SorelVladu</t>
  </si>
  <si>
    <t>E0439886</t>
  </si>
  <si>
    <t>VLADU SOREL CONSTANTIN</t>
  </si>
  <si>
    <t>VLADU SOREL DR.</t>
  </si>
  <si>
    <t>Oustecky,DavidH.</t>
  </si>
  <si>
    <t>E0333887</t>
  </si>
  <si>
    <t>OUSTECKY DAVID HENRY</t>
  </si>
  <si>
    <t>(631) 659-1700</t>
  </si>
  <si>
    <t>andrew.radzik@mountsinai.org;andrewR510@optonline.net</t>
  </si>
  <si>
    <t>OUSTECKY DAVID DR.</t>
  </si>
  <si>
    <t>61 SOUTHERN BLVD</t>
  </si>
  <si>
    <t>Warmsley,AmberM.</t>
  </si>
  <si>
    <t>E0337515</t>
  </si>
  <si>
    <t>WARMSLEY AMBER</t>
  </si>
  <si>
    <t>(514) 877-0977</t>
  </si>
  <si>
    <t>D.Gutman@LIHeart.org</t>
  </si>
  <si>
    <t>WARMSLEY AMBER DR.</t>
  </si>
  <si>
    <t>AllisonKayUngar</t>
  </si>
  <si>
    <t>E0359434</t>
  </si>
  <si>
    <t>UNGAR ALLISON KAY</t>
  </si>
  <si>
    <t>UNGAR ALLISON</t>
  </si>
  <si>
    <t>JeffreyDavidNusbaum</t>
  </si>
  <si>
    <t>NUSBAUM JEFFREY MR.</t>
  </si>
  <si>
    <t>60 PARK TER W APT A84</t>
  </si>
  <si>
    <t>JacquelinePaulis</t>
  </si>
  <si>
    <t>PAULIS JACQUELINE</t>
  </si>
  <si>
    <t>1 GUSTAVE L LEVY PL, DEPARTMENT OF EMERGENCY MEDICINE- BOX 1149</t>
  </si>
  <si>
    <t>JonathanDobrinsky</t>
  </si>
  <si>
    <t>DOBRINSKY JONATHAN</t>
  </si>
  <si>
    <t>AaranBrookeDrake</t>
  </si>
  <si>
    <t>E0428013</t>
  </si>
  <si>
    <t>DRAKE AARAN BROOKE</t>
  </si>
  <si>
    <t>DRAKE AARAN</t>
  </si>
  <si>
    <t>SamitGhia</t>
  </si>
  <si>
    <t>GHIA SAMIT DR.</t>
  </si>
  <si>
    <t>5841 S MARYLAND AVE # MC4028</t>
  </si>
  <si>
    <t>LoaiAbdullahAlebdi</t>
  </si>
  <si>
    <t>ALEBDI LOAI</t>
  </si>
  <si>
    <t>214 W 96TH ST APT 6C</t>
  </si>
  <si>
    <t>LynnNguyen</t>
  </si>
  <si>
    <t>NGUYEN LYNN</t>
  </si>
  <si>
    <t>1090 AMSTERDAM AVE, 17TH FLOOR</t>
  </si>
  <si>
    <t>DanielJosephEckroth</t>
  </si>
  <si>
    <t>E0442902</t>
  </si>
  <si>
    <t>ECKROTH DANIEL</t>
  </si>
  <si>
    <t>Grinberg,Manuel</t>
  </si>
  <si>
    <t>E0174797</t>
  </si>
  <si>
    <t>GRINBERG MANUEL E  MD</t>
  </si>
  <si>
    <t>(631) 682-3700</t>
  </si>
  <si>
    <t>hgutman@imppllc.com</t>
  </si>
  <si>
    <t>GRINBERG MANUEL</t>
  </si>
  <si>
    <t>Gross,MichaelM.</t>
  </si>
  <si>
    <t>jhaberman@imppllc.com</t>
  </si>
  <si>
    <t>Gutman,Harvey</t>
  </si>
  <si>
    <t>E0223268</t>
  </si>
  <si>
    <t>GUTMAN HARVEY MD PC</t>
  </si>
  <si>
    <t>(631) 289-5100</t>
  </si>
  <si>
    <t>dhan@imppllc.com</t>
  </si>
  <si>
    <t>GUTMAN HARVEY</t>
  </si>
  <si>
    <t>48 ROUTE 25A STE 201</t>
  </si>
  <si>
    <t>Haberman,Jeffrey</t>
  </si>
  <si>
    <t>E0173007</t>
  </si>
  <si>
    <t>HABERMAN JEFFREY  MD</t>
  </si>
  <si>
    <t>thandler@imppllc.com</t>
  </si>
  <si>
    <t>HABERMAN JEFFREY DR.</t>
  </si>
  <si>
    <t>Han,Daniel</t>
  </si>
  <si>
    <t>E0091068</t>
  </si>
  <si>
    <t>HAN DANIEL MD</t>
  </si>
  <si>
    <t>tharrington@imppllc.com</t>
  </si>
  <si>
    <t>HAN DANIEL</t>
  </si>
  <si>
    <t>2500 NESCONSET HWY</t>
  </si>
  <si>
    <t>Handler,Toby</t>
  </si>
  <si>
    <t>E0058394</t>
  </si>
  <si>
    <t>HANDLER TOBY F MD</t>
  </si>
  <si>
    <t>ehochberg@imppllc.com</t>
  </si>
  <si>
    <t>HANDLER TOBY</t>
  </si>
  <si>
    <t>AshishAdrianCorrea</t>
  </si>
  <si>
    <t>CORREA ASHISH DR.</t>
  </si>
  <si>
    <t>515 W 59TH ST, APT. 15G</t>
  </si>
  <si>
    <t>DanielA.Tsin,MD</t>
  </si>
  <si>
    <t>E0275588</t>
  </si>
  <si>
    <t>TSIN DANIEL A              MD</t>
  </si>
  <si>
    <t>TSIN DANIEL</t>
  </si>
  <si>
    <t>TSIN DANIEL A MD</t>
  </si>
  <si>
    <t>3742 77TH ST</t>
  </si>
  <si>
    <t>DamaraNicoleOrtiz</t>
  </si>
  <si>
    <t>ORTIZ DAMARA</t>
  </si>
  <si>
    <t>550 1ST AVE, NYU LANGONE MEDICAL CENTER</t>
  </si>
  <si>
    <t>SarahLindsayRahal</t>
  </si>
  <si>
    <t>E0412743</t>
  </si>
  <si>
    <t>RAHAL SARAH</t>
  </si>
  <si>
    <t>RAHAL SARAH DR.</t>
  </si>
  <si>
    <t>RAHAL SARAH LINDSAY</t>
  </si>
  <si>
    <t>5 E 98TH ST FL 7</t>
  </si>
  <si>
    <t>SaravanaKumarDevulapalli</t>
  </si>
  <si>
    <t>DEVULAPALLI SARAVANA</t>
  </si>
  <si>
    <t>SaraFarag</t>
  </si>
  <si>
    <t>FARAG SARA DR.</t>
  </si>
  <si>
    <t>MazenIskandar</t>
  </si>
  <si>
    <t>E0407909</t>
  </si>
  <si>
    <t>ISKANDAR MAZEN</t>
  </si>
  <si>
    <t>ISKANDAR MAZEN DR.</t>
  </si>
  <si>
    <t>ArjunParasher</t>
  </si>
  <si>
    <t>PARASHER ARJUN</t>
  </si>
  <si>
    <t>3400 SPRUCE ST, 5 RAVDIN</t>
  </si>
  <si>
    <t>LeaAzour</t>
  </si>
  <si>
    <t>AZOUR LEA</t>
  </si>
  <si>
    <t>AnmolGuptaBansal</t>
  </si>
  <si>
    <t>BANSAL ANMOL</t>
  </si>
  <si>
    <t>ONE GUSTAVE L. LEVY PLACE, DEPARTMENT OF RADIOLOGY, BOX 1234</t>
  </si>
  <si>
    <t>StefaniaAntonellaPirrotta</t>
  </si>
  <si>
    <t>PIRROTTA STEFANIA DR.</t>
  </si>
  <si>
    <t>258 HAYES RD</t>
  </si>
  <si>
    <t>VedDDesai</t>
  </si>
  <si>
    <t>DESAI VED DR.</t>
  </si>
  <si>
    <t>WylieC.Hembree</t>
  </si>
  <si>
    <t>E0273094</t>
  </si>
  <si>
    <t>HEMBREE WYLIE C III</t>
  </si>
  <si>
    <t>HEMBREE WYLIE DR.</t>
  </si>
  <si>
    <t>MEDICAL ARTS SVCS</t>
  </si>
  <si>
    <t>MurtuzaZakirGunja</t>
  </si>
  <si>
    <t>E0408983</t>
  </si>
  <si>
    <t>GUNJA MURTUZA ZAKIR</t>
  </si>
  <si>
    <t>GUNJA MURTUZA DR.</t>
  </si>
  <si>
    <t>153-17 JAMAICA AVE  3RD FL</t>
  </si>
  <si>
    <t>AboluwadeOyinkansolaAyodele</t>
  </si>
  <si>
    <t>AYODELE ABOLUWADE</t>
  </si>
  <si>
    <t>ONE GUSTAVE L. LEVY PLACE</t>
  </si>
  <si>
    <t>JasonSayanlar</t>
  </si>
  <si>
    <t>SAYANLAR JASON</t>
  </si>
  <si>
    <t>1 GUSTAVE L LEVY PL, BOX 1030, DEPARTMENT OF CARDIOLOGY</t>
  </si>
  <si>
    <t>RobertJustinJaffe</t>
  </si>
  <si>
    <t>E0359611</t>
  </si>
  <si>
    <t>JAFFE ROBERT JUSTIN</t>
  </si>
  <si>
    <t>JAFFE ROBERT</t>
  </si>
  <si>
    <t>AdamJacobKarz</t>
  </si>
  <si>
    <t>E0359603</t>
  </si>
  <si>
    <t>KARZ ADAM JACOB</t>
  </si>
  <si>
    <t>KARZ ADAM DR.</t>
  </si>
  <si>
    <t>Knaupp,WilliamF.</t>
  </si>
  <si>
    <t>E0175964</t>
  </si>
  <si>
    <t>KNAUPP WILLIAM FREDERICK MD</t>
  </si>
  <si>
    <t>kuo.felix@gmail.com</t>
  </si>
  <si>
    <t>KNAUPP WILLIAM</t>
  </si>
  <si>
    <t>Lalli,CorradinoM.</t>
  </si>
  <si>
    <t>E0252747</t>
  </si>
  <si>
    <t>LALLI CORRADINO M          MD</t>
  </si>
  <si>
    <t>(631) 265-9111</t>
  </si>
  <si>
    <t>augustus.mantia@mountsinai.org</t>
  </si>
  <si>
    <t>LALLI CORRADINO</t>
  </si>
  <si>
    <t>363 ROUTE 111 STE 106</t>
  </si>
  <si>
    <t>MarwaMekki</t>
  </si>
  <si>
    <t>MEKKI MARWA</t>
  </si>
  <si>
    <t>MirellaJamilMourad</t>
  </si>
  <si>
    <t>MOURAD MIRELLA</t>
  </si>
  <si>
    <t>465 MAIN ST, APT. 2E</t>
  </si>
  <si>
    <t>NanLi</t>
  </si>
  <si>
    <t>LI NAN</t>
  </si>
  <si>
    <t>40 WATERSIDE PLZ APT 8L</t>
  </si>
  <si>
    <t>SamanthaShapiro</t>
  </si>
  <si>
    <t>SHAPIRO SAMANTHA</t>
  </si>
  <si>
    <t>303 W 80TH ST, APT 5A</t>
  </si>
  <si>
    <t>TinaPatelKapadia</t>
  </si>
  <si>
    <t>KAPADIA TINA</t>
  </si>
  <si>
    <t>BenjaminHoldenSchnapp</t>
  </si>
  <si>
    <t>SCHNAPP BENJAMIN DR.</t>
  </si>
  <si>
    <t>211 E ONTARIO ST, SUITE 300</t>
  </si>
  <si>
    <t>JosephMichaelScofi</t>
  </si>
  <si>
    <t>SCOFI JOSEPH</t>
  </si>
  <si>
    <t>57 E 96TH ST, APT 5C</t>
  </si>
  <si>
    <t>DouglasRobertScott</t>
  </si>
  <si>
    <t>SCOTT DOUGLAS DR.</t>
  </si>
  <si>
    <t>1 GUSTAVE L. PLACE</t>
  </si>
  <si>
    <t>WhitneyAlexandraBooker</t>
  </si>
  <si>
    <t>BOOKER WHITNEY DR.</t>
  </si>
  <si>
    <t>901 S ASHLAND AVE, APT 810A</t>
  </si>
  <si>
    <t>TriciaRachaelMahabir</t>
  </si>
  <si>
    <t>E0412719</t>
  </si>
  <si>
    <t>MAHABIR TRICIA RACHAEL</t>
  </si>
  <si>
    <t>MAHABIR TRICIA DR.</t>
  </si>
  <si>
    <t>KouroshKahkeshani</t>
  </si>
  <si>
    <t>KAHKESHANI KOUROSH DR.</t>
  </si>
  <si>
    <t>10 UNION SQ E, SUITE 5D</t>
  </si>
  <si>
    <t>JohnT.Angelo</t>
  </si>
  <si>
    <t>ANGELO JOHN</t>
  </si>
  <si>
    <t>10 UNION SQ E, SUITE 3M</t>
  </si>
  <si>
    <t>XuanjingZhou</t>
  </si>
  <si>
    <t>ZHOU XUANJING MS.</t>
  </si>
  <si>
    <t>12848 KING ST</t>
  </si>
  <si>
    <t>OVERLAND PARK</t>
  </si>
  <si>
    <t>KS</t>
  </si>
  <si>
    <t>IssaPapissBagayogo</t>
  </si>
  <si>
    <t>BAGAYOGO ISSA DR.</t>
  </si>
  <si>
    <t>317 E 17TH ST, 9TH FLOOR</t>
  </si>
  <si>
    <t>AnahitaBassirNia</t>
  </si>
  <si>
    <t>BASSIR NIA ANAHITA</t>
  </si>
  <si>
    <t>317 E 17TH ST, BETH ISRAEL MEDICAL CENTER</t>
  </si>
  <si>
    <t>NishaOhri</t>
  </si>
  <si>
    <t>OHRI NISHA DR.</t>
  </si>
  <si>
    <t>TimothyEdwardSnow</t>
  </si>
  <si>
    <t>SNOW TIMOTHY MR.</t>
  </si>
  <si>
    <t>1 GUSTAVE L PLACE, BOX 1149</t>
  </si>
  <si>
    <t>AlejandroDiazChavez</t>
  </si>
  <si>
    <t>DIAZ CHAVEZ ALEJANDRO</t>
  </si>
  <si>
    <t>Harrington,ThomasG.</t>
  </si>
  <si>
    <t>E0116284</t>
  </si>
  <si>
    <t>HARRINGTON THOMAS</t>
  </si>
  <si>
    <t>(516) 938-4550</t>
  </si>
  <si>
    <t>thsiao@imppllc.com</t>
  </si>
  <si>
    <t>HARRINGTON THOMAS GREGORY</t>
  </si>
  <si>
    <t>373 RTE 111 STE 7</t>
  </si>
  <si>
    <t>Hochberg,EricM.</t>
  </si>
  <si>
    <t>E0149151</t>
  </si>
  <si>
    <t>HOCHBERG ERIC MITCHELL MD</t>
  </si>
  <si>
    <t>jjamal@imppllc.com</t>
  </si>
  <si>
    <t>HOCHBERG ERIC</t>
  </si>
  <si>
    <t>HOCHBERG ERIC MITCHELL</t>
  </si>
  <si>
    <t>10 MEDICAL PLZ</t>
  </si>
  <si>
    <t>Hsiao,Tso-Jen</t>
  </si>
  <si>
    <t>E0111193</t>
  </si>
  <si>
    <t>HSIAO TSO-JEN MD</t>
  </si>
  <si>
    <t>jjhaveri@imppllc.com</t>
  </si>
  <si>
    <t>HSIAO TSO-JEN DR.</t>
  </si>
  <si>
    <t>HowardHochster</t>
  </si>
  <si>
    <t>(191) 799-29875</t>
  </si>
  <si>
    <t>AshuwinderSingh</t>
  </si>
  <si>
    <t>(191) 427-47184</t>
  </si>
  <si>
    <t>Adler,ArvinJ.</t>
  </si>
  <si>
    <t>E0190229</t>
  </si>
  <si>
    <t>ADLER ARVIN JAY DO</t>
  </si>
  <si>
    <t>aanderson@imppllc.com</t>
  </si>
  <si>
    <t>ADLER ARVIN DR.</t>
  </si>
  <si>
    <t>DEPT RADIATION ONC</t>
  </si>
  <si>
    <t>Alyskewycz,MykolaR.</t>
  </si>
  <si>
    <t>E0147521</t>
  </si>
  <si>
    <t>ALYSKEWYCZ MYKOLA ROMAN MD</t>
  </si>
  <si>
    <t>(516) 328-8775</t>
  </si>
  <si>
    <t>cbarnswell@imppllc.com</t>
  </si>
  <si>
    <t>ALYSKEWYCZ MYKOLA</t>
  </si>
  <si>
    <t>ALYSKEWYCZ MYKOLA ROMAN</t>
  </si>
  <si>
    <t>Anderson,AnnE.</t>
  </si>
  <si>
    <t>E0180245</t>
  </si>
  <si>
    <t>ANDERSON ANN E MD</t>
  </si>
  <si>
    <t>rbauer@impplic.com</t>
  </si>
  <si>
    <t>SharonaBen-Haim</t>
  </si>
  <si>
    <t>BEN-HAIM SHARONA DR.</t>
  </si>
  <si>
    <t>10611 GARDEN GROVE AVE</t>
  </si>
  <si>
    <t>PORTER RANCH</t>
  </si>
  <si>
    <t>AshaMIyer</t>
  </si>
  <si>
    <t>IYER ASHA DR.</t>
  </si>
  <si>
    <t>1249 PARK AVE, APT 10E</t>
  </si>
  <si>
    <t>JustinRMascitelli</t>
  </si>
  <si>
    <t>E0414914</t>
  </si>
  <si>
    <t>MASCITELLI JUSTIN</t>
  </si>
  <si>
    <t>MASCITELLI JUSTIN DR.</t>
  </si>
  <si>
    <t>JasmineSusanaBeria</t>
  </si>
  <si>
    <t>BERIA JASMINE DR.</t>
  </si>
  <si>
    <t>Bruno,AnthonyM.</t>
  </si>
  <si>
    <t>E0276304</t>
  </si>
  <si>
    <t>BRUNO ANTHONY M            MD</t>
  </si>
  <si>
    <t>achan@imppllc.com</t>
  </si>
  <si>
    <t>BRUNO ANTHONY</t>
  </si>
  <si>
    <t>Buchbinder,MitchellI.</t>
  </si>
  <si>
    <t>E0276772</t>
  </si>
  <si>
    <t>BUCHBINDER MITCHELL I      MD</t>
  </si>
  <si>
    <t>mchang@imppllc.com</t>
  </si>
  <si>
    <t>BUCHBINDER MITCHELL</t>
  </si>
  <si>
    <t>NORTHSHORE UNIV HOSP</t>
  </si>
  <si>
    <t>Chan,AndrewJ.</t>
  </si>
  <si>
    <t>E0100968</t>
  </si>
  <si>
    <t>CHAN ANDREW JOSEPH</t>
  </si>
  <si>
    <t>ediamond@imppllc.com</t>
  </si>
  <si>
    <t>CHAN ANDREW</t>
  </si>
  <si>
    <t>Chang,Mark</t>
  </si>
  <si>
    <t>E0011291</t>
  </si>
  <si>
    <t>CHANG MARK MD</t>
  </si>
  <si>
    <t>mdourmashkin@imppllc.com</t>
  </si>
  <si>
    <t>CHANG MARK DR.</t>
  </si>
  <si>
    <t>ChandraMoniqueSingh</t>
  </si>
  <si>
    <t>SINGH CHANDRA</t>
  </si>
  <si>
    <t>NicoleAshleyYuzuk</t>
  </si>
  <si>
    <t>E0442962</t>
  </si>
  <si>
    <t>YUZUK NICOLE</t>
  </si>
  <si>
    <t>YUZUK NICOLE ASHLEY</t>
  </si>
  <si>
    <t>ChristopherBWillison</t>
  </si>
  <si>
    <t>WILLISON CHRISTOPHER DR.</t>
  </si>
  <si>
    <t>2300 MARIE CURIE DR</t>
  </si>
  <si>
    <t>GARLAND</t>
  </si>
  <si>
    <t>MercyAdeolaOdueyungbo</t>
  </si>
  <si>
    <t>ODUEYUNGBO MERCY DR.</t>
  </si>
  <si>
    <t>1007 HARBOR HILLS DR, SUITE C</t>
  </si>
  <si>
    <t>MARQUETTE</t>
  </si>
  <si>
    <t>MaritzaNicoleAitken</t>
  </si>
  <si>
    <t>AITKEN MARITZA DR.</t>
  </si>
  <si>
    <t>Diamond,Ezriel</t>
  </si>
  <si>
    <t>E0226742</t>
  </si>
  <si>
    <t>DIAMOND EZRIEL MD PC</t>
  </si>
  <si>
    <t>ndube@imppllc.com</t>
  </si>
  <si>
    <t>DIAMOND EZRIEL</t>
  </si>
  <si>
    <t>Dourmashkin,MichaelR.</t>
  </si>
  <si>
    <t>E0190531</t>
  </si>
  <si>
    <t>MICHAEL DOURMASHKIN MD</t>
  </si>
  <si>
    <t>mefros@imppllc.com</t>
  </si>
  <si>
    <t>DOURMASHKIN MICHAEL</t>
  </si>
  <si>
    <t>640 HAWKINS AVE</t>
  </si>
  <si>
    <t>Dube,Niti</t>
  </si>
  <si>
    <t>E0010366</t>
  </si>
  <si>
    <t>DUBE NITI MD</t>
  </si>
  <si>
    <t>eeisenberg@imppllc.com</t>
  </si>
  <si>
    <t>DUBE NITI</t>
  </si>
  <si>
    <t>Efros,MitchellD.</t>
  </si>
  <si>
    <t>E0126855</t>
  </si>
  <si>
    <t>EFROS MITCHELL DOUGLAS MD</t>
  </si>
  <si>
    <t>aepelbaum@imppllc.com</t>
  </si>
  <si>
    <t>EFROS MITCHELL</t>
  </si>
  <si>
    <t>Eisenberg,EvanR.</t>
  </si>
  <si>
    <t>E0022114</t>
  </si>
  <si>
    <t>EISENBERG EVAN R MD</t>
  </si>
  <si>
    <t>revans@imppllc.com</t>
  </si>
  <si>
    <t>EISENBERG EVAN</t>
  </si>
  <si>
    <t>IRISHOUSE,INC.</t>
  </si>
  <si>
    <t>E0111901</t>
  </si>
  <si>
    <t>IRIS HOUSE AI</t>
  </si>
  <si>
    <t>IRIS HOUSE, INC.</t>
  </si>
  <si>
    <t>IRIS HOUSE A CTR/WOMEN LIV WITH HIV</t>
  </si>
  <si>
    <t>2271 2ND AVE</t>
  </si>
  <si>
    <t>E0325550</t>
  </si>
  <si>
    <t>MARTI JENNIFER</t>
  </si>
  <si>
    <t>JenniferMarti</t>
  </si>
  <si>
    <t>MARTI JENNIFER DR.</t>
  </si>
  <si>
    <t>MARTI JENNIFER LYNN</t>
  </si>
  <si>
    <t>E0081189</t>
  </si>
  <si>
    <t>THOMASCH MEGAN M MD</t>
  </si>
  <si>
    <t>MeganThomasch</t>
  </si>
  <si>
    <t>THOMASCH MEGAN</t>
  </si>
  <si>
    <t>E0151596</t>
  </si>
  <si>
    <t>NAJAC RICHARD DAVID MD</t>
  </si>
  <si>
    <t>RichardNajac</t>
  </si>
  <si>
    <t>NAJAC RICHARD</t>
  </si>
  <si>
    <t>12510 QUEENS BLVD</t>
  </si>
  <si>
    <t>ParulShah</t>
  </si>
  <si>
    <t>SHAH PARUL MS.</t>
  </si>
  <si>
    <t>1300 E 104TH ST, SUITE 150</t>
  </si>
  <si>
    <t>KANSAS CITY</t>
  </si>
  <si>
    <t>E0049925</t>
  </si>
  <si>
    <t>AGARWALA NEENA MD</t>
  </si>
  <si>
    <t>NeenaAgarwala</t>
  </si>
  <si>
    <t>AGARWALA NEENA DR.</t>
  </si>
  <si>
    <t>AGARWALA NEENA</t>
  </si>
  <si>
    <t>910 ROBIN RD</t>
  </si>
  <si>
    <t>STATE COLLEGE</t>
  </si>
  <si>
    <t>E0100095</t>
  </si>
  <si>
    <t>MILITE FULVIA</t>
  </si>
  <si>
    <t>FulviaMilite</t>
  </si>
  <si>
    <t>MILITE FULVIA DR.</t>
  </si>
  <si>
    <t>AbhishekKumar</t>
  </si>
  <si>
    <t>KUMAR ABHISHEK DR.</t>
  </si>
  <si>
    <t>703 MAIN ST, DEPT. OF HEMATOLOGY ONCOLOGY</t>
  </si>
  <si>
    <t>LeahWallickBassin</t>
  </si>
  <si>
    <t>BASSIN LEAH</t>
  </si>
  <si>
    <t>399 FARMINGTON AVE, SUITE 200</t>
  </si>
  <si>
    <t>KyrollisGuirguisAttalla</t>
  </si>
  <si>
    <t>ATTALLA KYROLLIS</t>
  </si>
  <si>
    <t>353 E 17TH ST FL 2</t>
  </si>
  <si>
    <t>AndrewChristopher</t>
  </si>
  <si>
    <t>CHRISTOPHER ANDREW DR.</t>
  </si>
  <si>
    <t>1582 LENNOX FLATS DR</t>
  </si>
  <si>
    <t>DavidG.Currie</t>
  </si>
  <si>
    <t>CURRIE DAVID DR.</t>
  </si>
  <si>
    <t>TriciaDanielsLee</t>
  </si>
  <si>
    <t>E0375358</t>
  </si>
  <si>
    <t>LEE TRICIA D</t>
  </si>
  <si>
    <t>LEE TRICIA</t>
  </si>
  <si>
    <t>WhitneyMarshallRassbach</t>
  </si>
  <si>
    <t>E0376878</t>
  </si>
  <si>
    <t>RASSBACH WHITNEY M</t>
  </si>
  <si>
    <t>RASSBACH WHITNEY DR.</t>
  </si>
  <si>
    <t>MariamSheikh</t>
  </si>
  <si>
    <t>E0438885</t>
  </si>
  <si>
    <t>SHEIKH MARIAM WAHEED</t>
  </si>
  <si>
    <t>SHEIKH MARIAM</t>
  </si>
  <si>
    <t>AgatheStreiff</t>
  </si>
  <si>
    <t>STREIFF AGATHE</t>
  </si>
  <si>
    <t>E0353476</t>
  </si>
  <si>
    <t>DANIK JACQUELINE SUK</t>
  </si>
  <si>
    <t>JacquelineDanik</t>
  </si>
  <si>
    <t>DANIK JACQUELINE</t>
  </si>
  <si>
    <t>NelsonDina</t>
  </si>
  <si>
    <t>dinelson@ipc-hub.com</t>
  </si>
  <si>
    <t>Khatun,Manbuba</t>
  </si>
  <si>
    <t>LalitaDougal</t>
  </si>
  <si>
    <t>(212) 870-5940</t>
  </si>
  <si>
    <t>ldougal@jewishhome.org</t>
  </si>
  <si>
    <t>Kuhn,Kris</t>
  </si>
  <si>
    <t>LouisGoldblum</t>
  </si>
  <si>
    <t>E0260682</t>
  </si>
  <si>
    <t>GOLDBLUM LOUIS M</t>
  </si>
  <si>
    <t>GOLDBLUM LOUIS DR.</t>
  </si>
  <si>
    <t>SYOSSET HOSPITAL</t>
  </si>
  <si>
    <t>HooshangMirlohi</t>
  </si>
  <si>
    <t>E0274896</t>
  </si>
  <si>
    <t>MIRLOHI HOOSHANG PC        MD</t>
  </si>
  <si>
    <t>MIRLOHI HOOSHANG DR.</t>
  </si>
  <si>
    <t>FAM MEDICAL AND DENT</t>
  </si>
  <si>
    <t>WesnerMoise</t>
  </si>
  <si>
    <t>IndiraMaryannGowda</t>
  </si>
  <si>
    <t>GOWDA INDIRA</t>
  </si>
  <si>
    <t>1 GUSTAVE L LEVY PL # 1149</t>
  </si>
  <si>
    <t>NachiketaJigyasuGupta</t>
  </si>
  <si>
    <t>GUPTA NACHIKETA DR.</t>
  </si>
  <si>
    <t>Rokhsar,CameronK.</t>
  </si>
  <si>
    <t>E0053073</t>
  </si>
  <si>
    <t>ROKHSAR CAMERON K</t>
  </si>
  <si>
    <t>(718) 639-8827</t>
  </si>
  <si>
    <t>James.Aisenberg@nyga.md</t>
  </si>
  <si>
    <t>ROKHSAR CAMERON</t>
  </si>
  <si>
    <t>SatishKashyap</t>
  </si>
  <si>
    <t>E0227853</t>
  </si>
  <si>
    <t>KASHYAP SATISH             MD</t>
  </si>
  <si>
    <t>KASHYAP SATISH DR.</t>
  </si>
  <si>
    <t>550 EASTERN PKWY</t>
  </si>
  <si>
    <t>NezhatHashemian</t>
  </si>
  <si>
    <t>E0235161</t>
  </si>
  <si>
    <t>HASHEMIAN NEZHAT           MD</t>
  </si>
  <si>
    <t>HASHEMI NEZHAT MRS.</t>
  </si>
  <si>
    <t>1199 OCEAN AVE</t>
  </si>
  <si>
    <t>E0011011</t>
  </si>
  <si>
    <t>LIU JENNIFER MD</t>
  </si>
  <si>
    <t>JENNIFERLIU</t>
  </si>
  <si>
    <t>LIU JENNIFER</t>
  </si>
  <si>
    <t>E0147662</t>
  </si>
  <si>
    <t>CALLAHAN MARK</t>
  </si>
  <si>
    <t>MARKCALLAHAN</t>
  </si>
  <si>
    <t>515 E 71ST ST</t>
  </si>
  <si>
    <t>E0323363</t>
  </si>
  <si>
    <t>KOPKE MARY</t>
  </si>
  <si>
    <t>MARYVICTORIAKOPKE</t>
  </si>
  <si>
    <t>KOPKE MARY VICTORIA DR.</t>
  </si>
  <si>
    <t>KOPKE MARY MD</t>
  </si>
  <si>
    <t>E0295058</t>
  </si>
  <si>
    <t>KRAUSKOPF KATHERINE</t>
  </si>
  <si>
    <t>KATHERINEKRAUSKOPF</t>
  </si>
  <si>
    <t>KRAUSKOPF KATHERINE DR.</t>
  </si>
  <si>
    <t>KRAUSKOPF KATHERINE ANNE</t>
  </si>
  <si>
    <t>E0296251</t>
  </si>
  <si>
    <t>HOLLMAN DOMINIC</t>
  </si>
  <si>
    <t>DOMINICHOLLMAN</t>
  </si>
  <si>
    <t>HOLLMAN DOMINIC DR.</t>
  </si>
  <si>
    <t>320 E 94TH ST FL 1</t>
  </si>
  <si>
    <t>MatthewCordova</t>
  </si>
  <si>
    <t>E0384063</t>
  </si>
  <si>
    <t>CORDOVA MATTHEW ALEXANDER</t>
  </si>
  <si>
    <t>CORDOVA MATTHEW</t>
  </si>
  <si>
    <t>ArkadyBarenboim</t>
  </si>
  <si>
    <t>E0372963</t>
  </si>
  <si>
    <t>BARENBOIM ARKADY Z</t>
  </si>
  <si>
    <t>BARENBOIM ARKADY</t>
  </si>
  <si>
    <t>IvoJ.Drazenovic</t>
  </si>
  <si>
    <t>E0291910</t>
  </si>
  <si>
    <t>DRAZENOVIC N IVO J</t>
  </si>
  <si>
    <t>DRAZENOVIC N. IVO</t>
  </si>
  <si>
    <t>99 DIVISION AVE</t>
  </si>
  <si>
    <t>NgugiKinyungu</t>
  </si>
  <si>
    <t>E0362402</t>
  </si>
  <si>
    <t>KINYUNGO NGUGI M</t>
  </si>
  <si>
    <t>KINYUNGU NGUGI</t>
  </si>
  <si>
    <t>WinnifredLamarre</t>
  </si>
  <si>
    <t>E0387219</t>
  </si>
  <si>
    <t>LAMARRE WINNIFRED</t>
  </si>
  <si>
    <t>546 EASTERN PKWY</t>
  </si>
  <si>
    <t>AhmadMahdi</t>
  </si>
  <si>
    <t>E0386345</t>
  </si>
  <si>
    <t>MAHDI AHMAD</t>
  </si>
  <si>
    <t>RamakrishnaMuttana</t>
  </si>
  <si>
    <t>E0275851</t>
  </si>
  <si>
    <t>MUTTANA RAMAKRISHNA REDDI  MD</t>
  </si>
  <si>
    <t>MUTTANA RAMAKRISHNA DR.</t>
  </si>
  <si>
    <t>2309 VICTORY BLVD</t>
  </si>
  <si>
    <t>MarciaNelson</t>
  </si>
  <si>
    <t>E0072075</t>
  </si>
  <si>
    <t>NELSON MARCIA PHILOMENA</t>
  </si>
  <si>
    <t>NELSON MARCIA DR.</t>
  </si>
  <si>
    <t>ManhPham</t>
  </si>
  <si>
    <t>PHAM MANH</t>
  </si>
  <si>
    <t>1300 HOSPITAL LOOP</t>
  </si>
  <si>
    <t>BELCOURT</t>
  </si>
  <si>
    <t>ND</t>
  </si>
  <si>
    <t>RomaRajs-Nepomniashy</t>
  </si>
  <si>
    <t>E0064744</t>
  </si>
  <si>
    <t>RAJS-NEPOMNIASKY ROMA MD</t>
  </si>
  <si>
    <t>RAJS-NEPOMNIASHY ROMA DR.</t>
  </si>
  <si>
    <t>RAJS-NEPOMNIASHY ROMA MD</t>
  </si>
  <si>
    <t>2525 NOSTRAND AVE</t>
  </si>
  <si>
    <t>RichardReish</t>
  </si>
  <si>
    <t>E0383523</t>
  </si>
  <si>
    <t>REISH RICHARD</t>
  </si>
  <si>
    <t>REISH RICHARD DR.</t>
  </si>
  <si>
    <t>REISH RICHARD GARETT</t>
  </si>
  <si>
    <t>999 FRANKLIN AVE STE 300</t>
  </si>
  <si>
    <t>NoaSheikin</t>
  </si>
  <si>
    <t>E0386225</t>
  </si>
  <si>
    <t>SHEIKIN NOA</t>
  </si>
  <si>
    <t>SHEIKIN NOA DR.</t>
  </si>
  <si>
    <t>240 WILLOUGHBY ST STE 4C</t>
  </si>
  <si>
    <t>AdamShestack</t>
  </si>
  <si>
    <t>E0384502</t>
  </si>
  <si>
    <t>SHESTACK ADAM E</t>
  </si>
  <si>
    <t>SHESTACK ADAM DR.</t>
  </si>
  <si>
    <t>NilarTun</t>
  </si>
  <si>
    <t>E0391311</t>
  </si>
  <si>
    <t>TUN NILAR</t>
  </si>
  <si>
    <t>333 LAFAYETTE AVE APT PA</t>
  </si>
  <si>
    <t>LLOYD,ROSALIND</t>
  </si>
  <si>
    <t>FelicidadPido</t>
  </si>
  <si>
    <t>(212) 271-7200</t>
  </si>
  <si>
    <t>LLOYD ROSALIND</t>
  </si>
  <si>
    <t>NathanielCuthbertSwinburne</t>
  </si>
  <si>
    <t>SWINBURNE NATHANIEL DR.</t>
  </si>
  <si>
    <t>JosephJamesTitano</t>
  </si>
  <si>
    <t>TITANO JOSEPH</t>
  </si>
  <si>
    <t>536 ARTHUR ST</t>
  </si>
  <si>
    <t>JohnLewis</t>
  </si>
  <si>
    <t>121DeKalbAve</t>
  </si>
  <si>
    <t>CraigT.Szela</t>
  </si>
  <si>
    <t>SZELA CRAIG</t>
  </si>
  <si>
    <t>1629 N 45TH ST</t>
  </si>
  <si>
    <t>SabaSarwar</t>
  </si>
  <si>
    <t>E0409943</t>
  </si>
  <si>
    <t>SARWAR SABA</t>
  </si>
  <si>
    <t>2800 MARCUS AVE</t>
  </si>
  <si>
    <t>MariaJosefaMalagaAragon</t>
  </si>
  <si>
    <t>MALAGA ARAGON MARIA JOSEFA</t>
  </si>
  <si>
    <t>353 E 17TH ST, 2ND FLOOR - ROOM 223</t>
  </si>
  <si>
    <t>OsitadinmaLorenzoMbadugha</t>
  </si>
  <si>
    <t>MBADUGHA OSITADINMA DR.</t>
  </si>
  <si>
    <t>DanielThomasMcGovern</t>
  </si>
  <si>
    <t>E0448166</t>
  </si>
  <si>
    <t>MCGOVERN DANIEL THOMAS</t>
  </si>
  <si>
    <t>MCGOVERN DANIEL DR.</t>
  </si>
  <si>
    <t>CamilleL.Mendez</t>
  </si>
  <si>
    <t>MENDEZ-MALDONADO CAMILLE</t>
  </si>
  <si>
    <t>317 E 17TH ST FL 9</t>
  </si>
  <si>
    <t>ChristineEunjeeLee</t>
  </si>
  <si>
    <t>CareyChengLi</t>
  </si>
  <si>
    <t>E0442872</t>
  </si>
  <si>
    <t>LI CAREY CHENG</t>
  </si>
  <si>
    <t>LI CAREY</t>
  </si>
  <si>
    <t>AlyssaRen</t>
  </si>
  <si>
    <t>REN ALYSSA</t>
  </si>
  <si>
    <t>MyriahRosengarten,Ph.D.</t>
  </si>
  <si>
    <t>E0353173</t>
  </si>
  <si>
    <t>ROSENGARTEN MYRIAH EVE</t>
  </si>
  <si>
    <t>ROSENGARTEN MYRIAH DR.</t>
  </si>
  <si>
    <t>EricKaiser,L.C.S.W.</t>
  </si>
  <si>
    <t>E0371727</t>
  </si>
  <si>
    <t>KAISER ERIC EUGENE</t>
  </si>
  <si>
    <t>KAISER ERIC</t>
  </si>
  <si>
    <t>GillianTerrone,L.C.S.W.</t>
  </si>
  <si>
    <t>E0381609</t>
  </si>
  <si>
    <t>TERRONE GILLIAN D</t>
  </si>
  <si>
    <t>TERRONE GILLIAN MS.</t>
  </si>
  <si>
    <t>TERRONE GILLIAN DANIELLE</t>
  </si>
  <si>
    <t>AnzhelaDvorkina</t>
  </si>
  <si>
    <t>E0125042</t>
  </si>
  <si>
    <t>DVORKINA ANZHELA MD</t>
  </si>
  <si>
    <t>DVORKINA ANZHELA DR.</t>
  </si>
  <si>
    <t>FL 4</t>
  </si>
  <si>
    <t>GrantGeisler</t>
  </si>
  <si>
    <t>JessicaGlenn</t>
  </si>
  <si>
    <t>HimaniJanapana</t>
  </si>
  <si>
    <t>E0008958</t>
  </si>
  <si>
    <t>JANAPANA HIMANI</t>
  </si>
  <si>
    <t>JANAPANA HIMANI DR.</t>
  </si>
  <si>
    <t>JagjitSingh</t>
  </si>
  <si>
    <t>E0076455</t>
  </si>
  <si>
    <t>SINGH JAGJIT MD PC</t>
  </si>
  <si>
    <t>SINGH JAGJIT</t>
  </si>
  <si>
    <t>MananaPetrov</t>
  </si>
  <si>
    <t>DmitriyShmerkovich</t>
  </si>
  <si>
    <t>E0322992</t>
  </si>
  <si>
    <t>SHMERKOVICH DMITRY</t>
  </si>
  <si>
    <t>SHMERKOVICH DMITRY V</t>
  </si>
  <si>
    <t>1120 SEACOST TERRACE</t>
  </si>
  <si>
    <t>RekhaMenon</t>
  </si>
  <si>
    <t>E0319029</t>
  </si>
  <si>
    <t>MENON REKHA</t>
  </si>
  <si>
    <t>MENON REKHA DR.</t>
  </si>
  <si>
    <t>Jean-ClaudeDesrosiers</t>
  </si>
  <si>
    <t>E0351106</t>
  </si>
  <si>
    <t>DESROSIERS JEAN CLAUDE</t>
  </si>
  <si>
    <t>DESROSIERS JEAN-CLAUDE DR.</t>
  </si>
  <si>
    <t>3765 RIVERDALE AVE STE 5</t>
  </si>
  <si>
    <t>MalcolmGoodchild</t>
  </si>
  <si>
    <t>E0344010</t>
  </si>
  <si>
    <t>GOODCHILD MALCOLM INGRAM</t>
  </si>
  <si>
    <t>GOODCHILD MALCOLM DR.</t>
  </si>
  <si>
    <t>233 NOSTRAND AVE</t>
  </si>
  <si>
    <t>DavidHirschl</t>
  </si>
  <si>
    <t>DmitryYoushko</t>
  </si>
  <si>
    <t>E0323396</t>
  </si>
  <si>
    <t>YOUSHKO DMITRY</t>
  </si>
  <si>
    <t>SonalBordia</t>
  </si>
  <si>
    <t>E0334256</t>
  </si>
  <si>
    <t>BORDIA SONAL</t>
  </si>
  <si>
    <t>AnjaliHulbanni</t>
  </si>
  <si>
    <t>E0351009</t>
  </si>
  <si>
    <t>HULBANNI ANJALI SHIVAPPA</t>
  </si>
  <si>
    <t>HULBANNI ANJALI DR.</t>
  </si>
  <si>
    <t>ClydeBaker</t>
  </si>
  <si>
    <t>E0333210</t>
  </si>
  <si>
    <t>BAKER CLYDE GREGORY</t>
  </si>
  <si>
    <t>BAKER CLYDE DR.</t>
  </si>
  <si>
    <t>AyishaEdwards</t>
  </si>
  <si>
    <t>E0343821</t>
  </si>
  <si>
    <t>EDWARDS AYISHA TENE</t>
  </si>
  <si>
    <t>EDWARDS AYISHA DR.</t>
  </si>
  <si>
    <t>GarrettWadeBurnett</t>
  </si>
  <si>
    <t>BURNETT GARRETT</t>
  </si>
  <si>
    <t>1620 HASKELL ST, UNIT A</t>
  </si>
  <si>
    <t>AUSTIN</t>
  </si>
  <si>
    <t>DallasJKingsbury</t>
  </si>
  <si>
    <t>E0367297</t>
  </si>
  <si>
    <t>KINGSBURY DALLAS J</t>
  </si>
  <si>
    <t>KINGSBURY DALLAS DR.</t>
  </si>
  <si>
    <t>KINGSBURY DALLAS</t>
  </si>
  <si>
    <t>Epelbaum,Alexander</t>
  </si>
  <si>
    <t>E0035638</t>
  </si>
  <si>
    <t>EPELBAUM ALEXANDER MD</t>
  </si>
  <si>
    <t>lfaiella@imppllc.com</t>
  </si>
  <si>
    <t>EPELBAUM ALEXANDER</t>
  </si>
  <si>
    <t>EPELBAUM ALEXANDER  MD</t>
  </si>
  <si>
    <t>Evans,RichardM.</t>
  </si>
  <si>
    <t>E0123788</t>
  </si>
  <si>
    <t>EVANS RICHARD M MD</t>
  </si>
  <si>
    <t>(516) 433-0262</t>
  </si>
  <si>
    <t>tfelderman@imppllc.com</t>
  </si>
  <si>
    <t>EVANS RICHARD</t>
  </si>
  <si>
    <t>E0182560</t>
  </si>
  <si>
    <t>LINSTROM CHRISTOPHER J MD</t>
  </si>
  <si>
    <t>ChristopherLinstrom</t>
  </si>
  <si>
    <t>LINSTROM CHRISTOPHER DR.</t>
  </si>
  <si>
    <t>DEPT OF OTOLAR NYE&amp;E</t>
  </si>
  <si>
    <t>E0130326</t>
  </si>
  <si>
    <t>VIRZI PETER JOSEPH MD</t>
  </si>
  <si>
    <t>PeterVirzi</t>
  </si>
  <si>
    <t>VIRZI PETER</t>
  </si>
  <si>
    <t>VIRZI PETER JOSEPH</t>
  </si>
  <si>
    <t>55 E 34TH ST</t>
  </si>
  <si>
    <t>E0127480</t>
  </si>
  <si>
    <t>FELSEN MICHAEL R MD</t>
  </si>
  <si>
    <t>MichaelFelsen</t>
  </si>
  <si>
    <t>FELSEN MICHAEL</t>
  </si>
  <si>
    <t>10 UNION SQ E STE 3G</t>
  </si>
  <si>
    <t>E0009839</t>
  </si>
  <si>
    <t>HARBORD NIKOLAS B MD</t>
  </si>
  <si>
    <t>NikolasHarbord</t>
  </si>
  <si>
    <t>HARBORD NIKOLAS DR.</t>
  </si>
  <si>
    <t>E0154313</t>
  </si>
  <si>
    <t>YEN VINCENT MD</t>
  </si>
  <si>
    <t>VincentYen</t>
  </si>
  <si>
    <t>YEN VINCENT</t>
  </si>
  <si>
    <t>E0030533</t>
  </si>
  <si>
    <t>EISENSTEIN LUCY X</t>
  </si>
  <si>
    <t>LucyEisenstein</t>
  </si>
  <si>
    <t>ST. LUKES ROOSEVELT HOSPITAL CENTER</t>
  </si>
  <si>
    <t>AudreyKalan</t>
  </si>
  <si>
    <t>KALAN AUDREY</t>
  </si>
  <si>
    <t>211 MOUNT AIRY RD</t>
  </si>
  <si>
    <t>BASKING RIDGE</t>
  </si>
  <si>
    <t>E0008703</t>
  </si>
  <si>
    <t>HARSHAN MANJU MD</t>
  </si>
  <si>
    <t>ManjuHarshan</t>
  </si>
  <si>
    <t>HARSHAN MANJU</t>
  </si>
  <si>
    <t>E0121670</t>
  </si>
  <si>
    <t>PYBURN DEWITT D MD</t>
  </si>
  <si>
    <t>DewittPyburn</t>
  </si>
  <si>
    <t>PYBURN DEWITT</t>
  </si>
  <si>
    <t>SUITE 2R</t>
  </si>
  <si>
    <t>E0018467</t>
  </si>
  <si>
    <t>TEAIWA-RUTHERFORD MARIA MD</t>
  </si>
  <si>
    <t>MariaTeaiwa-Rutherford</t>
  </si>
  <si>
    <t>TEAIWA-RUTHERFORD MARIA</t>
  </si>
  <si>
    <t>30 W 60TH ST</t>
  </si>
  <si>
    <t>E0014718</t>
  </si>
  <si>
    <t>SHARABI ABDELSALAM MD</t>
  </si>
  <si>
    <t>AbdelsalamSharabi</t>
  </si>
  <si>
    <t>SHARABI ABDELSALAM DR.</t>
  </si>
  <si>
    <t>E0073080</t>
  </si>
  <si>
    <t>FALLIS ANDREW J MD</t>
  </si>
  <si>
    <t>AndrewFallis</t>
  </si>
  <si>
    <t>FALLIS ANDREW</t>
  </si>
  <si>
    <t>E0213986</t>
  </si>
  <si>
    <t>ESTABROOK ALISON           MD</t>
  </si>
  <si>
    <t>AlisonEstabrook</t>
  </si>
  <si>
    <t>ESTABROOK ALISON</t>
  </si>
  <si>
    <t>E0158610</t>
  </si>
  <si>
    <t>KUPERSMITH MARK J</t>
  </si>
  <si>
    <t>MarkKupersmith</t>
  </si>
  <si>
    <t>KUPERSMITH MARK</t>
  </si>
  <si>
    <t>NYEEI OPHTH ASSOC PC</t>
  </si>
  <si>
    <t>E0140732</t>
  </si>
  <si>
    <t>GREELY JOHN STEPHEN MD</t>
  </si>
  <si>
    <t>JohnGreely</t>
  </si>
  <si>
    <t>GREELY JOHN DR.</t>
  </si>
  <si>
    <t>E0318603</t>
  </si>
  <si>
    <t>CHAVARRIA PATRICIA DIANA</t>
  </si>
  <si>
    <t>PatriciaChavarria</t>
  </si>
  <si>
    <t>CHAVARRIA PATRICIA MS.</t>
  </si>
  <si>
    <t>Saint-Louis,FrantzFils</t>
  </si>
  <si>
    <t>E0327542</t>
  </si>
  <si>
    <t>SAINT-LOUIS FRANTZ FILS MD</t>
  </si>
  <si>
    <t>(718) 735-6700</t>
  </si>
  <si>
    <t>rantzfils.saintlouis@yahoo,com</t>
  </si>
  <si>
    <t>SAINT-LOUIS FRANTZ FILS</t>
  </si>
  <si>
    <t>745 NOSTRAND AVE</t>
  </si>
  <si>
    <t>E0220133</t>
  </si>
  <si>
    <t>SANTOS ALAN C              MD</t>
  </si>
  <si>
    <t>ALANSANTOS</t>
  </si>
  <si>
    <t>SANTOS ALAN DR.</t>
  </si>
  <si>
    <t>SANTOS ALAN C MD</t>
  </si>
  <si>
    <t>E0005381</t>
  </si>
  <si>
    <t>HELLER MICHAEL B MD</t>
  </si>
  <si>
    <t>MICHAELHELLER</t>
  </si>
  <si>
    <t>HELLER MICHAEL DR.</t>
  </si>
  <si>
    <t>E0115040</t>
  </si>
  <si>
    <t>CHATTERJEE LOLITA MD</t>
  </si>
  <si>
    <t>LOLITACHATTERJEE</t>
  </si>
  <si>
    <t>CHATTERJEE LOLITA</t>
  </si>
  <si>
    <t>E0094782</t>
  </si>
  <si>
    <t>GROSSBARD MICHAEL LAURENCE MD</t>
  </si>
  <si>
    <t>MICHAELGROSSBARD</t>
  </si>
  <si>
    <t>GROSSBARD MICHAEL</t>
  </si>
  <si>
    <t>KyraGrosman,Psy.D.</t>
  </si>
  <si>
    <t>E0331156</t>
  </si>
  <si>
    <t>GROSMAN KYRA TAYLOR</t>
  </si>
  <si>
    <t>GROSMAN KYRA DR.</t>
  </si>
  <si>
    <t>26 W 9TH ST APT 4C</t>
  </si>
  <si>
    <t>DayleHollins,M.S.</t>
  </si>
  <si>
    <t>BRUNO DAYLE</t>
  </si>
  <si>
    <t>460 WEST 34TH STREET</t>
  </si>
  <si>
    <t>InnaNieves,L.C.S.W.</t>
  </si>
  <si>
    <t>NIEVES INNA</t>
  </si>
  <si>
    <t>JeffreyKirsh,M.S.Ed.</t>
  </si>
  <si>
    <t>KIRSH JEFFREY</t>
  </si>
  <si>
    <t>E0039635</t>
  </si>
  <si>
    <t>MINKIN RUTH MD</t>
  </si>
  <si>
    <t>RUTHMINKIN</t>
  </si>
  <si>
    <t>MINKIN RUTH DR.</t>
  </si>
  <si>
    <t>E0118993</t>
  </si>
  <si>
    <t>URBINA ANTONIO E MD</t>
  </si>
  <si>
    <t>ANTONIOURBINA</t>
  </si>
  <si>
    <t>URBINA ANTONIO</t>
  </si>
  <si>
    <t>E0021935</t>
  </si>
  <si>
    <t>GRANT JESSICA J MD</t>
  </si>
  <si>
    <t>JESSICAGRANT</t>
  </si>
  <si>
    <t>GRANT JESSICA</t>
  </si>
  <si>
    <t>2 W 86TH ST</t>
  </si>
  <si>
    <t>MAGDALINIKOUROUNIS</t>
  </si>
  <si>
    <t>KOUROUNIS MAGDALINI</t>
  </si>
  <si>
    <t>MichaelR.Irwin</t>
  </si>
  <si>
    <t>(191) 441-91265</t>
  </si>
  <si>
    <t>DiegoEscobar</t>
  </si>
  <si>
    <t>(164) 646-93603</t>
  </si>
  <si>
    <t>IrinaShur</t>
  </si>
  <si>
    <t>(191) 443-39387</t>
  </si>
  <si>
    <t>Resnick,Elena</t>
  </si>
  <si>
    <t>E0337897</t>
  </si>
  <si>
    <t>RESNICK ELANA</t>
  </si>
  <si>
    <t>(212) 249-7600</t>
  </si>
  <si>
    <t>yaleyaleyale@msn.com</t>
  </si>
  <si>
    <t>RESNICK ELENA DR.</t>
  </si>
  <si>
    <t>RESNICK ELENA SCHOENBERGER</t>
  </si>
  <si>
    <t>ElissaL.Presner,PA</t>
  </si>
  <si>
    <t>E0299596</t>
  </si>
  <si>
    <t>ELISSA PRESNER</t>
  </si>
  <si>
    <t>PRESNER ELISSA</t>
  </si>
  <si>
    <t>JamieCathleenRiches</t>
  </si>
  <si>
    <t>RICHES JAMIE DR.</t>
  </si>
  <si>
    <t>1111 AMSTERDAM AVENUE, CLARK BUILDING, 7TH FLOOR</t>
  </si>
  <si>
    <t>AmandaNicoleOverstreet</t>
  </si>
  <si>
    <t>OVERSTREET AMANDA</t>
  </si>
  <si>
    <t>169 ASHLEY AVE</t>
  </si>
  <si>
    <t>SumeetArora</t>
  </si>
  <si>
    <t>ARORA SUMEET DR.</t>
  </si>
  <si>
    <t>JosephBracker</t>
  </si>
  <si>
    <t>BRACKER JOSEPH DR.</t>
  </si>
  <si>
    <t>JeffreyBRatliff</t>
  </si>
  <si>
    <t>E0380179</t>
  </si>
  <si>
    <t>RATLIFF JEFFREY B</t>
  </si>
  <si>
    <t>RATLIFF JEFFREY</t>
  </si>
  <si>
    <t>PhilippeAkhrass</t>
  </si>
  <si>
    <t>E0027504</t>
  </si>
  <si>
    <t>AKHRASS PHILIPPE RIAD MD</t>
  </si>
  <si>
    <t>AKHRASS PHILIPPE DR.</t>
  </si>
  <si>
    <t>445 LENOX RD</t>
  </si>
  <si>
    <t>AnaMariaKausel</t>
  </si>
  <si>
    <t>E0428499</t>
  </si>
  <si>
    <t>KAUSEL ANA MARIA</t>
  </si>
  <si>
    <t>KAUSEL ANA DR.</t>
  </si>
  <si>
    <t>63 SHAKER RD STE 201</t>
  </si>
  <si>
    <t>ValerieBrutus</t>
  </si>
  <si>
    <t>AndreaCard</t>
  </si>
  <si>
    <t>NoemiCharnow</t>
  </si>
  <si>
    <t>SimonDjen</t>
  </si>
  <si>
    <t>ElizabethDubois</t>
  </si>
  <si>
    <t>TylerRandallKrummenacher</t>
  </si>
  <si>
    <t>KRUMMENACHER TYLER DR.</t>
  </si>
  <si>
    <t>845 N NEW BALLAS CT, SUITE 200</t>
  </si>
  <si>
    <t>CarissaLeighMeyer</t>
  </si>
  <si>
    <t>MEYER CARISSA</t>
  </si>
  <si>
    <t>25 PROSPECT AVE</t>
  </si>
  <si>
    <t>NamrataSekhon</t>
  </si>
  <si>
    <t>SEKHON NAMRATA DR.</t>
  </si>
  <si>
    <t>MuhammadUSiddiqui</t>
  </si>
  <si>
    <t>SIDDIQUI MUHAMMAD DR.</t>
  </si>
  <si>
    <t>276 ENGLE ST APT 9B</t>
  </si>
  <si>
    <t>E0023944</t>
  </si>
  <si>
    <t>ASUNCION ARSENIA</t>
  </si>
  <si>
    <t>ARSENIAASUNCION</t>
  </si>
  <si>
    <t>E0189994</t>
  </si>
  <si>
    <t>KOULOS JOHN PETER MD</t>
  </si>
  <si>
    <t>JOHNKOULOS</t>
  </si>
  <si>
    <t>KOULOS JOHN</t>
  </si>
  <si>
    <t>OB-GYN COLUMBIA PRES</t>
  </si>
  <si>
    <t>E0106356</t>
  </si>
  <si>
    <t>MATUT JAY MD</t>
  </si>
  <si>
    <t>JAYMATUT</t>
  </si>
  <si>
    <t>MATUT JAY</t>
  </si>
  <si>
    <t>MonaDudek</t>
  </si>
  <si>
    <t>SachaFerguson</t>
  </si>
  <si>
    <t>511West157thSt.</t>
  </si>
  <si>
    <t>PatrickShin</t>
  </si>
  <si>
    <t>E0294661</t>
  </si>
  <si>
    <t>SHIN PATRICK</t>
  </si>
  <si>
    <t>SHIN PATRICK DR.</t>
  </si>
  <si>
    <t>MaureenMcKeon-Simone,M.S.,R.D.,CDE,CDN</t>
  </si>
  <si>
    <t>E0345026</t>
  </si>
  <si>
    <t>MCKEON- SIMONE MAUREEN ANN</t>
  </si>
  <si>
    <t>MCKEON-SIMONE MAUREEN</t>
  </si>
  <si>
    <t>AlyssaFischer</t>
  </si>
  <si>
    <t>FISCHER ALYSSA</t>
  </si>
  <si>
    <t>68 WILLOW TREE RD</t>
  </si>
  <si>
    <t>E0160407</t>
  </si>
  <si>
    <t>MALAMUD STEPHEN CHARLES  MD</t>
  </si>
  <si>
    <t>STEPHENMALAMUD</t>
  </si>
  <si>
    <t>MALAMUD STEPHEN</t>
  </si>
  <si>
    <t>E0022400</t>
  </si>
  <si>
    <t>KLAPPER WENDIE N</t>
  </si>
  <si>
    <t>WENDIEKLAPPER</t>
  </si>
  <si>
    <t>KLAPPER WENDIE</t>
  </si>
  <si>
    <t>E0294049</t>
  </si>
  <si>
    <t>MACIAS ANTONIO</t>
  </si>
  <si>
    <t>ANTONIOMACIAS</t>
  </si>
  <si>
    <t>E0089767</t>
  </si>
  <si>
    <t>ROSENN BARAK MD</t>
  </si>
  <si>
    <t>BARAKROSENN</t>
  </si>
  <si>
    <t>ROSENN BARAK</t>
  </si>
  <si>
    <t>STE 11A</t>
  </si>
  <si>
    <t>JamesArmstrongSaltsman</t>
  </si>
  <si>
    <t>SALTSMAN JAMES</t>
  </si>
  <si>
    <t>5 E 98TH ST, BOX 1259</t>
  </si>
  <si>
    <t>Miller,JamesM.</t>
  </si>
  <si>
    <t>E0387934</t>
  </si>
  <si>
    <t>MILLER JAMES</t>
  </si>
  <si>
    <t>(212) 722-7409</t>
  </si>
  <si>
    <t>dsaltzman@mfmnyc.com</t>
  </si>
  <si>
    <t>70 E 90TH ST</t>
  </si>
  <si>
    <t>E0134523</t>
  </si>
  <si>
    <t>COHEN DOUGLAS STEPHEN MD</t>
  </si>
  <si>
    <t>DOUGLASCOHEN</t>
  </si>
  <si>
    <t>COHEN DOUGLAS</t>
  </si>
  <si>
    <t>170 E END AVE</t>
  </si>
  <si>
    <t>E0020636</t>
  </si>
  <si>
    <t>ARRON MARTIN MD</t>
  </si>
  <si>
    <t>MARTINARRON</t>
  </si>
  <si>
    <t>ARRON MARTIN DR.</t>
  </si>
  <si>
    <t>E0004136</t>
  </si>
  <si>
    <t>MANIKER ALLEN HOWARD</t>
  </si>
  <si>
    <t>ALLENMANIKER</t>
  </si>
  <si>
    <t>MANIKER ALLEN DR.</t>
  </si>
  <si>
    <t>MANIKER ALLEN HOWARD MD</t>
  </si>
  <si>
    <t>E0133900</t>
  </si>
  <si>
    <t>ETWARU KUMARIE</t>
  </si>
  <si>
    <t>KUMARIEETWARU</t>
  </si>
  <si>
    <t>MMC EMERGENCY DEPT</t>
  </si>
  <si>
    <t>E0011550</t>
  </si>
  <si>
    <t>AGRAWAL VEEVEK ANAND MD</t>
  </si>
  <si>
    <t>VEEVEKAGRAWAL</t>
  </si>
  <si>
    <t>AGRAWAL VEEVEK</t>
  </si>
  <si>
    <t>AGRAWAL VEEVEK ANAND</t>
  </si>
  <si>
    <t>16TH STREET AT 1ST AVENUE</t>
  </si>
  <si>
    <t>E0300193</t>
  </si>
  <si>
    <t>VOMVOLAKIS MARIA ANTONIOS</t>
  </si>
  <si>
    <t>MARIAVOMVOLAKIS</t>
  </si>
  <si>
    <t>VOMVOLAKIS MARIA DR.</t>
  </si>
  <si>
    <t>E0150888</t>
  </si>
  <si>
    <t>BERNSTEIN BRETT B MD</t>
  </si>
  <si>
    <t>BRETTBERNSTEIN</t>
  </si>
  <si>
    <t>BERNSTEIN BRETT</t>
  </si>
  <si>
    <t>16TH ST AND 1ST AVE</t>
  </si>
  <si>
    <t>E0308170</t>
  </si>
  <si>
    <t>CHERNOBILSKY BORIS</t>
  </si>
  <si>
    <t>BORISCHERNOBILSKY</t>
  </si>
  <si>
    <t>CHERNOBILSKY BORIS DR.</t>
  </si>
  <si>
    <t>LeoMuduve</t>
  </si>
  <si>
    <t>MUDUVE LEO DR.</t>
  </si>
  <si>
    <t>1090 AMSTERDAM AVE # 16A</t>
  </si>
  <si>
    <t>NicholasPerez</t>
  </si>
  <si>
    <t>PEREZ NICHOLAS MR.</t>
  </si>
  <si>
    <t>1090 AMSTERDAM AVE # 16F</t>
  </si>
  <si>
    <t>Dattwyler,RaymondJ.</t>
  </si>
  <si>
    <t>E0233406</t>
  </si>
  <si>
    <t>DATTWYLER RAYMOND J        MD</t>
  </si>
  <si>
    <t>(631) 351-3763</t>
  </si>
  <si>
    <t>christopher.diblasio@mountsinai.org</t>
  </si>
  <si>
    <t>DATTWYLER RAYMOND</t>
  </si>
  <si>
    <t>DIVISION ALLERGY</t>
  </si>
  <si>
    <t>FrankJosephGerold</t>
  </si>
  <si>
    <t>GEROLD FRANK DR.</t>
  </si>
  <si>
    <t>2160 S. FIRST AVE., LOYOLA UNIV. MED. CEN.</t>
  </si>
  <si>
    <t>FrancescoPriamo</t>
  </si>
  <si>
    <t>PRIAMO FRANCESCO DR.</t>
  </si>
  <si>
    <t>HemeshDRama</t>
  </si>
  <si>
    <t>RAMA HEMESH DR.</t>
  </si>
  <si>
    <t>700 QUINCY AVE</t>
  </si>
  <si>
    <t>SCRANTON</t>
  </si>
  <si>
    <t>E0164369</t>
  </si>
  <si>
    <t>CHADHA MANJEET MD</t>
  </si>
  <si>
    <t>MANJEETCHADHA</t>
  </si>
  <si>
    <t>CHADHA MANJEET</t>
  </si>
  <si>
    <t>BIMC RAD ONC</t>
  </si>
  <si>
    <t>E0230112</t>
  </si>
  <si>
    <t>YANCOVITZ STANLEY R        MD</t>
  </si>
  <si>
    <t>STANLEYYANCOVITZ</t>
  </si>
  <si>
    <t>YANCOVITZ STANLEY</t>
  </si>
  <si>
    <t>BETH ISRAEL MED CTR</t>
  </si>
  <si>
    <t>E0189293</t>
  </si>
  <si>
    <t>KUKIN MARRICK MD</t>
  </si>
  <si>
    <t>MARRICKKUKIN</t>
  </si>
  <si>
    <t>KUKIN MARRICK DR.</t>
  </si>
  <si>
    <t>MSH ECG ASSOC</t>
  </si>
  <si>
    <t>ThomasRobertEckler</t>
  </si>
  <si>
    <t>ECKLER THOMAS DR.</t>
  </si>
  <si>
    <t>410 BENEDICTA AVE</t>
  </si>
  <si>
    <t>TRINIDAD</t>
  </si>
  <si>
    <t>AntoinetteGolden</t>
  </si>
  <si>
    <t>GOLDEN ANTOINETTE DR.</t>
  </si>
  <si>
    <t>164 SUMMIT AVE</t>
  </si>
  <si>
    <t>NeilKamalKathuria</t>
  </si>
  <si>
    <t>E0402998</t>
  </si>
  <si>
    <t>KATHURIA NEIL K</t>
  </si>
  <si>
    <t>KATHURIA NEIL</t>
  </si>
  <si>
    <t>41 E POST RD EMERGENCY DEPT</t>
  </si>
  <si>
    <t>AaronSavedoff</t>
  </si>
  <si>
    <t>E0412715</t>
  </si>
  <si>
    <t>SAVEDOFF AARON</t>
  </si>
  <si>
    <t>SAVEDOFF AARON DR.</t>
  </si>
  <si>
    <t>SAVEDOFF AARON DANIEL</t>
  </si>
  <si>
    <t>1ST AVE @16TH ST</t>
  </si>
  <si>
    <t>RyanScoggins</t>
  </si>
  <si>
    <t>SCOGGINS RYAN DR.</t>
  </si>
  <si>
    <t>E0228225</t>
  </si>
  <si>
    <t>PI SUNYER F XAVIER MD      MD</t>
  </si>
  <si>
    <t>XAVIERPI-SUNYER</t>
  </si>
  <si>
    <t>PI-SUNYER XAVIER DR.</t>
  </si>
  <si>
    <t>E0338432</t>
  </si>
  <si>
    <t>PORTNOY RUBEN</t>
  </si>
  <si>
    <t>RUBENPORTNOY</t>
  </si>
  <si>
    <t>E0252943</t>
  </si>
  <si>
    <t>TODD GEORGE J              MD</t>
  </si>
  <si>
    <t>GEORGETODD</t>
  </si>
  <si>
    <t>TODD GEORGE DR.</t>
  </si>
  <si>
    <t>MargaretPain</t>
  </si>
  <si>
    <t>PAIN MARGARET</t>
  </si>
  <si>
    <t>1 GUSTAVE L LEVY PL, ANNENBERG, 8TH FLOOR, BOX 1136</t>
  </si>
  <si>
    <t>OKSANAKOSTKO</t>
  </si>
  <si>
    <t>E0077114</t>
  </si>
  <si>
    <t>BELDNER STEVEN</t>
  </si>
  <si>
    <t>STEVENBELDNER</t>
  </si>
  <si>
    <t>281 1ST AVE</t>
  </si>
  <si>
    <t>E0020424</t>
  </si>
  <si>
    <t>IONESCU GABRIEL MD</t>
  </si>
  <si>
    <t>GABRIELIONESCU</t>
  </si>
  <si>
    <t>IONESCU GABRIEL DR.</t>
  </si>
  <si>
    <t>E0171712</t>
  </si>
  <si>
    <t>WEDDERBURN RAYMOND V MD</t>
  </si>
  <si>
    <t>RAYMONDWEDDERBURN</t>
  </si>
  <si>
    <t>WEDDERBURN RAYMOND</t>
  </si>
  <si>
    <t>WEDDERBURN RAYMOND VALENTINE</t>
  </si>
  <si>
    <t>E0106438</t>
  </si>
  <si>
    <t>ACERRA FRANK L DO</t>
  </si>
  <si>
    <t>MR.FRANKACERRA</t>
  </si>
  <si>
    <t>ACERRA FRANK MR.</t>
  </si>
  <si>
    <t>E0142869</t>
  </si>
  <si>
    <t>KELTZ NARTIN DAVID</t>
  </si>
  <si>
    <t>MARTINKELTZ</t>
  </si>
  <si>
    <t>KELTZ MARTIN</t>
  </si>
  <si>
    <t>E0057512</t>
  </si>
  <si>
    <t>RODGERS STEPHEN L</t>
  </si>
  <si>
    <t>STEPHENRODGERS</t>
  </si>
  <si>
    <t>RODGERS STEPHEN</t>
  </si>
  <si>
    <t>1122 FRANKLIN AVE</t>
  </si>
  <si>
    <t>RahimaAlani</t>
  </si>
  <si>
    <t>ALANI RAHIMA</t>
  </si>
  <si>
    <t>JenniferChoi</t>
  </si>
  <si>
    <t>CHOI JENNIFER DR.</t>
  </si>
  <si>
    <t>HingYeeEng</t>
  </si>
  <si>
    <t>ENG HING</t>
  </si>
  <si>
    <t>1000 10TH AVE RM 4C-12</t>
  </si>
  <si>
    <t>E0158377</t>
  </si>
  <si>
    <t>BOGGIO NELLY T MD</t>
  </si>
  <si>
    <t>NELLYBOGGIO</t>
  </si>
  <si>
    <t>BOGGIO NELLY</t>
  </si>
  <si>
    <t>ST LUKES-ROOSEVELT H</t>
  </si>
  <si>
    <t>AmauryAlexanderMartinezGarcia</t>
  </si>
  <si>
    <t>MARTINEZ GARCIA AMAURY</t>
  </si>
  <si>
    <t>237 W 20TH ST APT 1B</t>
  </si>
  <si>
    <t>AmandaLynnMayer</t>
  </si>
  <si>
    <t>MAYER AMANDA</t>
  </si>
  <si>
    <t>1000 10TH AVE, DEPARTMENT OF SURGERY</t>
  </si>
  <si>
    <t>JosephCFusco</t>
  </si>
  <si>
    <t>FUSCO JOSEPH DR.</t>
  </si>
  <si>
    <t>KevinHu</t>
  </si>
  <si>
    <t>HU KEVIN DR.</t>
  </si>
  <si>
    <t>1222 IVY TER</t>
  </si>
  <si>
    <t>TORRANCE</t>
  </si>
  <si>
    <t>NishiNTalati</t>
  </si>
  <si>
    <t>TALATI NISHI</t>
  </si>
  <si>
    <t>5501 OLD YORK RD</t>
  </si>
  <si>
    <t>JenananPrakashaVairavamurthy</t>
  </si>
  <si>
    <t>VAIRAVAMURTHY JENANAN</t>
  </si>
  <si>
    <t>Grimm,KatherineT.</t>
  </si>
  <si>
    <t>E0275047</t>
  </si>
  <si>
    <t>GRIMM KATHERINE TEETS      MD</t>
  </si>
  <si>
    <t>(718) 888-7703</t>
  </si>
  <si>
    <t>Yujin.Guo@mountsinai.org</t>
  </si>
  <si>
    <t>GRIMM KATHERINE</t>
  </si>
  <si>
    <t>501 MAIN ST</t>
  </si>
  <si>
    <t>ROOSEVELT ISLAND</t>
  </si>
  <si>
    <t>MARSMAN,MICHAEL</t>
  </si>
  <si>
    <t>E0318350</t>
  </si>
  <si>
    <t>MARSMAN MICHAEL</t>
  </si>
  <si>
    <t>MARSMAN MICHAEL MR.</t>
  </si>
  <si>
    <t>MARTIN,CANDICE</t>
  </si>
  <si>
    <t>E0326965</t>
  </si>
  <si>
    <t>MARTIN CANDICE</t>
  </si>
  <si>
    <t>MARX,KATHERINE</t>
  </si>
  <si>
    <t>E0020592</t>
  </si>
  <si>
    <t>MARX KATHERINE</t>
  </si>
  <si>
    <t>MARX KATHERINE MS.</t>
  </si>
  <si>
    <t>AngelaHua</t>
  </si>
  <si>
    <t>E0445984</t>
  </si>
  <si>
    <t>HUA ANGELA</t>
  </si>
  <si>
    <t>HUA ANGELA DR.</t>
  </si>
  <si>
    <t>MiriamKnoll</t>
  </si>
  <si>
    <t>KNOLL MIRIAM DR.</t>
  </si>
  <si>
    <t>1184 5TH AVE</t>
  </si>
  <si>
    <t>Tsioulias,GeorgeJ.</t>
  </si>
  <si>
    <t>E0082334</t>
  </si>
  <si>
    <t>TSIOULIAS GEORGE JOHN MD</t>
  </si>
  <si>
    <t>(212) 787-7546</t>
  </si>
  <si>
    <t>susanlmero@aol.com</t>
  </si>
  <si>
    <t>TSIOULIAS GEORGE</t>
  </si>
  <si>
    <t>YitzchakD.Cohen</t>
  </si>
  <si>
    <t>COHEN YITZCHAK DR.</t>
  </si>
  <si>
    <t>MeganReinaMatassini</t>
  </si>
  <si>
    <t>MATASSINI MEGAN</t>
  </si>
  <si>
    <t>10 N GREENE ST</t>
  </si>
  <si>
    <t>GuidoBarmaimon</t>
  </si>
  <si>
    <t>E0446704</t>
  </si>
  <si>
    <t>BARMAIMON GUIDO</t>
  </si>
  <si>
    <t>OksanaKhaimova,PA</t>
  </si>
  <si>
    <t>E0430724</t>
  </si>
  <si>
    <t>KHAIMOVA OKSANA</t>
  </si>
  <si>
    <t>37-22 82ND ST</t>
  </si>
  <si>
    <t>ZumratKhaimova,PA</t>
  </si>
  <si>
    <t>E0007260</t>
  </si>
  <si>
    <t>ZUMRAT KHAIMOVA</t>
  </si>
  <si>
    <t>KHAIMOVA ZUMRAT</t>
  </si>
  <si>
    <t>KHAIMOVA ZUMRAT RPA</t>
  </si>
  <si>
    <t>25-10 30TH AVENUE</t>
  </si>
  <si>
    <t>MERAZ,EDDIE</t>
  </si>
  <si>
    <t>E0298963</t>
  </si>
  <si>
    <t>MERAZ EDDIE</t>
  </si>
  <si>
    <t>MERAZ EDDIE MR.</t>
  </si>
  <si>
    <t>MORRIS,ROY</t>
  </si>
  <si>
    <t>E0347475</t>
  </si>
  <si>
    <t>ROY MORRIS</t>
  </si>
  <si>
    <t>ROY MORRIS DR.</t>
  </si>
  <si>
    <t>324 W 108TH ST</t>
  </si>
  <si>
    <t>NARVA,TOVIAH</t>
  </si>
  <si>
    <t>E0302571</t>
  </si>
  <si>
    <t>NARVA TOVIAH A</t>
  </si>
  <si>
    <t>NARVA TOVIAH MS.</t>
  </si>
  <si>
    <t>RAAD,MUNIB</t>
  </si>
  <si>
    <t>E0437832</t>
  </si>
  <si>
    <t>RAAD MUNID</t>
  </si>
  <si>
    <t>RAAD MUNIB MR.</t>
  </si>
  <si>
    <t>RAY,ROONA</t>
  </si>
  <si>
    <t>E0372681</t>
  </si>
  <si>
    <t>RAY ROONA</t>
  </si>
  <si>
    <t>RAY ROONA DR.</t>
  </si>
  <si>
    <t>RODRIGUEZ,JUANCY</t>
  </si>
  <si>
    <t>E0327488</t>
  </si>
  <si>
    <t>RODRIGUEZ JUANCY</t>
  </si>
  <si>
    <t>ROSENDALE,ROBIN</t>
  </si>
  <si>
    <t>ROSENDALE ROBIN</t>
  </si>
  <si>
    <t>356 WEST 18TH STREET</t>
  </si>
  <si>
    <t>ROUSSELOT,ANNE</t>
  </si>
  <si>
    <t>ROUSSELOT ANNE</t>
  </si>
  <si>
    <t>SHAW,HOLLY</t>
  </si>
  <si>
    <t>E0372536</t>
  </si>
  <si>
    <t>SHAW HOLLY KAY</t>
  </si>
  <si>
    <t>SHAW HOLLY DR.</t>
  </si>
  <si>
    <t>356 WEST 18TH ST</t>
  </si>
  <si>
    <t>RakeshMenon</t>
  </si>
  <si>
    <t>E0100969</t>
  </si>
  <si>
    <t>MENON RAKESH</t>
  </si>
  <si>
    <t>MENON RAKESH DR.</t>
  </si>
  <si>
    <t>340 ROCKAWAY PKWY</t>
  </si>
  <si>
    <t>LiliyaDrukman</t>
  </si>
  <si>
    <t>DevonColeFlaherty</t>
  </si>
  <si>
    <t>FLAHERTY DEVON</t>
  </si>
  <si>
    <t>7671 SWEET HOURS WAY</t>
  </si>
  <si>
    <t>E0311326</t>
  </si>
  <si>
    <t>KASAHARA TAKEHIRO</t>
  </si>
  <si>
    <t>KASAHARA TAKEHIRO DR.</t>
  </si>
  <si>
    <t>3056 3RD AVE</t>
  </si>
  <si>
    <t>ChristinaKarimi</t>
  </si>
  <si>
    <t>KARIMI CHRISTINA</t>
  </si>
  <si>
    <t>45-78 162 ST 2ND FLOOR</t>
  </si>
  <si>
    <t>E0370461</t>
  </si>
  <si>
    <t>ONEILL CARA L</t>
  </si>
  <si>
    <t>CaraO'Neill</t>
  </si>
  <si>
    <t>O'NEILL CARA</t>
  </si>
  <si>
    <t>E0164883</t>
  </si>
  <si>
    <t>SONDHI PARVEEN R  MD</t>
  </si>
  <si>
    <t>ParveenSondhi</t>
  </si>
  <si>
    <t>SONDHI PARVEEN DR.</t>
  </si>
  <si>
    <t>E0337486</t>
  </si>
  <si>
    <t>CHAO FAYE</t>
  </si>
  <si>
    <t>FayeChao</t>
  </si>
  <si>
    <t>CHAO FAYE DR.</t>
  </si>
  <si>
    <t>E0039631</t>
  </si>
  <si>
    <t>GOERTZ JACOB K MD</t>
  </si>
  <si>
    <t>JacobGoertz</t>
  </si>
  <si>
    <t>GOERTZ JACOB</t>
  </si>
  <si>
    <t>PO BOX 5200</t>
  </si>
  <si>
    <t>E0325778</t>
  </si>
  <si>
    <t>HUNG WILLIAM W</t>
  </si>
  <si>
    <t>WILLIAMHUNG</t>
  </si>
  <si>
    <t>HUNG WILLIAM DR.</t>
  </si>
  <si>
    <t>E0066514</t>
  </si>
  <si>
    <t>MARKOFF BRIAN A MD</t>
  </si>
  <si>
    <t>BRIANMARKOFF</t>
  </si>
  <si>
    <t>MARKOFF BRIAN</t>
  </si>
  <si>
    <t>E0003187</t>
  </si>
  <si>
    <t>DENNIS TIAN-SHU CHANG</t>
  </si>
  <si>
    <t>DENNISCHANG</t>
  </si>
  <si>
    <t>CHANG DENNIS</t>
  </si>
  <si>
    <t>CHANG DENNIS TIAN-SHU MD</t>
  </si>
  <si>
    <t>E0141226</t>
  </si>
  <si>
    <t>MORRISON ROLFE SEAN MD</t>
  </si>
  <si>
    <t>RMORRISON</t>
  </si>
  <si>
    <t>MORRISON R</t>
  </si>
  <si>
    <t>E0040444</t>
  </si>
  <si>
    <t>GOLDSTEIN NATHAN E MD</t>
  </si>
  <si>
    <t>NATHANGOLDSTEIN</t>
  </si>
  <si>
    <t>GOLDSTEIN NATHAN</t>
  </si>
  <si>
    <t>GOLDSTEIN NATHAN E</t>
  </si>
  <si>
    <t>E0355779</t>
  </si>
  <si>
    <t>GRAZIANO MICHELLE</t>
  </si>
  <si>
    <t>MICHELLEGRAZIANO</t>
  </si>
  <si>
    <t>E0414993</t>
  </si>
  <si>
    <t>HO TAIHANG</t>
  </si>
  <si>
    <t>HANGHOTAI</t>
  </si>
  <si>
    <t>HO TAI HANG</t>
  </si>
  <si>
    <t>E0023584</t>
  </si>
  <si>
    <t>NOVAK BETHANY RANDI</t>
  </si>
  <si>
    <t>MS.BETHANYNOVAK</t>
  </si>
  <si>
    <t>NOVAK BETHANY MS.</t>
  </si>
  <si>
    <t>MS.DIANAPEREZ</t>
  </si>
  <si>
    <t>PEREZ DIANA MS.</t>
  </si>
  <si>
    <t>241 CENTRAL PARK W</t>
  </si>
  <si>
    <t>E0334433</t>
  </si>
  <si>
    <t>PEDRAZA JUAN D</t>
  </si>
  <si>
    <t>JUANPEDRAZA</t>
  </si>
  <si>
    <t>PEDRAZA JUAN DR.</t>
  </si>
  <si>
    <t>RebeccaLewin,OTR/L</t>
  </si>
  <si>
    <t>E0342263</t>
  </si>
  <si>
    <t>LEWIN REBECCA RACHEL</t>
  </si>
  <si>
    <t>LEWIN REBECCA</t>
  </si>
  <si>
    <t>AngelaCruz,M.S.Ed.</t>
  </si>
  <si>
    <t>CRUZ ANGELA</t>
  </si>
  <si>
    <t>2625 E 14TH ST</t>
  </si>
  <si>
    <t>JianChen,OTR/L</t>
  </si>
  <si>
    <t>E0343044</t>
  </si>
  <si>
    <t>CHEN JIAN</t>
  </si>
  <si>
    <t>MichaelWaxman,M.S.</t>
  </si>
  <si>
    <t>TAMARAGOLDBERG</t>
  </si>
  <si>
    <t>342 KINGS HWY</t>
  </si>
  <si>
    <t>E0259062</t>
  </si>
  <si>
    <t>DOBERCZAK TATIANA MARTA    MD</t>
  </si>
  <si>
    <t>TATIANADOBERCZAK</t>
  </si>
  <si>
    <t>DOBERCZAK TATIANA</t>
  </si>
  <si>
    <t>FaizAl-Zoobaee</t>
  </si>
  <si>
    <t>E0079862</t>
  </si>
  <si>
    <t>ALZOOBAEE FAIZ ORABI MD</t>
  </si>
  <si>
    <t>ALZOOBAEE FAIZ DR.</t>
  </si>
  <si>
    <t>DEPT PEDS</t>
  </si>
  <si>
    <t>MichaelHochberg</t>
  </si>
  <si>
    <t>E0047120</t>
  </si>
  <si>
    <t>HOCHBERG MICHAEL LAWRENCE MD</t>
  </si>
  <si>
    <t>HOCHBERG MICHAEL</t>
  </si>
  <si>
    <t>AtulKukar</t>
  </si>
  <si>
    <t>SaminaSyed-Naqvi</t>
  </si>
  <si>
    <t>E0075549</t>
  </si>
  <si>
    <t>SYED-NAQVI SAMINA ALTAF MD</t>
  </si>
  <si>
    <t>SYED-NAQVI SAMINA DR.</t>
  </si>
  <si>
    <t>1974 1ST AVE</t>
  </si>
  <si>
    <t>AmitTayal</t>
  </si>
  <si>
    <t>TAYAL AMIT DR.</t>
  </si>
  <si>
    <t>42 CHHATRA MARG, HOUSE # 6</t>
  </si>
  <si>
    <t>E0135079</t>
  </si>
  <si>
    <t>BUCHHOLZ ROBIN M MD</t>
  </si>
  <si>
    <t>ROBINBUCHHOLZ</t>
  </si>
  <si>
    <t>BUCHHOLZ ROBIN</t>
  </si>
  <si>
    <t>RobertJeremyRothrock</t>
  </si>
  <si>
    <t>ROTHROCK ROBERT DR.</t>
  </si>
  <si>
    <t>1468 MADISON AVE BLDG 8TH, DEPARTMENT OF NEUROSURGERY MOUNT SINAI HOSPITAL</t>
  </si>
  <si>
    <t>ChristopherAshotSarkiss</t>
  </si>
  <si>
    <t>SARKISS CHRISTOPHER DR.</t>
  </si>
  <si>
    <t>DeepaliDhar</t>
  </si>
  <si>
    <t>DHAR DEEPALI</t>
  </si>
  <si>
    <t>YonaAdika,OTR/L</t>
  </si>
  <si>
    <t>E0360131</t>
  </si>
  <si>
    <t>ADIKA YONA SASSON</t>
  </si>
  <si>
    <t>ADIKA YONA MR.</t>
  </si>
  <si>
    <t>360 W 34TH ST</t>
  </si>
  <si>
    <t>NidaSoriano-Bartolome</t>
  </si>
  <si>
    <t>MauricioValdes</t>
  </si>
  <si>
    <t>JerryC.Weinberg</t>
  </si>
  <si>
    <t>ElizabethWeintraub</t>
  </si>
  <si>
    <t>ResikaUbayawardena-Permit#P87966</t>
  </si>
  <si>
    <t>RubyMathew-License#F306976</t>
  </si>
  <si>
    <t>RobertE.DeMatteo</t>
  </si>
  <si>
    <t>E0115054</t>
  </si>
  <si>
    <t>JACOBSON ROBIN</t>
  </si>
  <si>
    <t>ROBINJACOBSON</t>
  </si>
  <si>
    <t>10 UNION SQ E STE 2H - 2J</t>
  </si>
  <si>
    <t>CynthiaRodriguez</t>
  </si>
  <si>
    <t>(646) 660-5374</t>
  </si>
  <si>
    <t>Cynthia.Rodriguez@nyfoundling.org</t>
  </si>
  <si>
    <t>RODRIGUEZ CYNTHIA</t>
  </si>
  <si>
    <t>NydiaChabla</t>
  </si>
  <si>
    <t>CHABLA NYDIA</t>
  </si>
  <si>
    <t>E0225537</t>
  </si>
  <si>
    <t>ZUMOFF BARNETT             MD</t>
  </si>
  <si>
    <t>BARNETTZUMOFF</t>
  </si>
  <si>
    <t>ZUMOFF BARNETT</t>
  </si>
  <si>
    <t>E0307179</t>
  </si>
  <si>
    <t>ASHINA SAIT</t>
  </si>
  <si>
    <t>SAITASHINA</t>
  </si>
  <si>
    <t>1410 PELHAM PARKWAY S. KENNEDY CENTER</t>
  </si>
  <si>
    <t>E0205295</t>
  </si>
  <si>
    <t>LUBLINER JERRY A           MD</t>
  </si>
  <si>
    <t>JERRYLUBLINER</t>
  </si>
  <si>
    <t>LUBLINER JERRY</t>
  </si>
  <si>
    <t>LUBLINER JERRY A</t>
  </si>
  <si>
    <t>215 E 73RD ST</t>
  </si>
  <si>
    <t>E0210336</t>
  </si>
  <si>
    <t>LEIFER ANDREW G            MD</t>
  </si>
  <si>
    <t>ANDREWLEIFER</t>
  </si>
  <si>
    <t>LEIFER ANDREW</t>
  </si>
  <si>
    <t>E0113721</t>
  </si>
  <si>
    <t>NARAYANSWAMI GOPAL MD</t>
  </si>
  <si>
    <t>GOPALNARAYANSWAMI</t>
  </si>
  <si>
    <t>NARAYANSWAMI GOPAL DR.</t>
  </si>
  <si>
    <t>1780 BROADWAY FL 7</t>
  </si>
  <si>
    <t>E0063117</t>
  </si>
  <si>
    <t>HERZOG EYAL MD</t>
  </si>
  <si>
    <t>EYALHERZOG</t>
  </si>
  <si>
    <t>HERZOG EYAL DR.</t>
  </si>
  <si>
    <t>HERZOG EYAL</t>
  </si>
  <si>
    <t>UNIV MED PRACTICE AC</t>
  </si>
  <si>
    <t>CharlesRusso</t>
  </si>
  <si>
    <t>E0234082</t>
  </si>
  <si>
    <t>RUSSO CHARLES L DPM</t>
  </si>
  <si>
    <t>RUSSO CHARLES</t>
  </si>
  <si>
    <t>481 SAINT MARKS AVE</t>
  </si>
  <si>
    <t>LouisJablin</t>
  </si>
  <si>
    <t>E0230754</t>
  </si>
  <si>
    <t>JABLIN LOUIS DAVID DPM</t>
  </si>
  <si>
    <t>JABLIN LOUIS DR.</t>
  </si>
  <si>
    <t>JABLIN LOUIS DAVID</t>
  </si>
  <si>
    <t>6105 5TH AVE</t>
  </si>
  <si>
    <t>BrianButler</t>
  </si>
  <si>
    <t>E0229305</t>
  </si>
  <si>
    <t>BUTLER BRIAN JOSEPH DPM</t>
  </si>
  <si>
    <t>BUTLER BRIAN</t>
  </si>
  <si>
    <t>115 HENRY ST</t>
  </si>
  <si>
    <t>MichaelThompson</t>
  </si>
  <si>
    <t>E0229839</t>
  </si>
  <si>
    <t>THOMPSON MICHAEL F DPM</t>
  </si>
  <si>
    <t>291 KNICKERBOCKER AVE</t>
  </si>
  <si>
    <t>LaurieKarten</t>
  </si>
  <si>
    <t>KARTEN LAURIE MRS.</t>
  </si>
  <si>
    <t>LawrenceCarlton</t>
  </si>
  <si>
    <t>E0217720</t>
  </si>
  <si>
    <t>CARLTON LAWRENCE S DPM</t>
  </si>
  <si>
    <t>CARLTON LAWRENCE DR.</t>
  </si>
  <si>
    <t>2075 FLATBUSH AVE</t>
  </si>
  <si>
    <t>RichardCohen</t>
  </si>
  <si>
    <t>E0219173</t>
  </si>
  <si>
    <t>COHEN RICHARD B DPM</t>
  </si>
  <si>
    <t>COHEN RICHARD</t>
  </si>
  <si>
    <t>1331 E 16TH ST</t>
  </si>
  <si>
    <t>NaveenGoyal</t>
  </si>
  <si>
    <t>E0074592</t>
  </si>
  <si>
    <t>GOYAL NAVEEN MD</t>
  </si>
  <si>
    <t>GOYAL NAVEEN MR.</t>
  </si>
  <si>
    <t>260 SAINT NICHOLAS AVE</t>
  </si>
  <si>
    <t>KrishnaPerumareddi</t>
  </si>
  <si>
    <t>E0019447</t>
  </si>
  <si>
    <t>PERUMAREDDI KRISHNA</t>
  </si>
  <si>
    <t>PERUMAREDDI KRISHNA DR.</t>
  </si>
  <si>
    <t>PERUMAREDDI KRISHNA SAI</t>
  </si>
  <si>
    <t>1 METROTECH CTR FL 9</t>
  </si>
  <si>
    <t>GailTarlow,SLP</t>
  </si>
  <si>
    <t>E0356211</t>
  </si>
  <si>
    <t>TARLOW GAIL</t>
  </si>
  <si>
    <t>NancyLuburic-Jukic,Psy.D.</t>
  </si>
  <si>
    <t>JUKIC NANCY MRS.</t>
  </si>
  <si>
    <t>RobinHolcman,M.S.W.</t>
  </si>
  <si>
    <t>HOLCMAN ROBIN MRS.</t>
  </si>
  <si>
    <t>E0322569</t>
  </si>
  <si>
    <t>ESLAVA DAYANA</t>
  </si>
  <si>
    <t>DayanaEslava</t>
  </si>
  <si>
    <t>E0153367</t>
  </si>
  <si>
    <t>HOFMEISTER STEPHEN FRANK MD</t>
  </si>
  <si>
    <t>StephenHofmeister</t>
  </si>
  <si>
    <t>HOFMEISTER STEPHEN DR.</t>
  </si>
  <si>
    <t>SL-ROOSEVELT HOSP</t>
  </si>
  <si>
    <t>E0309177</t>
  </si>
  <si>
    <t>ALYSSA LETTICH MD</t>
  </si>
  <si>
    <t>AlyssaLettich</t>
  </si>
  <si>
    <t>LETTICH ALYSSA</t>
  </si>
  <si>
    <t>LETTICH ALYSSA MD</t>
  </si>
  <si>
    <t>883 65TH ST</t>
  </si>
  <si>
    <t>E0076988</t>
  </si>
  <si>
    <t>DOKKO YONI</t>
  </si>
  <si>
    <t>YoniDokko</t>
  </si>
  <si>
    <t>E0337517</t>
  </si>
  <si>
    <t>LARUSSO MELISSA LUCY</t>
  </si>
  <si>
    <t>MelissaLaRusso</t>
  </si>
  <si>
    <t>LARUSSO MELISSA DR.</t>
  </si>
  <si>
    <t>1090 AMSTERDAM AVE FL 4</t>
  </si>
  <si>
    <t>CarlosRodriguez-Jaquez</t>
  </si>
  <si>
    <t>E0353412</t>
  </si>
  <si>
    <t>ABED JEAN</t>
  </si>
  <si>
    <t>JeanAbed</t>
  </si>
  <si>
    <t>E0174978</t>
  </si>
  <si>
    <t>FREEDMAN JEFFREY BRUCE  MD</t>
  </si>
  <si>
    <t>JeffreyFreedman</t>
  </si>
  <si>
    <t>FREEDMAN JEFFREY DR.</t>
  </si>
  <si>
    <t>ST VINCENT'S HOSP</t>
  </si>
  <si>
    <t>E0297761</t>
  </si>
  <si>
    <t>PUI YIN WONG</t>
  </si>
  <si>
    <t>PuiYin</t>
  </si>
  <si>
    <t>WONG PUI YIN</t>
  </si>
  <si>
    <t>E0305574</t>
  </si>
  <si>
    <t>SINGH ANJALI</t>
  </si>
  <si>
    <t>AnjaliSingh</t>
  </si>
  <si>
    <t>SINGH ANJALI DR.</t>
  </si>
  <si>
    <t>E0127823</t>
  </si>
  <si>
    <t>RATNER DESIREE MD</t>
  </si>
  <si>
    <t>DesireeRatner</t>
  </si>
  <si>
    <t>RATNER DESIREE DR.</t>
  </si>
  <si>
    <t>16 E 60TH ST</t>
  </si>
  <si>
    <t>ChristinaFlores</t>
  </si>
  <si>
    <t>HOWARD,LEIGH</t>
  </si>
  <si>
    <t>E0323403</t>
  </si>
  <si>
    <t>HOWARD LEIGH</t>
  </si>
  <si>
    <t>HOWARD LEIGH MS.</t>
  </si>
  <si>
    <t>HUYETT,JEFFREY</t>
  </si>
  <si>
    <t>E0307056</t>
  </si>
  <si>
    <t>HUYETT JEFFREY WAYNE</t>
  </si>
  <si>
    <t>HUYETT JEFFREY</t>
  </si>
  <si>
    <t>SoniaAracena</t>
  </si>
  <si>
    <t>ARACENA SONIA</t>
  </si>
  <si>
    <t>622 W 168TH ST, HP 6</t>
  </si>
  <si>
    <t>SimonWong,M.S.</t>
  </si>
  <si>
    <t>E0347449</t>
  </si>
  <si>
    <t>WONG SINKONG</t>
  </si>
  <si>
    <t>WONG SINKONG MR.</t>
  </si>
  <si>
    <t>SaraRabinowitz,L.M.S.W.</t>
  </si>
  <si>
    <t>E0425902</t>
  </si>
  <si>
    <t>RABINOWITZ SARA LOUISE</t>
  </si>
  <si>
    <t>RABINOWITZ SARA</t>
  </si>
  <si>
    <t>PatriciaCremins</t>
  </si>
  <si>
    <t>E0328194</t>
  </si>
  <si>
    <t>CREMINS- PATRICIA</t>
  </si>
  <si>
    <t>(212) 660-1316</t>
  </si>
  <si>
    <t>Pat.Cremins@nyfoundling.org</t>
  </si>
  <si>
    <t>2090 7TH AVENUE, SUI</t>
  </si>
  <si>
    <t>MiriamBerrios</t>
  </si>
  <si>
    <t>E0082019</t>
  </si>
  <si>
    <t>BERRIOS MIRIAM</t>
  </si>
  <si>
    <t>StevenMuchnick</t>
  </si>
  <si>
    <t>(212) 694-3500</t>
  </si>
  <si>
    <t>mberrios@bowencsc.org</t>
  </si>
  <si>
    <t>BERRIOS MIRIAM DR.</t>
  </si>
  <si>
    <t>HildaBrewer</t>
  </si>
  <si>
    <t>E0052629</t>
  </si>
  <si>
    <t>BREWER HILDA</t>
  </si>
  <si>
    <t>hbrewer@bowencsc.org</t>
  </si>
  <si>
    <t>BREWER HILDA DR.</t>
  </si>
  <si>
    <t>JosephCharles</t>
  </si>
  <si>
    <t>jchasmd@bowencsc.org</t>
  </si>
  <si>
    <t>AgustinGomez</t>
  </si>
  <si>
    <t>E0223075</t>
  </si>
  <si>
    <t>GOMEZ AGUSTIN A MD</t>
  </si>
  <si>
    <t>agomez@bowencsc.org</t>
  </si>
  <si>
    <t>GOMEZ AGUSTIN DR.</t>
  </si>
  <si>
    <t>1469 NOSTRAND AVE</t>
  </si>
  <si>
    <t>NavidHakimian</t>
  </si>
  <si>
    <t>SylvieDeSouza</t>
  </si>
  <si>
    <t>E0128257</t>
  </si>
  <si>
    <t>DE SOUZA SYLVIE DOMINIQUE MD</t>
  </si>
  <si>
    <t>DE SOUZA SYLVIE</t>
  </si>
  <si>
    <t>DE SOUZA SYLVIE D</t>
  </si>
  <si>
    <t>E0274849</t>
  </si>
  <si>
    <t>WANG JEN C                 MD</t>
  </si>
  <si>
    <t>JENCHINWANG</t>
  </si>
  <si>
    <t>WANG JEN CHIN</t>
  </si>
  <si>
    <t>BROOKDALE HOSPITAL</t>
  </si>
  <si>
    <t>JosephDellolio</t>
  </si>
  <si>
    <t>(171) 899-47054</t>
  </si>
  <si>
    <t>JonathanFleichmann</t>
  </si>
  <si>
    <t>(171) 889-22100</t>
  </si>
  <si>
    <t>E0228121</t>
  </si>
  <si>
    <t>SIEGEL MARK I              MD</t>
  </si>
  <si>
    <t>MARKSIEGEL</t>
  </si>
  <si>
    <t>SIEGEL MARK DR.</t>
  </si>
  <si>
    <t>BETH ISRAEL HOSP</t>
  </si>
  <si>
    <t>E0301595</t>
  </si>
  <si>
    <t>LUBRANO JOHN MICHAEL</t>
  </si>
  <si>
    <t>JohnLubrano</t>
  </si>
  <si>
    <t>LUBRANO JOHN</t>
  </si>
  <si>
    <t>E0296531</t>
  </si>
  <si>
    <t>SHENOY AKHIL MD</t>
  </si>
  <si>
    <t>AKHILSHENOY</t>
  </si>
  <si>
    <t>SHENOY AKHIL</t>
  </si>
  <si>
    <t>E0046831</t>
  </si>
  <si>
    <t>PONCE ESTUARDO-ALFONSO</t>
  </si>
  <si>
    <t>ESTUARDOPONCE</t>
  </si>
  <si>
    <t>PONCE ESTUARDO</t>
  </si>
  <si>
    <t>1630 E 15TH ST STE 203</t>
  </si>
  <si>
    <t>E0361807</t>
  </si>
  <si>
    <t>SAVINO JOHN ANTHONY III</t>
  </si>
  <si>
    <t>DR.JOHNSAVINO</t>
  </si>
  <si>
    <t>SAVINO JOHN DR.</t>
  </si>
  <si>
    <t>DR.PATGULHATI</t>
  </si>
  <si>
    <t>GULHATI PAT DR.</t>
  </si>
  <si>
    <t>BarbaraGordon</t>
  </si>
  <si>
    <t>E0110346</t>
  </si>
  <si>
    <t>GORDON BARBARA F N MD</t>
  </si>
  <si>
    <t>GORDON BARBARA DR.</t>
  </si>
  <si>
    <t>GORDON BARBARA</t>
  </si>
  <si>
    <t>1854 BEDFORD AVE</t>
  </si>
  <si>
    <t>NoahKondamudi</t>
  </si>
  <si>
    <t>E0130663</t>
  </si>
  <si>
    <t>KONDAMUDI NOAH PRAVEEN K MD</t>
  </si>
  <si>
    <t>KONDAMUDI NOAH</t>
  </si>
  <si>
    <t>GodwinLee</t>
  </si>
  <si>
    <t>E0084685</t>
  </si>
  <si>
    <t>LEE GODWIN MD</t>
  </si>
  <si>
    <t>LEE GODWIN DR.</t>
  </si>
  <si>
    <t>ST JOSEPH'S RADIO PC</t>
  </si>
  <si>
    <t>MosheFuksbrumer</t>
  </si>
  <si>
    <t>E0099058</t>
  </si>
  <si>
    <t>FUKSBRUMER MOSHE SAUL MD</t>
  </si>
  <si>
    <t>FUKSBRUMER MOSHE</t>
  </si>
  <si>
    <t>VasanthaKondamudi</t>
  </si>
  <si>
    <t>E0115885</t>
  </si>
  <si>
    <t>KONDAMUDI VASANTHA KUMARI</t>
  </si>
  <si>
    <t>KONDAMUDI VASANTHA</t>
  </si>
  <si>
    <t>FrankIacovone,Jr.</t>
  </si>
  <si>
    <t>E0091119</t>
  </si>
  <si>
    <t>IACOVONE FRANK MICHAEL MD</t>
  </si>
  <si>
    <t>IACOVONE FRANK DR.</t>
  </si>
  <si>
    <t>STARR 4</t>
  </si>
  <si>
    <t>GraceForde</t>
  </si>
  <si>
    <t>E0122450</t>
  </si>
  <si>
    <t>FORDE GRACE MD</t>
  </si>
  <si>
    <t>FORDE GRACE</t>
  </si>
  <si>
    <t>HenrySardar</t>
  </si>
  <si>
    <t>1396MyrtleAve</t>
  </si>
  <si>
    <t>NademSayegh</t>
  </si>
  <si>
    <t>PeterSayegh</t>
  </si>
  <si>
    <t>E0150373</t>
  </si>
  <si>
    <t>LEE HARRY S MD</t>
  </si>
  <si>
    <t>HARRYLEE</t>
  </si>
  <si>
    <t>LEE HARRY</t>
  </si>
  <si>
    <t>E0020228</t>
  </si>
  <si>
    <t>BHORA FAIZ YAHYA MD</t>
  </si>
  <si>
    <t>FAIZBHORA</t>
  </si>
  <si>
    <t>BHORA FAIZ</t>
  </si>
  <si>
    <t>E0162822</t>
  </si>
  <si>
    <t>ATTOE LINDA S  MD</t>
  </si>
  <si>
    <t>LINDAATTOE</t>
  </si>
  <si>
    <t>ATTOE LINDA DR.</t>
  </si>
  <si>
    <t>ATTOE LINDA SIBLEY</t>
  </si>
  <si>
    <t>200 W 57TH ST FL 15&amp; FL 16</t>
  </si>
  <si>
    <t>E0183775</t>
  </si>
  <si>
    <t>GIORDANA LORRAINE MD</t>
  </si>
  <si>
    <t>LORRAINEGIORDANO</t>
  </si>
  <si>
    <t>GIORDANO LORRAINE</t>
  </si>
  <si>
    <t>AlanG.Busby</t>
  </si>
  <si>
    <t>97E.ChurchSt</t>
  </si>
  <si>
    <t>Bergenfield</t>
  </si>
  <si>
    <t>EdwardCardillo</t>
  </si>
  <si>
    <t>Ran(Iris)Choi</t>
  </si>
  <si>
    <t>AaronCohen</t>
  </si>
  <si>
    <t>E0180333</t>
  </si>
  <si>
    <t>GARCIA JOSE GILBERTO DDS</t>
  </si>
  <si>
    <t>JOSEGARCIA</t>
  </si>
  <si>
    <t>GARCIA JOSE DR.</t>
  </si>
  <si>
    <t>VijayMattoo</t>
  </si>
  <si>
    <t>E0222486</t>
  </si>
  <si>
    <t>MATTOO UIJAY KUMAR         MD</t>
  </si>
  <si>
    <t>MATTOO VIJAY DR.</t>
  </si>
  <si>
    <t>MATTOO VIJAY KUMAR         MD</t>
  </si>
  <si>
    <t>LeoWeinreich</t>
  </si>
  <si>
    <t>E0208408</t>
  </si>
  <si>
    <t>WEINREICH LEO              MD</t>
  </si>
  <si>
    <t>WEINREICH LEO DR.</t>
  </si>
  <si>
    <t>WEINREICH LEO</t>
  </si>
  <si>
    <t>1044 NORTHERN BLVD STE 302</t>
  </si>
  <si>
    <t>WendyPeguero,M.A.</t>
  </si>
  <si>
    <t>PUGUERO WENDY</t>
  </si>
  <si>
    <t>460 WEST 34TH STREET, 9TH FLOOR</t>
  </si>
  <si>
    <t>E0094816</t>
  </si>
  <si>
    <t>CHAUDHRY FAROOQ AHMED MD</t>
  </si>
  <si>
    <t>FAROOQCHAUDHRY</t>
  </si>
  <si>
    <t>CHAUDHRY FAROOQ DR.</t>
  </si>
  <si>
    <t>E0031158</t>
  </si>
  <si>
    <t>HENNIG NILS MD</t>
  </si>
  <si>
    <t>NILSHENNIG</t>
  </si>
  <si>
    <t>HENNIG NILS</t>
  </si>
  <si>
    <t>E0145189</t>
  </si>
  <si>
    <t>GIDWANI SONIA MD</t>
  </si>
  <si>
    <t>SONIAGIDWANI</t>
  </si>
  <si>
    <t>GIDWANI SONIA DR.</t>
  </si>
  <si>
    <t>E0362890</t>
  </si>
  <si>
    <t>GREEN MICHELE O</t>
  </si>
  <si>
    <t>MS.MICHELEGREEN</t>
  </si>
  <si>
    <t>GREEN MICHELE MS.</t>
  </si>
  <si>
    <t>320 E 94TH ST FL 2</t>
  </si>
  <si>
    <t>E0368619</t>
  </si>
  <si>
    <t>NG MICHEL</t>
  </si>
  <si>
    <t>MR.MICHELNG</t>
  </si>
  <si>
    <t>NG MICHEL MR.</t>
  </si>
  <si>
    <t>275 7TH AVE FL 12</t>
  </si>
  <si>
    <t>E0033695</t>
  </si>
  <si>
    <t>SHRIVASTAVA RAJ KUMAR MD</t>
  </si>
  <si>
    <t>RAJSHRIVASTAVA</t>
  </si>
  <si>
    <t>SHRIVASTAVA RAJ</t>
  </si>
  <si>
    <t>SHRIVASTAVA RAJ KUMAR</t>
  </si>
  <si>
    <t>ReneeFoglia-Petrara,L.M.S.W.</t>
  </si>
  <si>
    <t>FOGLIA-PETRARA RENEE MRS.</t>
  </si>
  <si>
    <t>750 HICKSVILLE RD</t>
  </si>
  <si>
    <t>JohnnyArenillas-Correa,M.S.</t>
  </si>
  <si>
    <t>ARENILLAS JOHNNY</t>
  </si>
  <si>
    <t>GwenGoodman,M.S.,R.D.,CN</t>
  </si>
  <si>
    <t>GOODMAN GWEN</t>
  </si>
  <si>
    <t>ThelmaKing,L.M.S.W.</t>
  </si>
  <si>
    <t>KING THELMA</t>
  </si>
  <si>
    <t>SherifNasr</t>
  </si>
  <si>
    <t>E0127609</t>
  </si>
  <si>
    <t>NASR SHERIF</t>
  </si>
  <si>
    <t>NASR SHERIF SABRY</t>
  </si>
  <si>
    <t>AkosKovacs</t>
  </si>
  <si>
    <t>E0129258</t>
  </si>
  <si>
    <t>KOVACS AKOS LASZLO MD</t>
  </si>
  <si>
    <t>KOVACS AKOS DR.</t>
  </si>
  <si>
    <t>SarmisthaBhattacharya</t>
  </si>
  <si>
    <t>E0127716</t>
  </si>
  <si>
    <t>BHATTACHARYA SARMISTHA MD</t>
  </si>
  <si>
    <t>BHATTACHARYA SARMISTHA DR.</t>
  </si>
  <si>
    <t>1000 CHURCH AVE</t>
  </si>
  <si>
    <t>YelenaRoshchina</t>
  </si>
  <si>
    <t>E0337290</t>
  </si>
  <si>
    <t>ROSHCHINA YELENA</t>
  </si>
  <si>
    <t>MayankShukla</t>
  </si>
  <si>
    <t>BaharBybordi</t>
  </si>
  <si>
    <t>E0287420</t>
  </si>
  <si>
    <t>BYBORDI BAHAR</t>
  </si>
  <si>
    <t>BYBORDI BAHAR MD</t>
  </si>
  <si>
    <t>AlexanderGoncharov</t>
  </si>
  <si>
    <t>E0293063</t>
  </si>
  <si>
    <t>GONCHAROV ALEXANDER</t>
  </si>
  <si>
    <t>GONCHAROV ALEXANDER DR.</t>
  </si>
  <si>
    <t>E0363625</t>
  </si>
  <si>
    <t>TAM JENNIFER YAH LEA</t>
  </si>
  <si>
    <t>JenniferTam</t>
  </si>
  <si>
    <t>TAM-JOHNSTON JENNIFER DR.</t>
  </si>
  <si>
    <t>230 W 17TH ST FL 6</t>
  </si>
  <si>
    <t>NatashaDavid-Hays,LMSW</t>
  </si>
  <si>
    <t>DanielLowy</t>
  </si>
  <si>
    <t>DAVID-HAYS NATASHA</t>
  </si>
  <si>
    <t>HatsukoOtsuka,LMSW</t>
  </si>
  <si>
    <t>OTSUKA HATSUKO MISS</t>
  </si>
  <si>
    <t>DavidTribichPh.D.</t>
  </si>
  <si>
    <t>TRIBICH DAVID DR.</t>
  </si>
  <si>
    <t>AllisonBristol,LPN</t>
  </si>
  <si>
    <t>E0370071</t>
  </si>
  <si>
    <t>BRISTOL ALLISON</t>
  </si>
  <si>
    <t>58 PATRICIA LN # 402</t>
  </si>
  <si>
    <t>AhmetAltiner</t>
  </si>
  <si>
    <t>E0321106</t>
  </si>
  <si>
    <t>ALTINER AHMET</t>
  </si>
  <si>
    <t>ALTINER AHMET DR.</t>
  </si>
  <si>
    <t>107 WEST 82ND STREET 108</t>
  </si>
  <si>
    <t>DanilRafailov</t>
  </si>
  <si>
    <t>E0297933</t>
  </si>
  <si>
    <t>RAFAILOV DANIL ISAKOVICH</t>
  </si>
  <si>
    <t>RAFAILOV DANIL DR.</t>
  </si>
  <si>
    <t>12314 METROPOLITAN AVE</t>
  </si>
  <si>
    <t>ArnoldTeo</t>
  </si>
  <si>
    <t>E0292430</t>
  </si>
  <si>
    <t>TEO ARNOLD PORCIA MD</t>
  </si>
  <si>
    <t>TEO ARNOLD DR.</t>
  </si>
  <si>
    <t>121 DEKALB AVE STE 6B</t>
  </si>
  <si>
    <t>SamirGaryali</t>
  </si>
  <si>
    <t>E0365426</t>
  </si>
  <si>
    <t>GARYALI SAMIR</t>
  </si>
  <si>
    <t>GARYALI SAMIR DR.</t>
  </si>
  <si>
    <t>185 MARCY AVE LOWR LEVEL</t>
  </si>
  <si>
    <t>HeatherMacAdam</t>
  </si>
  <si>
    <t>E0299179</t>
  </si>
  <si>
    <t>MACADAM HEATHER LYNN</t>
  </si>
  <si>
    <t>MACADAM HEATHER DR.</t>
  </si>
  <si>
    <t>58 ELM ST</t>
  </si>
  <si>
    <t>FrancesBruno</t>
  </si>
  <si>
    <t>E0301551</t>
  </si>
  <si>
    <t>BRUNO FRANCES</t>
  </si>
  <si>
    <t>BRUNO FRANCES DR.</t>
  </si>
  <si>
    <t>BRUNO FRANCES P</t>
  </si>
  <si>
    <t>79-01 BROADWAY - RM A1-9</t>
  </si>
  <si>
    <t>GlennW.DeLuca-license#029977-1</t>
  </si>
  <si>
    <t>MS.MAIREADCASEY</t>
  </si>
  <si>
    <t>CASEY MAIREAD MS.</t>
  </si>
  <si>
    <t>1111 AMSTERDAM AVE, CARDIAC SURGERY MUHLENBERG 2 SUITE A</t>
  </si>
  <si>
    <t>E0252407</t>
  </si>
  <si>
    <t>BRADSHAW JEFFREY NORMAN    MD</t>
  </si>
  <si>
    <t>JEFFREYBRADSHAW</t>
  </si>
  <si>
    <t>BRADSHAW JEFFREY DR.</t>
  </si>
  <si>
    <t>ST LUKES HOSP CTR</t>
  </si>
  <si>
    <t>E0183971</t>
  </si>
  <si>
    <t>FOGEL JOYCE FRANCES NAHUM MD</t>
  </si>
  <si>
    <t>JOYCEFOGEL</t>
  </si>
  <si>
    <t>FOGEL JOYCE</t>
  </si>
  <si>
    <t>WEST 11TH ST.</t>
  </si>
  <si>
    <t>RichardKhalil</t>
  </si>
  <si>
    <t>JOSEPHANSELMO</t>
  </si>
  <si>
    <t>ANSELMO JOSEPH</t>
  </si>
  <si>
    <t>1000 10TH AVE, STE 5G-80</t>
  </si>
  <si>
    <t>E0255060</t>
  </si>
  <si>
    <t>JAHN ANTHONY F             MD</t>
  </si>
  <si>
    <t>ANTHONYJAHN</t>
  </si>
  <si>
    <t>JAHN ANTHONY DR.</t>
  </si>
  <si>
    <t>COLUMBIA PRES MED</t>
  </si>
  <si>
    <t>KimberlyHolt</t>
  </si>
  <si>
    <t>StanislavErenburg</t>
  </si>
  <si>
    <t>ERENBURG STANISLAV MR.</t>
  </si>
  <si>
    <t>AlysonCosden</t>
  </si>
  <si>
    <t>COSDEN ALYSON</t>
  </si>
  <si>
    <t>121 DEKALB AVE, DEPT. OF ANESTHESIOLOGY</t>
  </si>
  <si>
    <t>SarinaCranage</t>
  </si>
  <si>
    <t>CRANAGE SARINA</t>
  </si>
  <si>
    <t>333 W HAMPDEN AVE, STE 600</t>
  </si>
  <si>
    <t>E0337030</t>
  </si>
  <si>
    <t>DUBEY SUDHA</t>
  </si>
  <si>
    <t>SudhaDubey</t>
  </si>
  <si>
    <t>DUBEY SUDHA DR.</t>
  </si>
  <si>
    <t>E0347502</t>
  </si>
  <si>
    <t>COSTAKIS ANNA</t>
  </si>
  <si>
    <t>AnnaCostakis</t>
  </si>
  <si>
    <t>411 W 114TH ST</t>
  </si>
  <si>
    <t>E0323215</t>
  </si>
  <si>
    <t>JEANNITON CHANEVE</t>
  </si>
  <si>
    <t>ChaneveJeanniton</t>
  </si>
  <si>
    <t>JEANNITON CHANEVE MD</t>
  </si>
  <si>
    <t>E0043485</t>
  </si>
  <si>
    <t>MARTZ JOSEPH MD</t>
  </si>
  <si>
    <t>JOSEPHMARTZ</t>
  </si>
  <si>
    <t>MARTZ JOSEPH</t>
  </si>
  <si>
    <t>E0220301</t>
  </si>
  <si>
    <t>BURKE GARY ROBERT</t>
  </si>
  <si>
    <t>GARYBURKE</t>
  </si>
  <si>
    <t>BURKE GARY DR.</t>
  </si>
  <si>
    <t>VC 2-205</t>
  </si>
  <si>
    <t>E0080120</t>
  </si>
  <si>
    <t>ZUGER ABIGAIL DELL MD</t>
  </si>
  <si>
    <t>ABIGAILZUGER</t>
  </si>
  <si>
    <t>ZUGER ABIGAIL</t>
  </si>
  <si>
    <t>SAMUELS CTR FOR CARE</t>
  </si>
  <si>
    <t>MeiWang</t>
  </si>
  <si>
    <t>SashaRouzeau</t>
  </si>
  <si>
    <t>E0309667</t>
  </si>
  <si>
    <t>SASHA WILLIAMS MD</t>
  </si>
  <si>
    <t>ROUZEAU SASHA DR.</t>
  </si>
  <si>
    <t>ROUZEAU SASHA ANNE</t>
  </si>
  <si>
    <t>PeterPappas</t>
  </si>
  <si>
    <t>E0310304</t>
  </si>
  <si>
    <t>PETER J PAPPAS MD</t>
  </si>
  <si>
    <t>PAPPAS PETER</t>
  </si>
  <si>
    <t>PAPPAS PETER J MD</t>
  </si>
  <si>
    <t>KoLatt</t>
  </si>
  <si>
    <t>E0311555</t>
  </si>
  <si>
    <t>LATT KO KO</t>
  </si>
  <si>
    <t>LATT KO DR.</t>
  </si>
  <si>
    <t>115 ST NICHOLAS AVE</t>
  </si>
  <si>
    <t>E0367377</t>
  </si>
  <si>
    <t>SEALES-BAILEY CHLOE</t>
  </si>
  <si>
    <t>MRS.CHLOESEALES-BAILEY</t>
  </si>
  <si>
    <t>SEALES-BAILEY CHLOE MRS.</t>
  </si>
  <si>
    <t>4802 10TH AVE DEPT MEDICINE</t>
  </si>
  <si>
    <t>E0339162</t>
  </si>
  <si>
    <t>TUROK ALISA</t>
  </si>
  <si>
    <t>ALISATUROK</t>
  </si>
  <si>
    <t>TUROK ALISA DR.</t>
  </si>
  <si>
    <t>E0108894</t>
  </si>
  <si>
    <t>LAM WAN LING MD</t>
  </si>
  <si>
    <t>WANLAM</t>
  </si>
  <si>
    <t>LAM WAN</t>
  </si>
  <si>
    <t>EnayatollahHariri</t>
  </si>
  <si>
    <t>E0275103</t>
  </si>
  <si>
    <t>HARIRI E</t>
  </si>
  <si>
    <t>HARIRI ENAYATOLLAH</t>
  </si>
  <si>
    <t>371 WILLIAMS AVE</t>
  </si>
  <si>
    <t>TovaF.Isseroff</t>
  </si>
  <si>
    <t>E0372799</t>
  </si>
  <si>
    <t>ISSEROFF TOVA FISCHER</t>
  </si>
  <si>
    <t>ISSEROFF TOVA DR.</t>
  </si>
  <si>
    <t>E0332032</t>
  </si>
  <si>
    <t>GUPTA ANITA</t>
  </si>
  <si>
    <t>AnitaGupta</t>
  </si>
  <si>
    <t>E0308089</t>
  </si>
  <si>
    <t>DOUGLAS ORIN ALBERT</t>
  </si>
  <si>
    <t>OrinDouglas</t>
  </si>
  <si>
    <t>DOUGLAS ORIN</t>
  </si>
  <si>
    <t>E0123474</t>
  </si>
  <si>
    <t>SMITH STEVEN DOUGLAS MD</t>
  </si>
  <si>
    <t>StevenSmith</t>
  </si>
  <si>
    <t>SMITH STEVEN DR.</t>
  </si>
  <si>
    <t>E0089656</t>
  </si>
  <si>
    <t>COLE DAVID S MD</t>
  </si>
  <si>
    <t>DavidCole</t>
  </si>
  <si>
    <t>COLE DAVID</t>
  </si>
  <si>
    <t>E0073280</t>
  </si>
  <si>
    <t>CHOY YOUYIN MD</t>
  </si>
  <si>
    <t>YouyinChoy</t>
  </si>
  <si>
    <t>CHOY YOUYIN</t>
  </si>
  <si>
    <t>KellyFlanigan,M.A.</t>
  </si>
  <si>
    <t>FLANIGAN KELLY</t>
  </si>
  <si>
    <t>GabrieleMariotti,L.M.S.W.</t>
  </si>
  <si>
    <t>E0396084</t>
  </si>
  <si>
    <t>MARIOTTI GABRIELE</t>
  </si>
  <si>
    <t>MARIOTTI GABRIELE MR.</t>
  </si>
  <si>
    <t>E0244870</t>
  </si>
  <si>
    <t>PERROTTA LUCILLE           MD</t>
  </si>
  <si>
    <t>LUCILLEPERROTTA</t>
  </si>
  <si>
    <t>PERROTTA LUCILLE</t>
  </si>
  <si>
    <t>KITAMURA RILEY</t>
  </si>
  <si>
    <t>5 E 98TH ST # 1259</t>
  </si>
  <si>
    <t>ARGIROFF ALEXANDRA DR.</t>
  </si>
  <si>
    <t>3921 PINEWAY DR</t>
  </si>
  <si>
    <t>KITTY HAWK</t>
  </si>
  <si>
    <t>E0423401</t>
  </si>
  <si>
    <t>FLETCHER JOHN W</t>
  </si>
  <si>
    <t>FLETCHER JOHN</t>
  </si>
  <si>
    <t>FLETCHER JOHN WILLIAM</t>
  </si>
  <si>
    <t>1090 AMSTERDAM AVE STE 10C</t>
  </si>
  <si>
    <t>E0427042</t>
  </si>
  <si>
    <t>KRULL LEAH KATHRYN</t>
  </si>
  <si>
    <t>KRULL LEAH MS.</t>
  </si>
  <si>
    <t>309 W 23RD ST FL 3</t>
  </si>
  <si>
    <t>E0435369</t>
  </si>
  <si>
    <t>ZACHARIAH JIPS JOHN</t>
  </si>
  <si>
    <t>ZACHARIAH JIPS</t>
  </si>
  <si>
    <t>E0354942</t>
  </si>
  <si>
    <t>ABEL RICHARD BRADLEY</t>
  </si>
  <si>
    <t>ABEL RICHARD DR.</t>
  </si>
  <si>
    <t>E0405743</t>
  </si>
  <si>
    <t>COLON VILAR GIANCARLO</t>
  </si>
  <si>
    <t>COLON VILAR GIANCARLO DR.</t>
  </si>
  <si>
    <t>E0045472</t>
  </si>
  <si>
    <t>NAUGHTEN JAMES KEVIN DO</t>
  </si>
  <si>
    <t>JamesNaughten</t>
  </si>
  <si>
    <t>NAUGHTEN JAMES DR.</t>
  </si>
  <si>
    <t>MichaelBalletta</t>
  </si>
  <si>
    <t>BALLETTA MICHAEL MR.</t>
  </si>
  <si>
    <t>E0356700</t>
  </si>
  <si>
    <t>CONNELL BRENDAN DAVID</t>
  </si>
  <si>
    <t>BrendanConnell</t>
  </si>
  <si>
    <t>CONNELL BRENDAN DR.</t>
  </si>
  <si>
    <t>E0221166</t>
  </si>
  <si>
    <t>EDEN EDWARD                MD</t>
  </si>
  <si>
    <t>EDWARDEDEN</t>
  </si>
  <si>
    <t>EDEN EDWARD DR.</t>
  </si>
  <si>
    <t>ROOSEVELT/ST LUKES H</t>
  </si>
  <si>
    <t>CHHAYACHAKRABARTI</t>
  </si>
  <si>
    <t>E0155903</t>
  </si>
  <si>
    <t>DISLA EDDYS MD</t>
  </si>
  <si>
    <t>EDDYSDISLA</t>
  </si>
  <si>
    <t>DISLA EDDYS</t>
  </si>
  <si>
    <t>CABRINI MED CT S 447</t>
  </si>
  <si>
    <t>E0000300</t>
  </si>
  <si>
    <t>RABRICH JEFFREY MD</t>
  </si>
  <si>
    <t>JEFFREYRABRICH</t>
  </si>
  <si>
    <t>RABRICH JEFFREY DR.</t>
  </si>
  <si>
    <t>E0056965</t>
  </si>
  <si>
    <t>SLOMBA JAN MARIUSZ MD</t>
  </si>
  <si>
    <t>JANSLOMBA</t>
  </si>
  <si>
    <t>SLOMBA JAN</t>
  </si>
  <si>
    <t>E0122305</t>
  </si>
  <si>
    <t>SHASHA DANIEL MD</t>
  </si>
  <si>
    <t>DANIELSHASHA</t>
  </si>
  <si>
    <t>SHASHA DANIEL</t>
  </si>
  <si>
    <t>BI RAD ONC ASSOC</t>
  </si>
  <si>
    <t>E0068313</t>
  </si>
  <si>
    <t>LI ZUJUN MD</t>
  </si>
  <si>
    <t>ZUJUNLI</t>
  </si>
  <si>
    <t>LI ZUJUN DR.</t>
  </si>
  <si>
    <t>E0090907</t>
  </si>
  <si>
    <t>LANTIS JOHN CARLOS II MD</t>
  </si>
  <si>
    <t>JOHNLANTIS</t>
  </si>
  <si>
    <t>LANTIS JOHN</t>
  </si>
  <si>
    <t>E0084475</t>
  </si>
  <si>
    <t>BOWNE HELEN YOO</t>
  </si>
  <si>
    <t>HELENYOOBOWNE</t>
  </si>
  <si>
    <t>YOO BOWNE HELEN</t>
  </si>
  <si>
    <t>CRONIN 205</t>
  </si>
  <si>
    <t>PhilippeDay</t>
  </si>
  <si>
    <t>E0217417</t>
  </si>
  <si>
    <t>DAY PHILIPPE JMM MD</t>
  </si>
  <si>
    <t>DAY PHILIPPE</t>
  </si>
  <si>
    <t>25 BUCHANAN ST</t>
  </si>
  <si>
    <t>EarlEllis</t>
  </si>
  <si>
    <t>E0195335</t>
  </si>
  <si>
    <t>ELLIS EARL ANTHONY         MD</t>
  </si>
  <si>
    <t>ELLIS EARL</t>
  </si>
  <si>
    <t>66 RUTLAND RD</t>
  </si>
  <si>
    <t>FrancisWilliams</t>
  </si>
  <si>
    <t>E0030089</t>
  </si>
  <si>
    <t>WILLIAMS FRANCIS  MD</t>
  </si>
  <si>
    <t>WILLIAMS FRANCIS DR.</t>
  </si>
  <si>
    <t>DavidSherr</t>
  </si>
  <si>
    <t>E0156158</t>
  </si>
  <si>
    <t>SHERR DAVID L  MD</t>
  </si>
  <si>
    <t>SHERR DAVID DR.</t>
  </si>
  <si>
    <t>NO SHORE UNIV HOSP</t>
  </si>
  <si>
    <t>HerbertKwasnik</t>
  </si>
  <si>
    <t>E0201820</t>
  </si>
  <si>
    <t>KWASNIK HERBERT            MD</t>
  </si>
  <si>
    <t>KWASNIK HERBERT</t>
  </si>
  <si>
    <t>425 NEPTUNE AVE APT 14B</t>
  </si>
  <si>
    <t>DavidWolin</t>
  </si>
  <si>
    <t>E0234968</t>
  </si>
  <si>
    <t>WOLIN DAVID A              MD</t>
  </si>
  <si>
    <t>WOLIN DAVID</t>
  </si>
  <si>
    <t>WOLIN DAVID A</t>
  </si>
  <si>
    <t>BethDiviney,Ph.D.</t>
  </si>
  <si>
    <t>DIVINEY BETH</t>
  </si>
  <si>
    <t>DaliaZwick,Ph.D.,PT</t>
  </si>
  <si>
    <t>E0342603</t>
  </si>
  <si>
    <t>ZWICK DALIA EPSTEIN</t>
  </si>
  <si>
    <t>ZWICK DALIA</t>
  </si>
  <si>
    <t>MelissaBenzuly,L.M.S.W.</t>
  </si>
  <si>
    <t>BENZULY MELISSA</t>
  </si>
  <si>
    <t>MarjorieSchulman,MSPT</t>
  </si>
  <si>
    <t>E0348339</t>
  </si>
  <si>
    <t>SCHULMAN MARJORIE ELLEN</t>
  </si>
  <si>
    <t>SCHULMAN MARJORIE</t>
  </si>
  <si>
    <t>LorenaGrullon-Figueroa</t>
  </si>
  <si>
    <t>E0300003</t>
  </si>
  <si>
    <t>GRULLON-FIGUEROA LORENA MD</t>
  </si>
  <si>
    <t>lgrullon-figueroa@bowencsc.org</t>
  </si>
  <si>
    <t>GRULLON-FIGUEROA LORENA DR.</t>
  </si>
  <si>
    <t>YvonneKury</t>
  </si>
  <si>
    <t>E0218498</t>
  </si>
  <si>
    <t>KURY YVONNE A</t>
  </si>
  <si>
    <t>ykury@bowencsc.org</t>
  </si>
  <si>
    <t>KURY YVONNE DR.</t>
  </si>
  <si>
    <t>AntoinePierre</t>
  </si>
  <si>
    <t>E0205692</t>
  </si>
  <si>
    <t>PIERRE ANTOINE ROGER       MD</t>
  </si>
  <si>
    <t>apierre@bowencsc.org</t>
  </si>
  <si>
    <t>PIERRE ANTOINE DR.</t>
  </si>
  <si>
    <t>PIERRE ANTOINE R MD</t>
  </si>
  <si>
    <t>DorisRoman,LCSW</t>
  </si>
  <si>
    <t>2488GRANDCONCOURSE</t>
  </si>
  <si>
    <t>E0333687</t>
  </si>
  <si>
    <t>SINGH MONIKA MD</t>
  </si>
  <si>
    <t>MonikaSingh</t>
  </si>
  <si>
    <t>SINGH MONIKA DR.</t>
  </si>
  <si>
    <t>2519 35TH ST APT CF</t>
  </si>
  <si>
    <t>E0022361</t>
  </si>
  <si>
    <t>ADAMIAN JULIA MD</t>
  </si>
  <si>
    <t>JuliaAdamian</t>
  </si>
  <si>
    <t>ADAMIAN JULIA DR.</t>
  </si>
  <si>
    <t>ADAMIAN JULIA G</t>
  </si>
  <si>
    <t>150 E 77TH ST</t>
  </si>
  <si>
    <t>E0059332</t>
  </si>
  <si>
    <t>HUANG AMY MD</t>
  </si>
  <si>
    <t>AmyHuang</t>
  </si>
  <si>
    <t>HUANG AMY DR.</t>
  </si>
  <si>
    <t>E0355555</t>
  </si>
  <si>
    <t>LATTE SHELLY</t>
  </si>
  <si>
    <t>ShellyLatte</t>
  </si>
  <si>
    <t>LATTE-NAOR SHELLY DR.</t>
  </si>
  <si>
    <t>LATTE-NAOR SHELLY</t>
  </si>
  <si>
    <t>E0303600</t>
  </si>
  <si>
    <t>COHEN JOSHUA MARC</t>
  </si>
  <si>
    <t>JoshuaCohen</t>
  </si>
  <si>
    <t>COHEN JOSHUA DR.</t>
  </si>
  <si>
    <t>E0353408</t>
  </si>
  <si>
    <t>NARAG KEVIN MICHAEL</t>
  </si>
  <si>
    <t>KevinNarag</t>
  </si>
  <si>
    <t>NARAG KEVIN DR.</t>
  </si>
  <si>
    <t>E0085838</t>
  </si>
  <si>
    <t>WHITE MARGARET MARY</t>
  </si>
  <si>
    <t>MargaretWhite</t>
  </si>
  <si>
    <t>WHITE MARGARET</t>
  </si>
  <si>
    <t>411 W 114TH ST SUITE 5B</t>
  </si>
  <si>
    <t>E0337488</t>
  </si>
  <si>
    <t>HERON ABIGAIL JANE</t>
  </si>
  <si>
    <t>AbigailHerron</t>
  </si>
  <si>
    <t>HERRON ABIGAIL DR.</t>
  </si>
  <si>
    <t>HERRON ABIGAIL JANE</t>
  </si>
  <si>
    <t>E0021961</t>
  </si>
  <si>
    <t>SHARMA AJAY KUMAR MD</t>
  </si>
  <si>
    <t>AjaySharma</t>
  </si>
  <si>
    <t>SHARMA AJAY DR.</t>
  </si>
  <si>
    <t>E0066426</t>
  </si>
  <si>
    <t>DU DIANE</t>
  </si>
  <si>
    <t>DianeDu</t>
  </si>
  <si>
    <t>DU DIANE DR.</t>
  </si>
  <si>
    <t>DU DIANE DE-YI</t>
  </si>
  <si>
    <t>1ST AVE @ 16TH STREET</t>
  </si>
  <si>
    <t>NEW UORK</t>
  </si>
  <si>
    <t>E0007188</t>
  </si>
  <si>
    <t>RUTSTEIN-SHULINA ZHANNA MD</t>
  </si>
  <si>
    <t>ZhannaRutstein-Shulina</t>
  </si>
  <si>
    <t>RUTSTEIN-SHULINA ZHANNA</t>
  </si>
  <si>
    <t>E0426032</t>
  </si>
  <si>
    <t>YASEEN ZIMRI SHALOM</t>
  </si>
  <si>
    <t>ZimriYaseen</t>
  </si>
  <si>
    <t>YASEEN ZIMRI DR.</t>
  </si>
  <si>
    <t>E0321821</t>
  </si>
  <si>
    <t>BANSAL ANIP</t>
  </si>
  <si>
    <t>AnipBansal</t>
  </si>
  <si>
    <t>E0111266</t>
  </si>
  <si>
    <t>LEBOVICS ROBERT SAMUEL MD</t>
  </si>
  <si>
    <t>ROBERTLEBOVICS</t>
  </si>
  <si>
    <t>LEBOVICS ROBERT</t>
  </si>
  <si>
    <t>E0026170</t>
  </si>
  <si>
    <t>TABAEE ABTIN MD</t>
  </si>
  <si>
    <t>ABTINTABAEE</t>
  </si>
  <si>
    <t>TABAEE ABTIN</t>
  </si>
  <si>
    <t>520 E 70TH ST</t>
  </si>
  <si>
    <t>Dr.AtlafShaik</t>
  </si>
  <si>
    <t>E0292537</t>
  </si>
  <si>
    <t>ALTAF HUSSAIN SHAIK</t>
  </si>
  <si>
    <t>WandaLay</t>
  </si>
  <si>
    <t>(718) 250-8529</t>
  </si>
  <si>
    <t>wal.9015@nyp.org</t>
  </si>
  <si>
    <t>SHAIK ALTAF DR.</t>
  </si>
  <si>
    <t>SHAIK ALTAF HUSSAIN MD</t>
  </si>
  <si>
    <t>Dr.BrianButler</t>
  </si>
  <si>
    <t>E0310498</t>
  </si>
  <si>
    <t>BRIAN BUTLER DPM PC</t>
  </si>
  <si>
    <t>(917) 318-8270</t>
  </si>
  <si>
    <t>E0379336</t>
  </si>
  <si>
    <t>CHO JEAN O</t>
  </si>
  <si>
    <t>JEANCHO</t>
  </si>
  <si>
    <t>CHO JEAN</t>
  </si>
  <si>
    <t>CHO JEAN OH</t>
  </si>
  <si>
    <t>9 BOND ST FL 4</t>
  </si>
  <si>
    <t>DR.JACQUELINELATINA</t>
  </si>
  <si>
    <t>LATINA JACQUELINE DR.</t>
  </si>
  <si>
    <t>DR.NEHAGOEL</t>
  </si>
  <si>
    <t>GOEL NEHA DR.</t>
  </si>
  <si>
    <t>753 MORGANTON DR</t>
  </si>
  <si>
    <t>SUWANEE</t>
  </si>
  <si>
    <t>EmilyPhipps</t>
  </si>
  <si>
    <t>E0369305</t>
  </si>
  <si>
    <t>PHIPPS EMILY E NP</t>
  </si>
  <si>
    <t>PHIPPS EMILY</t>
  </si>
  <si>
    <t>MARINAPERAZZO</t>
  </si>
  <si>
    <t>PERAZZO MARINA</t>
  </si>
  <si>
    <t>1000 TENTH AVENUE, SUITE 5G 80</t>
  </si>
  <si>
    <t>E0135269</t>
  </si>
  <si>
    <t>ZYLBERMAN ILANA MD</t>
  </si>
  <si>
    <t>ILANAZYLBERMAN</t>
  </si>
  <si>
    <t>ZYLBERMAN ILANA</t>
  </si>
  <si>
    <t>E0092076</t>
  </si>
  <si>
    <t>BIOH DOMINICK KWASI MD</t>
  </si>
  <si>
    <t>DOMINICKBIOH</t>
  </si>
  <si>
    <t>BIOH DOMINICK DR.</t>
  </si>
  <si>
    <t>E0019717</t>
  </si>
  <si>
    <t>JANI SONAL BALMUKUND MD</t>
  </si>
  <si>
    <t>SONALJANI</t>
  </si>
  <si>
    <t>JANI SONAL DR.</t>
  </si>
  <si>
    <t>NAOMILUBARR</t>
  </si>
  <si>
    <t>E0294485</t>
  </si>
  <si>
    <t>WANG STEPHANIE CHIH-I</t>
  </si>
  <si>
    <t>STEPHANIEWANG</t>
  </si>
  <si>
    <t>WANG STEPHANIE DR.</t>
  </si>
  <si>
    <t>Jerome,Jared</t>
  </si>
  <si>
    <t>(516) 633-5662</t>
  </si>
  <si>
    <t>E0127364</t>
  </si>
  <si>
    <t>MANDEL EDMUND MD</t>
  </si>
  <si>
    <t>EdmundMandel</t>
  </si>
  <si>
    <t>MANDEL EDMUND</t>
  </si>
  <si>
    <t>E0319550</t>
  </si>
  <si>
    <t>SANGHAVI MOUSHUMI BHARAT</t>
  </si>
  <si>
    <t>MoushumiSanghavi</t>
  </si>
  <si>
    <t>SANGHAVI MOUSHUMI</t>
  </si>
  <si>
    <t>44 GRAMERCY PARK N SUITE 1A</t>
  </si>
  <si>
    <t>E0309534</t>
  </si>
  <si>
    <t>MOHANRAJ EDWARDINE MIRNALINI</t>
  </si>
  <si>
    <t>EdwardineMohanraj</t>
  </si>
  <si>
    <t>MOHANRAJ EDWARDINE DR.</t>
  </si>
  <si>
    <t>E0375067</t>
  </si>
  <si>
    <t>MATTE JENNIFER L</t>
  </si>
  <si>
    <t>JenniferMatte</t>
  </si>
  <si>
    <t>MATTE JENNIFER</t>
  </si>
  <si>
    <t>E0340041</t>
  </si>
  <si>
    <t>ARCE JULIAN</t>
  </si>
  <si>
    <t>JulianArce</t>
  </si>
  <si>
    <t>ARCE JULIAN MR.</t>
  </si>
  <si>
    <t>ARCE JULIAN PABLO</t>
  </si>
  <si>
    <t>E0308091</t>
  </si>
  <si>
    <t>ALAVERDIAN ARTUR</t>
  </si>
  <si>
    <t>ArturAlaverdian</t>
  </si>
  <si>
    <t>ALAVERDIAN ARTUR MD</t>
  </si>
  <si>
    <t>2201 HEMPSTEAD TURNP</t>
  </si>
  <si>
    <t>E0329903</t>
  </si>
  <si>
    <t>WANG JIAN</t>
  </si>
  <si>
    <t>JianWang</t>
  </si>
  <si>
    <t>E0331800</t>
  </si>
  <si>
    <t>BALDWIN MARI K</t>
  </si>
  <si>
    <t>MariBaldwin</t>
  </si>
  <si>
    <t>BALDWIN MARI DR.</t>
  </si>
  <si>
    <t>E0034289</t>
  </si>
  <si>
    <t>PITMAN MICHAEL JAY MD</t>
  </si>
  <si>
    <t>MICHAELPITMAN</t>
  </si>
  <si>
    <t>PITMAN MICHAEL DR.</t>
  </si>
  <si>
    <t>HashamTaha</t>
  </si>
  <si>
    <t>E0089661</t>
  </si>
  <si>
    <t>TAHA HESHAM MOHAMED MD</t>
  </si>
  <si>
    <t>TAHA HESHAM</t>
  </si>
  <si>
    <t>LalithaReddy</t>
  </si>
  <si>
    <t>E0222941</t>
  </si>
  <si>
    <t>REDDY LALITHA MARY MD PC</t>
  </si>
  <si>
    <t>REDDY LALITHA</t>
  </si>
  <si>
    <t>1763 ROCKAWAY PKWY</t>
  </si>
  <si>
    <t>LionelLefevre</t>
  </si>
  <si>
    <t>E0222723</t>
  </si>
  <si>
    <t>LEFEVRE LIONEL             MD</t>
  </si>
  <si>
    <t>LEFEVRE LIONEL</t>
  </si>
  <si>
    <t>4507 AVENUE D</t>
  </si>
  <si>
    <t>JamesWalsh</t>
  </si>
  <si>
    <t>E0191084</t>
  </si>
  <si>
    <t>WALSH JAMES JOSEPH MD</t>
  </si>
  <si>
    <t>WALSH JAMES</t>
  </si>
  <si>
    <t>WALSH JAMES JOSEPH</t>
  </si>
  <si>
    <t>E0133438</t>
  </si>
  <si>
    <t>KHOULI HASSAN E MD</t>
  </si>
  <si>
    <t>HASSANKHOULI</t>
  </si>
  <si>
    <t>KHOULI HASSAN DR.</t>
  </si>
  <si>
    <t>E0142076</t>
  </si>
  <si>
    <t>GENTILE RONALD C MD</t>
  </si>
  <si>
    <t>RONALDGENTILE</t>
  </si>
  <si>
    <t>GENTILE RONALD</t>
  </si>
  <si>
    <t>GENTILE RONALD CONCETTO</t>
  </si>
  <si>
    <t>NYEEI OPHTH ASC PC</t>
  </si>
  <si>
    <t>E0138817</t>
  </si>
  <si>
    <t>KLIGLER BENJAMIN ELI MD</t>
  </si>
  <si>
    <t>BENJAMINKLIGLER</t>
  </si>
  <si>
    <t>KLIGLER BENJAMIN DR.</t>
  </si>
  <si>
    <t>KLIGLER BENJAMIN</t>
  </si>
  <si>
    <t>E0121691</t>
  </si>
  <si>
    <t>MIYASAKA KENJI C MD</t>
  </si>
  <si>
    <t>KENJIMIYASAKA</t>
  </si>
  <si>
    <t>MIYASAKA KENJI</t>
  </si>
  <si>
    <t>E0141596</t>
  </si>
  <si>
    <t>HONG MUN KYUNG</t>
  </si>
  <si>
    <t>MUNHONG</t>
  </si>
  <si>
    <t>HONG MUN DR.</t>
  </si>
  <si>
    <t>E0082293</t>
  </si>
  <si>
    <t>DHARAPAK PATRICIA MD</t>
  </si>
  <si>
    <t>PATRICIADHARAPAK</t>
  </si>
  <si>
    <t>DHARAPAK PATRICIA</t>
  </si>
  <si>
    <t>E0154920</t>
  </si>
  <si>
    <t>GIEDD KENNETH NOAH MD</t>
  </si>
  <si>
    <t>KENNETHGIEDD</t>
  </si>
  <si>
    <t>GIEDD KENNETH</t>
  </si>
  <si>
    <t>EMERG SVCS</t>
  </si>
  <si>
    <t>E0308751</t>
  </si>
  <si>
    <t>JENNIFER KAR YEE HUI</t>
  </si>
  <si>
    <t>JENNIFERHUI</t>
  </si>
  <si>
    <t>HUI JENNIFER DR.</t>
  </si>
  <si>
    <t>HUI JENNIFER KAR YEE</t>
  </si>
  <si>
    <t>BangarurajuKolanuvada</t>
  </si>
  <si>
    <t>AndreaSnyder</t>
  </si>
  <si>
    <t>Dr.MarcyMostel</t>
  </si>
  <si>
    <t>E0195483</t>
  </si>
  <si>
    <t>MOSTEL MARCY E             MD</t>
  </si>
  <si>
    <t>MOSTEL MARCY</t>
  </si>
  <si>
    <t>MOSTEL MARCY E</t>
  </si>
  <si>
    <t>5926 LITTLE NECK PKWY</t>
  </si>
  <si>
    <t>LITTLENECK</t>
  </si>
  <si>
    <t>Dr.HlaTun</t>
  </si>
  <si>
    <t>E0057559</t>
  </si>
  <si>
    <t>TUN HLA   MD</t>
  </si>
  <si>
    <t>TUN HLA</t>
  </si>
  <si>
    <t>SJR MED PC</t>
  </si>
  <si>
    <t>Dr.JohnHammer,MD</t>
  </si>
  <si>
    <t>Jhammer@atonementfriars.org</t>
  </si>
  <si>
    <t>Dr.TimothyRowe,MD</t>
  </si>
  <si>
    <t>Trowe@atonementfriars.org</t>
  </si>
  <si>
    <t>CHRISTOPHERRANDOLPH</t>
  </si>
  <si>
    <t>E0299689</t>
  </si>
  <si>
    <t>RANDOLPH CHRISTOPHER STEPHENS MD</t>
  </si>
  <si>
    <t>ONAJEMUID</t>
  </si>
  <si>
    <t>(212) 281-6004</t>
  </si>
  <si>
    <t>omuid@realityhouseny.org</t>
  </si>
  <si>
    <t>RANDOLPH CHRISTOPHER DR.</t>
  </si>
  <si>
    <t>50 JAY ST</t>
  </si>
  <si>
    <t>JihanGuerrero</t>
  </si>
  <si>
    <t>SalellaC.Raja</t>
  </si>
  <si>
    <t>1650GrandConcourse</t>
  </si>
  <si>
    <t>NormaDavis</t>
  </si>
  <si>
    <t>RolandoChumaceiro</t>
  </si>
  <si>
    <t>MahdiAbdullah</t>
  </si>
  <si>
    <t>AlanBasso</t>
  </si>
  <si>
    <t>JoseT.Bonoan</t>
  </si>
  <si>
    <t>VaidyNishant</t>
  </si>
  <si>
    <t>(718) 822-2138</t>
  </si>
  <si>
    <t>vaidy282@yahoo.com</t>
  </si>
  <si>
    <t>ValericeStania</t>
  </si>
  <si>
    <t>(786) 216-3448</t>
  </si>
  <si>
    <t>svalerice@ipc-hub.com</t>
  </si>
  <si>
    <t>VolfsonAlexander</t>
  </si>
  <si>
    <t>(646) 773-5142</t>
  </si>
  <si>
    <t>WeissbartClyde</t>
  </si>
  <si>
    <t>cweissbart@ipc-hub.com</t>
  </si>
  <si>
    <t>WinzelbergJay</t>
  </si>
  <si>
    <t>(718) 544-6650</t>
  </si>
  <si>
    <t>yehudawinzelberg@gmail.com</t>
  </si>
  <si>
    <t>WolfsonMitchell</t>
  </si>
  <si>
    <t>mwolfson@ipc-hub.com</t>
  </si>
  <si>
    <t>KarenPhilips</t>
  </si>
  <si>
    <t>E0317141</t>
  </si>
  <si>
    <t>ADERHOLDT KAREN</t>
  </si>
  <si>
    <t>PHILLIPS KAREN</t>
  </si>
  <si>
    <t>SHARONPATRICK</t>
  </si>
  <si>
    <t>Rosas-Garcia,Gabriela</t>
  </si>
  <si>
    <t>Sahansra,Sukhminder</t>
  </si>
  <si>
    <t>Seeriram-Saine,Savita</t>
  </si>
  <si>
    <t>Spinner,Ruth</t>
  </si>
  <si>
    <t>EliotSchuster</t>
  </si>
  <si>
    <t>E0103036</t>
  </si>
  <si>
    <t>ELIOT P SCHUSTER MD PC</t>
  </si>
  <si>
    <t>SCHUSTER ELIOT</t>
  </si>
  <si>
    <t>SCHUSTER ELIOT P</t>
  </si>
  <si>
    <t>NatalyaKozlova</t>
  </si>
  <si>
    <t>E0101847</t>
  </si>
  <si>
    <t>KOZLOV NATALYA</t>
  </si>
  <si>
    <t>KevinWright</t>
  </si>
  <si>
    <t>E0291883</t>
  </si>
  <si>
    <t>WRIGHT KEVIN</t>
  </si>
  <si>
    <t>WRIGHT KEVIN EARL MD</t>
  </si>
  <si>
    <t>RuthButler</t>
  </si>
  <si>
    <t>BUTLER RUTH</t>
  </si>
  <si>
    <t>EleonoraMezheritsky</t>
  </si>
  <si>
    <t>E0101390</t>
  </si>
  <si>
    <t>MEZHERITSKY ELEONORA MD</t>
  </si>
  <si>
    <t>MEZHERITSKY ELEONORA</t>
  </si>
  <si>
    <t>65-70 MYRTLE AVE</t>
  </si>
  <si>
    <t>AlanSaber</t>
  </si>
  <si>
    <t>E0338838</t>
  </si>
  <si>
    <t>SABER ALEN</t>
  </si>
  <si>
    <t>SABER ALAN</t>
  </si>
  <si>
    <t>SABER ALAN A</t>
  </si>
  <si>
    <t>240 WILLOUGHBY ST STE 8F</t>
  </si>
  <si>
    <t>MumtazJahan</t>
  </si>
  <si>
    <t>RoselyneChery</t>
  </si>
  <si>
    <t>E0069046</t>
  </si>
  <si>
    <t>CHERY ROSELYNE</t>
  </si>
  <si>
    <t>CarolDumlao</t>
  </si>
  <si>
    <t>E0427388</t>
  </si>
  <si>
    <t>DUMALO CAROL</t>
  </si>
  <si>
    <t>DUMLAO CAROL MRS.</t>
  </si>
  <si>
    <t>121 DEKALB AVE NICU</t>
  </si>
  <si>
    <t>E0361760</t>
  </si>
  <si>
    <t>ALVAREZ-DOWNING MELISSA MARIE</t>
  </si>
  <si>
    <t>MelissaAlvarez-Downing</t>
  </si>
  <si>
    <t>ALVAREZ-DOWNING MELISSA DR.</t>
  </si>
  <si>
    <t>1111 AMSTERDAM AVE STE 4W</t>
  </si>
  <si>
    <t>E0339975</t>
  </si>
  <si>
    <t>HARRINGTON MATTHEW</t>
  </si>
  <si>
    <t>MatthewHarrington</t>
  </si>
  <si>
    <t>HARRINGTON MATTHEW DAVID</t>
  </si>
  <si>
    <t>1ST AVENUE AT 16TH ST</t>
  </si>
  <si>
    <t>E0362847</t>
  </si>
  <si>
    <t>HE CHEN</t>
  </si>
  <si>
    <t>ChenHe</t>
  </si>
  <si>
    <t>SaraTsantes</t>
  </si>
  <si>
    <t>TSANTES SARA</t>
  </si>
  <si>
    <t>1090 AMSTERDAM AVE, SUITE 10A</t>
  </si>
  <si>
    <t>E0344431</t>
  </si>
  <si>
    <t>ENSCHEDE ELIZABETH BRIGHTSTAR</t>
  </si>
  <si>
    <t>ElizabethEnschede</t>
  </si>
  <si>
    <t>ENSCHEDE ELIZABETH DR.</t>
  </si>
  <si>
    <t>135 N 7TH ST</t>
  </si>
  <si>
    <t>E0298914</t>
  </si>
  <si>
    <t>FALK MICHAEL</t>
  </si>
  <si>
    <t>MichaelFalk</t>
  </si>
  <si>
    <t>FALK MICHAEL DR.</t>
  </si>
  <si>
    <t>FALK MICHAEL JAMES</t>
  </si>
  <si>
    <t>451 CLARKSON AVENUE</t>
  </si>
  <si>
    <t>AlexaCruz</t>
  </si>
  <si>
    <t>CRUZ ALEXA</t>
  </si>
  <si>
    <t>E0020053</t>
  </si>
  <si>
    <t>LAU CHRISTOPHER YU-YEN MD</t>
  </si>
  <si>
    <t>CHRISTOPHERLAU</t>
  </si>
  <si>
    <t>LAU CHRISTOPHER</t>
  </si>
  <si>
    <t>E0363622</t>
  </si>
  <si>
    <t>RICHARDS ANTHONY IRVING</t>
  </si>
  <si>
    <t>ANTHONYRICHARDS</t>
  </si>
  <si>
    <t>RICHARDS ANTHONY DR.</t>
  </si>
  <si>
    <t>1000 10TH AVE # 2T</t>
  </si>
  <si>
    <t>E0071926</t>
  </si>
  <si>
    <t>STRATTON JENNIFER BRITT MD</t>
  </si>
  <si>
    <t>JENNIFERSTRATTON</t>
  </si>
  <si>
    <t>MALAMAS JENNIFER</t>
  </si>
  <si>
    <t>RodikaKump</t>
  </si>
  <si>
    <t>JoseLantin</t>
  </si>
  <si>
    <t>VanessaMartiny</t>
  </si>
  <si>
    <t>BrijeshMalkani</t>
  </si>
  <si>
    <t>LaurenceMiller</t>
  </si>
  <si>
    <t>1053SawMillRiverRd</t>
  </si>
  <si>
    <t>Ardsley</t>
  </si>
  <si>
    <t>AnandV.Patel-License#0195741</t>
  </si>
  <si>
    <t>NiravPatel</t>
  </si>
  <si>
    <t>E0000767</t>
  </si>
  <si>
    <t>SANJAY R KEDHAR MD</t>
  </si>
  <si>
    <t>SANJAYKEDHAR</t>
  </si>
  <si>
    <t>KEDHAR SANJAY DR.</t>
  </si>
  <si>
    <t>KEDHAR SANJAY RAMKKISHNA MD</t>
  </si>
  <si>
    <t>E0123093</t>
  </si>
  <si>
    <t>NEZHAT FARR R MD</t>
  </si>
  <si>
    <t>FARRNEZHAT</t>
  </si>
  <si>
    <t>NEZHAT FARR DR.</t>
  </si>
  <si>
    <t>E0036938</t>
  </si>
  <si>
    <t>COHEN ADAM B MD</t>
  </si>
  <si>
    <t>ADAMCOHEN</t>
  </si>
  <si>
    <t>COHEN ADAM</t>
  </si>
  <si>
    <t>E0419185</t>
  </si>
  <si>
    <t>MOULTON-LEVY NATALIE</t>
  </si>
  <si>
    <t>NatalieMoulton-Levy</t>
  </si>
  <si>
    <t>245 5TH AVE FL 2</t>
  </si>
  <si>
    <t>E0345731</t>
  </si>
  <si>
    <t>GOULD SARA J</t>
  </si>
  <si>
    <t>SaraGould</t>
  </si>
  <si>
    <t>GOULD SARA DR.</t>
  </si>
  <si>
    <t>E0024821</t>
  </si>
  <si>
    <t>CASKEY MARINA FERNANDES DE BARROS</t>
  </si>
  <si>
    <t>MarinaCaskey</t>
  </si>
  <si>
    <t>CASKEY MARINA</t>
  </si>
  <si>
    <t>450 E 69TH ST</t>
  </si>
  <si>
    <t>E0205618</t>
  </si>
  <si>
    <t>TUCCI JAMES JOHN</t>
  </si>
  <si>
    <t>JamesTucci</t>
  </si>
  <si>
    <t>TUCCI JAMES DR.</t>
  </si>
  <si>
    <t>BROOKDALE HSP MC</t>
  </si>
  <si>
    <t>E0031441</t>
  </si>
  <si>
    <t>VAIDYA SWAPNA X MD</t>
  </si>
  <si>
    <t>SwapnaVaidya</t>
  </si>
  <si>
    <t>VAIDYA SWAPNA DR.</t>
  </si>
  <si>
    <t>E0291471</t>
  </si>
  <si>
    <t>MAILLOUX LYNN MARIE</t>
  </si>
  <si>
    <t>LynnMailloux</t>
  </si>
  <si>
    <t>MAILLOUX LYNN DR.</t>
  </si>
  <si>
    <t>226 W 14TH ST</t>
  </si>
  <si>
    <t>E0419053</t>
  </si>
  <si>
    <t>PERSKY ADAM DAVID</t>
  </si>
  <si>
    <t>AdamPersky</t>
  </si>
  <si>
    <t>PERSKY ADAM DR.</t>
  </si>
  <si>
    <t>Martin,Melissa</t>
  </si>
  <si>
    <t>Mathew,Shiny</t>
  </si>
  <si>
    <t>Reyes-Archangel,Fe</t>
  </si>
  <si>
    <t>Ren-BangJan</t>
  </si>
  <si>
    <t>E0233532</t>
  </si>
  <si>
    <t>JAN REN BANG               MD</t>
  </si>
  <si>
    <t>JAN REN-BANG</t>
  </si>
  <si>
    <t>334 MYRTLE AVE</t>
  </si>
  <si>
    <t>StuartGreen</t>
  </si>
  <si>
    <t>E0210430</t>
  </si>
  <si>
    <t>GREEN STUART</t>
  </si>
  <si>
    <t>GREEN STUART DR.</t>
  </si>
  <si>
    <t>FrederickStaton</t>
  </si>
  <si>
    <t>E0242954</t>
  </si>
  <si>
    <t>STATON FREDERICK           MD</t>
  </si>
  <si>
    <t>STATON FREDERICK</t>
  </si>
  <si>
    <t>196 MAPLE ST</t>
  </si>
  <si>
    <t>In-sukSeo</t>
  </si>
  <si>
    <t>E0199091</t>
  </si>
  <si>
    <t>SEO IN SUK                 MD</t>
  </si>
  <si>
    <t>SEO IN</t>
  </si>
  <si>
    <t>LeonardBerkowitz</t>
  </si>
  <si>
    <t>E0220949</t>
  </si>
  <si>
    <t>BERKOWITZ LEONARD BRUCE</t>
  </si>
  <si>
    <t>BERKOWITZ LEONARD</t>
  </si>
  <si>
    <t>AinsleyPennant</t>
  </si>
  <si>
    <t>E0240354</t>
  </si>
  <si>
    <t>PENNANT AINSLEY            MD</t>
  </si>
  <si>
    <t>PENNANT AINSLEY MR.</t>
  </si>
  <si>
    <t>PENNANT AINSLEY</t>
  </si>
  <si>
    <t>IraTyler</t>
  </si>
  <si>
    <t>ErrolMallett</t>
  </si>
  <si>
    <t>E0214928</t>
  </si>
  <si>
    <t>MALLETT ERROL              MD</t>
  </si>
  <si>
    <t>MALLETT ERROLL DR.</t>
  </si>
  <si>
    <t>BelenFineza</t>
  </si>
  <si>
    <t>E0232741</t>
  </si>
  <si>
    <t>FINEZA BELEN A             MD</t>
  </si>
  <si>
    <t>FINEZA BELEN</t>
  </si>
  <si>
    <t>ShaneKing</t>
  </si>
  <si>
    <t>EanLischin-Smith</t>
  </si>
  <si>
    <t>(347) 913-2970</t>
  </si>
  <si>
    <t>Ean.Lischin-Smith@nyfoundling.org</t>
  </si>
  <si>
    <t>590 AVE OF THE AMERICAS, 590 AVE OF THE AMERICAS</t>
  </si>
  <si>
    <t>DashaKouzenetsova</t>
  </si>
  <si>
    <t>KOUZNETSOVA DASHA</t>
  </si>
  <si>
    <t>590 AVE OF THE AMERICAS, 11TH FLOOR</t>
  </si>
  <si>
    <t>JulieShoup</t>
  </si>
  <si>
    <t>SHOUP JULIE</t>
  </si>
  <si>
    <t>200 IKE DR</t>
  </si>
  <si>
    <t>MAKAWAO</t>
  </si>
  <si>
    <t>TanyaSimone</t>
  </si>
  <si>
    <t>SIMONE TANYA MRS.</t>
  </si>
  <si>
    <t>590 AVE OF THE AMERICAS</t>
  </si>
  <si>
    <t>E0115036</t>
  </si>
  <si>
    <t>ROSALES ROWENA CONCEPCION G M</t>
  </si>
  <si>
    <t>ROWENAROSALES</t>
  </si>
  <si>
    <t>ROSALES ROWENA</t>
  </si>
  <si>
    <t>ROSALES ROWENA CONCEPCION GUEVARRA</t>
  </si>
  <si>
    <t>E0206157</t>
  </si>
  <si>
    <t>NOVACK HENRY FREDERICK     MD</t>
  </si>
  <si>
    <t>HENRYNOVACK</t>
  </si>
  <si>
    <t>NOVACK HENRY DR.</t>
  </si>
  <si>
    <t>SLRH OUTPATIENT CLIN</t>
  </si>
  <si>
    <t>E0039914</t>
  </si>
  <si>
    <t>WASSERMANN JONATHAN S MD</t>
  </si>
  <si>
    <t>JONATHANWASSERMANN</t>
  </si>
  <si>
    <t>WASSERMANN JONATHAN</t>
  </si>
  <si>
    <t>EMERGENCY SVCS</t>
  </si>
  <si>
    <t>E0066711</t>
  </si>
  <si>
    <t>TSAI GREGORY P MD</t>
  </si>
  <si>
    <t>GREGORYTSAI</t>
  </si>
  <si>
    <t>TSAI GREGORY DR.</t>
  </si>
  <si>
    <t>E0152756</t>
  </si>
  <si>
    <t>GIRARDI SAL A MD</t>
  </si>
  <si>
    <t>SALGIRARDI</t>
  </si>
  <si>
    <t>GIRARDI SAL</t>
  </si>
  <si>
    <t>NO ADDRESS</t>
  </si>
  <si>
    <t>SAME</t>
  </si>
  <si>
    <t>DanielLowy,LCSW</t>
  </si>
  <si>
    <t>LOWY DANIEL MR.</t>
  </si>
  <si>
    <t>BernardShownKadosh</t>
  </si>
  <si>
    <t>KADOSH BERNARD DR.</t>
  </si>
  <si>
    <t>MarkWKindschuh,MD</t>
  </si>
  <si>
    <t>BRODSKY TAMARA</t>
  </si>
  <si>
    <t>FIRST AVENUE AT 16TH STREET, BETH ISRAEL MEDICAL CENTER 20 BAIRD HALL, ROOM 50</t>
  </si>
  <si>
    <t>AUFFANT CARABALLO KARINA</t>
  </si>
  <si>
    <t>E0437896</t>
  </si>
  <si>
    <t>SMITH BRANDON</t>
  </si>
  <si>
    <t>SMITH BRANDON ROBERT</t>
  </si>
  <si>
    <t>JanetKarpisz,NPP</t>
  </si>
  <si>
    <t>Jkarpisz@atonementfriars.org</t>
  </si>
  <si>
    <t>WilliamWeeks,FNP</t>
  </si>
  <si>
    <t>Bweeks@atonementfriars.org</t>
  </si>
  <si>
    <t>SolomonMiskin</t>
  </si>
  <si>
    <t>JoseGonzalez,LCSW</t>
  </si>
  <si>
    <t>YoletteLoiseau,LMSW</t>
  </si>
  <si>
    <t>DeborahGreene,MSW,CASAC</t>
  </si>
  <si>
    <t>CordellMaule</t>
  </si>
  <si>
    <t>E0383043</t>
  </si>
  <si>
    <t>MAULE CORDELL LAFERNE</t>
  </si>
  <si>
    <t>MAULE CORDELL</t>
  </si>
  <si>
    <t>E0397920</t>
  </si>
  <si>
    <t>HERMOS JULIA EVELYN</t>
  </si>
  <si>
    <t>JuliaHermos</t>
  </si>
  <si>
    <t>HERMOS JULIA</t>
  </si>
  <si>
    <t>52 W 8TH ST</t>
  </si>
  <si>
    <t>SarojaSinga</t>
  </si>
  <si>
    <t>E0206823</t>
  </si>
  <si>
    <t>SINGA SAROJA K</t>
  </si>
  <si>
    <t>(718) 453-4484</t>
  </si>
  <si>
    <t>saroja.singa@oasas.ny.gov</t>
  </si>
  <si>
    <t>SINGA SAROJA</t>
  </si>
  <si>
    <t>YvelyneAbellard</t>
  </si>
  <si>
    <t>E0136461</t>
  </si>
  <si>
    <t>ABELLARD YVELYNE MD</t>
  </si>
  <si>
    <t>yabellard@bowencsc.org</t>
  </si>
  <si>
    <t>ABELLARD YVELYNE DR.</t>
  </si>
  <si>
    <t>E0004392</t>
  </si>
  <si>
    <t>GOTTLOCK ROBBINS L</t>
  </si>
  <si>
    <t>ROBBINSGOTTLOCK</t>
  </si>
  <si>
    <t>GOTTLOCK ROBBINS DR.</t>
  </si>
  <si>
    <t>GOTTLOCK ROBBINS L MD</t>
  </si>
  <si>
    <t>202 W 23RD ST</t>
  </si>
  <si>
    <t>E0003508</t>
  </si>
  <si>
    <t>FILIP TELLER</t>
  </si>
  <si>
    <t>FILIPTELLER</t>
  </si>
  <si>
    <t>TELLER FILIP DR.</t>
  </si>
  <si>
    <t>TELLER FILIP MD</t>
  </si>
  <si>
    <t>E0152762</t>
  </si>
  <si>
    <t>KLAHR DAVID M MD</t>
  </si>
  <si>
    <t>DAVIDKLAHR</t>
  </si>
  <si>
    <t>KLAHR DAVID DR.</t>
  </si>
  <si>
    <t>ROOSEVELT HSP CTR</t>
  </si>
  <si>
    <t>NeeraAhuja</t>
  </si>
  <si>
    <t>E0232470</t>
  </si>
  <si>
    <t>AHUJA NEERA MD             PC</t>
  </si>
  <si>
    <t>AHUJA NEERA</t>
  </si>
  <si>
    <t>830 MARCY AVE</t>
  </si>
  <si>
    <t>KhalidHassan</t>
  </si>
  <si>
    <t>E0218549</t>
  </si>
  <si>
    <t>HASSAN KHALID KAMAL</t>
  </si>
  <si>
    <t>HASSAN KHALID</t>
  </si>
  <si>
    <t>9520 SEAVIEW AVE</t>
  </si>
  <si>
    <t>BuddhadevManvar</t>
  </si>
  <si>
    <t>E0228742</t>
  </si>
  <si>
    <t>MANVAR BUDDHADEV NATHABHAI MD</t>
  </si>
  <si>
    <t>MANVAR BUDDHADEV</t>
  </si>
  <si>
    <t>8622 85TH ST</t>
  </si>
  <si>
    <t>KumarpalShah</t>
  </si>
  <si>
    <t>E0222667</t>
  </si>
  <si>
    <t>SHAH KUMARPAL A            MD</t>
  </si>
  <si>
    <t>SHAH KUMARPAL</t>
  </si>
  <si>
    <t>STE 1414</t>
  </si>
  <si>
    <t>HenryFerstenberg</t>
  </si>
  <si>
    <t>E0223006</t>
  </si>
  <si>
    <t>FERSTENBERG HENRY MD</t>
  </si>
  <si>
    <t>FERSTENBERG HENRY DR.</t>
  </si>
  <si>
    <t>328 E 18TH ST</t>
  </si>
  <si>
    <t>SureshJoshi</t>
  </si>
  <si>
    <t>E0210007</t>
  </si>
  <si>
    <t>JOSHI SURESH K             MD</t>
  </si>
  <si>
    <t>JOSHI SURESH</t>
  </si>
  <si>
    <t>170 MYRTLE AVE</t>
  </si>
  <si>
    <t>SaimambaVeeramachaneni</t>
  </si>
  <si>
    <t>E0227975</t>
  </si>
  <si>
    <t>VEERAMACHANENI SAIMAMBA    MD</t>
  </si>
  <si>
    <t>VEERAMACHANENI SAIMAMBA MRS.</t>
  </si>
  <si>
    <t>VEERAMACHANENI SAIMAMBA</t>
  </si>
  <si>
    <t>SirishaTikko</t>
  </si>
  <si>
    <t>E0197275</t>
  </si>
  <si>
    <t>TIKKO SIRISHA RANI         MD</t>
  </si>
  <si>
    <t>TIKKO SIRISHA</t>
  </si>
  <si>
    <t>B I REHAB MED ASSOCI</t>
  </si>
  <si>
    <t>BabuJasty</t>
  </si>
  <si>
    <t>E0241703</t>
  </si>
  <si>
    <t>JASTY BABU N               MD</t>
  </si>
  <si>
    <t>JASTY BABU</t>
  </si>
  <si>
    <t>KINGSBRIDGE JEWISH</t>
  </si>
  <si>
    <t>CandaceErickson</t>
  </si>
  <si>
    <t>E0232462</t>
  </si>
  <si>
    <t>ERICKSON CANDACE J</t>
  </si>
  <si>
    <t>ERICKSON CANDACE DR.</t>
  </si>
  <si>
    <t>COLUMBIA PRESBYTERIA</t>
  </si>
  <si>
    <t>MohammedEl-Dakkak</t>
  </si>
  <si>
    <t>E0226676</t>
  </si>
  <si>
    <t>EL DAKKAK MOHAMMED SELIM   MD</t>
  </si>
  <si>
    <t>EL-DAKKAK MOHAMMED DR.</t>
  </si>
  <si>
    <t>247 3RD AVE</t>
  </si>
  <si>
    <t>PhilipGianelli,MD</t>
  </si>
  <si>
    <t>E0160651</t>
  </si>
  <si>
    <t>GIANELLI PHILIP A MD</t>
  </si>
  <si>
    <t>GIANELLI PHILIP DR.</t>
  </si>
  <si>
    <t>KevinArmington,MD</t>
  </si>
  <si>
    <t>NadegeCoupet,MD</t>
  </si>
  <si>
    <t>E0079836</t>
  </si>
  <si>
    <t>COUPET NADEGE MARIE MD</t>
  </si>
  <si>
    <t>COUPET NADEGE MS.</t>
  </si>
  <si>
    <t>9TH FLOOR</t>
  </si>
  <si>
    <t>DanielPaniagua,RPA</t>
  </si>
  <si>
    <t>E0334838</t>
  </si>
  <si>
    <t>PANIAGUA DANIEL OSCAR</t>
  </si>
  <si>
    <t>PANIAGUA DANIEL MR.</t>
  </si>
  <si>
    <t>E0342066</t>
  </si>
  <si>
    <t>RECKREY MARGARET JENNIFER</t>
  </si>
  <si>
    <t>JENNIFERRECKREY</t>
  </si>
  <si>
    <t>RECKREY JENNIFER</t>
  </si>
  <si>
    <t>E0256491</t>
  </si>
  <si>
    <t>COLT EDWARD W              MD</t>
  </si>
  <si>
    <t>EDWARDCOLT</t>
  </si>
  <si>
    <t>COLT EDWARD DR.</t>
  </si>
  <si>
    <t>E0123098</t>
  </si>
  <si>
    <t>KANOS JASON N MD</t>
  </si>
  <si>
    <t>JASONKANOS</t>
  </si>
  <si>
    <t>KANOS JASON</t>
  </si>
  <si>
    <t>OB/GYN SERVICES</t>
  </si>
  <si>
    <t>E0290203</t>
  </si>
  <si>
    <t>DIMITROVA KAMELLIA RANGELOVA MD</t>
  </si>
  <si>
    <t>KAMELLIADIMITROVA</t>
  </si>
  <si>
    <t>DIMITROVA KAMELLIA DR.</t>
  </si>
  <si>
    <t>E0034705</t>
  </si>
  <si>
    <t>GAVE ASAF ASI MD</t>
  </si>
  <si>
    <t>ASAFGAVE</t>
  </si>
  <si>
    <t>GAVE ASAF</t>
  </si>
  <si>
    <t>E0039931</t>
  </si>
  <si>
    <t>BALARAM SANDHYA K MD</t>
  </si>
  <si>
    <t>SANDHYABALARAM</t>
  </si>
  <si>
    <t>BALARAM SANDHYA</t>
  </si>
  <si>
    <t>E0114162</t>
  </si>
  <si>
    <t>MACK THERESA ADELE MD</t>
  </si>
  <si>
    <t>THERESAMACK</t>
  </si>
  <si>
    <t>MACK THERESA</t>
  </si>
  <si>
    <t>SAMUELS CTR</t>
  </si>
  <si>
    <t>PascalBoisette</t>
  </si>
  <si>
    <t>AndrewGlyptis</t>
  </si>
  <si>
    <t>(917) 653-3145</t>
  </si>
  <si>
    <t>aglyptis@chpnet.org</t>
  </si>
  <si>
    <t>GLYPTIS ANDREW DR.</t>
  </si>
  <si>
    <t>330 W 58 ST., STE. 413</t>
  </si>
  <si>
    <t>WalterRalph</t>
  </si>
  <si>
    <t>(718) 801-1792</t>
  </si>
  <si>
    <t>wralph@bronxleb.org</t>
  </si>
  <si>
    <t>E0120252</t>
  </si>
  <si>
    <t>GOULLER ALINA B MD</t>
  </si>
  <si>
    <t>ALINAGOULLER</t>
  </si>
  <si>
    <t>GOULLER ALINA</t>
  </si>
  <si>
    <t>E0206851</t>
  </si>
  <si>
    <t>ROBLES NARCISA BORJA       MD</t>
  </si>
  <si>
    <t>NARCISSAROBLES</t>
  </si>
  <si>
    <t>ROBLES NARCISSA</t>
  </si>
  <si>
    <t>2078 E 61ST ST</t>
  </si>
  <si>
    <t>E0313052</t>
  </si>
  <si>
    <t>MINTAH AFUA</t>
  </si>
  <si>
    <t>AFUAMINTAH</t>
  </si>
  <si>
    <t>E0321041</t>
  </si>
  <si>
    <t>KIM JUNG</t>
  </si>
  <si>
    <t>JUNGKIM</t>
  </si>
  <si>
    <t>E0277564</t>
  </si>
  <si>
    <t>HAVESON STEPHEN PC         MD</t>
  </si>
  <si>
    <t>STEPHENHAVESON</t>
  </si>
  <si>
    <t>HAVESON STEPHEN</t>
  </si>
  <si>
    <t>E0052919</t>
  </si>
  <si>
    <t>SULICA ROXANA MD</t>
  </si>
  <si>
    <t>ROXANASULICA</t>
  </si>
  <si>
    <t>SULICA ROXANA</t>
  </si>
  <si>
    <t>E0128608</t>
  </si>
  <si>
    <t>GANEA GHEORGHE ROMEO MD</t>
  </si>
  <si>
    <t>GHEORGHEGANEA</t>
  </si>
  <si>
    <t>GANEA GHEORGHE</t>
  </si>
  <si>
    <t>E0024771</t>
  </si>
  <si>
    <t>VAIL LUCIA PHD</t>
  </si>
  <si>
    <t>LUCIAVAIL</t>
  </si>
  <si>
    <t>VAIL LUCIA DR.</t>
  </si>
  <si>
    <t>VAIL LUCIA</t>
  </si>
  <si>
    <t>E0135694</t>
  </si>
  <si>
    <t>FISCHER HARRY D MD</t>
  </si>
  <si>
    <t>HARRYFISCHER</t>
  </si>
  <si>
    <t>FISCHER HARRY</t>
  </si>
  <si>
    <t>ARMANDOALORAN</t>
  </si>
  <si>
    <t>ALORAN ARMANDO DR.</t>
  </si>
  <si>
    <t>1000 10TH AVE, ROOSEVELT HOSPITAL NEUROSURGERY ICU 8A SOUTH</t>
  </si>
  <si>
    <t>E0202027</t>
  </si>
  <si>
    <t>LARSON CAROL TRACY         MD</t>
  </si>
  <si>
    <t>CAROLLARSON</t>
  </si>
  <si>
    <t>LARSON CAROL DR.</t>
  </si>
  <si>
    <t>LARSON CAROL TRACY</t>
  </si>
  <si>
    <t>E0171378</t>
  </si>
  <si>
    <t>BOVINO BRIAN F  DMD</t>
  </si>
  <si>
    <t>BRIANBOVINO</t>
  </si>
  <si>
    <t>BOVINO BRIAN DR.</t>
  </si>
  <si>
    <t>BOVINO BRIAN F</t>
  </si>
  <si>
    <t>SILVERMAN,JENNIFER</t>
  </si>
  <si>
    <t>SILVERMAN JENNIFER</t>
  </si>
  <si>
    <t>TRAN,RICHIE</t>
  </si>
  <si>
    <t>E0032465</t>
  </si>
  <si>
    <t>TRAN RICHIE TUAN Q MD</t>
  </si>
  <si>
    <t>TRAN TUAN RICHIE MR.</t>
  </si>
  <si>
    <t>E0043201</t>
  </si>
  <si>
    <t>PERRETTA TERESA MD</t>
  </si>
  <si>
    <t>TERESAPERRETTA</t>
  </si>
  <si>
    <t>PERRETTA TERESA</t>
  </si>
  <si>
    <t>E0277128</t>
  </si>
  <si>
    <t>DELLA ROCCA ROBERT C PC    MD</t>
  </si>
  <si>
    <t>ROBERTDELLAROCCA</t>
  </si>
  <si>
    <t>DELLA ROCCA ROBERT DR.</t>
  </si>
  <si>
    <t>2135 COLONIAL AVE</t>
  </si>
  <si>
    <t>E0192570</t>
  </si>
  <si>
    <t>SARA GABRIEL ALBERT MD</t>
  </si>
  <si>
    <t>GABRIELSARA</t>
  </si>
  <si>
    <t>SARA GABRIEL DR.</t>
  </si>
  <si>
    <t>428 WEST 59TH ST</t>
  </si>
  <si>
    <t>RalphBenzakein</t>
  </si>
  <si>
    <t>LaurieKranz</t>
  </si>
  <si>
    <t>KeishaMack</t>
  </si>
  <si>
    <t>EvangeliaRizos</t>
  </si>
  <si>
    <t>E0143705</t>
  </si>
  <si>
    <t>DELEO VINCENT A MD</t>
  </si>
  <si>
    <t>VINCENTDELEO</t>
  </si>
  <si>
    <t>DELEO VINCENT</t>
  </si>
  <si>
    <t>AllisonValeriano,OTR/L</t>
  </si>
  <si>
    <t>E0341013</t>
  </si>
  <si>
    <t>VALERIANO ALLISON MANALASTAS</t>
  </si>
  <si>
    <t>VALERIANO ALLISON</t>
  </si>
  <si>
    <t>MichelleIsrael-Maclin,L.C.S.W.</t>
  </si>
  <si>
    <t>E0341642</t>
  </si>
  <si>
    <t>ISRAEL-MACLIN MICHELLE SOPHIA</t>
  </si>
  <si>
    <t>ISRAEL-MACLIN MICHELLE</t>
  </si>
  <si>
    <t>LissetteAndramuno,OTR/L</t>
  </si>
  <si>
    <t>E0369380</t>
  </si>
  <si>
    <t>ANDRAMUNO LISSETTE</t>
  </si>
  <si>
    <t>AndrewFlicker,PT</t>
  </si>
  <si>
    <t>E0002523</t>
  </si>
  <si>
    <t>FLICKER ANDREW</t>
  </si>
  <si>
    <t>bouvin,rachel</t>
  </si>
  <si>
    <t>E0355000</t>
  </si>
  <si>
    <t>BOUVIN RACHEL PEARL</t>
  </si>
  <si>
    <t>BOUVIN RACHEL</t>
  </si>
  <si>
    <t>E0187361</t>
  </si>
  <si>
    <t>NABATIAN FARZAD MD</t>
  </si>
  <si>
    <t>FARZADNABATIAN</t>
  </si>
  <si>
    <t>NABATIAN FARZAD</t>
  </si>
  <si>
    <t>MS VICKY BELLO</t>
  </si>
  <si>
    <t>E0388598</t>
  </si>
  <si>
    <t>BARSA JONATHAN</t>
  </si>
  <si>
    <t>MR.JONATHANBARSA</t>
  </si>
  <si>
    <t>BARSA JONATHAN DR.</t>
  </si>
  <si>
    <t>BARSA JONATHAN EDWARD</t>
  </si>
  <si>
    <t>E0150632</t>
  </si>
  <si>
    <t>LEHR MARIJANE ANN</t>
  </si>
  <si>
    <t>MARIJANELEHR</t>
  </si>
  <si>
    <t>LEHR MARIJANE DR.</t>
  </si>
  <si>
    <t>312 E 94TH ST # 320</t>
  </si>
  <si>
    <t>E0040849</t>
  </si>
  <si>
    <t>CHAVEZ SILVIA</t>
  </si>
  <si>
    <t>MS.SILVIACHAVEZ</t>
  </si>
  <si>
    <t>CHAVEZ SILVIA MS.</t>
  </si>
  <si>
    <t>E0296256</t>
  </si>
  <si>
    <t>SHUST GAIL</t>
  </si>
  <si>
    <t>GAILSHUST</t>
  </si>
  <si>
    <t>SHUST GAIL FELICE MD</t>
  </si>
  <si>
    <t>PETERTESLER</t>
  </si>
  <si>
    <t>E0021163</t>
  </si>
  <si>
    <t>ALVARADO SANDRA</t>
  </si>
  <si>
    <t>SANDRAALVARADO</t>
  </si>
  <si>
    <t>1 GUSTAVE L LEVY PL # 1228</t>
  </si>
  <si>
    <t>JosephJ.Brill</t>
  </si>
  <si>
    <t>SangeetKhanna</t>
  </si>
  <si>
    <t>E0304921</t>
  </si>
  <si>
    <t>SANGEET KHANNA MD</t>
  </si>
  <si>
    <t>KHANNA SANGEET DR.</t>
  </si>
  <si>
    <t>KHANNA SANGEET MD</t>
  </si>
  <si>
    <t>240 WILLOUGHBY ST APT 8F</t>
  </si>
  <si>
    <t>MaximShulimovich</t>
  </si>
  <si>
    <t>E0352619</t>
  </si>
  <si>
    <t>SHULIMOVICH MAXIM</t>
  </si>
  <si>
    <t>121 DEKALB AVE STE 5D</t>
  </si>
  <si>
    <t>JunLevine</t>
  </si>
  <si>
    <t>E0338836</t>
  </si>
  <si>
    <t>LEVINE JUN</t>
  </si>
  <si>
    <t>LEVINE JUN DR.</t>
  </si>
  <si>
    <t>JohnCasarino</t>
  </si>
  <si>
    <t>E0278055</t>
  </si>
  <si>
    <t>CASARINO JOHN P</t>
  </si>
  <si>
    <t>(212) 873-1600</t>
  </si>
  <si>
    <t>jpcasarino@gmail.com</t>
  </si>
  <si>
    <t>CASARINO JOHN DR.</t>
  </si>
  <si>
    <t>1339 YORK AVE</t>
  </si>
  <si>
    <t>JeanneDevine</t>
  </si>
  <si>
    <t>(212) 851-8100</t>
  </si>
  <si>
    <t>jmdevine@optonline.net</t>
  </si>
  <si>
    <t>EllenBeyda</t>
  </si>
  <si>
    <t>E0059403</t>
  </si>
  <si>
    <t>BEYDA ELLEN MICHELLE  PHD</t>
  </si>
  <si>
    <t>kipbeyda@aol.com</t>
  </si>
  <si>
    <t>BEYDA ELLEN</t>
  </si>
  <si>
    <t>BEYDA ELLEN MICHELLE</t>
  </si>
  <si>
    <t>1745 BROADWAY 17TH FL</t>
  </si>
  <si>
    <t>AdelBatri</t>
  </si>
  <si>
    <t>E0259380</t>
  </si>
  <si>
    <t>BATRI ADEL MD</t>
  </si>
  <si>
    <t>(212) 674-1233</t>
  </si>
  <si>
    <t>adelanthony@aol.com</t>
  </si>
  <si>
    <t>BATRI ADEL DR.</t>
  </si>
  <si>
    <t>RM 204</t>
  </si>
  <si>
    <t>AdeleCavalli</t>
  </si>
  <si>
    <t>E0203089</t>
  </si>
  <si>
    <t>CAVALLI ADELE L            MD</t>
  </si>
  <si>
    <t>(212) 353-0008</t>
  </si>
  <si>
    <t>CAVALLI ADELE</t>
  </si>
  <si>
    <t>CAVALLI ADELE L MD</t>
  </si>
  <si>
    <t>E0171454</t>
  </si>
  <si>
    <t>BODENHEIMER HENRY C JR</t>
  </si>
  <si>
    <t>HENRYBODENHEIMER</t>
  </si>
  <si>
    <t>BODENHEIMER HENRY</t>
  </si>
  <si>
    <t>E0184800</t>
  </si>
  <si>
    <t>NEWMAN LAWRENCE CRAIG MD</t>
  </si>
  <si>
    <t>LAWRENCENEWMAN</t>
  </si>
  <si>
    <t>NEWMAN LAWRENCE DR.</t>
  </si>
  <si>
    <t>E0005903</t>
  </si>
  <si>
    <t>SKLIUT MARYNA MD</t>
  </si>
  <si>
    <t>MARYNASKLIUT</t>
  </si>
  <si>
    <t>SKLIUT MARYNA</t>
  </si>
  <si>
    <t>E0010235</t>
  </si>
  <si>
    <t>ROZENFELD MARIYA DO</t>
  </si>
  <si>
    <t>MARIYAROZENFELD</t>
  </si>
  <si>
    <t>ROZENFELD MARIYA</t>
  </si>
  <si>
    <t>E0311207</t>
  </si>
  <si>
    <t>PRIYANKA MITTAR</t>
  </si>
  <si>
    <t>PRIYANKAMITTAR</t>
  </si>
  <si>
    <t>MITTAR PRIYANKA DR.</t>
  </si>
  <si>
    <t>MITTAR PRIYANKA</t>
  </si>
  <si>
    <t>E0284757</t>
  </si>
  <si>
    <t>JONES JAMES PETER</t>
  </si>
  <si>
    <t>JAMESJONES</t>
  </si>
  <si>
    <t>JONES JAMES PETER MD</t>
  </si>
  <si>
    <t>NgoziOji</t>
  </si>
  <si>
    <t>E0118367</t>
  </si>
  <si>
    <t>OJI NGOZI AFIAZU MD</t>
  </si>
  <si>
    <t>OJI NGOZI</t>
  </si>
  <si>
    <t>EMERG PHYS HEMPSTEAD</t>
  </si>
  <si>
    <t>RosemaryDaniele</t>
  </si>
  <si>
    <t>E0103631</t>
  </si>
  <si>
    <t>DANIELE ROSEMARY ANN</t>
  </si>
  <si>
    <t>DANIELE ROSE MARY MS.</t>
  </si>
  <si>
    <t>MichelleClodomir</t>
  </si>
  <si>
    <t>E0407504</t>
  </si>
  <si>
    <t>CLODOMIR MICHELLE</t>
  </si>
  <si>
    <t>CLODOMIR MICHELLE Y</t>
  </si>
  <si>
    <t>E0180637</t>
  </si>
  <si>
    <t>LEHMAN DAVID A  MD</t>
  </si>
  <si>
    <t>DAVIDLEHMAN</t>
  </si>
  <si>
    <t>LEHMAN DAVID</t>
  </si>
  <si>
    <t>E0017040</t>
  </si>
  <si>
    <t>STEINBERG DANIEL I MD</t>
  </si>
  <si>
    <t>DANIELSTEINBERG</t>
  </si>
  <si>
    <t>STEINBERG DANIEL</t>
  </si>
  <si>
    <t>E0158138</t>
  </si>
  <si>
    <t>SCHWEITZER PAUL MD</t>
  </si>
  <si>
    <t>PAULSCHWEITZER</t>
  </si>
  <si>
    <t>SCHWEITZER PAUL</t>
  </si>
  <si>
    <t>E0152392</t>
  </si>
  <si>
    <t>KOLL BRIAN SETH MD</t>
  </si>
  <si>
    <t>BRIANKOLL</t>
  </si>
  <si>
    <t>KOLL BRIAN</t>
  </si>
  <si>
    <t>E0104130</t>
  </si>
  <si>
    <t>MATHIEU PAUL JOSEPH MD</t>
  </si>
  <si>
    <t>PAULMATHIEU</t>
  </si>
  <si>
    <t>MATHIEU PAUL DR.</t>
  </si>
  <si>
    <t>50 W 77TH ST</t>
  </si>
  <si>
    <t>E0047735</t>
  </si>
  <si>
    <t>LU HAIYAN</t>
  </si>
  <si>
    <t>HAIYANLU</t>
  </si>
  <si>
    <t>WEST SIDE PEDI ASSC</t>
  </si>
  <si>
    <t>E0051998</t>
  </si>
  <si>
    <t>COMI PAULA</t>
  </si>
  <si>
    <t>PAULACOMI</t>
  </si>
  <si>
    <t>E0306251</t>
  </si>
  <si>
    <t>DEBRA SHABAS MD</t>
  </si>
  <si>
    <t>DEBRASHABAS</t>
  </si>
  <si>
    <t>SHABAS DEBRA</t>
  </si>
  <si>
    <t>SHABAS DEBRA MD</t>
  </si>
  <si>
    <t>E0346770</t>
  </si>
  <si>
    <t>PARCHI DANA P</t>
  </si>
  <si>
    <t>DANAPARCHI</t>
  </si>
  <si>
    <t>PARCHI DANA DR.</t>
  </si>
  <si>
    <t>DR.JORDANAXELRAD</t>
  </si>
  <si>
    <t>AXELRAD JORDAN DR.</t>
  </si>
  <si>
    <t>E0140832</t>
  </si>
  <si>
    <t>SCHWARZ RICHARD M MD</t>
  </si>
  <si>
    <t>RICHARDSCHWARZ</t>
  </si>
  <si>
    <t>SCHWARZ RICHARD DR.</t>
  </si>
  <si>
    <t>EricStein,M.A.,CCC-SLP</t>
  </si>
  <si>
    <t>E0355863</t>
  </si>
  <si>
    <t>STEIN ERIC A</t>
  </si>
  <si>
    <t>STEIN ERIC</t>
  </si>
  <si>
    <t>FernandoReggianini,M.S.Ed.</t>
  </si>
  <si>
    <t>REGGIANINI FERNANDO</t>
  </si>
  <si>
    <t>PintauroRobert</t>
  </si>
  <si>
    <t>(718) 824-5525</t>
  </si>
  <si>
    <t>discovary1@aol.com</t>
  </si>
  <si>
    <t>RaitsesPauline</t>
  </si>
  <si>
    <t>praitses@ipc-hub.com</t>
  </si>
  <si>
    <t>E0067987</t>
  </si>
  <si>
    <t>LEWISS RESA MD</t>
  </si>
  <si>
    <t>RESALEWISS</t>
  </si>
  <si>
    <t>LEWISS RESA</t>
  </si>
  <si>
    <t>E0067916</t>
  </si>
  <si>
    <t>ZAHLER GIDEON J RPA</t>
  </si>
  <si>
    <t>GIDEONZAHLER</t>
  </si>
  <si>
    <t>ZAHLER GIDEON</t>
  </si>
  <si>
    <t>ZAHLER GIDEON J</t>
  </si>
  <si>
    <t>E0125967</t>
  </si>
  <si>
    <t>FIELDS JESSIE ALFREDA MD</t>
  </si>
  <si>
    <t>JESSIEFIELDS</t>
  </si>
  <si>
    <t>FIELDS JESSIE DR.</t>
  </si>
  <si>
    <t>E0125239</t>
  </si>
  <si>
    <t>GALYNKER IGOR I MD</t>
  </si>
  <si>
    <t>IGORGALYNKER</t>
  </si>
  <si>
    <t>GALYNKER IGOR</t>
  </si>
  <si>
    <t>E0026151</t>
  </si>
  <si>
    <t>WILENTZ SETH EDWARD MD</t>
  </si>
  <si>
    <t>SETHWILENTZ</t>
  </si>
  <si>
    <t>WILENTZ SETH</t>
  </si>
  <si>
    <t>SERIFEETI</t>
  </si>
  <si>
    <t>E0196636</t>
  </si>
  <si>
    <t>PALAZZO ANGELA M           MD</t>
  </si>
  <si>
    <t>ANGELAPALAZZO</t>
  </si>
  <si>
    <t>PALAZZO ANGELA DR.</t>
  </si>
  <si>
    <t>PALAZZO ANGELA M</t>
  </si>
  <si>
    <t>428 W 59</t>
  </si>
  <si>
    <t>NatachaBaron</t>
  </si>
  <si>
    <t>E0055991</t>
  </si>
  <si>
    <t>BARON NATACHA ADELE</t>
  </si>
  <si>
    <t>BARON NATACHA</t>
  </si>
  <si>
    <t>57 WILLOUGHBY ST LOWR LEVEL</t>
  </si>
  <si>
    <t>GinetteTheodore</t>
  </si>
  <si>
    <t>E0032965</t>
  </si>
  <si>
    <t>THEODORE GINETTE NP</t>
  </si>
  <si>
    <t>THEODORE GINETTE MRS.</t>
  </si>
  <si>
    <t>THEODORE GINETTE</t>
  </si>
  <si>
    <t>312 GREENWICH ST</t>
  </si>
  <si>
    <t>LeinaRodriguez</t>
  </si>
  <si>
    <t>RODRIGUEZ LEINA</t>
  </si>
  <si>
    <t>CatherineBoatwright</t>
  </si>
  <si>
    <t>BOATWRIGHT CATHERINE</t>
  </si>
  <si>
    <t>MelissaRamirez</t>
  </si>
  <si>
    <t>RAMIREZ MELISSA MS.</t>
  </si>
  <si>
    <t>590 AVENUE OF AMERICAS, 11TH FLOOR</t>
  </si>
  <si>
    <t>SarahEdelman</t>
  </si>
  <si>
    <t>EDELMAN SARAH</t>
  </si>
  <si>
    <t>590 AVENUE OF THE AMERICAS FL 11</t>
  </si>
  <si>
    <t>LatashaFermin</t>
  </si>
  <si>
    <t>FERMIN LATASHA</t>
  </si>
  <si>
    <t>590 6TH AVE, 11TH FL</t>
  </si>
  <si>
    <t>GeorgeJhagroo</t>
  </si>
  <si>
    <t>E0229098</t>
  </si>
  <si>
    <t>JHAGROO VISHNUDATT         MD</t>
  </si>
  <si>
    <t>JHAGROO GEORGE DR.</t>
  </si>
  <si>
    <t>THE BROOKLYN HOSPT</t>
  </si>
  <si>
    <t>E0054313</t>
  </si>
  <si>
    <t>LUNG EDWARD MD</t>
  </si>
  <si>
    <t>EDWARDLUNG</t>
  </si>
  <si>
    <t>LUNG EDWARD DR.</t>
  </si>
  <si>
    <t>E0269119</t>
  </si>
  <si>
    <t>DIGIACINTO GEORGE V        MD</t>
  </si>
  <si>
    <t>GEORGEDIGIACINTO</t>
  </si>
  <si>
    <t>DIGIACINTO GEORGE</t>
  </si>
  <si>
    <t>HARLEM SURG PRAC</t>
  </si>
  <si>
    <t>E0008873</t>
  </si>
  <si>
    <t>GORDIN STELLA</t>
  </si>
  <si>
    <t>STELLAGORDIN</t>
  </si>
  <si>
    <t>GORDIN STELLA DR.</t>
  </si>
  <si>
    <t>E0296467</t>
  </si>
  <si>
    <t>SENKLER CAROL ELIZABETH</t>
  </si>
  <si>
    <t>CAROLSENKLER</t>
  </si>
  <si>
    <t>SENKLER CAROL</t>
  </si>
  <si>
    <t>E0033432</t>
  </si>
  <si>
    <t>BRADLEY KATRINA MD</t>
  </si>
  <si>
    <t>KATRINABRADLEY</t>
  </si>
  <si>
    <t>BRADLEY KATRINA</t>
  </si>
  <si>
    <t>330 W 58TH ST</t>
  </si>
  <si>
    <t>E0042810</t>
  </si>
  <si>
    <t>SHAH SOVRIN M MD</t>
  </si>
  <si>
    <t>SOVRINSHAH</t>
  </si>
  <si>
    <t>SHAH SOVRIN</t>
  </si>
  <si>
    <t>E0045195</t>
  </si>
  <si>
    <t>FINKIELSTEIN DENNIS MD</t>
  </si>
  <si>
    <t>DENNISFINKIELSTEIN</t>
  </si>
  <si>
    <t>FINKIELSTEIN DENNIS</t>
  </si>
  <si>
    <t>FRNT 2A</t>
  </si>
  <si>
    <t>E0100304</t>
  </si>
  <si>
    <t>CHUEY JOHN MD</t>
  </si>
  <si>
    <t>JOHNCHUEY</t>
  </si>
  <si>
    <t>CHUEY JOHN</t>
  </si>
  <si>
    <t>KellyG.Davey,FNP</t>
  </si>
  <si>
    <t>E0343871</t>
  </si>
  <si>
    <t>DAVEY KELLY G</t>
  </si>
  <si>
    <t>JessicaRamos</t>
  </si>
  <si>
    <t>(212) 227-8401</t>
  </si>
  <si>
    <t>jramos@betances.org</t>
  </si>
  <si>
    <t>DAVEY KELLY</t>
  </si>
  <si>
    <t>BinaBerkovich,PA</t>
  </si>
  <si>
    <t>E0339022</t>
  </si>
  <si>
    <t>BERKOVICH BINA</t>
  </si>
  <si>
    <t>StephanieBussmann,CNW</t>
  </si>
  <si>
    <t>E0373324</t>
  </si>
  <si>
    <t>STEPHANIE BUSSMANN</t>
  </si>
  <si>
    <t>BUSSMANN STEPHANIE</t>
  </si>
  <si>
    <t>BUSSMANN STEPHANIE MARIE</t>
  </si>
  <si>
    <t>KaleenBoyd</t>
  </si>
  <si>
    <t>E0355162</t>
  </si>
  <si>
    <t>BOYD KALEEN M</t>
  </si>
  <si>
    <t>BOYD KALEEN MISS</t>
  </si>
  <si>
    <t>2640 PITKIN AVE FL 1</t>
  </si>
  <si>
    <t>JessicaPacannuayan</t>
  </si>
  <si>
    <t>E0362882</t>
  </si>
  <si>
    <t>PACANNUAYAN JESSICA S</t>
  </si>
  <si>
    <t>PACANNUAYAN JESSICA</t>
  </si>
  <si>
    <t>PACANNUAYAN JESSICA SANTOS</t>
  </si>
  <si>
    <t>80 BROAD ST FL 15</t>
  </si>
  <si>
    <t>JohannaMaggio</t>
  </si>
  <si>
    <t>SoniaSanchez</t>
  </si>
  <si>
    <t>ShilipiAhluwalia</t>
  </si>
  <si>
    <t>AndrewChase,M.A.</t>
  </si>
  <si>
    <t>CHASE ANDREW</t>
  </si>
  <si>
    <t>8115 164TH ST</t>
  </si>
  <si>
    <t>Irisvarela,L.M.S.W.</t>
  </si>
  <si>
    <t>VARELA IRIS</t>
  </si>
  <si>
    <t>KimberlyPhillips,M.S.Ed.</t>
  </si>
  <si>
    <t>PHILLIPS KIMBERLY</t>
  </si>
  <si>
    <t>LarissaGomes,OTR/L</t>
  </si>
  <si>
    <t>E0375555</t>
  </si>
  <si>
    <t>GOMES LARISSA BELTRAO</t>
  </si>
  <si>
    <t>GOMES LARISSA MRS.</t>
  </si>
  <si>
    <t>AmandaRaeTalerico</t>
  </si>
  <si>
    <t>E0370653</t>
  </si>
  <si>
    <t>TALERICO AMANDA RAE</t>
  </si>
  <si>
    <t>EricaFeder</t>
  </si>
  <si>
    <t>E0312036</t>
  </si>
  <si>
    <t>FEDER ERICA</t>
  </si>
  <si>
    <t>FEDER ERICA CORRIN</t>
  </si>
  <si>
    <t>MyriamJoseph</t>
  </si>
  <si>
    <t>IfeomaOkpaleke</t>
  </si>
  <si>
    <t>E0377036</t>
  </si>
  <si>
    <t>OKPALEKE IFEOMA BRENDA</t>
  </si>
  <si>
    <t>OKPALEKE IFEOMA</t>
  </si>
  <si>
    <t>LauraJeanRidge</t>
  </si>
  <si>
    <t>E0346340</t>
  </si>
  <si>
    <t>LAURA JEAN RIDGE</t>
  </si>
  <si>
    <t>RIDGE LAURA MS.</t>
  </si>
  <si>
    <t>RIDGE LAURA JEAN</t>
  </si>
  <si>
    <t>36 W 9TH ST APT 5</t>
  </si>
  <si>
    <t>RichardGomez,Ph.D.</t>
  </si>
  <si>
    <t>E0038753</t>
  </si>
  <si>
    <t>GOMEZ RICHARD</t>
  </si>
  <si>
    <t>BrendaLopez</t>
  </si>
  <si>
    <t>LOPEZ BRENDA</t>
  </si>
  <si>
    <t>BridgetMiddleton</t>
  </si>
  <si>
    <t>MIDDLETON BRIDGET MS.</t>
  </si>
  <si>
    <t>EquarmVanager</t>
  </si>
  <si>
    <t>VANAGER EQUARM</t>
  </si>
  <si>
    <t>590 6TH AVE FL 10</t>
  </si>
  <si>
    <t>SoniaDesikan</t>
  </si>
  <si>
    <t>E0323180</t>
  </si>
  <si>
    <t>DESIKAN SONIA</t>
  </si>
  <si>
    <t>DESIKAN SONIA DR.</t>
  </si>
  <si>
    <t>ShirazSandhu</t>
  </si>
  <si>
    <t>E0330683</t>
  </si>
  <si>
    <t>SANDHU SHIRAZ M</t>
  </si>
  <si>
    <t>SANDHU SHIRAZ DR.</t>
  </si>
  <si>
    <t>894 EASTERN PKWY</t>
  </si>
  <si>
    <t>DavidSchaner</t>
  </si>
  <si>
    <t>E0309226</t>
  </si>
  <si>
    <t>DAVID G SCHANER MD</t>
  </si>
  <si>
    <t>SCHANER DAVID DR.</t>
  </si>
  <si>
    <t>SCHANER DAVID G MD</t>
  </si>
  <si>
    <t>ChristopherChang</t>
  </si>
  <si>
    <t>E0005047</t>
  </si>
  <si>
    <t>CHRISTOPHER CHANG MD</t>
  </si>
  <si>
    <t>CHANG CHRISTOPHER DR.</t>
  </si>
  <si>
    <t>CHANG CHRISTOPHER MD</t>
  </si>
  <si>
    <t>NatashaFievre</t>
  </si>
  <si>
    <t>E0284626</t>
  </si>
  <si>
    <t>FIEVRE NATASHA</t>
  </si>
  <si>
    <t>FairouzHasselmark</t>
  </si>
  <si>
    <t>E0339939</t>
  </si>
  <si>
    <t>HASSELMARK FAIROUZ</t>
  </si>
  <si>
    <t>HASSELMARK FAIROUZ DR.</t>
  </si>
  <si>
    <t>HASSELMARK FAIROUZ NOURI</t>
  </si>
  <si>
    <t>MatthewBurt</t>
  </si>
  <si>
    <t>E0309057</t>
  </si>
  <si>
    <t>BURT MATTHEW LAWRENCE MD</t>
  </si>
  <si>
    <t>BURT MATTHEW</t>
  </si>
  <si>
    <t>BURT MATTHEW LAWRENCE</t>
  </si>
  <si>
    <t>E0107507</t>
  </si>
  <si>
    <t>GRIN MICHAEL S MD</t>
  </si>
  <si>
    <t>MICHAELGRIN</t>
  </si>
  <si>
    <t>GRIN MICHAEL</t>
  </si>
  <si>
    <t>ST LUKES RSVLT PSYCH</t>
  </si>
  <si>
    <t>PamelaRoberts,MD</t>
  </si>
  <si>
    <t>E0208775</t>
  </si>
  <si>
    <t>ROBERTS PAMELA M DPM</t>
  </si>
  <si>
    <t>ROBERTS PAMELA</t>
  </si>
  <si>
    <t>PhongThai,MD</t>
  </si>
  <si>
    <t>E0140967</t>
  </si>
  <si>
    <t>THAI PHONG AN DPM</t>
  </si>
  <si>
    <t>THAI PHONG DR.</t>
  </si>
  <si>
    <t>9301 218TH ST</t>
  </si>
  <si>
    <t>DennisPeng,DDS</t>
  </si>
  <si>
    <t>E0020998</t>
  </si>
  <si>
    <t>PENG DENNIS</t>
  </si>
  <si>
    <t>KyleDugan,PT</t>
  </si>
  <si>
    <t>E0315920</t>
  </si>
  <si>
    <t>DUGAN KYLE</t>
  </si>
  <si>
    <t>RangaKrishna</t>
  </si>
  <si>
    <t>E0131182</t>
  </si>
  <si>
    <t>KRISHNA RANGA CHELVA MD</t>
  </si>
  <si>
    <t>KRISHNA RANGA DR.</t>
  </si>
  <si>
    <t>KRISHNA RANGA CHELVA</t>
  </si>
  <si>
    <t>1513 VOORHIES AVE</t>
  </si>
  <si>
    <t>WilliamShilkoff</t>
  </si>
  <si>
    <t>E0123873</t>
  </si>
  <si>
    <t>SHILKOFF WILLIAM DEAN MD</t>
  </si>
  <si>
    <t>SHILKOFF WILLIAM</t>
  </si>
  <si>
    <t>AndreaNimmons</t>
  </si>
  <si>
    <t>NIMMONS ANDREA</t>
  </si>
  <si>
    <t>SheelaThomas</t>
  </si>
  <si>
    <t>8900 VAN WYCK EXPRESS WAY, JAMAICA HOSPITAL MEDICAL CENTER</t>
  </si>
  <si>
    <t>MaishaMaitland</t>
  </si>
  <si>
    <t>E0313084</t>
  </si>
  <si>
    <t>MAITLAND MAISHA</t>
  </si>
  <si>
    <t>MAITLAND-JONES MAISHA MS.</t>
  </si>
  <si>
    <t>MAITLAND MAISHA E NP</t>
  </si>
  <si>
    <t>PeteYoung</t>
  </si>
  <si>
    <t>YOUNG PETE</t>
  </si>
  <si>
    <t>506 6TH STREET, NY METHODIST HOSPITAL</t>
  </si>
  <si>
    <t>EmmanuelEkeke</t>
  </si>
  <si>
    <t>EKEKE EMMANUEL</t>
  </si>
  <si>
    <t>12813 145TH ST, APT 2</t>
  </si>
  <si>
    <t>WinstonJoseph</t>
  </si>
  <si>
    <t>JOSEPH WINSTON</t>
  </si>
  <si>
    <t>100 DREISER LOOP APT 2B</t>
  </si>
  <si>
    <t>MarieDumas</t>
  </si>
  <si>
    <t>E0369201</t>
  </si>
  <si>
    <t>DUMAS MARIE</t>
  </si>
  <si>
    <t>DUMAS MARIE NICOLE</t>
  </si>
  <si>
    <t>AmberFerrell</t>
  </si>
  <si>
    <t>E0364352</t>
  </si>
  <si>
    <t>FERRELL AMBER</t>
  </si>
  <si>
    <t>FERRELL AMBER DR.</t>
  </si>
  <si>
    <t>ArvindAnkireddypalli</t>
  </si>
  <si>
    <t>E0369052</t>
  </si>
  <si>
    <t>ANKIREDDYPALLI ARVIND</t>
  </si>
  <si>
    <t>ANKIREDDYPALLI ARVIND REDDY</t>
  </si>
  <si>
    <t>TaheraNasreen</t>
  </si>
  <si>
    <t>E0366385</t>
  </si>
  <si>
    <t>NASREEN TAHERA</t>
  </si>
  <si>
    <t>NASREEN TAHERA DR.</t>
  </si>
  <si>
    <t>2668 PITKIN AVE</t>
  </si>
  <si>
    <t>MelissaHersh</t>
  </si>
  <si>
    <t>E0355543</t>
  </si>
  <si>
    <t>HERSH MELISSA</t>
  </si>
  <si>
    <t>DemetriMerianos</t>
  </si>
  <si>
    <t>E0359341</t>
  </si>
  <si>
    <t>MERIANOS DEMETRI J</t>
  </si>
  <si>
    <t>MERIANOS DEMETRI DR.</t>
  </si>
  <si>
    <t>EhabHana</t>
  </si>
  <si>
    <t>E0362447</t>
  </si>
  <si>
    <t>HANA EHAB JOSEPH</t>
  </si>
  <si>
    <t>HANA EHAB</t>
  </si>
  <si>
    <t>1238 BROADWAY</t>
  </si>
  <si>
    <t>TanykaSam</t>
  </si>
  <si>
    <t>E0362258</t>
  </si>
  <si>
    <t>SAM TANYKA</t>
  </si>
  <si>
    <t>SAM TANYKA DR.</t>
  </si>
  <si>
    <t>SAM TANYKA SUZANNE</t>
  </si>
  <si>
    <t>Tien-TsaiTsai</t>
  </si>
  <si>
    <t>E0302059</t>
  </si>
  <si>
    <t>TSAI TIEN-TSAI</t>
  </si>
  <si>
    <t>JuliaHoltmann</t>
  </si>
  <si>
    <t>E0328361</t>
  </si>
  <si>
    <t>HOLTMANN JULIA</t>
  </si>
  <si>
    <t>HOLTMANN JULIA DR.</t>
  </si>
  <si>
    <t>HOLTMANN JULIA K MD</t>
  </si>
  <si>
    <t>AhmedMansour</t>
  </si>
  <si>
    <t>E0021967</t>
  </si>
  <si>
    <t>BELSLEY SCOTT JOHN MD</t>
  </si>
  <si>
    <t>SCOTTBELSLEY</t>
  </si>
  <si>
    <t>BELSLEY SCOTT</t>
  </si>
  <si>
    <t>LISAEILAND</t>
  </si>
  <si>
    <t>E0069977</t>
  </si>
  <si>
    <t>TAURANI CHRISTOPHER R MD</t>
  </si>
  <si>
    <t>CHRISTOPHERTAURANI</t>
  </si>
  <si>
    <t>TAURANI CHRISTOPHER DR.</t>
  </si>
  <si>
    <t>E0032403</t>
  </si>
  <si>
    <t>FRASCA SUZANNE MD</t>
  </si>
  <si>
    <t>SUZANNEFRASCA</t>
  </si>
  <si>
    <t>FRASCA SUZANNE</t>
  </si>
  <si>
    <t>16TH STREET AT 1ST AVE</t>
  </si>
  <si>
    <t>KarenInghiliterra</t>
  </si>
  <si>
    <t>(171) 891-83647</t>
  </si>
  <si>
    <t>SunJinKim</t>
  </si>
  <si>
    <t>(171) 892-02060</t>
  </si>
  <si>
    <t>LorenzoScotti</t>
  </si>
  <si>
    <t>(191) 471-44689</t>
  </si>
  <si>
    <t>MeirSalama</t>
  </si>
  <si>
    <t>(171) 823-14443</t>
  </si>
  <si>
    <t>DiBlasio,ChristopherJ.</t>
  </si>
  <si>
    <t>E0288624</t>
  </si>
  <si>
    <t>CHRISTOPHER JAMES DIBLASIO</t>
  </si>
  <si>
    <t>linh_10461@yahoo.com</t>
  </si>
  <si>
    <t>DIBLASIO CHRISTOPHER DR.</t>
  </si>
  <si>
    <t>DIBLASIO CHRISTOPHER JAMES MD</t>
  </si>
  <si>
    <t>DiBlasio,FerdinandC.</t>
  </si>
  <si>
    <t>E0236980</t>
  </si>
  <si>
    <t>DI BLASIO FERDINAND C</t>
  </si>
  <si>
    <t>p.s.edgecomb@gmail.com</t>
  </si>
  <si>
    <t>DIBLASIO FERDINAND</t>
  </si>
  <si>
    <t>Nueva-EspanaHerminia</t>
  </si>
  <si>
    <t>(914) 472-5937</t>
  </si>
  <si>
    <t>HNUEVAESPANA@OPTONLINE.NET</t>
  </si>
  <si>
    <t>MYINT,NYUNNYUN</t>
  </si>
  <si>
    <t>E0091082</t>
  </si>
  <si>
    <t>MYINT NYUN NYUN MD</t>
  </si>
  <si>
    <t>(718) 658-4101</t>
  </si>
  <si>
    <t>nmyint@sco.org</t>
  </si>
  <si>
    <t>MYINT NYUN NYUN</t>
  </si>
  <si>
    <t>400 COMMUNITY DR</t>
  </si>
  <si>
    <t>JIN,CHARLES</t>
  </si>
  <si>
    <t>cjin@sco.org</t>
  </si>
  <si>
    <t>MALEKAN,SHAHNAZ</t>
  </si>
  <si>
    <t>E0385616</t>
  </si>
  <si>
    <t>MALEKAN SHAHNAZ</t>
  </si>
  <si>
    <t>smalekan@sco.org</t>
  </si>
  <si>
    <t>MALEKAN SHAHNAZ DR.</t>
  </si>
  <si>
    <t>29 BARSTOW RD STE 302</t>
  </si>
  <si>
    <t>ALBIN,SCOTT</t>
  </si>
  <si>
    <t>salbin@sco.org</t>
  </si>
  <si>
    <t>85-70148thSt,Briarwood</t>
  </si>
  <si>
    <t>BAHL,PARUL</t>
  </si>
  <si>
    <t>E0063663</t>
  </si>
  <si>
    <t>BAHL PARUL MD</t>
  </si>
  <si>
    <t>pbahl@sco.org</t>
  </si>
  <si>
    <t>BAHL PARUL</t>
  </si>
  <si>
    <t>ASC IN EMERGENCY SRV</t>
  </si>
  <si>
    <t>BATTLE,DIANE</t>
  </si>
  <si>
    <t>E0340627</t>
  </si>
  <si>
    <t>BATTLE DIANE M</t>
  </si>
  <si>
    <t>(718) 935-9466</t>
  </si>
  <si>
    <t>dbattle@sco.org</t>
  </si>
  <si>
    <t>BATTLE DIANE MS.</t>
  </si>
  <si>
    <t>8930 161ST ST</t>
  </si>
  <si>
    <t>E0130668</t>
  </si>
  <si>
    <t>COHRSSEN ANDREAS MD</t>
  </si>
  <si>
    <t>ANDREASCOHRSSEN</t>
  </si>
  <si>
    <t>COHRSSEN ANDREAS</t>
  </si>
  <si>
    <t>E0113606</t>
  </si>
  <si>
    <t>SIMON SHELDON ROY MD</t>
  </si>
  <si>
    <t>SHELDONSIMON</t>
  </si>
  <si>
    <t>SIMON SHELDON</t>
  </si>
  <si>
    <t>E0082417</t>
  </si>
  <si>
    <t>MINDLIN GALINA MD</t>
  </si>
  <si>
    <t>GALINAMINDLIN</t>
  </si>
  <si>
    <t>MINDLIN GALINA</t>
  </si>
  <si>
    <t>E0032020</t>
  </si>
  <si>
    <t>PATEL SHAMIT P  MD</t>
  </si>
  <si>
    <t>MR.SHAMITPATEL</t>
  </si>
  <si>
    <t>PATEL SHAMIT MR.</t>
  </si>
  <si>
    <t>16TH ST AT 1ST AVE</t>
  </si>
  <si>
    <t>E0201914</t>
  </si>
  <si>
    <t>KAPLAN RONALD              MD</t>
  </si>
  <si>
    <t>RONALDKAPLAN</t>
  </si>
  <si>
    <t>KAPLAN RONALD DR.</t>
  </si>
  <si>
    <t>AnneCarney-Florsheim,M.S.,CCC-SLP</t>
  </si>
  <si>
    <t>E0356730</t>
  </si>
  <si>
    <t>FLORSHEIM ANNE CARNEY</t>
  </si>
  <si>
    <t>FLORSHEIM ANNE MS.</t>
  </si>
  <si>
    <t>AntonellaCaggiano,M.S.</t>
  </si>
  <si>
    <t>CAGGIANO ANTONELLA MS.</t>
  </si>
  <si>
    <t>1035 E BOSTON POST RD, 1-6</t>
  </si>
  <si>
    <t>DaxCampbell,MSPT</t>
  </si>
  <si>
    <t>E0343590</t>
  </si>
  <si>
    <t>CAMPBELL DAX CHRISTOPHER</t>
  </si>
  <si>
    <t>CAMPBELL DAX MR.</t>
  </si>
  <si>
    <t>TaraScheiner,C.D.N</t>
  </si>
  <si>
    <t>SCHEINER TARA</t>
  </si>
  <si>
    <t>AnelDeJesus,M.A.</t>
  </si>
  <si>
    <t>DE JESUS ANEL</t>
  </si>
  <si>
    <t>MireilleGold,M.S.Ed.</t>
  </si>
  <si>
    <t>GOLD MIREILLE</t>
  </si>
  <si>
    <t>JoeBrewster</t>
  </si>
  <si>
    <t>E0151693</t>
  </si>
  <si>
    <t>BREWSTER JOE CEPHUS JR MD</t>
  </si>
  <si>
    <t>LolitaSilva-Vazquez</t>
  </si>
  <si>
    <t>lsilva-vazquez@lesc.org</t>
  </si>
  <si>
    <t>BREWSTER JOE-CEPHUS DR.</t>
  </si>
  <si>
    <t>Idowu,Kehinde</t>
  </si>
  <si>
    <t>Kasper,Getl</t>
  </si>
  <si>
    <t>E0148238</t>
  </si>
  <si>
    <t>KASPER GETL L CNM</t>
  </si>
  <si>
    <t>KASPER GETL MS.</t>
  </si>
  <si>
    <t>E0336617</t>
  </si>
  <si>
    <t>CHASAN RACHEL</t>
  </si>
  <si>
    <t>RACHELCHASAN</t>
  </si>
  <si>
    <t>CHASAN RACHEL DR.</t>
  </si>
  <si>
    <t>KARENHIENSCH</t>
  </si>
  <si>
    <t>E0365459</t>
  </si>
  <si>
    <t>NARIMASU TONI GARMA</t>
  </si>
  <si>
    <t>TONINARIMASU</t>
  </si>
  <si>
    <t>NARIMASU TONI</t>
  </si>
  <si>
    <t>AnnaSheehy,L.M.S.W.</t>
  </si>
  <si>
    <t>SHEEHY ANNA</t>
  </si>
  <si>
    <t>EllaStrzepa,L.C.S.W.</t>
  </si>
  <si>
    <t>E0369661</t>
  </si>
  <si>
    <t>STRZEPA ELLA MARIA</t>
  </si>
  <si>
    <t>STRZEPA ELLA</t>
  </si>
  <si>
    <t>8002 KEW GARDENS RD</t>
  </si>
  <si>
    <t>CorinneRomanotto,Ph.D.,L.C.S.W.</t>
  </si>
  <si>
    <t>E0353050</t>
  </si>
  <si>
    <t>ROMANOTTO CORINNE DEBORAH</t>
  </si>
  <si>
    <t>ROMANOTTO CORINNE</t>
  </si>
  <si>
    <t>OsmanMusah,OTR/L</t>
  </si>
  <si>
    <t>ThomasOtt,L.C.S.W.</t>
  </si>
  <si>
    <t>E0340930</t>
  </si>
  <si>
    <t>OTT THOMAS</t>
  </si>
  <si>
    <t>E0318130</t>
  </si>
  <si>
    <t>MORRIS LAUREN</t>
  </si>
  <si>
    <t>LaurenMorris</t>
  </si>
  <si>
    <t>MORRIS LAUREN DR.</t>
  </si>
  <si>
    <t>MORRIS LAUREN BETH</t>
  </si>
  <si>
    <t>MarkGrand</t>
  </si>
  <si>
    <t>E0207027</t>
  </si>
  <si>
    <t>GRAND MARK ALAN            MD</t>
  </si>
  <si>
    <t>GRAND MARK</t>
  </si>
  <si>
    <t>2558 E 18TH ST</t>
  </si>
  <si>
    <t>DonnaO'Malley,R.D.,CDN</t>
  </si>
  <si>
    <t>O'MALLEY DONNA</t>
  </si>
  <si>
    <t>NatalieCesaire,OTR/L</t>
  </si>
  <si>
    <t>E0367060</t>
  </si>
  <si>
    <t>CESAIRE NATHALIE</t>
  </si>
  <si>
    <t>CESAIRE NATALIE MS.</t>
  </si>
  <si>
    <t>BryanDempsey,L.M.S.W.</t>
  </si>
  <si>
    <t>DEMPSEY BRYAN</t>
  </si>
  <si>
    <t>460 W 34TH ST, 11 FLOOR</t>
  </si>
  <si>
    <t>JudithYunis,L.M.S.W.</t>
  </si>
  <si>
    <t>E0338820</t>
  </si>
  <si>
    <t>YUNIS JUDITH ARIELA</t>
  </si>
  <si>
    <t>YUNIS JUDITH</t>
  </si>
  <si>
    <t>RamonAcevedo,L.C.S.W.</t>
  </si>
  <si>
    <t>E0341626</t>
  </si>
  <si>
    <t>ACEVEDO RAMON E</t>
  </si>
  <si>
    <t>ACEVEDO RAMON</t>
  </si>
  <si>
    <t>3711 35TH AVE</t>
  </si>
  <si>
    <t>RayLiu,OTR/L</t>
  </si>
  <si>
    <t>LIU RAY</t>
  </si>
  <si>
    <t>3526 CORPORAL KENNEDY ST, 2ND FLOOR</t>
  </si>
  <si>
    <t>ErinIwanusa,L.C.S.W.</t>
  </si>
  <si>
    <t>E0381335</t>
  </si>
  <si>
    <t>IWANUSA ERIN ELIZABETH</t>
  </si>
  <si>
    <t>IWANUSA ERIN</t>
  </si>
  <si>
    <t>WaheedBashir,DPT</t>
  </si>
  <si>
    <t>E0358618</t>
  </si>
  <si>
    <t>BASHIR WAHEED</t>
  </si>
  <si>
    <t>BASHIR WAHEED DR.</t>
  </si>
  <si>
    <t>MarySombai,M.S.W.</t>
  </si>
  <si>
    <t>SOMBAI MARY</t>
  </si>
  <si>
    <t>PaulLevy</t>
  </si>
  <si>
    <t>E0220537</t>
  </si>
  <si>
    <t>LEVY PAUL JUSTIN DPM</t>
  </si>
  <si>
    <t>LEVY PAUL DR.</t>
  </si>
  <si>
    <t>LEVY PAUL JUSTIN</t>
  </si>
  <si>
    <t>338 9TH ST</t>
  </si>
  <si>
    <t>JeanFrederic</t>
  </si>
  <si>
    <t>E0387880</t>
  </si>
  <si>
    <t>JEAN A FREDERIC PA</t>
  </si>
  <si>
    <t>FREDERIC JEAN</t>
  </si>
  <si>
    <t>FREDERIC JEAN A</t>
  </si>
  <si>
    <t>240 WILLOUGHBY ST STE 4E</t>
  </si>
  <si>
    <t>JamesDefrancisco</t>
  </si>
  <si>
    <t>E0201680</t>
  </si>
  <si>
    <t>DEFRANCISCO JAMES A DPM</t>
  </si>
  <si>
    <t>DEFRANCISCO JAMES</t>
  </si>
  <si>
    <t>6094 PUTNAM AVE</t>
  </si>
  <si>
    <t>HaamidChamdawala</t>
  </si>
  <si>
    <t>E0341684</t>
  </si>
  <si>
    <t>CHAMDAWALA HAMMID SHABBIR</t>
  </si>
  <si>
    <t>CHAMDAWALA HAAMID DR.</t>
  </si>
  <si>
    <t>JoelGellen</t>
  </si>
  <si>
    <t>E0196722</t>
  </si>
  <si>
    <t>GELLEN JOEL L DPM</t>
  </si>
  <si>
    <t>GELLEN JOEL DR.</t>
  </si>
  <si>
    <t>2044 OCEAN AVE STE 1B</t>
  </si>
  <si>
    <t>Gambale,Gerald</t>
  </si>
  <si>
    <t>(212) 566-5372</t>
  </si>
  <si>
    <t>Marino,William</t>
  </si>
  <si>
    <t>MARINO WILLIAM</t>
  </si>
  <si>
    <t>E0007764</t>
  </si>
  <si>
    <t>CELENA DANCOURT MD</t>
  </si>
  <si>
    <t>CELENADANCOURT</t>
  </si>
  <si>
    <t>DANCOURT CELENA DR.</t>
  </si>
  <si>
    <t>DANCOURT CELENA GABRIELA MD</t>
  </si>
  <si>
    <t>9 NATHAN D PERLMAN PL</t>
  </si>
  <si>
    <t>E0155093</t>
  </si>
  <si>
    <t>PERLMAN DAVID C MD</t>
  </si>
  <si>
    <t>DAVIDPERLMAN</t>
  </si>
  <si>
    <t>PERLMAN DAVID</t>
  </si>
  <si>
    <t>E0073215</t>
  </si>
  <si>
    <t>ALEXIADES GEORGE</t>
  </si>
  <si>
    <t>GEORGEALEXIADES</t>
  </si>
  <si>
    <t>ALEXIADES GEORGE DR.</t>
  </si>
  <si>
    <t>310 E 14TH ST FL 16</t>
  </si>
  <si>
    <t>E0115115</t>
  </si>
  <si>
    <t>ULEIS KEITH HARRIS MD</t>
  </si>
  <si>
    <t>KEITHULEIS</t>
  </si>
  <si>
    <t>ULEIS KEITH</t>
  </si>
  <si>
    <t>E0296157</t>
  </si>
  <si>
    <t>REBECCA FISHER MD</t>
  </si>
  <si>
    <t>REBECCAFISHER</t>
  </si>
  <si>
    <t>FISHER REBECCA DR.</t>
  </si>
  <si>
    <t>FISHER REBECCA</t>
  </si>
  <si>
    <t>PascaleKersaint</t>
  </si>
  <si>
    <t>E0022345</t>
  </si>
  <si>
    <t>KENSAINT PASCALE MD</t>
  </si>
  <si>
    <t>KERSAINT PASCALE</t>
  </si>
  <si>
    <t>MadhuVoddi</t>
  </si>
  <si>
    <t>E0031180</t>
  </si>
  <si>
    <t>VODDI MADHU D MD</t>
  </si>
  <si>
    <t>VODDI MADHU DR.</t>
  </si>
  <si>
    <t>VODDI MADHU D</t>
  </si>
  <si>
    <t>THE BROOKLYN HOSP CTR</t>
  </si>
  <si>
    <t>VinayTak</t>
  </si>
  <si>
    <t>E0023167</t>
  </si>
  <si>
    <t>TAK VINAY MANOHAR MD</t>
  </si>
  <si>
    <t>TAK VINAY DR.</t>
  </si>
  <si>
    <t>ShahGiashuddin</t>
  </si>
  <si>
    <t>E0001167</t>
  </si>
  <si>
    <t>GIASHUDDIN SHAH</t>
  </si>
  <si>
    <t>GIASHUDDIN SHAH DR.</t>
  </si>
  <si>
    <t>GIASHUDDIN SHAH MD</t>
  </si>
  <si>
    <t>ImtiazAhmad</t>
  </si>
  <si>
    <t>E0018255</t>
  </si>
  <si>
    <t>AHMAD IMTIAZ  MD</t>
  </si>
  <si>
    <t>DianaPineda</t>
  </si>
  <si>
    <t>PeggyArroyo</t>
  </si>
  <si>
    <t>parroyo@fortunesociety.org</t>
  </si>
  <si>
    <t>NixaDavila</t>
  </si>
  <si>
    <t>JamesHayes</t>
  </si>
  <si>
    <t>MaureenFischer</t>
  </si>
  <si>
    <t>MalgorzataWitek</t>
  </si>
  <si>
    <t>KristinHertel</t>
  </si>
  <si>
    <t>(212) 233-5032</t>
  </si>
  <si>
    <t>khertel@henrystreet.org</t>
  </si>
  <si>
    <t>JuliaE.Najara</t>
  </si>
  <si>
    <t>E0161382</t>
  </si>
  <si>
    <t>NAJARA JULIA E MD</t>
  </si>
  <si>
    <t>NAJARA JULIA DR.</t>
  </si>
  <si>
    <t>PSY ASSOC MANHATTAN</t>
  </si>
  <si>
    <t>VatyMichelePoitevien</t>
  </si>
  <si>
    <t>E0026012</t>
  </si>
  <si>
    <t>POITEVIEN VATY</t>
  </si>
  <si>
    <t>POITEVIEN VATY MICHELE</t>
  </si>
  <si>
    <t>SubhashC.Sikder</t>
  </si>
  <si>
    <t>E0391962</t>
  </si>
  <si>
    <t>SIKDER SUBHASH CHANDRA</t>
  </si>
  <si>
    <t>SIKDER SUBHASH</t>
  </si>
  <si>
    <t>JuanBailey</t>
  </si>
  <si>
    <t>E0150434</t>
  </si>
  <si>
    <t>BAILEY JUAN A MD</t>
  </si>
  <si>
    <t>BAILEY JUAN</t>
  </si>
  <si>
    <t>MichaelGoins</t>
  </si>
  <si>
    <t>E0066476</t>
  </si>
  <si>
    <t>GOINS MICHAEL</t>
  </si>
  <si>
    <t>GOINS MICHAEL WAYNE</t>
  </si>
  <si>
    <t>743 E 9TH ST</t>
  </si>
  <si>
    <t>E0037040</t>
  </si>
  <si>
    <t>UNIS DOUGLAS B MD</t>
  </si>
  <si>
    <t>DOUGLASUNIS</t>
  </si>
  <si>
    <t>UNIS DOUGLAS</t>
  </si>
  <si>
    <t>1886 BROADWAY</t>
  </si>
  <si>
    <t>ConstanceRomano</t>
  </si>
  <si>
    <t>E0181687</t>
  </si>
  <si>
    <t>ROMANO CONSTANCE</t>
  </si>
  <si>
    <t>ROMANO CONSTANCE DR.</t>
  </si>
  <si>
    <t>ROMANO CONSTANCE ANNE</t>
  </si>
  <si>
    <t>419 HUMBOLDT ST</t>
  </si>
  <si>
    <t>AlfredSanginario</t>
  </si>
  <si>
    <t>E0106781</t>
  </si>
  <si>
    <t>SANGINARIO ALFRED</t>
  </si>
  <si>
    <t>SANGINARIO ALFRED DR.</t>
  </si>
  <si>
    <t>149 MARINE AVE APT LA</t>
  </si>
  <si>
    <t>StevenBarkoff</t>
  </si>
  <si>
    <t>E0182338</t>
  </si>
  <si>
    <t>BARKOFF STEVEN LAWRENCE  DPM</t>
  </si>
  <si>
    <t>BARKOFF STEVEN DR.</t>
  </si>
  <si>
    <t>BARKOFF STEVEN LAWRENCE</t>
  </si>
  <si>
    <t>BROOKKLYN</t>
  </si>
  <si>
    <t>MonaKhoury</t>
  </si>
  <si>
    <t>E0091234</t>
  </si>
  <si>
    <t>KHOURY MONA DPM</t>
  </si>
  <si>
    <t>KHOURY MONA</t>
  </si>
  <si>
    <t>1407 AVENUE U</t>
  </si>
  <si>
    <t>RoryCohen</t>
  </si>
  <si>
    <t>E0173997</t>
  </si>
  <si>
    <t>COHEN RORY SCOT  DPM</t>
  </si>
  <si>
    <t>COHEN RORY</t>
  </si>
  <si>
    <t>420 FULTON ST DEPT. 6</t>
  </si>
  <si>
    <t>MichaelPenchuk</t>
  </si>
  <si>
    <t>PENCHUK MICHAEL</t>
  </si>
  <si>
    <t>2125 HOLLAND WAY</t>
  </si>
  <si>
    <t>SushilDuddempudi</t>
  </si>
  <si>
    <t>E0288517</t>
  </si>
  <si>
    <t>DUDDEMPUDI SUSHIL MD</t>
  </si>
  <si>
    <t>DUDDEMPUDI SUSHIL DR.</t>
  </si>
  <si>
    <t>60 E END AVE</t>
  </si>
  <si>
    <t>YeseniaMorales</t>
  </si>
  <si>
    <t>E0284473</t>
  </si>
  <si>
    <t>MORALES YESENIA</t>
  </si>
  <si>
    <t>MORALES YESENIA DR.</t>
  </si>
  <si>
    <t>MORALES YESENIA MD</t>
  </si>
  <si>
    <t>YvesJean-Gilles</t>
  </si>
  <si>
    <t>E0028310</t>
  </si>
  <si>
    <t>JEAN-GILLES YVES RICHARD MD</t>
  </si>
  <si>
    <t>JEAN-GILLES YVES DR.</t>
  </si>
  <si>
    <t>E0020074</t>
  </si>
  <si>
    <t>CIELOSZYK KINGA MARTA MD</t>
  </si>
  <si>
    <t>KINGARICCOBONO</t>
  </si>
  <si>
    <t>RICCOBONO KINGA DR.</t>
  </si>
  <si>
    <t>RICCOBONO KINGA MARTA MD</t>
  </si>
  <si>
    <t>ShannonGramm-Smith</t>
  </si>
  <si>
    <t>GHRAMM-SMITH SHANNON</t>
  </si>
  <si>
    <t>EbonyKSmalls</t>
  </si>
  <si>
    <t>SMALLS EBONY MS.</t>
  </si>
  <si>
    <t>LauraleeFigueroa</t>
  </si>
  <si>
    <t>FIGUEROA LAURA</t>
  </si>
  <si>
    <t>473 HANCOCK ST APT 2L</t>
  </si>
  <si>
    <t>MargaretNewsam</t>
  </si>
  <si>
    <t>E0127626</t>
  </si>
  <si>
    <t>NEWSAM MARGARET ANN MD</t>
  </si>
  <si>
    <t>NEWSAM MARGARET</t>
  </si>
  <si>
    <t>ZaheerAhmed</t>
  </si>
  <si>
    <t>E0148173</t>
  </si>
  <si>
    <t>AHMED ZAHEER MD</t>
  </si>
  <si>
    <t>AHMED ZAHEER</t>
  </si>
  <si>
    <t>13303 CROSSBAY BLVD</t>
  </si>
  <si>
    <t>NelsonMenezes</t>
  </si>
  <si>
    <t>E0121153</t>
  </si>
  <si>
    <t>MENEZES NELSON SOCORRO</t>
  </si>
  <si>
    <t>MENEZES NELSON DR.</t>
  </si>
  <si>
    <t>AntonioMendez</t>
  </si>
  <si>
    <t>E0126254</t>
  </si>
  <si>
    <t>MENDEZ ANTONIO MD</t>
  </si>
  <si>
    <t>MENDEZ ANTONIO</t>
  </si>
  <si>
    <t>ElsieAlvarez</t>
  </si>
  <si>
    <t>E0127610</t>
  </si>
  <si>
    <t>ALVAREZ ELSIE MD</t>
  </si>
  <si>
    <t>ALVAREZ ELSIE</t>
  </si>
  <si>
    <t>Dr.DanielBuff</t>
  </si>
  <si>
    <t>DanielBuff</t>
  </si>
  <si>
    <t>(516) 763-7145</t>
  </si>
  <si>
    <t>doctorbuff@gmail.com</t>
  </si>
  <si>
    <t>LauraMaroldo,RPA</t>
  </si>
  <si>
    <t>E0142877</t>
  </si>
  <si>
    <t>MAROLDO-CONNELLY LAURA ANN</t>
  </si>
  <si>
    <t>MAROLDO LAURA</t>
  </si>
  <si>
    <t>BlairWiggins</t>
  </si>
  <si>
    <t>PatriciaGrosvenor-Bunn</t>
  </si>
  <si>
    <t>E0228310</t>
  </si>
  <si>
    <t>HOROWITZ MITCHELL L DPM</t>
  </si>
  <si>
    <t>HOROWITZ MITCHELL</t>
  </si>
  <si>
    <t>HOROWITZ MITCHELL L</t>
  </si>
  <si>
    <t>2720 JERUSALEM AVE</t>
  </si>
  <si>
    <t>N BELLMORE</t>
  </si>
  <si>
    <t>JerryWeinstock,M.A.</t>
  </si>
  <si>
    <t>WEINSOCK JERRY MR.</t>
  </si>
  <si>
    <t>460 W 34TH STREET, 12TH FLOOR YAI/NIPD</t>
  </si>
  <si>
    <t>E0095231</t>
  </si>
  <si>
    <t>LIEU HSIAO-MEI MD</t>
  </si>
  <si>
    <t>HSIAOLIEU</t>
  </si>
  <si>
    <t>LIEU HSIAO MEI</t>
  </si>
  <si>
    <t>E0129381</t>
  </si>
  <si>
    <t>GOODMAN ELLIOT RICHARD MD</t>
  </si>
  <si>
    <t>ELLIOTGOODMAN</t>
  </si>
  <si>
    <t>GOODMAN ELLIOT</t>
  </si>
  <si>
    <t>E0123199</t>
  </si>
  <si>
    <t>ACQUAH SAMUEL O H S</t>
  </si>
  <si>
    <t>SAMUELACQUAH</t>
  </si>
  <si>
    <t>ACQUAH SAMUEL</t>
  </si>
  <si>
    <t>E0059426</t>
  </si>
  <si>
    <t>RUTENBERG KATHRYN PECK MD</t>
  </si>
  <si>
    <t>KATHRYNRUTENBERG</t>
  </si>
  <si>
    <t>RUTENBERG KATHRYN</t>
  </si>
  <si>
    <t>315 W 57TH ST STE 204</t>
  </si>
  <si>
    <t>E0198226</t>
  </si>
  <si>
    <t>ANSARI ALTAF H</t>
  </si>
  <si>
    <t>ALTAFANSARI</t>
  </si>
  <si>
    <t>ANSARI ALTAF</t>
  </si>
  <si>
    <t>E0080382</t>
  </si>
  <si>
    <t>OSBORNE MICHAEL PIERS MD</t>
  </si>
  <si>
    <t>MICHAELOSBORNE</t>
  </si>
  <si>
    <t>OSBORNE MICHAEL</t>
  </si>
  <si>
    <t>E0179985</t>
  </si>
  <si>
    <t>CERRA LUIS R   MD</t>
  </si>
  <si>
    <t>LUISCERRA</t>
  </si>
  <si>
    <t>CERRA LUIS</t>
  </si>
  <si>
    <t>APT 1P</t>
  </si>
  <si>
    <t>E0300408</t>
  </si>
  <si>
    <t>PETELIN ANDREW PATRICK MD</t>
  </si>
  <si>
    <t>ANDREWPETELIN</t>
  </si>
  <si>
    <t>PETELIN ANDREW</t>
  </si>
  <si>
    <t>JamesRegan,L.M.S.W.</t>
  </si>
  <si>
    <t>REGAN JAMES</t>
  </si>
  <si>
    <t>SusieRosa,L.M.S.W.</t>
  </si>
  <si>
    <t>ROSA SUSAN</t>
  </si>
  <si>
    <t>460 W34TH STREET</t>
  </si>
  <si>
    <t>GlendaLemaire</t>
  </si>
  <si>
    <t>E0023144</t>
  </si>
  <si>
    <t>LEMAIRE GLENDA M NP</t>
  </si>
  <si>
    <t>Mrs.Lemaire</t>
  </si>
  <si>
    <t>LEMAIRE-MOORE GLENDA</t>
  </si>
  <si>
    <t>LEMAIRE GLENDA M</t>
  </si>
  <si>
    <t>PierreBrutus</t>
  </si>
  <si>
    <t>E0274509</t>
  </si>
  <si>
    <t>BRUTUS PIERRE ANDRE        MD</t>
  </si>
  <si>
    <t>Dr.Brutus</t>
  </si>
  <si>
    <t>(718) 693-2686</t>
  </si>
  <si>
    <t>MD@crowncares.com</t>
  </si>
  <si>
    <t>BRUTUS PIERRE DR.</t>
  </si>
  <si>
    <t>450 MCDERMOTT RD</t>
  </si>
  <si>
    <t>AnjumAzam</t>
  </si>
  <si>
    <t>E0292381</t>
  </si>
  <si>
    <t>AZAM ANJUM MD</t>
  </si>
  <si>
    <t>(718) 453-1226</t>
  </si>
  <si>
    <t>anjum.azam@oasas.ny.gov</t>
  </si>
  <si>
    <t>AZAM ANJUM</t>
  </si>
  <si>
    <t>VignendraAriyarajah</t>
  </si>
  <si>
    <t>E0323350</t>
  </si>
  <si>
    <t>ARIYARAJAH VIGNENDRA</t>
  </si>
  <si>
    <t>ARIYARAJAH VIGNENDRA DR.</t>
  </si>
  <si>
    <t>5205 CHURCH AVE</t>
  </si>
  <si>
    <t>ShaunSteigman</t>
  </si>
  <si>
    <t>E0352709</t>
  </si>
  <si>
    <t>STEIGMAN SHAUN</t>
  </si>
  <si>
    <t>STEIGMAN SHAUN DR.</t>
  </si>
  <si>
    <t>STEIGMAN SHAUN ALLEN</t>
  </si>
  <si>
    <t>525 E 68TH ST # 209</t>
  </si>
  <si>
    <t>JeanetteHaslett</t>
  </si>
  <si>
    <t>E0350109</t>
  </si>
  <si>
    <t>HASLETT JEANETTE</t>
  </si>
  <si>
    <t>HASLETT JEANETTE DR.</t>
  </si>
  <si>
    <t>UpulieNawaratne</t>
  </si>
  <si>
    <t>E0352733</t>
  </si>
  <si>
    <t>NAWARATNE UPULIE</t>
  </si>
  <si>
    <t>ShumailaKhan</t>
  </si>
  <si>
    <t>E0359324</t>
  </si>
  <si>
    <t>KHAN SHUMAILA</t>
  </si>
  <si>
    <t>RohitPinto</t>
  </si>
  <si>
    <t>RaymondRead</t>
  </si>
  <si>
    <t>READ RAYMOND</t>
  </si>
  <si>
    <t>MicheleCostanzo</t>
  </si>
  <si>
    <t>COSTANZO MICHELE MISS</t>
  </si>
  <si>
    <t>HopeVaughan</t>
  </si>
  <si>
    <t>VAUGHAN HOPE MS.</t>
  </si>
  <si>
    <t>590 AVENUE OF THE AMERICAS, 11TH FLOOR</t>
  </si>
  <si>
    <t>FredericSherman</t>
  </si>
  <si>
    <t>E0124947</t>
  </si>
  <si>
    <t>SHERMAN FREDERIC M</t>
  </si>
  <si>
    <t>SHERMAN FREDERIC</t>
  </si>
  <si>
    <t>8672 BAY PKWY</t>
  </si>
  <si>
    <t>AnilGharpure</t>
  </si>
  <si>
    <t>E0256689</t>
  </si>
  <si>
    <t>GHARPURE ANIL MD</t>
  </si>
  <si>
    <t>GHARPURE ANIL</t>
  </si>
  <si>
    <t>MooJun</t>
  </si>
  <si>
    <t>E0275352</t>
  </si>
  <si>
    <t>JUN MOOYOUNG               MD</t>
  </si>
  <si>
    <t>JUN MOO YOUNG DR.</t>
  </si>
  <si>
    <t>109 PIERMONT AVE</t>
  </si>
  <si>
    <t>E0040240</t>
  </si>
  <si>
    <t>EIDGAH MAHYAR MD</t>
  </si>
  <si>
    <t>MAHYAREIDGAH</t>
  </si>
  <si>
    <t>EIDGAH MAHYAR DR.</t>
  </si>
  <si>
    <t>E0277973</t>
  </si>
  <si>
    <t>WEISE EUGENE E         MD PC</t>
  </si>
  <si>
    <t>EUGENEWEISE</t>
  </si>
  <si>
    <t>WEISE EUGENE DR.</t>
  </si>
  <si>
    <t>245 E 37TH ST APT 4D</t>
  </si>
  <si>
    <t>StephenGrimes,L.C.S.W.</t>
  </si>
  <si>
    <t>E0001022</t>
  </si>
  <si>
    <t>GRIMES STEPHEN</t>
  </si>
  <si>
    <t>GRIMES STEPHEN JOHN</t>
  </si>
  <si>
    <t>HarryMcKoy,OTR/L</t>
  </si>
  <si>
    <t>E0342253</t>
  </si>
  <si>
    <t>MCKOY HARRY LEE</t>
  </si>
  <si>
    <t>MCKOY HARRY MR.</t>
  </si>
  <si>
    <t>EmilyRoss</t>
  </si>
  <si>
    <t>E0326871</t>
  </si>
  <si>
    <t>ROSS EMILY JANINE</t>
  </si>
  <si>
    <t>ROSS EMILY DR.</t>
  </si>
  <si>
    <t>AenidYu,OTR/L</t>
  </si>
  <si>
    <t>E0367045</t>
  </si>
  <si>
    <t>YU AENID MARIE MERCADO</t>
  </si>
  <si>
    <t>YU AENID MARIE MS.</t>
  </si>
  <si>
    <t>IsakIsakov,MD</t>
  </si>
  <si>
    <t>QuixaLan,MD</t>
  </si>
  <si>
    <t>E0027716</t>
  </si>
  <si>
    <t>LAN QIUXIA  MD</t>
  </si>
  <si>
    <t>LAN QIUXIA</t>
  </si>
  <si>
    <t>LAN QIUXIA M</t>
  </si>
  <si>
    <t>4373 UNION ST # ST/1C</t>
  </si>
  <si>
    <t>MarieLippman,MD</t>
  </si>
  <si>
    <t>BatshevaMargolis,RN</t>
  </si>
  <si>
    <t>MARGOLIS BATSHEVA</t>
  </si>
  <si>
    <t>108-19 ROCKAWAY BLVD</t>
  </si>
  <si>
    <t>ElizabethMusto</t>
  </si>
  <si>
    <t>(134) 721-90784</t>
  </si>
  <si>
    <t>ArlettePaul</t>
  </si>
  <si>
    <t>(191) 759-35442</t>
  </si>
  <si>
    <t>YvonneMinott</t>
  </si>
  <si>
    <t>(191) 728-29503</t>
  </si>
  <si>
    <t>SharonSenior</t>
  </si>
  <si>
    <t>(191) 757-63998</t>
  </si>
  <si>
    <t>ReginaldCamillo</t>
  </si>
  <si>
    <t>(171) 882-41560</t>
  </si>
  <si>
    <t>MARISSAWISE</t>
  </si>
  <si>
    <t>WISE MARISSA</t>
  </si>
  <si>
    <t>YinfeiXu</t>
  </si>
  <si>
    <t>XU RACHEL DR.</t>
  </si>
  <si>
    <t>22 HANSOM RD, 32G</t>
  </si>
  <si>
    <t>CristinaRBuricea</t>
  </si>
  <si>
    <t>BURICEA CRISTINA</t>
  </si>
  <si>
    <t>70 OAKLEY PL</t>
  </si>
  <si>
    <t>VadimKhachaturov</t>
  </si>
  <si>
    <t>KHACHATUROV VADIM</t>
  </si>
  <si>
    <t>1 GUSTAVE L LEVY PL, 15TH FLOOR</t>
  </si>
  <si>
    <t>E0053909</t>
  </si>
  <si>
    <t>ALBIER FATIHA</t>
  </si>
  <si>
    <t>ALBERFTIHA</t>
  </si>
  <si>
    <t>FTIHA ALBER</t>
  </si>
  <si>
    <t>E0298921</t>
  </si>
  <si>
    <t>VEGA AIDA</t>
  </si>
  <si>
    <t>AIDAVEGA</t>
  </si>
  <si>
    <t>VEGA AIDA DR.</t>
  </si>
  <si>
    <t>VEGA AIDA CONSUELO MD</t>
  </si>
  <si>
    <t>5 EAST 98TH STREET</t>
  </si>
  <si>
    <t>E0075130</t>
  </si>
  <si>
    <t>MCGOLDRICK PATRICIA ENGEL</t>
  </si>
  <si>
    <t>PATRICIAMCGOLDRICK</t>
  </si>
  <si>
    <t>MCGOLDRICK PATRICIA</t>
  </si>
  <si>
    <t>E0244195</t>
  </si>
  <si>
    <t>TURINO GERARD M            MD</t>
  </si>
  <si>
    <t>GERARDTURINO</t>
  </si>
  <si>
    <t>TURINO GERARD DR.</t>
  </si>
  <si>
    <t>TURINO GERARD M</t>
  </si>
  <si>
    <t>E0188432</t>
  </si>
  <si>
    <t>KASTENBAUM DONALD MARK MD</t>
  </si>
  <si>
    <t>DONALDKASTENBAUM</t>
  </si>
  <si>
    <t>KASTENBAUM DONALD</t>
  </si>
  <si>
    <t>PHYS BILLING RM 1402</t>
  </si>
  <si>
    <t>YongpengGu</t>
  </si>
  <si>
    <t>E0372763</t>
  </si>
  <si>
    <t>GU YONGPENG</t>
  </si>
  <si>
    <t>SheenaPunnapuzha</t>
  </si>
  <si>
    <t>E0353080</t>
  </si>
  <si>
    <t>PUNNAPUZHA SHEENA</t>
  </si>
  <si>
    <t>PUNNAPUZHA SHEENA DR.</t>
  </si>
  <si>
    <t>MarieLefevre</t>
  </si>
  <si>
    <t>E0216679</t>
  </si>
  <si>
    <t>LEFEVRE MARIE EDITH FAUBLAS</t>
  </si>
  <si>
    <t>LEFEVRE MARIE EDITH</t>
  </si>
  <si>
    <t>Budasoff,Caroline</t>
  </si>
  <si>
    <t>Dahan,Chana</t>
  </si>
  <si>
    <t>Dastain,JeanYves</t>
  </si>
  <si>
    <t>Idicula,Susamma</t>
  </si>
  <si>
    <t>DeepakSetia</t>
  </si>
  <si>
    <t>E0250114</t>
  </si>
  <si>
    <t>SETIA DEEPAK K             MD</t>
  </si>
  <si>
    <t>SETIA DEEPAK</t>
  </si>
  <si>
    <t>JeanetteCruz,L.M.S.W.</t>
  </si>
  <si>
    <t>E0310721</t>
  </si>
  <si>
    <t>CRUZ JEANETTE</t>
  </si>
  <si>
    <t>CRUZ JEANETTE MS.</t>
  </si>
  <si>
    <t>505 E 70TH ST FL 1</t>
  </si>
  <si>
    <t>LidiaLibura-Kus,PT</t>
  </si>
  <si>
    <t>EmilyCrook,OTR/L</t>
  </si>
  <si>
    <t>E0373027</t>
  </si>
  <si>
    <t>CROOK EMILY</t>
  </si>
  <si>
    <t>AbigailTayamen-Macatangay,OTR/L</t>
  </si>
  <si>
    <t>E0340988</t>
  </si>
  <si>
    <t>MACATANGAY ABIGAIL TAYAMEN</t>
  </si>
  <si>
    <t>MACATANGAY ABIGAIL</t>
  </si>
  <si>
    <t>TaraOlson,OTR/L</t>
  </si>
  <si>
    <t>E0384199</t>
  </si>
  <si>
    <t>LIVINGSTON-OLSON TARA B</t>
  </si>
  <si>
    <t>OLSON TARA MRS.</t>
  </si>
  <si>
    <t>SusanMcMahon,M.S.,R.D.,CDN</t>
  </si>
  <si>
    <t>MCMAHON SUSAN</t>
  </si>
  <si>
    <t>ShifraRubin,R.D.,CDN</t>
  </si>
  <si>
    <t>RUBIN SHIFRA</t>
  </si>
  <si>
    <t>SuzanneBethel,M.S.,CCC-SLP</t>
  </si>
  <si>
    <t>E0356207</t>
  </si>
  <si>
    <t>BETHEL SUZANNE DESIREE</t>
  </si>
  <si>
    <t>BETHEL SUZANNE</t>
  </si>
  <si>
    <t>EricZegerman,M.A.,CCC-SLP</t>
  </si>
  <si>
    <t>E0356213</t>
  </si>
  <si>
    <t>ZEGERMAN ERIC</t>
  </si>
  <si>
    <t>KevinSupple,L.M.S.W.</t>
  </si>
  <si>
    <t>SUPPLE KEVIN</t>
  </si>
  <si>
    <t>DinorahLombana,L.M.S.W</t>
  </si>
  <si>
    <t>LOMBANA DINORAH</t>
  </si>
  <si>
    <t>8002 KEW GARDENS RD STE 110</t>
  </si>
  <si>
    <t>EdgardoBonfante,M.S.</t>
  </si>
  <si>
    <t>BONFANTE EDGARDO</t>
  </si>
  <si>
    <t>RobertJoseph,Ph.D.</t>
  </si>
  <si>
    <t>E0342102</t>
  </si>
  <si>
    <t>JOSEPH ROBERT MICHAEL</t>
  </si>
  <si>
    <t>JOSEPH ROBERT</t>
  </si>
  <si>
    <t>CrystalMendez,OTR/L</t>
  </si>
  <si>
    <t>E0342615</t>
  </si>
  <si>
    <t>MENDEZ CRYSTAL AMPARO</t>
  </si>
  <si>
    <t>MENDEZ CRYSTAL</t>
  </si>
  <si>
    <t>FrancesAlcantara,M.A.</t>
  </si>
  <si>
    <t>ALCANTARA FRANCES</t>
  </si>
  <si>
    <t>EditaRaagas,MD</t>
  </si>
  <si>
    <t>E0215798</t>
  </si>
  <si>
    <t>RAAGAS EDITA M MD</t>
  </si>
  <si>
    <t>RAAGAS EDITA DR.</t>
  </si>
  <si>
    <t>MADISON YORK RESDNCE</t>
  </si>
  <si>
    <t>DimplesSodhi,MD</t>
  </si>
  <si>
    <t>E0340013</t>
  </si>
  <si>
    <t>SODHI DIMPLE</t>
  </si>
  <si>
    <t>QixiaAnnaLiu,L.M.S.W.0</t>
  </si>
  <si>
    <t>LIU QIXIA-ANNA MS.</t>
  </si>
  <si>
    <t>175 REMSEN ST, 4TH FLOOR</t>
  </si>
  <si>
    <t>AmyMa</t>
  </si>
  <si>
    <t>E0077467</t>
  </si>
  <si>
    <t>MA AMY XIAOCHEN</t>
  </si>
  <si>
    <t>MA AMY DR.</t>
  </si>
  <si>
    <t>E0163721</t>
  </si>
  <si>
    <t>SORDILLO EMILIA M  MD</t>
  </si>
  <si>
    <t>EMILIASORDILLO</t>
  </si>
  <si>
    <t>SORDILLO EMILIA</t>
  </si>
  <si>
    <t>E0375347</t>
  </si>
  <si>
    <t>CORTEZ RENEE</t>
  </si>
  <si>
    <t>MISSRENEECORTEZ</t>
  </si>
  <si>
    <t>CORTEZ RENEE MISS</t>
  </si>
  <si>
    <t>E0057657</t>
  </si>
  <si>
    <t>PEREZ ERIC MD</t>
  </si>
  <si>
    <t>ERICPEREZ</t>
  </si>
  <si>
    <t>PEREZ ERIC</t>
  </si>
  <si>
    <t>E0055998</t>
  </si>
  <si>
    <t>LAM STEPHANIE MD</t>
  </si>
  <si>
    <t>STEPHANIELAM</t>
  </si>
  <si>
    <t>LAM STEPHANIE</t>
  </si>
  <si>
    <t>PACC SUITE 2B</t>
  </si>
  <si>
    <t>E0322549</t>
  </si>
  <si>
    <t>CHITU CARMEN ELENA</t>
  </si>
  <si>
    <t>CARMENCHITU</t>
  </si>
  <si>
    <t>CHITU CARMEN</t>
  </si>
  <si>
    <t>1090 AMSTERDAM AVE # 4A</t>
  </si>
  <si>
    <t>E0188597</t>
  </si>
  <si>
    <t>KLEIN DANIEL P MD</t>
  </si>
  <si>
    <t>DANIELKLEIN</t>
  </si>
  <si>
    <t>KLEIN DANIEL</t>
  </si>
  <si>
    <t>KLEIN DANIEL PAUL</t>
  </si>
  <si>
    <t>120 E 79TH ST</t>
  </si>
  <si>
    <t>MOORE IMARI</t>
  </si>
  <si>
    <t>ZoyaTreyster</t>
  </si>
  <si>
    <t>JudyTung</t>
  </si>
  <si>
    <t>KennethLevy</t>
  </si>
  <si>
    <t>E0360114</t>
  </si>
  <si>
    <t>LEVY KENNETH C</t>
  </si>
  <si>
    <t>LEVY KENNETH DR.</t>
  </si>
  <si>
    <t>LEVY KENNETH CHARLES</t>
  </si>
  <si>
    <t>Rana,Nirmala</t>
  </si>
  <si>
    <t>(718) 854-8370</t>
  </si>
  <si>
    <t>Tan,Alfonso</t>
  </si>
  <si>
    <t>(631) 589-2323</t>
  </si>
  <si>
    <t>Trehan,Manoj</t>
  </si>
  <si>
    <t>(516) 765-3190</t>
  </si>
  <si>
    <t>Cronin,Kathleen</t>
  </si>
  <si>
    <t>(631) 913-8239</t>
  </si>
  <si>
    <t>McArthur,Barbara</t>
  </si>
  <si>
    <t>(631) 207-1119</t>
  </si>
  <si>
    <t>Furci,Thomas</t>
  </si>
  <si>
    <t>(631) 589-8484</t>
  </si>
  <si>
    <t>Bryne,Christopher</t>
  </si>
  <si>
    <t>(631) 587-1132</t>
  </si>
  <si>
    <t>Tranchese,John</t>
  </si>
  <si>
    <t>Transchese,John</t>
  </si>
  <si>
    <t>(631) 543-8732</t>
  </si>
  <si>
    <t>Chowdary,Suneetha</t>
  </si>
  <si>
    <t>(516) 643-2199</t>
  </si>
  <si>
    <t>Putman,william</t>
  </si>
  <si>
    <t>(917) 696-0426</t>
  </si>
  <si>
    <t>Donovan,GlennJ.</t>
  </si>
  <si>
    <t>(917) 589-8924</t>
  </si>
  <si>
    <t>stempod2@gmail.com</t>
  </si>
  <si>
    <t>ShebaDubos</t>
  </si>
  <si>
    <t>E0336744</t>
  </si>
  <si>
    <t>DUBOS SHEBA</t>
  </si>
  <si>
    <t>DUBOS SHEBA MS.</t>
  </si>
  <si>
    <t>TirzaSantilli,NP</t>
  </si>
  <si>
    <t>KatherineRodriguez</t>
  </si>
  <si>
    <t>RODRIGUEZ KATHERINE MS.</t>
  </si>
  <si>
    <t>ViswanathVasudevan</t>
  </si>
  <si>
    <t>E0169990</t>
  </si>
  <si>
    <t>VASUDEVAN VISWANATH PARAMESWAR</t>
  </si>
  <si>
    <t>VASUDEVAN VISWANATH DR.</t>
  </si>
  <si>
    <t>MARY IMMAC HSP</t>
  </si>
  <si>
    <t>NagammaDuddempudi</t>
  </si>
  <si>
    <t>E0227298</t>
  </si>
  <si>
    <t>DUDDEMPUDI NAGAMMA</t>
  </si>
  <si>
    <t>1502 CANTON AVE</t>
  </si>
  <si>
    <t>MichaelCabbad</t>
  </si>
  <si>
    <t>E0196336</t>
  </si>
  <si>
    <t>CABBAD MICHAEL F</t>
  </si>
  <si>
    <t>CABBAD MICHAEL DR.</t>
  </si>
  <si>
    <t>JONATHANGORDON</t>
  </si>
  <si>
    <t>E0103892</t>
  </si>
  <si>
    <t>SAUNDERS-PULLMAN RACHEL MD</t>
  </si>
  <si>
    <t>RACHELSAUNDERSPULLMAN</t>
  </si>
  <si>
    <t>SAUNDERS PULLMAN RACHEL</t>
  </si>
  <si>
    <t>E0088980</t>
  </si>
  <si>
    <t>NASRALLAH E JOHN MD</t>
  </si>
  <si>
    <t>ELINASRALLAH</t>
  </si>
  <si>
    <t>NASRALLAH ELI DR.</t>
  </si>
  <si>
    <t>E0057941</t>
  </si>
  <si>
    <t>KEPECS MIGDANA RACHEL MD</t>
  </si>
  <si>
    <t>MIGDANAKEPECS</t>
  </si>
  <si>
    <t>KEPECS MIGDANA DR.</t>
  </si>
  <si>
    <t>E0112191</t>
  </si>
  <si>
    <t>MEISELS IRA S MD</t>
  </si>
  <si>
    <t>IRAMEISELS</t>
  </si>
  <si>
    <t>MEISELS IRA DR.</t>
  </si>
  <si>
    <t>E0035337</t>
  </si>
  <si>
    <t>PETILLA-ONORATO JESSICA ISABEL MD</t>
  </si>
  <si>
    <t>JESSICAPETILLA-ONORATO</t>
  </si>
  <si>
    <t>PETILLA-ONORATO JESSICA DR.</t>
  </si>
  <si>
    <t>E0198179</t>
  </si>
  <si>
    <t>GHALI VIOLETTE SALEH MD</t>
  </si>
  <si>
    <t>VIOLETTEGHALI</t>
  </si>
  <si>
    <t>GHALI VIOLETTE</t>
  </si>
  <si>
    <t>E0184610</t>
  </si>
  <si>
    <t>BHATTACHARYA SUNITA MD</t>
  </si>
  <si>
    <t>SUNITABHATTACHARYA</t>
  </si>
  <si>
    <t>BHATTACHARYA SUNITA DR.</t>
  </si>
  <si>
    <t>ST LUKES/ROOSEVELT H</t>
  </si>
  <si>
    <t>E0131086</t>
  </si>
  <si>
    <t>GAMBRELL MARIAN LAVETTE MD</t>
  </si>
  <si>
    <t>MARIANGAMBRELL</t>
  </si>
  <si>
    <t>GAMBRELL MARIAN</t>
  </si>
  <si>
    <t>E0180579</t>
  </si>
  <si>
    <t>LEITMAN MICHAEL I MD</t>
  </si>
  <si>
    <t>ILEITMAN</t>
  </si>
  <si>
    <t>LEITMAN I</t>
  </si>
  <si>
    <t>NORTH SHORE UNIV HSP</t>
  </si>
  <si>
    <t>E0091852</t>
  </si>
  <si>
    <t>DINLENC CANER ZEKE MD</t>
  </si>
  <si>
    <t>CANERDINLENC</t>
  </si>
  <si>
    <t>DINLENC CANER</t>
  </si>
  <si>
    <t>E0090600</t>
  </si>
  <si>
    <t>RACHKO MAURICE MD</t>
  </si>
  <si>
    <t>MAURICERACHKO</t>
  </si>
  <si>
    <t>RACHKO MAURICE</t>
  </si>
  <si>
    <t>E0159190</t>
  </si>
  <si>
    <t>BERDELLA MARIA MD</t>
  </si>
  <si>
    <t>MARIABERDELLA</t>
  </si>
  <si>
    <t>BERDELLA MARIA</t>
  </si>
  <si>
    <t>DEWITT,WILLIAM</t>
  </si>
  <si>
    <t>E0393330</t>
  </si>
  <si>
    <t>DEWITT WILLIAM LIDDELL</t>
  </si>
  <si>
    <t>DEWITT WILLIAM</t>
  </si>
  <si>
    <t>FAUQUIER,LORIANN</t>
  </si>
  <si>
    <t>E0307042</t>
  </si>
  <si>
    <t>FAUQUIER LORI</t>
  </si>
  <si>
    <t>FAUQUIER LORI ANN</t>
  </si>
  <si>
    <t>FILMORE,KATHERINE</t>
  </si>
  <si>
    <t>FILMORE KATHERINE</t>
  </si>
  <si>
    <t>FRY,REBECCA</t>
  </si>
  <si>
    <t>E0317201</t>
  </si>
  <si>
    <t>FRY REBECCA</t>
  </si>
  <si>
    <t>E0083405</t>
  </si>
  <si>
    <t>AKHTAR SAADIA MD</t>
  </si>
  <si>
    <t>SAADIAAKHTAR</t>
  </si>
  <si>
    <t>AKHTAR SAADIA</t>
  </si>
  <si>
    <t>E0064673</t>
  </si>
  <si>
    <t>DO OURO SUELANE SOUSA MD</t>
  </si>
  <si>
    <t>SUELANEDOOURO</t>
  </si>
  <si>
    <t>DO OURO SUELANE</t>
  </si>
  <si>
    <t>HarryIntsiful</t>
  </si>
  <si>
    <t>E0336010</t>
  </si>
  <si>
    <t>INTSIFUL HARRY H</t>
  </si>
  <si>
    <t>INTSIFUL HARRY DR.</t>
  </si>
  <si>
    <t>107 NORTHERN BLVD STE 203</t>
  </si>
  <si>
    <t>GregorioChiu</t>
  </si>
  <si>
    <t>E0274704</t>
  </si>
  <si>
    <t>CHIU GREGORIO E            MD</t>
  </si>
  <si>
    <t>CHIU GREGORIO</t>
  </si>
  <si>
    <t>BAY RIDGE CLINIC</t>
  </si>
  <si>
    <t>SungChung</t>
  </si>
  <si>
    <t>E0256516</t>
  </si>
  <si>
    <t>CHUNG SUNG LAN             MD</t>
  </si>
  <si>
    <t>CHUNG SUNG DR.</t>
  </si>
  <si>
    <t>JosephFetto</t>
  </si>
  <si>
    <t>E0240068</t>
  </si>
  <si>
    <t>FETTO JOSEPH F</t>
  </si>
  <si>
    <t>FETTO JOSEPH</t>
  </si>
  <si>
    <t>121 DEKALB AVE N PAVILION FL 1</t>
  </si>
  <si>
    <t>DavidSussman</t>
  </si>
  <si>
    <t>E0269916</t>
  </si>
  <si>
    <t>SUSSMAN DAVID J MD</t>
  </si>
  <si>
    <t>SUSSMAN DAVID DR.</t>
  </si>
  <si>
    <t>1 HANSON PL STE 301</t>
  </si>
  <si>
    <t>AlbertoCayton</t>
  </si>
  <si>
    <t>E0250089</t>
  </si>
  <si>
    <t>CAYTON ALBERTO L           MD</t>
  </si>
  <si>
    <t>CAYTON ALBERTO</t>
  </si>
  <si>
    <t>203 AVENUE P</t>
  </si>
  <si>
    <t>AshaNayak</t>
  </si>
  <si>
    <t>E0246086</t>
  </si>
  <si>
    <t>NAYAK ASHA D               MD</t>
  </si>
  <si>
    <t>NAYAK ASHA</t>
  </si>
  <si>
    <t>JosephD'Angelo</t>
  </si>
  <si>
    <t>E0265171</t>
  </si>
  <si>
    <t>DANGELO JOSEPH P           MD</t>
  </si>
  <si>
    <t>D'ANGELO JOSEPH</t>
  </si>
  <si>
    <t>CALEDONIAN HOSP</t>
  </si>
  <si>
    <t>E0130323</t>
  </si>
  <si>
    <t>DOBROSZYCKI JOANNA MD</t>
  </si>
  <si>
    <t>JOANNADOBROSZYCKI</t>
  </si>
  <si>
    <t>DOBROSZYCKI JOANNA DR.</t>
  </si>
  <si>
    <t>E0116670</t>
  </si>
  <si>
    <t>KANCHERLA PUSHPA</t>
  </si>
  <si>
    <t>PUSHPAKANCHERLA</t>
  </si>
  <si>
    <t>E0200768</t>
  </si>
  <si>
    <t>SCHILLER ROBERT M          MD</t>
  </si>
  <si>
    <t>ROBERTSCHILLER</t>
  </si>
  <si>
    <t>SCHILLER ROBERT DR.</t>
  </si>
  <si>
    <t>E0222806</t>
  </si>
  <si>
    <t>DANIEL SAMUEL J  MD PC</t>
  </si>
  <si>
    <t>SAMUELDANIEL</t>
  </si>
  <si>
    <t>DANIEL SAMUEL DR.</t>
  </si>
  <si>
    <t># 9-B</t>
  </si>
  <si>
    <t>E0303115</t>
  </si>
  <si>
    <t>MATYSIAK ADAM ZENON</t>
  </si>
  <si>
    <t>MR.ADAMMATYSIAK</t>
  </si>
  <si>
    <t>MATYSIAK ADAM MR.</t>
  </si>
  <si>
    <t>AYRES-HEATON,CHERYL</t>
  </si>
  <si>
    <t>AYRES CHERYL MRS.</t>
  </si>
  <si>
    <t>1001 MAHONING ST, SUITE 1</t>
  </si>
  <si>
    <t>LEHIGHTON</t>
  </si>
  <si>
    <t>BENNETT,JOHN</t>
  </si>
  <si>
    <t>E0318356</t>
  </si>
  <si>
    <t>BENNETT JOHN</t>
  </si>
  <si>
    <t>BENNETT JOHN MR.</t>
  </si>
  <si>
    <t>BROHOLM,CINDY</t>
  </si>
  <si>
    <t>E0105678</t>
  </si>
  <si>
    <t>BROHOLM CINDY LEIGH</t>
  </si>
  <si>
    <t>BROHOLM CINDY</t>
  </si>
  <si>
    <t>LA PROVIDENCIA</t>
  </si>
  <si>
    <t>CANTOR,AVIVA</t>
  </si>
  <si>
    <t>E0338474</t>
  </si>
  <si>
    <t>CANTOR AVIVA H</t>
  </si>
  <si>
    <t>CANTOR AVIVA MS.</t>
  </si>
  <si>
    <t>123-125 WEST 124TH ST</t>
  </si>
  <si>
    <t>CHUN,EUNME</t>
  </si>
  <si>
    <t>E0027516</t>
  </si>
  <si>
    <t>CHUN EUNMEE H</t>
  </si>
  <si>
    <t>CHUN EUNMEE</t>
  </si>
  <si>
    <t>COLON-OTERO,SEBASTIAN</t>
  </si>
  <si>
    <t>E0308171</t>
  </si>
  <si>
    <t>COLON-OTERO SEBASTIAN</t>
  </si>
  <si>
    <t>COLON-OTERO SEBASTIAN MR.</t>
  </si>
  <si>
    <t>DAVIDSON,AMELIE</t>
  </si>
  <si>
    <t>E0334161</t>
  </si>
  <si>
    <t>DAVIDSON AMELIE</t>
  </si>
  <si>
    <t>DEROCHE,JEFFREY</t>
  </si>
  <si>
    <t>E0395398</t>
  </si>
  <si>
    <t>DEROCHE JEFFREY</t>
  </si>
  <si>
    <t>DEROCHE JEFFREY MR.</t>
  </si>
  <si>
    <t>GerardDiDonato,L.C.S.W.</t>
  </si>
  <si>
    <t>E0341606</t>
  </si>
  <si>
    <t>DIDONATO GERARD</t>
  </si>
  <si>
    <t>DI DONATO GERARD</t>
  </si>
  <si>
    <t>AlexandraHowe,Ph.D.</t>
  </si>
  <si>
    <t>E0021904</t>
  </si>
  <si>
    <t>HOWE ALEXANDRA S PHD</t>
  </si>
  <si>
    <t>HOWE ALEXANDRA</t>
  </si>
  <si>
    <t>MichaelKaufer,M.A.,CCC-SLP,CCC-A</t>
  </si>
  <si>
    <t>E0078195</t>
  </si>
  <si>
    <t>KAUFER MICHAEL EDWARD</t>
  </si>
  <si>
    <t>KAUFER MICHAEL DR.</t>
  </si>
  <si>
    <t>18 EVELYN DR</t>
  </si>
  <si>
    <t>JonEngbretson</t>
  </si>
  <si>
    <t>ENGBRETSON JON</t>
  </si>
  <si>
    <t>LAGERSTRASSE101</t>
  </si>
  <si>
    <t>DalanRead</t>
  </si>
  <si>
    <t>E0036578</t>
  </si>
  <si>
    <t>READ DALAN MD</t>
  </si>
  <si>
    <t>READ DALAN DR.</t>
  </si>
  <si>
    <t>RichardRindfuss</t>
  </si>
  <si>
    <t>E0070212</t>
  </si>
  <si>
    <t>RINDFUSS RICHARD THOMAS MD</t>
  </si>
  <si>
    <t>RINDFUSS RICHARD</t>
  </si>
  <si>
    <t>121 DEKALB AVE # 180</t>
  </si>
  <si>
    <t>E0062685</t>
  </si>
  <si>
    <t>KAPUSUZ TOLGA MD</t>
  </si>
  <si>
    <t>TolgaKapusuz</t>
  </si>
  <si>
    <t>KAPUSUZ TOLGA DR.</t>
  </si>
  <si>
    <t>E0014088</t>
  </si>
  <si>
    <t>PATEL DIPAL MD</t>
  </si>
  <si>
    <t>DipalPatel</t>
  </si>
  <si>
    <t>PATEL DIPAL DR.</t>
  </si>
  <si>
    <t>ChristinaEggermont</t>
  </si>
  <si>
    <t>KennethEinhorn</t>
  </si>
  <si>
    <t>(212) 660-1343</t>
  </si>
  <si>
    <t>Dr.Kenneth.Einhorn@nyfoundling.org</t>
  </si>
  <si>
    <t>COHEN CHRISTINA</t>
  </si>
  <si>
    <t>590 AVENUE OF THE AMERICAS, THE NY FOUNDLING</t>
  </si>
  <si>
    <t>IrinaGillett</t>
  </si>
  <si>
    <t>ReinaBatrony</t>
  </si>
  <si>
    <t>(212) 660-1354</t>
  </si>
  <si>
    <t>Reina.Batrony@nyfoundling.org</t>
  </si>
  <si>
    <t>GILLETT IRINA MS.</t>
  </si>
  <si>
    <t>BATRONY REINA</t>
  </si>
  <si>
    <t>33-00 NORTHERN BLVD, 5TH FLOOR</t>
  </si>
  <si>
    <t>NatarshaDHamlet</t>
  </si>
  <si>
    <t>HAMLET DANAE</t>
  </si>
  <si>
    <t>590 6TH AVE, 11TH FLOOR</t>
  </si>
  <si>
    <t>YonetteDavis</t>
  </si>
  <si>
    <t>E0095770</t>
  </si>
  <si>
    <t>DAVIS YONETTE MD</t>
  </si>
  <si>
    <t>DAVIS YONETTE DR.</t>
  </si>
  <si>
    <t>E0119002</t>
  </si>
  <si>
    <t>PAPAPIETRO NICHOLAS V MD</t>
  </si>
  <si>
    <t>NICHOLASPAPAPIETRO</t>
  </si>
  <si>
    <t>PAPAPIETRO NICHOLAS DR.</t>
  </si>
  <si>
    <t>RajaniMaret</t>
  </si>
  <si>
    <t>E0368353</t>
  </si>
  <si>
    <t>MARET RAJANI</t>
  </si>
  <si>
    <t>MARET RAJANI DR.</t>
  </si>
  <si>
    <t>UzomaUkomadu</t>
  </si>
  <si>
    <t>E0338851</t>
  </si>
  <si>
    <t>UKOMADU UZOMA NWAEZE</t>
  </si>
  <si>
    <t>UKOMADU UZOMA DR.</t>
  </si>
  <si>
    <t>UKOMADO UZOMA</t>
  </si>
  <si>
    <t>KhaledaIslam</t>
  </si>
  <si>
    <t>E0347024</t>
  </si>
  <si>
    <t>ISLAM KHALEDA K</t>
  </si>
  <si>
    <t>ISLAM KHALEDA</t>
  </si>
  <si>
    <t>WuTan</t>
  </si>
  <si>
    <t>E0341564</t>
  </si>
  <si>
    <t>TAN WU</t>
  </si>
  <si>
    <t>771 61ST ST</t>
  </si>
  <si>
    <t>MaricelaSanchez</t>
  </si>
  <si>
    <t>E0349454</t>
  </si>
  <si>
    <t>SANCHEZ MARICELA</t>
  </si>
  <si>
    <t>SANCHEZ MARICELA DR.</t>
  </si>
  <si>
    <t>DanielMason</t>
  </si>
  <si>
    <t>E0361520</t>
  </si>
  <si>
    <t>MASON DANIEL GORDON</t>
  </si>
  <si>
    <t>MASON DANIEL</t>
  </si>
  <si>
    <t>MoynaKapoor</t>
  </si>
  <si>
    <t>E0024785</t>
  </si>
  <si>
    <t>KAPOOR MOYNA MD</t>
  </si>
  <si>
    <t>KAPOOR MOYNA DR.</t>
  </si>
  <si>
    <t>JeremeaEvans</t>
  </si>
  <si>
    <t>EVANS JEREMEA MISS</t>
  </si>
  <si>
    <t>RomuloGenato</t>
  </si>
  <si>
    <t>E0264242</t>
  </si>
  <si>
    <t>GENATO ROMULO L            MD</t>
  </si>
  <si>
    <t>GENATO ROMULO DR.</t>
  </si>
  <si>
    <t>GENATO ROMULO L</t>
  </si>
  <si>
    <t>HaydnBriggs</t>
  </si>
  <si>
    <t>E0248208</t>
  </si>
  <si>
    <t>BRIGGS HAYDN               MD</t>
  </si>
  <si>
    <t>BRIGGS HAYDN DR.</t>
  </si>
  <si>
    <t>136 LINDEN BLVD</t>
  </si>
  <si>
    <t>SuryanarayanAnand</t>
  </si>
  <si>
    <t>E0227030</t>
  </si>
  <si>
    <t>ANAND SURYANARAYAN MD PC</t>
  </si>
  <si>
    <t>ANAND SURYANARAYAN</t>
  </si>
  <si>
    <t>GloriaRapoport</t>
  </si>
  <si>
    <t>E0160791</t>
  </si>
  <si>
    <t>RAPOPORT GLORIA MD</t>
  </si>
  <si>
    <t>RAPOPORT GLORIA</t>
  </si>
  <si>
    <t>BROOKLYN HOSP RADIOL</t>
  </si>
  <si>
    <t>JubilMalieckal</t>
  </si>
  <si>
    <t>E0226036</t>
  </si>
  <si>
    <t>MALIECKAL JUBIL            MD</t>
  </si>
  <si>
    <t>MALIECKAL JUBIL</t>
  </si>
  <si>
    <t>80 WHITMAN DR</t>
  </si>
  <si>
    <t>RameshGulrajani</t>
  </si>
  <si>
    <t>E0243517</t>
  </si>
  <si>
    <t>GULRAJANI RAMESH S         MD</t>
  </si>
  <si>
    <t>GULRAJANI RAMESH</t>
  </si>
  <si>
    <t>GARZA,DANIEL</t>
  </si>
  <si>
    <t>E0130344</t>
  </si>
  <si>
    <t>GARZA DANIEL</t>
  </si>
  <si>
    <t>GARZA DANIEL DR.</t>
  </si>
  <si>
    <t>GONZALES,JULIO</t>
  </si>
  <si>
    <t>GONZALEZ JULIO MR.</t>
  </si>
  <si>
    <t>KennethBromberg</t>
  </si>
  <si>
    <t>E0249604</t>
  </si>
  <si>
    <t>BROMBERG KENNETH           MD</t>
  </si>
  <si>
    <t>BROMBERG KENNETH DR.</t>
  </si>
  <si>
    <t>DOWNST MED CTR</t>
  </si>
  <si>
    <t>StephenAjl</t>
  </si>
  <si>
    <t>E0252958</t>
  </si>
  <si>
    <t>AJL STEPHEN I              MD</t>
  </si>
  <si>
    <t>AJL STEPHEN DR.</t>
  </si>
  <si>
    <t>DEPT OF PED</t>
  </si>
  <si>
    <t>SethLeRea,L.M.S.W.</t>
  </si>
  <si>
    <t>LEREA SETH</t>
  </si>
  <si>
    <t>E0210143</t>
  </si>
  <si>
    <t>GOTTESMAN LESTER           MD</t>
  </si>
  <si>
    <t>LESTERGOTTESMAN</t>
  </si>
  <si>
    <t>GOTTESMAN LESTER DR.</t>
  </si>
  <si>
    <t>TitusMorton,MD</t>
  </si>
  <si>
    <t>(646) 666-4601</t>
  </si>
  <si>
    <t>tamjgs@hotmail.com</t>
  </si>
  <si>
    <t>ElvaNaco,MD</t>
  </si>
  <si>
    <t>E0061469</t>
  </si>
  <si>
    <t>NACO ELVA   MD</t>
  </si>
  <si>
    <t>Elva.naco@yahoo.com</t>
  </si>
  <si>
    <t>NACO ELVA</t>
  </si>
  <si>
    <t>ST VINCENTS HSP MED</t>
  </si>
  <si>
    <t>MarleneMcHugh,NP</t>
  </si>
  <si>
    <t>(917) 797-0781</t>
  </si>
  <si>
    <t>mmh1135@aol.com</t>
  </si>
  <si>
    <t>ShuchitaSharma,MD</t>
  </si>
  <si>
    <t>(914) 813-0878</t>
  </si>
  <si>
    <t>shuchita.sharma@mountsinai.org</t>
  </si>
  <si>
    <t>1249FifthAvenue</t>
  </si>
  <si>
    <t>KRAVITZ EVAN</t>
  </si>
  <si>
    <t>23 EXECUTIVE DR</t>
  </si>
  <si>
    <t>GamalMohamed,PT</t>
  </si>
  <si>
    <t>PhilipUy,Ph.D.</t>
  </si>
  <si>
    <t>E0423181</t>
  </si>
  <si>
    <t>UY PHILLIP JOSEPH</t>
  </si>
  <si>
    <t>UY PHILIP MR.</t>
  </si>
  <si>
    <t>E0185836</t>
  </si>
  <si>
    <t>GRAY MARK D MD</t>
  </si>
  <si>
    <t>MARKGRAY</t>
  </si>
  <si>
    <t>GRAY MARK</t>
  </si>
  <si>
    <t>GRAY MARK D</t>
  </si>
  <si>
    <t>GlennEllenbogen,Ph.D.</t>
  </si>
  <si>
    <t>E0342806</t>
  </si>
  <si>
    <t>ELLENBOGEN GLENN CURTIS</t>
  </si>
  <si>
    <t>ELLENBOGEN GLENN</t>
  </si>
  <si>
    <t>E0108874</t>
  </si>
  <si>
    <t>OFOSU-AMAAH SOPHIA MD</t>
  </si>
  <si>
    <t>SOPHIANAA-ABIACASLEY-HAYFORD</t>
  </si>
  <si>
    <t>CASLEY-HAYFORD SOPHIA NAA-ABIA DR.</t>
  </si>
  <si>
    <t>CASELY-HAYFORD SOPHIA NAA-ABIA MD</t>
  </si>
  <si>
    <t>E0084582</t>
  </si>
  <si>
    <t>GANDHI VANI PRAGNESH MD</t>
  </si>
  <si>
    <t>VANIGANDHI</t>
  </si>
  <si>
    <t>GANDHI VANI</t>
  </si>
  <si>
    <t>MORNINGSIDE CL</t>
  </si>
  <si>
    <t>E0180234</t>
  </si>
  <si>
    <t>LANGER HOPE S</t>
  </si>
  <si>
    <t>HOPELANGER</t>
  </si>
  <si>
    <t>LANGER HOPE</t>
  </si>
  <si>
    <t>E0041839</t>
  </si>
  <si>
    <t>TEETS RAYMOND</t>
  </si>
  <si>
    <t>RAYMONDTEETS</t>
  </si>
  <si>
    <t>TEETS RAYMOND DR.</t>
  </si>
  <si>
    <t>TEETS RAYMOND Y</t>
  </si>
  <si>
    <t>16 EAST 16TH STREET</t>
  </si>
  <si>
    <t>E0204662</t>
  </si>
  <si>
    <t>KLEIN JANICE F             MD</t>
  </si>
  <si>
    <t>JANICEKLEIN</t>
  </si>
  <si>
    <t>KLEIN JANICE</t>
  </si>
  <si>
    <t>SOOKMCGRATH</t>
  </si>
  <si>
    <t>MCGRATH SOOK</t>
  </si>
  <si>
    <t>1111 AMSTERDAM AVE, MULLENBERG 2ND FLOOR / SURGERY DEPT</t>
  </si>
  <si>
    <t>E0200384</t>
  </si>
  <si>
    <t>ZAREMSKI BENJAMIN          MD</t>
  </si>
  <si>
    <t>BenjaminZaremski</t>
  </si>
  <si>
    <t>ZAREMSKI BENJAMIN</t>
  </si>
  <si>
    <t>ZAREMSKI BENJAMIN MD</t>
  </si>
  <si>
    <t>315 E 86TH ST APT 18D</t>
  </si>
  <si>
    <t>E0067150</t>
  </si>
  <si>
    <t>ALLEN LYNN RASHKIND MD</t>
  </si>
  <si>
    <t>LYNNALLEN</t>
  </si>
  <si>
    <t>ALLEN LYNN DR.</t>
  </si>
  <si>
    <t>RACHNASULTANIAN</t>
  </si>
  <si>
    <t>E0200092</t>
  </si>
  <si>
    <t>BORG MORTON DAVID          MD</t>
  </si>
  <si>
    <t>MORTONBORG</t>
  </si>
  <si>
    <t>BORG MORTON</t>
  </si>
  <si>
    <t>HOSP JOINT DISEASES</t>
  </si>
  <si>
    <t>E0127979</t>
  </si>
  <si>
    <t>ROTHENBERG SUSAN D MD</t>
  </si>
  <si>
    <t>SUSANROTHENBERG</t>
  </si>
  <si>
    <t>ROTHENBERG SUSAN</t>
  </si>
  <si>
    <t>PACC DEPT OB/GYN 2B</t>
  </si>
  <si>
    <t>E0189764</t>
  </si>
  <si>
    <t>STEIN JANET LAURIE MD</t>
  </si>
  <si>
    <t>JANETSTEIN</t>
  </si>
  <si>
    <t>STEIN JANET</t>
  </si>
  <si>
    <t>1ST AVE A T 16TH ST.</t>
  </si>
  <si>
    <t>E0141916</t>
  </si>
  <si>
    <t>KOTY RICHARD E MD</t>
  </si>
  <si>
    <t>RICHKOTY</t>
  </si>
  <si>
    <t>KOTY RICH DR.</t>
  </si>
  <si>
    <t>ST LUKES HC OPHTAL</t>
  </si>
  <si>
    <t>E0127002</t>
  </si>
  <si>
    <t>MILLER SHERYL ROBIN MD</t>
  </si>
  <si>
    <t>SHERYLMILLER</t>
  </si>
  <si>
    <t>MILLER SHERYL DR.</t>
  </si>
  <si>
    <t>STE 326</t>
  </si>
  <si>
    <t>E0112764</t>
  </si>
  <si>
    <t>KHOSH MAURICE M MD</t>
  </si>
  <si>
    <t>MAURICEKHOSH</t>
  </si>
  <si>
    <t>KHOSH MAURICE</t>
  </si>
  <si>
    <t>FL 10</t>
  </si>
  <si>
    <t>E0123065</t>
  </si>
  <si>
    <t>OROZCO JUAN C MD</t>
  </si>
  <si>
    <t>JUANOROZCO</t>
  </si>
  <si>
    <t>OROZCO JUAN</t>
  </si>
  <si>
    <t>E0125245</t>
  </si>
  <si>
    <t>TANGREDI ANGELA M MD</t>
  </si>
  <si>
    <t>ANGELATANGREDI</t>
  </si>
  <si>
    <t>TANGREDI ANGELA</t>
  </si>
  <si>
    <t>E0165100</t>
  </si>
  <si>
    <t>PALEY CHARLES W MD</t>
  </si>
  <si>
    <t>CHARLESPALEY</t>
  </si>
  <si>
    <t>PALEY CHARLES</t>
  </si>
  <si>
    <t>E0093495</t>
  </si>
  <si>
    <t>WEINER DAVID MARTIN MD</t>
  </si>
  <si>
    <t>DAVIDWEINER</t>
  </si>
  <si>
    <t>WEINER DAVID</t>
  </si>
  <si>
    <t>425 W 59TH ST # 3A</t>
  </si>
  <si>
    <t>E0068349</t>
  </si>
  <si>
    <t>MIZUGUCHI RICHARD S MD</t>
  </si>
  <si>
    <t>RICHARDMIZUGUCHI</t>
  </si>
  <si>
    <t>MIZUGUCHI RICHARD</t>
  </si>
  <si>
    <t>E0137154</t>
  </si>
  <si>
    <t>HOFFMAN DARRYL M MD</t>
  </si>
  <si>
    <t>DARRYLHOFFMAN</t>
  </si>
  <si>
    <t>HOFFMAN DARRYL DR.</t>
  </si>
  <si>
    <t>E0159732</t>
  </si>
  <si>
    <t>DELFINER JOEL S MD</t>
  </si>
  <si>
    <t>JOELDELFINER</t>
  </si>
  <si>
    <t>DELFINER JOEL DR.</t>
  </si>
  <si>
    <t>E0043429</t>
  </si>
  <si>
    <t>SAMSON WILLIAM MD</t>
  </si>
  <si>
    <t>WILLIAMSAMSON</t>
  </si>
  <si>
    <t>SAMSON WILLIAM DR.</t>
  </si>
  <si>
    <t>E0114032</t>
  </si>
  <si>
    <t>SERSENI DRAGOS M MD</t>
  </si>
  <si>
    <t>DRAGOSSERSENI</t>
  </si>
  <si>
    <t>SERSENI DRAGOS</t>
  </si>
  <si>
    <t>E0116649</t>
  </si>
  <si>
    <t>COHEN ERIC J MD</t>
  </si>
  <si>
    <t>ERICCOHEN</t>
  </si>
  <si>
    <t>COHEN ERIC</t>
  </si>
  <si>
    <t>CHRISTIANEPACHECO</t>
  </si>
  <si>
    <t>EstherJ.Pottoore</t>
  </si>
  <si>
    <t>(212) 628-2800</t>
  </si>
  <si>
    <t>epottoore@archcare.org</t>
  </si>
  <si>
    <t>POTTOORE ESTHER</t>
  </si>
  <si>
    <t>2015 GRAND CONCOURSE, 4TH FLOOR</t>
  </si>
  <si>
    <t>StephenBennett</t>
  </si>
  <si>
    <t>E0191768</t>
  </si>
  <si>
    <t>BENNETT STEPHEN J MD</t>
  </si>
  <si>
    <t>(212) 645-0970</t>
  </si>
  <si>
    <t>sbennmd@att.net</t>
  </si>
  <si>
    <t>BENNETT STEPHEN</t>
  </si>
  <si>
    <t>254 W 10TH ST</t>
  </si>
  <si>
    <t>E0197964</t>
  </si>
  <si>
    <t>GLIEDMAN PAUL R            MD</t>
  </si>
  <si>
    <t>PAULGLIEDMAN</t>
  </si>
  <si>
    <t>GLIEDMAN PAUL</t>
  </si>
  <si>
    <t>HaroldKim</t>
  </si>
  <si>
    <t>E0087098</t>
  </si>
  <si>
    <t>KIM HAROLD MD</t>
  </si>
  <si>
    <t>KIM HAROLD DR.</t>
  </si>
  <si>
    <t>KIM HAROLD</t>
  </si>
  <si>
    <t>ReginaSotnik</t>
  </si>
  <si>
    <t>E0090601</t>
  </si>
  <si>
    <t>SOTNIK REGINA MD</t>
  </si>
  <si>
    <t>SOTNIK REGINA</t>
  </si>
  <si>
    <t>BrianHall</t>
  </si>
  <si>
    <t>E0311164</t>
  </si>
  <si>
    <t>BRIAN MCDONALD HALL</t>
  </si>
  <si>
    <t>HALL BRIAN DR.</t>
  </si>
  <si>
    <t>HALL BRIAN MCDONALD</t>
  </si>
  <si>
    <t>ChristineKim</t>
  </si>
  <si>
    <t>E0310289</t>
  </si>
  <si>
    <t>CHRISTINE H KIM MD</t>
  </si>
  <si>
    <t>KIM CHRISTINE</t>
  </si>
  <si>
    <t>KIM CHRISTINE H  MD</t>
  </si>
  <si>
    <t>DanielMasri</t>
  </si>
  <si>
    <t>E0310761</t>
  </si>
  <si>
    <t>MASRI DANIEL</t>
  </si>
  <si>
    <t>MASRI DANIEL DR.</t>
  </si>
  <si>
    <t>CameleWhite</t>
  </si>
  <si>
    <t>E0311959</t>
  </si>
  <si>
    <t>WHITE CAMELE</t>
  </si>
  <si>
    <t>WHITE CAMELE DR.</t>
  </si>
  <si>
    <t>1336 UTICA AVE</t>
  </si>
  <si>
    <t>MichaelMeguerdichian</t>
  </si>
  <si>
    <t>E0308136</t>
  </si>
  <si>
    <t>MEGUERDICHIAN MICHAEL JOHN</t>
  </si>
  <si>
    <t>MEGUERDICHIAN MICHAEL DR.</t>
  </si>
  <si>
    <t>CarolineColumbres</t>
  </si>
  <si>
    <t>E0309038</t>
  </si>
  <si>
    <t>CAROLINE COLUMBRES MD</t>
  </si>
  <si>
    <t>COLUMBRES CAROLINE</t>
  </si>
  <si>
    <t>E0053977</t>
  </si>
  <si>
    <t>CORBETT SHONDA MARCIA MD</t>
  </si>
  <si>
    <t>SHONDAFORTE</t>
  </si>
  <si>
    <t>CORBETT SHONDA</t>
  </si>
  <si>
    <t>STE 6-A</t>
  </si>
  <si>
    <t>E0139488</t>
  </si>
  <si>
    <t>MEDEIROS DANIEL M MD</t>
  </si>
  <si>
    <t>DANIELMEDEIROS</t>
  </si>
  <si>
    <t>MEDEIROS DANIEL</t>
  </si>
  <si>
    <t>MEDEIROS DANIEL M</t>
  </si>
  <si>
    <t>E0296551</t>
  </si>
  <si>
    <t>GERALDINE YASMINE JOSEPH</t>
  </si>
  <si>
    <t>GERALDINEJOSEPH</t>
  </si>
  <si>
    <t>JOSEPH GERALDINE</t>
  </si>
  <si>
    <t>JOSEPH GERALDINE YASMINE</t>
  </si>
  <si>
    <t>E0110998</t>
  </si>
  <si>
    <t>SALINAS JEAN-LOUIS MD</t>
  </si>
  <si>
    <t>JEAN-LOUISSALINAS</t>
  </si>
  <si>
    <t>SALINAS JEAN-LOUIS</t>
  </si>
  <si>
    <t>E0295020</t>
  </si>
  <si>
    <t>CULANG DAVID PHILLIP</t>
  </si>
  <si>
    <t>DAVIDCULANG</t>
  </si>
  <si>
    <t>CULANG DAVID</t>
  </si>
  <si>
    <t>E0324237</t>
  </si>
  <si>
    <t>RAMIREZ IVONNE</t>
  </si>
  <si>
    <t>IVONNERAMIREZ</t>
  </si>
  <si>
    <t>280 W 81ST ST</t>
  </si>
  <si>
    <t>AnthonyAntonucci</t>
  </si>
  <si>
    <t>Carillon830ParkAve</t>
  </si>
  <si>
    <t>Huntington</t>
  </si>
  <si>
    <t>JohnFerraro</t>
  </si>
  <si>
    <t>AmerRafiaa</t>
  </si>
  <si>
    <t>E0127096</t>
  </si>
  <si>
    <t>RAFIAA AMER</t>
  </si>
  <si>
    <t>L I COLLEGE HOSPITAL</t>
  </si>
  <si>
    <t>BensonYeh</t>
  </si>
  <si>
    <t>E0094123</t>
  </si>
  <si>
    <t>YEH BENSON MD</t>
  </si>
  <si>
    <t>YEH BENSON</t>
  </si>
  <si>
    <t>BolanleOlajide</t>
  </si>
  <si>
    <t>E0112171</t>
  </si>
  <si>
    <t>OLAJIDE BOLANLE A MD</t>
  </si>
  <si>
    <t>OLAJIDE BOLANLE</t>
  </si>
  <si>
    <t>629 EASTERN PKWY</t>
  </si>
  <si>
    <t>RamasamyGovindarajan</t>
  </si>
  <si>
    <t>E0088006</t>
  </si>
  <si>
    <t>GOVINDARAJAN RAMASAMY MD</t>
  </si>
  <si>
    <t>GOVINDARAJAN RAMASAMY</t>
  </si>
  <si>
    <t>BROOKDALE HSP MED</t>
  </si>
  <si>
    <t>MichaelTrimba</t>
  </si>
  <si>
    <t>E0113654</t>
  </si>
  <si>
    <t>TRIMBA MICHAEL</t>
  </si>
  <si>
    <t>71 5TH AVE</t>
  </si>
  <si>
    <t>LizPoomkudy</t>
  </si>
  <si>
    <t>E0111135</t>
  </si>
  <si>
    <t>POOMKUDY LIZ</t>
  </si>
  <si>
    <t>DilshadFakhruddin</t>
  </si>
  <si>
    <t>E0110348</t>
  </si>
  <si>
    <t>FAKHRUDDIN DILSHAD MD</t>
  </si>
  <si>
    <t>FAKHRUDDIN DILSHAD</t>
  </si>
  <si>
    <t>1081 GATES AVE</t>
  </si>
  <si>
    <t>GUADRON,RUDOLFO</t>
  </si>
  <si>
    <t>E0337640</t>
  </si>
  <si>
    <t>GUADRON RODOLFO</t>
  </si>
  <si>
    <t>GURIGUATA,INES</t>
  </si>
  <si>
    <t>GUARIGUATA INES MS.</t>
  </si>
  <si>
    <t>139 FULTON ST RM 1012, C/O SAGE WELLNESS ACUPUNCTURE</t>
  </si>
  <si>
    <t>HAYS,PAUL</t>
  </si>
  <si>
    <t>E0318351</t>
  </si>
  <si>
    <t>HAYS PAUL</t>
  </si>
  <si>
    <t>HAYS PAUL MR.</t>
  </si>
  <si>
    <t>HOANG,ALICE</t>
  </si>
  <si>
    <t>E0341489</t>
  </si>
  <si>
    <t>HOANG ALICE</t>
  </si>
  <si>
    <t>HOANG ALICE DR.</t>
  </si>
  <si>
    <t>DerekChung</t>
  </si>
  <si>
    <t>E0097999</t>
  </si>
  <si>
    <t>CHUNG DEREK G MD</t>
  </si>
  <si>
    <t>CHUNG DEREK DR.</t>
  </si>
  <si>
    <t>3810 AVENUE L</t>
  </si>
  <si>
    <t>JamesTaft</t>
  </si>
  <si>
    <t>E0116018</t>
  </si>
  <si>
    <t>TAFT JAMES DANIEL MD</t>
  </si>
  <si>
    <t>TAFT JAMES DR.</t>
  </si>
  <si>
    <t>ReubenRolnick</t>
  </si>
  <si>
    <t>E0128853</t>
  </si>
  <si>
    <t>ROLNICK REUBEN MD</t>
  </si>
  <si>
    <t>ROLNICK REUBEN DR.</t>
  </si>
  <si>
    <t>ROLNICK REUBEN</t>
  </si>
  <si>
    <t>AfafAkhnoukh</t>
  </si>
  <si>
    <t>E0127642</t>
  </si>
  <si>
    <t>AKHNOUKH AFAF ELKOMOS SOLIMAN</t>
  </si>
  <si>
    <t>AKHNOUKH AFAF</t>
  </si>
  <si>
    <t>KINGSBORO MED GRP</t>
  </si>
  <si>
    <t>ChoudhuryHasan</t>
  </si>
  <si>
    <t>E0112232</t>
  </si>
  <si>
    <t>HASAN CHOUDHURY MD M MD</t>
  </si>
  <si>
    <t>HASAN CHOUDHURY DR.</t>
  </si>
  <si>
    <t>APT CA</t>
  </si>
  <si>
    <t>WilliamBoah</t>
  </si>
  <si>
    <t>E0262389</t>
  </si>
  <si>
    <t>BOAH WILLIAM O</t>
  </si>
  <si>
    <t>BOAH WILLIAM</t>
  </si>
  <si>
    <t>222 E 17TH ST</t>
  </si>
  <si>
    <t>WilliamHeneghan</t>
  </si>
  <si>
    <t>E0226614</t>
  </si>
  <si>
    <t>HENEGHAN WILLIAM F         MD</t>
  </si>
  <si>
    <t>HENEGHAN WILLIAM</t>
  </si>
  <si>
    <t>SandraDiaz</t>
  </si>
  <si>
    <t>LuciaPons</t>
  </si>
  <si>
    <t>sdiaz@homecareny.org</t>
  </si>
  <si>
    <t>DIAZ SANDRA MS.</t>
  </si>
  <si>
    <t>1787 BUSSING AVE</t>
  </si>
  <si>
    <t>TamiHall</t>
  </si>
  <si>
    <t>ElisaHampton</t>
  </si>
  <si>
    <t>36-1121stSt.</t>
  </si>
  <si>
    <t>ArtiJaiswal</t>
  </si>
  <si>
    <t>MoniqueJenkins</t>
  </si>
  <si>
    <t>DavidJohn</t>
  </si>
  <si>
    <t>MichelleMartin</t>
  </si>
  <si>
    <t>VyacheslavMiklheyev</t>
  </si>
  <si>
    <t>E0225658</t>
  </si>
  <si>
    <t>VIJAYAN RADHIKA            MD</t>
  </si>
  <si>
    <t>RADHIKAVIJAYAN</t>
  </si>
  <si>
    <t>VIJAYAN RADHIKA DR.</t>
  </si>
  <si>
    <t>E0047593</t>
  </si>
  <si>
    <t>MARTIN JANE PHD</t>
  </si>
  <si>
    <t>JANEMARTIN</t>
  </si>
  <si>
    <t>MARTIN JANE</t>
  </si>
  <si>
    <t>E0131381</t>
  </si>
  <si>
    <t>MYINT MOE MOE</t>
  </si>
  <si>
    <t>MOEMYINT</t>
  </si>
  <si>
    <t>MYINT MOE</t>
  </si>
  <si>
    <t>E0036465</t>
  </si>
  <si>
    <t>TORGALKAR SOHITA MITTAL MD</t>
  </si>
  <si>
    <t>SOHITATORGALKAR</t>
  </si>
  <si>
    <t>TORGALKAR SOHITA</t>
  </si>
  <si>
    <t>TORGALKAR SOHITA MITTAL</t>
  </si>
  <si>
    <t>AndrewCerullo,DPT</t>
  </si>
  <si>
    <t>E0367599</t>
  </si>
  <si>
    <t>CERULLO ANDREW</t>
  </si>
  <si>
    <t>CERULLO ANDREW DR.</t>
  </si>
  <si>
    <t>VoltaireCaraig,OTR/L</t>
  </si>
  <si>
    <t>E0342629</t>
  </si>
  <si>
    <t>CARAIG VOLTAIRE DELAPAZ</t>
  </si>
  <si>
    <t>CARAIG VOLTAIRE MR.</t>
  </si>
  <si>
    <t>SamairaKhan,DO</t>
  </si>
  <si>
    <t>(917) 628-6617</t>
  </si>
  <si>
    <t>skhan14@nyit.edu</t>
  </si>
  <si>
    <t>GertieQuitangon,MD</t>
  </si>
  <si>
    <t>E0307958</t>
  </si>
  <si>
    <t>QUITANGON GERTIE</t>
  </si>
  <si>
    <t>(917) 254-3292</t>
  </si>
  <si>
    <t>gquitmd@gmail.com</t>
  </si>
  <si>
    <t>QUITANGON GERTIE DR.</t>
  </si>
  <si>
    <t>QUITANGON GERTIE DIZON</t>
  </si>
  <si>
    <t>VincentCalamia</t>
  </si>
  <si>
    <t>E0021965</t>
  </si>
  <si>
    <t>QUAAS JOSHUA WALTER  MD</t>
  </si>
  <si>
    <t>JOSHUAQUAAS</t>
  </si>
  <si>
    <t>QUAAS JOSHUA</t>
  </si>
  <si>
    <t>MaeganMeneses,M.A.,CCC-SLP</t>
  </si>
  <si>
    <t>E0355002</t>
  </si>
  <si>
    <t>MENESES MAEGAN ANN</t>
  </si>
  <si>
    <t>SERRA MAEGAN</t>
  </si>
  <si>
    <t>SERRA MAEGAN ANN</t>
  </si>
  <si>
    <t>DavidJaySmith,M.S.Ed</t>
  </si>
  <si>
    <t>SMITH DAVID</t>
  </si>
  <si>
    <t>239 61ST ST</t>
  </si>
  <si>
    <t>AlexandraKoenig,M.A.</t>
  </si>
  <si>
    <t>KOENIG ALEXANDRA</t>
  </si>
  <si>
    <t>JessicaRapp,OTR/L</t>
  </si>
  <si>
    <t>E0375552</t>
  </si>
  <si>
    <t>RAPP JESSICA MARY</t>
  </si>
  <si>
    <t>RAPP JESSICA</t>
  </si>
  <si>
    <t>KristiHickey-Vigilante,L.M.S.W.</t>
  </si>
  <si>
    <t>HICKEY-VIGILANTE KRISTI</t>
  </si>
  <si>
    <t>RobertGuglielmo,L.C.S.W.,M.P.H.</t>
  </si>
  <si>
    <t>E0054927</t>
  </si>
  <si>
    <t>GUGLIELMO ROBERT</t>
  </si>
  <si>
    <t>GUGLIELMO ROBERT J.</t>
  </si>
  <si>
    <t>3711 35TH AVE FL 3</t>
  </si>
  <si>
    <t>BeritRostad,M.S.</t>
  </si>
  <si>
    <t>ROSTAD BERIT</t>
  </si>
  <si>
    <t>ShanaDastur,L.C.S.W.</t>
  </si>
  <si>
    <t>E0305804</t>
  </si>
  <si>
    <t>DASTUR SHANA</t>
  </si>
  <si>
    <t>DASTUR SHANA MRS.</t>
  </si>
  <si>
    <t>DASTUR SHANA ROCHELLE</t>
  </si>
  <si>
    <t>SamanthaSohmer,L.C.S.W.</t>
  </si>
  <si>
    <t>E0341713</t>
  </si>
  <si>
    <t>SOHMER SAMANTHA RACHEL</t>
  </si>
  <si>
    <t>SOHMER SAMANTHA</t>
  </si>
  <si>
    <t>ArmenaBrown,L.M.S.W.</t>
  </si>
  <si>
    <t>BROWN ARMENA</t>
  </si>
  <si>
    <t>MatthewAronoff</t>
  </si>
  <si>
    <t>JohnClever</t>
  </si>
  <si>
    <t>TheresaBobbitt</t>
  </si>
  <si>
    <t>JamesCMcIntosh</t>
  </si>
  <si>
    <t>LavereneMerritt-Morrison</t>
  </si>
  <si>
    <t>E0087413</t>
  </si>
  <si>
    <t>PHOTANGTHAM PUNYATECH MD</t>
  </si>
  <si>
    <t>PUNYADECHPHOTANGTHAM</t>
  </si>
  <si>
    <t>PHOTANGTHAM PUNYADECH</t>
  </si>
  <si>
    <t>PHOTANGTHAM PUNYADECH MD</t>
  </si>
  <si>
    <t>125 W 56TH ST APT 4A</t>
  </si>
  <si>
    <t>E0213209</t>
  </si>
  <si>
    <t>BENVENISTY ALAN I          MD</t>
  </si>
  <si>
    <t>ALANBENVENISTY</t>
  </si>
  <si>
    <t>BENVENISTY ALAN DR.</t>
  </si>
  <si>
    <t>PRESBY HOSP MILS PAV</t>
  </si>
  <si>
    <t>E0163738</t>
  </si>
  <si>
    <t>DANIEL CELEENAMMA B MD</t>
  </si>
  <si>
    <t>CELEENAMMADANIEL</t>
  </si>
  <si>
    <t>DANIEL CELEENAMMA</t>
  </si>
  <si>
    <t>E0206280</t>
  </si>
  <si>
    <t>ZAIDMAN GERALD WALTER      MD</t>
  </si>
  <si>
    <t>GeraldZaidman</t>
  </si>
  <si>
    <t>ZAIDMAN GERALD DR.</t>
  </si>
  <si>
    <t>ZAIDMAN GERALD WALTER</t>
  </si>
  <si>
    <t>DEPT OF OPHTH</t>
  </si>
  <si>
    <t>E0184813</t>
  </si>
  <si>
    <t>COAD CHRISTOPHER T MD</t>
  </si>
  <si>
    <t>ChristopherCoad</t>
  </si>
  <si>
    <t>COAD CHRISTOPHER DR.</t>
  </si>
  <si>
    <t>E0020823</t>
  </si>
  <si>
    <t>MEACHER PETER</t>
  </si>
  <si>
    <t>PeterMeacher</t>
  </si>
  <si>
    <t>MEACHER PETER J</t>
  </si>
  <si>
    <t>StevenCai</t>
  </si>
  <si>
    <t>E0250881</t>
  </si>
  <si>
    <t>MUSLIM ARIF M MD</t>
  </si>
  <si>
    <t>ArifMuslim</t>
  </si>
  <si>
    <t>MUSLIM ARIF</t>
  </si>
  <si>
    <t>418 BLOOMING GROVE TPKE</t>
  </si>
  <si>
    <t>E0414879</t>
  </si>
  <si>
    <t>DODELL GREGORY B</t>
  </si>
  <si>
    <t>GregoryDodell</t>
  </si>
  <si>
    <t>DODELL GREGORY DR.</t>
  </si>
  <si>
    <t>115 CENTRAL PARK W</t>
  </si>
  <si>
    <t>GaryHirshfield</t>
  </si>
  <si>
    <t>E0335985</t>
  </si>
  <si>
    <t>WATSON ANIKA N</t>
  </si>
  <si>
    <t>AnikaNina</t>
  </si>
  <si>
    <t>WATSON A.</t>
  </si>
  <si>
    <t>51 W 51ST ST # 300</t>
  </si>
  <si>
    <t>E0048420</t>
  </si>
  <si>
    <t>DISPALTRO FRANCES X MD</t>
  </si>
  <si>
    <t>FrancisDispaltro</t>
  </si>
  <si>
    <t>DISPALTRO FRANCIS</t>
  </si>
  <si>
    <t>DISPALTRO FRANCIS X MD</t>
  </si>
  <si>
    <t>160 COMMACK RD</t>
  </si>
  <si>
    <t>E0290510</t>
  </si>
  <si>
    <t>NAGEL DALIA</t>
  </si>
  <si>
    <t>DALIANAGEL</t>
  </si>
  <si>
    <t>NAGEL DALIA DR.</t>
  </si>
  <si>
    <t>NAGEL DALIA SHORETZ MD</t>
  </si>
  <si>
    <t>229 EAST 79TH STREET</t>
  </si>
  <si>
    <t>E0060602</t>
  </si>
  <si>
    <t>GHATAN SAADI MD</t>
  </si>
  <si>
    <t>MR.SAADIGHATAN</t>
  </si>
  <si>
    <t>GHATAN SAADI MR.</t>
  </si>
  <si>
    <t>E0293944</t>
  </si>
  <si>
    <t>DRAKE VICTORIA</t>
  </si>
  <si>
    <t>MS.VICTORIADRAKE</t>
  </si>
  <si>
    <t>DRAKE VICTORIA MS.</t>
  </si>
  <si>
    <t>DRAKE VICTORIA DALE</t>
  </si>
  <si>
    <t>Thukha,Henry</t>
  </si>
  <si>
    <t>Avent,Michele(per-deim)</t>
  </si>
  <si>
    <t>E0013289</t>
  </si>
  <si>
    <t>AVENT MICHELE D</t>
  </si>
  <si>
    <t>AVENT MICHELE</t>
  </si>
  <si>
    <t>AVENT MICHELE DELYNNE</t>
  </si>
  <si>
    <t>Garankina,Olga</t>
  </si>
  <si>
    <t>E0355182</t>
  </si>
  <si>
    <t>GARANKINA OLGA</t>
  </si>
  <si>
    <t>GARANKINA OLGA DR.</t>
  </si>
  <si>
    <t>Goldberg,Deborah</t>
  </si>
  <si>
    <t>RafaelRamos</t>
  </si>
  <si>
    <t>RAMOS RAFAEL JOSE MR.</t>
  </si>
  <si>
    <t>AshaAbraham</t>
  </si>
  <si>
    <t>E0379065</t>
  </si>
  <si>
    <t>ASHA ABRAHAM NP</t>
  </si>
  <si>
    <t>ABRAHAM ASHA</t>
  </si>
  <si>
    <t>LindseyLeinbach</t>
  </si>
  <si>
    <t>E0359305</t>
  </si>
  <si>
    <t>LEINBACH LINDSEY</t>
  </si>
  <si>
    <t>KATO LINDSEY</t>
  </si>
  <si>
    <t>KATO LINDSEY RAE</t>
  </si>
  <si>
    <t>ViplovMehta</t>
  </si>
  <si>
    <t>E0198855</t>
  </si>
  <si>
    <t>MEHTA VIPLOV K             MD</t>
  </si>
  <si>
    <t>MEHTA VIPLOV DR.</t>
  </si>
  <si>
    <t>MEHTA VIPLOV K MD</t>
  </si>
  <si>
    <t>PraveenKorimerla</t>
  </si>
  <si>
    <t>E0003879</t>
  </si>
  <si>
    <t>KORIMERLA PRAVEEN</t>
  </si>
  <si>
    <t>KORIMERLA PRAVEEN MD</t>
  </si>
  <si>
    <t>YinphyuLwin</t>
  </si>
  <si>
    <t>E0372543</t>
  </si>
  <si>
    <t>LWIN YINPHYU WIN</t>
  </si>
  <si>
    <t>LWIN YINPHYU</t>
  </si>
  <si>
    <t>IvyNicoleDano,PT</t>
  </si>
  <si>
    <t>E0342963</t>
  </si>
  <si>
    <t>DANO IVY NICOLE WEE-SIT</t>
  </si>
  <si>
    <t>DANO IVY</t>
  </si>
  <si>
    <t>GlennMartin,OTR/L</t>
  </si>
  <si>
    <t>E0369348</t>
  </si>
  <si>
    <t>MARTIN GLENN</t>
  </si>
  <si>
    <t>TracyKernan,L.C.S.W.</t>
  </si>
  <si>
    <t>E0396081</t>
  </si>
  <si>
    <t>KERNAN TRACY LYNN</t>
  </si>
  <si>
    <t>KERNAN TRACY</t>
  </si>
  <si>
    <t>LEE,SUSAN</t>
  </si>
  <si>
    <t>E0325399</t>
  </si>
  <si>
    <t>LEE SUSAN</t>
  </si>
  <si>
    <t>LINETSKAYA,IRINA</t>
  </si>
  <si>
    <t>E0296310</t>
  </si>
  <si>
    <t>LINETSKAYA IRINA</t>
  </si>
  <si>
    <t>LINETSKAYA IRINA MD</t>
  </si>
  <si>
    <t>DawnOrsi,M.A.</t>
  </si>
  <si>
    <t>ORSI DAWN</t>
  </si>
  <si>
    <t>LorraineSanchez,M.A.</t>
  </si>
  <si>
    <t>SANCHEZ LORRAINE</t>
  </si>
  <si>
    <t>WILLIAMSON,PETER</t>
  </si>
  <si>
    <t>E0001019</t>
  </si>
  <si>
    <t>WILLIAMSON PETER</t>
  </si>
  <si>
    <t>138 W 25TH ST STE 80</t>
  </si>
  <si>
    <t>WITTER,MICHELLE</t>
  </si>
  <si>
    <t>E0304870</t>
  </si>
  <si>
    <t>WITTER MICHELLE ANDREA</t>
  </si>
  <si>
    <t>WITTER MICHELLE DR.</t>
  </si>
  <si>
    <t>385 E 149TH ST</t>
  </si>
  <si>
    <t>YARBROUGH,ERIC</t>
  </si>
  <si>
    <t>E0343219</t>
  </si>
  <si>
    <t>YARBROUGH ERIC</t>
  </si>
  <si>
    <t>SylviaCotto,NP</t>
  </si>
  <si>
    <t>Carpio,OrlandoB</t>
  </si>
  <si>
    <t>E0184161</t>
  </si>
  <si>
    <t>CARPIO ORLANDO B MD</t>
  </si>
  <si>
    <t>(609) 716-9080</t>
  </si>
  <si>
    <t>obcarpio77@yahoo.com</t>
  </si>
  <si>
    <t>CARPIO ORLANDO DR.</t>
  </si>
  <si>
    <t>Aquino,NicolasM</t>
  </si>
  <si>
    <t>E0341707</t>
  </si>
  <si>
    <t>AQUINO NICOLAS MARIANO II</t>
  </si>
  <si>
    <t>(718) 483-8555</t>
  </si>
  <si>
    <t>nickaquino2004@yahoo.com</t>
  </si>
  <si>
    <t>AQUINO NICOLAS DR.</t>
  </si>
  <si>
    <t>BrookeBalchan</t>
  </si>
  <si>
    <t>BernadetteClement</t>
  </si>
  <si>
    <t>E0108125</t>
  </si>
  <si>
    <t>CLEMENT BERNADETTE MD</t>
  </si>
  <si>
    <t>(646) 360-3026</t>
  </si>
  <si>
    <t>CLEMENT BERNADETTE DR.</t>
  </si>
  <si>
    <t>HARLEM PEDIATRIC ASSOCIATES</t>
  </si>
  <si>
    <t>JimmyPhilippe</t>
  </si>
  <si>
    <t>PHILIPPE JIMMY DR.</t>
  </si>
  <si>
    <t>2094 PITKIN AVE</t>
  </si>
  <si>
    <t>JunieKernisan</t>
  </si>
  <si>
    <t>106WestStreet</t>
  </si>
  <si>
    <t>AlexanderOkun</t>
  </si>
  <si>
    <t>E0143333</t>
  </si>
  <si>
    <t>OKUN ALEXANDER L MD</t>
  </si>
  <si>
    <t>aokun@nackidscan.org</t>
  </si>
  <si>
    <t>OKUN ALEXANDER</t>
  </si>
  <si>
    <t>KhalidKhan</t>
  </si>
  <si>
    <t>E0079485</t>
  </si>
  <si>
    <t>KHAN KHALID M MD</t>
  </si>
  <si>
    <t>kkhan@nackidscan.org</t>
  </si>
  <si>
    <t>KHAN KHALID DR.</t>
  </si>
  <si>
    <t>55 OLD TURNPIKE RD</t>
  </si>
  <si>
    <t>JosephSaccoccio</t>
  </si>
  <si>
    <t>E0357809</t>
  </si>
  <si>
    <t>SACCOCCIO JOSEPH RONALD</t>
  </si>
  <si>
    <t>SylviaRowlands</t>
  </si>
  <si>
    <t>sylvia.rowlands@nyfoundling.org</t>
  </si>
  <si>
    <t>SACCOCCIO JOSEPH DR.</t>
  </si>
  <si>
    <t>ChristineVerzosa</t>
  </si>
  <si>
    <t>E0333352</t>
  </si>
  <si>
    <t>VERZOSA CHRISTINE MARIE</t>
  </si>
  <si>
    <t>VERZOSA CHRISTINE MRS.</t>
  </si>
  <si>
    <t>1946 WEBSTER AVE</t>
  </si>
  <si>
    <t>AnnaDonnelly</t>
  </si>
  <si>
    <t>E0373488</t>
  </si>
  <si>
    <t>DONNELLY ANNA</t>
  </si>
  <si>
    <t>DONNELLY ANNA DR.</t>
  </si>
  <si>
    <t>170 BROWN PL</t>
  </si>
  <si>
    <t>E0220644</t>
  </si>
  <si>
    <t>BUKBERG PHILLIP R          MD</t>
  </si>
  <si>
    <t>PHILIPBUKBERG</t>
  </si>
  <si>
    <t>BUKBERG PHILIP</t>
  </si>
  <si>
    <t>PALAIA THOMAS</t>
  </si>
  <si>
    <t>3950 WOLKOW AVE</t>
  </si>
  <si>
    <t>E0093620</t>
  </si>
  <si>
    <t>KOZUCH PETER SEAN MD</t>
  </si>
  <si>
    <t>PeterKozuch</t>
  </si>
  <si>
    <t>KOZUCH PETER</t>
  </si>
  <si>
    <t>EdwardChew</t>
  </si>
  <si>
    <t>E0010140</t>
  </si>
  <si>
    <t>CHEW EDWARD MD</t>
  </si>
  <si>
    <t>CHEW EDWARD DR.</t>
  </si>
  <si>
    <t>IrinaButoi</t>
  </si>
  <si>
    <t>E0039042</t>
  </si>
  <si>
    <t>BUTOI IRINA MD</t>
  </si>
  <si>
    <t>BUTOI IRINA DR.</t>
  </si>
  <si>
    <t>MichaelHynes</t>
  </si>
  <si>
    <t>E0333451</t>
  </si>
  <si>
    <t>HYNES MICHAEL LOREN</t>
  </si>
  <si>
    <t>HYNES MICHAEL DR.</t>
  </si>
  <si>
    <t>DeepikaSingh</t>
  </si>
  <si>
    <t>E0151676</t>
  </si>
  <si>
    <t>SINGH DEEPIKA MD</t>
  </si>
  <si>
    <t>dsingh@bowencsc.org</t>
  </si>
  <si>
    <t>SINGH DEEPIKA DR.</t>
  </si>
  <si>
    <t>AshleyBurton</t>
  </si>
  <si>
    <t>E0378375</t>
  </si>
  <si>
    <t>BURTON ASHLEY  A</t>
  </si>
  <si>
    <t>LisaHandwerker</t>
  </si>
  <si>
    <t>(212) 949-4957</t>
  </si>
  <si>
    <t>lhandwerker@childrensaidsociety.org</t>
  </si>
  <si>
    <t>BURTON ASHLEY MS.</t>
  </si>
  <si>
    <t>BURTON ASHLEY A</t>
  </si>
  <si>
    <t>910 EAST 172ND STREE</t>
  </si>
  <si>
    <t>YuriBrosgol</t>
  </si>
  <si>
    <t>E0134083</t>
  </si>
  <si>
    <t>BROSGOL YURI MD</t>
  </si>
  <si>
    <t>BROSGOL YURI</t>
  </si>
  <si>
    <t>2630 OCEAN AVE</t>
  </si>
  <si>
    <t>ArmandAsarian</t>
  </si>
  <si>
    <t>E0125100</t>
  </si>
  <si>
    <t>ARMAND P ASARIAN MD PC</t>
  </si>
  <si>
    <t>ASARIAN ARMAND</t>
  </si>
  <si>
    <t>ASARIAN ARMAND P</t>
  </si>
  <si>
    <t>BROOKLYN HSP-SURG</t>
  </si>
  <si>
    <t>PrashanthMannam</t>
  </si>
  <si>
    <t>E0090610</t>
  </si>
  <si>
    <t>BARAN MARGARET MD</t>
  </si>
  <si>
    <t>MARGARETBARAN</t>
  </si>
  <si>
    <t>BARAN MARGARET</t>
  </si>
  <si>
    <t>E0041373</t>
  </si>
  <si>
    <t>ALEXIS ANDREW F MD</t>
  </si>
  <si>
    <t>ANDREWALEXIS</t>
  </si>
  <si>
    <t>ALEXIS ANDREW</t>
  </si>
  <si>
    <t>BIMC DERMATOLOGY</t>
  </si>
  <si>
    <t>E0019966</t>
  </si>
  <si>
    <t>THOMAS-PAULOSE DEEPTI MD</t>
  </si>
  <si>
    <t>DEEPTITHOMAS-PAULOSE</t>
  </si>
  <si>
    <t>THOMAS-PAULOSE DEEPTI</t>
  </si>
  <si>
    <t>E0105242</t>
  </si>
  <si>
    <t>SHARMA SHARAD KUMAR MD</t>
  </si>
  <si>
    <t>SharadSharma</t>
  </si>
  <si>
    <t>SHARMA, SHARAD</t>
  </si>
  <si>
    <t>BETH ISRAEL MC N</t>
  </si>
  <si>
    <t>E0180487</t>
  </si>
  <si>
    <t>FAFALAK ROBERT G MD</t>
  </si>
  <si>
    <t>RobertFafalak</t>
  </si>
  <si>
    <t>FAFALAK ROBERT DR.</t>
  </si>
  <si>
    <t>E0089069</t>
  </si>
  <si>
    <t>CATALANO LOUIS W III MD</t>
  </si>
  <si>
    <t>LouisCatalano</t>
  </si>
  <si>
    <t>CATALANO LOUIS DR.</t>
  </si>
  <si>
    <t>E0090684</t>
  </si>
  <si>
    <t>REISS WOJCIECH ZYGMUNT MD</t>
  </si>
  <si>
    <t>WojciechReiss</t>
  </si>
  <si>
    <t>REISS WOJCIECH</t>
  </si>
  <si>
    <t>REISS WOJCIECH ZYGMUNT</t>
  </si>
  <si>
    <t>E0032767</t>
  </si>
  <si>
    <t>ANCA DIANA MD</t>
  </si>
  <si>
    <t>DianaAnca</t>
  </si>
  <si>
    <t>ANCA DIANA</t>
  </si>
  <si>
    <t>E0278883</t>
  </si>
  <si>
    <t>SIEGEL JEROME H            MD</t>
  </si>
  <si>
    <t>JeromeSiegel</t>
  </si>
  <si>
    <t>SIEGEL JEROME DR.</t>
  </si>
  <si>
    <t>SIEGEL JEROME HAROLD</t>
  </si>
  <si>
    <t>E0276798</t>
  </si>
  <si>
    <t>FOX HERBERT A MD</t>
  </si>
  <si>
    <t>HerbertFox</t>
  </si>
  <si>
    <t>FOX HERBERT DR.</t>
  </si>
  <si>
    <t>515 E 72ND ST</t>
  </si>
  <si>
    <t>E0112796</t>
  </si>
  <si>
    <t>CASTRO GEORGE A MD</t>
  </si>
  <si>
    <t>GeorgeCastro</t>
  </si>
  <si>
    <t>CASTRO GEORGE DR.</t>
  </si>
  <si>
    <t>359 2ND AVE</t>
  </si>
  <si>
    <t>E0273217</t>
  </si>
  <si>
    <t>THIAGARAJAH SOMASUNDARAM   MD</t>
  </si>
  <si>
    <t>SomasundarumThiagarajah</t>
  </si>
  <si>
    <t>THIAGARAJAH SOMASUNDARAM</t>
  </si>
  <si>
    <t>Piazza,Ashley</t>
  </si>
  <si>
    <t>E0035662</t>
  </si>
  <si>
    <t>VARLEY CATHLEEN B</t>
  </si>
  <si>
    <t>MS.CATHLEENVARLEY</t>
  </si>
  <si>
    <t>VARLEY CATHLEEN MS.</t>
  </si>
  <si>
    <t>E0078824</t>
  </si>
  <si>
    <t>SHUR VLADIMIR B MD</t>
  </si>
  <si>
    <t>VLADIMIRSHUR</t>
  </si>
  <si>
    <t>SHUR VLADIMIR</t>
  </si>
  <si>
    <t>SHUR VLADIMIR BORISOVICH</t>
  </si>
  <si>
    <t>1408 OCEAN AVE FL 3</t>
  </si>
  <si>
    <t>E0013165</t>
  </si>
  <si>
    <t>HO ALEXANDER WEIHAN  MD</t>
  </si>
  <si>
    <t>ALEXANDERHO</t>
  </si>
  <si>
    <t>HO ALEXANDER</t>
  </si>
  <si>
    <t>E0414688</t>
  </si>
  <si>
    <t>OSMANOVIC ISMET REGEP</t>
  </si>
  <si>
    <t>MR.ISMETOSMANOVIC</t>
  </si>
  <si>
    <t>OSMANOVIC ISMET MR.</t>
  </si>
  <si>
    <t>1825 PARK AVE FL 4</t>
  </si>
  <si>
    <t>E0309520</t>
  </si>
  <si>
    <t>SHAO THERESA HUA</t>
  </si>
  <si>
    <t>THERESASHAO</t>
  </si>
  <si>
    <t>SHAO THERESA</t>
  </si>
  <si>
    <t>E0105283</t>
  </si>
  <si>
    <t>RIZK DAHLIA MD</t>
  </si>
  <si>
    <t>DAHLIARIZK</t>
  </si>
  <si>
    <t>RIZK DAHLIA</t>
  </si>
  <si>
    <t>E0107483</t>
  </si>
  <si>
    <t>PAREDES JOSEPHINE MD</t>
  </si>
  <si>
    <t>JOSEPHINEPAREDES</t>
  </si>
  <si>
    <t>PAREDES JOSEPHINE</t>
  </si>
  <si>
    <t>RM 14A36</t>
  </si>
  <si>
    <t>E0029511</t>
  </si>
  <si>
    <t>MILLER WILLIAM</t>
  </si>
  <si>
    <t>WILLIAMMILLER</t>
  </si>
  <si>
    <t>MILLER WILLIAM DR.</t>
  </si>
  <si>
    <t>MILLER WILLIAM MCLANE MD</t>
  </si>
  <si>
    <t>E0209060</t>
  </si>
  <si>
    <t>TELSEY AIMEE M             MD</t>
  </si>
  <si>
    <t>AIMEETELSEY</t>
  </si>
  <si>
    <t>TELSEY AIMEE</t>
  </si>
  <si>
    <t>E0083090</t>
  </si>
  <si>
    <t>BOOLBOL SUSAN MD</t>
  </si>
  <si>
    <t>SUSANBOOLBOL</t>
  </si>
  <si>
    <t>BOOLBOL SUSAN</t>
  </si>
  <si>
    <t>E0265840</t>
  </si>
  <si>
    <t>SHERRID MARK V             MD</t>
  </si>
  <si>
    <t>MARKSHERRID</t>
  </si>
  <si>
    <t>SHERRID MARK DR.</t>
  </si>
  <si>
    <t>SHERRID MARK V</t>
  </si>
  <si>
    <t>ST LUKES RH INPATIEN</t>
  </si>
  <si>
    <t>E0129139</t>
  </si>
  <si>
    <t>LISH BRUCE JARED DDS</t>
  </si>
  <si>
    <t>BRUCELISH</t>
  </si>
  <si>
    <t>LISH BRUCE DR.</t>
  </si>
  <si>
    <t>E0376705</t>
  </si>
  <si>
    <t>GHVHS MEDICAL GROUP PC</t>
  </si>
  <si>
    <t>ULRICKVIEUX</t>
  </si>
  <si>
    <t>VIEUX ULRICK DR.</t>
  </si>
  <si>
    <t>VIEUX ULRICK</t>
  </si>
  <si>
    <t>707 E MAIN ST IP</t>
  </si>
  <si>
    <t>E0137569</t>
  </si>
  <si>
    <t>SMITH LINDA L MD</t>
  </si>
  <si>
    <t>LINDASMITH</t>
  </si>
  <si>
    <t>SMITH LINDA DR.</t>
  </si>
  <si>
    <t>SLRH- INPT</t>
  </si>
  <si>
    <t>E0371871</t>
  </si>
  <si>
    <t>GREULICH NICHOLE K</t>
  </si>
  <si>
    <t>NICHOLEGREULICH</t>
  </si>
  <si>
    <t>JOLY NICHOLE</t>
  </si>
  <si>
    <t>425 W 59TH ST STE 7A</t>
  </si>
  <si>
    <t>E0211111</t>
  </si>
  <si>
    <t>CAFFERTY MAUREEN SARAH     MD</t>
  </si>
  <si>
    <t>MAUREENSCAFFERTYMCALLISTER</t>
  </si>
  <si>
    <t>CAFFERTY MAUREEN DR.</t>
  </si>
  <si>
    <t>S L R H</t>
  </si>
  <si>
    <t>E0286137</t>
  </si>
  <si>
    <t>WONG HOK</t>
  </si>
  <si>
    <t>HOKWONG</t>
  </si>
  <si>
    <t>WONG HOK DR.</t>
  </si>
  <si>
    <t>WONG HOK SHING MD</t>
  </si>
  <si>
    <t>E0090781</t>
  </si>
  <si>
    <t>ROSENBAUM SMITH SHARON MD</t>
  </si>
  <si>
    <t>SHARONROSENBAUMSMITH</t>
  </si>
  <si>
    <t>ROSENBAUM SMITH SHARON</t>
  </si>
  <si>
    <t>425 W 59TH ST STE 7A&amp; # 7B</t>
  </si>
  <si>
    <t>E0075437</t>
  </si>
  <si>
    <t>BROCKINGTON CAROLYN DOREEN MD</t>
  </si>
  <si>
    <t>CAROLYNBROCKINGTON</t>
  </si>
  <si>
    <t>BROCKINGTON CAROLYN</t>
  </si>
  <si>
    <t>E0061169</t>
  </si>
  <si>
    <t>BRATHWAITE BRENDA L</t>
  </si>
  <si>
    <t>MS.BRENDABRATHWAITE</t>
  </si>
  <si>
    <t>BRATHWAITE BRENDA MS.</t>
  </si>
  <si>
    <t>E0059429</t>
  </si>
  <si>
    <t>ARSHT STEVEN J MD</t>
  </si>
  <si>
    <t>STEVENARSHT</t>
  </si>
  <si>
    <t>ARSHT STEVEN</t>
  </si>
  <si>
    <t>E0277867</t>
  </si>
  <si>
    <t>HOLGERSEN LEIF D MD</t>
  </si>
  <si>
    <t>LEIFHOLGERSEN</t>
  </si>
  <si>
    <t>HOLGERSEN LEIF</t>
  </si>
  <si>
    <t>141 S CENTRAL AVE STE 102</t>
  </si>
  <si>
    <t>RobertFreeman</t>
  </si>
  <si>
    <t>MeredithO'Boyle</t>
  </si>
  <si>
    <t>DaraWalker</t>
  </si>
  <si>
    <t>AndreaCalabrese</t>
  </si>
  <si>
    <t>LaurenPallies</t>
  </si>
  <si>
    <t>VirenderHak</t>
  </si>
  <si>
    <t>E0061033</t>
  </si>
  <si>
    <t>HAK VIRENDER MD</t>
  </si>
  <si>
    <t>(718) 490-9148</t>
  </si>
  <si>
    <t>vhak4@yahoo.com</t>
  </si>
  <si>
    <t>HAK VIRENDER DR.</t>
  </si>
  <si>
    <t>Miller,Hanan</t>
  </si>
  <si>
    <t>docmiller@gmail.com</t>
  </si>
  <si>
    <t>E0089806</t>
  </si>
  <si>
    <t>SERBY MICHAEL JOSEPH MD</t>
  </si>
  <si>
    <t>MICHAELSERBY</t>
  </si>
  <si>
    <t>SERBY MICHAEL DR.</t>
  </si>
  <si>
    <t>MS.MARILYNREIDY</t>
  </si>
  <si>
    <t>REIDY MARILYN MS.</t>
  </si>
  <si>
    <t>E0228797</t>
  </si>
  <si>
    <t>DEL GUZZO LUCIANO          MD</t>
  </si>
  <si>
    <t>LUCIANODELGUZZO</t>
  </si>
  <si>
    <t>DELGUZZO LUCIANO DR.</t>
  </si>
  <si>
    <t>425 W 59TH ST # 8B</t>
  </si>
  <si>
    <t>E0019396</t>
  </si>
  <si>
    <t>YUAN SONGYANG</t>
  </si>
  <si>
    <t>SONGYANGYUAN</t>
  </si>
  <si>
    <t>E0201544</t>
  </si>
  <si>
    <t>HOLLAND CLAUDIA  MD</t>
  </si>
  <si>
    <t>CLAUDIAHOLLAND</t>
  </si>
  <si>
    <t>HOLLAND CLAUDIA DR.</t>
  </si>
  <si>
    <t>DEPT OB/GYN-COLU</t>
  </si>
  <si>
    <t>E0164853</t>
  </si>
  <si>
    <t>SURICK BURTON G MD</t>
  </si>
  <si>
    <t>BURTONSURICK</t>
  </si>
  <si>
    <t>SURICK BURTON</t>
  </si>
  <si>
    <t>E0044738</t>
  </si>
  <si>
    <t>PALATUCCI GARY BENJAMIN</t>
  </si>
  <si>
    <t>GARYPALATUCCI</t>
  </si>
  <si>
    <t>PALATUCCI GARY</t>
  </si>
  <si>
    <t>E0129738</t>
  </si>
  <si>
    <t>JOHNSTON GREGORY SCOTT MD</t>
  </si>
  <si>
    <t>GREGORYJOHNSTON</t>
  </si>
  <si>
    <t>JOHNSTON GREGORY</t>
  </si>
  <si>
    <t>E0093986</t>
  </si>
  <si>
    <t>VILLAROSA TERESITA LACANALE</t>
  </si>
  <si>
    <t>MRS.TERESITAVILLAROSA</t>
  </si>
  <si>
    <t>VILLAROSA TERESITA MRS.</t>
  </si>
  <si>
    <t>ST FRANCIS MED DEN</t>
  </si>
  <si>
    <t>E0026449</t>
  </si>
  <si>
    <t>HEIDERHOFF CLEMENS MD</t>
  </si>
  <si>
    <t>CLEMENSHEIDERHOFF</t>
  </si>
  <si>
    <t>HEIDERHOFF CLEMENS</t>
  </si>
  <si>
    <t>E0014164</t>
  </si>
  <si>
    <t>FAN WEN  MD</t>
  </si>
  <si>
    <t>WENFAN</t>
  </si>
  <si>
    <t>FAN WEN</t>
  </si>
  <si>
    <t>100 TENTH AVE</t>
  </si>
  <si>
    <t>E0089764</t>
  </si>
  <si>
    <t>FEDER SAMANTHA BETH MD</t>
  </si>
  <si>
    <t>SAMANTHAFEDER</t>
  </si>
  <si>
    <t>FEDER SAMANTHA</t>
  </si>
  <si>
    <t>BSMT 1</t>
  </si>
  <si>
    <t>JOSHUAVERONA</t>
  </si>
  <si>
    <t>10 UNION SQUARE EAST, 5B</t>
  </si>
  <si>
    <t>E0310056</t>
  </si>
  <si>
    <t>LI MAY HSIAO HOAN</t>
  </si>
  <si>
    <t>MAYLI</t>
  </si>
  <si>
    <t>LI MAY DR.</t>
  </si>
  <si>
    <t>E0118679</t>
  </si>
  <si>
    <t>WALDRON MARY VIOLET MD</t>
  </si>
  <si>
    <t>MARYWALDRON</t>
  </si>
  <si>
    <t>WALDRON MARY</t>
  </si>
  <si>
    <t>PETER KRUEGER CLINIC</t>
  </si>
  <si>
    <t>AdrianaZaruela</t>
  </si>
  <si>
    <t>ZARZUELA ADRIANA MISS</t>
  </si>
  <si>
    <t>LISCHIN-SMITH EAN</t>
  </si>
  <si>
    <t>AlanGo</t>
  </si>
  <si>
    <t>E0078093</t>
  </si>
  <si>
    <t>GO ALAN R MD</t>
  </si>
  <si>
    <t>GO ALAN DR.</t>
  </si>
  <si>
    <t>JeanAncion</t>
  </si>
  <si>
    <t>E0287666</t>
  </si>
  <si>
    <t>ANCION JEAN HEROLD MD</t>
  </si>
  <si>
    <t>ANCION JEAN DR.</t>
  </si>
  <si>
    <t>AtulMaini</t>
  </si>
  <si>
    <t>E0004431</t>
  </si>
  <si>
    <t>MAINI ATUL DR.</t>
  </si>
  <si>
    <t>E0173002</t>
  </si>
  <si>
    <t>KAUFMAN ALLEN M MD</t>
  </si>
  <si>
    <t>ALLENKAUFMAN</t>
  </si>
  <si>
    <t>KAUFMAN ALLEN DR.</t>
  </si>
  <si>
    <t>E0297353</t>
  </si>
  <si>
    <t>RADIX ANITA EILEEN</t>
  </si>
  <si>
    <t>ANITARADIX</t>
  </si>
  <si>
    <t>RADIX ASA</t>
  </si>
  <si>
    <t>RADIX ASA ELIAN</t>
  </si>
  <si>
    <t>E0139487</t>
  </si>
  <si>
    <t>COOKE KENNETH MD</t>
  </si>
  <si>
    <t>KENNETHCOOKE</t>
  </si>
  <si>
    <t>COOKE KENNETH DR.</t>
  </si>
  <si>
    <t>AMSTERDAM AT 114TH</t>
  </si>
  <si>
    <t>E0235152</t>
  </si>
  <si>
    <t>BHARAT SANGHAVI MD</t>
  </si>
  <si>
    <t>BHARATSANGHAVI</t>
  </si>
  <si>
    <t>SANGHAVI BHARAT</t>
  </si>
  <si>
    <t>GRAMERCY GI ASSOC</t>
  </si>
  <si>
    <t>E0128388</t>
  </si>
  <si>
    <t>GLYPTIS ANDREW MD</t>
  </si>
  <si>
    <t>ANDREWGLYPTIS,MD,PC</t>
  </si>
  <si>
    <t>ANDREW GLYPTIS, MD, PC</t>
  </si>
  <si>
    <t>E0145329</t>
  </si>
  <si>
    <t>SCHNEEBAUM CARY MD</t>
  </si>
  <si>
    <t>CARYSCHNEEBAUM</t>
  </si>
  <si>
    <t>SCHNEEBAUM CARY DR.</t>
  </si>
  <si>
    <t>22 W 15TH ST</t>
  </si>
  <si>
    <t>E0137100</t>
  </si>
  <si>
    <t>VAVASIS ANTHONY P MD</t>
  </si>
  <si>
    <t>ANTHONYVAVASIS</t>
  </si>
  <si>
    <t>VAVASIS ANTHONY</t>
  </si>
  <si>
    <t>E0380084</t>
  </si>
  <si>
    <t>ZHENG ZHONG</t>
  </si>
  <si>
    <t>KIM JEREMY</t>
  </si>
  <si>
    <t>E0437037</t>
  </si>
  <si>
    <t>MENNA MICHAEL S</t>
  </si>
  <si>
    <t>MENNA MICHAEL DR.</t>
  </si>
  <si>
    <t>MENNA MICHAEL STEVEN</t>
  </si>
  <si>
    <t>E0028377</t>
  </si>
  <si>
    <t>WIRTNER AMY SUE MD</t>
  </si>
  <si>
    <t>AmyWirtner</t>
  </si>
  <si>
    <t>WIRTNER AMY</t>
  </si>
  <si>
    <t>E0105239</t>
  </si>
  <si>
    <t>ZANE DEBRA RUTH MD</t>
  </si>
  <si>
    <t>DebraZane</t>
  </si>
  <si>
    <t>ZANE DEBRA</t>
  </si>
  <si>
    <t>E0402456</t>
  </si>
  <si>
    <t>NATELSON BENJAMIN</t>
  </si>
  <si>
    <t>BenjaminNatelson</t>
  </si>
  <si>
    <t>NATELSON BENJAMIN DR.</t>
  </si>
  <si>
    <t>E0271544</t>
  </si>
  <si>
    <t>WALLACK JOEL J             MD</t>
  </si>
  <si>
    <t>JoelWallack</t>
  </si>
  <si>
    <t>WALLACK JOEL</t>
  </si>
  <si>
    <t>WALLACK JOEL J</t>
  </si>
  <si>
    <t>E0067821</t>
  </si>
  <si>
    <t>TEFERA LEMENEH MD</t>
  </si>
  <si>
    <t>LemenehTefera</t>
  </si>
  <si>
    <t>TEFERA LEMENEH DR.</t>
  </si>
  <si>
    <t>MMC EMERG PHYS FPP</t>
  </si>
  <si>
    <t>E0100745</t>
  </si>
  <si>
    <t>CLARK DENISE C MD</t>
  </si>
  <si>
    <t>DeniseClark</t>
  </si>
  <si>
    <t>CLARK DENISE DR.</t>
  </si>
  <si>
    <t>CHILDRENS SPECIALTY</t>
  </si>
  <si>
    <t>NORFOLK</t>
  </si>
  <si>
    <t>CynthiaTam</t>
  </si>
  <si>
    <t>MarshalReminick</t>
  </si>
  <si>
    <t>E0190668</t>
  </si>
  <si>
    <t>REMINICK MARSHAL MD</t>
  </si>
  <si>
    <t>REMINICK MARSHAL DR.</t>
  </si>
  <si>
    <t>JoshuaHalpern</t>
  </si>
  <si>
    <t>E0165502</t>
  </si>
  <si>
    <t>HALPERN JOSHUA</t>
  </si>
  <si>
    <t>MaxJean-Gilles</t>
  </si>
  <si>
    <t>E0205231</t>
  </si>
  <si>
    <t>JEAN GILLES MAX            MD</t>
  </si>
  <si>
    <t>JEAN-GILLES MAX</t>
  </si>
  <si>
    <t>JEAN GILLES MAX</t>
  </si>
  <si>
    <t>AngelaKerr</t>
  </si>
  <si>
    <t>E0196744</t>
  </si>
  <si>
    <t>KERR ANGELA D              MD</t>
  </si>
  <si>
    <t>KERR ANGELA DR.</t>
  </si>
  <si>
    <t>KERR ANGELA DENISE</t>
  </si>
  <si>
    <t>TBH CTR OBS</t>
  </si>
  <si>
    <t>PETERSEN WILLIAM DR.</t>
  </si>
  <si>
    <t>E0439726</t>
  </si>
  <si>
    <t>BARANCHUK NADIA VALERIE</t>
  </si>
  <si>
    <t>BARANCHUK NADIA DR.</t>
  </si>
  <si>
    <t>WENGERTER SEAN MR.</t>
  </si>
  <si>
    <t>1 GUSTAVE L LEVY PL, BOX 1273</t>
  </si>
  <si>
    <t>RobertCartwright</t>
  </si>
  <si>
    <t>E0369677</t>
  </si>
  <si>
    <t>CARTWRIGHT ROBERT MCLAIN</t>
  </si>
  <si>
    <t>CARTWRIGHT ROBERT</t>
  </si>
  <si>
    <t>121 DEKALB AVE FL 12</t>
  </si>
  <si>
    <t>LarryBlackmore</t>
  </si>
  <si>
    <t>BLACKMORE LARRY</t>
  </si>
  <si>
    <t>CharleenGoodchild</t>
  </si>
  <si>
    <t>GOODCHILD CHARLEEN MRS.</t>
  </si>
  <si>
    <t>SallyChetrit</t>
  </si>
  <si>
    <t>E0289165</t>
  </si>
  <si>
    <t>CHETRIT SALLY</t>
  </si>
  <si>
    <t>CHETRIT SALLY DR.</t>
  </si>
  <si>
    <t>586 PRESIDENT ST STE B</t>
  </si>
  <si>
    <t>CarmenMarcali</t>
  </si>
  <si>
    <t>EdnaShifteh</t>
  </si>
  <si>
    <t>SHIFTEH EDNA</t>
  </si>
  <si>
    <t>DeborahOyedeji</t>
  </si>
  <si>
    <t>E0423312</t>
  </si>
  <si>
    <t>OYEDEJI DEBORAH O</t>
  </si>
  <si>
    <t>OYEDEJI DEBORAH</t>
  </si>
  <si>
    <t>AlinaLazis</t>
  </si>
  <si>
    <t>E0371812</t>
  </si>
  <si>
    <t>ALINA LAZIS PA</t>
  </si>
  <si>
    <t>LAZIS ALINA MS.</t>
  </si>
  <si>
    <t>LAZIS ALINA RPA</t>
  </si>
  <si>
    <t>StevenFried</t>
  </si>
  <si>
    <t>E0166532</t>
  </si>
  <si>
    <t>FRIED STEVEN PHD</t>
  </si>
  <si>
    <t>FRIED STEVEN DR.</t>
  </si>
  <si>
    <t>FRIED STEVEN BARRY</t>
  </si>
  <si>
    <t>NEW PATHWAYS COUNSEL</t>
  </si>
  <si>
    <t>MartinButler</t>
  </si>
  <si>
    <t>BUTLER MARTIN</t>
  </si>
  <si>
    <t>257 PARK AVE S</t>
  </si>
  <si>
    <t>AngelLeal</t>
  </si>
  <si>
    <t>E0369403</t>
  </si>
  <si>
    <t>LEAL ANGEL MANUEL</t>
  </si>
  <si>
    <t>LEAL ANGEL MR.</t>
  </si>
  <si>
    <t>NadineBedrosian</t>
  </si>
  <si>
    <t>E0451130</t>
  </si>
  <si>
    <t>BEDROSIAN NADINE</t>
  </si>
  <si>
    <t>MarielaJimenez</t>
  </si>
  <si>
    <t>E0399609</t>
  </si>
  <si>
    <t>JIMENEZ MARIELA</t>
  </si>
  <si>
    <t>Terecie-AnnBurgess</t>
  </si>
  <si>
    <t>E0369712</t>
  </si>
  <si>
    <t>BURGESS TERECIE-ANN MAVIS</t>
  </si>
  <si>
    <t>BURGESS TERECIE-ANN MISS</t>
  </si>
  <si>
    <t>WilliamVanderWall</t>
  </si>
  <si>
    <t>E0369702</t>
  </si>
  <si>
    <t>WANDERWALL WILLIAM</t>
  </si>
  <si>
    <t>VANDERWALL WILLIAM</t>
  </si>
  <si>
    <t>JamesLaVoy</t>
  </si>
  <si>
    <t>E0369640</t>
  </si>
  <si>
    <t>LA VOY JAMES EARL</t>
  </si>
  <si>
    <t>LA VOY JAMES MR.</t>
  </si>
  <si>
    <t>BenjaminShepard</t>
  </si>
  <si>
    <t>E0372151</t>
  </si>
  <si>
    <t>SHEPARD BENJAMIN M</t>
  </si>
  <si>
    <t>SHEPARD BENJAMIN</t>
  </si>
  <si>
    <t>Hall,Duane</t>
  </si>
  <si>
    <t>(516) 754-8334</t>
  </si>
  <si>
    <t>Iqbal,Adeel</t>
  </si>
  <si>
    <t>JuliaRRudick</t>
  </si>
  <si>
    <t>RUDICK JULIA MS.</t>
  </si>
  <si>
    <t>ShamikaBrodnax</t>
  </si>
  <si>
    <t>BRODNAX SHAMIKA</t>
  </si>
  <si>
    <t>2090 7TH AVE</t>
  </si>
  <si>
    <t>AmadiHannah</t>
  </si>
  <si>
    <t>HANNAH AMADI</t>
  </si>
  <si>
    <t>E0286879</t>
  </si>
  <si>
    <t>NELSON SABINA MD</t>
  </si>
  <si>
    <t>SABINANELSON</t>
  </si>
  <si>
    <t>NELSON SABINA DR.</t>
  </si>
  <si>
    <t>FRANKFIUMECALDO</t>
  </si>
  <si>
    <t>FIUMECALDO FRANK</t>
  </si>
  <si>
    <t>E0176265</t>
  </si>
  <si>
    <t>GRUBER STEVEN JEFFREY  MD</t>
  </si>
  <si>
    <t>STEVENGRUBER</t>
  </si>
  <si>
    <t>GRUBER STEVEN DR.</t>
  </si>
  <si>
    <t>41 5TH AVE</t>
  </si>
  <si>
    <t>E0321161</t>
  </si>
  <si>
    <t>STEMBER DORON</t>
  </si>
  <si>
    <t>DoronStember</t>
  </si>
  <si>
    <t>STEMBER DORON DR.</t>
  </si>
  <si>
    <t>E0029182</t>
  </si>
  <si>
    <t>FRANKENBERGER OLIVER MD</t>
  </si>
  <si>
    <t>OlivierFrankenberger</t>
  </si>
  <si>
    <t>FRANKENBERGER OLIVIER</t>
  </si>
  <si>
    <t>E0197266</t>
  </si>
  <si>
    <t>TOPSIS JULIE MD</t>
  </si>
  <si>
    <t>JulieTopsis</t>
  </si>
  <si>
    <t>TOPSIS JULIE</t>
  </si>
  <si>
    <t>VickiKrisel</t>
  </si>
  <si>
    <t>KRISEL VICKI</t>
  </si>
  <si>
    <t>1000 10TH AVE, SUITE 2B</t>
  </si>
  <si>
    <t>E0008878</t>
  </si>
  <si>
    <t>OSORIO GEORGINA</t>
  </si>
  <si>
    <t>GeorginaOsorio</t>
  </si>
  <si>
    <t>OSORIO GEORGINA DR.</t>
  </si>
  <si>
    <t>E0082219</t>
  </si>
  <si>
    <t>BARTOLI LISA M MD</t>
  </si>
  <si>
    <t>LisaBartoli</t>
  </si>
  <si>
    <t>BARTOLI LISA</t>
  </si>
  <si>
    <t>1380 BOSTON POST RD</t>
  </si>
  <si>
    <t>E0375609</t>
  </si>
  <si>
    <t>POWELL TAMMY</t>
  </si>
  <si>
    <t>TammyPowell</t>
  </si>
  <si>
    <t>POWELL TAMMY E</t>
  </si>
  <si>
    <t>E0005022</t>
  </si>
  <si>
    <t>LAWRENCE J CALIARI</t>
  </si>
  <si>
    <t>LawrenceCaliari</t>
  </si>
  <si>
    <t>CALIARI LAWRENCE</t>
  </si>
  <si>
    <t>CALIARI LAWRENCE J</t>
  </si>
  <si>
    <t>E0170092</t>
  </si>
  <si>
    <t>CALABIO RAFAELA Z  MD</t>
  </si>
  <si>
    <t>RafaelaCalabio</t>
  </si>
  <si>
    <t>CALABIO RAFAELA</t>
  </si>
  <si>
    <t>E0090218</t>
  </si>
  <si>
    <t>HUBBARD CHRISTOPHER ERIC MD</t>
  </si>
  <si>
    <t>ChristopherHubbard</t>
  </si>
  <si>
    <t>HUBBARD CHRISTOPHER</t>
  </si>
  <si>
    <t>E0285098</t>
  </si>
  <si>
    <t>GILBERT ELIZABETH</t>
  </si>
  <si>
    <t>ElizabethGilbert</t>
  </si>
  <si>
    <t>GILBERT ELIZABETH MERRILL MD</t>
  </si>
  <si>
    <t>16TH STREET AND 1ST AVENUE</t>
  </si>
  <si>
    <t>E0323018</t>
  </si>
  <si>
    <t>MECCA JOANNA</t>
  </si>
  <si>
    <t>JoannaMecca</t>
  </si>
  <si>
    <t>MECCA JOANNA DR.</t>
  </si>
  <si>
    <t>E0274819</t>
  </si>
  <si>
    <t>SUBRAMANIAM ARUMBI PC      MD</t>
  </si>
  <si>
    <t>ARUMBISUBRAMANIAM</t>
  </si>
  <si>
    <t>SUBRAMANIAM ARUMBI DR.</t>
  </si>
  <si>
    <t>SUBRAMANIAM ARUMBI P MD</t>
  </si>
  <si>
    <t>1090 AMSERDAM AVE/STE 7G</t>
  </si>
  <si>
    <t>ROBERTMURAYAMA-GREENBAUM</t>
  </si>
  <si>
    <t>E0154301</t>
  </si>
  <si>
    <t>ARGOV YURI MD</t>
  </si>
  <si>
    <t>YURIARGOV</t>
  </si>
  <si>
    <t>ARGOV YURI</t>
  </si>
  <si>
    <t>7 LEXINGTON AVE</t>
  </si>
  <si>
    <t>KellyStets</t>
  </si>
  <si>
    <t>E0295035</t>
  </si>
  <si>
    <t>STETS KELLY</t>
  </si>
  <si>
    <t>STETS KELLY DR.</t>
  </si>
  <si>
    <t>STETS KELLY CHRISTINE</t>
  </si>
  <si>
    <t>MelissaGuillaume</t>
  </si>
  <si>
    <t>E0295750</t>
  </si>
  <si>
    <t>GUILLAUME MELISSA DANIELLA MD</t>
  </si>
  <si>
    <t>GUILLAUME MELISSA DR.</t>
  </si>
  <si>
    <t>GUILLAUME MELISSA DANIELLA</t>
  </si>
  <si>
    <t>JuanRobles</t>
  </si>
  <si>
    <t>E0004991</t>
  </si>
  <si>
    <t>ROBLES JUAN DR.</t>
  </si>
  <si>
    <t>ROBLES JUAN CAROLS MD</t>
  </si>
  <si>
    <t>AlexanderLipyansky</t>
  </si>
  <si>
    <t>E0011479</t>
  </si>
  <si>
    <t>LIPYANSKY ALEXANDER MD</t>
  </si>
  <si>
    <t>LIPYANSKY ALEXANDER DR.</t>
  </si>
  <si>
    <t>JoeParkey</t>
  </si>
  <si>
    <t>RichardSullivan,Ph.D.</t>
  </si>
  <si>
    <t>E0342110</t>
  </si>
  <si>
    <t>SULLIVAN RICHARD C</t>
  </si>
  <si>
    <t>SULLIVAN RICHARD</t>
  </si>
  <si>
    <t>E0276366</t>
  </si>
  <si>
    <t>VELCEK FRANCISCA T         MD</t>
  </si>
  <si>
    <t>FRANCISAVELCEK</t>
  </si>
  <si>
    <t>VELCEK FRANCISA</t>
  </si>
  <si>
    <t>ADEGBOYEGAADEBAYO</t>
  </si>
  <si>
    <t>E0158262</t>
  </si>
  <si>
    <t>CASTELLO DONNA ANN MD</t>
  </si>
  <si>
    <t>DONNACASTELLO</t>
  </si>
  <si>
    <t>CASTELLO DONNA DR.</t>
  </si>
  <si>
    <t>AMC DEPT OF ANESTH</t>
  </si>
  <si>
    <t>E0158956</t>
  </si>
  <si>
    <t>OSTROWSKI ROMAN M MD</t>
  </si>
  <si>
    <t>ROMANOSTROWSKI</t>
  </si>
  <si>
    <t>OSTROWSKI ROMAN DR.</t>
  </si>
  <si>
    <t>136 FOURTH AVE</t>
  </si>
  <si>
    <t>HANBINZHENG</t>
  </si>
  <si>
    <t>E0125024</t>
  </si>
  <si>
    <t>MEADOWS WARNER EARL III MD</t>
  </si>
  <si>
    <t>WARNERMEADOWS</t>
  </si>
  <si>
    <t>MEADOWS WARNER</t>
  </si>
  <si>
    <t>E0066477</t>
  </si>
  <si>
    <t>BROWNLOW NATHANIEL MD</t>
  </si>
  <si>
    <t>NATHANIELBROWNLOW</t>
  </si>
  <si>
    <t>BROWNLOW NATHANIEL DR.</t>
  </si>
  <si>
    <t>247 3RD AVENUE RM 403</t>
  </si>
  <si>
    <t>E0064734</t>
  </si>
  <si>
    <t>MON MYAT MYAT MD</t>
  </si>
  <si>
    <t>MYATMYATMON</t>
  </si>
  <si>
    <t>MON MYAT MYAT DR.</t>
  </si>
  <si>
    <t>E0151462</t>
  </si>
  <si>
    <t>MATH KEVIN R MD</t>
  </si>
  <si>
    <t>KEVINMATH</t>
  </si>
  <si>
    <t>MATH KEVIN</t>
  </si>
  <si>
    <t>E0006024</t>
  </si>
  <si>
    <t>LIOU MICHAEL MD</t>
  </si>
  <si>
    <t>MICHAELLIOU</t>
  </si>
  <si>
    <t>LIOU MICHAEL</t>
  </si>
  <si>
    <t>E0095086</t>
  </si>
  <si>
    <t>BOURNE JEFFREY MD</t>
  </si>
  <si>
    <t>JEFFREYBOURNE</t>
  </si>
  <si>
    <t>BOURNE JEFFREY</t>
  </si>
  <si>
    <t>SY MARYS HSP</t>
  </si>
  <si>
    <t>E0085064</t>
  </si>
  <si>
    <t>LICHT MICHELE STACY MD</t>
  </si>
  <si>
    <t>MICHELELICHT</t>
  </si>
  <si>
    <t>LICHT MICHELE</t>
  </si>
  <si>
    <t>E0212976</t>
  </si>
  <si>
    <t>HRYHOROWYCH ARTUR NICHOLAS MD</t>
  </si>
  <si>
    <t>ARTHURHRYHOROWYCH</t>
  </si>
  <si>
    <t>HRYHOROWYCH ARTHUR DR.</t>
  </si>
  <si>
    <t>HRYHOROWYCH ARTUR NICHOLAS</t>
  </si>
  <si>
    <t>E0006857</t>
  </si>
  <si>
    <t>PAKAWADEE KHOVIDHUNKIT MD</t>
  </si>
  <si>
    <t>PAKAWADEEKHOVIDHUNKIT</t>
  </si>
  <si>
    <t>KHOVIDHUNKIT PAKAWADEE</t>
  </si>
  <si>
    <t>KHOVIDHUNKIT PAKAWADEE MD</t>
  </si>
  <si>
    <t>1ST AVENUE @ 16TH STREET</t>
  </si>
  <si>
    <t>E0038072</t>
  </si>
  <si>
    <t>ALLEN MARCELLA MD</t>
  </si>
  <si>
    <t>MARCELLAALLEN</t>
  </si>
  <si>
    <t>ALLEN MARCELLA</t>
  </si>
  <si>
    <t>2001 CENTRAL PARK AVE</t>
  </si>
  <si>
    <t>E0127515</t>
  </si>
  <si>
    <t>BAUMAN PHILLIP A</t>
  </si>
  <si>
    <t>PHILLIPBAUMAN</t>
  </si>
  <si>
    <t>BAUMAN PHILLIP</t>
  </si>
  <si>
    <t>Bauman Phillip A</t>
  </si>
  <si>
    <t>E0079343</t>
  </si>
  <si>
    <t>KASSAPIDIS DIMITRIOS</t>
  </si>
  <si>
    <t>DIMITRIOSKASSAPIDIS</t>
  </si>
  <si>
    <t>KASSAPIDIS DIMITRIOS DR.</t>
  </si>
  <si>
    <t>E0277124</t>
  </si>
  <si>
    <t>FIELDING SETH D MD</t>
  </si>
  <si>
    <t>SETHFIELDING</t>
  </si>
  <si>
    <t>FIELDING SETH DR.</t>
  </si>
  <si>
    <t>FIELDING SETH DAVID</t>
  </si>
  <si>
    <t>470 W END AVE</t>
  </si>
  <si>
    <t>COUTINHO KARL DR.</t>
  </si>
  <si>
    <t>LEE JONATHAN DR.</t>
  </si>
  <si>
    <t>7 WINDING WAY</t>
  </si>
  <si>
    <t>IVYLAND</t>
  </si>
  <si>
    <t>OLIVIERI PATRICK DR.</t>
  </si>
  <si>
    <t>1364 CLIFTON RD NE</t>
  </si>
  <si>
    <t>E0390600</t>
  </si>
  <si>
    <t>DUMONT TANIA</t>
  </si>
  <si>
    <t>E0009575</t>
  </si>
  <si>
    <t>CHOI WALTER HYUNMIN MD</t>
  </si>
  <si>
    <t>WalterChoi</t>
  </si>
  <si>
    <t>CHOI WALTER DR.</t>
  </si>
  <si>
    <t>CHOI WALTER HYUNMIN</t>
  </si>
  <si>
    <t>Landy,Robert</t>
  </si>
  <si>
    <t>(631) 669-5440</t>
  </si>
  <si>
    <t>Makavana,Jayeshkumar</t>
  </si>
  <si>
    <t>(631) 475-3900</t>
  </si>
  <si>
    <t>Patel,Nileshkumar</t>
  </si>
  <si>
    <t>MS.EMINEALIJAJ</t>
  </si>
  <si>
    <t>ALIJAJ EMINE MS.</t>
  </si>
  <si>
    <t>E0275299</t>
  </si>
  <si>
    <t>SALEH JEAN W MD</t>
  </si>
  <si>
    <t>JEANSALEH</t>
  </si>
  <si>
    <t>SALEH JEAN</t>
  </si>
  <si>
    <t>Wilson,Claudia</t>
  </si>
  <si>
    <t>E0256677</t>
  </si>
  <si>
    <t>WILSON CLAUDIA MAJORIE     MD</t>
  </si>
  <si>
    <t>(718) 783-1200</t>
  </si>
  <si>
    <t>cwilson137@nyc.rr.com</t>
  </si>
  <si>
    <t>WILSON CLAUDIA</t>
  </si>
  <si>
    <t>BRKLYN JEWISH HOSP</t>
  </si>
  <si>
    <t>Koldayev,Roman</t>
  </si>
  <si>
    <t>(718) 909-7665</t>
  </si>
  <si>
    <t>rkoldayev@gmail.com</t>
  </si>
  <si>
    <t>1419NoelAvenue</t>
  </si>
  <si>
    <t>Hewlett</t>
  </si>
  <si>
    <t>AQUINO,KYLIE</t>
  </si>
  <si>
    <t>WADDY KYLIE MS.</t>
  </si>
  <si>
    <t>JacquesDuperval</t>
  </si>
  <si>
    <t>E0152348</t>
  </si>
  <si>
    <t>DUPERVAL JACQUES MD</t>
  </si>
  <si>
    <t>DUPERVAL JACQUES</t>
  </si>
  <si>
    <t>RummanaRahman</t>
  </si>
  <si>
    <t>E0164863</t>
  </si>
  <si>
    <t>RAHMAN RUMMANA MD</t>
  </si>
  <si>
    <t>RAHMAN RUMMANA</t>
  </si>
  <si>
    <t>BROOKLYN HOSPITAL CENTER</t>
  </si>
  <si>
    <t>SawsanAl-Izzi</t>
  </si>
  <si>
    <t>E0114915</t>
  </si>
  <si>
    <t>AL-IZZI SAWSAN HATIM MD</t>
  </si>
  <si>
    <t>AL-LZZI SAWSAN</t>
  </si>
  <si>
    <t>AL-IZZI SAWSAN HATIM</t>
  </si>
  <si>
    <t>LucienMocombe</t>
  </si>
  <si>
    <t>E0174941</t>
  </si>
  <si>
    <t>MOCOMBE LUCIEN D MD P C</t>
  </si>
  <si>
    <t>MOCOMBE LUCIEN DR.</t>
  </si>
  <si>
    <t>MOCOMBE LUCIEN DENIS</t>
  </si>
  <si>
    <t>GinaVillani</t>
  </si>
  <si>
    <t>E0135313</t>
  </si>
  <si>
    <t>VILLANI GINA M MD</t>
  </si>
  <si>
    <t>VILLANI GINA DR.</t>
  </si>
  <si>
    <t>BatoolHussaini</t>
  </si>
  <si>
    <t>E0177713</t>
  </si>
  <si>
    <t>HUSSAINI BATOOL M  MD</t>
  </si>
  <si>
    <t>HUSSAINI BATOOL</t>
  </si>
  <si>
    <t>MinakshiRajpoot</t>
  </si>
  <si>
    <t>(631) 676-7656</t>
  </si>
  <si>
    <t>LingZhao</t>
  </si>
  <si>
    <t>JafarKolahifar</t>
  </si>
  <si>
    <t>(631) 979-9889</t>
  </si>
  <si>
    <t>DavidHorvath</t>
  </si>
  <si>
    <t>(516) 993-9973</t>
  </si>
  <si>
    <t>GeorgeBuklas</t>
  </si>
  <si>
    <t>(631) 681-9234</t>
  </si>
  <si>
    <t>69AGnarledHollowRoad</t>
  </si>
  <si>
    <t>EastSetauket</t>
  </si>
  <si>
    <t>JoanneRosner</t>
  </si>
  <si>
    <t>(180) 027-53243</t>
  </si>
  <si>
    <t>3512QuentinRoad,Suite110</t>
  </si>
  <si>
    <t>SarahLong</t>
  </si>
  <si>
    <t>DavidSchaich</t>
  </si>
  <si>
    <t>E0196647</t>
  </si>
  <si>
    <t>LEWIS BLAIR S              MD</t>
  </si>
  <si>
    <t>BlairLewis</t>
  </si>
  <si>
    <t>LEWIS BLAIR DR.</t>
  </si>
  <si>
    <t>1067 5TH AVE</t>
  </si>
  <si>
    <t>E0304790</t>
  </si>
  <si>
    <t>KIZHNER VICTOR</t>
  </si>
  <si>
    <t>VictorKizhner</t>
  </si>
  <si>
    <t>425 W 59TH ST FL 10</t>
  </si>
  <si>
    <t>E0145796</t>
  </si>
  <si>
    <t>BOTTNER JOSEPH MD</t>
  </si>
  <si>
    <t>JOSEPHBOTTNER</t>
  </si>
  <si>
    <t>BOTTNER JOSEPH</t>
  </si>
  <si>
    <t>E0202252</t>
  </si>
  <si>
    <t>ZDANOWITZ JOEL JACOB       MD</t>
  </si>
  <si>
    <t>DR.JOELZDANOWITZ</t>
  </si>
  <si>
    <t>ZDANOWITZ JOEL DR.</t>
  </si>
  <si>
    <t>E0363148</t>
  </si>
  <si>
    <t>BHATIA SONICA</t>
  </si>
  <si>
    <t>SONICABHATIA</t>
  </si>
  <si>
    <t>JessicaRodriguez,DPT</t>
  </si>
  <si>
    <t>E0365295</t>
  </si>
  <si>
    <t>RODRIGUEZ JESSICA</t>
  </si>
  <si>
    <t>CarlKenel-Pierre</t>
  </si>
  <si>
    <t>E0209006</t>
  </si>
  <si>
    <t>KENEL PIERRE JOSEPH CARL</t>
  </si>
  <si>
    <t>PIERRE CARL DR.</t>
  </si>
  <si>
    <t>MARY IMMACULATE</t>
  </si>
  <si>
    <t>AlexandraEtkin</t>
  </si>
  <si>
    <t>E0113653</t>
  </si>
  <si>
    <t>ETKIN ALEXANDRA</t>
  </si>
  <si>
    <t>ETKIN ALEXANDRA DR.</t>
  </si>
  <si>
    <t>BE HEALTHY MED PC</t>
  </si>
  <si>
    <t>GaryStephens</t>
  </si>
  <si>
    <t>E0033361</t>
  </si>
  <si>
    <t>STEPHENS GARY ALMEDO MD</t>
  </si>
  <si>
    <t>STEPHENS GARY</t>
  </si>
  <si>
    <t>SherifEl-Masry</t>
  </si>
  <si>
    <t>MarkLeber</t>
  </si>
  <si>
    <t>E0216287</t>
  </si>
  <si>
    <t>LEBER MARK J MD</t>
  </si>
  <si>
    <t>LEBER MARK</t>
  </si>
  <si>
    <t>2150 163RD ST</t>
  </si>
  <si>
    <t>SwayamprabhaSadanandan</t>
  </si>
  <si>
    <t>E0234714</t>
  </si>
  <si>
    <t>SADANANDAN SWAYAMPRABHA    MD</t>
  </si>
  <si>
    <t>SADANANDAN SWAYAMPRABHA</t>
  </si>
  <si>
    <t>AftabahmedShaikh</t>
  </si>
  <si>
    <t>E0217699</t>
  </si>
  <si>
    <t>SHAIKH AFTABAHMED F        MD</t>
  </si>
  <si>
    <t>SHAIKH AFTABAHMED</t>
  </si>
  <si>
    <t>SHAIKH AFTABAHMED F</t>
  </si>
  <si>
    <t>BRKLYN-CALEDONIAN</t>
  </si>
  <si>
    <t>E0353797</t>
  </si>
  <si>
    <t>ARNOUK JOHNNY ISSAM</t>
  </si>
  <si>
    <t>JohnnyArnouk</t>
  </si>
  <si>
    <t>ARNOUK JOHNNY DR.</t>
  </si>
  <si>
    <t>E0356041</t>
  </si>
  <si>
    <t>CAGGIULA AMY BETH</t>
  </si>
  <si>
    <t>AmyCaggiula</t>
  </si>
  <si>
    <t>CAGGIULA AMY DR.</t>
  </si>
  <si>
    <t>Na,Ilsung</t>
  </si>
  <si>
    <t>MaylndaJordan</t>
  </si>
  <si>
    <t>E0113659</t>
  </si>
  <si>
    <t>SVAHN JENNIFER K MD</t>
  </si>
  <si>
    <t>JENNIFERSVAHN</t>
  </si>
  <si>
    <t>SVAHN JENNIFER</t>
  </si>
  <si>
    <t>E0051662</t>
  </si>
  <si>
    <t>LAM PATRICK WAI MING</t>
  </si>
  <si>
    <t>PATRICKLAM</t>
  </si>
  <si>
    <t>LAM PATRICK</t>
  </si>
  <si>
    <t>E0276279</t>
  </si>
  <si>
    <t>LORIEO DANNE R MD          PC</t>
  </si>
  <si>
    <t>DANNELORIEO</t>
  </si>
  <si>
    <t>LORIEO DANNE</t>
  </si>
  <si>
    <t>LLORIEO DANNE R MD          PC</t>
  </si>
  <si>
    <t>E0122295</t>
  </si>
  <si>
    <t>BONIECE IRENE R MD</t>
  </si>
  <si>
    <t>IRENEBONIECE</t>
  </si>
  <si>
    <t>BONIECE IRENE</t>
  </si>
  <si>
    <t>E0077176</t>
  </si>
  <si>
    <t>PRUCHNICKI ALEC MD</t>
  </si>
  <si>
    <t>AlecPruchnicki</t>
  </si>
  <si>
    <t>PRUCHNICKI ALEC</t>
  </si>
  <si>
    <t>REG PHYS PC</t>
  </si>
  <si>
    <t>E0111818</t>
  </si>
  <si>
    <t>GUARINO ANTHONY C  DPM</t>
  </si>
  <si>
    <t>ANTHONYGUARINO</t>
  </si>
  <si>
    <t>GUARINO ANTHONY DR.</t>
  </si>
  <si>
    <t>274 MADISON AVE RM 605</t>
  </si>
  <si>
    <t>E0251581</t>
  </si>
  <si>
    <t>ANKOLEKAR ANIL KRISHNARAO MD</t>
  </si>
  <si>
    <t>ANILANKOLEKAR</t>
  </si>
  <si>
    <t>ANKOLEKAR ANIL</t>
  </si>
  <si>
    <t>NY EYE&amp;EAR INFIRMARY</t>
  </si>
  <si>
    <t>OlgaGibbons</t>
  </si>
  <si>
    <t>E0206740</t>
  </si>
  <si>
    <t>GIBBONS OLGA</t>
  </si>
  <si>
    <t>GIBBONS OLGA DR.</t>
  </si>
  <si>
    <t>JoseSimpao,Jr.</t>
  </si>
  <si>
    <t>E0210253</t>
  </si>
  <si>
    <t>SIMPAO JOSE RODRIGUEZ JR MD P</t>
  </si>
  <si>
    <t>SIMPAO JOSE DR.</t>
  </si>
  <si>
    <t>772 GRAND ST</t>
  </si>
  <si>
    <t>PeterShakalis,M.A.,CCC-SLP,TSHH</t>
  </si>
  <si>
    <t>E0355001</t>
  </si>
  <si>
    <t>SHAKALIS PETER</t>
  </si>
  <si>
    <t>MichelleLang,L.M.S.W.</t>
  </si>
  <si>
    <t>LANG MICHELLE</t>
  </si>
  <si>
    <t>325 N END AVE, APT. 16-Q</t>
  </si>
  <si>
    <t>E0324178</t>
  </si>
  <si>
    <t>PALMERO VERONICA</t>
  </si>
  <si>
    <t>VeronicaPalmero</t>
  </si>
  <si>
    <t>PALMERO GONZALEZ VERONICA</t>
  </si>
  <si>
    <t>E0318233</t>
  </si>
  <si>
    <t>VARGAS DIANA</t>
  </si>
  <si>
    <t>DianaVargas</t>
  </si>
  <si>
    <t>VARGAS DIANA MS.</t>
  </si>
  <si>
    <t>E0364190</t>
  </si>
  <si>
    <t>MERRILL EVE RACHEL</t>
  </si>
  <si>
    <t>EveMerrill</t>
  </si>
  <si>
    <t>MERRILL EVE DR.</t>
  </si>
  <si>
    <t>E0000545</t>
  </si>
  <si>
    <t>GOSSNER GABRIELLE</t>
  </si>
  <si>
    <t>GabrielleGossner</t>
  </si>
  <si>
    <t>GOSSNER GABRIELLE DR.</t>
  </si>
  <si>
    <t>GOSSNER GABRIELLE MD</t>
  </si>
  <si>
    <t>JoseNebres,MD</t>
  </si>
  <si>
    <t>(518) 273-3311</t>
  </si>
  <si>
    <t>jnebres@nycap.rr.com</t>
  </si>
  <si>
    <t>VinaPatel,MD</t>
  </si>
  <si>
    <t>BrianDaggett,MD</t>
  </si>
  <si>
    <t>(518) 758-6101</t>
  </si>
  <si>
    <t>AlmaOlivos-Asarian</t>
  </si>
  <si>
    <t>E0140148</t>
  </si>
  <si>
    <t>OLIVOS-ASARIAN ALMA JANET MD</t>
  </si>
  <si>
    <t>OLIVOS-ASARIAN ALMA DR.</t>
  </si>
  <si>
    <t>7508 37TH AVE</t>
  </si>
  <si>
    <t>GeoffreyPhillips</t>
  </si>
  <si>
    <t>E0087195</t>
  </si>
  <si>
    <t>PHILLIPS GEOFFREY ISAAC MD</t>
  </si>
  <si>
    <t>PHILLIPS GEOFFREY</t>
  </si>
  <si>
    <t>ORTHOPEDIC DPT</t>
  </si>
  <si>
    <t>YvonneMcFarlane-Ferreira</t>
  </si>
  <si>
    <t>E0141180</t>
  </si>
  <si>
    <t>MCFARLANE-FERREIRA YVONNE</t>
  </si>
  <si>
    <t>SamyFourati</t>
  </si>
  <si>
    <t>E0123168</t>
  </si>
  <si>
    <t>FOURATI SAMY S MD</t>
  </si>
  <si>
    <t>FOURATI SAMY</t>
  </si>
  <si>
    <t>AntonWray</t>
  </si>
  <si>
    <t>E0128241</t>
  </si>
  <si>
    <t>WRAY ANTON ADOLPHUS MD</t>
  </si>
  <si>
    <t>WRAY ANTON</t>
  </si>
  <si>
    <t>DaveLivingstone</t>
  </si>
  <si>
    <t>E0122973</t>
  </si>
  <si>
    <t>LIVINGSTONE DAVE A F</t>
  </si>
  <si>
    <t>LIVINGSTONE DAVE DR.</t>
  </si>
  <si>
    <t>270-05 76TH AVE</t>
  </si>
  <si>
    <t>NadeemChaudhry</t>
  </si>
  <si>
    <t>E0131724</t>
  </si>
  <si>
    <t>CHAUDHRY NADEEM AHMAD MD</t>
  </si>
  <si>
    <t>CHAUDHRY NADEEM DR.</t>
  </si>
  <si>
    <t>8407 7TH AVE</t>
  </si>
  <si>
    <t>LeslieArluck,MSPT</t>
  </si>
  <si>
    <t>E0130830</t>
  </si>
  <si>
    <t>ARLUCK LESLIE DAWN PT</t>
  </si>
  <si>
    <t>ARLUCK LESLIE MS.</t>
  </si>
  <si>
    <t>3603 RICHMOND AVE</t>
  </si>
  <si>
    <t>EvelynMagdaleno,L.C.S.W.</t>
  </si>
  <si>
    <t>MAGDALENO EVELYN</t>
  </si>
  <si>
    <t>JustinParker,L.M.S.W.</t>
  </si>
  <si>
    <t>PARKER JUSTIN</t>
  </si>
  <si>
    <t>LaurenDonato,M.A.</t>
  </si>
  <si>
    <t>DONATO LAUREN</t>
  </si>
  <si>
    <t>267 OVINGTON AVE, APT. 4-F</t>
  </si>
  <si>
    <t>MarkAgosto,L.M.S.W.</t>
  </si>
  <si>
    <t>AGOSTO MARK</t>
  </si>
  <si>
    <t>CarolNocella,R.D.,CDN</t>
  </si>
  <si>
    <t>NOCELLA CAROL</t>
  </si>
  <si>
    <t>E0149371</t>
  </si>
  <si>
    <t>CHUNG BRUCE K MD</t>
  </si>
  <si>
    <t>BRUCECHUNG</t>
  </si>
  <si>
    <t>CHUNG BRUCE</t>
  </si>
  <si>
    <t>E0167480</t>
  </si>
  <si>
    <t>WANG JOHN K   MD</t>
  </si>
  <si>
    <t>JOHNWANG</t>
  </si>
  <si>
    <t>E0223262</t>
  </si>
  <si>
    <t>MERKLER RICHARD G          MD</t>
  </si>
  <si>
    <t>RICHARDMERKLER</t>
  </si>
  <si>
    <t>MERKLER RICHARD DR.</t>
  </si>
  <si>
    <t>SETHCOHEN</t>
  </si>
  <si>
    <t>E0011631</t>
  </si>
  <si>
    <t>MYINT RICHARD MD</t>
  </si>
  <si>
    <t>RICHARDMYINT</t>
  </si>
  <si>
    <t>MYINT RICHARD DR.</t>
  </si>
  <si>
    <t>128 MOTT ST</t>
  </si>
  <si>
    <t>E0123915</t>
  </si>
  <si>
    <t>JIN TSEN-TSEN MD</t>
  </si>
  <si>
    <t>TSEN-TSENJIN</t>
  </si>
  <si>
    <t>JIN TSEN-TSEN DR.</t>
  </si>
  <si>
    <t>139 CENTRE ST STE 614</t>
  </si>
  <si>
    <t>E0203243</t>
  </si>
  <si>
    <t>LALLI ROBERT G             MD</t>
  </si>
  <si>
    <t>ROBERTLALLI</t>
  </si>
  <si>
    <t>LALLI ROBERT</t>
  </si>
  <si>
    <t>LeonNitkin</t>
  </si>
  <si>
    <t>E0210676</t>
  </si>
  <si>
    <t>NITKIN LEON                MD</t>
  </si>
  <si>
    <t>NITKIN LEON</t>
  </si>
  <si>
    <t>749 OCEAN PKWY</t>
  </si>
  <si>
    <t>REGEVDWARKA</t>
  </si>
  <si>
    <t>E0149236</t>
  </si>
  <si>
    <t>ALAGESAN RITA MD</t>
  </si>
  <si>
    <t>RITAALAGESAN</t>
  </si>
  <si>
    <t>ALAGESAN RITA</t>
  </si>
  <si>
    <t>NY DOWNTOWN HSP</t>
  </si>
  <si>
    <t>E0329769</t>
  </si>
  <si>
    <t>GOLDKLANG MONICA</t>
  </si>
  <si>
    <t>MonicaGoldklang</t>
  </si>
  <si>
    <t>GOLDKLANG MONICA DR.</t>
  </si>
  <si>
    <t>AdesuwaOkesanya</t>
  </si>
  <si>
    <t>E0296864</t>
  </si>
  <si>
    <t>ADESUWA OKESANYA MD</t>
  </si>
  <si>
    <t>OKESANYA ADESUWA DR.</t>
  </si>
  <si>
    <t>OKESANYA ADESUWA RUBY MD</t>
  </si>
  <si>
    <t>VictoriaDantchenko</t>
  </si>
  <si>
    <t>E0299247</t>
  </si>
  <si>
    <t>DANTCHENKO VICTORIA</t>
  </si>
  <si>
    <t>NitinGupta</t>
  </si>
  <si>
    <t>E0342228</t>
  </si>
  <si>
    <t>GUPTA NITIN</t>
  </si>
  <si>
    <t>GUPTA NITIN DR.</t>
  </si>
  <si>
    <t>Maria-AnnaVastardi</t>
  </si>
  <si>
    <t>E0362257</t>
  </si>
  <si>
    <t>VASTARDI MARIA-ANNA</t>
  </si>
  <si>
    <t>VASTARDI MARIA- ANNA</t>
  </si>
  <si>
    <t>450 CLARKSON AVE # STE # B4-333</t>
  </si>
  <si>
    <t>MarisaOishi</t>
  </si>
  <si>
    <t>E0321109</t>
  </si>
  <si>
    <t>OISHI MARISA</t>
  </si>
  <si>
    <t>OISHI MARISA DR.</t>
  </si>
  <si>
    <t>LaurentiuPopa</t>
  </si>
  <si>
    <t>E0034069</t>
  </si>
  <si>
    <t>POPA LAURENTIU MD</t>
  </si>
  <si>
    <t>POPA LAURENTIU</t>
  </si>
  <si>
    <t>MahboobehMozayan</t>
  </si>
  <si>
    <t>E0306011</t>
  </si>
  <si>
    <t>MOZAYAN MAHBOOBEH</t>
  </si>
  <si>
    <t>MOZAYAN KHARAZI MAHBOOBEH</t>
  </si>
  <si>
    <t>GeorgeNerantzakis</t>
  </si>
  <si>
    <t>E0348088</t>
  </si>
  <si>
    <t>NERANTZAKIS GEORGE</t>
  </si>
  <si>
    <t>ErrollByer</t>
  </si>
  <si>
    <t>E0090602</t>
  </si>
  <si>
    <t>BYER ERROLL IGNATIUS JR</t>
  </si>
  <si>
    <t>BYER ERROLL</t>
  </si>
  <si>
    <t>HaroutyounMargossian</t>
  </si>
  <si>
    <t>E0318389</t>
  </si>
  <si>
    <t>NY UROGYNECOLOGY &amp; RECONSTRUCTIVE</t>
  </si>
  <si>
    <t>NY UROGYNECOLOGY &amp; RECONSTRUCTIVE PELVIC SURGERY PC</t>
  </si>
  <si>
    <t>7206 NARROWS AVE</t>
  </si>
  <si>
    <t>Wendy-AnnOlivier</t>
  </si>
  <si>
    <t>YvegeniyaZinger</t>
  </si>
  <si>
    <t>E0089960</t>
  </si>
  <si>
    <t>ZINGER YEVGENIYA OSKAROVNA MD</t>
  </si>
  <si>
    <t>ZINGER YEVGENIA</t>
  </si>
  <si>
    <t>JahidAhamed</t>
  </si>
  <si>
    <t>E0160491</t>
  </si>
  <si>
    <t>AHAMED JAHID MD</t>
  </si>
  <si>
    <t>AHAMED JAHID</t>
  </si>
  <si>
    <t>STE 1202</t>
  </si>
  <si>
    <t>JasonHalper</t>
  </si>
  <si>
    <t>E0128812</t>
  </si>
  <si>
    <t>HALPER JASON J MD</t>
  </si>
  <si>
    <t>HALPER JASON DR.</t>
  </si>
  <si>
    <t>VICTORY MEM HOSP</t>
  </si>
  <si>
    <t>E0212004</t>
  </si>
  <si>
    <t>FRANKEL RICHARD HARRIS DPM</t>
  </si>
  <si>
    <t>RICHARDFRANKEL</t>
  </si>
  <si>
    <t>FRANKEL RICHARD DR.</t>
  </si>
  <si>
    <t>702 ROCKAWAY AVE</t>
  </si>
  <si>
    <t>ROBERTSAMANIEGO</t>
  </si>
  <si>
    <t>Rhimchangsoo</t>
  </si>
  <si>
    <t>(718) 239-1000</t>
  </si>
  <si>
    <t>changrhim@yahoo.com</t>
  </si>
  <si>
    <t>RichmondDionne</t>
  </si>
  <si>
    <t>(646) 647-0274</t>
  </si>
  <si>
    <t>nurserich@msn.com</t>
  </si>
  <si>
    <t>Rodriguez-IglesiasRealba</t>
  </si>
  <si>
    <t>(718) 652-1802</t>
  </si>
  <si>
    <t>realbarodz@gmail.com</t>
  </si>
  <si>
    <t>EulyssesLeid</t>
  </si>
  <si>
    <t>E0210258</t>
  </si>
  <si>
    <t>LEID EULYSSES NOEL         MD</t>
  </si>
  <si>
    <t>LEID EULYSSES</t>
  </si>
  <si>
    <t>5519 TILDEN AVE</t>
  </si>
  <si>
    <t>JohnShimkus</t>
  </si>
  <si>
    <t>E0195839</t>
  </si>
  <si>
    <t>SHIMKUS JOHN W MD</t>
  </si>
  <si>
    <t>SHIMKUS JOHN</t>
  </si>
  <si>
    <t>10 TURTLE POND RD</t>
  </si>
  <si>
    <t>E0000837</t>
  </si>
  <si>
    <t>SAFIN DANIEL S</t>
  </si>
  <si>
    <t>DANIELSAFIN</t>
  </si>
  <si>
    <t>SAFIN DANIEL DR.</t>
  </si>
  <si>
    <t>SAFIN DANIEL S MD</t>
  </si>
  <si>
    <t>E0144691</t>
  </si>
  <si>
    <t>SALOMON NADIM MD</t>
  </si>
  <si>
    <t>NADIMSALOMON</t>
  </si>
  <si>
    <t>SALOMON NADIM</t>
  </si>
  <si>
    <t>E0324709</t>
  </si>
  <si>
    <t>FIFI JOHANNA T</t>
  </si>
  <si>
    <t>JOHANNAFIFI</t>
  </si>
  <si>
    <t>FIFI JOHANNA DR.</t>
  </si>
  <si>
    <t>FIFI JOHANNA TERESE</t>
  </si>
  <si>
    <t>1000 10TH AVE STE 10G</t>
  </si>
  <si>
    <t>MS.NICOLESEVRANSKY</t>
  </si>
  <si>
    <t>SEVRANSKY NICOLE MS.</t>
  </si>
  <si>
    <t>E0002679</t>
  </si>
  <si>
    <t>CHEN ABIGAIL</t>
  </si>
  <si>
    <t>ABIGAILCHEN</t>
  </si>
  <si>
    <t>CHEN ABIGAIL DR.</t>
  </si>
  <si>
    <t>CHEN ABIGAIL RIDDLE</t>
  </si>
  <si>
    <t>E0005685</t>
  </si>
  <si>
    <t>JOHNSON CARY</t>
  </si>
  <si>
    <t>CARYJOHNSON</t>
  </si>
  <si>
    <t>JOHNSON CARY DR.</t>
  </si>
  <si>
    <t>JOHNSON CARY ALEXANDER MD</t>
  </si>
  <si>
    <t>E0200159</t>
  </si>
  <si>
    <t>BUCHBINDER DANIEL</t>
  </si>
  <si>
    <t>DANIELBUCHBINDER</t>
  </si>
  <si>
    <t>E0098911</t>
  </si>
  <si>
    <t>KORONGY RICHARD VINCENT MD</t>
  </si>
  <si>
    <t>RICHARDKORONGY</t>
  </si>
  <si>
    <t>KORONGY RICHARD</t>
  </si>
  <si>
    <t>E0209088</t>
  </si>
  <si>
    <t>PORTENOY RUSSELL KEITH     MD</t>
  </si>
  <si>
    <t>RUSSELLPORTENOY</t>
  </si>
  <si>
    <t>PORTENOY RUSSELL</t>
  </si>
  <si>
    <t>E0213331</t>
  </si>
  <si>
    <t>ALEDORT DAVID E            MD</t>
  </si>
  <si>
    <t>DAVIDALEDORT</t>
  </si>
  <si>
    <t>ALEDORT DAVID DR.</t>
  </si>
  <si>
    <t>ALEDORT DAVID ERIC</t>
  </si>
  <si>
    <t>764 ADDISON AVE</t>
  </si>
  <si>
    <t>E0144220</t>
  </si>
  <si>
    <t>MORITZ JACQUES L MD</t>
  </si>
  <si>
    <t>JACQUESMORITZ</t>
  </si>
  <si>
    <t>MORITZ JACQUES DR.</t>
  </si>
  <si>
    <t>WOGG PC</t>
  </si>
  <si>
    <t>WALKER-PECK,SARA</t>
  </si>
  <si>
    <t>E0335232</t>
  </si>
  <si>
    <t>WALKER SARA</t>
  </si>
  <si>
    <t>WALKER SARA MS.</t>
  </si>
  <si>
    <t>9413 FLATLANDS AVE</t>
  </si>
  <si>
    <t>WEISS,SUSAN</t>
  </si>
  <si>
    <t>E0012588</t>
  </si>
  <si>
    <t>WEISS SUSAN</t>
  </si>
  <si>
    <t>WEISS SUSAN ELLEN</t>
  </si>
  <si>
    <t>MISSAMELIAMOHABIR</t>
  </si>
  <si>
    <t>MOHABIR AMELIA MISS</t>
  </si>
  <si>
    <t>E0134048</t>
  </si>
  <si>
    <t>MATTI-OROZCO BRENDA MARCIA</t>
  </si>
  <si>
    <t>BRENDAMATTI-OROZCO</t>
  </si>
  <si>
    <t>MATTI-OROZCO BRENDA DR.</t>
  </si>
  <si>
    <t>E0180441</t>
  </si>
  <si>
    <t>RHEE ANNA JEONG EUN MD</t>
  </si>
  <si>
    <t>ANNARHEE</t>
  </si>
  <si>
    <t>RHEE ANNA</t>
  </si>
  <si>
    <t>STE 424</t>
  </si>
  <si>
    <t>E0099382</t>
  </si>
  <si>
    <t>PATEL DEVENDRA ANANTRAI MD</t>
  </si>
  <si>
    <t>DAVENDRAPATEL</t>
  </si>
  <si>
    <t>PATEL DAVENDRA</t>
  </si>
  <si>
    <t>Amin,Deepak</t>
  </si>
  <si>
    <t>E0160789</t>
  </si>
  <si>
    <t>AMIN DEEPAK KANTILAL MD</t>
  </si>
  <si>
    <t>deepmd@aol.com</t>
  </si>
  <si>
    <t>AMIN DEEPAK DR.</t>
  </si>
  <si>
    <t>BISHOP HUCLES NURS H</t>
  </si>
  <si>
    <t>NealBaillargeon</t>
  </si>
  <si>
    <t>(518) 758-7252</t>
  </si>
  <si>
    <t>NABMD@berk.com</t>
  </si>
  <si>
    <t>CommunityHospice</t>
  </si>
  <si>
    <t>PaulMenge,MD</t>
  </si>
  <si>
    <t>(518) 943-5402</t>
  </si>
  <si>
    <t>DR.YONATANHILLMAN</t>
  </si>
  <si>
    <t>HILLMAN YONATAN DR.</t>
  </si>
  <si>
    <t>2507 KIPLING AVE</t>
  </si>
  <si>
    <t>ST LOUIS PARK</t>
  </si>
  <si>
    <t>E0096509</t>
  </si>
  <si>
    <t>ROBERTS MICHAEL PHD</t>
  </si>
  <si>
    <t>MICHAELROBERTS</t>
  </si>
  <si>
    <t>ROBERTS MICHAEL DR.</t>
  </si>
  <si>
    <t>E0084339</t>
  </si>
  <si>
    <t>FERNANDEZ HELEN MARIA MD</t>
  </si>
  <si>
    <t>HELENFERNANDEZ</t>
  </si>
  <si>
    <t>FERNANDEZ HELEN</t>
  </si>
  <si>
    <t>COFFEY GER ASSOC</t>
  </si>
  <si>
    <t>E0192372</t>
  </si>
  <si>
    <t>AMIRAIAN RICHARD HAROLD MD</t>
  </si>
  <si>
    <t>RICHARDAMIRAIAN</t>
  </si>
  <si>
    <t>AMIRAIAN RICHARD DR.</t>
  </si>
  <si>
    <t>625 PANORAMA TRL</t>
  </si>
  <si>
    <t>E0009853</t>
  </si>
  <si>
    <t>RAJDA GEETANJALI MD</t>
  </si>
  <si>
    <t>GEETANJALIRAJDA</t>
  </si>
  <si>
    <t>RAJDA GEETANJALI</t>
  </si>
  <si>
    <t>DUPERVAL,MIRIELLE</t>
  </si>
  <si>
    <t>E0115904</t>
  </si>
  <si>
    <t>DUPERVAL MIREILLS MD</t>
  </si>
  <si>
    <t>(718) 262-1341</t>
  </si>
  <si>
    <t>mduperval@sco.org</t>
  </si>
  <si>
    <t>DUPERVAL MIRIELLE DR.</t>
  </si>
  <si>
    <t>DUPERVAL MIRIELLE MD</t>
  </si>
  <si>
    <t>391 LINDEN BLVD</t>
  </si>
  <si>
    <t>BUCEVIC,MARIN</t>
  </si>
  <si>
    <t>E0083613</t>
  </si>
  <si>
    <t>BUCEVIC MARIN MD</t>
  </si>
  <si>
    <t>mbucevic@sco.org</t>
  </si>
  <si>
    <t>BUCEVIC MARIN MR.</t>
  </si>
  <si>
    <t>DavidStarkman,DDS</t>
  </si>
  <si>
    <t>(518) 758-7179</t>
  </si>
  <si>
    <t>MadhuPadi,MD</t>
  </si>
  <si>
    <t>(518) 782-3820</t>
  </si>
  <si>
    <t>GraceAdepoju</t>
  </si>
  <si>
    <t>(518) 752-3820</t>
  </si>
  <si>
    <t>CHE</t>
  </si>
  <si>
    <t>NeilA.Berger,PHD</t>
  </si>
  <si>
    <t>(800) 275-3243</t>
  </si>
  <si>
    <t>JoshuaRosenberg</t>
  </si>
  <si>
    <t>E0008657</t>
  </si>
  <si>
    <t>ROSENBERG JOSHUA MD</t>
  </si>
  <si>
    <t>ROSENBERG JOSHUA DR.</t>
  </si>
  <si>
    <t>E0284253</t>
  </si>
  <si>
    <t>KANEI YUMIKO MD</t>
  </si>
  <si>
    <t>YUMIKOKANEI</t>
  </si>
  <si>
    <t>KANEI YUMIKO</t>
  </si>
  <si>
    <t>FIRST AVE AT 16TH ST 11 DAZIAN</t>
  </si>
  <si>
    <t>SATYARENGGA MEDHA DR.</t>
  </si>
  <si>
    <t>1000 10TH AVE, DEPARTMENT OF MEDICINE, RM. 3A-15, MT. SINAI ROOSEVELT</t>
  </si>
  <si>
    <t>KENNEDY NIGEL DR.</t>
  </si>
  <si>
    <t>PATEL VAIBHAV</t>
  </si>
  <si>
    <t>1363 SEVEN PINES RD, A1</t>
  </si>
  <si>
    <t>SCHAUMBURG</t>
  </si>
  <si>
    <t>WILDSTEIN SARA</t>
  </si>
  <si>
    <t>MANGAN JAMES</t>
  </si>
  <si>
    <t>MERCADO DANIELLE</t>
  </si>
  <si>
    <t>7811 64TH ST</t>
  </si>
  <si>
    <t>GUPTA ROHIT DR.</t>
  </si>
  <si>
    <t>1400 PELHAM PKWY S, BLDG 1 SUITE 3N1</t>
  </si>
  <si>
    <t>E0012872</t>
  </si>
  <si>
    <t>TONG CARRIE LILYNN MD</t>
  </si>
  <si>
    <t>TONG CARRIE</t>
  </si>
  <si>
    <t>C/O GOOD SAMARITAN HOSPITAL</t>
  </si>
  <si>
    <t>E0358477</t>
  </si>
  <si>
    <t>DEEGAN ERIN MARIE</t>
  </si>
  <si>
    <t>DEEGAN ERIN</t>
  </si>
  <si>
    <t>10 UNION SQ E # 5D</t>
  </si>
  <si>
    <t>E0127454</t>
  </si>
  <si>
    <t>NEUFELD RICHARD R</t>
  </si>
  <si>
    <t>RichardNeufeld</t>
  </si>
  <si>
    <t>NEUFELD RICHARD DR.</t>
  </si>
  <si>
    <t>NEUFELD RICHARD ROSS</t>
  </si>
  <si>
    <t>E0216713</t>
  </si>
  <si>
    <t>RAYMOND ALAN R             MD</t>
  </si>
  <si>
    <t>AlanRaymond</t>
  </si>
  <si>
    <t>RAYMOND ALAN DR.</t>
  </si>
  <si>
    <t>430 E 20TH ST</t>
  </si>
  <si>
    <t>MINGKEWANG</t>
  </si>
  <si>
    <t>E0062678</t>
  </si>
  <si>
    <t>SHEINFELD JOANNA</t>
  </si>
  <si>
    <t>JOANNASHEINFELD</t>
  </si>
  <si>
    <t>E0112231</t>
  </si>
  <si>
    <t>BERGER ABRAHAM MD</t>
  </si>
  <si>
    <t>ABRAHAMBERGER</t>
  </si>
  <si>
    <t>BERGER ABRAHAM</t>
  </si>
  <si>
    <t>E0339697</t>
  </si>
  <si>
    <t>PENA ARMANDO JUAN</t>
  </si>
  <si>
    <t>JUANPENA</t>
  </si>
  <si>
    <t>PENA JUAN DR.</t>
  </si>
  <si>
    <t>PENA JUAN ARMANDO</t>
  </si>
  <si>
    <t>E0419102</t>
  </si>
  <si>
    <t>SOMMOVILLA NILI</t>
  </si>
  <si>
    <t>DR.NILISOMMOVILLA</t>
  </si>
  <si>
    <t>SOMMOVILLA NILI DR.</t>
  </si>
  <si>
    <t>SOMMOVILLA NILI BETH</t>
  </si>
  <si>
    <t>E0394662</t>
  </si>
  <si>
    <t>SPIGUEL EUGENIE A</t>
  </si>
  <si>
    <t>EUGENIESPIGUEL</t>
  </si>
  <si>
    <t>SPIGUEL EUGENIE</t>
  </si>
  <si>
    <t>SPIGUEL EUGENIE ANN</t>
  </si>
  <si>
    <t>E0020258</t>
  </si>
  <si>
    <t>ASHMEAD GRAHAM G MD</t>
  </si>
  <si>
    <t>GrahamAshmead</t>
  </si>
  <si>
    <t>ASHMEAD GRAHAM</t>
  </si>
  <si>
    <t>120 MINEOLA BLVD</t>
  </si>
  <si>
    <t>E0000543</t>
  </si>
  <si>
    <t>HANNA LILY</t>
  </si>
  <si>
    <t>LilyHanna</t>
  </si>
  <si>
    <t>HANNA LILY DR.</t>
  </si>
  <si>
    <t>HANNA LILY AWATIF MD</t>
  </si>
  <si>
    <t>E0419948</t>
  </si>
  <si>
    <t>FRIEDMAN MIA</t>
  </si>
  <si>
    <t>MiaSarohia</t>
  </si>
  <si>
    <t>FRIEDMAN MIA DR.</t>
  </si>
  <si>
    <t>E0308957</t>
  </si>
  <si>
    <t>ROY E BACHAR MD</t>
  </si>
  <si>
    <t>ROYBACHAR</t>
  </si>
  <si>
    <t>BACHAR ROY DR.</t>
  </si>
  <si>
    <t>BACHAR ROY A  MD</t>
  </si>
  <si>
    <t>E0283437</t>
  </si>
  <si>
    <t>ERIC S BARNA</t>
  </si>
  <si>
    <t>ERICBARNA</t>
  </si>
  <si>
    <t>BARNA ERIC DR.</t>
  </si>
  <si>
    <t>BARNA ERIC S MD</t>
  </si>
  <si>
    <t>E0276839</t>
  </si>
  <si>
    <t>MILLMAN HOWARD E MD</t>
  </si>
  <si>
    <t>HOWARDMILLMAN</t>
  </si>
  <si>
    <t>2211 BROADWAY</t>
  </si>
  <si>
    <t>BindhuThomas</t>
  </si>
  <si>
    <t>MarieStuart</t>
  </si>
  <si>
    <t>ms2579@columbia.edu</t>
  </si>
  <si>
    <t>StephanieTwomey</t>
  </si>
  <si>
    <t>GloriaNegron</t>
  </si>
  <si>
    <t>gnegron@montefiore.org</t>
  </si>
  <si>
    <t>XiaoshuangYin</t>
  </si>
  <si>
    <t>ShandorZelenger</t>
  </si>
  <si>
    <t>E0009624</t>
  </si>
  <si>
    <t>KLEIN EITAN M MD</t>
  </si>
  <si>
    <t>EITANKLEIN</t>
  </si>
  <si>
    <t>KLEIN EITAN</t>
  </si>
  <si>
    <t>KLEIN EITAN MOSHE</t>
  </si>
  <si>
    <t>E0090607</t>
  </si>
  <si>
    <t>MADRID TANYA M MD</t>
  </si>
  <si>
    <t>TANYAMADRID</t>
  </si>
  <si>
    <t>MADRID TANYA</t>
  </si>
  <si>
    <t>E0050027</t>
  </si>
  <si>
    <t>DELLA ROCCA DAVID A MD</t>
  </si>
  <si>
    <t>DAVIDDELLAROCCA</t>
  </si>
  <si>
    <t>DELLA ROCCA DAVID DR.</t>
  </si>
  <si>
    <t>NYEEI OPHTHALMOLOGY</t>
  </si>
  <si>
    <t>Hoeffs-KwonMelanie</t>
  </si>
  <si>
    <t>HOEFFS MELANIE MS.</t>
  </si>
  <si>
    <t>800 WESTCHESTER AVE, SUITE N511</t>
  </si>
  <si>
    <t>E0233952</t>
  </si>
  <si>
    <t>ABIRI MANOUCHEHR           MD</t>
  </si>
  <si>
    <t>MICHAELABIRI</t>
  </si>
  <si>
    <t>ABIRI MICHAEL DR.</t>
  </si>
  <si>
    <t>E0116068</t>
  </si>
  <si>
    <t>ZIETS ROBERT JEFFREY MD</t>
  </si>
  <si>
    <t>ROBERTZIETS</t>
  </si>
  <si>
    <t>ZIETS ROBERT</t>
  </si>
  <si>
    <t>910 PARK AVE</t>
  </si>
  <si>
    <t>E0109787</t>
  </si>
  <si>
    <t>MACISAAC LAURA</t>
  </si>
  <si>
    <t>LAURAMACISAAC</t>
  </si>
  <si>
    <t>PHYS BILLING ASSOC</t>
  </si>
  <si>
    <t>E0364476</t>
  </si>
  <si>
    <t>MASS LAWRENCE D</t>
  </si>
  <si>
    <t>LAWRENCEMASS</t>
  </si>
  <si>
    <t>MASS LAWRENCE DR.</t>
  </si>
  <si>
    <t>429 2ND AVE # 3G</t>
  </si>
  <si>
    <t>JeffreyBaruch</t>
  </si>
  <si>
    <t>JoeChamberlin</t>
  </si>
  <si>
    <t>AgathaNwakeze</t>
  </si>
  <si>
    <t>ShobinOommen</t>
  </si>
  <si>
    <t>JanePhelan</t>
  </si>
  <si>
    <t>E0296857</t>
  </si>
  <si>
    <t>GILLEGO ALYSSA MINERVA MD</t>
  </si>
  <si>
    <t>ALYSSAGILLEGO</t>
  </si>
  <si>
    <t>GILLEGO ALYSSA</t>
  </si>
  <si>
    <t>E0082861</t>
  </si>
  <si>
    <t>YEVGENY AZRIELI MD</t>
  </si>
  <si>
    <t>YEVGENYAZRIELI</t>
  </si>
  <si>
    <t>AZRIELI YEVGENY DR.</t>
  </si>
  <si>
    <t>AZRIELI YEVGENY MD</t>
  </si>
  <si>
    <t>E0184835</t>
  </si>
  <si>
    <t>BROWN ROBIN R MD</t>
  </si>
  <si>
    <t>ROBINBROWN</t>
  </si>
  <si>
    <t>BROWN ROBIN</t>
  </si>
  <si>
    <t>BROWN ROBIN RENEE</t>
  </si>
  <si>
    <t>200 W 57TH ST</t>
  </si>
  <si>
    <t>MISSCHRISTINEMURPHY</t>
  </si>
  <si>
    <t>MURPHY CHRISTINE MISS</t>
  </si>
  <si>
    <t>1111 AMSTERDAM AVE, CLARK 7</t>
  </si>
  <si>
    <t>E0137880</t>
  </si>
  <si>
    <t>BANIA THEODORE CASIMIR MD</t>
  </si>
  <si>
    <t>THEODOREBANIA</t>
  </si>
  <si>
    <t>BANIA THEODORE</t>
  </si>
  <si>
    <t>E0336402</t>
  </si>
  <si>
    <t>OZDEN AYKUT</t>
  </si>
  <si>
    <t>AYKUTOZDEN</t>
  </si>
  <si>
    <t>OZDEN AYKUT DR.</t>
  </si>
  <si>
    <t>411 W 114TH STREET 2A-8</t>
  </si>
  <si>
    <t>E0121980</t>
  </si>
  <si>
    <t>STRAUS EMILY L MD</t>
  </si>
  <si>
    <t>EMILYBUCHWALD-STRAUSS</t>
  </si>
  <si>
    <t>STRAUS EMILY</t>
  </si>
  <si>
    <t>AnukulNandi</t>
  </si>
  <si>
    <t>E0276084</t>
  </si>
  <si>
    <t>NANDI ANUKUL C             MD</t>
  </si>
  <si>
    <t>NANDI ANUKUL MR.</t>
  </si>
  <si>
    <t>NANDI ANUKUL C</t>
  </si>
  <si>
    <t>76 AVENUE U</t>
  </si>
  <si>
    <t>OrysyaProtas</t>
  </si>
  <si>
    <t>(347) 459-7763</t>
  </si>
  <si>
    <t>832GlenDrive</t>
  </si>
  <si>
    <t>Woodmere</t>
  </si>
  <si>
    <t>AmandaHordos</t>
  </si>
  <si>
    <t>(631) 877-0651</t>
  </si>
  <si>
    <t>Dinovas,James</t>
  </si>
  <si>
    <t>(631) 563-2467</t>
  </si>
  <si>
    <t>Faroqui,Fazal</t>
  </si>
  <si>
    <t>CiprianNedelcu</t>
  </si>
  <si>
    <t>E0019012</t>
  </si>
  <si>
    <t>NEDELCU CIPRIAN MD</t>
  </si>
  <si>
    <t>NEDELCU CIPRIAN</t>
  </si>
  <si>
    <t>DonaldNicell</t>
  </si>
  <si>
    <t>E0035368</t>
  </si>
  <si>
    <t>NICELL DONALD THOMAS MD</t>
  </si>
  <si>
    <t>NICELL DONALD DR.</t>
  </si>
  <si>
    <t>E0132654</t>
  </si>
  <si>
    <t>GUPTA MANTU MD</t>
  </si>
  <si>
    <t>MANTUGUPTA</t>
  </si>
  <si>
    <t>GUPTA MANTU</t>
  </si>
  <si>
    <t>E0184336</t>
  </si>
  <si>
    <t>HUNT ANN L</t>
  </si>
  <si>
    <t>ANNHUNT</t>
  </si>
  <si>
    <t>HUNT ANN</t>
  </si>
  <si>
    <t>E0065221</t>
  </si>
  <si>
    <t>ELIADES MELTO JAMES</t>
  </si>
  <si>
    <t>MELTOELIADES</t>
  </si>
  <si>
    <t>ELIADES MELTO</t>
  </si>
  <si>
    <t>ELIADES MELTO JAMES MD</t>
  </si>
  <si>
    <t>E0102991</t>
  </si>
  <si>
    <t>MILLER ALBERT</t>
  </si>
  <si>
    <t>ALBERTMILLER</t>
  </si>
  <si>
    <t>MILLER ALBERT DR.</t>
  </si>
  <si>
    <t>10 NATHAN D PERLMAN</t>
  </si>
  <si>
    <t>E0039916</t>
  </si>
  <si>
    <t>NOBERT CRAIG FRANCIS MD</t>
  </si>
  <si>
    <t>CRAIGNOBERT</t>
  </si>
  <si>
    <t>NOBERT CRAIG</t>
  </si>
  <si>
    <t>E0131177</t>
  </si>
  <si>
    <t>MAREK ALINA</t>
  </si>
  <si>
    <t>ALINAMAREK</t>
  </si>
  <si>
    <t>MAREK ALINA DR.</t>
  </si>
  <si>
    <t>E0285346</t>
  </si>
  <si>
    <t>SEIDLER AFET MD</t>
  </si>
  <si>
    <t>AFETSEIDLER</t>
  </si>
  <si>
    <t>SEIDLER AFET DR.</t>
  </si>
  <si>
    <t>E0030389</t>
  </si>
  <si>
    <t>DEMATTIA JOSEPH MD</t>
  </si>
  <si>
    <t>JOSEPHDEMATTIA</t>
  </si>
  <si>
    <t>DEMATTIA JOSEPH DR.</t>
  </si>
  <si>
    <t>E0043516</t>
  </si>
  <si>
    <t>WINCHESTER JAMES FRANK MD</t>
  </si>
  <si>
    <t>JAMESWINCHESTER</t>
  </si>
  <si>
    <t>WINCHESTER JAMES</t>
  </si>
  <si>
    <t>BIMC DEPT NEPHROLOGY</t>
  </si>
  <si>
    <t>E0117503</t>
  </si>
  <si>
    <t>SHAPIRA ILAN MD</t>
  </si>
  <si>
    <t>ILANSHAPIRA</t>
  </si>
  <si>
    <t>SHAPIRA ILAN</t>
  </si>
  <si>
    <t>305 W 28TH ST</t>
  </si>
  <si>
    <t>E0121955</t>
  </si>
  <si>
    <t>FOX JOHN T MD</t>
  </si>
  <si>
    <t>JohnFox</t>
  </si>
  <si>
    <t>11 DAZIAN</t>
  </si>
  <si>
    <t>E0125099</t>
  </si>
  <si>
    <t>BLANK WESLEY S MD</t>
  </si>
  <si>
    <t>WesleyBlank</t>
  </si>
  <si>
    <t>BLANK WESLEY</t>
  </si>
  <si>
    <t>E0079369</t>
  </si>
  <si>
    <t>LUMM ANDREA</t>
  </si>
  <si>
    <t>AndreaLumm</t>
  </si>
  <si>
    <t>ST VINCENTS 9FL</t>
  </si>
  <si>
    <t>E0120227</t>
  </si>
  <si>
    <t>RODRIGUEZ OSCAR D MD</t>
  </si>
  <si>
    <t>OscarRodriguez</t>
  </si>
  <si>
    <t>RODRIGUEZ OSCAR DR.</t>
  </si>
  <si>
    <t>E0099273</t>
  </si>
  <si>
    <t>CHU JASON MD</t>
  </si>
  <si>
    <t>JasonChu</t>
  </si>
  <si>
    <t>CHU JASON</t>
  </si>
  <si>
    <t>STNY BRK EMERG PHYS</t>
  </si>
  <si>
    <t>E0390684</t>
  </si>
  <si>
    <t>NOTTINGHAM FATIMA I</t>
  </si>
  <si>
    <t>FatimaNottingham</t>
  </si>
  <si>
    <t>NOTTINGHAM FATIMA DR.</t>
  </si>
  <si>
    <t>530 1ST AVE # C-124</t>
  </si>
  <si>
    <t>E0019961</t>
  </si>
  <si>
    <t>ROSE KEITH MARTIN MD</t>
  </si>
  <si>
    <t>KeithRose</t>
  </si>
  <si>
    <t>ROSE KEITH DR.</t>
  </si>
  <si>
    <t>ROSE KEITH MARTIN</t>
  </si>
  <si>
    <t>NitsanaSpigland</t>
  </si>
  <si>
    <t>E0141030</t>
  </si>
  <si>
    <t>SPIGLAND NITSANA A MD</t>
  </si>
  <si>
    <t>SPIGLAND NITSANA</t>
  </si>
  <si>
    <t>Woo-taekChang</t>
  </si>
  <si>
    <t>E0184562</t>
  </si>
  <si>
    <t>CHANG WOO TAEK MD</t>
  </si>
  <si>
    <t>CHANG WOOTAEK</t>
  </si>
  <si>
    <t>E0127456</t>
  </si>
  <si>
    <t>SARLIN JONATHAN G</t>
  </si>
  <si>
    <t>JonathanSarlin</t>
  </si>
  <si>
    <t>SARLIN JONATHAN</t>
  </si>
  <si>
    <t>Sarlin Jonathan G</t>
  </si>
  <si>
    <t>E0056025</t>
  </si>
  <si>
    <t>THEISE NEIL</t>
  </si>
  <si>
    <t>NeilTheise</t>
  </si>
  <si>
    <t>E0037844</t>
  </si>
  <si>
    <t>MEKINULOV BORIS MD</t>
  </si>
  <si>
    <t>BorisMekinulov</t>
  </si>
  <si>
    <t>MEKINULOV BORIS DR.</t>
  </si>
  <si>
    <t>E0032773</t>
  </si>
  <si>
    <t>PSEVDOS GEORGE JR MD</t>
  </si>
  <si>
    <t>GeorgePsevdos</t>
  </si>
  <si>
    <t>PSEVDOS GEORGE</t>
  </si>
  <si>
    <t>1000 10TH AVE STE 2T</t>
  </si>
  <si>
    <t>E0144201</t>
  </si>
  <si>
    <t>CULLINEY EDWARD BRUCE MD</t>
  </si>
  <si>
    <t>BruceCulliney</t>
  </si>
  <si>
    <t>CULLINEY BRUCE</t>
  </si>
  <si>
    <t>CULLINEY BRUCE EDWARD</t>
  </si>
  <si>
    <t>E0062658</t>
  </si>
  <si>
    <t>SINGH PRAMEET MD</t>
  </si>
  <si>
    <t>PrameetSingh</t>
  </si>
  <si>
    <t>SINGH PRAMEET DR.</t>
  </si>
  <si>
    <t>E0146386</t>
  </si>
  <si>
    <t>GRANEY JOHN MD</t>
  </si>
  <si>
    <t>JohnGraney</t>
  </si>
  <si>
    <t>GRANEY JOHN</t>
  </si>
  <si>
    <t>SYEDHUSSAIN</t>
  </si>
  <si>
    <t>HUSSAIN SYED DR.</t>
  </si>
  <si>
    <t>1053 SHORE PKWY, APT 2B</t>
  </si>
  <si>
    <t>MR.JOHNLICHARDI</t>
  </si>
  <si>
    <t>LICHARDI JOHN MR.</t>
  </si>
  <si>
    <t>E0455319</t>
  </si>
  <si>
    <t>MARSHALL JANEEN</t>
  </si>
  <si>
    <t>DR.JANEENMARSHALL</t>
  </si>
  <si>
    <t>MARSHALL JANEEN DR.</t>
  </si>
  <si>
    <t>E0383118</t>
  </si>
  <si>
    <t>COYLE ANDREW</t>
  </si>
  <si>
    <t>ANDREWCOYLE</t>
  </si>
  <si>
    <t>COYLE ANDREW O'DONNELL</t>
  </si>
  <si>
    <t>E0014145</t>
  </si>
  <si>
    <t>ERNST CARRIE L MD</t>
  </si>
  <si>
    <t>CARRIEERNST</t>
  </si>
  <si>
    <t>ERNST CARRIE DR.</t>
  </si>
  <si>
    <t>E0364144</t>
  </si>
  <si>
    <t>APOESO OLUSEGUN</t>
  </si>
  <si>
    <t>OLUSEGUNAPOESO</t>
  </si>
  <si>
    <t>APOESO OLUSEGUN DR.</t>
  </si>
  <si>
    <t>APOESO OLUSEGUN ADEGBOYEGA</t>
  </si>
  <si>
    <t>E0119544</t>
  </si>
  <si>
    <t>MERLING ANDREW NEIL  PHD</t>
  </si>
  <si>
    <t>ANDREWMERLING</t>
  </si>
  <si>
    <t>MERLING ANDREW</t>
  </si>
  <si>
    <t>MERLING ANDREW NEIL</t>
  </si>
  <si>
    <t>DR.ROBERTPITTS</t>
  </si>
  <si>
    <t>PITTS ROBERT DR.</t>
  </si>
  <si>
    <t>E0130551</t>
  </si>
  <si>
    <t>FRENKEL MAXIM</t>
  </si>
  <si>
    <t>MAXIMFRENKEL</t>
  </si>
  <si>
    <t>FRENKEL MAXIM DR.</t>
  </si>
  <si>
    <t>E0048516</t>
  </si>
  <si>
    <t>KARANI REENA MD</t>
  </si>
  <si>
    <t>REENAKARANI</t>
  </si>
  <si>
    <t>KARANI REENA</t>
  </si>
  <si>
    <t>COFFEY GERI ASSC</t>
  </si>
  <si>
    <t>E0092834</t>
  </si>
  <si>
    <t>KAUFMAN ELAN</t>
  </si>
  <si>
    <t>ELANKAUFMAN</t>
  </si>
  <si>
    <t>KAUFMAN ELAN DR.</t>
  </si>
  <si>
    <t>2120 OCEAN AVE</t>
  </si>
  <si>
    <t>E0334306</t>
  </si>
  <si>
    <t>BERNS STEPHEN</t>
  </si>
  <si>
    <t>STEPHENBERNS</t>
  </si>
  <si>
    <t>BERNS STEPHEN DR.</t>
  </si>
  <si>
    <t>E0058161</t>
  </si>
  <si>
    <t>KOENIG MELINDA TENNENT DIXON</t>
  </si>
  <si>
    <t>MELINDAKOENIG</t>
  </si>
  <si>
    <t>KOENIG MELINDA</t>
  </si>
  <si>
    <t>SLR PSYCHTRC ASSOC</t>
  </si>
  <si>
    <t>E0274673</t>
  </si>
  <si>
    <t>UDESKY ROBERT A            MD</t>
  </si>
  <si>
    <t>ROBERTUDESKY</t>
  </si>
  <si>
    <t>UDESKY ROBERT DR.</t>
  </si>
  <si>
    <t>10 NATHAN PERLMAN PL</t>
  </si>
  <si>
    <t>E0287471</t>
  </si>
  <si>
    <t>HEFFERON SUSAN</t>
  </si>
  <si>
    <t>MS.SUSANHEFFRON</t>
  </si>
  <si>
    <t>HEFFRON SUSAN</t>
  </si>
  <si>
    <t>E0421752</t>
  </si>
  <si>
    <t>GARCIA ERIN E</t>
  </si>
  <si>
    <t>ERINWELCH</t>
  </si>
  <si>
    <t>GARCIA ERIN</t>
  </si>
  <si>
    <t>GARCIA ERIN ELIZABETH</t>
  </si>
  <si>
    <t>E0296930</t>
  </si>
  <si>
    <t>MIKHAIL MARYANN</t>
  </si>
  <si>
    <t>MARYANNMIKHAIL</t>
  </si>
  <si>
    <t>E0081285</t>
  </si>
  <si>
    <t>HOLLADAY KAREN LYNN MD</t>
  </si>
  <si>
    <t>KARENGALICHON</t>
  </si>
  <si>
    <t>GALICHON KAREN</t>
  </si>
  <si>
    <t>E0219074</t>
  </si>
  <si>
    <t>BIRENBAUM ELLEN            MD</t>
  </si>
  <si>
    <t>ELLENBIRENBAUM</t>
  </si>
  <si>
    <t>BIRENBAUM ELLEN</t>
  </si>
  <si>
    <t>E0085178</t>
  </si>
  <si>
    <t>BUSTA AGUSTIN MD</t>
  </si>
  <si>
    <t>AGUSTINBUSTA</t>
  </si>
  <si>
    <t>BUSTA AGUSTIN</t>
  </si>
  <si>
    <t>1200 5TH AVE FL 1</t>
  </si>
  <si>
    <t>E0013888</t>
  </si>
  <si>
    <t>JHANG JEFFREY</t>
  </si>
  <si>
    <t>JhangJeffrey</t>
  </si>
  <si>
    <t>JHANG JEFFREY SEOK WOO</t>
  </si>
  <si>
    <t>E0454098</t>
  </si>
  <si>
    <t>CLIMOVA ALINA</t>
  </si>
  <si>
    <t>AlinaClimova</t>
  </si>
  <si>
    <t>E0057463</t>
  </si>
  <si>
    <t>KLIOT BENJAMIN L MD</t>
  </si>
  <si>
    <t>BenjaminKliot</t>
  </si>
  <si>
    <t>KLIOT BENJAMIN DR.</t>
  </si>
  <si>
    <t>KLIOT BENJAMIN L</t>
  </si>
  <si>
    <t>SydneyBialek,L.C.S.W.</t>
  </si>
  <si>
    <t>E0341623</t>
  </si>
  <si>
    <t>BIALEK SYDNEY JEANNE</t>
  </si>
  <si>
    <t>BIALEK SYDNEY</t>
  </si>
  <si>
    <t>E0080210</t>
  </si>
  <si>
    <t>SARTAN TATYANA MD</t>
  </si>
  <si>
    <t>SARTAN TATYANA</t>
  </si>
  <si>
    <t>3010 JEROME AVE</t>
  </si>
  <si>
    <t>Shields,Alan</t>
  </si>
  <si>
    <t>E0160967</t>
  </si>
  <si>
    <t>PSYCHIATRIC SERVICES OF ORANG</t>
  </si>
  <si>
    <t>Dr.Shields</t>
  </si>
  <si>
    <t>Ashields@AbbottHouse.net</t>
  </si>
  <si>
    <t>SCHILD LINDEN DR.</t>
  </si>
  <si>
    <t>Vazquez,Claudio</t>
  </si>
  <si>
    <t>Dr.Vazquez</t>
  </si>
  <si>
    <t>(914) 522-6341</t>
  </si>
  <si>
    <t>Cvazquez@AbbottHouse.net</t>
  </si>
  <si>
    <t>GaryGosselin</t>
  </si>
  <si>
    <t>E0364341</t>
  </si>
  <si>
    <t>GOSSELIN GARY JOSEPH</t>
  </si>
  <si>
    <t>GOSSELIN GARY DR.</t>
  </si>
  <si>
    <t>14-32 W 118TH ST</t>
  </si>
  <si>
    <t>KatherineMar</t>
  </si>
  <si>
    <t>E0118888</t>
  </si>
  <si>
    <t>MAR KATHERINE</t>
  </si>
  <si>
    <t>MAR KATHERINE MS.</t>
  </si>
  <si>
    <t>21 JUMEL PL</t>
  </si>
  <si>
    <t>E0140847</t>
  </si>
  <si>
    <t>AUERBACH LISA RESNICK MD</t>
  </si>
  <si>
    <t>LISAAUERBACH</t>
  </si>
  <si>
    <t>AUERBACH LISA</t>
  </si>
  <si>
    <t>E0218769</t>
  </si>
  <si>
    <t>CIOROIU MICHAEL G MD FACS</t>
  </si>
  <si>
    <t>MICHAELCIOROIU</t>
  </si>
  <si>
    <t>CIOROIU MICHAEL</t>
  </si>
  <si>
    <t>10 DOWNING ST APT 1K</t>
  </si>
  <si>
    <t>E0150787</t>
  </si>
  <si>
    <t>GOLDSTEIN MICHAEL MD</t>
  </si>
  <si>
    <t>MICHAELGOLDSTEIN</t>
  </si>
  <si>
    <t>GOLDSTEIN MICHAEL DR.</t>
  </si>
  <si>
    <t>348 W 20TH ST</t>
  </si>
  <si>
    <t>MarkShim</t>
  </si>
  <si>
    <t>E0172509</t>
  </si>
  <si>
    <t>SHIM MARK INBO</t>
  </si>
  <si>
    <t>SHIM MARK</t>
  </si>
  <si>
    <t>CARDIOLOGY TBHC OFF</t>
  </si>
  <si>
    <t>SoniaVinas</t>
  </si>
  <si>
    <t>LewisKrata</t>
  </si>
  <si>
    <t>E0142506</t>
  </si>
  <si>
    <t>KRATA LEWIS</t>
  </si>
  <si>
    <t>KRATA LEWIS DR.</t>
  </si>
  <si>
    <t>LindsayBarton,MHC</t>
  </si>
  <si>
    <t>BillySczewzcuk,CASAC</t>
  </si>
  <si>
    <t>AnetaSkrobatz,CASAC,MHC</t>
  </si>
  <si>
    <t>RoderickMorris,CASAC-T</t>
  </si>
  <si>
    <t>CollinsJeanette</t>
  </si>
  <si>
    <t>jeacollins@ipc-hub.com</t>
  </si>
  <si>
    <t>DaleyLisa</t>
  </si>
  <si>
    <t>ldaley@ipc-hub.com</t>
  </si>
  <si>
    <t>GoldenOwen</t>
  </si>
  <si>
    <t>GoldenCare1@aol.com</t>
  </si>
  <si>
    <t>GuptaSindhu</t>
  </si>
  <si>
    <t>drsindhugupta@gmail.com</t>
  </si>
  <si>
    <t>HeidiLynch</t>
  </si>
  <si>
    <t>AuressaSimmons</t>
  </si>
  <si>
    <t>SIMMONS AURESSA</t>
  </si>
  <si>
    <t>E0296814</t>
  </si>
  <si>
    <t>AMINZAY AMAN</t>
  </si>
  <si>
    <t>AMANAMINZAY</t>
  </si>
  <si>
    <t>AMINZAY AMAN MD</t>
  </si>
  <si>
    <t>E0011490</t>
  </si>
  <si>
    <t>FISHER WHITNEY C MD</t>
  </si>
  <si>
    <t>WHITNEYFISHER</t>
  </si>
  <si>
    <t>FISHER WHITNEY</t>
  </si>
  <si>
    <t>E0428497</t>
  </si>
  <si>
    <t>ALAM SALMAHN AHMED</t>
  </si>
  <si>
    <t>ALAM SALMAHN</t>
  </si>
  <si>
    <t>LloydSnead,CASAC</t>
  </si>
  <si>
    <t>KhushbuModh,LMSW</t>
  </si>
  <si>
    <t>Shir,Irene,PA</t>
  </si>
  <si>
    <t>(917) 747-9595</t>
  </si>
  <si>
    <t>E0348831</t>
  </si>
  <si>
    <t>HERBERT-COHEN DANIEL</t>
  </si>
  <si>
    <t>DanielHerbert-Cohen</t>
  </si>
  <si>
    <t>CatherineAbbott</t>
  </si>
  <si>
    <t>ABBOTT CATHERINE</t>
  </si>
  <si>
    <t>17 BRISTOL ST</t>
  </si>
  <si>
    <t>E0386250</t>
  </si>
  <si>
    <t>DADVAND LAILA</t>
  </si>
  <si>
    <t>LailaDadvand</t>
  </si>
  <si>
    <t>E0382301</t>
  </si>
  <si>
    <t>CRAMER KYLE NOLAN</t>
  </si>
  <si>
    <t>KyleCramer</t>
  </si>
  <si>
    <t>CRAMER KYLE DR.</t>
  </si>
  <si>
    <t>E0041203</t>
  </si>
  <si>
    <t>WESTREICH RICHARD W MD</t>
  </si>
  <si>
    <t>RichardWestreich</t>
  </si>
  <si>
    <t>WESTREICH RICHARD DR.</t>
  </si>
  <si>
    <t>MT SINAI A1-9</t>
  </si>
  <si>
    <t>E0376861</t>
  </si>
  <si>
    <t>KRANITZKY BETHANY GASKILL</t>
  </si>
  <si>
    <t>BethanyKranitzky</t>
  </si>
  <si>
    <t>KRANITZKY BETHANY</t>
  </si>
  <si>
    <t>E0180144</t>
  </si>
  <si>
    <t>MCKINLEY GEORGE F MD</t>
  </si>
  <si>
    <t>GEORGEMCKINLEY</t>
  </si>
  <si>
    <t>MCKINLEY GEORGE DR.</t>
  </si>
  <si>
    <t>E0129334</t>
  </si>
  <si>
    <t>CAREY PATRICIA MARY MD</t>
  </si>
  <si>
    <t>PATRICIACAREY</t>
  </si>
  <si>
    <t>CAREY PATRICIA</t>
  </si>
  <si>
    <t>E0016192</t>
  </si>
  <si>
    <t>LEVINE CLAUDIA MD</t>
  </si>
  <si>
    <t>CLAUDIALEVINE</t>
  </si>
  <si>
    <t>LEVINE CLAUDIA DR.</t>
  </si>
  <si>
    <t>E0015452</t>
  </si>
  <si>
    <t>FILATOV ALEXANDER V MD</t>
  </si>
  <si>
    <t>ALEXANDERFILATOV</t>
  </si>
  <si>
    <t>FILATOV ALEXANDER</t>
  </si>
  <si>
    <t>FILATOV ALEXANDER V</t>
  </si>
  <si>
    <t>E0157408</t>
  </si>
  <si>
    <t>ROSENSTADT BENJAMIAN E MD</t>
  </si>
  <si>
    <t>BENJAMINROSENSTADT</t>
  </si>
  <si>
    <t>ROSENSTADT BENJAMIN DR.</t>
  </si>
  <si>
    <t>E0287447</t>
  </si>
  <si>
    <t>HERNANDEZ GRISSEL</t>
  </si>
  <si>
    <t>MS.GRISSELHERNANDEZ</t>
  </si>
  <si>
    <t>HERNANDEZ GRISSEL MS.</t>
  </si>
  <si>
    <t>E0059687</t>
  </si>
  <si>
    <t>HINKE CHRISTINE MD</t>
  </si>
  <si>
    <t>CHRISTINEHINKE</t>
  </si>
  <si>
    <t>HINKE CHRISTINE DR.</t>
  </si>
  <si>
    <t>E0054389</t>
  </si>
  <si>
    <t>WANG BEVERLY</t>
  </si>
  <si>
    <t>BEVERLYWANG</t>
  </si>
  <si>
    <t>E0065051</t>
  </si>
  <si>
    <t>SAIGH ORIT MD</t>
  </si>
  <si>
    <t>ORITSAIGH</t>
  </si>
  <si>
    <t>SAIGH ORIT</t>
  </si>
  <si>
    <t>E0086780</t>
  </si>
  <si>
    <t>CUMMINGS JEANNE ANN</t>
  </si>
  <si>
    <t>JEANNECUMMINGS</t>
  </si>
  <si>
    <t>CUMMINGS JEANNE</t>
  </si>
  <si>
    <t>180 FORT WASHINGTON AVENUE FL 6</t>
  </si>
  <si>
    <t>E0324504</t>
  </si>
  <si>
    <t>ARCURI JOSEPH</t>
  </si>
  <si>
    <t>JOSEPHARCURI</t>
  </si>
  <si>
    <t>ARCURI JOSEPH DR.</t>
  </si>
  <si>
    <t>E0296619</t>
  </si>
  <si>
    <t>EVIN MCCABE</t>
  </si>
  <si>
    <t>EVINMCCABE</t>
  </si>
  <si>
    <t>MCCABE EVIN DR.</t>
  </si>
  <si>
    <t>MCCABE EVIN JOSEPH MD</t>
  </si>
  <si>
    <t>222 EAST 19 STREET #1E</t>
  </si>
  <si>
    <t>E0194824</t>
  </si>
  <si>
    <t>GROSSMAN HOWARD ALAN       MD</t>
  </si>
  <si>
    <t>HOWARDGROSSMAN</t>
  </si>
  <si>
    <t>GROSSMAN HOWARD DR.</t>
  </si>
  <si>
    <t>338 E 30TH ST</t>
  </si>
  <si>
    <t>MinoffRichard</t>
  </si>
  <si>
    <t>(914) 834-0407</t>
  </si>
  <si>
    <t>rminoff@gmail.com</t>
  </si>
  <si>
    <t>MyintWin</t>
  </si>
  <si>
    <t>wmyint@essenmed.com</t>
  </si>
  <si>
    <t>JatinerChawla,MD</t>
  </si>
  <si>
    <t>E0409927</t>
  </si>
  <si>
    <t>CHAWLA JATINDER</t>
  </si>
  <si>
    <t>CHAWLA JATINDER DR.</t>
  </si>
  <si>
    <t>DeidreCoye,LPN</t>
  </si>
  <si>
    <t>RajeshDesai,MD</t>
  </si>
  <si>
    <t>E0201696</t>
  </si>
  <si>
    <t>DESAI RAJESH B             MD</t>
  </si>
  <si>
    <t>DESAI RAJESH DR.</t>
  </si>
  <si>
    <t>573 BARNARD AVE</t>
  </si>
  <si>
    <t>StephenCarryl</t>
  </si>
  <si>
    <t>E0157144</t>
  </si>
  <si>
    <t>CARRYL STEPHEN SAMUEL MD</t>
  </si>
  <si>
    <t>CARRYL STEPHEN DR.</t>
  </si>
  <si>
    <t># 125</t>
  </si>
  <si>
    <t>GailStephen-Johnson</t>
  </si>
  <si>
    <t>E0127638</t>
  </si>
  <si>
    <t>STEPHEN-JOHNSON GAIL ALLISON</t>
  </si>
  <si>
    <t>STEPHEN-JOHNSON GAIL</t>
  </si>
  <si>
    <t>3 HUNT DR</t>
  </si>
  <si>
    <t>JERICHO</t>
  </si>
  <si>
    <t>BrettDanzer</t>
  </si>
  <si>
    <t>E0154382</t>
  </si>
  <si>
    <t>DANZER BRETT I MD</t>
  </si>
  <si>
    <t>DANZER BRETT DR.</t>
  </si>
  <si>
    <t>DANZER BRETT IRA</t>
  </si>
  <si>
    <t>Pierre-Antoine,Paul</t>
  </si>
  <si>
    <t>Ndukwe,Esther</t>
  </si>
  <si>
    <t>E0022751</t>
  </si>
  <si>
    <t>NDUKWE ESTHER</t>
  </si>
  <si>
    <t>NDUKWE ESTHER MRS.</t>
  </si>
  <si>
    <t>7 GOUVENUER SLIP  EAST</t>
  </si>
  <si>
    <t>Dr.HenryLao</t>
  </si>
  <si>
    <t>E0275033</t>
  </si>
  <si>
    <t>LAO HENRY S                MD</t>
  </si>
  <si>
    <t>(917) 885-8726</t>
  </si>
  <si>
    <t>LAO HENRY DR.</t>
  </si>
  <si>
    <t>1204 DITMAS AVE</t>
  </si>
  <si>
    <t>Dr.AllanSantiago</t>
  </si>
  <si>
    <t>(646) 873-0302</t>
  </si>
  <si>
    <t>E0417182</t>
  </si>
  <si>
    <t>FERNANDEZ JULIA</t>
  </si>
  <si>
    <t>DR.JULIAFERNANDEZ</t>
  </si>
  <si>
    <t>FERNANDEZ JULIA DR.</t>
  </si>
  <si>
    <t>FERNANDEZ JULIA MARIA</t>
  </si>
  <si>
    <t>DR.KEVINBARLEY</t>
  </si>
  <si>
    <t>BARLEY KEVIN DR.</t>
  </si>
  <si>
    <t>17 E 102ND ST FL 7</t>
  </si>
  <si>
    <t>E0164259</t>
  </si>
  <si>
    <t>TIO RUY CHEN MD</t>
  </si>
  <si>
    <t>MR.RUYTIO</t>
  </si>
  <si>
    <t>TIO RUY MR.</t>
  </si>
  <si>
    <t>BENCOHEN</t>
  </si>
  <si>
    <t>E0133390</t>
  </si>
  <si>
    <t>KASSAPIDIS ELIAS</t>
  </si>
  <si>
    <t>ELIASKASSAPIDIS</t>
  </si>
  <si>
    <t>KASSAPIDIS ELIAS DR.</t>
  </si>
  <si>
    <t>3111 31ST AVE</t>
  </si>
  <si>
    <t>E0190550</t>
  </si>
  <si>
    <t>KAMLET DAVID A MD</t>
  </si>
  <si>
    <t>DAVIDKAMLET</t>
  </si>
  <si>
    <t>KAMLET DAVID DR.</t>
  </si>
  <si>
    <t>STE 1F</t>
  </si>
  <si>
    <t>E0198218</t>
  </si>
  <si>
    <t>FELBERBAUM MARC            MD</t>
  </si>
  <si>
    <t>MARCFELBERBAUM</t>
  </si>
  <si>
    <t>FELBERBAUM MARC DR.</t>
  </si>
  <si>
    <t>E0277920</t>
  </si>
  <si>
    <t>RECUPERO BRUNO             MD</t>
  </si>
  <si>
    <t>BRUNORECUPERO</t>
  </si>
  <si>
    <t>RECUPERO BRUNO DR.</t>
  </si>
  <si>
    <t>93 N MAIN ST</t>
  </si>
  <si>
    <t>E0221757</t>
  </si>
  <si>
    <t>COLISEUM SURGICAL &amp; MEDICAL PC</t>
  </si>
  <si>
    <t>ERICMOORE</t>
  </si>
  <si>
    <t>MOORE ERIC DR.</t>
  </si>
  <si>
    <t>KATRINAMITCHELL</t>
  </si>
  <si>
    <t>MITCHELL KATRINA DR.</t>
  </si>
  <si>
    <t>4411 THE 25 WAY NE, SUITE 150</t>
  </si>
  <si>
    <t>ALBUQUERQUE</t>
  </si>
  <si>
    <t>E0100219</t>
  </si>
  <si>
    <t>FINKELSTEIN DONNA MICHAL MD</t>
  </si>
  <si>
    <t>DONNAFINKELSTEIN</t>
  </si>
  <si>
    <t>FINKELSTEIN DONNA</t>
  </si>
  <si>
    <t>HARRIETKANG</t>
  </si>
  <si>
    <t>E0228138</t>
  </si>
  <si>
    <t>BEAUTYMAN ELIZABETH J      MD</t>
  </si>
  <si>
    <t>ELIZABETHBEAUTYMAN</t>
  </si>
  <si>
    <t>BEAUTYMAN ELIZABETH DR.</t>
  </si>
  <si>
    <t>ST LUKES/ROOS HOSP</t>
  </si>
  <si>
    <t>E0044608</t>
  </si>
  <si>
    <t>GALLINA JESSICA BLAIR MD</t>
  </si>
  <si>
    <t>JESSICAGALLINA</t>
  </si>
  <si>
    <t>GALLINA JESSICA DR.</t>
  </si>
  <si>
    <t>345 W 58TH ST</t>
  </si>
  <si>
    <t>E0139966</t>
  </si>
  <si>
    <t>GIDFAR NILOUFAR MD</t>
  </si>
  <si>
    <t>NILOUFARGIDFAR</t>
  </si>
  <si>
    <t>GIDFAR NILOUFAR</t>
  </si>
  <si>
    <t>NicoleGeraghty</t>
  </si>
  <si>
    <t>ClaudioGinebra</t>
  </si>
  <si>
    <t>DavidDomingo</t>
  </si>
  <si>
    <t>E0068312</t>
  </si>
  <si>
    <t>BERNIK THOMAS R MD</t>
  </si>
  <si>
    <t>THOMASBERNIK</t>
  </si>
  <si>
    <t>BERNIK THOMAS DR.</t>
  </si>
  <si>
    <t>20 W 13TH ST</t>
  </si>
  <si>
    <t>E0355763</t>
  </si>
  <si>
    <t>PETRYNA OLGA</t>
  </si>
  <si>
    <t>OlgaPetryna</t>
  </si>
  <si>
    <t>PETRYNA OLGA DR.</t>
  </si>
  <si>
    <t>E0362452</t>
  </si>
  <si>
    <t>FONSECA GONZALEZ JUAN PABLO</t>
  </si>
  <si>
    <t>JuanFonseca</t>
  </si>
  <si>
    <t>FONSECA JUAN</t>
  </si>
  <si>
    <t>E0397921</t>
  </si>
  <si>
    <t>PERRONE ALEXANDRA</t>
  </si>
  <si>
    <t>AlexandraPerrone</t>
  </si>
  <si>
    <t>E0328474</t>
  </si>
  <si>
    <t>GARLAND AMY TUDOR</t>
  </si>
  <si>
    <t>AmyGarland</t>
  </si>
  <si>
    <t>GARLAND AMY</t>
  </si>
  <si>
    <t>1090 AMSTERDAM AVE FL 12</t>
  </si>
  <si>
    <t>BrittanyStudwood</t>
  </si>
  <si>
    <t>STUDWOOD BRITTANY</t>
  </si>
  <si>
    <t>ManasviBarai</t>
  </si>
  <si>
    <t>BARAI MANASVI</t>
  </si>
  <si>
    <t>2374 JERUSALEM AVE</t>
  </si>
  <si>
    <t>NORTH BELLMORE</t>
  </si>
  <si>
    <t>E0351890</t>
  </si>
  <si>
    <t>GURSOY ERDAL CUMHUR</t>
  </si>
  <si>
    <t>ErdalGursoy</t>
  </si>
  <si>
    <t>GURSOY ERDAL</t>
  </si>
  <si>
    <t>E0025693</t>
  </si>
  <si>
    <t>KIM HAE-OK ANA MD</t>
  </si>
  <si>
    <t>Hae-OkAna</t>
  </si>
  <si>
    <t>KIM HAE-OK DR.</t>
  </si>
  <si>
    <t>E0345487</t>
  </si>
  <si>
    <t>SCHNAPPER DEBBIE GAIL</t>
  </si>
  <si>
    <t>DebbieSchnapper</t>
  </si>
  <si>
    <t>SCHNAPPER DEBBIE</t>
  </si>
  <si>
    <t>E0091444</t>
  </si>
  <si>
    <t>SAMSON C MICHAEL</t>
  </si>
  <si>
    <t>C.Michael</t>
  </si>
  <si>
    <t>SAMSON C</t>
  </si>
  <si>
    <t>STE 3195</t>
  </si>
  <si>
    <t>AnnaVerde</t>
  </si>
  <si>
    <t>E0372156</t>
  </si>
  <si>
    <t>VERDE ANNA</t>
  </si>
  <si>
    <t>VERDE ANNA MS.</t>
  </si>
  <si>
    <t>LarissaStathakes</t>
  </si>
  <si>
    <t>E0372152</t>
  </si>
  <si>
    <t>STATHAKES LARISSA A</t>
  </si>
  <si>
    <t>STATHAKES LARISSA</t>
  </si>
  <si>
    <t>SimonRaskin</t>
  </si>
  <si>
    <t>E0080494</t>
  </si>
  <si>
    <t>RASKIN SIMON DPM</t>
  </si>
  <si>
    <t>RASKIN SIMON</t>
  </si>
  <si>
    <t>1409 GRAVESEND NECK RD</t>
  </si>
  <si>
    <t>YanethEstrada</t>
  </si>
  <si>
    <t>E0101324</t>
  </si>
  <si>
    <t>YANETH ESTRADA</t>
  </si>
  <si>
    <t>ESTRADA YANETH DR.</t>
  </si>
  <si>
    <t>1200 GRAVESEND NECK RD STE 1A</t>
  </si>
  <si>
    <t>PeterSollaccio</t>
  </si>
  <si>
    <t>E0278651</t>
  </si>
  <si>
    <t>SOLLACCIO PETER A          MD</t>
  </si>
  <si>
    <t>(212) 255-1397</t>
  </si>
  <si>
    <t>soll1997@cs.com</t>
  </si>
  <si>
    <t>SOLLACCIO PETER DR.</t>
  </si>
  <si>
    <t>SOLLACCIO PETER A</t>
  </si>
  <si>
    <t>352 7TH AVE RM 805</t>
  </si>
  <si>
    <t>PeterPasley</t>
  </si>
  <si>
    <t>E0081663</t>
  </si>
  <si>
    <t>PASLEY PETER MACPHERSON MD</t>
  </si>
  <si>
    <t>(917) 656-3087</t>
  </si>
  <si>
    <t>peter_pasley@mac.com</t>
  </si>
  <si>
    <t>PASLEY PETER DR.</t>
  </si>
  <si>
    <t>29 WASHINGTON SQ W</t>
  </si>
  <si>
    <t>SaimaSaad</t>
  </si>
  <si>
    <t>E0285087</t>
  </si>
  <si>
    <t>SAAD SAIMA</t>
  </si>
  <si>
    <t>saimasaad2003@yahoo.com</t>
  </si>
  <si>
    <t>SAAD SAIMA DR.</t>
  </si>
  <si>
    <t>SAAD SAIMA MD</t>
  </si>
  <si>
    <t>1111 EAST 210TH STREET</t>
  </si>
  <si>
    <t>ShamailaSiddiqi</t>
  </si>
  <si>
    <t>E0032269</t>
  </si>
  <si>
    <t>SIDDIQI SHAMAILA MD</t>
  </si>
  <si>
    <t>shamasiddiqi@hotmail.com</t>
  </si>
  <si>
    <t>SIDDIQI SHAMAILA DR.</t>
  </si>
  <si>
    <t>StephenLarsen,PHD</t>
  </si>
  <si>
    <t>E0031707</t>
  </si>
  <si>
    <t>COHEN SETH MATTHEW MD</t>
  </si>
  <si>
    <t>E0132364</t>
  </si>
  <si>
    <t>GOLUBOFF ERIK TODD MD</t>
  </si>
  <si>
    <t>ERIKGOLUBOFF</t>
  </si>
  <si>
    <t>GOLUBOFF ERIK DR.</t>
  </si>
  <si>
    <t>DEPT OF UROLOGY</t>
  </si>
  <si>
    <t>E0064408</t>
  </si>
  <si>
    <t>SHIPMAN DAVID L MD</t>
  </si>
  <si>
    <t>DAVIDSHIPMAN</t>
  </si>
  <si>
    <t>SHIPMAN DAVID DR.</t>
  </si>
  <si>
    <t>KinoshitaShiori</t>
  </si>
  <si>
    <t>shiope4040@gmail.com</t>
  </si>
  <si>
    <t>LiangLisa</t>
  </si>
  <si>
    <t>(917) 359-1279</t>
  </si>
  <si>
    <t>lliang@uhc.com</t>
  </si>
  <si>
    <t>MallapuShravan</t>
  </si>
  <si>
    <t>(718) 294-0401</t>
  </si>
  <si>
    <t>shravanmallapu@yahoo.com</t>
  </si>
  <si>
    <t>ELVINAMOY</t>
  </si>
  <si>
    <t>MOY ELVINA</t>
  </si>
  <si>
    <t>1111 AMSTERDAM AVE, CLARK 7, ROOM 5732</t>
  </si>
  <si>
    <t>E0174901</t>
  </si>
  <si>
    <t>MIN ALBERT DAEKI MD</t>
  </si>
  <si>
    <t>ALBERTMIN</t>
  </si>
  <si>
    <t>MIN ALBERT</t>
  </si>
  <si>
    <t>7708 BROADWAY</t>
  </si>
  <si>
    <t>E0148307</t>
  </si>
  <si>
    <t>COHEN JEFFREY MD</t>
  </si>
  <si>
    <t>JEFFREYCOHEN</t>
  </si>
  <si>
    <t>COHEN JEFFREY</t>
  </si>
  <si>
    <t>E0086663</t>
  </si>
  <si>
    <t>CHAN GERMAINE ZENIA MD</t>
  </si>
  <si>
    <t>GERMAINECHAN</t>
  </si>
  <si>
    <t>CHAN GERMAINE DR.</t>
  </si>
  <si>
    <t>WarrenJPires,LMSW</t>
  </si>
  <si>
    <t>YohanCho,MSW</t>
  </si>
  <si>
    <t>175RemsenStreet</t>
  </si>
  <si>
    <t>E0275145</t>
  </si>
  <si>
    <t>KOPPOLU SUNDARARAO D       MD</t>
  </si>
  <si>
    <t>SUNDARARAOKOPPOLU</t>
  </si>
  <si>
    <t>KOPPOLU SUNDARARAO</t>
  </si>
  <si>
    <t>ANTHONYFLANDERS</t>
  </si>
  <si>
    <t>FLANDERS ANTHONY</t>
  </si>
  <si>
    <t>1886 BROADWAY, 2ND FLOOR</t>
  </si>
  <si>
    <t>NoelBlackman</t>
  </si>
  <si>
    <t>E0217152</t>
  </si>
  <si>
    <t>NOEL EDWIN BLACKMAN MD</t>
  </si>
  <si>
    <t>BLACKMAN NOEL DR.</t>
  </si>
  <si>
    <t>BLACKMAN NOEL EDWIN</t>
  </si>
  <si>
    <t>RekhaBhandari</t>
  </si>
  <si>
    <t>E0086624</t>
  </si>
  <si>
    <t>BHANDARI REKHA MD</t>
  </si>
  <si>
    <t>BHANDARI REKHA DR.</t>
  </si>
  <si>
    <t>MarieEloi-Stiven</t>
  </si>
  <si>
    <t>E0090408</t>
  </si>
  <si>
    <t>ELOI-STIVEN MARIE L</t>
  </si>
  <si>
    <t>ELOI-STIVEN MARIE</t>
  </si>
  <si>
    <t>IrinaRondel</t>
  </si>
  <si>
    <t>E0050007</t>
  </si>
  <si>
    <t>RONDEL IRINA MD</t>
  </si>
  <si>
    <t>RONDEL IRINA</t>
  </si>
  <si>
    <t>ADVANCED RAD SVC</t>
  </si>
  <si>
    <t>E0123080</t>
  </si>
  <si>
    <t>MARKENSON DAVID S MD</t>
  </si>
  <si>
    <t>DAVIDMARKENSON</t>
  </si>
  <si>
    <t>MARKENSON DAVID DR.</t>
  </si>
  <si>
    <t>JenniferL.Jones</t>
  </si>
  <si>
    <t>JONES JENNIFER</t>
  </si>
  <si>
    <t>AnneLai</t>
  </si>
  <si>
    <t>E0287287</t>
  </si>
  <si>
    <t>LAI ANNE</t>
  </si>
  <si>
    <t>(917) 723-4455</t>
  </si>
  <si>
    <t>LAI ANNE MISS</t>
  </si>
  <si>
    <t>LAI ANNE TZE-CHIEN</t>
  </si>
  <si>
    <t>MichaelSatlin</t>
  </si>
  <si>
    <t>E0320237</t>
  </si>
  <si>
    <t>SATLIN MICHAEL J MD</t>
  </si>
  <si>
    <t>SATLIN MICHAEL DR.</t>
  </si>
  <si>
    <t>E0320076</t>
  </si>
  <si>
    <t>BENEVENTO JOSEPH</t>
  </si>
  <si>
    <t>JosephBenevento</t>
  </si>
  <si>
    <t>BENEVENTO JOSEPH DANIEL</t>
  </si>
  <si>
    <t>325 BOSTON POST RD</t>
  </si>
  <si>
    <t>E0073369</t>
  </si>
  <si>
    <t>DEGI KEITH</t>
  </si>
  <si>
    <t>KeithDegi</t>
  </si>
  <si>
    <t>DEGI KEITH JOSEPH MD</t>
  </si>
  <si>
    <t>E0006478</t>
  </si>
  <si>
    <t>BAGLEY WILLIAM H MD</t>
  </si>
  <si>
    <t>WilliamBagley</t>
  </si>
  <si>
    <t>BAGLEY WILLIAM DR.</t>
  </si>
  <si>
    <t>E0344469</t>
  </si>
  <si>
    <t>CHANDRASHEKHAR SARAYU</t>
  </si>
  <si>
    <t>SARAYUCHANDRASHEKHAR</t>
  </si>
  <si>
    <t>CHANDRASHEKHAR SARAYU DR.</t>
  </si>
  <si>
    <t>FIRST AVENUE @ 16TH</t>
  </si>
  <si>
    <t>E0347470</t>
  </si>
  <si>
    <t>BUGGIE BRIAN GREGORY</t>
  </si>
  <si>
    <t>BrianBuggie</t>
  </si>
  <si>
    <t>BUGGIE BRIAN DR.</t>
  </si>
  <si>
    <t>RocioRuiz,M.A.</t>
  </si>
  <si>
    <t>RUIZ ROCIO</t>
  </si>
  <si>
    <t>9850 67TH AVE</t>
  </si>
  <si>
    <t>E0042704</t>
  </si>
  <si>
    <t>HENDERSON KIMBERLY JOAN MD</t>
  </si>
  <si>
    <t>KIMBERLYHENDERSON</t>
  </si>
  <si>
    <t>HENDERSON KIMBERLY</t>
  </si>
  <si>
    <t>E0042919</t>
  </si>
  <si>
    <t>MARCANTONIO COLOMBA A MD</t>
  </si>
  <si>
    <t>COLOMBAMARCANTONIO</t>
  </si>
  <si>
    <t>MARCANTONIO COLOMBA</t>
  </si>
  <si>
    <t>E0098015</t>
  </si>
  <si>
    <t>AGHA RABIA MD</t>
  </si>
  <si>
    <t>RABIAAGHA</t>
  </si>
  <si>
    <t>AGHA RABIA</t>
  </si>
  <si>
    <t>E0181968</t>
  </si>
  <si>
    <t>CONWAY EDWARD JR  MD</t>
  </si>
  <si>
    <t>EDWARDCONWAY</t>
  </si>
  <si>
    <t>CONWAY EDWARD</t>
  </si>
  <si>
    <t>MOTEFIORE MED CTR</t>
  </si>
  <si>
    <t>E0194284</t>
  </si>
  <si>
    <t>WOLF FRANK ROBERT DPM</t>
  </si>
  <si>
    <t>FRANKWOLF</t>
  </si>
  <si>
    <t>WOLF FRANK</t>
  </si>
  <si>
    <t>WOLF FRANK ROBERT</t>
  </si>
  <si>
    <t>E0195074</t>
  </si>
  <si>
    <t>BROKER MARTIN              MD</t>
  </si>
  <si>
    <t>MARTINBROKER</t>
  </si>
  <si>
    <t>BROKER MARTIN</t>
  </si>
  <si>
    <t>BI RADIOLOGY PC</t>
  </si>
  <si>
    <t>E0122708</t>
  </si>
  <si>
    <t>GUDLESKI MICHAEL RPA</t>
  </si>
  <si>
    <t>MICHAELGUDLESKI</t>
  </si>
  <si>
    <t>GUDLESKI MICHAEL</t>
  </si>
  <si>
    <t>E0388632</t>
  </si>
  <si>
    <t>THIBOUTOT JEFFREY</t>
  </si>
  <si>
    <t>MR.JEFFREYTHIBOUTOT</t>
  </si>
  <si>
    <t>THIBOUTOT JEFFREY MR.</t>
  </si>
  <si>
    <t>THIBOUTOT JEFFREY PAUL</t>
  </si>
  <si>
    <t>E0010306</t>
  </si>
  <si>
    <t>WAJNBERG ANIA MD</t>
  </si>
  <si>
    <t>ANIAWAJNBERG</t>
  </si>
  <si>
    <t>WAJNBERG ANIA</t>
  </si>
  <si>
    <t>E0299487</t>
  </si>
  <si>
    <t>PRISTOUPA OLGA MD</t>
  </si>
  <si>
    <t>OLGAPRYSTUPA</t>
  </si>
  <si>
    <t>PRYSTUPA OLGA</t>
  </si>
  <si>
    <t>PRYSTUPA OLGA MD</t>
  </si>
  <si>
    <t>1 GUSTAVE LEVY PL</t>
  </si>
  <si>
    <t>E0201016</t>
  </si>
  <si>
    <t>NUCCI-SACK ANNE TERESE</t>
  </si>
  <si>
    <t>ANNENUCCI</t>
  </si>
  <si>
    <t>NUCCI ANNE DR.</t>
  </si>
  <si>
    <t>E0031042</t>
  </si>
  <si>
    <t>FINKEL JENNIFER MEREDITH MD</t>
  </si>
  <si>
    <t>JENNIFERFINKEL</t>
  </si>
  <si>
    <t>FINKEL JENNIFER DR.</t>
  </si>
  <si>
    <t>E0055254</t>
  </si>
  <si>
    <t>JEFFREYWEISS</t>
  </si>
  <si>
    <t>WEISS JEFFREY DR.</t>
  </si>
  <si>
    <t>E0116253</t>
  </si>
  <si>
    <t>DAVIDLEVY</t>
  </si>
  <si>
    <t>MEDNET HEALTHCARE GP</t>
  </si>
  <si>
    <t>JosephGallo</t>
  </si>
  <si>
    <t>E0255364</t>
  </si>
  <si>
    <t>GALLO JOSEPH               MD</t>
  </si>
  <si>
    <t>GALLO JOSEPH DR.</t>
  </si>
  <si>
    <t>DeeMurray</t>
  </si>
  <si>
    <t>MURRAY DEE</t>
  </si>
  <si>
    <t>SarahAlvi</t>
  </si>
  <si>
    <t>ALVI SARAH</t>
  </si>
  <si>
    <t>BrendaGoff</t>
  </si>
  <si>
    <t>GOFF BRENDA</t>
  </si>
  <si>
    <t>CEPEDA MADELINE</t>
  </si>
  <si>
    <t>GwendolynGonzalez</t>
  </si>
  <si>
    <t>E0338815</t>
  </si>
  <si>
    <t>GONZALEZ GWENDOLYN</t>
  </si>
  <si>
    <t>GONZALEZ GWENDOLYN MS.</t>
  </si>
  <si>
    <t>KateO?Brien</t>
  </si>
  <si>
    <t>O'BRIEN KATE</t>
  </si>
  <si>
    <t>714 6TH AVE APT 3</t>
  </si>
  <si>
    <t>MeghanMAnderson</t>
  </si>
  <si>
    <t>ANDERSON MEGHAN MS.</t>
  </si>
  <si>
    <t>MaureenGara,NP</t>
  </si>
  <si>
    <t>(518) 943-5678</t>
  </si>
  <si>
    <t>AnnieGines,DPM</t>
  </si>
  <si>
    <t>(518) 828-9510</t>
  </si>
  <si>
    <t>SamuelChan</t>
  </si>
  <si>
    <t>E0138242</t>
  </si>
  <si>
    <t>CHAN SHEUNG-KWUN SAMUEL MD</t>
  </si>
  <si>
    <t>CHAN SAMUEL DR.</t>
  </si>
  <si>
    <t>CHAN SAMUEL SHEUNG-KWUN</t>
  </si>
  <si>
    <t>202 CANAL ST</t>
  </si>
  <si>
    <t>EmmanuelSt.Louis</t>
  </si>
  <si>
    <t>E0148224</t>
  </si>
  <si>
    <t>ST LOUIS EMMANUEL LESLY G MD</t>
  </si>
  <si>
    <t>ST LOUIS EMMANUEL</t>
  </si>
  <si>
    <t>905 UNIONDALE AVE</t>
  </si>
  <si>
    <t>MicheleCampione</t>
  </si>
  <si>
    <t>E0108033</t>
  </si>
  <si>
    <t>CAMPIONE MICHELE MD</t>
  </si>
  <si>
    <t>(917) 453-4144</t>
  </si>
  <si>
    <t>michelecampione@yahoo.com</t>
  </si>
  <si>
    <t>CAMPIONE MICHELE DR.</t>
  </si>
  <si>
    <t>LawrenceAristizabal</t>
  </si>
  <si>
    <t>ARISTIZABAL LAWRENCE</t>
  </si>
  <si>
    <t>27005 76TH AVE, DEPT OF ANESTHESIA</t>
  </si>
  <si>
    <t>VivianAnnan</t>
  </si>
  <si>
    <t>E0374492</t>
  </si>
  <si>
    <t>ANNAN VIVIAN</t>
  </si>
  <si>
    <t>ANNAN VIVIAN MS.</t>
  </si>
  <si>
    <t>G.ErnestLofton</t>
  </si>
  <si>
    <t>E0079098</t>
  </si>
  <si>
    <t>LOFTON G ERNEST MD</t>
  </si>
  <si>
    <t>(718) 453-4463</t>
  </si>
  <si>
    <t>g.ernestlofton@oasas.ny.gov</t>
  </si>
  <si>
    <t>LOFTON GEORGE</t>
  </si>
  <si>
    <t>LOFTON G ERNEST</t>
  </si>
  <si>
    <t>754 LEXINGTON AVE</t>
  </si>
  <si>
    <t>NayyeraMalik</t>
  </si>
  <si>
    <t>E0118623</t>
  </si>
  <si>
    <t>MALIK NAYYERA B MD</t>
  </si>
  <si>
    <t>(718) 453-6655</t>
  </si>
  <si>
    <t>nayyera.malik@oasas.ny.gov</t>
  </si>
  <si>
    <t>MALIK NAYYERA DR.</t>
  </si>
  <si>
    <t>340 W 85TH ST</t>
  </si>
  <si>
    <t>Wilkins,Robert</t>
  </si>
  <si>
    <t>E0301643</t>
  </si>
  <si>
    <t>HAAR ROHINI JONNALAGADDA MD</t>
  </si>
  <si>
    <t>RohiniHaar</t>
  </si>
  <si>
    <t>HAAR ROHINI DR.</t>
  </si>
  <si>
    <t>170 WEST 12TH ST</t>
  </si>
  <si>
    <t>MyatSan</t>
  </si>
  <si>
    <t>E0107474</t>
  </si>
  <si>
    <t>SAN MYAT MD</t>
  </si>
  <si>
    <t>SAN MYAT DR.</t>
  </si>
  <si>
    <t>KennethRose</t>
  </si>
  <si>
    <t>E0401589</t>
  </si>
  <si>
    <t>KENNETH M ROSE MD PLLC</t>
  </si>
  <si>
    <t>KENNETH M. ROSE, M.D., PLLC</t>
  </si>
  <si>
    <t>75 CENTRAL PARK W FL 1</t>
  </si>
  <si>
    <t>MarieConde</t>
  </si>
  <si>
    <t>E0164727</t>
  </si>
  <si>
    <t>CONDE WRIGHT MARIE FRANCE MD</t>
  </si>
  <si>
    <t>CONDE MARIE MS.</t>
  </si>
  <si>
    <t>SHMG PC</t>
  </si>
  <si>
    <t>E0195660</t>
  </si>
  <si>
    <t>BRUSTMAN LOIS E            MD</t>
  </si>
  <si>
    <t>LOISBRUSTMAN</t>
  </si>
  <si>
    <t>BRUSTMAN LOIS</t>
  </si>
  <si>
    <t>E0056021</t>
  </si>
  <si>
    <t>COHEN JEAN-MARC</t>
  </si>
  <si>
    <t>JEAN-MARCCOHEN</t>
  </si>
  <si>
    <t>E0107467</t>
  </si>
  <si>
    <t>SUH JIN SUK MD</t>
  </si>
  <si>
    <t>JINSUH</t>
  </si>
  <si>
    <t>SUH JIN</t>
  </si>
  <si>
    <t>RM 14A-36</t>
  </si>
  <si>
    <t>E0107884</t>
  </si>
  <si>
    <t>ASHLEY KENNETH B MD</t>
  </si>
  <si>
    <t>KENNETHASHLEY</t>
  </si>
  <si>
    <t>ASHLEY KENNETH</t>
  </si>
  <si>
    <t>ASHLEY KENNETH BRYAN</t>
  </si>
  <si>
    <t>317 E 17TH ST FL 1</t>
  </si>
  <si>
    <t>E0222514</t>
  </si>
  <si>
    <t>SENOR MARIA CRISTINA       MD</t>
  </si>
  <si>
    <t>MARIASENOR</t>
  </si>
  <si>
    <t>SENOR MARIA DR.</t>
  </si>
  <si>
    <t>985 5TH AVE</t>
  </si>
  <si>
    <t>E0240537</t>
  </si>
  <si>
    <t>ATTIYEH FADI F             MD</t>
  </si>
  <si>
    <t>FADIATTIYEH</t>
  </si>
  <si>
    <t>ATTIYEH FADI DR.</t>
  </si>
  <si>
    <t>1755 YORK AVE</t>
  </si>
  <si>
    <t>E0018557</t>
  </si>
  <si>
    <t>GOEL ANUPAMA MD</t>
  </si>
  <si>
    <t>ANUPAMAGOEL</t>
  </si>
  <si>
    <t>GOEL ANUPAMA</t>
  </si>
  <si>
    <t>E0314429</t>
  </si>
  <si>
    <t>DESAI NEIL KIRI</t>
  </si>
  <si>
    <t>NEILDESAI</t>
  </si>
  <si>
    <t>DESAI NEIL</t>
  </si>
  <si>
    <t>KADYCHOY</t>
  </si>
  <si>
    <t>CHOY KADY</t>
  </si>
  <si>
    <t>1790 BROADWAY, 9TH FLOOR</t>
  </si>
  <si>
    <t>E0352705</t>
  </si>
  <si>
    <t>NAGPAL JULIE</t>
  </si>
  <si>
    <t>JULIENAGPAL</t>
  </si>
  <si>
    <t>NAGPAL JULIE DR.</t>
  </si>
  <si>
    <t>312 E 94TH ST FL 1</t>
  </si>
  <si>
    <t>E0369005</t>
  </si>
  <si>
    <t>RAUCH JUDAH</t>
  </si>
  <si>
    <t>DR.JUDAHRAUCH</t>
  </si>
  <si>
    <t>RAUCH JUDAH DR.</t>
  </si>
  <si>
    <t>RAUCH JUDAH NATHANIEL</t>
  </si>
  <si>
    <t>E0106293</t>
  </si>
  <si>
    <t>BERNSTEIN JOSEPH</t>
  </si>
  <si>
    <t>JOSEPHBERNSTEIN</t>
  </si>
  <si>
    <t>BERNSTEIN JOSEPH MICHAEL</t>
  </si>
  <si>
    <t>310 EAST 14TH STREET</t>
  </si>
  <si>
    <t>E0198753</t>
  </si>
  <si>
    <t>AGYARE SAMUEL K B          MD</t>
  </si>
  <si>
    <t>SAMUELAGYARE</t>
  </si>
  <si>
    <t>AGYARE SAMUEL</t>
  </si>
  <si>
    <t>145 E 18TH ST</t>
  </si>
  <si>
    <t>E0323292</t>
  </si>
  <si>
    <t>SHAH BRIJEN</t>
  </si>
  <si>
    <t>BRIJENSHAH</t>
  </si>
  <si>
    <t>SHAH BRIJEN J</t>
  </si>
  <si>
    <t>DR.ALEXANDERPAPOLOS</t>
  </si>
  <si>
    <t>PAPOLOS ALEXANDER DR.</t>
  </si>
  <si>
    <t>16 BURR FARMS RD</t>
  </si>
  <si>
    <t>WESTPORT</t>
  </si>
  <si>
    <t>E0353469</t>
  </si>
  <si>
    <t>FRANCES SYLVAINE</t>
  </si>
  <si>
    <t>MS.SYLVAINEFRANCES</t>
  </si>
  <si>
    <t>FRANCES SYLVAINE MS.</t>
  </si>
  <si>
    <t>LeonardEmma</t>
  </si>
  <si>
    <t>E0201872</t>
  </si>
  <si>
    <t>EMMA LEONARD JOHN          MD</t>
  </si>
  <si>
    <t>EMMA LEONARD</t>
  </si>
  <si>
    <t>EMMA LEONARD JOHN</t>
  </si>
  <si>
    <t>ST VINCENTS M C</t>
  </si>
  <si>
    <t>SumatilalShah</t>
  </si>
  <si>
    <t>E0210792</t>
  </si>
  <si>
    <t>SHAH SUMATILAL C           MD</t>
  </si>
  <si>
    <t>SHAH SUMATILAL DR.</t>
  </si>
  <si>
    <t>263 5TH AVE</t>
  </si>
  <si>
    <t>E0141437</t>
  </si>
  <si>
    <t>LANTZ MELINDA S MD</t>
  </si>
  <si>
    <t>MELINDALANTZ</t>
  </si>
  <si>
    <t>LANTZ MELINDA DR.</t>
  </si>
  <si>
    <t>155 E 29TH ST</t>
  </si>
  <si>
    <t>E0037600</t>
  </si>
  <si>
    <t>AMIGHI ANCA MD</t>
  </si>
  <si>
    <t>AMIGHI ANCA DR.</t>
  </si>
  <si>
    <t>Livshitz,Julia,N.P.</t>
  </si>
  <si>
    <t>(718) 629-8133</t>
  </si>
  <si>
    <t>LouisGerolemou</t>
  </si>
  <si>
    <t>E0024139</t>
  </si>
  <si>
    <t>GEROLEMOU LOUIS NICHOLAS</t>
  </si>
  <si>
    <t>GEROLEMOU LOUIS</t>
  </si>
  <si>
    <t>JohnSzalyga</t>
  </si>
  <si>
    <t>E0194867</t>
  </si>
  <si>
    <t>SZALYGA JOHN L</t>
  </si>
  <si>
    <t>SZALYGA JOHN</t>
  </si>
  <si>
    <t>GREENPOINT MEDICAL</t>
  </si>
  <si>
    <t>VeronicaGomez</t>
  </si>
  <si>
    <t>E0326770</t>
  </si>
  <si>
    <t>GOMEZ GOMEZ VERONICA DEL CARMEN</t>
  </si>
  <si>
    <t>GOMEZ GOMEZ VERONICA</t>
  </si>
  <si>
    <t>LornaBeckford</t>
  </si>
  <si>
    <t>BECKFORD LORNA MS.</t>
  </si>
  <si>
    <t>506 6TH ST, NEW YORK METHODIST HOSPITAL</t>
  </si>
  <si>
    <t>MurielCajuste</t>
  </si>
  <si>
    <t>E0390186</t>
  </si>
  <si>
    <t>CAJUSTE MURIEL</t>
  </si>
  <si>
    <t>DavidDavis</t>
  </si>
  <si>
    <t>E0387866</t>
  </si>
  <si>
    <t>DAVIS DAVID J</t>
  </si>
  <si>
    <t>DAVIS DAVID DR.</t>
  </si>
  <si>
    <t>DAVIS DAVID JOHN</t>
  </si>
  <si>
    <t>460 W 41ST ST FL 5</t>
  </si>
  <si>
    <t>ManjeetDhallu</t>
  </si>
  <si>
    <t>DavidJ.Dickoff</t>
  </si>
  <si>
    <t>MichaelDiGiorno</t>
  </si>
  <si>
    <t>CharlesEdelson</t>
  </si>
  <si>
    <t>E0077935</t>
  </si>
  <si>
    <t>JOSEPH MARJORIE MD</t>
  </si>
  <si>
    <t>MARJORIEJOSEPH</t>
  </si>
  <si>
    <t>JOSEPH MARJORIE</t>
  </si>
  <si>
    <t>1000 TENTH AVE</t>
  </si>
  <si>
    <t>E0019771</t>
  </si>
  <si>
    <t>PAI SATISHCHANDRA S DDS</t>
  </si>
  <si>
    <t>SatischandraPai</t>
  </si>
  <si>
    <t>PAI SATISHCHANDRA DR.</t>
  </si>
  <si>
    <t>PAI SATISHCHANDRA</t>
  </si>
  <si>
    <t>325 S HIGHLAND AVE STE 105</t>
  </si>
  <si>
    <t>E0366647</t>
  </si>
  <si>
    <t>WILKES MEREDITH</t>
  </si>
  <si>
    <t>MeredithWilkes</t>
  </si>
  <si>
    <t>MR.RICARDOMILLER</t>
  </si>
  <si>
    <t>E0056935</t>
  </si>
  <si>
    <t>EISENSTADT ELLEN BETH MD</t>
  </si>
  <si>
    <t>ELLENEISENSTADT</t>
  </si>
  <si>
    <t>EISENSTADT ELLEN DR.</t>
  </si>
  <si>
    <t>EISENSTADT ELLEN BETH</t>
  </si>
  <si>
    <t>MS.AMYCHORZEMPA</t>
  </si>
  <si>
    <t>KELLY AMY MS.</t>
  </si>
  <si>
    <t>1111 AMSTERDAM AVE, S&amp;R 3-CARDIOLOGY</t>
  </si>
  <si>
    <t>E0043194</t>
  </si>
  <si>
    <t>NAVARRO PABLO C MD</t>
  </si>
  <si>
    <t>PABLONAVARRO</t>
  </si>
  <si>
    <t>NAVARRO PABLO DR.</t>
  </si>
  <si>
    <t>E0321426</t>
  </si>
  <si>
    <t>ARABADJIAN MILLA EDDIE</t>
  </si>
  <si>
    <t>MS.MILLAARABADJIAN</t>
  </si>
  <si>
    <t>ARABADJIAN MILLA MS.</t>
  </si>
  <si>
    <t>425 W 59TH ST 9C</t>
  </si>
  <si>
    <t>E0304361</t>
  </si>
  <si>
    <t>CARR-LOCKE DAVID LESLIE</t>
  </si>
  <si>
    <t>DAVIDCARR-LOCKE</t>
  </si>
  <si>
    <t>CARR-LOCKE DAVID DR.</t>
  </si>
  <si>
    <t>E0149307</t>
  </si>
  <si>
    <t>GELLER CHARLES MOSS MD</t>
  </si>
  <si>
    <t>CHARLESGELLER</t>
  </si>
  <si>
    <t>GELLER CHARLES</t>
  </si>
  <si>
    <t>CT SURGERY</t>
  </si>
  <si>
    <t>E0081656</t>
  </si>
  <si>
    <t>GURUNATHAN RAJAN MD</t>
  </si>
  <si>
    <t>RAJANGURUNATHAN</t>
  </si>
  <si>
    <t>GURUNATHAN RAJAN DR.</t>
  </si>
  <si>
    <t>E0147638</t>
  </si>
  <si>
    <t>TALBERT SUSAN M MD</t>
  </si>
  <si>
    <t>SUSANTALBERT</t>
  </si>
  <si>
    <t>TALBERT SUSAN</t>
  </si>
  <si>
    <t>FredGilbert</t>
  </si>
  <si>
    <t>E0189582</t>
  </si>
  <si>
    <t>GILBERT FRED</t>
  </si>
  <si>
    <t>GILBERT ALFRED DR.</t>
  </si>
  <si>
    <t># HT-150</t>
  </si>
  <si>
    <t>BanadViswanath</t>
  </si>
  <si>
    <t>E0277096</t>
  </si>
  <si>
    <t>VISWANATH BANAD N          MD</t>
  </si>
  <si>
    <t>400 UTICA AVE</t>
  </si>
  <si>
    <t>PeterSmith</t>
  </si>
  <si>
    <t>E0276980</t>
  </si>
  <si>
    <t>SMITH PETER R              MD</t>
  </si>
  <si>
    <t>148 SMITH ST</t>
  </si>
  <si>
    <t>ArnoldLicht</t>
  </si>
  <si>
    <t>E0276877</t>
  </si>
  <si>
    <t>LICHT ARNOLD L             MD</t>
  </si>
  <si>
    <t>LICHT ARNOLD DR.</t>
  </si>
  <si>
    <t>164 CLINTON ST</t>
  </si>
  <si>
    <t>MatthewKaplan</t>
  </si>
  <si>
    <t>E0276709</t>
  </si>
  <si>
    <t>KAPLAN MATTHEW R           MD</t>
  </si>
  <si>
    <t>KAPLAN MATTHEW</t>
  </si>
  <si>
    <t>KAPLAN MATTHEW R MD</t>
  </si>
  <si>
    <t>RM 306</t>
  </si>
  <si>
    <t>RosaAnabelaTavares</t>
  </si>
  <si>
    <t>KECIAGERLACH</t>
  </si>
  <si>
    <t>E0066290</t>
  </si>
  <si>
    <t>MANDELBAUM CHAIM Y MD</t>
  </si>
  <si>
    <t>CHAIMMANDELBAUM</t>
  </si>
  <si>
    <t>MANDELBAUM CHAIM DR.</t>
  </si>
  <si>
    <t>MANDELBAUM CHAIM Y</t>
  </si>
  <si>
    <t>10 UNION SQ E STE 4K</t>
  </si>
  <si>
    <t>E0136168</t>
  </si>
  <si>
    <t>CIPOLLA JAMES CHARLES MD</t>
  </si>
  <si>
    <t>JAMESCIPOLLA</t>
  </si>
  <si>
    <t>CIPOLLA JAMES</t>
  </si>
  <si>
    <t>SafaKalache,MD</t>
  </si>
  <si>
    <t>E0327670</t>
  </si>
  <si>
    <t>KALACHE SAFA MD</t>
  </si>
  <si>
    <t>(212) 360-3860</t>
  </si>
  <si>
    <t>safa.kalache@mssm.edu</t>
  </si>
  <si>
    <t>KALACHE SAFA DR.</t>
  </si>
  <si>
    <t>VyasPersaud,MD</t>
  </si>
  <si>
    <t>(917) 273-9416</t>
  </si>
  <si>
    <t>vper27@aol.com</t>
  </si>
  <si>
    <t>MichaelMazza</t>
  </si>
  <si>
    <t>MohammadMir</t>
  </si>
  <si>
    <t>E0174669</t>
  </si>
  <si>
    <t>MIR MOHAMMAD ARSHAD MD</t>
  </si>
  <si>
    <t>MIR MOHAMMAD DR.</t>
  </si>
  <si>
    <t>MIR MOHAMMAD ARSHAD</t>
  </si>
  <si>
    <t>585 KNICKERBOCKER AVE</t>
  </si>
  <si>
    <t>NissimBassoul</t>
  </si>
  <si>
    <t>E0148747</t>
  </si>
  <si>
    <t>BASSOUL NISSIM MOSES MD</t>
  </si>
  <si>
    <t>BASSOUL NISSIM</t>
  </si>
  <si>
    <t>1748 E 3RD ST</t>
  </si>
  <si>
    <t>MohammedSiddique</t>
  </si>
  <si>
    <t>VijaypalArya</t>
  </si>
  <si>
    <t>E0155614</t>
  </si>
  <si>
    <t>ARYA VIJAYPAL  MD</t>
  </si>
  <si>
    <t>ARYA VIJAYPAL</t>
  </si>
  <si>
    <t>JavidYadegar</t>
  </si>
  <si>
    <t>E0320667</t>
  </si>
  <si>
    <t>JAVID YADEGAR MD LLC</t>
  </si>
  <si>
    <t>JAVID YADEGAR MD PLLC</t>
  </si>
  <si>
    <t>RosemaryRuggieroDeCarlo</t>
  </si>
  <si>
    <t>E0139073</t>
  </si>
  <si>
    <t>RUGGIERO-DECARLO ROSEMARY MD</t>
  </si>
  <si>
    <t>RUGGIERO-DECARLO ROSEMARY DR.</t>
  </si>
  <si>
    <t>705 86TH ST</t>
  </si>
  <si>
    <t>VijayBattu</t>
  </si>
  <si>
    <t>E0018866</t>
  </si>
  <si>
    <t>VIJAY K BATTU MD PC</t>
  </si>
  <si>
    <t>240 WILLOUGHBY ST # 4A</t>
  </si>
  <si>
    <t>LisaEng</t>
  </si>
  <si>
    <t>E0145831</t>
  </si>
  <si>
    <t>ENG LISA MD</t>
  </si>
  <si>
    <t>ENG LISA DR.</t>
  </si>
  <si>
    <t>ENG LISA</t>
  </si>
  <si>
    <t>LUTHERAN MED CNTR</t>
  </si>
  <si>
    <t>AndrewDavy</t>
  </si>
  <si>
    <t>E0151230</t>
  </si>
  <si>
    <t>DAVY ANDREW MICHAEL G MD</t>
  </si>
  <si>
    <t>DAVY ANDREW MR.</t>
  </si>
  <si>
    <t>TsegaDenneke</t>
  </si>
  <si>
    <t>E0156076</t>
  </si>
  <si>
    <t>DENNEKE TSEGA MD</t>
  </si>
  <si>
    <t>DENNEKE TSEGA DR.</t>
  </si>
  <si>
    <t>WYCKOFF MED CTR</t>
  </si>
  <si>
    <t>E0089762</t>
  </si>
  <si>
    <t>DABNEY LISA MD</t>
  </si>
  <si>
    <t>LISADABNEY</t>
  </si>
  <si>
    <t>DABNEY LISA</t>
  </si>
  <si>
    <t>STE 5A</t>
  </si>
  <si>
    <t>E0053216</t>
  </si>
  <si>
    <t>TRAN TERESA TUYET-PHUONG N MD</t>
  </si>
  <si>
    <t>THERESATRAN</t>
  </si>
  <si>
    <t>TRAN THERESA</t>
  </si>
  <si>
    <t>E0290755</t>
  </si>
  <si>
    <t>VOTAVA HENRY JOHN MD</t>
  </si>
  <si>
    <t>HENRYVOTAVA</t>
  </si>
  <si>
    <t>VOTAVA HENRY</t>
  </si>
  <si>
    <t>E0011323</t>
  </si>
  <si>
    <t>SAUL TURANDOT  MD</t>
  </si>
  <si>
    <t>TURANDOTSAUL</t>
  </si>
  <si>
    <t>SAUL TURANDOT DR.</t>
  </si>
  <si>
    <t>E0095150</t>
  </si>
  <si>
    <t>MINKIN MIKHAILS MD</t>
  </si>
  <si>
    <t>MIKHAILMINKIN</t>
  </si>
  <si>
    <t>MINKIN MIKHAIL</t>
  </si>
  <si>
    <t>MINKIN MIKHAIL SAMUILOVICH MD</t>
  </si>
  <si>
    <t>E0135981</t>
  </si>
  <si>
    <t>DRUCKER DAVID A MD</t>
  </si>
  <si>
    <t>DAVIDDRUCKER</t>
  </si>
  <si>
    <t>DRUCKER DAVID DR.</t>
  </si>
  <si>
    <t>1460 VICTORY BLVD</t>
  </si>
  <si>
    <t>E0111170</t>
  </si>
  <si>
    <t>CASSANO KELLY ANN</t>
  </si>
  <si>
    <t>KELLYCASSANO</t>
  </si>
  <si>
    <t>CASSANO KELLY DR.</t>
  </si>
  <si>
    <t>E0128783</t>
  </si>
  <si>
    <t>CLARK MARK ANDREW MD</t>
  </si>
  <si>
    <t>MARKCLARK</t>
  </si>
  <si>
    <t>CLARK MARK</t>
  </si>
  <si>
    <t>SooilOh</t>
  </si>
  <si>
    <t>OH SOOIL</t>
  </si>
  <si>
    <t>1000 10TH AVE, 14TH FLOOR PAIN MANAGEMENT DEPARTMENT</t>
  </si>
  <si>
    <t>E0388022</t>
  </si>
  <si>
    <t>ROSSETTIE KATE P</t>
  </si>
  <si>
    <t>KateRossettie</t>
  </si>
  <si>
    <t>ROSSETTIE KATE</t>
  </si>
  <si>
    <t>230 W 17TH ST FL 7</t>
  </si>
  <si>
    <t>YvonneEloise</t>
  </si>
  <si>
    <t>BEDWARD YVONNE</t>
  </si>
  <si>
    <t>23222 143RD AVE</t>
  </si>
  <si>
    <t>E0364215</t>
  </si>
  <si>
    <t>ALCARAZ ALVAREZ JOSE</t>
  </si>
  <si>
    <t>JoseAlcaraz</t>
  </si>
  <si>
    <t>ALCARAZ ALVAREZ JOSE LUIS</t>
  </si>
  <si>
    <t>E0325685</t>
  </si>
  <si>
    <t>KURTZ SUSANNAH LAUREN</t>
  </si>
  <si>
    <t>SusannahKurtz</t>
  </si>
  <si>
    <t>KURTZ SUSANNAH DR.</t>
  </si>
  <si>
    <t>E0330304</t>
  </si>
  <si>
    <t>OTTE KELLY L MD</t>
  </si>
  <si>
    <t>KellyOtte</t>
  </si>
  <si>
    <t>OTTE KELLY</t>
  </si>
  <si>
    <t>E0341570</t>
  </si>
  <si>
    <t>LAZIC-STRUGER TAMARA</t>
  </si>
  <si>
    <t>TamaraLazic</t>
  </si>
  <si>
    <t>LAZIC STRUGAR TAMARA</t>
  </si>
  <si>
    <t>200 W 57TH ST FL 15</t>
  </si>
  <si>
    <t>E0330398</t>
  </si>
  <si>
    <t>KAHN ABIGAIL</t>
  </si>
  <si>
    <t>AbigailKahn</t>
  </si>
  <si>
    <t>KAHN ABIGAIL DR.</t>
  </si>
  <si>
    <t>425 W 59TH ST STE 5D</t>
  </si>
  <si>
    <t>E0359222</t>
  </si>
  <si>
    <t>SADOUGHI BABAK</t>
  </si>
  <si>
    <t>BabakSadoughi</t>
  </si>
  <si>
    <t>SADOUGHI BABAK DR.</t>
  </si>
  <si>
    <t>E0346980</t>
  </si>
  <si>
    <t>PATEL SUJAN</t>
  </si>
  <si>
    <t>SujanPatel</t>
  </si>
  <si>
    <t>PATEL SUJAN DR.</t>
  </si>
  <si>
    <t>101 BROADWAY STE 2</t>
  </si>
  <si>
    <t>ShapiroMikhail</t>
  </si>
  <si>
    <t>(718) 648-1111</t>
  </si>
  <si>
    <t>torah_team@yahoo.com</t>
  </si>
  <si>
    <t>SharmaChandra</t>
  </si>
  <si>
    <t>(718) 338-5709</t>
  </si>
  <si>
    <t>cmsharma@aol.com</t>
  </si>
  <si>
    <t>MiossotisFeliciano</t>
  </si>
  <si>
    <t>FELICIANO MIOSSOTIS MS.</t>
  </si>
  <si>
    <t>ColleenE.Rogan</t>
  </si>
  <si>
    <t>E0338818</t>
  </si>
  <si>
    <t>ROGAN COLLEEN</t>
  </si>
  <si>
    <t>FrancescaSciscenti</t>
  </si>
  <si>
    <t>(212) 660-1381</t>
  </si>
  <si>
    <t>Francesca.Sciscenti@nyfoundling.org</t>
  </si>
  <si>
    <t>SCISCENTI FRANCESCA</t>
  </si>
  <si>
    <t>EDNALINO,EDGAR</t>
  </si>
  <si>
    <t>E0222329</t>
  </si>
  <si>
    <t>EDNALINO EDGAR Y           MD</t>
  </si>
  <si>
    <t>eednalino@sco.org</t>
  </si>
  <si>
    <t>EDNALINO EDGAR</t>
  </si>
  <si>
    <t>EDNALINO EDGAR Y</t>
  </si>
  <si>
    <t>570 FULTON ST</t>
  </si>
  <si>
    <t>ASENIERO,MARY</t>
  </si>
  <si>
    <t>E0115847</t>
  </si>
  <si>
    <t>ASENIERO MARY R MD</t>
  </si>
  <si>
    <t>maseniero@sco.org</t>
  </si>
  <si>
    <t>ASENIERO MARYANNE DR.</t>
  </si>
  <si>
    <t>Cornachio,Andrea</t>
  </si>
  <si>
    <t>Falzon,JeanMarie</t>
  </si>
  <si>
    <t>Piacente,Dominick</t>
  </si>
  <si>
    <t>E0040419</t>
  </si>
  <si>
    <t>ASTUA ALFREDO J MD</t>
  </si>
  <si>
    <t>AlfredoAstua</t>
  </si>
  <si>
    <t>ASTUA ALFREDO DR.</t>
  </si>
  <si>
    <t>ASTUA ALFREDO JUAN</t>
  </si>
  <si>
    <t>423 WEST 55TH STREET</t>
  </si>
  <si>
    <t>E0359880</t>
  </si>
  <si>
    <t>LESPERANCE MAYRA CABRERA</t>
  </si>
  <si>
    <t>MayraLesperance</t>
  </si>
  <si>
    <t>CABRERA MAYRA DR.</t>
  </si>
  <si>
    <t>555 WEST 57TH STREET STE 525</t>
  </si>
  <si>
    <t>E0327269</t>
  </si>
  <si>
    <t>SALOUM MIGDALIA</t>
  </si>
  <si>
    <t>MigdaliaSaloum</t>
  </si>
  <si>
    <t>SALOUM MIGDALIA MRS.</t>
  </si>
  <si>
    <t>HERNANDEZ SALOUM MIGDALIA</t>
  </si>
  <si>
    <t>E0223733</t>
  </si>
  <si>
    <t>BRESSMAN SUSAN B           MD</t>
  </si>
  <si>
    <t>SUSANBRESSMAN</t>
  </si>
  <si>
    <t>BRESSMAN SUSAN</t>
  </si>
  <si>
    <t>10 UNION SQ E FRNT 2Q</t>
  </si>
  <si>
    <t>E0120721</t>
  </si>
  <si>
    <t>MACGOWAN DANIEL J L MD</t>
  </si>
  <si>
    <t>DANIELMACGOWAN</t>
  </si>
  <si>
    <t>MACGOWAN DANIEL DR.</t>
  </si>
  <si>
    <t>FRNT 2R</t>
  </si>
  <si>
    <t>E0124427</t>
  </si>
  <si>
    <t>TAMIS JACQUELINE ELVIRA MD</t>
  </si>
  <si>
    <t>JACQUELINETAMIS</t>
  </si>
  <si>
    <t>TAMIS JACQUELINE DR.</t>
  </si>
  <si>
    <t>E0076361</t>
  </si>
  <si>
    <t>WENIG BRUCE M</t>
  </si>
  <si>
    <t>BRUCEWENIG</t>
  </si>
  <si>
    <t>WENIG BRUCE</t>
  </si>
  <si>
    <t>KatrinaVue</t>
  </si>
  <si>
    <t>E0318204</t>
  </si>
  <si>
    <t>VUE KATRINA LOUISE</t>
  </si>
  <si>
    <t>(917) 485-7281</t>
  </si>
  <si>
    <t>Katrina.Vue@nyfoundling.org</t>
  </si>
  <si>
    <t>VUE KATRINA</t>
  </si>
  <si>
    <t>JenniferStafford</t>
  </si>
  <si>
    <t>STAFFORD JENNIFER</t>
  </si>
  <si>
    <t>138 W 25TH ST, 6TH FLOOR, #17</t>
  </si>
  <si>
    <t>MimiOgawa-Spigland</t>
  </si>
  <si>
    <t>OGAWA-SPIGLAND MIMI</t>
  </si>
  <si>
    <t>409 BROADWAY, APT. 6R</t>
  </si>
  <si>
    <t>EsterKaul</t>
  </si>
  <si>
    <t>KAUL ESTHER MRS.</t>
  </si>
  <si>
    <t>CindyMinaya</t>
  </si>
  <si>
    <t>E0341431</t>
  </si>
  <si>
    <t>MINAYA CINDY</t>
  </si>
  <si>
    <t>MINAYA CINDY MS.</t>
  </si>
  <si>
    <t>E0137076</t>
  </si>
  <si>
    <t>LEVI GABRIEL S MD</t>
  </si>
  <si>
    <t>GABRIELLEVI</t>
  </si>
  <si>
    <t>LEVI GABRIEL</t>
  </si>
  <si>
    <t>PATH CONS OF BRKLYN</t>
  </si>
  <si>
    <t>E0201998</t>
  </si>
  <si>
    <t>FEINBERG TODD E            MD</t>
  </si>
  <si>
    <t>TODDFEINBERG</t>
  </si>
  <si>
    <t>FEINBERG TODD DR.</t>
  </si>
  <si>
    <t>FEINBERG TODD E</t>
  </si>
  <si>
    <t>E0179209</t>
  </si>
  <si>
    <t>ROANE DAVID</t>
  </si>
  <si>
    <t>DAVIDROANE</t>
  </si>
  <si>
    <t>ROANE DAVID DR.</t>
  </si>
  <si>
    <t>DEPT OF PSYCHIATRY</t>
  </si>
  <si>
    <t>E0125943</t>
  </si>
  <si>
    <t>MUFTI MAHTAB AHMED MD</t>
  </si>
  <si>
    <t>MAHTABMUFTI</t>
  </si>
  <si>
    <t>MUFTI MAHTAB</t>
  </si>
  <si>
    <t>BIMC KINGS HWY</t>
  </si>
  <si>
    <t>E0175515</t>
  </si>
  <si>
    <t>GOTLIN ROBERT  DO</t>
  </si>
  <si>
    <t>ROBERTGOTLIN</t>
  </si>
  <si>
    <t>GOTLIN ROBERT</t>
  </si>
  <si>
    <t>E0278648</t>
  </si>
  <si>
    <t>BRAUN CARL W MD PC</t>
  </si>
  <si>
    <t>CARLBRAUN</t>
  </si>
  <si>
    <t>BRAUN CARL</t>
  </si>
  <si>
    <t>E0264327</t>
  </si>
  <si>
    <t>MELONE CHARLES P JR        MD</t>
  </si>
  <si>
    <t>CHARLESMELONE</t>
  </si>
  <si>
    <t>MELONE CHARLES</t>
  </si>
  <si>
    <t>310 E 30TH ST</t>
  </si>
  <si>
    <t>E0016982</t>
  </si>
  <si>
    <t>RODRIGUEZ LEALANI MD</t>
  </si>
  <si>
    <t>LEALANIRODRIGUEZ</t>
  </si>
  <si>
    <t>RODRIGUEZ LEALANI</t>
  </si>
  <si>
    <t>E0301923</t>
  </si>
  <si>
    <t>BRYSON JULINE MICHELE</t>
  </si>
  <si>
    <t>JULINEBRYSON</t>
  </si>
  <si>
    <t>BRYSON JULINE DR.</t>
  </si>
  <si>
    <t>425 W 59TH ST STE 4A</t>
  </si>
  <si>
    <t>E0055997</t>
  </si>
  <si>
    <t>VARMA MALA MD</t>
  </si>
  <si>
    <t>MALAVARMA</t>
  </si>
  <si>
    <t>VARMA MALA</t>
  </si>
  <si>
    <t>SLR HEM ONC 11G</t>
  </si>
  <si>
    <t>E0355376</t>
  </si>
  <si>
    <t>PATTERSON AARON RONALD</t>
  </si>
  <si>
    <t>AaronPatterson</t>
  </si>
  <si>
    <t>PATTERSON AARON DR.</t>
  </si>
  <si>
    <t>1ST AVE AND 16TH ST</t>
  </si>
  <si>
    <t>E0375348</t>
  </si>
  <si>
    <t>MOYE ELIZABETH</t>
  </si>
  <si>
    <t>ElizabethMoye</t>
  </si>
  <si>
    <t>MOYE ELIZABETH DR.</t>
  </si>
  <si>
    <t>E0378401</t>
  </si>
  <si>
    <t>EDWARDS DONNA LEE</t>
  </si>
  <si>
    <t>DonnaEdwards</t>
  </si>
  <si>
    <t>EDWARDS DONNA DR.</t>
  </si>
  <si>
    <t>IvyMesser,C.D.N</t>
  </si>
  <si>
    <t>MESSER IVY</t>
  </si>
  <si>
    <t>25221 60TH AVE</t>
  </si>
  <si>
    <t>LaurenBrown,OTR/L</t>
  </si>
  <si>
    <t>BROWN LAUREN MS.</t>
  </si>
  <si>
    <t>560 LENOX AVE</t>
  </si>
  <si>
    <t>DonnaLee,M.A.</t>
  </si>
  <si>
    <t>LEE DONNA</t>
  </si>
  <si>
    <t>E0171511</t>
  </si>
  <si>
    <t>MAJESKE MATTHEW F MD</t>
  </si>
  <si>
    <t>MATTHEWMAJESKE</t>
  </si>
  <si>
    <t>MAJESKE MATTHEW DR.</t>
  </si>
  <si>
    <t>ST VINCENTS PSY ASSO</t>
  </si>
  <si>
    <t>E0128809</t>
  </si>
  <si>
    <t>BOOCKVAR KENNETH STEPHEN MD</t>
  </si>
  <si>
    <t>KENNETHBOOCKVAR</t>
  </si>
  <si>
    <t>BOOCKVAR KENNETH</t>
  </si>
  <si>
    <t>STE S200</t>
  </si>
  <si>
    <t>WayneMaurer</t>
  </si>
  <si>
    <t>E0101376</t>
  </si>
  <si>
    <t>MAURER WAYNE MARTIN DDS</t>
  </si>
  <si>
    <t>MAURER WAYNE MARTIN</t>
  </si>
  <si>
    <t>19002 JAMAICA AVE FL 2</t>
  </si>
  <si>
    <t>Chia-HungYuan</t>
  </si>
  <si>
    <t>E0014537</t>
  </si>
  <si>
    <t>YUAN CHIA-HUNG DDS</t>
  </si>
  <si>
    <t>YUAN CHIA-HUNG DR.</t>
  </si>
  <si>
    <t>7-8 CHATHAM SQUARE</t>
  </si>
  <si>
    <t>AvichaiStern</t>
  </si>
  <si>
    <t>E0291449</t>
  </si>
  <si>
    <t>STERN AVICHAI</t>
  </si>
  <si>
    <t>STERN AVICHAI DR.</t>
  </si>
  <si>
    <t>155 ASHLAND PL # D</t>
  </si>
  <si>
    <t>RicardoBoyce</t>
  </si>
  <si>
    <t>E0033567</t>
  </si>
  <si>
    <t>BOYCE RICARDO A</t>
  </si>
  <si>
    <t>BOYCE RICARDO DR.</t>
  </si>
  <si>
    <t>100 PARKSIDE AVE</t>
  </si>
  <si>
    <t>ToulaMylonakis</t>
  </si>
  <si>
    <t>E0003802</t>
  </si>
  <si>
    <t>MYLONAKIS TOULA</t>
  </si>
  <si>
    <t>AdamWeiss</t>
  </si>
  <si>
    <t>MariselaGarau-Gonzalez</t>
  </si>
  <si>
    <t>E0322919</t>
  </si>
  <si>
    <t>GARAU-GONZALEZ MARISELA</t>
  </si>
  <si>
    <t>GARAU MARISELA</t>
  </si>
  <si>
    <t>1921 JEROME AVE</t>
  </si>
  <si>
    <t>FlorineAbraham</t>
  </si>
  <si>
    <t>E0372726</t>
  </si>
  <si>
    <t>ABRAHAM FLORINE</t>
  </si>
  <si>
    <t>ABRAHAM FLORINE DR.</t>
  </si>
  <si>
    <t>JoshuaWolf</t>
  </si>
  <si>
    <t>E0383220</t>
  </si>
  <si>
    <t>WOLF JOSHUA</t>
  </si>
  <si>
    <t>WOLF JOSHUA DR.</t>
  </si>
  <si>
    <t>AlvinEden</t>
  </si>
  <si>
    <t>E0280721</t>
  </si>
  <si>
    <t>EDEN ALVIN N               MD</t>
  </si>
  <si>
    <t>EDEN ALVIN DR.</t>
  </si>
  <si>
    <t>10721 QUEENS BLVD</t>
  </si>
  <si>
    <t>CalvinSimons</t>
  </si>
  <si>
    <t>E0256941</t>
  </si>
  <si>
    <t>SIMONS CALVIN J            MD</t>
  </si>
  <si>
    <t>SIMONS CALVIN</t>
  </si>
  <si>
    <t>616 EASTERN PKWY</t>
  </si>
  <si>
    <t>MadelineCruz</t>
  </si>
  <si>
    <t>HetalNaik</t>
  </si>
  <si>
    <t>E0087230</t>
  </si>
  <si>
    <t>NAIK HETAL BABUBHAT DPM</t>
  </si>
  <si>
    <t>NAIK HETAL DR.</t>
  </si>
  <si>
    <t>1417 FOSTER AVE</t>
  </si>
  <si>
    <t>WalterPerez</t>
  </si>
  <si>
    <t>E0105251</t>
  </si>
  <si>
    <t>PEREZ WATER HERNAN DPM</t>
  </si>
  <si>
    <t>PEREZ WALTER DR.</t>
  </si>
  <si>
    <t>PEREZ WALTER HERNAN</t>
  </si>
  <si>
    <t>2146 BEVERLEY RD</t>
  </si>
  <si>
    <t>RebeccaBurkett,LMSW</t>
  </si>
  <si>
    <t>AmberPennant,RN</t>
  </si>
  <si>
    <t>AbbyBaker-Lynch,M.A.</t>
  </si>
  <si>
    <t>BAKER-LYNCH ABBY MS.</t>
  </si>
  <si>
    <t>211-11 NORTHERN BLVD YAI</t>
  </si>
  <si>
    <t>ScottRosenberg,M.S.,R.D.,CDN</t>
  </si>
  <si>
    <t>ROSENBERG SCOTT</t>
  </si>
  <si>
    <t>1642 49TH ST</t>
  </si>
  <si>
    <t>RichardCohen,Ph.D.</t>
  </si>
  <si>
    <t>E0342956</t>
  </si>
  <si>
    <t>YvetteFeliciano,L.M.S.W.</t>
  </si>
  <si>
    <t>FELICIANO YVETTE</t>
  </si>
  <si>
    <t>E0314007</t>
  </si>
  <si>
    <t>LANDA GENNADY</t>
  </si>
  <si>
    <t>GENNADYLANDA</t>
  </si>
  <si>
    <t>LANDA GENNADY DR.</t>
  </si>
  <si>
    <t>E0005079</t>
  </si>
  <si>
    <t>MODICA IPPOLITO MD</t>
  </si>
  <si>
    <t>IPPOLITOMODICA</t>
  </si>
  <si>
    <t>MODICA IPPOLITO</t>
  </si>
  <si>
    <t>E0116736</t>
  </si>
  <si>
    <t>WILLIAMS ARTHUR</t>
  </si>
  <si>
    <t>ARTHURWILLIAMS</t>
  </si>
  <si>
    <t>HARLEM FACULTY PRAC</t>
  </si>
  <si>
    <t>E0009992</t>
  </si>
  <si>
    <t>MA AYE MOE THU MD</t>
  </si>
  <si>
    <t>AYEMA</t>
  </si>
  <si>
    <t>MA AYE</t>
  </si>
  <si>
    <t>MA AYE MOE THU</t>
  </si>
  <si>
    <t>E0011619</t>
  </si>
  <si>
    <t>SHANKER VICKI MD</t>
  </si>
  <si>
    <t>VICKISHANKER</t>
  </si>
  <si>
    <t>SHANKER VICKI</t>
  </si>
  <si>
    <t>E0285081</t>
  </si>
  <si>
    <t>PRINCE ROSEMARY</t>
  </si>
  <si>
    <t>ROSEMARYPRINCE</t>
  </si>
  <si>
    <t>PRINCE ROSEMARY MD</t>
  </si>
  <si>
    <t>E0322687</t>
  </si>
  <si>
    <t>SCHAEFER MICHAEL JOHN JR</t>
  </si>
  <si>
    <t>MICHAELSCHAEFER</t>
  </si>
  <si>
    <t>SCHAEFER MICHAEL DR.</t>
  </si>
  <si>
    <t>E0283832</t>
  </si>
  <si>
    <t>BUYUK ARZU</t>
  </si>
  <si>
    <t>ARZUBUYUK</t>
  </si>
  <si>
    <t>BUYUK ARZU DR.</t>
  </si>
  <si>
    <t>E0329541</t>
  </si>
  <si>
    <t>SACHER MANDY LAUREN</t>
  </si>
  <si>
    <t>MANDYSACHER</t>
  </si>
  <si>
    <t>SACHER MANDY DR.</t>
  </si>
  <si>
    <t>135 N7TH STREET</t>
  </si>
  <si>
    <t>E0084841</t>
  </si>
  <si>
    <t>PACHMAN JASON LEE MD</t>
  </si>
  <si>
    <t>JASONPACHMAN</t>
  </si>
  <si>
    <t>PACHMAN JASON DR.</t>
  </si>
  <si>
    <t>FIEMAN HALL 2ND FL</t>
  </si>
  <si>
    <t>E0118868</t>
  </si>
  <si>
    <t>RESCIGNO JOHN MD</t>
  </si>
  <si>
    <t>JOHNRESCIGNO</t>
  </si>
  <si>
    <t>RESCIGNO JOHN DR.</t>
  </si>
  <si>
    <t># BHN-B11</t>
  </si>
  <si>
    <t>E0063685</t>
  </si>
  <si>
    <t>HARDART ANNE MD</t>
  </si>
  <si>
    <t>ANNEHARDART</t>
  </si>
  <si>
    <t>HARDART ANNE</t>
  </si>
  <si>
    <t>OBG-HARDART</t>
  </si>
  <si>
    <t>E0136563</t>
  </si>
  <si>
    <t>PORTNOY WILLIAM MARSHALL MD</t>
  </si>
  <si>
    <t>WILLIAMPORTNOY</t>
  </si>
  <si>
    <t>PORTNOY WILLIAM DR.</t>
  </si>
  <si>
    <t>E0131064</t>
  </si>
  <si>
    <t>WONG TOMMY YUK SHU MD</t>
  </si>
  <si>
    <t>TOMMYWONG</t>
  </si>
  <si>
    <t>WONG TOMMY</t>
  </si>
  <si>
    <t>E0273485</t>
  </si>
  <si>
    <t>BLITZER ANDREW             MD</t>
  </si>
  <si>
    <t>ANDREWBLITZER</t>
  </si>
  <si>
    <t>BLITZER ANDREW</t>
  </si>
  <si>
    <t>HEAD &amp; NECK SURG GRP</t>
  </si>
  <si>
    <t>E0008924</t>
  </si>
  <si>
    <t>WEN ANGIE</t>
  </si>
  <si>
    <t>ANGIEWEN</t>
  </si>
  <si>
    <t>WEN ANGIE DR.</t>
  </si>
  <si>
    <t>WEN ANGIE EN MD</t>
  </si>
  <si>
    <t>7901 4TH AVE</t>
  </si>
  <si>
    <t>E0105201</t>
  </si>
  <si>
    <t>GUTKOVICH ZINOVIY MD</t>
  </si>
  <si>
    <t>ZINOVIYGUTKOVICH</t>
  </si>
  <si>
    <t>GUTKOVICH ZINOVIY</t>
  </si>
  <si>
    <t>SUNY @ STONY BROOK</t>
  </si>
  <si>
    <t>JacquelineMcKayle,CASAC-T</t>
  </si>
  <si>
    <t>GregoryCorley,MSW</t>
  </si>
  <si>
    <t>AhlamAlrubayai,RN</t>
  </si>
  <si>
    <t>KiraGlasteine,LMHC</t>
  </si>
  <si>
    <t>LarissaLempert</t>
  </si>
  <si>
    <t>E0002909</t>
  </si>
  <si>
    <t>LEMPERT LARISSA MD</t>
  </si>
  <si>
    <t>LEMPERT LARISSA DR.</t>
  </si>
  <si>
    <t>10850 62ND DR STE LA</t>
  </si>
  <si>
    <t>MichaelC.Parrinello</t>
  </si>
  <si>
    <t>E0073305</t>
  </si>
  <si>
    <t>PARRINELLO MICHAEL CHRISTOPHER</t>
  </si>
  <si>
    <t>PARRINELLO MICHAEL</t>
  </si>
  <si>
    <t>801 W 190TH ST</t>
  </si>
  <si>
    <t>E0293465</t>
  </si>
  <si>
    <t>CHAWLA PREETY MD</t>
  </si>
  <si>
    <t>PREETYCHAWLA</t>
  </si>
  <si>
    <t>CHAWLA PREETY</t>
  </si>
  <si>
    <t>10 UNION SQ EAST/STE 2A</t>
  </si>
  <si>
    <t>E0157922</t>
  </si>
  <si>
    <t>LO YUNYUN ANDREW  MD</t>
  </si>
  <si>
    <t>YUNYUNLO</t>
  </si>
  <si>
    <t>LO YUNYUN</t>
  </si>
  <si>
    <t>E0176894</t>
  </si>
  <si>
    <t>ROSERO HUGO O MD</t>
  </si>
  <si>
    <t>HUGOROSERO</t>
  </si>
  <si>
    <t>ROSERO HUGO</t>
  </si>
  <si>
    <t>LICH MPA PC EMRGNCY</t>
  </si>
  <si>
    <t>E0228059</t>
  </si>
  <si>
    <t>TARTTER PAUL IAN           MD</t>
  </si>
  <si>
    <t>PAULTARTTER</t>
  </si>
  <si>
    <t>TARTTER PAUL</t>
  </si>
  <si>
    <t>425 W 59TH ST STE 7A&amp;7B</t>
  </si>
  <si>
    <t>E0042588</t>
  </si>
  <si>
    <t>BLANK ANDREW MD</t>
  </si>
  <si>
    <t>ANDREWBLANK</t>
  </si>
  <si>
    <t>BLANK ANDREW DR.</t>
  </si>
  <si>
    <t>1090 AMSTERDAM AVE FL 5</t>
  </si>
  <si>
    <t>E0063226</t>
  </si>
  <si>
    <t>HUSSAIN NAZIA MD</t>
  </si>
  <si>
    <t>NAZIAHUSSAIN</t>
  </si>
  <si>
    <t>HUSSAIN NAZIA DR.</t>
  </si>
  <si>
    <t>E0125499</t>
  </si>
  <si>
    <t>GANZ ERIC MICHAEL MD</t>
  </si>
  <si>
    <t>ERICGANZ</t>
  </si>
  <si>
    <t>GANZ ERIC</t>
  </si>
  <si>
    <t>E0109347</t>
  </si>
  <si>
    <t>SUSSMAN DANIEL RICHARD RPA</t>
  </si>
  <si>
    <t>DANIELSUSSMAN</t>
  </si>
  <si>
    <t>SUSSMAN DANIEL</t>
  </si>
  <si>
    <t>E0296237</t>
  </si>
  <si>
    <t>LEVY BENJAMIN</t>
  </si>
  <si>
    <t>BENJAMINLEVY</t>
  </si>
  <si>
    <t>LEVY BENJAMIN DR.</t>
  </si>
  <si>
    <t>LEVY BENJAMIN PHILLIP</t>
  </si>
  <si>
    <t>E0041099</t>
  </si>
  <si>
    <t>LOVENVIRTH WENDI JENNIFER MD</t>
  </si>
  <si>
    <t>WENDILOVENVIRTH</t>
  </si>
  <si>
    <t>LOVENVIRTH WENDI</t>
  </si>
  <si>
    <t>E0127999</t>
  </si>
  <si>
    <t>SUNDERWIRTH-BAILLY RAMONA MD</t>
  </si>
  <si>
    <t>RAMONASUNDERWIRTH</t>
  </si>
  <si>
    <t>SUNDERWIRTH RAMONA</t>
  </si>
  <si>
    <t>E0216200</t>
  </si>
  <si>
    <t>PETERSON MONTE HAROLD      MD</t>
  </si>
  <si>
    <t>MONTEPETERSON</t>
  </si>
  <si>
    <t>PETERSON MONTE DR.</t>
  </si>
  <si>
    <t>E0283896</t>
  </si>
  <si>
    <t>MASHKEVICH GRIGORIY</t>
  </si>
  <si>
    <t>GRIGORIYMASHKEVICH</t>
  </si>
  <si>
    <t>MASHKEVICH GRIGORIY MD</t>
  </si>
  <si>
    <t>E0179604</t>
  </si>
  <si>
    <t>KAUFMAN STEPHEN Z MD</t>
  </si>
  <si>
    <t>STEPHENKAUFMAN</t>
  </si>
  <si>
    <t>KAUFMAN STEPHEN DR.</t>
  </si>
  <si>
    <t>1111 AMSTERDAM AVENUE DEPT OF RADIOLOGY</t>
  </si>
  <si>
    <t>MariaCarmelaEvangelista</t>
  </si>
  <si>
    <t>E0285338</t>
  </si>
  <si>
    <t>DACANAY MARIA CARMELA E NP</t>
  </si>
  <si>
    <t>(212) 305-1566</t>
  </si>
  <si>
    <t>mod2136@columbia.edu</t>
  </si>
  <si>
    <t>EVANGELISTA MARIA CARMELA</t>
  </si>
  <si>
    <t>EVANGELISTA MARIA CARMELA YU SAM</t>
  </si>
  <si>
    <t>161 FORT WASHINGTON AVE FL 2</t>
  </si>
  <si>
    <t>SaribelQuinones</t>
  </si>
  <si>
    <t>ChennaReddy</t>
  </si>
  <si>
    <t>E0274876</t>
  </si>
  <si>
    <t>REDDY CHENNA B MD</t>
  </si>
  <si>
    <t>REDDY CHENNA</t>
  </si>
  <si>
    <t>9413 FLATLANDS AVE STE  101 WEST</t>
  </si>
  <si>
    <t>PaulSaenger</t>
  </si>
  <si>
    <t>JacobWarman</t>
  </si>
  <si>
    <t>E0264156</t>
  </si>
  <si>
    <t>WARMAN JACOB I</t>
  </si>
  <si>
    <t>WARMAN JACOB DR.</t>
  </si>
  <si>
    <t>SyedAhmad</t>
  </si>
  <si>
    <t>RitaParikh</t>
  </si>
  <si>
    <t>E0116111</t>
  </si>
  <si>
    <t>PARIKH RITA MD</t>
  </si>
  <si>
    <t>PARIKH RITA</t>
  </si>
  <si>
    <t>ElizabethAcenas-Recientes</t>
  </si>
  <si>
    <t>E0204444</t>
  </si>
  <si>
    <t>ACENAS RECIENTES ELIZABETH S MD</t>
  </si>
  <si>
    <t>ACENAS-RECIENTES ELIZABETH</t>
  </si>
  <si>
    <t>546 EASTERN PARKWAY</t>
  </si>
  <si>
    <t>E0285100</t>
  </si>
  <si>
    <t>LEIBOVITZ ALON</t>
  </si>
  <si>
    <t>MR.ALONLEIBOVITZ</t>
  </si>
  <si>
    <t>LEIBOVITZ ALON MR.</t>
  </si>
  <si>
    <t>LEIBOVITZ ALON ARI MD</t>
  </si>
  <si>
    <t>TimothyRamos</t>
  </si>
  <si>
    <t>E0359183</t>
  </si>
  <si>
    <t>YUEN JOSEPH</t>
  </si>
  <si>
    <t>JosephYuen</t>
  </si>
  <si>
    <t>E0383660</t>
  </si>
  <si>
    <t>RAPPISI KRISTEN D</t>
  </si>
  <si>
    <t>KristenRappisi</t>
  </si>
  <si>
    <t>RAPPISI KRISTEN</t>
  </si>
  <si>
    <t>E0448500</t>
  </si>
  <si>
    <t>WAGNER RITA</t>
  </si>
  <si>
    <t>RitaWagner</t>
  </si>
  <si>
    <t>StephanyGuisbert,M.S.Ed.</t>
  </si>
  <si>
    <t>GUISBERT STEPHANY</t>
  </si>
  <si>
    <t>MansurogluNaim</t>
  </si>
  <si>
    <t>(718) 780-7700</t>
  </si>
  <si>
    <t>mansuroglu@hotmail.com</t>
  </si>
  <si>
    <t>Mayhew-MayersBernadette</t>
  </si>
  <si>
    <t>(646) 771-7330</t>
  </si>
  <si>
    <t>bmayers@optum.com</t>
  </si>
  <si>
    <t>SherlyAbraham</t>
  </si>
  <si>
    <t>E0009872</t>
  </si>
  <si>
    <t>ABRAHAM SHERLY MD</t>
  </si>
  <si>
    <t>ABRAHAM SHERLY DR.</t>
  </si>
  <si>
    <t>ABRAHAM SHERLY</t>
  </si>
  <si>
    <t>KARNIK RUCHIKA</t>
  </si>
  <si>
    <t>1611 NW 12TH AVENUE, ACC WEST 5C CLINIC</t>
  </si>
  <si>
    <t>E0355728</t>
  </si>
  <si>
    <t>CATE SARAH PATRICIA</t>
  </si>
  <si>
    <t>SarahCate</t>
  </si>
  <si>
    <t>CATE SARAH DR.</t>
  </si>
  <si>
    <t>FIRST AVE @ 16TH STR</t>
  </si>
  <si>
    <t>StanleyTokar</t>
  </si>
  <si>
    <t>175EastMainSt</t>
  </si>
  <si>
    <t>AlexCzira</t>
  </si>
  <si>
    <t>755NYAve#107</t>
  </si>
  <si>
    <t>MichaelDannenberg</t>
  </si>
  <si>
    <t>177MainSt</t>
  </si>
  <si>
    <t>AlanSchuller</t>
  </si>
  <si>
    <t>200WestCarverSt</t>
  </si>
  <si>
    <t>MarcSilverman</t>
  </si>
  <si>
    <t>27FairviewSt</t>
  </si>
  <si>
    <t>StevenLerner</t>
  </si>
  <si>
    <t>650RichmanRd</t>
  </si>
  <si>
    <t>EastMeadow</t>
  </si>
  <si>
    <t>AlanCohen</t>
  </si>
  <si>
    <t>(516) 869-1001</t>
  </si>
  <si>
    <t>MainSt</t>
  </si>
  <si>
    <t>ThomasSpears</t>
  </si>
  <si>
    <t>180EastPulaskiRd</t>
  </si>
  <si>
    <t>SalvatoreTangredi</t>
  </si>
  <si>
    <t>84GreenStreet</t>
  </si>
  <si>
    <t>MarcGennaro</t>
  </si>
  <si>
    <t>(631) 385-7258</t>
  </si>
  <si>
    <t>152EastMainSt</t>
  </si>
  <si>
    <t>MichaelPappas</t>
  </si>
  <si>
    <t>220FortSalongaRd</t>
  </si>
  <si>
    <t>Northport</t>
  </si>
  <si>
    <t>YuGenLai</t>
  </si>
  <si>
    <t>200BelleTerreRd.SuiteE740</t>
  </si>
  <si>
    <t>PortJefferson</t>
  </si>
  <si>
    <t>Balot,Barry</t>
  </si>
  <si>
    <t>(631) 225-6200</t>
  </si>
  <si>
    <t>cbalot@aol.com</t>
  </si>
  <si>
    <t>Chin,Yin-Lee</t>
  </si>
  <si>
    <t>(631) 226-7171</t>
  </si>
  <si>
    <t>Chu,MichaelH.</t>
  </si>
  <si>
    <t>(631) 422-0909</t>
  </si>
  <si>
    <t>Davidoff,Sam</t>
  </si>
  <si>
    <t>(631) 598-5864</t>
  </si>
  <si>
    <t>vkhanijo@gmail.com</t>
  </si>
  <si>
    <t>HowardFriedman</t>
  </si>
  <si>
    <t>E0277407</t>
  </si>
  <si>
    <t>FRIEDMAN HOWARD S   MD PC</t>
  </si>
  <si>
    <t>FRIEDMAN HOWARD</t>
  </si>
  <si>
    <t>FRIEDMAN HOWARD S   MD</t>
  </si>
  <si>
    <t>JenniferChang,OTR/L</t>
  </si>
  <si>
    <t>E0342628</t>
  </si>
  <si>
    <t>CHANG JENNIFER</t>
  </si>
  <si>
    <t>CatherineConway,M.S.,R.D.,CDE,CDN</t>
  </si>
  <si>
    <t>E0343065</t>
  </si>
  <si>
    <t>CATHERINE CONWAY</t>
  </si>
  <si>
    <t>CONWAY CATHERINE</t>
  </si>
  <si>
    <t>JudeJean-Louis,OTR/L</t>
  </si>
  <si>
    <t>E0343588</t>
  </si>
  <si>
    <t>JEAN-LOUIS JUDE</t>
  </si>
  <si>
    <t>KevinTravers,L.C.S.W.</t>
  </si>
  <si>
    <t>TRAVERS KEVIN</t>
  </si>
  <si>
    <t>RichardZbytniewski,OTR/L</t>
  </si>
  <si>
    <t>ZBYTNIEWSKI RICHARD MR.</t>
  </si>
  <si>
    <t>48-08 111TH STREET</t>
  </si>
  <si>
    <t>E0320109</t>
  </si>
  <si>
    <t>KHODABAKHSH KASHYAR</t>
  </si>
  <si>
    <t>KASHYARKHODABAKHSH</t>
  </si>
  <si>
    <t>KHODABAKHSH KASHYAR DR.</t>
  </si>
  <si>
    <t>10 UNION SQ E STE 5G</t>
  </si>
  <si>
    <t>NicoleMalsch</t>
  </si>
  <si>
    <t>MALSCH NICOLE</t>
  </si>
  <si>
    <t>KellyKilkuskie</t>
  </si>
  <si>
    <t>KILKUSKIE KELLY</t>
  </si>
  <si>
    <t>AdiashaRichards</t>
  </si>
  <si>
    <t>RICHARDS ADIASHA</t>
  </si>
  <si>
    <t>5805 METROPOLITAN AVE, 1ST FL</t>
  </si>
  <si>
    <t>SrushtiVanjariMsed</t>
  </si>
  <si>
    <t>VANJARI SRUSHTI</t>
  </si>
  <si>
    <t>ChristineHolmes</t>
  </si>
  <si>
    <t>HOLMES CHRISTINE</t>
  </si>
  <si>
    <t>JillLederman</t>
  </si>
  <si>
    <t>LEDERMAN JILL</t>
  </si>
  <si>
    <t>719 DRIGGS AVE, APT 3</t>
  </si>
  <si>
    <t>KimberlyDaza</t>
  </si>
  <si>
    <t>DAZA KIMBERLY</t>
  </si>
  <si>
    <t>590 AVENUE OF THE AMERICAS FL AVENUE11</t>
  </si>
  <si>
    <t>CoryRobbins</t>
  </si>
  <si>
    <t>ROBBINS CORY MR.</t>
  </si>
  <si>
    <t>JaymeHersh</t>
  </si>
  <si>
    <t>HERSH JAYME</t>
  </si>
  <si>
    <t>40 PARK AVENUE, 9F</t>
  </si>
  <si>
    <t>LauraJJones</t>
  </si>
  <si>
    <t>JONES LAURA</t>
  </si>
  <si>
    <t>ZairaFernandez</t>
  </si>
  <si>
    <t>FERNANDEZ ZAIRA</t>
  </si>
  <si>
    <t>QuavonnaJerffries</t>
  </si>
  <si>
    <t>JEFFRIES QUAVONNA</t>
  </si>
  <si>
    <t>TaraBenjamin</t>
  </si>
  <si>
    <t>BENJAMIN TARA</t>
  </si>
  <si>
    <t>MarisSchwartz</t>
  </si>
  <si>
    <t>SCHWARTZ MARIS</t>
  </si>
  <si>
    <t>590 6TH AVE FL 11</t>
  </si>
  <si>
    <t>AlbaUrena</t>
  </si>
  <si>
    <t>URENA ALBA</t>
  </si>
  <si>
    <t>SamuelEspinosa</t>
  </si>
  <si>
    <t>ESPINOSA SAMUEL</t>
  </si>
  <si>
    <t>SugeyLara</t>
  </si>
  <si>
    <t>LARA SUGEY</t>
  </si>
  <si>
    <t>OlumideOsoba</t>
  </si>
  <si>
    <t>E0218192</t>
  </si>
  <si>
    <t>OSOBA OLUMIDE OBAFUNMILAYO</t>
  </si>
  <si>
    <t>OSOBA OLUMIDE DR.</t>
  </si>
  <si>
    <t>493 MARCY AVE</t>
  </si>
  <si>
    <t>ThomasIzquierdo</t>
  </si>
  <si>
    <t>E0193575</t>
  </si>
  <si>
    <t>IZQUIERDO THOMAS JOEL MD</t>
  </si>
  <si>
    <t>IZQUIERDO THOMAS DR.</t>
  </si>
  <si>
    <t>IZQUIERDO THOMAS J</t>
  </si>
  <si>
    <t>37-57 91 ST</t>
  </si>
  <si>
    <t>AntoinetteAnthony</t>
  </si>
  <si>
    <t>E0127719</t>
  </si>
  <si>
    <t>ANTHONY ANTOINETTE MD</t>
  </si>
  <si>
    <t>ANTHONY ANTOINETTE</t>
  </si>
  <si>
    <t>AlixDufresne</t>
  </si>
  <si>
    <t>E0213796</t>
  </si>
  <si>
    <t>DUFRESNE ALIX MD PC</t>
  </si>
  <si>
    <t>DUFRESNE ALIX</t>
  </si>
  <si>
    <t>1166 EASTERN PKWY</t>
  </si>
  <si>
    <t>ShalomBuchbinder</t>
  </si>
  <si>
    <t>E0210168</t>
  </si>
  <si>
    <t>BUCHBINDER SHALOM S MD</t>
  </si>
  <si>
    <t>BUCHBINDER SHALOM DR.</t>
  </si>
  <si>
    <t>KennethOng</t>
  </si>
  <si>
    <t>E0177057</t>
  </si>
  <si>
    <t>ONG KENNETH MD</t>
  </si>
  <si>
    <t>ONG KENNETH</t>
  </si>
  <si>
    <t>MichellineMorency</t>
  </si>
  <si>
    <t>mmorency@homecareny.org</t>
  </si>
  <si>
    <t>16East40thSt.12thFl</t>
  </si>
  <si>
    <t>LasisiDahunsi</t>
  </si>
  <si>
    <t>HiromiDotoratos</t>
  </si>
  <si>
    <t>NicolaeBarbulescu</t>
  </si>
  <si>
    <t>BARBULESCU NICOLAE</t>
  </si>
  <si>
    <t>MimiMaulella</t>
  </si>
  <si>
    <t>E0118029</t>
  </si>
  <si>
    <t>MAULELLA MIMI CNM</t>
  </si>
  <si>
    <t>MAULELLA MIMI MS.</t>
  </si>
  <si>
    <t>YvetteByer-Henry</t>
  </si>
  <si>
    <t>E0081885</t>
  </si>
  <si>
    <t>BYER-HENRY YVETTE ORETA  CNM</t>
  </si>
  <si>
    <t>BYER HENRY YVETTE</t>
  </si>
  <si>
    <t>BYER-HENRY YVETTE ORETA</t>
  </si>
  <si>
    <t>AmyRosenthal</t>
  </si>
  <si>
    <t>E0046917</t>
  </si>
  <si>
    <t>ROSENTHAL AMY I CNM</t>
  </si>
  <si>
    <t>ROSENTHAL AMY</t>
  </si>
  <si>
    <t>OdessaFynn</t>
  </si>
  <si>
    <t>E0327825</t>
  </si>
  <si>
    <t>FYNN ODESSA</t>
  </si>
  <si>
    <t>FYNN ODESSA MS.</t>
  </si>
  <si>
    <t>4711 CHURCH AVE</t>
  </si>
  <si>
    <t>MaryamMirzaagha</t>
  </si>
  <si>
    <t>E0369196</t>
  </si>
  <si>
    <t>MIRZAGA MARIAM</t>
  </si>
  <si>
    <t>MIRZAAGHA MARYAM</t>
  </si>
  <si>
    <t>LaurieBrucia</t>
  </si>
  <si>
    <t>E0342989</t>
  </si>
  <si>
    <t>BRUCIA LAURIE JANE</t>
  </si>
  <si>
    <t>BRUCIA LAURIE MS.</t>
  </si>
  <si>
    <t>CarlosDurand</t>
  </si>
  <si>
    <t>E0035932</t>
  </si>
  <si>
    <t>DURAND-MENCIA CARLOS FELIPE</t>
  </si>
  <si>
    <t>DURAND CARLOS</t>
  </si>
  <si>
    <t>AlanNewmark</t>
  </si>
  <si>
    <t>E0239446</t>
  </si>
  <si>
    <t>NEWMARK ALAN JAY DPM</t>
  </si>
  <si>
    <t>NEWMARK ALAN DR.</t>
  </si>
  <si>
    <t>372 KINGSTON AVE</t>
  </si>
  <si>
    <t>OrlandoGonzalez,MD</t>
  </si>
  <si>
    <t>E0188844</t>
  </si>
  <si>
    <t>GONZALEZ ORLANDO JR MD</t>
  </si>
  <si>
    <t>(917) 886-9585</t>
  </si>
  <si>
    <t>mundo@si.rr.com</t>
  </si>
  <si>
    <t>GONZALEZ ORLANDO DR.</t>
  </si>
  <si>
    <t>78 TODT HILL RD STE 107</t>
  </si>
  <si>
    <t>NeilGrafstein,MD</t>
  </si>
  <si>
    <t>E0009152</t>
  </si>
  <si>
    <t>GRAFSTEIN NEIL H MD</t>
  </si>
  <si>
    <t>(917) 428-1914</t>
  </si>
  <si>
    <t>neil.grafstein@mountsinai.org</t>
  </si>
  <si>
    <t>GRAFSTEIN NEIL</t>
  </si>
  <si>
    <t>GRAFSTEIN NEIL H</t>
  </si>
  <si>
    <t>JudithKahn,MD</t>
  </si>
  <si>
    <t>(718) 791-3847</t>
  </si>
  <si>
    <t>jukahn@ipc-hub.com</t>
  </si>
  <si>
    <t>BarbaraKoppel,MD</t>
  </si>
  <si>
    <t>(914) 646-9671</t>
  </si>
  <si>
    <t>bsk0909@aol.com</t>
  </si>
  <si>
    <t>Bocchieri-BustrosElisa</t>
  </si>
  <si>
    <t>ebocchieri@ipc-hub.com</t>
  </si>
  <si>
    <t>BoczkoStanley</t>
  </si>
  <si>
    <t>(212) 628-1800</t>
  </si>
  <si>
    <t>BorohovRozalia</t>
  </si>
  <si>
    <t>roza284@yahoo.com</t>
  </si>
  <si>
    <t>BoucherLisa</t>
  </si>
  <si>
    <t>boucherpac@gmail.com</t>
  </si>
  <si>
    <t>BressnerRobert</t>
  </si>
  <si>
    <t>Ghoshal,Piya</t>
  </si>
  <si>
    <t>(631) 264-8600</t>
  </si>
  <si>
    <t>ghoshalmdpc@optonline.net</t>
  </si>
  <si>
    <t>Graff,Jessica</t>
  </si>
  <si>
    <t>(631) 587-0940</t>
  </si>
  <si>
    <t>drsaldo@hotmail.com</t>
  </si>
  <si>
    <t>Gudesblatt,Mark</t>
  </si>
  <si>
    <t>(631) 730-3458</t>
  </si>
  <si>
    <t>RenataShiloah,RD</t>
  </si>
  <si>
    <t>SHILOAH RENATA</t>
  </si>
  <si>
    <t>BettyNadby,CSW</t>
  </si>
  <si>
    <t>E0022389</t>
  </si>
  <si>
    <t>NADBY BETTY</t>
  </si>
  <si>
    <t>SylviaAleman,CSW</t>
  </si>
  <si>
    <t>E0345657</t>
  </si>
  <si>
    <t>ALEMAN SYLVIA</t>
  </si>
  <si>
    <t>ALEMAN SYLVIA MRS.</t>
  </si>
  <si>
    <t>DebraBerg</t>
  </si>
  <si>
    <t>AliceLam</t>
  </si>
  <si>
    <t>ToniOtello</t>
  </si>
  <si>
    <t>MarvinTeich</t>
  </si>
  <si>
    <t>SandraNieves-Rosado</t>
  </si>
  <si>
    <t>ElliotI.Schwartz</t>
  </si>
  <si>
    <t>E0182978</t>
  </si>
  <si>
    <t>SCHWARTZ ELLIOT I MD P C</t>
  </si>
  <si>
    <t>(516) 286-0094</t>
  </si>
  <si>
    <t>eschwartz@archcare.org</t>
  </si>
  <si>
    <t>SCHWARTZ ELLIOT DR.</t>
  </si>
  <si>
    <t>10 SAINT PAULS PL</t>
  </si>
  <si>
    <t>MemoudouAbalola</t>
  </si>
  <si>
    <t>(212) 222-5615</t>
  </si>
  <si>
    <t>maba1972@msn.com</t>
  </si>
  <si>
    <t>ABALOLA MEMOUDOU</t>
  </si>
  <si>
    <t>230 W 113TH ST APT 3D</t>
  </si>
  <si>
    <t>DymphnaM.Gilhooley</t>
  </si>
  <si>
    <t>E0366324</t>
  </si>
  <si>
    <t>GILHOOLEY DYMPHNA</t>
  </si>
  <si>
    <t>(917) 562-0730</t>
  </si>
  <si>
    <t>dgilhooley@archcare.org</t>
  </si>
  <si>
    <t>GILHOOLEY DYMPHNA MS.</t>
  </si>
  <si>
    <t>MarleneMorrow,M.S.,CCC-SLP</t>
  </si>
  <si>
    <t>E0455549</t>
  </si>
  <si>
    <t>MORROW MARLENE CATHERINE</t>
  </si>
  <si>
    <t>MORROW MARLENE</t>
  </si>
  <si>
    <t>KristinSgroi,M.A.,CCC-SLP</t>
  </si>
  <si>
    <t>E0371337</t>
  </si>
  <si>
    <t>SGROI KRISTIN MARIE</t>
  </si>
  <si>
    <t>SGROI KRISTIN</t>
  </si>
  <si>
    <t>E0198424</t>
  </si>
  <si>
    <t>SWISTEL DANIEL GEORGE      MD</t>
  </si>
  <si>
    <t>DANIELSWISTEL</t>
  </si>
  <si>
    <t>SWISTEL DANIEL</t>
  </si>
  <si>
    <t>114 AMSTERDAM AVE</t>
  </si>
  <si>
    <t>PatriciaClark</t>
  </si>
  <si>
    <t>AshleyConnell</t>
  </si>
  <si>
    <t>E0140962</t>
  </si>
  <si>
    <t>SHINNAR MEIR MD</t>
  </si>
  <si>
    <t>MEIRSHINNAR</t>
  </si>
  <si>
    <t>SHINNAR MEIR DR.</t>
  </si>
  <si>
    <t>E0004817</t>
  </si>
  <si>
    <t>KORY PIERRE</t>
  </si>
  <si>
    <t>PIERREKORY</t>
  </si>
  <si>
    <t>KORY PIERRE DR.</t>
  </si>
  <si>
    <t>KORY PIERRE DANIEL MD</t>
  </si>
  <si>
    <t>E0435146</t>
  </si>
  <si>
    <t>MACQUEEN CORALIE</t>
  </si>
  <si>
    <t>CORALIEMACQUEEN</t>
  </si>
  <si>
    <t>E0364560</t>
  </si>
  <si>
    <t>SHISHLOV KIRILL SERGEYEVICH</t>
  </si>
  <si>
    <t>KirillShishlov</t>
  </si>
  <si>
    <t>SHISHLOV KIRILL DR.</t>
  </si>
  <si>
    <t>E0299476</t>
  </si>
  <si>
    <t>STIMOLA AUBREY NOELLE RPA</t>
  </si>
  <si>
    <t>AubreyStimola-Ryan</t>
  </si>
  <si>
    <t>RYAN AUBREY</t>
  </si>
  <si>
    <t>RYAN AUBREY NOELLE</t>
  </si>
  <si>
    <t>E0308964</t>
  </si>
  <si>
    <t>KAREN MIRIAM GLUCK</t>
  </si>
  <si>
    <t>KarenGluck</t>
  </si>
  <si>
    <t>GLUCK KAREN DR.</t>
  </si>
  <si>
    <t>GLUCK KAREN MIRIAM</t>
  </si>
  <si>
    <t>E0308919</t>
  </si>
  <si>
    <t>SHARIAT ALI NIMA</t>
  </si>
  <si>
    <t>AliNima</t>
  </si>
  <si>
    <t>SHARIAT ALI</t>
  </si>
  <si>
    <t>E0335139</t>
  </si>
  <si>
    <t>SIADECKI SEBASTIAN DANIEL</t>
  </si>
  <si>
    <t>SebastianSiadecki</t>
  </si>
  <si>
    <t>SIADECKI SEBASTIAN DR.</t>
  </si>
  <si>
    <t>WilliamFonfeder</t>
  </si>
  <si>
    <t>E0133894</t>
  </si>
  <si>
    <t>FONFEDER WILLIAM</t>
  </si>
  <si>
    <t>1472-53RD ST</t>
  </si>
  <si>
    <t>CapalboRalph</t>
  </si>
  <si>
    <t>(718) 892-7171</t>
  </si>
  <si>
    <t>drralphcapalbo@aol.com</t>
  </si>
  <si>
    <t>ChenVivian</t>
  </si>
  <si>
    <t>(718) 808-3089</t>
  </si>
  <si>
    <t>vchen@optum.com</t>
  </si>
  <si>
    <t>Shpak,Mikhail</t>
  </si>
  <si>
    <t>(718) 975-5195</t>
  </si>
  <si>
    <t>kaluga1962@aol.com</t>
  </si>
  <si>
    <t>Shif,Mark</t>
  </si>
  <si>
    <t>(917) 584-0032</t>
  </si>
  <si>
    <t>DrMShif@gmail.com</t>
  </si>
  <si>
    <t>Lipat,Portia</t>
  </si>
  <si>
    <t>(718) 644-4992</t>
  </si>
  <si>
    <t>plipatfnp@gmail.com</t>
  </si>
  <si>
    <t>Shapiro,Mikhail</t>
  </si>
  <si>
    <t>E0426673</t>
  </si>
  <si>
    <t>NEW CONCEPT REHABILITATION MEDICINE</t>
  </si>
  <si>
    <t>(646) 207-0046</t>
  </si>
  <si>
    <t>NEW CONCEPT REHABILITATION MEDICINE PC</t>
  </si>
  <si>
    <t>Kleyman,Emily</t>
  </si>
  <si>
    <t>(917) 660-0250</t>
  </si>
  <si>
    <t>Oyiborhoro,John</t>
  </si>
  <si>
    <t>(917) 319-1981</t>
  </si>
  <si>
    <t>Khoury,Nidal</t>
  </si>
  <si>
    <t>(718) 568-7395</t>
  </si>
  <si>
    <t>Flamer,Harold,M.D.</t>
  </si>
  <si>
    <t>(347) 416-2015</t>
  </si>
  <si>
    <t>Shustarovich,Alla,M.D.</t>
  </si>
  <si>
    <t>(646) 322-1070</t>
  </si>
  <si>
    <t>Shukurova,Zukhra,M.D.</t>
  </si>
  <si>
    <t>(917) 312-0059</t>
  </si>
  <si>
    <t>Volfinzon,Leonid,M.D.</t>
  </si>
  <si>
    <t>(917) 838-2544</t>
  </si>
  <si>
    <t>GeorgeNoumi</t>
  </si>
  <si>
    <t>E0009127</t>
  </si>
  <si>
    <t>NOUMI GEORGE MD</t>
  </si>
  <si>
    <t>NOUMI GEORGE DR.</t>
  </si>
  <si>
    <t>NOUMI GEORGE</t>
  </si>
  <si>
    <t>630 -59 STREET</t>
  </si>
  <si>
    <t>KannanMuralikrishnan</t>
  </si>
  <si>
    <t>E0014258</t>
  </si>
  <si>
    <t>MURALIKRISHNAN KANNAN</t>
  </si>
  <si>
    <t>MURALIKRISHNAN KANNAN DR.</t>
  </si>
  <si>
    <t>VictoriaShapiro</t>
  </si>
  <si>
    <t>E0013315</t>
  </si>
  <si>
    <t>SHAPIRO VICTORIA DO</t>
  </si>
  <si>
    <t>SHAPIRO VICTORIA DR.</t>
  </si>
  <si>
    <t>IrinaErlikh</t>
  </si>
  <si>
    <t>E0002604</t>
  </si>
  <si>
    <t>ERLIKH IRINA V</t>
  </si>
  <si>
    <t>ERLIKH IRINA</t>
  </si>
  <si>
    <t>JosephCardinale</t>
  </si>
  <si>
    <t>E0286694</t>
  </si>
  <si>
    <t>CARDINALE JOSEPH A MD</t>
  </si>
  <si>
    <t>CARDINALE JOSEPH</t>
  </si>
  <si>
    <t>CARDINALE JOSEPH ALBERT MD</t>
  </si>
  <si>
    <t>WilliamSmith</t>
  </si>
  <si>
    <t>AnitaSchultz</t>
  </si>
  <si>
    <t>TierBeatrice</t>
  </si>
  <si>
    <t>btier@ipc-hub.com</t>
  </si>
  <si>
    <t>KellyGreen,MHC</t>
  </si>
  <si>
    <t>VincentThanchan,OTR/L/</t>
  </si>
  <si>
    <t>E0342260</t>
  </si>
  <si>
    <t>THANCHAN VINCENT CHAKKU</t>
  </si>
  <si>
    <t>THANCHAN VINCENT</t>
  </si>
  <si>
    <t>CaryEnglish</t>
  </si>
  <si>
    <t>E0191594</t>
  </si>
  <si>
    <t>ENGLISH CARY MD</t>
  </si>
  <si>
    <t>ENGLISH CARY</t>
  </si>
  <si>
    <t>ENGLISH CARY M</t>
  </si>
  <si>
    <t>650 FULTON ST</t>
  </si>
  <si>
    <t>DollyManvar</t>
  </si>
  <si>
    <t>E0221765</t>
  </si>
  <si>
    <t>MANVAR DOLLY B             MD</t>
  </si>
  <si>
    <t>MANVAR DOLLY DR.</t>
  </si>
  <si>
    <t>6414 BAY PKWY</t>
  </si>
  <si>
    <t>BernardRimpel</t>
  </si>
  <si>
    <t>E0217701</t>
  </si>
  <si>
    <t>RIMPEL BERNARD             MD</t>
  </si>
  <si>
    <t>RIMPEL BERNARD</t>
  </si>
  <si>
    <t>JenniferGrabler</t>
  </si>
  <si>
    <t>GRABLER JENNIFER</t>
  </si>
  <si>
    <t>84 CALVERT AVE W</t>
  </si>
  <si>
    <t>E0372964</t>
  </si>
  <si>
    <t>KABAN NICOLE LARA</t>
  </si>
  <si>
    <t>NicoleKaban</t>
  </si>
  <si>
    <t>KABAN NICOLE</t>
  </si>
  <si>
    <t>E0321186</t>
  </si>
  <si>
    <t>JUDEH HANI</t>
  </si>
  <si>
    <t>HaniJudeh</t>
  </si>
  <si>
    <t>E0430303</t>
  </si>
  <si>
    <t>LANG STEPHANIE ANN</t>
  </si>
  <si>
    <t>StephanieLang</t>
  </si>
  <si>
    <t>LANG STEPHANIE MISS</t>
  </si>
  <si>
    <t>E0141847</t>
  </si>
  <si>
    <t>HEW PHILLIP A MD</t>
  </si>
  <si>
    <t>PhillipHew</t>
  </si>
  <si>
    <t>HEW PHILLIP</t>
  </si>
  <si>
    <t>NO SHORE U HSP</t>
  </si>
  <si>
    <t>E0348846</t>
  </si>
  <si>
    <t>CHAREN ELLIOT MICHAEL</t>
  </si>
  <si>
    <t>ElliotCharen</t>
  </si>
  <si>
    <t>CHAREN ELLIOT</t>
  </si>
  <si>
    <t>350 E 17TH ST FL 17</t>
  </si>
  <si>
    <t>MariyaYakubov</t>
  </si>
  <si>
    <t>YAKUBOV MARIYA</t>
  </si>
  <si>
    <t>1000 10TH AVE, 2B-07</t>
  </si>
  <si>
    <t>E0285001</t>
  </si>
  <si>
    <t>CARDASIS JOHN</t>
  </si>
  <si>
    <t>JohnCardasis</t>
  </si>
  <si>
    <t>CARDASIS JOHN JAMES</t>
  </si>
  <si>
    <t>AllisonSampson</t>
  </si>
  <si>
    <t>SAMPSON ALLISON</t>
  </si>
  <si>
    <t>164 SUMMIT AVE, C70</t>
  </si>
  <si>
    <t>E0324616</t>
  </si>
  <si>
    <t>SHAH SEJAL K</t>
  </si>
  <si>
    <t>SejalShah</t>
  </si>
  <si>
    <t>SHAH SEJAL DR.</t>
  </si>
  <si>
    <t>SHAH SEJAL KUMUDCHANDRA</t>
  </si>
  <si>
    <t>110 E 55TH ST</t>
  </si>
  <si>
    <t>E0354134</t>
  </si>
  <si>
    <t>PAL AASTHA</t>
  </si>
  <si>
    <t>AasthaPal</t>
  </si>
  <si>
    <t>36 W 60TH ST</t>
  </si>
  <si>
    <t>JessicaFleischer-Black</t>
  </si>
  <si>
    <t>E0353970</t>
  </si>
  <si>
    <t>LUJACK ANTHONY M</t>
  </si>
  <si>
    <t>AnthonyLujack</t>
  </si>
  <si>
    <t>LUJACK ANTHONY DR.</t>
  </si>
  <si>
    <t>LUJACK ANTHONY MARK</t>
  </si>
  <si>
    <t>145 E 15TH ST APT 1F</t>
  </si>
  <si>
    <t>E0337883</t>
  </si>
  <si>
    <t>BAIDUC BETTINA</t>
  </si>
  <si>
    <t>BettinaBaiduc</t>
  </si>
  <si>
    <t>CHRYSOFAKIS-BAIDUC BETTINA DR.</t>
  </si>
  <si>
    <t>BAIDUC BETTINA YVONNE</t>
  </si>
  <si>
    <t>305 W END AVE</t>
  </si>
  <si>
    <t>E0050547</t>
  </si>
  <si>
    <t>LEWIS DAWNETTE ANN-MARIE MD</t>
  </si>
  <si>
    <t>DawnetteLewis</t>
  </si>
  <si>
    <t>LEWIS DAWNETTE</t>
  </si>
  <si>
    <t>CilinPhilip</t>
  </si>
  <si>
    <t>PHILIP CILIN MR.</t>
  </si>
  <si>
    <t>PatrickLeblanc</t>
  </si>
  <si>
    <t>E0162641</t>
  </si>
  <si>
    <t>LEBLANC PATRICK ELIE</t>
  </si>
  <si>
    <t>LEBLANC PATRICK DR.</t>
  </si>
  <si>
    <t>THE BROOKLYN HOSP</t>
  </si>
  <si>
    <t>AlisaMilman</t>
  </si>
  <si>
    <t>E0203080</t>
  </si>
  <si>
    <t>MILMAN ALISA               MD</t>
  </si>
  <si>
    <t>MILMAN ALISA</t>
  </si>
  <si>
    <t>BRIGHTON 6TH MED</t>
  </si>
  <si>
    <t>MarlonSeliger</t>
  </si>
  <si>
    <t>E0165370</t>
  </si>
  <si>
    <t>SELIGER MARLON S MD</t>
  </si>
  <si>
    <t>SELIGER MARLON</t>
  </si>
  <si>
    <t>LICH DEPT NEUROLOGY</t>
  </si>
  <si>
    <t>ElizabethGuevara</t>
  </si>
  <si>
    <t>E0115546</t>
  </si>
  <si>
    <t>GUEVARA ELIZABETH</t>
  </si>
  <si>
    <t>GUEVARA ELIZABETH D L A</t>
  </si>
  <si>
    <t>JeanFord</t>
  </si>
  <si>
    <t>E0185713</t>
  </si>
  <si>
    <t>FORD JEAN GUILLAUME MD</t>
  </si>
  <si>
    <t>FORD JEAN</t>
  </si>
  <si>
    <t>FORD JEAN GUILLAUME</t>
  </si>
  <si>
    <t>PushplataSiroya</t>
  </si>
  <si>
    <t>E0194120</t>
  </si>
  <si>
    <t>SIROYA PUSHPLATA B MD</t>
  </si>
  <si>
    <t>SIROYA PUSHPLATA DR.</t>
  </si>
  <si>
    <t>DPO</t>
  </si>
  <si>
    <t>JamesPeloquen</t>
  </si>
  <si>
    <t>E0179687</t>
  </si>
  <si>
    <t>PELOQUEN JAMES LLOYD MD</t>
  </si>
  <si>
    <t>PELOQUEN JAMES DR.</t>
  </si>
  <si>
    <t>EliSerur</t>
  </si>
  <si>
    <t>E0176705</t>
  </si>
  <si>
    <t>RICHMOND GYNECOLOGIC ONCOLOGY PC</t>
  </si>
  <si>
    <t>SERUR ELI MR.</t>
  </si>
  <si>
    <t>SERUR ELI</t>
  </si>
  <si>
    <t>SUNY HSCB</t>
  </si>
  <si>
    <t>RichardPearl</t>
  </si>
  <si>
    <t>E0251689</t>
  </si>
  <si>
    <t>PEARL RICHARD E MD</t>
  </si>
  <si>
    <t>PEARL RICHARD DR.</t>
  </si>
  <si>
    <t>333 E 56TH ST</t>
  </si>
  <si>
    <t>E0336606</t>
  </si>
  <si>
    <t>DURANGO ALEJANDRA</t>
  </si>
  <si>
    <t>ALEJANDRADURANGO</t>
  </si>
  <si>
    <t>DURANGO ALEJANDRA DR.</t>
  </si>
  <si>
    <t>1 GUSTAVE L LEVY PL # 1268</t>
  </si>
  <si>
    <t>E0341857</t>
  </si>
  <si>
    <t>PATEL DEEPTI DEV</t>
  </si>
  <si>
    <t>DeeptiPatel</t>
  </si>
  <si>
    <t>PATEL DEEPTI</t>
  </si>
  <si>
    <t>E0356270</t>
  </si>
  <si>
    <t>LASKOWSKI LARISSA KIM</t>
  </si>
  <si>
    <t>LarissaLaskowski</t>
  </si>
  <si>
    <t>LASKOWSKI LARISSA MISS</t>
  </si>
  <si>
    <t>E0286118</t>
  </si>
  <si>
    <t>TORNATORE ANGELA</t>
  </si>
  <si>
    <t>TornatoreAngela</t>
  </si>
  <si>
    <t>TORNATORE ANGELA ANNE</t>
  </si>
  <si>
    <t>1615 MADISON AVE</t>
  </si>
  <si>
    <t>E0222403</t>
  </si>
  <si>
    <t>ROSENTHAL KENNETH J        MD</t>
  </si>
  <si>
    <t>KennethRosenthal</t>
  </si>
  <si>
    <t>ROSENTHAL KENNETH</t>
  </si>
  <si>
    <t>E0347150</t>
  </si>
  <si>
    <t>DELROSARIO EDUARDO SANTOS</t>
  </si>
  <si>
    <t>EduardoDel</t>
  </si>
  <si>
    <t>DEL ROSARIO EDUARDO</t>
  </si>
  <si>
    <t>10 UNION SQ E # 2Q2R</t>
  </si>
  <si>
    <t>E0155800</t>
  </si>
  <si>
    <t>CIECHORSKA MARIA  MD</t>
  </si>
  <si>
    <t>MariaCiechorska</t>
  </si>
  <si>
    <t>CIECHORSKA MARIA DR.</t>
  </si>
  <si>
    <t>ST LUKES HOSP-ED</t>
  </si>
  <si>
    <t>E0133222</t>
  </si>
  <si>
    <t>ELLANT JONATHAN PHILIP MD</t>
  </si>
  <si>
    <t>JonathanEllant</t>
  </si>
  <si>
    <t>ELLANT JONATHAN</t>
  </si>
  <si>
    <t>E0339265</t>
  </si>
  <si>
    <t>ALI TAHERA</t>
  </si>
  <si>
    <t>TaheraAli</t>
  </si>
  <si>
    <t>324 PALISADE AVE</t>
  </si>
  <si>
    <t>E0301661</t>
  </si>
  <si>
    <t>KAZAM TAL MANOR</t>
  </si>
  <si>
    <t>TalKazam</t>
  </si>
  <si>
    <t>KAZAM TAL DR.</t>
  </si>
  <si>
    <t>E0114159</t>
  </si>
  <si>
    <t>BAXTER DANIEL JAY MD</t>
  </si>
  <si>
    <t>DanielBaxter</t>
  </si>
  <si>
    <t>BAXTER DANIEL</t>
  </si>
  <si>
    <t>E0161314</t>
  </si>
  <si>
    <t>ANGELO G PILLA</t>
  </si>
  <si>
    <t>AngeloPilla</t>
  </si>
  <si>
    <t>PILLA ANGELO DR.</t>
  </si>
  <si>
    <t>CABRINI MED CENTER</t>
  </si>
  <si>
    <t>HowardReifer</t>
  </si>
  <si>
    <t>E0078221</t>
  </si>
  <si>
    <t>HOWARD J REIFER DME</t>
  </si>
  <si>
    <t>REIFER HOWARD MR.</t>
  </si>
  <si>
    <t>REIFER HOWARD JAY</t>
  </si>
  <si>
    <t>APT #5A</t>
  </si>
  <si>
    <t>SumitDharia</t>
  </si>
  <si>
    <t>E0040758</t>
  </si>
  <si>
    <t>DHARIA SUMIT SHAILESH DPM</t>
  </si>
  <si>
    <t>DHARIA SUMIT DR.</t>
  </si>
  <si>
    <t>DHARIA SUMIT SHAILESH</t>
  </si>
  <si>
    <t>E0039028</t>
  </si>
  <si>
    <t>GULEYUPOGLU NILUFER A MD</t>
  </si>
  <si>
    <t>NILUFERGULEYUPOGLU</t>
  </si>
  <si>
    <t>GULEYUPOGLU NILUFER</t>
  </si>
  <si>
    <t>E0274624</t>
  </si>
  <si>
    <t>CORTELL STANLEY            MD</t>
  </si>
  <si>
    <t>STANLEYCORTELL</t>
  </si>
  <si>
    <t>CORTELL STANLEY DR.</t>
  </si>
  <si>
    <t>E0039512</t>
  </si>
  <si>
    <t>CHEUNG BARBARA A</t>
  </si>
  <si>
    <t>BARBARACHEUNG</t>
  </si>
  <si>
    <t>CHEUNG BARBARA</t>
  </si>
  <si>
    <t>E0217823</t>
  </si>
  <si>
    <t>MEIER DIANE EVE            MD</t>
  </si>
  <si>
    <t>DIANEMEIER</t>
  </si>
  <si>
    <t>MEIER DIANE</t>
  </si>
  <si>
    <t>MEIER DIANE EVE</t>
  </si>
  <si>
    <t>GERIATRIC MED ASSOC</t>
  </si>
  <si>
    <t>E0152720</t>
  </si>
  <si>
    <t>TAN DORIS UY MD</t>
  </si>
  <si>
    <t>DORISTAN</t>
  </si>
  <si>
    <t>TAN DORIS DR.</t>
  </si>
  <si>
    <t>E0127729</t>
  </si>
  <si>
    <t>ROMANOFF ROBERT</t>
  </si>
  <si>
    <t>ROBERTMROMANOFFMDPC</t>
  </si>
  <si>
    <t>ROBERT M ROMANOFF MD PC</t>
  </si>
  <si>
    <t>Romanoff Robert</t>
  </si>
  <si>
    <t>E0240057</t>
  </si>
  <si>
    <t>TUPPER THOMAS V            MD</t>
  </si>
  <si>
    <t>THOMASTUPPER</t>
  </si>
  <si>
    <t>TUPPER THOMAS DR.</t>
  </si>
  <si>
    <t>333 W 51ST ST</t>
  </si>
  <si>
    <t>E0192338</t>
  </si>
  <si>
    <t>MENIKOFF HOWARD MD</t>
  </si>
  <si>
    <t>HOWARDMENIKOFF</t>
  </si>
  <si>
    <t>MENIKOFF HOWARD</t>
  </si>
  <si>
    <t>1321 E 7TH ST</t>
  </si>
  <si>
    <t>E0160540</t>
  </si>
  <si>
    <t>RESTA-FLARER FRANCESCO MD</t>
  </si>
  <si>
    <t>FRANCESCORESTA-FLARER</t>
  </si>
  <si>
    <t>E0001586</t>
  </si>
  <si>
    <t>INDRANIPERSAUD</t>
  </si>
  <si>
    <t>E0258705</t>
  </si>
  <si>
    <t>WERTER RONALD M DPM</t>
  </si>
  <si>
    <t>RONALDWERTER</t>
  </si>
  <si>
    <t>WERTER RONALD DR.</t>
  </si>
  <si>
    <t>RashidaKomal</t>
  </si>
  <si>
    <t>E0295339</t>
  </si>
  <si>
    <t>KOMAL RASHIDA</t>
  </si>
  <si>
    <t>(212) 360-3907</t>
  </si>
  <si>
    <t>rkomal@archcare.org</t>
  </si>
  <si>
    <t>RichardLewkowicz</t>
  </si>
  <si>
    <t>E0220819</t>
  </si>
  <si>
    <t>LEWKOWICZ RICHARD          MD</t>
  </si>
  <si>
    <t>(917) 679-5523</t>
  </si>
  <si>
    <t>rihlew@gmail.com</t>
  </si>
  <si>
    <t>LEWKOWICZ RICHARD DR.</t>
  </si>
  <si>
    <t>408 W 57TH ST APT 1E</t>
  </si>
  <si>
    <t>MyriamSterlin</t>
  </si>
  <si>
    <t>E0013960</t>
  </si>
  <si>
    <t>STERLIN MYRIAM</t>
  </si>
  <si>
    <t>(212) 360-3963</t>
  </si>
  <si>
    <t>msterlin@archcare.org</t>
  </si>
  <si>
    <t>1249 5TH AVE # 6</t>
  </si>
  <si>
    <t>NallaVamadevan</t>
  </si>
  <si>
    <t>NallasivamVamadevan</t>
  </si>
  <si>
    <t>(212) 360-3726</t>
  </si>
  <si>
    <t>nvamadevan@archcare.org</t>
  </si>
  <si>
    <t>KhoiLuong,DO</t>
  </si>
  <si>
    <t>(646) 770-7454</t>
  </si>
  <si>
    <t>kluong@archcare.org</t>
  </si>
  <si>
    <t>JeffreyEscher,MD</t>
  </si>
  <si>
    <t>(914) 907-5183</t>
  </si>
  <si>
    <t>jescher@archcare.org</t>
  </si>
  <si>
    <t>RaffaeleGarofalo,MD</t>
  </si>
  <si>
    <t>(917) 902-3738</t>
  </si>
  <si>
    <t>rgarofalo@archcare.org</t>
  </si>
  <si>
    <t>SravanthiChanamolu,MD</t>
  </si>
  <si>
    <t>(917) 748-2502</t>
  </si>
  <si>
    <t>schanamolu@archcare.org</t>
  </si>
  <si>
    <t>FeliciaNebolisa,NP</t>
  </si>
  <si>
    <t>(646) 245-5988</t>
  </si>
  <si>
    <t>fnebolisa@ipc-hub.com</t>
  </si>
  <si>
    <t>E0031914</t>
  </si>
  <si>
    <t>KIM BETTE MD</t>
  </si>
  <si>
    <t>BETTEKIM</t>
  </si>
  <si>
    <t>KIM BETTE DR.</t>
  </si>
  <si>
    <t>E0212397</t>
  </si>
  <si>
    <t>MERRELL WOODSON            MD</t>
  </si>
  <si>
    <t>WOODSONMERRELL</t>
  </si>
  <si>
    <t>MERRELL WOODSON DR.</t>
  </si>
  <si>
    <t>MICHELLESORSCHER</t>
  </si>
  <si>
    <t>SORSCHER MICHELLE</t>
  </si>
  <si>
    <t>1450 MADISON AVE, BOX 1136</t>
  </si>
  <si>
    <t>E0301438</t>
  </si>
  <si>
    <t>GRAU CARMEN</t>
  </si>
  <si>
    <t>MARIADELCARMENGRAU</t>
  </si>
  <si>
    <t>GRAU MARIA DEL CARMEN DR.</t>
  </si>
  <si>
    <t>E0357356</t>
  </si>
  <si>
    <t>ROSS ANNA LOUISE</t>
  </si>
  <si>
    <t>DR.ANNAROSS</t>
  </si>
  <si>
    <t>ROSS ANNA DR.</t>
  </si>
  <si>
    <t>E0277998</t>
  </si>
  <si>
    <t>UNIS GEORGE L PC           MD</t>
  </si>
  <si>
    <t>GEORGEUNIS</t>
  </si>
  <si>
    <t>UNIS GEORGE</t>
  </si>
  <si>
    <t>JacquelineJastram,OTR/L</t>
  </si>
  <si>
    <t>E0344159</t>
  </si>
  <si>
    <t>JASTRAM JACQUELINE CARMEL</t>
  </si>
  <si>
    <t>JASTRAM JACQUELINE</t>
  </si>
  <si>
    <t>AmelMohamedWhiteside,L.M.S.W.</t>
  </si>
  <si>
    <t>MOHAMED-WHITESIDE AMEL</t>
  </si>
  <si>
    <t>SarahEllinger,OTR/L</t>
  </si>
  <si>
    <t>E0343010</t>
  </si>
  <si>
    <t>ELLINGER SARAH ELIZABETH</t>
  </si>
  <si>
    <t>ELLINGER SARAH MS.</t>
  </si>
  <si>
    <t>Santiago,Katheryne</t>
  </si>
  <si>
    <t>SANTIAGO KATHERYNE</t>
  </si>
  <si>
    <t>2733 WESTERVELT AVE APT 2</t>
  </si>
  <si>
    <t>Valentin,Kenia</t>
  </si>
  <si>
    <t>Vasquez,Pedro</t>
  </si>
  <si>
    <t>Auguste,Jean</t>
  </si>
  <si>
    <t>Charles,Shurla</t>
  </si>
  <si>
    <t>Hettesova-KucHana</t>
  </si>
  <si>
    <t>DavidEllenbogen,D.P.M.</t>
  </si>
  <si>
    <t>BETTYNYEIN</t>
  </si>
  <si>
    <t>E0080934</t>
  </si>
  <si>
    <t>TATE DEREK MITCHELL MD</t>
  </si>
  <si>
    <t>DerekTate</t>
  </si>
  <si>
    <t>TATE DEREK DR.</t>
  </si>
  <si>
    <t>NYHMCQ PSYCHIATRY</t>
  </si>
  <si>
    <t>E0210136</t>
  </si>
  <si>
    <t>WARE PRISCILLA J           MD</t>
  </si>
  <si>
    <t>PRISCILLAWARE</t>
  </si>
  <si>
    <t>WARE PRISCILLA</t>
  </si>
  <si>
    <t>WARE PRISCILLA JEAN MD</t>
  </si>
  <si>
    <t>4337 BROADWAY</t>
  </si>
  <si>
    <t>E0334699</t>
  </si>
  <si>
    <t>HUNG KENNETH</t>
  </si>
  <si>
    <t>KENNETHHUNG</t>
  </si>
  <si>
    <t>HUNG KENNETH DR.</t>
  </si>
  <si>
    <t>E0260732</t>
  </si>
  <si>
    <t>GORMAN B DAVID MD</t>
  </si>
  <si>
    <t>BDavid</t>
  </si>
  <si>
    <t>GORMAN B.DAVID DR.</t>
  </si>
  <si>
    <t>GORMAN B DAVID</t>
  </si>
  <si>
    <t>1115 5TH AVE</t>
  </si>
  <si>
    <t>E0242650</t>
  </si>
  <si>
    <t>LEVINE STEWART A MD</t>
  </si>
  <si>
    <t>StewartLevine</t>
  </si>
  <si>
    <t>LEVINE STEWART</t>
  </si>
  <si>
    <t>2634 BELL BLVD</t>
  </si>
  <si>
    <t>MarkGalperin</t>
  </si>
  <si>
    <t>E0293379</t>
  </si>
  <si>
    <t>HONG ALBERT MD</t>
  </si>
  <si>
    <t>AlbertHong</t>
  </si>
  <si>
    <t>HONG ALBERT</t>
  </si>
  <si>
    <t>142 JORALEMON ST STE 7C</t>
  </si>
  <si>
    <t>E0039516</t>
  </si>
  <si>
    <t>CASTILLO RAFAEL A</t>
  </si>
  <si>
    <t>RaphaelCastillo</t>
  </si>
  <si>
    <t>CASTILLO RAPHAEL</t>
  </si>
  <si>
    <t>E0029213</t>
  </si>
  <si>
    <t>SHAW STEPHEN GERARD MD</t>
  </si>
  <si>
    <t>StephenShaw</t>
  </si>
  <si>
    <t>SHAW STEPHEN DR.</t>
  </si>
  <si>
    <t>105 E 63RD ST</t>
  </si>
  <si>
    <t>E0169988</t>
  </si>
  <si>
    <t>LESNEWSKI RUTH F  MD</t>
  </si>
  <si>
    <t>RuthLesnewski</t>
  </si>
  <si>
    <t>LESNEWSKI RUTH DR.</t>
  </si>
  <si>
    <t>E0174370</t>
  </si>
  <si>
    <t>GOLDSTEIN STEVEN C MD</t>
  </si>
  <si>
    <t>StevenGoldstein</t>
  </si>
  <si>
    <t>GOLDSTEIN STEVEN C</t>
  </si>
  <si>
    <t>200 W 54TH ST # 1C</t>
  </si>
  <si>
    <t>ChunWong</t>
  </si>
  <si>
    <t>RASOULI JONATHAN</t>
  </si>
  <si>
    <t>1 GUSTAVE L LEVY PL, MOUNT SINAI MEDICAL CENTER</t>
  </si>
  <si>
    <t>E0141976</t>
  </si>
  <si>
    <t>LEE KYUSANG S MD</t>
  </si>
  <si>
    <t>KyusangLee</t>
  </si>
  <si>
    <t>LEE KYUSANG</t>
  </si>
  <si>
    <t>E0140167</t>
  </si>
  <si>
    <t>GLASSBERG STEPHEN MD</t>
  </si>
  <si>
    <t>StephenGlassberg</t>
  </si>
  <si>
    <t>GLASSBERG STEPHEN</t>
  </si>
  <si>
    <t>E0033737</t>
  </si>
  <si>
    <t>HOFFMANN KARL  DDS</t>
  </si>
  <si>
    <t>KarlHoffmann</t>
  </si>
  <si>
    <t>HOFFMANN-EGOZCUE KARL DR.</t>
  </si>
  <si>
    <t>9203 ROOSEVELT AVE</t>
  </si>
  <si>
    <t>E0184885</t>
  </si>
  <si>
    <t>SOSNER JULIAN MD</t>
  </si>
  <si>
    <t>JULIANSOSNER</t>
  </si>
  <si>
    <t>SOSNER JULIAN</t>
  </si>
  <si>
    <t>E0205864</t>
  </si>
  <si>
    <t>COGHILL ALICE VICTORIA     MD</t>
  </si>
  <si>
    <t>ALICECOGHILL</t>
  </si>
  <si>
    <t>COGHILL ALICE</t>
  </si>
  <si>
    <t>340 SOUTH BROADWAY AVE</t>
  </si>
  <si>
    <t>E0140503</t>
  </si>
  <si>
    <t>KATO KYLE S MD</t>
  </si>
  <si>
    <t>KYLEKATO</t>
  </si>
  <si>
    <t>KATO KYLE DR.</t>
  </si>
  <si>
    <t>E0127355</t>
  </si>
  <si>
    <t>GERVAIS CAROLE E</t>
  </si>
  <si>
    <t>CAROLEGERVAIS</t>
  </si>
  <si>
    <t>GERVAIS CAROLE DR.</t>
  </si>
  <si>
    <t>Gervais Carole E</t>
  </si>
  <si>
    <t>E0193855</t>
  </si>
  <si>
    <t>NUNEZ DOMINGO C</t>
  </si>
  <si>
    <t>DOMINGONUNEZ</t>
  </si>
  <si>
    <t>NUNEZ DOMINGO DR.</t>
  </si>
  <si>
    <t>E0077007</t>
  </si>
  <si>
    <t>DAVIDSON MORTON I</t>
  </si>
  <si>
    <t>MORTONDAVIDSON</t>
  </si>
  <si>
    <t>DAVIDSON MORTON</t>
  </si>
  <si>
    <t>E0158141</t>
  </si>
  <si>
    <t>SENZAMICI CAMILLE MD</t>
  </si>
  <si>
    <t>CAMILLESENZAMICI</t>
  </si>
  <si>
    <t>SENZAMICI CAMILLE</t>
  </si>
  <si>
    <t>E0102245</t>
  </si>
  <si>
    <t>HU KENNETH SHANG MD</t>
  </si>
  <si>
    <t>KENNETHHU</t>
  </si>
  <si>
    <t>HU KENNETH</t>
  </si>
  <si>
    <t>E0056966</t>
  </si>
  <si>
    <t>SMITH BARRY L MD</t>
  </si>
  <si>
    <t>BARRYSMITH</t>
  </si>
  <si>
    <t>E0156437</t>
  </si>
  <si>
    <t>SCELSA STEPHEN N MD</t>
  </si>
  <si>
    <t>STEPHENSCELSA</t>
  </si>
  <si>
    <t>SCELSA STEPHEN</t>
  </si>
  <si>
    <t>Robinson,Marcia</t>
  </si>
  <si>
    <t>JudithWeber,Ph.D.</t>
  </si>
  <si>
    <t>E0343458</t>
  </si>
  <si>
    <t>WEBER JUDITH LIBHABER</t>
  </si>
  <si>
    <t>WEBER JUDITH</t>
  </si>
  <si>
    <t>CorinneSchlam,L.C.S.W.</t>
  </si>
  <si>
    <t>E0342715</t>
  </si>
  <si>
    <t>SCHLAM CORINNE</t>
  </si>
  <si>
    <t>AlmiraSigridGaldo,DPT</t>
  </si>
  <si>
    <t>E0330576</t>
  </si>
  <si>
    <t>ALMIRA SIGRID LAGROSAS GALDO</t>
  </si>
  <si>
    <t>GALDO ALMIRA SIGRID</t>
  </si>
  <si>
    <t>GALDO ALMIRA SIGRID LAGROSAS</t>
  </si>
  <si>
    <t>2542 BOSTON RD STE C</t>
  </si>
  <si>
    <t>KarenFormato,R.D.</t>
  </si>
  <si>
    <t>FORMATO KAREN MS.</t>
  </si>
  <si>
    <t>MarieGarnes</t>
  </si>
  <si>
    <t>AngieGauthier</t>
  </si>
  <si>
    <t>PriyaGhael</t>
  </si>
  <si>
    <t>PedroGonzalez</t>
  </si>
  <si>
    <t>FarzanaAfroza</t>
  </si>
  <si>
    <t>E0338540</t>
  </si>
  <si>
    <t>AFROZA FARZANA</t>
  </si>
  <si>
    <t>LauraChesoni</t>
  </si>
  <si>
    <t>E0338435</t>
  </si>
  <si>
    <t>CHESONI LAURA</t>
  </si>
  <si>
    <t>CHESONI LAURA DR.</t>
  </si>
  <si>
    <t>MohammedChowdhury</t>
  </si>
  <si>
    <t>E0067989</t>
  </si>
  <si>
    <t>CHOWDHURY MOHAMMED SALIM DPM</t>
  </si>
  <si>
    <t>CHOWDHURY MOHAMMED DR.</t>
  </si>
  <si>
    <t>200 MARTINE AVE</t>
  </si>
  <si>
    <t>E0032472</t>
  </si>
  <si>
    <t>DOMEK MACIEJ MD</t>
  </si>
  <si>
    <t>MACIEJDOMEK</t>
  </si>
  <si>
    <t>DOMEK MACIEJ</t>
  </si>
  <si>
    <t>E0001927</t>
  </si>
  <si>
    <t>COHEN SANDRA</t>
  </si>
  <si>
    <t>SANDRACOHEN</t>
  </si>
  <si>
    <t>COHEN SANDRA DR.</t>
  </si>
  <si>
    <t>1 GUSTAVE L LEVY PLA</t>
  </si>
  <si>
    <t>E0048885</t>
  </si>
  <si>
    <t>COZIEN DOMINIQUE A MD</t>
  </si>
  <si>
    <t>MR.DOMINIQUECOZIEN</t>
  </si>
  <si>
    <t>COZIEN DOMINIQUE MR.</t>
  </si>
  <si>
    <t>DEPT NEURO</t>
  </si>
  <si>
    <t>MS.MARIETIME</t>
  </si>
  <si>
    <t>TIME MARIE MS.</t>
  </si>
  <si>
    <t>3201 KINGS HIGHWAY</t>
  </si>
  <si>
    <t>E0040258</t>
  </si>
  <si>
    <t>IGLESIAS ALEJANDRO D MD</t>
  </si>
  <si>
    <t>ALEJANDROIGLESIAS</t>
  </si>
  <si>
    <t>IGLESIAS ALEJANDRO</t>
  </si>
  <si>
    <t>97 AMITY ST FL 3</t>
  </si>
  <si>
    <t>E0092173</t>
  </si>
  <si>
    <t>NAMDAR ISAAC MD</t>
  </si>
  <si>
    <t>ISAACNAMDAR</t>
  </si>
  <si>
    <t>NAMDAR ISAAC</t>
  </si>
  <si>
    <t>E0291039</t>
  </si>
  <si>
    <t>WEN-RAY THOMAS HSU</t>
  </si>
  <si>
    <t>WEN-RAYHSU</t>
  </si>
  <si>
    <t>HSU WEN-RAY</t>
  </si>
  <si>
    <t>HSU WEN-RAY THOMAS  MD</t>
  </si>
  <si>
    <t>301 E 21ST ST STE 1A</t>
  </si>
  <si>
    <t>E0154519</t>
  </si>
  <si>
    <t>KASMIN FRANKLIN E MD</t>
  </si>
  <si>
    <t>FRANKLINKASMIN</t>
  </si>
  <si>
    <t>KASMIN FRANKLIN DR.</t>
  </si>
  <si>
    <t>KASMIN FRANKLIN ETHAN</t>
  </si>
  <si>
    <t>ARTHURDOVE</t>
  </si>
  <si>
    <t>E0070300</t>
  </si>
  <si>
    <t>SAVRANSKY ALLA MD</t>
  </si>
  <si>
    <t>ALLASAVRANSKY</t>
  </si>
  <si>
    <t>SAVRANSKY ALLA DR.</t>
  </si>
  <si>
    <t>E0252634</t>
  </si>
  <si>
    <t>ASSADI CYRUS A             MD</t>
  </si>
  <si>
    <t>CYRUSASSADI</t>
  </si>
  <si>
    <t>ASSADI CYRUS</t>
  </si>
  <si>
    <t>ASSADI CYRUS A MD</t>
  </si>
  <si>
    <t>25 CENTRAL PARK WEST STE 1M</t>
  </si>
  <si>
    <t>WILLIAMCHEUNG</t>
  </si>
  <si>
    <t>E0285887</t>
  </si>
  <si>
    <t>FURMAN MARGARET L</t>
  </si>
  <si>
    <t>MARGARETFURMAN</t>
  </si>
  <si>
    <t>FURMAN MARGARET</t>
  </si>
  <si>
    <t>FURMAN MARGARET L MD</t>
  </si>
  <si>
    <t>10 UNION SQ E STE 2A</t>
  </si>
  <si>
    <t>E0293957</t>
  </si>
  <si>
    <t>KAGEN ALEXANDER</t>
  </si>
  <si>
    <t>ALEXANDERKAGEN</t>
  </si>
  <si>
    <t>KAGEN ALEXANDER DR.</t>
  </si>
  <si>
    <t>KAGEN ALEXANDER CATES MD</t>
  </si>
  <si>
    <t>E0154917</t>
  </si>
  <si>
    <t>LEVINE JEFFREY MD</t>
  </si>
  <si>
    <t>JEFFREYLEVINE</t>
  </si>
  <si>
    <t>BURLING EMERGENCY PC</t>
  </si>
  <si>
    <t>E0100230</t>
  </si>
  <si>
    <t>DRULLINSKY ALEXIX CESAR MD</t>
  </si>
  <si>
    <t>ALEXISDRULLINSKY</t>
  </si>
  <si>
    <t>DRULLINSKY ALEXIS</t>
  </si>
  <si>
    <t>E0025972</t>
  </si>
  <si>
    <t>KIMURA KEIKO MD</t>
  </si>
  <si>
    <t>KEIKOKIMURA</t>
  </si>
  <si>
    <t>KIMURA KEIKO</t>
  </si>
  <si>
    <t>E0032775</t>
  </si>
  <si>
    <t>FEFER JOSE JACOBO MD</t>
  </si>
  <si>
    <t>JOSEFEFER</t>
  </si>
  <si>
    <t>FEFER JOSE</t>
  </si>
  <si>
    <t>LaurenMcElduff,L.C.S.W.</t>
  </si>
  <si>
    <t>E0341620</t>
  </si>
  <si>
    <t>MCELDUFF LAUREN GALLAGHER</t>
  </si>
  <si>
    <t>MCELDUFF LAUREN</t>
  </si>
  <si>
    <t>JennyMcFadden,L.M.S.W.</t>
  </si>
  <si>
    <t>MCFADDEN JENNY MS.</t>
  </si>
  <si>
    <t>Leigh-AnnCario,M.S.</t>
  </si>
  <si>
    <t>CARIO LEIGH-ANN</t>
  </si>
  <si>
    <t>KeithOko,OTR/L</t>
  </si>
  <si>
    <t>E0360130</t>
  </si>
  <si>
    <t>OKO KEITH R</t>
  </si>
  <si>
    <t>OKO KEITH</t>
  </si>
  <si>
    <t>E0092066</t>
  </si>
  <si>
    <t>KATZ CRAIG LAWRENCE MD</t>
  </si>
  <si>
    <t>CRAIGKATZ</t>
  </si>
  <si>
    <t>KATZ CRAIG DR.</t>
  </si>
  <si>
    <t>KATZ CRAIG LAWRENCE</t>
  </si>
  <si>
    <t>E0030616</t>
  </si>
  <si>
    <t>NGUYEN JAMES K</t>
  </si>
  <si>
    <t>JAMESNGUYEN</t>
  </si>
  <si>
    <t>NGUYEN JAMES</t>
  </si>
  <si>
    <t>324 E 23RD ST</t>
  </si>
  <si>
    <t>MimieuxCaesar-Dume,N.P.</t>
  </si>
  <si>
    <t>ElizabethCarpio,N.P.</t>
  </si>
  <si>
    <t>NormanColeburn,M.D.</t>
  </si>
  <si>
    <t>E0173392</t>
  </si>
  <si>
    <t>COLEBURN NORMAN HOPE  MD</t>
  </si>
  <si>
    <t>COLEBURN NORMAN DR.</t>
  </si>
  <si>
    <t>ROOSEVELT HOSP</t>
  </si>
  <si>
    <t>E0082473</t>
  </si>
  <si>
    <t>PRIGOLLINI ALEJANDRO MD</t>
  </si>
  <si>
    <t>ALEJANDROPRIGOLLINI</t>
  </si>
  <si>
    <t>PRIGOLLINI ALEJANDRO DR.</t>
  </si>
  <si>
    <t>E0198141</t>
  </si>
  <si>
    <t>SHAH VIJAYKUMAR PRABHULAL MD</t>
  </si>
  <si>
    <t>VIJAYSHAH</t>
  </si>
  <si>
    <t>SHAH VIJAY</t>
  </si>
  <si>
    <t>E0309064</t>
  </si>
  <si>
    <t>SELITSKY LANA</t>
  </si>
  <si>
    <t>LANASELITSKY</t>
  </si>
  <si>
    <t>SELITSKY LANA DR.</t>
  </si>
  <si>
    <t>E0200370</t>
  </si>
  <si>
    <t>ANDERSON LISA              MD</t>
  </si>
  <si>
    <t>LISAANDERSON</t>
  </si>
  <si>
    <t>ANDERSON LISA</t>
  </si>
  <si>
    <t>HollyGross</t>
  </si>
  <si>
    <t>(631) 543-3250</t>
  </si>
  <si>
    <t>E0295367</t>
  </si>
  <si>
    <t>FARAJ M FAOUR</t>
  </si>
  <si>
    <t>FARAJFAOUR</t>
  </si>
  <si>
    <t>FAOUR FARAJ DR.</t>
  </si>
  <si>
    <t>FAOUR FARAJ M MD</t>
  </si>
  <si>
    <t>E0083441</t>
  </si>
  <si>
    <t>KOSHY NINAN MD</t>
  </si>
  <si>
    <t>NINANKOSHY</t>
  </si>
  <si>
    <t>KOSHY NINAN</t>
  </si>
  <si>
    <t>STE 9A</t>
  </si>
  <si>
    <t>E0055823</t>
  </si>
  <si>
    <t>RICE LAURIE A COCHRAN MD</t>
  </si>
  <si>
    <t>LAURIERICE</t>
  </si>
  <si>
    <t>RICE LAURIE</t>
  </si>
  <si>
    <t>PeterMermelstein</t>
  </si>
  <si>
    <t>MRS.YVONNECRUZ</t>
  </si>
  <si>
    <t>CRUZ YVONNE MRS.</t>
  </si>
  <si>
    <t>1000 10TH AVE STE 2 B</t>
  </si>
  <si>
    <t>E0274999</t>
  </si>
  <si>
    <t>MITCHELL JOHN P            MD</t>
  </si>
  <si>
    <t>JohnMitchell</t>
  </si>
  <si>
    <t>226 W 135TH ST</t>
  </si>
  <si>
    <t>LouisMaisel</t>
  </si>
  <si>
    <t>E0312002</t>
  </si>
  <si>
    <t>CELIS EDGAR</t>
  </si>
  <si>
    <t>EdgarCelis</t>
  </si>
  <si>
    <t>Ruffen,Michael</t>
  </si>
  <si>
    <t>(516) 353-2269</t>
  </si>
  <si>
    <t>Sagar,Sushill</t>
  </si>
  <si>
    <t>(516) 735-5522</t>
  </si>
  <si>
    <t>spscastillo@gmail.com</t>
  </si>
  <si>
    <t>LindaMichelson</t>
  </si>
  <si>
    <t>E0052922</t>
  </si>
  <si>
    <t>MICHELSON LINDA N MD</t>
  </si>
  <si>
    <t>MICHELSON LINDA DR.</t>
  </si>
  <si>
    <t>256B MASON AVENUE</t>
  </si>
  <si>
    <t>MadhaviReddy</t>
  </si>
  <si>
    <t>E0054349</t>
  </si>
  <si>
    <t>REDDY MADHAVI</t>
  </si>
  <si>
    <t>REDDY MADHAVI DR.</t>
  </si>
  <si>
    <t>STE 11E</t>
  </si>
  <si>
    <t>ArashGohari</t>
  </si>
  <si>
    <t>HariPolavarapu</t>
  </si>
  <si>
    <t>E0085826</t>
  </si>
  <si>
    <t>POLAVARAPU HARI KISHAN MD</t>
  </si>
  <si>
    <t>POLAVARAPU HARI</t>
  </si>
  <si>
    <t>333 LAFAYETTE AVE</t>
  </si>
  <si>
    <t>SiavashOkhravi</t>
  </si>
  <si>
    <t>E0083581</t>
  </si>
  <si>
    <t>OKHRAVI SIAVASH STEVE</t>
  </si>
  <si>
    <t>OKHRAVI SIAVASH</t>
  </si>
  <si>
    <t>ADIRONDACK MEDICAL</t>
  </si>
  <si>
    <t>RameshGowda</t>
  </si>
  <si>
    <t>E0029068</t>
  </si>
  <si>
    <t>GOWDA RAMESH M MD</t>
  </si>
  <si>
    <t>GOWDA RAMESH</t>
  </si>
  <si>
    <t>MaheshKrishnaiah</t>
  </si>
  <si>
    <t>E0072306</t>
  </si>
  <si>
    <t>KRISHNAIAH MAHESH KUMAR MD</t>
  </si>
  <si>
    <t>KRISHNAIAH MAHESH</t>
  </si>
  <si>
    <t>APT 11A</t>
  </si>
  <si>
    <t>MichaelRethy</t>
  </si>
  <si>
    <t>E0033080</t>
  </si>
  <si>
    <t>RETHY MICHAEL MD</t>
  </si>
  <si>
    <t>RETHY MICHAEL DR.</t>
  </si>
  <si>
    <t>ChaoChen</t>
  </si>
  <si>
    <t>RosamariaRicci</t>
  </si>
  <si>
    <t>E0372154</t>
  </si>
  <si>
    <t>RICCI ROSAMARIA</t>
  </si>
  <si>
    <t>E0321044</t>
  </si>
  <si>
    <t>SOLIS EDWARD</t>
  </si>
  <si>
    <t>EdwardSolis</t>
  </si>
  <si>
    <t>E0144897</t>
  </si>
  <si>
    <t>MCPHERSON PHILIP E MD</t>
  </si>
  <si>
    <t>MCPHERSON PHILLIP</t>
  </si>
  <si>
    <t>ValentinaBoguslavskaya,N.P.</t>
  </si>
  <si>
    <t>E0377592</t>
  </si>
  <si>
    <t>BOGUSLAVSKAYA VALENTINA</t>
  </si>
  <si>
    <t>BOGUSLAVSKAYA VALENTINA MISS</t>
  </si>
  <si>
    <t>E0130866</t>
  </si>
  <si>
    <t>BENSON CAROLYN MARARET</t>
  </si>
  <si>
    <t>MS.CAROLYNBENSON</t>
  </si>
  <si>
    <t>BENSON CAROLYN MS.</t>
  </si>
  <si>
    <t>E0137376</t>
  </si>
  <si>
    <t>BARRON OTIS ALTON JR MD</t>
  </si>
  <si>
    <t>OTISBARRON</t>
  </si>
  <si>
    <t>BARRON OTIS DR.</t>
  </si>
  <si>
    <t>E0101028</t>
  </si>
  <si>
    <t>DREISINGER NAOMI A MD</t>
  </si>
  <si>
    <t>NAOMIDREISINGER</t>
  </si>
  <si>
    <t>DREISINGER NAOMI</t>
  </si>
  <si>
    <t>E0091433</t>
  </si>
  <si>
    <t>GRABSCHEID ERICA MD</t>
  </si>
  <si>
    <t>ERICAGRABSCHEID</t>
  </si>
  <si>
    <t>GRABSCHEID ERICA</t>
  </si>
  <si>
    <t>BIMC MED DPT</t>
  </si>
  <si>
    <t>E0020379</t>
  </si>
  <si>
    <t>MATAMALA XIMENA ANDREA MD</t>
  </si>
  <si>
    <t>XIMENAMATAMALA</t>
  </si>
  <si>
    <t>MATAMALA XIMENA</t>
  </si>
  <si>
    <t>MARKSULTAN</t>
  </si>
  <si>
    <t>SULTAN MARK DR.</t>
  </si>
  <si>
    <t>1100 PARK AVE</t>
  </si>
  <si>
    <t>E0294331</t>
  </si>
  <si>
    <t>CHOW DESIREE</t>
  </si>
  <si>
    <t>DESIREECHOW</t>
  </si>
  <si>
    <t>E0325598</t>
  </si>
  <si>
    <t>DANILOV TATYANA</t>
  </si>
  <si>
    <t>TATYANADANILOV</t>
  </si>
  <si>
    <t>DANILOV TATYANA DR.</t>
  </si>
  <si>
    <t>E0060603</t>
  </si>
  <si>
    <t>SALIBY AIDA H MD</t>
  </si>
  <si>
    <t>AIDASALIBY</t>
  </si>
  <si>
    <t>SALIBY AIDA</t>
  </si>
  <si>
    <t>SALIBY AIDA HIPPOLYTE</t>
  </si>
  <si>
    <t>DEPT OF ENDOCRINOLOG</t>
  </si>
  <si>
    <t>E0118638</t>
  </si>
  <si>
    <t>GOMEZ TESSA S MD</t>
  </si>
  <si>
    <t>TESSAGOMEZ</t>
  </si>
  <si>
    <t>GOMEZ TESSA</t>
  </si>
  <si>
    <t>E0181403</t>
  </si>
  <si>
    <t>MCCANN PETER D MD</t>
  </si>
  <si>
    <t>PETERMCCANN</t>
  </si>
  <si>
    <t>MCCANN PETER</t>
  </si>
  <si>
    <t>E0216042</t>
  </si>
  <si>
    <t>MENDES DONNA M             MD</t>
  </si>
  <si>
    <t>DONNAMENDES</t>
  </si>
  <si>
    <t>MENDES DONNA</t>
  </si>
  <si>
    <t>E0082373</t>
  </si>
  <si>
    <t>GALUSTYAN SERGEY</t>
  </si>
  <si>
    <t>SERGEYGALUSTYAN</t>
  </si>
  <si>
    <t>GALUSTYAN SERGEY DR.</t>
  </si>
  <si>
    <t>NY PRESBYTERIAN</t>
  </si>
  <si>
    <t>E0004683</t>
  </si>
  <si>
    <t>NOEL CAMILLE</t>
  </si>
  <si>
    <t>CAMILLENOEL</t>
  </si>
  <si>
    <t>NOEL CAMILLE  MARIA MD</t>
  </si>
  <si>
    <t>E0283666</t>
  </si>
  <si>
    <t>PATTON ERIN</t>
  </si>
  <si>
    <t>ERINPATTON</t>
  </si>
  <si>
    <t>E0000542</t>
  </si>
  <si>
    <t>ACHOLONU, JR. UCHENNA</t>
  </si>
  <si>
    <t>UchennaAcholonu</t>
  </si>
  <si>
    <t>ACHOLONU UCHENNA DR.</t>
  </si>
  <si>
    <t>ACHOLONU UCHENNA CLETUS JR MD</t>
  </si>
  <si>
    <t>LorenBarhold</t>
  </si>
  <si>
    <t>BARHOLD LOREN MISS</t>
  </si>
  <si>
    <t>1000 TENTH AVE, ROOSEVELT HOSPITAL</t>
  </si>
  <si>
    <t>E0369302</t>
  </si>
  <si>
    <t>HANNA EMAD</t>
  </si>
  <si>
    <t>EmadHanna</t>
  </si>
  <si>
    <t>HANNA EMAD Z</t>
  </si>
  <si>
    <t>530 NEW BRUNSWICK AVE</t>
  </si>
  <si>
    <t>PERTH AMBOY</t>
  </si>
  <si>
    <t>Akerele,Everisto</t>
  </si>
  <si>
    <t>Chandran,Iyona</t>
  </si>
  <si>
    <t>D'Amore,Joseph</t>
  </si>
  <si>
    <t>Desrosiers,Sergine</t>
  </si>
  <si>
    <t>Dunner,Ricardo</t>
  </si>
  <si>
    <t>Falanagan,Abigail</t>
  </si>
  <si>
    <t>Fisher,Jennifer</t>
  </si>
  <si>
    <t>E0392730</t>
  </si>
  <si>
    <t>FISHER JENNIFER</t>
  </si>
  <si>
    <t>FISHER JENNIFER QUINN</t>
  </si>
  <si>
    <t>Gentes,Meredith</t>
  </si>
  <si>
    <t>Malik,MendisJones</t>
  </si>
  <si>
    <t>Pasternack,Anita</t>
  </si>
  <si>
    <t>Rai,Rohit</t>
  </si>
  <si>
    <t>(516) 661-3245</t>
  </si>
  <si>
    <t>rohittn77@gmail.com</t>
  </si>
  <si>
    <t>Remson,Karen</t>
  </si>
  <si>
    <t>(631) 608-5206</t>
  </si>
  <si>
    <t>Rizzo,Vito</t>
  </si>
  <si>
    <t>(631) 666-8100</t>
  </si>
  <si>
    <t>Robbins,David</t>
  </si>
  <si>
    <t>(516) 799-2525</t>
  </si>
  <si>
    <t>Rosner-Krull,Joanna</t>
  </si>
  <si>
    <t>(561) 350-5929</t>
  </si>
  <si>
    <t>DamianBursztyn,M.S.</t>
  </si>
  <si>
    <t>BURSTZYN DAMIAN</t>
  </si>
  <si>
    <t>E0051441</t>
  </si>
  <si>
    <t>RAMNARINE JOTIR</t>
  </si>
  <si>
    <t>JOTIRRAMNARINE</t>
  </si>
  <si>
    <t>RAMNARINE JOTIR ANANDA MD</t>
  </si>
  <si>
    <t>E0142053</t>
  </si>
  <si>
    <t>ARPAYOGLOU BEATRIZ C MD</t>
  </si>
  <si>
    <t>BEATRIZARPAYOGLOU</t>
  </si>
  <si>
    <t>ARPAYOGLOU BEATRIZ</t>
  </si>
  <si>
    <t>MRS.SALWAMASRY</t>
  </si>
  <si>
    <t>MASRY SALWA MRS.</t>
  </si>
  <si>
    <t>7 STRAWBERRY LN</t>
  </si>
  <si>
    <t>E0135794</t>
  </si>
  <si>
    <t>FUCHS THOMAS MD</t>
  </si>
  <si>
    <t>THOMASFUCHS</t>
  </si>
  <si>
    <t>FUCHS THOMAS</t>
  </si>
  <si>
    <t>EARLMCKENZIE</t>
  </si>
  <si>
    <t>E0154418</t>
  </si>
  <si>
    <t>THOMPSON PAUL MD</t>
  </si>
  <si>
    <t>PaulThompson</t>
  </si>
  <si>
    <t>THOMPSON PAUL</t>
  </si>
  <si>
    <t>IraFinegold</t>
  </si>
  <si>
    <t>E0186796</t>
  </si>
  <si>
    <t>CHAN ANDREW HING KIN MD</t>
  </si>
  <si>
    <t>AndrewChan</t>
  </si>
  <si>
    <t>CHAN ANDREW DR.</t>
  </si>
  <si>
    <t>ELIZABETH CTR RM 502</t>
  </si>
  <si>
    <t>E0072316</t>
  </si>
  <si>
    <t>LEVY BRIAN KEITH DPM</t>
  </si>
  <si>
    <t>ElanLevy</t>
  </si>
  <si>
    <t>LEVY BRIAN DR.</t>
  </si>
  <si>
    <t>1390 PENNSYLVANIA AVE</t>
  </si>
  <si>
    <t>E0094188</t>
  </si>
  <si>
    <t>KEARNS-STANLEY MARGARET MD</t>
  </si>
  <si>
    <t>MargaretKearns-Stanley</t>
  </si>
  <si>
    <t>KEARNS STANLEY MARGARET</t>
  </si>
  <si>
    <t>E0113290</t>
  </si>
  <si>
    <t>VARMA SUDHA MD</t>
  </si>
  <si>
    <t>SudhaVarma</t>
  </si>
  <si>
    <t>VARMA SUDHA</t>
  </si>
  <si>
    <t>E0197056</t>
  </si>
  <si>
    <t>KNOLL CHARLES L            MD</t>
  </si>
  <si>
    <t>CharlesKnoll</t>
  </si>
  <si>
    <t>KNOLL CHARLES DR.</t>
  </si>
  <si>
    <t>461 PARK AVE S</t>
  </si>
  <si>
    <t>E0339215</t>
  </si>
  <si>
    <t>MAKWANA HETALBEN GOPALBHAI</t>
  </si>
  <si>
    <t>HetalbenMakwana</t>
  </si>
  <si>
    <t>MAKWANA HETALBEN</t>
  </si>
  <si>
    <t>E0338168</t>
  </si>
  <si>
    <t>ZAFAR MONAA</t>
  </si>
  <si>
    <t>MonaaZafar</t>
  </si>
  <si>
    <t>ZAFAR MONAA DR.</t>
  </si>
  <si>
    <t>E0324456</t>
  </si>
  <si>
    <t>GASS GREGORY</t>
  </si>
  <si>
    <t>GregoryGass</t>
  </si>
  <si>
    <t>GASS GREGORY L MD</t>
  </si>
  <si>
    <t>ThomasChang</t>
  </si>
  <si>
    <t>E0296322</t>
  </si>
  <si>
    <t>JUE ANDREA</t>
  </si>
  <si>
    <t>AndreaJue</t>
  </si>
  <si>
    <t>JUE ANDREA DR.</t>
  </si>
  <si>
    <t>JUE ANDREA T</t>
  </si>
  <si>
    <t>E0002577</t>
  </si>
  <si>
    <t>KIM JINU</t>
  </si>
  <si>
    <t>JinuKim</t>
  </si>
  <si>
    <t>KIM JINU DR.</t>
  </si>
  <si>
    <t>KIM JINU MD</t>
  </si>
  <si>
    <t>DavidLau</t>
  </si>
  <si>
    <t>E0158639</t>
  </si>
  <si>
    <t>KIRSCHNER ERIC  MD</t>
  </si>
  <si>
    <t>EricKirschner</t>
  </si>
  <si>
    <t>KIRSCHNER ERIC</t>
  </si>
  <si>
    <t>FL 7</t>
  </si>
  <si>
    <t>E0234975</t>
  </si>
  <si>
    <t>PATEL ANUPKUMAR K</t>
  </si>
  <si>
    <t>ANUPKUMARPATEL</t>
  </si>
  <si>
    <t>PATEL ANUPKUMAR</t>
  </si>
  <si>
    <t>E0283291</t>
  </si>
  <si>
    <t>JASON MICHAEL BRATCHER</t>
  </si>
  <si>
    <t>JASONBRATCHER</t>
  </si>
  <si>
    <t>BRATCHER JASON DR.</t>
  </si>
  <si>
    <t>BRATCHER JASON MICHAEL MD</t>
  </si>
  <si>
    <t>BETH ISRAEL MEDICAL CENTER</t>
  </si>
  <si>
    <t>E0144189</t>
  </si>
  <si>
    <t>TIKKO SURAJ K MD</t>
  </si>
  <si>
    <t>SURAJTIKKO</t>
  </si>
  <si>
    <t>TIKKO SURAJ</t>
  </si>
  <si>
    <t>161 MADISON AVE</t>
  </si>
  <si>
    <t>E0056063</t>
  </si>
  <si>
    <t>SHAH JILAN MD</t>
  </si>
  <si>
    <t>JILANSHAH</t>
  </si>
  <si>
    <t>SHAH JILAN DR.</t>
  </si>
  <si>
    <t>SHAH JILAN</t>
  </si>
  <si>
    <t>232 E 20TH ST</t>
  </si>
  <si>
    <t>E0227986</t>
  </si>
  <si>
    <t>FELDER KENNETH S           MD</t>
  </si>
  <si>
    <t>KENNETHFELDER</t>
  </si>
  <si>
    <t>FELDER KENNETH DR.</t>
  </si>
  <si>
    <t>FELDER KENNETH S</t>
  </si>
  <si>
    <t>2035 RALPH AVE</t>
  </si>
  <si>
    <t>E0022183</t>
  </si>
  <si>
    <t>HRDLICKA VACLAY MD</t>
  </si>
  <si>
    <t>VACLAVHRDLICKA</t>
  </si>
  <si>
    <t>HRDLICKA VACLAV</t>
  </si>
  <si>
    <t>E0134895</t>
  </si>
  <si>
    <t>DELARA FRANCISCO ARTURO JR MD</t>
  </si>
  <si>
    <t>FRANCISCODELARA</t>
  </si>
  <si>
    <t>DELARA FRANCISCO</t>
  </si>
  <si>
    <t>2ND AVE @ 14TH ST</t>
  </si>
  <si>
    <t>E0180974</t>
  </si>
  <si>
    <t>DOCU THEODORE COSTA MD</t>
  </si>
  <si>
    <t>THEODOREDOCU</t>
  </si>
  <si>
    <t>DOCU THEODORE</t>
  </si>
  <si>
    <t>DOCU THEODORE COSTA</t>
  </si>
  <si>
    <t>506 FORT WASHINGTON AVE # 1FL</t>
  </si>
  <si>
    <t>SeanHenry</t>
  </si>
  <si>
    <t>HENRY SEAN</t>
  </si>
  <si>
    <t>48 EAST 43RD STREET, 7TH FLOOR</t>
  </si>
  <si>
    <t>E0137438</t>
  </si>
  <si>
    <t>SILBERZWEIG JAMES MD</t>
  </si>
  <si>
    <t>JamesSilberzweig</t>
  </si>
  <si>
    <t>SILBERZWEIG JAMES DR.</t>
  </si>
  <si>
    <t>E0023958</t>
  </si>
  <si>
    <t>HOLOVER SPENCER</t>
  </si>
  <si>
    <t>SpencerHolover</t>
  </si>
  <si>
    <t>HOLOVER SPENCER DR.</t>
  </si>
  <si>
    <t>3003 NEW HYDE PARK RD</t>
  </si>
  <si>
    <t>E0083180</t>
  </si>
  <si>
    <t>CHANG PAUL POTSUNG MD</t>
  </si>
  <si>
    <t>PaulChang</t>
  </si>
  <si>
    <t>CHANG PAUL DR.</t>
  </si>
  <si>
    <t>E0066315</t>
  </si>
  <si>
    <t>PANDYA PARU KUNJVHARI MD</t>
  </si>
  <si>
    <t>ParuPandya</t>
  </si>
  <si>
    <t>PANDYA PARU DR.</t>
  </si>
  <si>
    <t>E0275857</t>
  </si>
  <si>
    <t>PUROHIT AMAR LAL MD</t>
  </si>
  <si>
    <t>AmarPurohit</t>
  </si>
  <si>
    <t>PUROHIT AMAR</t>
  </si>
  <si>
    <t>CABRINI MEDICAL CTR</t>
  </si>
  <si>
    <t>E0310526</t>
  </si>
  <si>
    <t>HABBOUSHE JOSEPH PETER MALCOM</t>
  </si>
  <si>
    <t>JOSEPHHABBOUSHE</t>
  </si>
  <si>
    <t>HABBOUSHE JOSEPH DR.</t>
  </si>
  <si>
    <t>E0140873</t>
  </si>
  <si>
    <t>PAPPAS JOHN G MD</t>
  </si>
  <si>
    <t>JOHNPAPPAS</t>
  </si>
  <si>
    <t>PAPPAS JOHN</t>
  </si>
  <si>
    <t>E0145010</t>
  </si>
  <si>
    <t>WALKER JENNY</t>
  </si>
  <si>
    <t>JENNYWALKER</t>
  </si>
  <si>
    <t>E0116030</t>
  </si>
  <si>
    <t>AHMED FARRUQUE</t>
  </si>
  <si>
    <t>FARRUQUEAHMED</t>
  </si>
  <si>
    <t>E0375922</t>
  </si>
  <si>
    <t>PATEL RIMA D</t>
  </si>
  <si>
    <t>PATEL RIMA DR.</t>
  </si>
  <si>
    <t>BABAN KAYLAN DR.</t>
  </si>
  <si>
    <t>2150 PENNSYLVANIA AVE NW</t>
  </si>
  <si>
    <t>E0031948</t>
  </si>
  <si>
    <t>LITTWIN SANFORD MATTHEW MD</t>
  </si>
  <si>
    <t>SANFORDLITTWIN</t>
  </si>
  <si>
    <t>LITTWIN SANFORD</t>
  </si>
  <si>
    <t>E0111096</t>
  </si>
  <si>
    <t>FRAZIER DAVEED DAMON MD</t>
  </si>
  <si>
    <t>DAVEEDFRAZIER</t>
  </si>
  <si>
    <t>FRAZIER DAVEED</t>
  </si>
  <si>
    <t>E0058950</t>
  </si>
  <si>
    <t>BURNETT MICHAEL CHARLES MD</t>
  </si>
  <si>
    <t>MICHAELBURNETT</t>
  </si>
  <si>
    <t>BURNETT MICHAEL</t>
  </si>
  <si>
    <t>NYOG / DR BURNETT</t>
  </si>
  <si>
    <t>E0012125</t>
  </si>
  <si>
    <t>GROTAS AARON BRETT MD</t>
  </si>
  <si>
    <t>AARONGROTAS</t>
  </si>
  <si>
    <t>GROTAS AARON DR.</t>
  </si>
  <si>
    <t>3079 BRIGHTON 13TH ST</t>
  </si>
  <si>
    <t>E0027231</t>
  </si>
  <si>
    <t>TSAI TONY POTUNG MD</t>
  </si>
  <si>
    <t>TONYTSAI</t>
  </si>
  <si>
    <t>TSAI TONY DR.</t>
  </si>
  <si>
    <t>1000 10TH ROOSEVELT HOSPITAL</t>
  </si>
  <si>
    <t>E0234084</t>
  </si>
  <si>
    <t>RAIFMAN LEONARD I          MD</t>
  </si>
  <si>
    <t>LEONARDRAIFMAN</t>
  </si>
  <si>
    <t>RAIFMAN LEONARD</t>
  </si>
  <si>
    <t>1000 PARK AVE</t>
  </si>
  <si>
    <t>WooChun</t>
  </si>
  <si>
    <t>E0227990</t>
  </si>
  <si>
    <t>CHUN WOO H                 MD</t>
  </si>
  <si>
    <t>(718) 833-5373</t>
  </si>
  <si>
    <t>CHUN WOO DR.</t>
  </si>
  <si>
    <t>640 92ND ST</t>
  </si>
  <si>
    <t>AuroraTiu</t>
  </si>
  <si>
    <t>JessicaGlass</t>
  </si>
  <si>
    <t>ZinnatunHasan</t>
  </si>
  <si>
    <t>HASAN ZINNATUN MRS.</t>
  </si>
  <si>
    <t>EmmanuelAppiah-Agyemang</t>
  </si>
  <si>
    <t>E0317851</t>
  </si>
  <si>
    <t>APPIAH-AGYEMANG EMMANUEL</t>
  </si>
  <si>
    <t>AGYEMANG EMMANUEL MR.</t>
  </si>
  <si>
    <t>80 N FRANKLIN ST</t>
  </si>
  <si>
    <t>JoseeChardavoine</t>
  </si>
  <si>
    <t>E0306551</t>
  </si>
  <si>
    <t>CHARDAVOINE JOSEE</t>
  </si>
  <si>
    <t>21814 HEMPSTEAD AVE FL 2</t>
  </si>
  <si>
    <t>SandraChoi</t>
  </si>
  <si>
    <t>CHOI SANDRA</t>
  </si>
  <si>
    <t>170 WILLIAM ST, DEPARTMENT OF ANESTHESIA</t>
  </si>
  <si>
    <t>E0091432</t>
  </si>
  <si>
    <t>HAILU MEKDES MD</t>
  </si>
  <si>
    <t>MEKDESHAILU</t>
  </si>
  <si>
    <t>HAILU MEKDES</t>
  </si>
  <si>
    <t>BIMC EMPLOYEE H S</t>
  </si>
  <si>
    <t>FrederickFallick</t>
  </si>
  <si>
    <t>GilesMalieckal</t>
  </si>
  <si>
    <t>AriannaMartinez</t>
  </si>
  <si>
    <t>LisetteCasagrande,MD</t>
  </si>
  <si>
    <t>E0342430</t>
  </si>
  <si>
    <t>CASAGRANDE LISETTE</t>
  </si>
  <si>
    <t>lisette.casagrande@mssm.edu</t>
  </si>
  <si>
    <t>CASAGRANDE LISETTE DR.</t>
  </si>
  <si>
    <t>CASAGRANDE LISETTE HELENE</t>
  </si>
  <si>
    <t>ShrikantBhamre,MD</t>
  </si>
  <si>
    <t>(917) 628-9047</t>
  </si>
  <si>
    <t>s.bhamre@gte.net</t>
  </si>
  <si>
    <t>RajCapoor,MD</t>
  </si>
  <si>
    <t>(917) 697-4241</t>
  </si>
  <si>
    <t>RCAPOOR@POL.NET</t>
  </si>
  <si>
    <t>AlbertoCortes-Landino,MD</t>
  </si>
  <si>
    <t>E0289348</t>
  </si>
  <si>
    <t>CORTES-LADINO R</t>
  </si>
  <si>
    <t>(832) 418-0587</t>
  </si>
  <si>
    <t>alc9060@gmail.com</t>
  </si>
  <si>
    <t>CORTES ALBERTO</t>
  </si>
  <si>
    <t>AnnaFlattau</t>
  </si>
  <si>
    <t>StuartFramm</t>
  </si>
  <si>
    <t>EvelynGranieri</t>
  </si>
  <si>
    <t>DavidKahn</t>
  </si>
  <si>
    <t>MadusudhanaKanagala</t>
  </si>
  <si>
    <t>AnnCampbell,NP</t>
  </si>
  <si>
    <t>(917) 291-0716</t>
  </si>
  <si>
    <t>annharpercampbell@yahoo.com</t>
  </si>
  <si>
    <t>E0314407</t>
  </si>
  <si>
    <t>WINN JULIA</t>
  </si>
  <si>
    <t>MS.JULIAWINN</t>
  </si>
  <si>
    <t>MAIA JULIA MRS.</t>
  </si>
  <si>
    <t>CatherineJones,L.C.S.W.</t>
  </si>
  <si>
    <t>E0342700</t>
  </si>
  <si>
    <t>JONES CATHERINE REED</t>
  </si>
  <si>
    <t>JONES CATHERINE</t>
  </si>
  <si>
    <t>JamesHughes,B.S.P.T.</t>
  </si>
  <si>
    <t>E0041716</t>
  </si>
  <si>
    <t>HUGHES JAMES MR.</t>
  </si>
  <si>
    <t>625 MCLEAN AVE</t>
  </si>
  <si>
    <t>ConsueloAmandaSenior,L.M.S.W.</t>
  </si>
  <si>
    <t>E0293870</t>
  </si>
  <si>
    <t>SENIOR CONSUELO</t>
  </si>
  <si>
    <t>2581 ATLANTIC AVE</t>
  </si>
  <si>
    <t>E0082341</t>
  </si>
  <si>
    <t>LEWIS-MORRIS VALERIE MD</t>
  </si>
  <si>
    <t>VALERIELEWIS-MORRIS</t>
  </si>
  <si>
    <t>LEWIS-MORRIS VALERIE</t>
  </si>
  <si>
    <t>P.A.C.C. ST#2B</t>
  </si>
  <si>
    <t>E0121986</t>
  </si>
  <si>
    <t>ANDRILLI JOHN A MD</t>
  </si>
  <si>
    <t>JOHNANDRILLI</t>
  </si>
  <si>
    <t>ANDRILLI JOHN DR.</t>
  </si>
  <si>
    <t>E0040859</t>
  </si>
  <si>
    <t>SCHNEIDERMAN ADAM</t>
  </si>
  <si>
    <t>AdamSchneiderman</t>
  </si>
  <si>
    <t>SCHNEIDERMAN ADAM DR.</t>
  </si>
  <si>
    <t>5515 LITTLE NECK PKWY STE L10</t>
  </si>
  <si>
    <t>E0111672</t>
  </si>
  <si>
    <t>MILANI HALEH MD</t>
  </si>
  <si>
    <t>HalehMilani</t>
  </si>
  <si>
    <t>MILANI HALEH DR.</t>
  </si>
  <si>
    <t>622 W 168TH ST # 4</t>
  </si>
  <si>
    <t>E0275531</t>
  </si>
  <si>
    <t>KOENIG STEVEN PAUL  MD</t>
  </si>
  <si>
    <t>StevenKoenig</t>
  </si>
  <si>
    <t>KOENIG STEVEN DR.</t>
  </si>
  <si>
    <t>AnthonyTerraciano</t>
  </si>
  <si>
    <t>E0290362</t>
  </si>
  <si>
    <t>PARISIER SIMON</t>
  </si>
  <si>
    <t>SimonParisier</t>
  </si>
  <si>
    <t>PARISIER SIMON DR.</t>
  </si>
  <si>
    <t>E0164817</t>
  </si>
  <si>
    <t>BAKER ROBERT H MD</t>
  </si>
  <si>
    <t>RobertBaker</t>
  </si>
  <si>
    <t>BAKER ROBERT DR.</t>
  </si>
  <si>
    <t>BAKER ROBERT H</t>
  </si>
  <si>
    <t>175 MEMORIAL HWY STE 1-9</t>
  </si>
  <si>
    <t>E0139485</t>
  </si>
  <si>
    <t>AQUILA RALPH MD</t>
  </si>
  <si>
    <t>RALPHAQUILA</t>
  </si>
  <si>
    <t>AQUILA RALPH DR.</t>
  </si>
  <si>
    <t>E0182826</t>
  </si>
  <si>
    <t>RIVERA GRACIANO MD</t>
  </si>
  <si>
    <t>GRACIANORIVERA</t>
  </si>
  <si>
    <t>RIVERA GRACIANO</t>
  </si>
  <si>
    <t>DEPT OF ANESTH BILLI</t>
  </si>
  <si>
    <t>MISSAGELTAARQIMANDRITI</t>
  </si>
  <si>
    <t>ARQIMANDRITI AGELTA MISS</t>
  </si>
  <si>
    <t>E0322093</t>
  </si>
  <si>
    <t>MELSTROM KURT ALLAN JR</t>
  </si>
  <si>
    <t>KURTMELSTROM</t>
  </si>
  <si>
    <t>MELSTROM KURT DR.</t>
  </si>
  <si>
    <t>E0288599</t>
  </si>
  <si>
    <t>PERKEL CHARLES ALAN MD</t>
  </si>
  <si>
    <t>CHARLESPERKEL</t>
  </si>
  <si>
    <t>PERKEL CHARLES DR.</t>
  </si>
  <si>
    <t>E0241642</t>
  </si>
  <si>
    <t>TOLBERT JEROME V           MD</t>
  </si>
  <si>
    <t>JEROMETOLBERT</t>
  </si>
  <si>
    <t>TOLBERT JEROME</t>
  </si>
  <si>
    <t>CABRINI HLTH CTR</t>
  </si>
  <si>
    <t>E0346792</t>
  </si>
  <si>
    <t>KANTROWITZ JOSHUA TOLKIEN</t>
  </si>
  <si>
    <t>JOSHUAKANTROWITZ</t>
  </si>
  <si>
    <t>KANTROWITZ JOSHUA DR.</t>
  </si>
  <si>
    <t>1051 RIVERSIDE DR UNIT 14</t>
  </si>
  <si>
    <t>E0308462</t>
  </si>
  <si>
    <t>KARAFIN FELIX MD</t>
  </si>
  <si>
    <t>FELIXKARAFIN</t>
  </si>
  <si>
    <t>KARAFIN FELIX DR.</t>
  </si>
  <si>
    <t>E0339028</t>
  </si>
  <si>
    <t>BHUTIA PHINTSO PD</t>
  </si>
  <si>
    <t>PHINTSOBHUTIA</t>
  </si>
  <si>
    <t>BHUTIA PHINTSO DR.</t>
  </si>
  <si>
    <t>BHUTIA PHINTSO PADEN DONTATSANG</t>
  </si>
  <si>
    <t>E0051712</t>
  </si>
  <si>
    <t>JUNG TIFFANY  MAYSU</t>
  </si>
  <si>
    <t>TiffanyJung</t>
  </si>
  <si>
    <t>JUNG TIFFANY</t>
  </si>
  <si>
    <t>JUNG TIFFANY MAYSU</t>
  </si>
  <si>
    <t>1111 AMSTERDAM AVE FL 3</t>
  </si>
  <si>
    <t>Bermeo,Carlos</t>
  </si>
  <si>
    <t>Denis,Jean</t>
  </si>
  <si>
    <t>E0026672</t>
  </si>
  <si>
    <t>KASHAN GLENN LAWRENCE MD</t>
  </si>
  <si>
    <t>GLENNKASHAN</t>
  </si>
  <si>
    <t>KASHAN GLENN</t>
  </si>
  <si>
    <t>E0086195</t>
  </si>
  <si>
    <t>KLEIN PAULA MD</t>
  </si>
  <si>
    <t>PAULAKLEIN</t>
  </si>
  <si>
    <t>KLEIN PAULA DR.</t>
  </si>
  <si>
    <t>E0187102</t>
  </si>
  <si>
    <t>ROSENTHAL RICHARD NELSON</t>
  </si>
  <si>
    <t>RICHARDROSENTHAL</t>
  </si>
  <si>
    <t>ROSENTHAL RICHARD</t>
  </si>
  <si>
    <t>E0047904</t>
  </si>
  <si>
    <t>ABRAHAM SUJA MD</t>
  </si>
  <si>
    <t>SUJAABRAHAM</t>
  </si>
  <si>
    <t>ABRAHAM SUJA</t>
  </si>
  <si>
    <t>WEST SIDE PEDIATRICS</t>
  </si>
  <si>
    <t>E0047447</t>
  </si>
  <si>
    <t>PUENTE-GUZMAN SOLEDAD ELVIRA</t>
  </si>
  <si>
    <t>SOLEDADPUENTE-GUZMAN</t>
  </si>
  <si>
    <t>PUENTE-GUZMAN SOLEDAD</t>
  </si>
  <si>
    <t>WESTSIDE PEDS ASSOC</t>
  </si>
  <si>
    <t>E0132359</t>
  </si>
  <si>
    <t>WALKER PATRICIA ANN MD</t>
  </si>
  <si>
    <t>PATRICIAWALKER</t>
  </si>
  <si>
    <t>WALKER PATRICIA</t>
  </si>
  <si>
    <t>CYSTIC FIBROSIS CTR</t>
  </si>
  <si>
    <t>E0061019</t>
  </si>
  <si>
    <t>LEVITIN GREGOR M MD</t>
  </si>
  <si>
    <t>GregoryLevitin</t>
  </si>
  <si>
    <t>LEVITIN GREGORY</t>
  </si>
  <si>
    <t>LEVITIN GREGORY M MD</t>
  </si>
  <si>
    <t>101 BROADWAY APT 201</t>
  </si>
  <si>
    <t>E0113770</t>
  </si>
  <si>
    <t>COHEN BARRY</t>
  </si>
  <si>
    <t>BarryCohen</t>
  </si>
  <si>
    <t>COHEN BARRY DR.</t>
  </si>
  <si>
    <t>1380 METROPOLITAN AVE OFC</t>
  </si>
  <si>
    <t>E0175003</t>
  </si>
  <si>
    <t>ZILBERG NEIL G MD</t>
  </si>
  <si>
    <t>NeilZilberg</t>
  </si>
  <si>
    <t>ZILBERG NEIL</t>
  </si>
  <si>
    <t>ZILBERG NEIL GEOFFREY</t>
  </si>
  <si>
    <t>E0180569</t>
  </si>
  <si>
    <t>DIFABRIZIO LARRY MD</t>
  </si>
  <si>
    <t>DiFabrizioLarry</t>
  </si>
  <si>
    <t>DI FABRIZIO LARRY DR.</t>
  </si>
  <si>
    <t>E0091881</t>
  </si>
  <si>
    <t>KY ALEX JENNY MD</t>
  </si>
  <si>
    <t>KyAlex</t>
  </si>
  <si>
    <t>KY-MIYASAKA ALEX</t>
  </si>
  <si>
    <t>E0032009</t>
  </si>
  <si>
    <t>LERNER SUSAN M MD</t>
  </si>
  <si>
    <t>LernerSusan</t>
  </si>
  <si>
    <t>LERNER SUSAN</t>
  </si>
  <si>
    <t>5 E 98TH ST FL 12 FL 14</t>
  </si>
  <si>
    <t>E0090317</t>
  </si>
  <si>
    <t>KOSTAKOGLU LALE</t>
  </si>
  <si>
    <t>KostakogluLale</t>
  </si>
  <si>
    <t>NYH STARR 2</t>
  </si>
  <si>
    <t>FarkouhMichael</t>
  </si>
  <si>
    <t>FARKOUH MICHAEL</t>
  </si>
  <si>
    <t>5 E 98TH ST, 3RD FLOOR</t>
  </si>
  <si>
    <t>Jones,Wayne</t>
  </si>
  <si>
    <t>(631) 807-6422</t>
  </si>
  <si>
    <t>wjrx44@optonline.net</t>
  </si>
  <si>
    <t>446PartingtonSt</t>
  </si>
  <si>
    <t>Sayville</t>
  </si>
  <si>
    <t>Kamath,Sachin</t>
  </si>
  <si>
    <t>(516) 798-1116</t>
  </si>
  <si>
    <t>Khan,Noor</t>
  </si>
  <si>
    <t>KHAN,NOOR</t>
  </si>
  <si>
    <t>(516) 428-1552</t>
  </si>
  <si>
    <t>NIBLOO786@aol.com</t>
  </si>
  <si>
    <t>Krugley,Richard</t>
  </si>
  <si>
    <t>Kulkarni,SubhashV.</t>
  </si>
  <si>
    <t>(631) 271-8405</t>
  </si>
  <si>
    <t>Kumar,Raman</t>
  </si>
  <si>
    <t>(631) 264-2424</t>
  </si>
  <si>
    <t>Lenefsky,Ronald</t>
  </si>
  <si>
    <t>(516) 658-9924</t>
  </si>
  <si>
    <t>Malone,Chemin</t>
  </si>
  <si>
    <t>(631) 667-0388</t>
  </si>
  <si>
    <t>chemin95@gmail.com</t>
  </si>
  <si>
    <t>Napoli,Michael</t>
  </si>
  <si>
    <t>(631) 669-6662</t>
  </si>
  <si>
    <t>E0063700</t>
  </si>
  <si>
    <t>RODRIGUEZ NAVARRA</t>
  </si>
  <si>
    <t>NAVARRARODRIGUEZ</t>
  </si>
  <si>
    <t>RODRIGUEZ NAVARRA VALENCIA MD</t>
  </si>
  <si>
    <t>E0053908</t>
  </si>
  <si>
    <t>FTEHA ELIE MD</t>
  </si>
  <si>
    <t>ELIEFTEHA</t>
  </si>
  <si>
    <t>FTEHA ELIE</t>
  </si>
  <si>
    <t>E0345459</t>
  </si>
  <si>
    <t>MATHEWS PREMILA MARIA</t>
  </si>
  <si>
    <t>PremilaMathews</t>
  </si>
  <si>
    <t>MATHEWS PREMILA</t>
  </si>
  <si>
    <t>E0346614</t>
  </si>
  <si>
    <t>AGVENT NICHOLAS</t>
  </si>
  <si>
    <t>NicholasAgvent</t>
  </si>
  <si>
    <t>E0259596</t>
  </si>
  <si>
    <t>HALWEIL RONALD MD</t>
  </si>
  <si>
    <t>RonaldHalweil</t>
  </si>
  <si>
    <t>HALWEIL RONALD DR.</t>
  </si>
  <si>
    <t>726 AVENUE C</t>
  </si>
  <si>
    <t>E0009358</t>
  </si>
  <si>
    <t>MATTHEW S COHEN MD PC</t>
  </si>
  <si>
    <t>MatthewCohen</t>
  </si>
  <si>
    <t>COHEN MATTHEW DR.</t>
  </si>
  <si>
    <t>272 W PARK AVE</t>
  </si>
  <si>
    <t>ElizabethFang</t>
  </si>
  <si>
    <t>E0079099</t>
  </si>
  <si>
    <t>FANG HUI ELIZABETH MD</t>
  </si>
  <si>
    <t>(212) 674-8327</t>
  </si>
  <si>
    <t>drfang@optonline.net</t>
  </si>
  <si>
    <t>FANG HUI</t>
  </si>
  <si>
    <t>160 3RD AVE STE 1B</t>
  </si>
  <si>
    <t>MarioGenovese</t>
  </si>
  <si>
    <t>E0198976</t>
  </si>
  <si>
    <t>GENOVESE MARIO NICHOLAS DPM</t>
  </si>
  <si>
    <t>(718) 748-7474</t>
  </si>
  <si>
    <t>drgenovese@aol.com</t>
  </si>
  <si>
    <t>GENOVESE MARIO DR.</t>
  </si>
  <si>
    <t>9602 4TH AVE STE L1</t>
  </si>
  <si>
    <t>LouisGuerra</t>
  </si>
  <si>
    <t>E0132140</t>
  </si>
  <si>
    <t>GUERRA LOUIS</t>
  </si>
  <si>
    <t>(212) 737-0727</t>
  </si>
  <si>
    <t>eisingnewyork@aol.com</t>
  </si>
  <si>
    <t>GUERRA LOUIS MR.</t>
  </si>
  <si>
    <t>EISING SOUTH INC</t>
  </si>
  <si>
    <t>EdwardShalhoub</t>
  </si>
  <si>
    <t>E0278712</t>
  </si>
  <si>
    <t>SHALHOUB EDWARD H          MD</t>
  </si>
  <si>
    <t>(732) 449-3057</t>
  </si>
  <si>
    <t>SHALHOUB EDWARD</t>
  </si>
  <si>
    <t>SHALHOUB EDWARD H MD</t>
  </si>
  <si>
    <t>AngelaStroe</t>
  </si>
  <si>
    <t>(347) 455-8564</t>
  </si>
  <si>
    <t>astr11@yahoo.com</t>
  </si>
  <si>
    <t>MichaelVassallo</t>
  </si>
  <si>
    <t>(212) 832-8966</t>
  </si>
  <si>
    <t>docv@prodigy.net</t>
  </si>
  <si>
    <t>VASSALLO MICHAEL DR.</t>
  </si>
  <si>
    <t>121 E 60TH ST, 10C</t>
  </si>
  <si>
    <t>JeanYun</t>
  </si>
  <si>
    <t>(212) 925-2121</t>
  </si>
  <si>
    <t>jean.yun@nyumc.org</t>
  </si>
  <si>
    <t>ElisaBocchieri</t>
  </si>
  <si>
    <t>TonyLechich</t>
  </si>
  <si>
    <t>AnthonyLechich</t>
  </si>
  <si>
    <t>alechich@archcare.org</t>
  </si>
  <si>
    <t>MekonnenAbebe</t>
  </si>
  <si>
    <t>E0109115</t>
  </si>
  <si>
    <t>ABEBE MEKONNEN</t>
  </si>
  <si>
    <t>(212) 360-3799</t>
  </si>
  <si>
    <t>mebebe@archcare.org</t>
  </si>
  <si>
    <t>LuluneshBelayneh</t>
  </si>
  <si>
    <t>(212) 360-3607</t>
  </si>
  <si>
    <t>lbelayneh@archcare.org</t>
  </si>
  <si>
    <t>MohammadChhipa</t>
  </si>
  <si>
    <t>(718) 844-7403</t>
  </si>
  <si>
    <t>NunziaFatica</t>
  </si>
  <si>
    <t>(646) 770-7421</t>
  </si>
  <si>
    <t>nfatica@archcare.org</t>
  </si>
  <si>
    <t>SofyaGershengorina</t>
  </si>
  <si>
    <t>E0078819</t>
  </si>
  <si>
    <t>GERSHENGORINA SOFYA MD</t>
  </si>
  <si>
    <t>(516) 547-8667</t>
  </si>
  <si>
    <t>drsofya@yahoo.com</t>
  </si>
  <si>
    <t>GERSHENGORINA SOFYA DR.</t>
  </si>
  <si>
    <t>1811 AVENUE J</t>
  </si>
  <si>
    <t>TaroAikawa</t>
  </si>
  <si>
    <t>LaurieGutstein</t>
  </si>
  <si>
    <t>E0128945</t>
  </si>
  <si>
    <t>GUTSTEIN LAURIE LYNN MD</t>
  </si>
  <si>
    <t>GUTSTEIN LAURIE</t>
  </si>
  <si>
    <t>GUTSTEIN LAURIE LYNN</t>
  </si>
  <si>
    <t>LouisLerebours</t>
  </si>
  <si>
    <t>E0039142</t>
  </si>
  <si>
    <t>LEREBOURS LOUIS JJMI ERWIN</t>
  </si>
  <si>
    <t>LEREBOURS ERWIN</t>
  </si>
  <si>
    <t>GraceChow</t>
  </si>
  <si>
    <t>CristianBartoc</t>
  </si>
  <si>
    <t>E0042343</t>
  </si>
  <si>
    <t>BARTOC CRISTIAN D MD</t>
  </si>
  <si>
    <t>BARTOC CRISTIAN DR.</t>
  </si>
  <si>
    <t>BARTOC CRISTIAN DAN MD</t>
  </si>
  <si>
    <t>JoshuaIssack</t>
  </si>
  <si>
    <t>E0032703</t>
  </si>
  <si>
    <t>ISSACK JOSHUA</t>
  </si>
  <si>
    <t>ISSACK JOSHUA DR.</t>
  </si>
  <si>
    <t>FotisNiforos</t>
  </si>
  <si>
    <t>E0019472</t>
  </si>
  <si>
    <t>NIFOROS FOTIS</t>
  </si>
  <si>
    <t>NIFOROS FOTIS DR.</t>
  </si>
  <si>
    <t>KhaingMoe</t>
  </si>
  <si>
    <t>E0084310</t>
  </si>
  <si>
    <t>MOE KHAING MD</t>
  </si>
  <si>
    <t>MOE KHAING DR.</t>
  </si>
  <si>
    <t>E0113168</t>
  </si>
  <si>
    <t>LANIGAN MICHAEL D MD</t>
  </si>
  <si>
    <t>MICHAELLANIGAN</t>
  </si>
  <si>
    <t>LANIGAN MICHAEL DR.</t>
  </si>
  <si>
    <t>E0089104</t>
  </si>
  <si>
    <t>MENSAH DOREEN AKOSUA MD</t>
  </si>
  <si>
    <t>DOREENMENSAH</t>
  </si>
  <si>
    <t>MENSAH DOREEN</t>
  </si>
  <si>
    <t>E0147610</t>
  </si>
  <si>
    <t>THOMAS KURIAN MD</t>
  </si>
  <si>
    <t>KURIANTHOMAS</t>
  </si>
  <si>
    <t>THOMAS KURIAN</t>
  </si>
  <si>
    <t>E0142246</t>
  </si>
  <si>
    <t>SIMONSON RAYZE MD</t>
  </si>
  <si>
    <t>RAYZESIMONSON</t>
  </si>
  <si>
    <t>SIMONSON RAYZE</t>
  </si>
  <si>
    <t>E0100217</t>
  </si>
  <si>
    <t>FRIEDMAN ARNOLD JAY MD</t>
  </si>
  <si>
    <t>ARNOLDFRIEDMAN</t>
  </si>
  <si>
    <t>FRIEDMAN ARNOLD</t>
  </si>
  <si>
    <t>Schachter,Lisa</t>
  </si>
  <si>
    <t>Skinner,Carly</t>
  </si>
  <si>
    <t>E0392718</t>
  </si>
  <si>
    <t>SKINNER CARLY</t>
  </si>
  <si>
    <t>SKINNER CARLY MS.</t>
  </si>
  <si>
    <t>SKINNER CARLY NICOLE</t>
  </si>
  <si>
    <t>Wade,Mark</t>
  </si>
  <si>
    <t>Bailey,Judith</t>
  </si>
  <si>
    <t>(718) 665-2456</t>
  </si>
  <si>
    <t>judith.bailey@narcofreedom.com</t>
  </si>
  <si>
    <t>Blair,Angela</t>
  </si>
  <si>
    <t>angela.blair@narcofreedom.com</t>
  </si>
  <si>
    <t>DeMieri,Anthony</t>
  </si>
  <si>
    <t>anthony.demieri@narcofreedom.com</t>
  </si>
  <si>
    <t>Duff,Cassandra</t>
  </si>
  <si>
    <t>cassandra.duff@narcofreedom.com</t>
  </si>
  <si>
    <t>Lassalle,Adaiah</t>
  </si>
  <si>
    <t>adaiah.lasalle@narcofreedom.com</t>
  </si>
  <si>
    <t>McCurtis,Henry</t>
  </si>
  <si>
    <t>henry.mccurtis@narcofreedom.com</t>
  </si>
  <si>
    <t>Painson,Jean-Luther</t>
  </si>
  <si>
    <t>luther.painson@narcofreedom.com</t>
  </si>
  <si>
    <t>Sanchez,Antonio</t>
  </si>
  <si>
    <t>antonio.painson@narcofreedom.com</t>
  </si>
  <si>
    <t>CarlynSnyder</t>
  </si>
  <si>
    <t>SNYDER CARLYN DR.</t>
  </si>
  <si>
    <t>201 E 87TH ST, 16J</t>
  </si>
  <si>
    <t>E0354770</t>
  </si>
  <si>
    <t>RUBINSHTEY VLADIMIR</t>
  </si>
  <si>
    <t>VladimirRubinshteyn</t>
  </si>
  <si>
    <t>RUBINSHTEYN VLADIMIR</t>
  </si>
  <si>
    <t>E0031863</t>
  </si>
  <si>
    <t>CHANG CHERYL K MD</t>
  </si>
  <si>
    <t>CherylChang</t>
  </si>
  <si>
    <t>CHANG CHERYL DR.</t>
  </si>
  <si>
    <t>622 WEST 168 STREET, CUMC</t>
  </si>
  <si>
    <t>E0089817</t>
  </si>
  <si>
    <t>DIXON MARSHA RPA</t>
  </si>
  <si>
    <t>MarshaDixon</t>
  </si>
  <si>
    <t>DIXON MARSHA MS.</t>
  </si>
  <si>
    <t>E0316059</t>
  </si>
  <si>
    <t>WU JANE R</t>
  </si>
  <si>
    <t>JaneWu</t>
  </si>
  <si>
    <t>WU JANE MS.</t>
  </si>
  <si>
    <t>E0316178</t>
  </si>
  <si>
    <t>PILLY PARIK KUMAR</t>
  </si>
  <si>
    <t>ParikPilly</t>
  </si>
  <si>
    <t>PILLY PARIK DR.</t>
  </si>
  <si>
    <t>1111 AMSTERDAM AVE  CLARK 7</t>
  </si>
  <si>
    <t>E0364168</t>
  </si>
  <si>
    <t>SAMAD REZA</t>
  </si>
  <si>
    <t>RezaSamad</t>
  </si>
  <si>
    <t>SAMAD REZA DR.</t>
  </si>
  <si>
    <t>SAMAD REZA NAEEM</t>
  </si>
  <si>
    <t>160 WATER ST FL 20</t>
  </si>
  <si>
    <t>KennethCoombs</t>
  </si>
  <si>
    <t>(631) 724-8285</t>
  </si>
  <si>
    <t>GeorgeEmmons</t>
  </si>
  <si>
    <t>(631) 585-0045</t>
  </si>
  <si>
    <t>StephenRavitz</t>
  </si>
  <si>
    <t>(631) 269-0801</t>
  </si>
  <si>
    <t>(631) 689-2300</t>
  </si>
  <si>
    <t>MitchellSteinberg</t>
  </si>
  <si>
    <t>(631) 751-6833</t>
  </si>
  <si>
    <t>RonaldWashington</t>
  </si>
  <si>
    <t>(631) 724-8344</t>
  </si>
  <si>
    <t>E0174238</t>
  </si>
  <si>
    <t>NEMESDY GABOR MD</t>
  </si>
  <si>
    <t>GABORNEMESDY</t>
  </si>
  <si>
    <t>NEMESDY GABOR</t>
  </si>
  <si>
    <t>E0139466</t>
  </si>
  <si>
    <t>BATTU VIJAY K MD</t>
  </si>
  <si>
    <t>BATTU VIJAY DR.</t>
  </si>
  <si>
    <t>E0010558</t>
  </si>
  <si>
    <t>CHU CAROLYN MD</t>
  </si>
  <si>
    <t>CarolynChu</t>
  </si>
  <si>
    <t>CHU CAROLYN DR.</t>
  </si>
  <si>
    <t>8448 WILLIAMSBRIDGE</t>
  </si>
  <si>
    <t>E0374527</t>
  </si>
  <si>
    <t>SUGANDHI NANDITA</t>
  </si>
  <si>
    <t>NanditaSugandhi</t>
  </si>
  <si>
    <t>SUGANDHI NANDITA DR.</t>
  </si>
  <si>
    <t>SUGANDHI NANDITA SANJAY</t>
  </si>
  <si>
    <t>E0311249</t>
  </si>
  <si>
    <t>KERLINE MARCELIN MD PC</t>
  </si>
  <si>
    <t>KerlineMarcelin</t>
  </si>
  <si>
    <t>KERLINE MARCELIN MD,PC</t>
  </si>
  <si>
    <t>1983 CROMPOND RD STE 203</t>
  </si>
  <si>
    <t>E0283253</t>
  </si>
  <si>
    <t>EPSTEIN JONATHAN NACHMAN MD</t>
  </si>
  <si>
    <t>JonathanEpstein</t>
  </si>
  <si>
    <t>EPSTEIN JONATHAN DR.</t>
  </si>
  <si>
    <t>E0361425</t>
  </si>
  <si>
    <t>OBRIEN BETSY S</t>
  </si>
  <si>
    <t>OBRIEN BETSY</t>
  </si>
  <si>
    <t>OBRIEN BETSY SHAPIRO</t>
  </si>
  <si>
    <t>CHEN ZHE DR.</t>
  </si>
  <si>
    <t>550 FIRST AVENUE, NYU LANGONE MEDICAL CENTER</t>
  </si>
  <si>
    <t>ZAPOLSKY NATHAN</t>
  </si>
  <si>
    <t>AlomarMohammed</t>
  </si>
  <si>
    <t>ALOMAR MOHAMMED DR.</t>
  </si>
  <si>
    <t>E0025533</t>
  </si>
  <si>
    <t>SPIELER LEAH MATISSE</t>
  </si>
  <si>
    <t>SPIELER LEAH</t>
  </si>
  <si>
    <t>E0012423</t>
  </si>
  <si>
    <t>MILMAN TATYANA MD</t>
  </si>
  <si>
    <t>MilmanTatyana</t>
  </si>
  <si>
    <t>MILMAN TATYANA DR.</t>
  </si>
  <si>
    <t>E0297521</t>
  </si>
  <si>
    <t>VIVEK YERRAPU REDDY</t>
  </si>
  <si>
    <t>ReddyVivek</t>
  </si>
  <si>
    <t>REDDY VIVEK DR.</t>
  </si>
  <si>
    <t>REDDY VIVEK YERRAPU</t>
  </si>
  <si>
    <t>E0132485</t>
  </si>
  <si>
    <t>MOGILNER LEORA NAOMI MD</t>
  </si>
  <si>
    <t>MogilnerLeora</t>
  </si>
  <si>
    <t>MOGILNER LEORA</t>
  </si>
  <si>
    <t>E0306968</t>
  </si>
  <si>
    <t>TORINA PHILLIP</t>
  </si>
  <si>
    <t>TorinaPhilip</t>
  </si>
  <si>
    <t>TORINA PHILIP DR.</t>
  </si>
  <si>
    <t>TORINA PHILIP JOSEPH JR</t>
  </si>
  <si>
    <t>5 S 98TH STREET</t>
  </si>
  <si>
    <t>E0361546</t>
  </si>
  <si>
    <t>HILL JESSICA LAUGHREY</t>
  </si>
  <si>
    <t>HillJessica</t>
  </si>
  <si>
    <t>HILL JESSICA MS.</t>
  </si>
  <si>
    <t>E0409987</t>
  </si>
  <si>
    <t>BHATNAGAR AKASH</t>
  </si>
  <si>
    <t>BHATNAGAR AKASH DR.</t>
  </si>
  <si>
    <t>FAROUK SAMIRA</t>
  </si>
  <si>
    <t>8 FOXCROFT WAY</t>
  </si>
  <si>
    <t>E0330215</t>
  </si>
  <si>
    <t>FOROUTAN JANELLE</t>
  </si>
  <si>
    <t>ForoutanJanelle</t>
  </si>
  <si>
    <t>FOROUTAN JANELLE DR.</t>
  </si>
  <si>
    <t>FOROUTAN JANELLE  MD</t>
  </si>
  <si>
    <t>E0000738</t>
  </si>
  <si>
    <t>SETH URETSKY</t>
  </si>
  <si>
    <t>SethUretsky</t>
  </si>
  <si>
    <t>URETSKY SETH</t>
  </si>
  <si>
    <t>URETSKY SETH MD</t>
  </si>
  <si>
    <t>E0017465</t>
  </si>
  <si>
    <t>TITELIS JOANN ALEXANDROS MD</t>
  </si>
  <si>
    <t>JoannTitelis</t>
  </si>
  <si>
    <t>TITELIS JOANN DR.</t>
  </si>
  <si>
    <t>E0107813</t>
  </si>
  <si>
    <t>KARAMBELKAR DEEPA J MD</t>
  </si>
  <si>
    <t>DeepaKarambelkar</t>
  </si>
  <si>
    <t>KARAMBELKAR DEEPA</t>
  </si>
  <si>
    <t>BETH ISRAEL MC-PETRI</t>
  </si>
  <si>
    <t>E0101192</t>
  </si>
  <si>
    <t>LEE NAMHI</t>
  </si>
  <si>
    <t>NamhiLee</t>
  </si>
  <si>
    <t>37 W 46TH ST FL 2</t>
  </si>
  <si>
    <t>E0156459</t>
  </si>
  <si>
    <t>SCRIMMAGER LEON MD</t>
  </si>
  <si>
    <t>LeonScrimmager</t>
  </si>
  <si>
    <t>SCRIMMAGER LEON DR.</t>
  </si>
  <si>
    <t>210 E 86TH ST RM 202A</t>
  </si>
  <si>
    <t>E0364926</t>
  </si>
  <si>
    <t>HESSDORFER ANIKA D</t>
  </si>
  <si>
    <t>ANIKAHESSDORFER</t>
  </si>
  <si>
    <t>HESSDORFER ANIKA MISS</t>
  </si>
  <si>
    <t>E0188524</t>
  </si>
  <si>
    <t>ALYESHMERNI BAHRAM MD</t>
  </si>
  <si>
    <t>BahramAlyeshmerni</t>
  </si>
  <si>
    <t>ALYESHMERNI BAHRAM</t>
  </si>
  <si>
    <t>NY EYE EAR INFIRMARY</t>
  </si>
  <si>
    <t>E0309467</t>
  </si>
  <si>
    <t>POURSARTIP MARYAM</t>
  </si>
  <si>
    <t>MaryamPoursartip</t>
  </si>
  <si>
    <t>POURSARTIP MARYAM DR.</t>
  </si>
  <si>
    <t>E0223054</t>
  </si>
  <si>
    <t>ROSENBLUM HARVEY SHELDON   MD</t>
  </si>
  <si>
    <t>HarveyRosenblum</t>
  </si>
  <si>
    <t>ROSENBLUM HARVEY DR.</t>
  </si>
  <si>
    <t>220 MADISON AVE</t>
  </si>
  <si>
    <t>PhillipCalenda</t>
  </si>
  <si>
    <t>PHILLIP J CALENDA MD 2 PC</t>
  </si>
  <si>
    <t>1075 CENTRAL PARK AVE STE 303A</t>
  </si>
  <si>
    <t>E0218793</t>
  </si>
  <si>
    <t>MEHTA NAVIN C MD PC</t>
  </si>
  <si>
    <t>NavinMehta</t>
  </si>
  <si>
    <t>MEHTA NAVIN</t>
  </si>
  <si>
    <t>MEHTA NAVIN C</t>
  </si>
  <si>
    <t>E0156540</t>
  </si>
  <si>
    <t>EDWARDS SHARON M MD</t>
  </si>
  <si>
    <t>EdwardsSharon</t>
  </si>
  <si>
    <t>EDWARDS SHARON</t>
  </si>
  <si>
    <t>EDWARDS SHARON MARIE MD</t>
  </si>
  <si>
    <t>1468 MADISON AVE # 1202A</t>
  </si>
  <si>
    <t>TURNER ALYSON MS.</t>
  </si>
  <si>
    <t>420 E 72ND ST, 1J</t>
  </si>
  <si>
    <t>E0319544</t>
  </si>
  <si>
    <t>HUDESMAN DAVID PHILIP</t>
  </si>
  <si>
    <t>DAVIDHUDESMAN</t>
  </si>
  <si>
    <t>HUDESMAN DAVID DR.</t>
  </si>
  <si>
    <t>240 E 38TH ST</t>
  </si>
  <si>
    <t>CHRISTOPHERTEGTMEYER</t>
  </si>
  <si>
    <t>TEGTMEYER CHRISTOPHER</t>
  </si>
  <si>
    <t>1000 10TH AVE, 10TH FLR (INN) 10G-64</t>
  </si>
  <si>
    <t>E0107462</t>
  </si>
  <si>
    <t>SMITH MARK LAWRENCE MD</t>
  </si>
  <si>
    <t>MARKSMITH</t>
  </si>
  <si>
    <t>SMITH MARK</t>
  </si>
  <si>
    <t>E0038233</t>
  </si>
  <si>
    <t>BHAT SANDEEP MD</t>
  </si>
  <si>
    <t>SANDEEPBHAT</t>
  </si>
  <si>
    <t>BHAT SANDEEP DR.</t>
  </si>
  <si>
    <t>E0108173</t>
  </si>
  <si>
    <t>FRIEDMAN MARK DO</t>
  </si>
  <si>
    <t>MARKFRIEDMAN</t>
  </si>
  <si>
    <t>FRIEDMAN MARK</t>
  </si>
  <si>
    <t>E0082747</t>
  </si>
  <si>
    <t>HOJRAJ DIEGO GABRIEL MD</t>
  </si>
  <si>
    <t>DIEGOHOJRAJ</t>
  </si>
  <si>
    <t>HOJRAJ DIEGO DR.</t>
  </si>
  <si>
    <t>HOJRAJ DIEGO GABRIEL</t>
  </si>
  <si>
    <t>E0181560</t>
  </si>
  <si>
    <t>CUOMO FRANCES  MD</t>
  </si>
  <si>
    <t>FRANCESCUOMO</t>
  </si>
  <si>
    <t>CUOMO FRANCES</t>
  </si>
  <si>
    <t>PHILLIPS AMBULATORY</t>
  </si>
  <si>
    <t>E0308998</t>
  </si>
  <si>
    <t>ROMERO CARLA MARIA</t>
  </si>
  <si>
    <t>CARLAROMERO</t>
  </si>
  <si>
    <t>ROMERO CARLA DR.</t>
  </si>
  <si>
    <t>E0007366</t>
  </si>
  <si>
    <t>LIPELIS KONSTANTIN</t>
  </si>
  <si>
    <t>KONSTANTINLIPELIS</t>
  </si>
  <si>
    <t>LIPELIS KONSTANTIN DR.</t>
  </si>
  <si>
    <t>E0296250</t>
  </si>
  <si>
    <t>ISRAELOVITCH MELANIE</t>
  </si>
  <si>
    <t>MELANIEISRAELOVITCH</t>
  </si>
  <si>
    <t>ISRAELOVITCH MELANIE DR.</t>
  </si>
  <si>
    <t>E0310855</t>
  </si>
  <si>
    <t>TAI TAK YEE TANIA</t>
  </si>
  <si>
    <t>TAKYEETANIATAI</t>
  </si>
  <si>
    <t>RobertAbrams,M.D.</t>
  </si>
  <si>
    <t>E0224523</t>
  </si>
  <si>
    <t>ABRAMS ROBERT C            MD</t>
  </si>
  <si>
    <t>ABRAMS ROBERT</t>
  </si>
  <si>
    <t>ABRAMS ROBERT C</t>
  </si>
  <si>
    <t>ValbonaAvdija,N.P.</t>
  </si>
  <si>
    <t>E0376871</t>
  </si>
  <si>
    <t>SWIFT AMY E</t>
  </si>
  <si>
    <t>SWIFT AMY DR.</t>
  </si>
  <si>
    <t>RUSTGI SHEILA</t>
  </si>
  <si>
    <t>LU SHA SHA</t>
  </si>
  <si>
    <t>50 E 98TH ST, APT 6I</t>
  </si>
  <si>
    <t>PLITT ANNA</t>
  </si>
  <si>
    <t>9710 62ND DR APT 3K</t>
  </si>
  <si>
    <t>KAWSARI ZANNAT</t>
  </si>
  <si>
    <t>ZHURAKOVSKYY DMYTRO</t>
  </si>
  <si>
    <t>17 VILLAGE PLAZA DR</t>
  </si>
  <si>
    <t>OBIOHA JASMINE</t>
  </si>
  <si>
    <t>4733 W SUNSET BLVD FL 3</t>
  </si>
  <si>
    <t>KOULOVA ANNA</t>
  </si>
  <si>
    <t>215 E 95TH ST, APT 21B</t>
  </si>
  <si>
    <t>MORTON KATHRYN</t>
  </si>
  <si>
    <t>1 GUSTAVE L LEVY PL, MOUNT SINAI HOSPITAL</t>
  </si>
  <si>
    <t>E0437790</t>
  </si>
  <si>
    <t>CHARLES KATHERINE THERESE</t>
  </si>
  <si>
    <t>CHARLES KATHERINE DR.</t>
  </si>
  <si>
    <t>E0033951</t>
  </si>
  <si>
    <t>KIM MICHELLE KANG</t>
  </si>
  <si>
    <t>KIM MICHELLE</t>
  </si>
  <si>
    <t>MATHEWS ZARA DR.</t>
  </si>
  <si>
    <t>222 W 39TH AVE, SMMC EMERGENCY DEPARTMENT</t>
  </si>
  <si>
    <t>SAN MATEO</t>
  </si>
  <si>
    <t>E0089798</t>
  </si>
  <si>
    <t>SUTHERLAND LEROY NICHELOUS MD</t>
  </si>
  <si>
    <t>LEROYSUTHERLAND,</t>
  </si>
  <si>
    <t>SUTHERLAND, LEROY DR.</t>
  </si>
  <si>
    <t>E0150874</t>
  </si>
  <si>
    <t>BRAHM BERNARD DANIEL MD</t>
  </si>
  <si>
    <t>BERNARDBRAHM</t>
  </si>
  <si>
    <t>BRAHM BERNARD</t>
  </si>
  <si>
    <t>E0197941</t>
  </si>
  <si>
    <t>GREENBERG CARL             MD</t>
  </si>
  <si>
    <t>CARLGREENBERG</t>
  </si>
  <si>
    <t>GREENBERG CARL</t>
  </si>
  <si>
    <t>E0020152</t>
  </si>
  <si>
    <t>CHA YONHEE MD</t>
  </si>
  <si>
    <t>YonheeCha</t>
  </si>
  <si>
    <t>CHA YONHEE</t>
  </si>
  <si>
    <t>E0007113</t>
  </si>
  <si>
    <t>MUNGEKAR MEAGHAN MD</t>
  </si>
  <si>
    <t>MeaghanMungekar</t>
  </si>
  <si>
    <t>MUNGEKAR MEAGHAN</t>
  </si>
  <si>
    <t>10 UNION SQ E FRNT 2H</t>
  </si>
  <si>
    <t>E0137552</t>
  </si>
  <si>
    <t>KHALID NAZNEEN MD</t>
  </si>
  <si>
    <t>NazneenKhalid</t>
  </si>
  <si>
    <t>KHALID NAZNEEN</t>
  </si>
  <si>
    <t>DUP ADDRESS</t>
  </si>
  <si>
    <t>E0058995</t>
  </si>
  <si>
    <t>MORIMOTO TOKO MD</t>
  </si>
  <si>
    <t>TokoMorimoto</t>
  </si>
  <si>
    <t>MORIMOTO TOKO</t>
  </si>
  <si>
    <t>Schweitzer,Frances</t>
  </si>
  <si>
    <t>(516) 379-2778</t>
  </si>
  <si>
    <t>Sethi,Dinesh</t>
  </si>
  <si>
    <t>(621) 667-0388</t>
  </si>
  <si>
    <t>dsethimd@yahoo.com</t>
  </si>
  <si>
    <t>Shetty,Tharun</t>
  </si>
  <si>
    <t>(631) 661-3245</t>
  </si>
  <si>
    <t>Shpitalnik,Larissa</t>
  </si>
  <si>
    <t>(718) 518-1133</t>
  </si>
  <si>
    <t>LWHmedical@gmail.com</t>
  </si>
  <si>
    <t>Uskach,Evgenia</t>
  </si>
  <si>
    <t>Weinstein,Mitchell</t>
  </si>
  <si>
    <t>(631) 376-6137</t>
  </si>
  <si>
    <t>E0280611</t>
  </si>
  <si>
    <t>LICHTBLAU SHELDON          MD</t>
  </si>
  <si>
    <t>LICHTBLAU SHELDON DR.</t>
  </si>
  <si>
    <t>E0197863</t>
  </si>
  <si>
    <t>PATEL MIKSHA JITENDRA</t>
  </si>
  <si>
    <t>MIKSHAPATEL</t>
  </si>
  <si>
    <t>PATEL MIKSHA</t>
  </si>
  <si>
    <t>STE B8</t>
  </si>
  <si>
    <t>E0305056</t>
  </si>
  <si>
    <t>EVGENY FINK</t>
  </si>
  <si>
    <t>EVGENYFINK</t>
  </si>
  <si>
    <t>FINK EVGENY DR.</t>
  </si>
  <si>
    <t>FINK EVGENY</t>
  </si>
  <si>
    <t>6415 BAY PKWY</t>
  </si>
  <si>
    <t>SVETLANALERMAN</t>
  </si>
  <si>
    <t>LERMAN SVETLANA</t>
  </si>
  <si>
    <t>355 KINGS HWY, 5-E</t>
  </si>
  <si>
    <t>E0362917</t>
  </si>
  <si>
    <t>JONES ELIZABETH MARY</t>
  </si>
  <si>
    <t>ELIZABETHJONES</t>
  </si>
  <si>
    <t>JONES ELIZABETH</t>
  </si>
  <si>
    <t>E0025211</t>
  </si>
  <si>
    <t>BAHARLOU SHAHLA MD</t>
  </si>
  <si>
    <t>SHAHLABAHARLOU</t>
  </si>
  <si>
    <t>BAHARLOU SHAHLA</t>
  </si>
  <si>
    <t>E0366891</t>
  </si>
  <si>
    <t>MIKKOLA EEVA JOHANNA</t>
  </si>
  <si>
    <t>EevaMikkola</t>
  </si>
  <si>
    <t>MIKKOLA EEVA</t>
  </si>
  <si>
    <t>E0251721</t>
  </si>
  <si>
    <t>ABRAHAM IRWIN MD</t>
  </si>
  <si>
    <t>IrwinAbraham</t>
  </si>
  <si>
    <t>ABRAHAM IRWIN</t>
  </si>
  <si>
    <t>274 MADISON AVE RM 906</t>
  </si>
  <si>
    <t>PHILIP RINNIE</t>
  </si>
  <si>
    <t>817 MORNING DOVE CT</t>
  </si>
  <si>
    <t>KUSCHNER ZACHARY</t>
  </si>
  <si>
    <t>166 E 96TH ST APT 2B</t>
  </si>
  <si>
    <t>EDWARDS LINDSAY DR.</t>
  </si>
  <si>
    <t>4550 E CHERRY CREEK SOUTH DR, APT. 706</t>
  </si>
  <si>
    <t>MEHTA SHAILJA</t>
  </si>
  <si>
    <t>1176 5TH AVE # 1170</t>
  </si>
  <si>
    <t>HERRERO FRANCES</t>
  </si>
  <si>
    <t>105 CALLE 2A, ALTURAS DE TORRIMAR OESTE</t>
  </si>
  <si>
    <t>NawabKhalid</t>
  </si>
  <si>
    <t>NAWAB KHALID</t>
  </si>
  <si>
    <t>JoelBlass,M.D.</t>
  </si>
  <si>
    <t>DhananEtwaru</t>
  </si>
  <si>
    <t>E0138245</t>
  </si>
  <si>
    <t>ETWARU DHANAN JAI MD</t>
  </si>
  <si>
    <t>ETWARU DHANAN DR.</t>
  </si>
  <si>
    <t>ETWARU DHANAN JAI</t>
  </si>
  <si>
    <t>E0089439</t>
  </si>
  <si>
    <t>KRYM OLGA B</t>
  </si>
  <si>
    <t>OlgaKrym</t>
  </si>
  <si>
    <t>KRYM OLGA</t>
  </si>
  <si>
    <t>E0344457</t>
  </si>
  <si>
    <t>BENIAS PETROS</t>
  </si>
  <si>
    <t>PetrosBenias</t>
  </si>
  <si>
    <t>BENIAS PETROS DR.</t>
  </si>
  <si>
    <t>BENIAS PETROS CONSTANTINOS</t>
  </si>
  <si>
    <t>10 UNION SQ E FRNT 2G</t>
  </si>
  <si>
    <t>E0336312</t>
  </si>
  <si>
    <t>MALHAN RISHI</t>
  </si>
  <si>
    <t>RishiMalhan</t>
  </si>
  <si>
    <t>E0337545</t>
  </si>
  <si>
    <t>RAHIMIAN VAHID</t>
  </si>
  <si>
    <t>VahidRahimian</t>
  </si>
  <si>
    <t>RAHIMIAN VAHID DR.</t>
  </si>
  <si>
    <t>121 E 60TH ST APT 4C</t>
  </si>
  <si>
    <t>CINDYMELAMED</t>
  </si>
  <si>
    <t>MELAMED CINDY</t>
  </si>
  <si>
    <t>1000 10TH AVENUE, SUITE 5G 80</t>
  </si>
  <si>
    <t>E0174706</t>
  </si>
  <si>
    <t>COMPITO CATHERINE A MD</t>
  </si>
  <si>
    <t>CATHERINECOMPITO</t>
  </si>
  <si>
    <t>COMPITO CATHERINE DR.</t>
  </si>
  <si>
    <t>MichaelBernstein,MD</t>
  </si>
  <si>
    <t>E0027524</t>
  </si>
  <si>
    <t>BERNSTEIN MICHAEL</t>
  </si>
  <si>
    <t>BERNSTEIN MICHAEL DR.</t>
  </si>
  <si>
    <t>BERNSTEIN MICHAEL ALAN</t>
  </si>
  <si>
    <t>MARGARETMITCHELL</t>
  </si>
  <si>
    <t>31 ORIENT AVE</t>
  </si>
  <si>
    <t>TULSIPATEL</t>
  </si>
  <si>
    <t>PATEL TULSI</t>
  </si>
  <si>
    <t>1000 10TH AVE, 11TH FLOOR</t>
  </si>
  <si>
    <t>E0037884</t>
  </si>
  <si>
    <t>TALBOTT MAITE DEL CARMEN MD</t>
  </si>
  <si>
    <t>MAITETALBOTT</t>
  </si>
  <si>
    <t>TALBOTT MAITE</t>
  </si>
  <si>
    <t>E0043176</t>
  </si>
  <si>
    <t>GROVES MARK MD</t>
  </si>
  <si>
    <t>MarkGroves</t>
  </si>
  <si>
    <t>GROVES MARK</t>
  </si>
  <si>
    <t>STE 5H</t>
  </si>
  <si>
    <t>E0107999</t>
  </si>
  <si>
    <t>FOO SANDRA THERESA MD</t>
  </si>
  <si>
    <t>SandraFoo</t>
  </si>
  <si>
    <t>FOO SANDRA DR.</t>
  </si>
  <si>
    <t>E0383158</t>
  </si>
  <si>
    <t>WEINTRAUB JENNIFER</t>
  </si>
  <si>
    <t>JENNIFERWEINTRAUB</t>
  </si>
  <si>
    <t>WEINTRAUB JENNIFER PAIGE</t>
  </si>
  <si>
    <t>1 GUSTAVE L LEVY PL FL 12</t>
  </si>
  <si>
    <t>DR.ROBERTCOPELAND-HALPERIN</t>
  </si>
  <si>
    <t>COPELAND-HALPERIN ROBERT DR.</t>
  </si>
  <si>
    <t>ONE GUSTAVE L. LEVY PLACE, MOUNT SINAI</t>
  </si>
  <si>
    <t>MS.DANABERG</t>
  </si>
  <si>
    <t>BERG DANA MS.</t>
  </si>
  <si>
    <t>10 MCCLUSKEY CT</t>
  </si>
  <si>
    <t>PadmavathiMurakonda</t>
  </si>
  <si>
    <t>LindaMoggio</t>
  </si>
  <si>
    <t>AnnMarie</t>
  </si>
  <si>
    <t>PredagPopovic</t>
  </si>
  <si>
    <t>RobinRussell</t>
  </si>
  <si>
    <t>AnnaSkokowska-Lebelt</t>
  </si>
  <si>
    <t>PaulineSuwandhi</t>
  </si>
  <si>
    <t>3335SteubenAvenue</t>
  </si>
  <si>
    <t>MR.GENEMCCULLOUGH</t>
  </si>
  <si>
    <t>E0261865</t>
  </si>
  <si>
    <t>ROZBRUCH JACOB D           MD</t>
  </si>
  <si>
    <t>JACOBROZBRUCH</t>
  </si>
  <si>
    <t>ROZBRUCH JACOB DR.</t>
  </si>
  <si>
    <t>APT 1J-K</t>
  </si>
  <si>
    <t>E0315036</t>
  </si>
  <si>
    <t>WORRELL HELAINE</t>
  </si>
  <si>
    <t>HELAINEWORRELL</t>
  </si>
  <si>
    <t>106 EAST  35TH STREE</t>
  </si>
  <si>
    <t>E0178187</t>
  </si>
  <si>
    <t>SIMON CLAUDE  MD</t>
  </si>
  <si>
    <t>ClaudeSimon</t>
  </si>
  <si>
    <t>SIMON CLAUDE MR.</t>
  </si>
  <si>
    <t>E0157993</t>
  </si>
  <si>
    <t>GHEEWALA ANUP MD</t>
  </si>
  <si>
    <t>AnupGheewala</t>
  </si>
  <si>
    <t>GHEEWALA ANUP</t>
  </si>
  <si>
    <t>E0025903</t>
  </si>
  <si>
    <t>BROWN WILLIAM H MD</t>
  </si>
  <si>
    <t>WilliamBrown</t>
  </si>
  <si>
    <t>BROWN WILLIAM DR.</t>
  </si>
  <si>
    <t>232 E 30TH ST</t>
  </si>
  <si>
    <t>E0161792</t>
  </si>
  <si>
    <t>MYERS CYNTHIA E MD</t>
  </si>
  <si>
    <t>CynthiaMyers</t>
  </si>
  <si>
    <t>MYERS CYNTHIA</t>
  </si>
  <si>
    <t>MYERS CYNTHIA ELAINE</t>
  </si>
  <si>
    <t>AdamGoldman</t>
  </si>
  <si>
    <t>E0128044</t>
  </si>
  <si>
    <t>CANTER MURRAY A MD</t>
  </si>
  <si>
    <t>MurrayCanter</t>
  </si>
  <si>
    <t>CANTER MURRAY</t>
  </si>
  <si>
    <t>E0065210</t>
  </si>
  <si>
    <t>CHEN JUNPING</t>
  </si>
  <si>
    <t>JunpingChen</t>
  </si>
  <si>
    <t>CHEN JUNPING DR.</t>
  </si>
  <si>
    <t>E0189191</t>
  </si>
  <si>
    <t>WEISS ROBERT ALLEN MD</t>
  </si>
  <si>
    <t>RobertWeiss</t>
  </si>
  <si>
    <t>WEISS ROBERT DR.</t>
  </si>
  <si>
    <t>LINCOLN HOSPT</t>
  </si>
  <si>
    <t>E0287717</t>
  </si>
  <si>
    <t>SAPORITO ANNA GABRIELLA MD</t>
  </si>
  <si>
    <t>ANNASAPORITO</t>
  </si>
  <si>
    <t>SAPORITO ANNA DR.</t>
  </si>
  <si>
    <t>160 E 32ND ST STE 102</t>
  </si>
  <si>
    <t>E0318267</t>
  </si>
  <si>
    <t>GARCIA-FUSCO VERONICA</t>
  </si>
  <si>
    <t>VERONICAGARCIAFUSCO</t>
  </si>
  <si>
    <t>GARCIA FUSCO VERONICA DR.</t>
  </si>
  <si>
    <t>JackNussbaum</t>
  </si>
  <si>
    <t>(631) 588-8460</t>
  </si>
  <si>
    <t>BensonOnghai</t>
  </si>
  <si>
    <t>ManuelRosales</t>
  </si>
  <si>
    <t>MeenalShukla</t>
  </si>
  <si>
    <t>KarenMedin</t>
  </si>
  <si>
    <t>(631) 444-2599</t>
  </si>
  <si>
    <t>AndreaDory</t>
  </si>
  <si>
    <t>(516) 359-7193</t>
  </si>
  <si>
    <t>20CroydenSt.</t>
  </si>
  <si>
    <t>NewHydePark</t>
  </si>
  <si>
    <t>RAMINENI ANIL</t>
  </si>
  <si>
    <t>1356 LUSITANA ST FL 7, UNIVERSITY OF HAWAI'I INT MEDICINE RESIDENCY PROGRAM</t>
  </si>
  <si>
    <t>HONOLULU</t>
  </si>
  <si>
    <t>E0329787</t>
  </si>
  <si>
    <t>WHITAKER BEATRICE ROSE MD</t>
  </si>
  <si>
    <t>BeatriceWhitaker</t>
  </si>
  <si>
    <t>WHITAKER BEATRICE DR.</t>
  </si>
  <si>
    <t>5205 CHURCH AVE # 7</t>
  </si>
  <si>
    <t>E0342427</t>
  </si>
  <si>
    <t>BHOWMICK DEBJANI</t>
  </si>
  <si>
    <t>DebjaniBhowmick</t>
  </si>
  <si>
    <t>BHOWMICK DEBJANI MRS.</t>
  </si>
  <si>
    <t>E0010401</t>
  </si>
  <si>
    <t>TKACHENKO NATALYA MD</t>
  </si>
  <si>
    <t>NatalyaTkachenko</t>
  </si>
  <si>
    <t>TKACHENKO NATALYA</t>
  </si>
  <si>
    <t>KHALIL STEVE</t>
  </si>
  <si>
    <t>2880 VICTORY BLVD</t>
  </si>
  <si>
    <t>CHOI SIMON DR.</t>
  </si>
  <si>
    <t>JORDAN CHRISTOPHER</t>
  </si>
  <si>
    <t>605 6TH ST FL 6</t>
  </si>
  <si>
    <t>ChakkourWadih</t>
  </si>
  <si>
    <t>CHAKKOUR WADIH DR.</t>
  </si>
  <si>
    <t>275 ENGLE ST, APARTMENT N2</t>
  </si>
  <si>
    <t>E0056550</t>
  </si>
  <si>
    <t>IVANOV ILIYAN STOYANOV MD</t>
  </si>
  <si>
    <t>ILIYANIVANOV</t>
  </si>
  <si>
    <t>IVANOV ILIYAN</t>
  </si>
  <si>
    <t>BOX 1230</t>
  </si>
  <si>
    <t>EdwinDabbs</t>
  </si>
  <si>
    <t>E0231318</t>
  </si>
  <si>
    <t>DABBS EDWIN GERALD         MD</t>
  </si>
  <si>
    <t>DABBS EDWIN</t>
  </si>
  <si>
    <t>OLD MONTAUK HWY</t>
  </si>
  <si>
    <t>AMAGANSETT</t>
  </si>
  <si>
    <t>LukeChang</t>
  </si>
  <si>
    <t>E0056665</t>
  </si>
  <si>
    <t>CHANG LUKE</t>
  </si>
  <si>
    <t>2795 RICHMOND AVE STE 2</t>
  </si>
  <si>
    <t>AnthonyLaforgia</t>
  </si>
  <si>
    <t>E0045493</t>
  </si>
  <si>
    <t>LA FORGIA ANTHONY</t>
  </si>
  <si>
    <t>LA FORGIA ANTHONY DR.</t>
  </si>
  <si>
    <t>119 TOMPKINS AVE MEDICAL DEPT</t>
  </si>
  <si>
    <t>E0325325</t>
  </si>
  <si>
    <t>ELMORE SHERLETTE</t>
  </si>
  <si>
    <t>MISSSHERLETTEELMORE</t>
  </si>
  <si>
    <t>ELMORE SHERLETTE MISS</t>
  </si>
  <si>
    <t>E0202587</t>
  </si>
  <si>
    <t>AMERLING RICHARD           MD</t>
  </si>
  <si>
    <t>RICHARDAMERLING</t>
  </si>
  <si>
    <t>AMERLING RICHARD</t>
  </si>
  <si>
    <t>E0048427</t>
  </si>
  <si>
    <t>ASSADI MASHID A</t>
  </si>
  <si>
    <t>MAHSHIDASSADI</t>
  </si>
  <si>
    <t>ASSADI MAHSHID</t>
  </si>
  <si>
    <t>ASSADI MAHSHID ARFANIA MD</t>
  </si>
  <si>
    <t>GloriaWang</t>
  </si>
  <si>
    <t>E0374523</t>
  </si>
  <si>
    <t>WANG ZHONG</t>
  </si>
  <si>
    <t>NataliyaBaketova</t>
  </si>
  <si>
    <t>BAKETOVA NATALIYA MS.</t>
  </si>
  <si>
    <t>TawnyLowe</t>
  </si>
  <si>
    <t>E0009682</t>
  </si>
  <si>
    <t>LOWE TAWNY</t>
  </si>
  <si>
    <t>CHILD ADVOCACY CENTE</t>
  </si>
  <si>
    <t>KirkMcfarlene</t>
  </si>
  <si>
    <t>LorenMcGahee</t>
  </si>
  <si>
    <t>MCGAHEE LOREN</t>
  </si>
  <si>
    <t>535 E 70TH ST, SUITE 853W, DEPT OF ANESTHESIA</t>
  </si>
  <si>
    <t>JacqueleneBronfeld</t>
  </si>
  <si>
    <t>SHATLOVA JACQUELENE</t>
  </si>
  <si>
    <t>StephanoClermont</t>
  </si>
  <si>
    <t>E0352799</t>
  </si>
  <si>
    <t>ESCOBAR CHRISTIAN</t>
  </si>
  <si>
    <t>CHRISTIANESCOBAR</t>
  </si>
  <si>
    <t>E0033645</t>
  </si>
  <si>
    <t>FORDJOUR LAWRENCE</t>
  </si>
  <si>
    <t>LAWRENCEFORDJOUR</t>
  </si>
  <si>
    <t>FORDJOUR LAWRENCE DR.</t>
  </si>
  <si>
    <t>E0014386</t>
  </si>
  <si>
    <t>RUGHWANI NISHA MD</t>
  </si>
  <si>
    <t>NISHARUGHWANI</t>
  </si>
  <si>
    <t>RUGHWANI NISHA DR.</t>
  </si>
  <si>
    <t>E0337444</t>
  </si>
  <si>
    <t>SCARBOROUGH BETHANN M</t>
  </si>
  <si>
    <t>BETHANNSCARBOROUGH</t>
  </si>
  <si>
    <t>SCARBOROUGH BETHANN</t>
  </si>
  <si>
    <t>E0002658</t>
  </si>
  <si>
    <t>AREND JONATHAN</t>
  </si>
  <si>
    <t>JONATHANAREND</t>
  </si>
  <si>
    <t>AREND JONATHAN DR.</t>
  </si>
  <si>
    <t>AREND JONATHAN LAURENCE MD</t>
  </si>
  <si>
    <t>E0013273</t>
  </si>
  <si>
    <t>BRADLEY SARA M MD</t>
  </si>
  <si>
    <t>SARABRADLEY</t>
  </si>
  <si>
    <t>BRADLEY SARA</t>
  </si>
  <si>
    <t>E0311149</t>
  </si>
  <si>
    <t>TADROS NARDIN</t>
  </si>
  <si>
    <t>NARDINTADROS</t>
  </si>
  <si>
    <t>IBRAHIM NARDIN DR.</t>
  </si>
  <si>
    <t>PaulKastell</t>
  </si>
  <si>
    <t>E0180096</t>
  </si>
  <si>
    <t>KASTELL PAUL H MD</t>
  </si>
  <si>
    <t>KASTELL PAUL DR.</t>
  </si>
  <si>
    <t>KASTELL PAUL HOWARD</t>
  </si>
  <si>
    <t>SarahRawstron</t>
  </si>
  <si>
    <t>E0073333</t>
  </si>
  <si>
    <t>RAWSTRON SARAH ANNE</t>
  </si>
  <si>
    <t>RAWSTRON SARAH DR.</t>
  </si>
  <si>
    <t>E0142099</t>
  </si>
  <si>
    <t>TURANO GERARD MD</t>
  </si>
  <si>
    <t>GERARDTURANO</t>
  </si>
  <si>
    <t>TURANO GERARD DR.</t>
  </si>
  <si>
    <t>E0014232</t>
  </si>
  <si>
    <t>JOHNSON AMY L MD</t>
  </si>
  <si>
    <t>AMYJOHNSON</t>
  </si>
  <si>
    <t>E0085590</t>
  </si>
  <si>
    <t>RUGGIERO JOSEPH STEPHEN</t>
  </si>
  <si>
    <t>JOSEPHRUGGIERO</t>
  </si>
  <si>
    <t>RUGGIERO JOSEPH</t>
  </si>
  <si>
    <t>MarcMacatangay,OTR/L</t>
  </si>
  <si>
    <t>E0342619</t>
  </si>
  <si>
    <t>MACATANGAY MARC</t>
  </si>
  <si>
    <t>E0055798</t>
  </si>
  <si>
    <t>LIAO EMILIA PAULINE MD</t>
  </si>
  <si>
    <t>EMILIALIAO</t>
  </si>
  <si>
    <t>LIAO EMILIA</t>
  </si>
  <si>
    <t>LIAO EMILIA PAULINE</t>
  </si>
  <si>
    <t>E0195825</t>
  </si>
  <si>
    <t>ORIN GARY BRUCE            MD</t>
  </si>
  <si>
    <t>GARYORIN</t>
  </si>
  <si>
    <t>ORIN GARY DR.</t>
  </si>
  <si>
    <t>ORIN GARY BRUCE  MD</t>
  </si>
  <si>
    <t>E0151557</t>
  </si>
  <si>
    <t>FREDRICKSON LAURALYN MD</t>
  </si>
  <si>
    <t>LauralynFredrickson</t>
  </si>
  <si>
    <t>FREDRICKSON LAURALYN</t>
  </si>
  <si>
    <t>PSYCH ASSOC/MANH PC</t>
  </si>
  <si>
    <t>E0118616</t>
  </si>
  <si>
    <t>SCHANTZ STIMSON P MD</t>
  </si>
  <si>
    <t>StimsonSchantz</t>
  </si>
  <si>
    <t>SCHANTZ STIMSON DR.</t>
  </si>
  <si>
    <t>SCHANTZ STIMSON PRYOR</t>
  </si>
  <si>
    <t>CarmenLazala</t>
  </si>
  <si>
    <t>E0077131</t>
  </si>
  <si>
    <t>BAGNER MICHAEL R MD</t>
  </si>
  <si>
    <t>MichaelBagner</t>
  </si>
  <si>
    <t>BAGNER MICHAEL</t>
  </si>
  <si>
    <t>BAGNER MICHAEL ROBERT</t>
  </si>
  <si>
    <t>KeithRoach</t>
  </si>
  <si>
    <t>SandraRolston</t>
  </si>
  <si>
    <t>LaurenSanders</t>
  </si>
  <si>
    <t>PaulaSinclair</t>
  </si>
  <si>
    <t>LaurenSmaldone</t>
  </si>
  <si>
    <t>RebeccaSummers</t>
  </si>
  <si>
    <t>JennyTan</t>
  </si>
  <si>
    <t>MariaPaini</t>
  </si>
  <si>
    <t>E0331865</t>
  </si>
  <si>
    <t>PAINI MARIA LINDA</t>
  </si>
  <si>
    <t>PAINI MARIA MS.</t>
  </si>
  <si>
    <t>DIAZ MARIA LINDA</t>
  </si>
  <si>
    <t>105 HAMILTON AVENUE</t>
  </si>
  <si>
    <t>MaryNealon</t>
  </si>
  <si>
    <t>E0339336</t>
  </si>
  <si>
    <t>NEALON MARY T</t>
  </si>
  <si>
    <t>NEALON MARY MS.</t>
  </si>
  <si>
    <t>3703 10TH AVE</t>
  </si>
  <si>
    <t>MonicaMirchandani</t>
  </si>
  <si>
    <t>E0370595</t>
  </si>
  <si>
    <t>MIRCHANDANI MONICA HARGROVIND</t>
  </si>
  <si>
    <t>MIRCHANDANI MONICA</t>
  </si>
  <si>
    <t>NancyMattox</t>
  </si>
  <si>
    <t>E0340596</t>
  </si>
  <si>
    <t>MATTOX NANCY ANN</t>
  </si>
  <si>
    <t>150 E 45TH ST</t>
  </si>
  <si>
    <t>RachelSamuels</t>
  </si>
  <si>
    <t>E0338646</t>
  </si>
  <si>
    <t>SAMUELS RACHEL L</t>
  </si>
  <si>
    <t>SAMUELS RACHEL MS.</t>
  </si>
  <si>
    <t>RobertTowner,M.D.</t>
  </si>
  <si>
    <t>BoguslawaUszynski,N.P.</t>
  </si>
  <si>
    <t>AshaVardarajan,PsyD</t>
  </si>
  <si>
    <t>JeffreyWeinberg,M.D.</t>
  </si>
  <si>
    <t>E0111646</t>
  </si>
  <si>
    <t>SAHA PRANTIK MD</t>
  </si>
  <si>
    <t>PrantikSaha</t>
  </si>
  <si>
    <t>SAHA PRANTIK DR.</t>
  </si>
  <si>
    <t>ALLEN PAVILION 1095</t>
  </si>
  <si>
    <t>E0161346</t>
  </si>
  <si>
    <t>PIERCE WALTER JOHN MD</t>
  </si>
  <si>
    <t>WalterPierce</t>
  </si>
  <si>
    <t>PIERCE WALTER DR.</t>
  </si>
  <si>
    <t>E0122294</t>
  </si>
  <si>
    <t>SWARUP RUPENDRA MD</t>
  </si>
  <si>
    <t>RUPENDRASWARUP</t>
  </si>
  <si>
    <t>SWARUP RUPENDRA</t>
  </si>
  <si>
    <t>AnnGrogan</t>
  </si>
  <si>
    <t>E0337681</t>
  </si>
  <si>
    <t>GROGAN ANN MARIE</t>
  </si>
  <si>
    <t>SusanBuchanan</t>
  </si>
  <si>
    <t>(718) 310-5794</t>
  </si>
  <si>
    <t>sbuchanan@WeAreBCS.org</t>
  </si>
  <si>
    <t>GROGAN ANN</t>
  </si>
  <si>
    <t>YannickKreuger</t>
  </si>
  <si>
    <t>KRUEGER YANNICK</t>
  </si>
  <si>
    <t>554 7TH ST, 4L</t>
  </si>
  <si>
    <t>RachelMaki</t>
  </si>
  <si>
    <t>E0289307</t>
  </si>
  <si>
    <t>MAKI RACHAEL HILDA</t>
  </si>
  <si>
    <t>JessicaMojica</t>
  </si>
  <si>
    <t>(917) 485-7291</t>
  </si>
  <si>
    <t>Jessica.Mojica@nyfoundling.org</t>
  </si>
  <si>
    <t>MAKI RACHEL</t>
  </si>
  <si>
    <t>E0073297</t>
  </si>
  <si>
    <t>HIOTIS SPIROS P MD</t>
  </si>
  <si>
    <t>HiotisSpiros</t>
  </si>
  <si>
    <t>HIOTIS SPIROS</t>
  </si>
  <si>
    <t>160 E 34TH ST</t>
  </si>
  <si>
    <t>GBOLLIE TAWAI</t>
  </si>
  <si>
    <t>E0294019</t>
  </si>
  <si>
    <t>RUCKER JANET</t>
  </si>
  <si>
    <t>RUCKER JANET DR.</t>
  </si>
  <si>
    <t>RUCKER JANET CHARLEEN</t>
  </si>
  <si>
    <t>240 E 38TH ST FL 20</t>
  </si>
  <si>
    <t>E0194442</t>
  </si>
  <si>
    <t>KANJILAL DEBASIS           MD</t>
  </si>
  <si>
    <t>KanjilalDebasis</t>
  </si>
  <si>
    <t>KANJILAL DEBASIS</t>
  </si>
  <si>
    <t>E0142802</t>
  </si>
  <si>
    <t>EDELMAN LAURIE BETH MD</t>
  </si>
  <si>
    <t>EdelmanLaurie</t>
  </si>
  <si>
    <t>EDELMAN LAURIE</t>
  </si>
  <si>
    <t>INT MED</t>
  </si>
  <si>
    <t>E0378391</t>
  </si>
  <si>
    <t>SACOLICK DANIEL</t>
  </si>
  <si>
    <t>SacolickDaniel</t>
  </si>
  <si>
    <t>SACOLICK DANIEL S</t>
  </si>
  <si>
    <t>RiccobonoAngela</t>
  </si>
  <si>
    <t>RICCOBONO ANGELA DR.</t>
  </si>
  <si>
    <t>E0293227</t>
  </si>
  <si>
    <t>CHU JAIME</t>
  </si>
  <si>
    <t>ChuJaime</t>
  </si>
  <si>
    <t>CHU JAIME C MD</t>
  </si>
  <si>
    <t>E0306090</t>
  </si>
  <si>
    <t>PORT ELISA RUSH MD</t>
  </si>
  <si>
    <t>PortElisa</t>
  </si>
  <si>
    <t>PORT ELISA</t>
  </si>
  <si>
    <t>ProminisMedicalServices,PC</t>
  </si>
  <si>
    <t>E0038447</t>
  </si>
  <si>
    <t>PROMINIS MEDICAL SERVICES PC</t>
  </si>
  <si>
    <t>AndrasFenyves</t>
  </si>
  <si>
    <t>(718) 687-6161</t>
  </si>
  <si>
    <t>fenyves@prominis.com</t>
  </si>
  <si>
    <t>332 DEKALB AVE</t>
  </si>
  <si>
    <t>MarioSaint-Laurant</t>
  </si>
  <si>
    <t>CarmelSaint-Laurent</t>
  </si>
  <si>
    <t>(718) 230-0500</t>
  </si>
  <si>
    <t>slbmedical3@gmail.com</t>
  </si>
  <si>
    <t>EvaGomolinski</t>
  </si>
  <si>
    <t>E0201687</t>
  </si>
  <si>
    <t>GOMOLINSKI EVA             MD</t>
  </si>
  <si>
    <t>BeverlySlater</t>
  </si>
  <si>
    <t>bslater506@aol.com</t>
  </si>
  <si>
    <t>GOMOLINSKI EVA</t>
  </si>
  <si>
    <t>ELIZABETH HORTON HSP</t>
  </si>
  <si>
    <t>E0313842</t>
  </si>
  <si>
    <t>TOKITA JOJI ERIK</t>
  </si>
  <si>
    <t>TokitaJoji</t>
  </si>
  <si>
    <t>TOKITA JOJI DR.</t>
  </si>
  <si>
    <t>ROSENSTOCK JARED DR.</t>
  </si>
  <si>
    <t>301 E 79TH ST, APT 15D</t>
  </si>
  <si>
    <t>BarjaktarovicNevena</t>
  </si>
  <si>
    <t>BARJAKTAROVIC NEVENA MRS.</t>
  </si>
  <si>
    <t>334 E 90TH ST, APT 4A</t>
  </si>
  <si>
    <t>HURTADO CAROLINA</t>
  </si>
  <si>
    <t>1111 AMSTERDAM AVE PLANT BLDG SUITE 2050</t>
  </si>
  <si>
    <t>E0171317</t>
  </si>
  <si>
    <t>BERGSTEIN MICHAEL J MD</t>
  </si>
  <si>
    <t>BergsteinMichael</t>
  </si>
  <si>
    <t>BERGSTEIN MICHAEL DR.</t>
  </si>
  <si>
    <t>BERGSTEIN MICHAEL J</t>
  </si>
  <si>
    <t>ENT &amp; ALLERGY</t>
  </si>
  <si>
    <t>NWOKE FRANKLIN</t>
  </si>
  <si>
    <t>1240 S. CEDAR CREST BLVD SUITE 410, LEHIGH VALLEY HEALTH NETWORK</t>
  </si>
  <si>
    <t>PEREZ MATA FRANCISCO DR.</t>
  </si>
  <si>
    <t>515 W 59TH ST, APT 19F</t>
  </si>
  <si>
    <t>E0017510</t>
  </si>
  <si>
    <t>WIENTZEN GELBER MARIANNE P NP</t>
  </si>
  <si>
    <t>GelberMarianne</t>
  </si>
  <si>
    <t>WIENTZEN GELBER MARIANNE</t>
  </si>
  <si>
    <t>E0283802</t>
  </si>
  <si>
    <t>CAVANAUGH DIANNE</t>
  </si>
  <si>
    <t>CAVANAUGH DIANNE MS.</t>
  </si>
  <si>
    <t>CAVANAUGH DIANNE EDWINA</t>
  </si>
  <si>
    <t>E0300607</t>
  </si>
  <si>
    <t>MAHONEY TARA</t>
  </si>
  <si>
    <t>MAHONEY TARA ANN</t>
  </si>
  <si>
    <t>E0245010</t>
  </si>
  <si>
    <t>WIND RICHARD M             MD</t>
  </si>
  <si>
    <t>RichardWind</t>
  </si>
  <si>
    <t>WIND RICHARD DR.</t>
  </si>
  <si>
    <t>E0059336</t>
  </si>
  <si>
    <t>RIVERA JULIE LINKSMAN</t>
  </si>
  <si>
    <t>JulieRivera</t>
  </si>
  <si>
    <t>RIVERA JULIE</t>
  </si>
  <si>
    <t>RIVERA JULIE L</t>
  </si>
  <si>
    <t>E0300589</t>
  </si>
  <si>
    <t>BOWERS DANIEL</t>
  </si>
  <si>
    <t>DANIELBOWERS</t>
  </si>
  <si>
    <t>BOWERS DANIEL DR.</t>
  </si>
  <si>
    <t>BOWERS DANIEL HARVEY</t>
  </si>
  <si>
    <t>E0203119</t>
  </si>
  <si>
    <t>SAMUELSON ROBERT JEFFREY   MD</t>
  </si>
  <si>
    <t>ROBERTSAMUELSON</t>
  </si>
  <si>
    <t>SAMUELSON ROBERT DR.</t>
  </si>
  <si>
    <t>SAMUELSON ROBERT JEFFREY</t>
  </si>
  <si>
    <t>38 E 32ND ST</t>
  </si>
  <si>
    <t>E0127870</t>
  </si>
  <si>
    <t>HADZIC ADMIR MD</t>
  </si>
  <si>
    <t>ADMIRHADZIC</t>
  </si>
  <si>
    <t>HADZIC ADMIR DR.</t>
  </si>
  <si>
    <t>E0130288</t>
  </si>
  <si>
    <t>WAN STEPHEN</t>
  </si>
  <si>
    <t>STEPHENWAN</t>
  </si>
  <si>
    <t>WAN STEPHEN DR.</t>
  </si>
  <si>
    <t>WAN STEPHEN SAMKONG MD</t>
  </si>
  <si>
    <t>HeghineZalinyan</t>
  </si>
  <si>
    <t>E0091728</t>
  </si>
  <si>
    <t>SINGER ELIZABETH KARA MD</t>
  </si>
  <si>
    <t>ElizabethSinger</t>
  </si>
  <si>
    <t>SINGER ELIZABETH</t>
  </si>
  <si>
    <t>E0111112</t>
  </si>
  <si>
    <t>THAYAPARAN ROSE</t>
  </si>
  <si>
    <t>RoseThayaparan</t>
  </si>
  <si>
    <t>E0302280</t>
  </si>
  <si>
    <t>ROSENFIELD PAUL JACOBY</t>
  </si>
  <si>
    <t>PaulRosenfield</t>
  </si>
  <si>
    <t>ROSENFIELD PAUL</t>
  </si>
  <si>
    <t>SheldonStachel</t>
  </si>
  <si>
    <t>E0099315</t>
  </si>
  <si>
    <t>STACHEL SHELDON</t>
  </si>
  <si>
    <t>STACHEL SHELDON DR.</t>
  </si>
  <si>
    <t>MorrisFeder</t>
  </si>
  <si>
    <t>FEDER MORRIS DR.</t>
  </si>
  <si>
    <t>1422 52ND ST</t>
  </si>
  <si>
    <t>JohnDigregorio</t>
  </si>
  <si>
    <t>DIGREGORIO JOHN DR.</t>
  </si>
  <si>
    <t>574 BAY RIDGE PARKWAY</t>
  </si>
  <si>
    <t>LindaKamal</t>
  </si>
  <si>
    <t>E0124492</t>
  </si>
  <si>
    <t>KAMAL LINDA ANN MD</t>
  </si>
  <si>
    <t>(917) 603-5479</t>
  </si>
  <si>
    <t>drkamal@rnc.com</t>
  </si>
  <si>
    <t>KAMAL LINDA</t>
  </si>
  <si>
    <t>ST CLARES HOSP &amp; HC</t>
  </si>
  <si>
    <t>E0022181</t>
  </si>
  <si>
    <t>NEMBHARD NICOLE MD</t>
  </si>
  <si>
    <t>NICOLENEMBHARD</t>
  </si>
  <si>
    <t>NEMBHARD NICOLE</t>
  </si>
  <si>
    <t>E0062645</t>
  </si>
  <si>
    <t>ZISU MANUELA PASCOLINA MD</t>
  </si>
  <si>
    <t>MANUELAZISU</t>
  </si>
  <si>
    <t>ZISU MANUELA DR.</t>
  </si>
  <si>
    <t>ZISU MANUELA PASCOLINA</t>
  </si>
  <si>
    <t>E0283228</t>
  </si>
  <si>
    <t>SARA DANIELLE LORENZ MD</t>
  </si>
  <si>
    <t>SARALORENZ</t>
  </si>
  <si>
    <t>TAKI SARA</t>
  </si>
  <si>
    <t>TAKI SARA DANIELLE MD</t>
  </si>
  <si>
    <t>RajeshBhavsar</t>
  </si>
  <si>
    <t>E0383345</t>
  </si>
  <si>
    <t>BHAVSAR RAJESH</t>
  </si>
  <si>
    <t>NormaLatiff</t>
  </si>
  <si>
    <t>LATIFF NORMA</t>
  </si>
  <si>
    <t>LisaRussak</t>
  </si>
  <si>
    <t>E0000384</t>
  </si>
  <si>
    <t>RUSSAK LISA</t>
  </si>
  <si>
    <t>RUSSAK LISA MS.</t>
  </si>
  <si>
    <t>OmanaSamuel</t>
  </si>
  <si>
    <t>E0424873</t>
  </si>
  <si>
    <t>SAMUEL OMANA</t>
  </si>
  <si>
    <t>SAMUEL OMANA MRS.</t>
  </si>
  <si>
    <t>E0141891</t>
  </si>
  <si>
    <t>LADETSKY LYNN MD</t>
  </si>
  <si>
    <t>LynnLadetsky</t>
  </si>
  <si>
    <t>LADETSKY LYNN</t>
  </si>
  <si>
    <t>E0345698</t>
  </si>
  <si>
    <t>HSIUNG AHMED LESLIE</t>
  </si>
  <si>
    <t>LeslieHsiung-Ahmed</t>
  </si>
  <si>
    <t>16 E 16TH ST SIDNEY HILLMAN FAMILY PRACT</t>
  </si>
  <si>
    <t>E0323070</t>
  </si>
  <si>
    <t>LEVINE-TANCO KAREN</t>
  </si>
  <si>
    <t>KarenLevine-Tanco</t>
  </si>
  <si>
    <t>LEVINE-TANCO KAREN DR.</t>
  </si>
  <si>
    <t>LEVINE-TANCO KAREN LOUISE</t>
  </si>
  <si>
    <t>E0152205</t>
  </si>
  <si>
    <t>ZAUDERER JEFFREY MD</t>
  </si>
  <si>
    <t>JeffreyZauderer</t>
  </si>
  <si>
    <t>ZAUDERER JEFFREY DR.</t>
  </si>
  <si>
    <t>E0114039</t>
  </si>
  <si>
    <t>STUMACHER RICHARD L MD</t>
  </si>
  <si>
    <t>RichardStumacher</t>
  </si>
  <si>
    <t>STUMACHER RICHARD DR.</t>
  </si>
  <si>
    <t>E0138048</t>
  </si>
  <si>
    <t>LIDAGOSTER LIDIA MD</t>
  </si>
  <si>
    <t>LidiaLidagoster</t>
  </si>
  <si>
    <t>LIDAGOSTER LIDIA DR.</t>
  </si>
  <si>
    <t>LIDAGOSTER LIDIA</t>
  </si>
  <si>
    <t>SharonLai</t>
  </si>
  <si>
    <t>LAI SHARON</t>
  </si>
  <si>
    <t>JudithParker,N.P.</t>
  </si>
  <si>
    <t>EdwardPhillips,M.D.</t>
  </si>
  <si>
    <t>RomeoPurugganan,M.D.</t>
  </si>
  <si>
    <t>BharathiRaman,M.D.</t>
  </si>
  <si>
    <t>E0179358</t>
  </si>
  <si>
    <t>RAMAN BHARATHI MD</t>
  </si>
  <si>
    <t>RAMAN BHARATHI</t>
  </si>
  <si>
    <t>415 E 93RD ST</t>
  </si>
  <si>
    <t>MarcSchumann,D.P.M.</t>
  </si>
  <si>
    <t>ParkHeeJung</t>
  </si>
  <si>
    <t>PARK HEE JUNG DR.</t>
  </si>
  <si>
    <t>E0066929</t>
  </si>
  <si>
    <t>HAJJAR ROGER MD</t>
  </si>
  <si>
    <t>HajjarRoger</t>
  </si>
  <si>
    <t>HAJJAR ROGER DR.</t>
  </si>
  <si>
    <t>HAJJAR ROGER J MD</t>
  </si>
  <si>
    <t>E0338633</t>
  </si>
  <si>
    <t>BUNYAVANICH SUPINDA</t>
  </si>
  <si>
    <t>BunyavanichSupinda</t>
  </si>
  <si>
    <t>FatimaOdella</t>
  </si>
  <si>
    <t>JesseCostales</t>
  </si>
  <si>
    <t>E0362021</t>
  </si>
  <si>
    <t>COSTALES JESSE LEE</t>
  </si>
  <si>
    <t>COSTALES JESSE DR.</t>
  </si>
  <si>
    <t>ClaudioVazquez</t>
  </si>
  <si>
    <t>E0115434</t>
  </si>
  <si>
    <t>VAZQUEZ CLAUDIO MANUEL MD</t>
  </si>
  <si>
    <t>VAZQUEZ CLAUDIO DR.</t>
  </si>
  <si>
    <t>VAZQUEZ CLAUDIO MANUEL</t>
  </si>
  <si>
    <t>500 BERGEN AVE FL 2</t>
  </si>
  <si>
    <t>E0256942</t>
  </si>
  <si>
    <t>DATTA MOITRI NATH MD</t>
  </si>
  <si>
    <t>DATTA MOITRI DR.</t>
  </si>
  <si>
    <t>100 N BROADWAY</t>
  </si>
  <si>
    <t>E0359494</t>
  </si>
  <si>
    <t>POMERANTZ PAUL ROBERT</t>
  </si>
  <si>
    <t>POMERANTZ PAUL DR.</t>
  </si>
  <si>
    <t>Yannone,Barbara</t>
  </si>
  <si>
    <t>15CanalRd.</t>
  </si>
  <si>
    <t>RichardBalter</t>
  </si>
  <si>
    <t>(631) 331-1000</t>
  </si>
  <si>
    <t>DominickBasile</t>
  </si>
  <si>
    <t>(631) 736-3015</t>
  </si>
  <si>
    <t>AlfredBelding</t>
  </si>
  <si>
    <t>(631) 724-1331</t>
  </si>
  <si>
    <t>FrankBonura</t>
  </si>
  <si>
    <t>(631) 724-6262</t>
  </si>
  <si>
    <t>StephenBodsky</t>
  </si>
  <si>
    <t>(187) 784-44340</t>
  </si>
  <si>
    <t>DavidHauer</t>
  </si>
  <si>
    <t>WeiKao</t>
  </si>
  <si>
    <t>JeffLu</t>
  </si>
  <si>
    <t>(631) 360-3372</t>
  </si>
  <si>
    <t>E0150354</t>
  </si>
  <si>
    <t>SIDOTI PAUL A MD</t>
  </si>
  <si>
    <t>PaulSidoti</t>
  </si>
  <si>
    <t>SIDOTI PAUL</t>
  </si>
  <si>
    <t>SIDOTI PAUL A</t>
  </si>
  <si>
    <t>STE 319S</t>
  </si>
  <si>
    <t>EfrenRamos</t>
  </si>
  <si>
    <t>RAMOS EFREN</t>
  </si>
  <si>
    <t>E0012650</t>
  </si>
  <si>
    <t>BELKIN TAMARA</t>
  </si>
  <si>
    <t>TamaraBelkin</t>
  </si>
  <si>
    <t>BELKIN TAMARA MS.</t>
  </si>
  <si>
    <t>1650       GRAND CON</t>
  </si>
  <si>
    <t>E0301692</t>
  </si>
  <si>
    <t>ANN ELIZABETH JOHN</t>
  </si>
  <si>
    <t>AnnJohn</t>
  </si>
  <si>
    <t>JOHN ANN</t>
  </si>
  <si>
    <t>JOHN ANN ELIZABETH</t>
  </si>
  <si>
    <t>E0020216</t>
  </si>
  <si>
    <t>ROONPRAPUNT CHANLAND MD PHD</t>
  </si>
  <si>
    <t>ChanlandRoonprapunt</t>
  </si>
  <si>
    <t>ROONPRAPUNT CHANLAND</t>
  </si>
  <si>
    <t>E0376166</t>
  </si>
  <si>
    <t>ADELMAN RANDI</t>
  </si>
  <si>
    <t>RandiAdelman</t>
  </si>
  <si>
    <t>ADELMAN RANDI MS.</t>
  </si>
  <si>
    <t>ADELMAN RANDI LEIGH</t>
  </si>
  <si>
    <t>SunHuh</t>
  </si>
  <si>
    <t>E0137414</t>
  </si>
  <si>
    <t>HUH SUN HAENG MD</t>
  </si>
  <si>
    <t>HUH SUN DR.</t>
  </si>
  <si>
    <t>E0390218</t>
  </si>
  <si>
    <t>CHOUA CLEMENT</t>
  </si>
  <si>
    <t>CHOUA CLEMENT DR.</t>
  </si>
  <si>
    <t>OTTO MALLORY DR.</t>
  </si>
  <si>
    <t>1600 SW ARCHER RD, UF HEALTH SHANDS</t>
  </si>
  <si>
    <t>GAINESVILLE</t>
  </si>
  <si>
    <t>E0367399</t>
  </si>
  <si>
    <t>ULYSSE-ABELLARD BOLEINE</t>
  </si>
  <si>
    <t>ULYSSE-ABELLARD BOLEINE MRS.</t>
  </si>
  <si>
    <t>JACQUELINELAGAZO-GUIA</t>
  </si>
  <si>
    <t>LAGAZO-GUIA JACQUELINE</t>
  </si>
  <si>
    <t>FIRST AVENUE AT 16TH STREET, DIV OF CARDIOLOGY- 5 BAIRD HALL</t>
  </si>
  <si>
    <t>E0216661</t>
  </si>
  <si>
    <t>PRESTI SALVATORE           MD</t>
  </si>
  <si>
    <t>SALVATOREPRESTI</t>
  </si>
  <si>
    <t>PRESTI SALVATORE DR.</t>
  </si>
  <si>
    <t>E0046771</t>
  </si>
  <si>
    <t>COOK-MACK JESSICA PHYLIS</t>
  </si>
  <si>
    <t>DR.JESSICACOOK-MACK</t>
  </si>
  <si>
    <t>COOK-MACK JESSICA DR.</t>
  </si>
  <si>
    <t>NY PRESB HSP</t>
  </si>
  <si>
    <t>E0005185</t>
  </si>
  <si>
    <t>ROBERTSON-PARRIS CELINA MARIA</t>
  </si>
  <si>
    <t>MRS.CELINAROBERTSON-PARRIS</t>
  </si>
  <si>
    <t>ROBERTSON-PARRIS CELINA MRS.</t>
  </si>
  <si>
    <t>LISAELLIS</t>
  </si>
  <si>
    <t>ELLIS LISA</t>
  </si>
  <si>
    <t>1301 MAMARONECK AVE</t>
  </si>
  <si>
    <t>E0369042</t>
  </si>
  <si>
    <t>PATEL SESHA</t>
  </si>
  <si>
    <t>SESHAPATEL</t>
  </si>
  <si>
    <t>PATEL SESHA DR.</t>
  </si>
  <si>
    <t>E0278317</t>
  </si>
  <si>
    <t>LIPPMAN JAY I PC           MD</t>
  </si>
  <si>
    <t>JayLippman</t>
  </si>
  <si>
    <t>LIPPMAN JAY DR.</t>
  </si>
  <si>
    <t>828 PELHAMDALE AVE</t>
  </si>
  <si>
    <t>E0002588</t>
  </si>
  <si>
    <t>HAYASHI NAOMI</t>
  </si>
  <si>
    <t>NaomiHayashi</t>
  </si>
  <si>
    <t>HAYASHI NAOMI DR.</t>
  </si>
  <si>
    <t>HAYASHI NAOMI INGRID MD</t>
  </si>
  <si>
    <t>E0328366</t>
  </si>
  <si>
    <t>ROTH RACHEL</t>
  </si>
  <si>
    <t>RachelRoth</t>
  </si>
  <si>
    <t>ROTH RACHEL DR.</t>
  </si>
  <si>
    <t>ROTH RACHEL MD</t>
  </si>
  <si>
    <t>E0354692</t>
  </si>
  <si>
    <t>DIWAN RAVI</t>
  </si>
  <si>
    <t>RaviDiwan</t>
  </si>
  <si>
    <t>DIWAN RAVI DR.</t>
  </si>
  <si>
    <t>E0335246</t>
  </si>
  <si>
    <t>LUONGO JOCELYN</t>
  </si>
  <si>
    <t>JocelynLuongo</t>
  </si>
  <si>
    <t>LUONGO JOCELYN DR.</t>
  </si>
  <si>
    <t>E0136386</t>
  </si>
  <si>
    <t>POLISTINA DEAN CARL MD</t>
  </si>
  <si>
    <t>DeanPolistina</t>
  </si>
  <si>
    <t>POLISTINA DEAN DR.</t>
  </si>
  <si>
    <t>E0110755</t>
  </si>
  <si>
    <t>GRIFFITH SHARON L MD</t>
  </si>
  <si>
    <t>SharonGriffith</t>
  </si>
  <si>
    <t>GRIFFITH SHARON DR.</t>
  </si>
  <si>
    <t>PATEL AMAR DR.</t>
  </si>
  <si>
    <t>800 HOWARD AVE LOWR LEVEL</t>
  </si>
  <si>
    <t>HALPERN DANIELLE DR.</t>
  </si>
  <si>
    <t>1 GUSTAVE L LEVY PL, BOX1230</t>
  </si>
  <si>
    <t>E0375486</t>
  </si>
  <si>
    <t>WHALEN MICHAEL J</t>
  </si>
  <si>
    <t>WHALEN MICHAEL DR.</t>
  </si>
  <si>
    <t>171 FORT WASHINGTON AVE</t>
  </si>
  <si>
    <t>E0015582</t>
  </si>
  <si>
    <t>MALHOTRA JOTINDER KAUR</t>
  </si>
  <si>
    <t>MALHOTRA JOTINDER DR.</t>
  </si>
  <si>
    <t>E0229523</t>
  </si>
  <si>
    <t>OBADIA MARC                MD</t>
  </si>
  <si>
    <t>MARCOBADIA</t>
  </si>
  <si>
    <t>OBADIA MARC</t>
  </si>
  <si>
    <t>248 ROEBLING ST</t>
  </si>
  <si>
    <t>E0192296</t>
  </si>
  <si>
    <t>HECHT SUSAN MD</t>
  </si>
  <si>
    <t>SUSANHECHT</t>
  </si>
  <si>
    <t>HECHT SUSAN</t>
  </si>
  <si>
    <t>HECHT SUSAN R</t>
  </si>
  <si>
    <t>STEVENWOLF</t>
  </si>
  <si>
    <t>EricPostal</t>
  </si>
  <si>
    <t>AzizaSedrak-Ghaly</t>
  </si>
  <si>
    <t>E0060310</t>
  </si>
  <si>
    <t>SEDRAK AZIZA</t>
  </si>
  <si>
    <t>SEDRAK AZIZA DR.</t>
  </si>
  <si>
    <t>SEDRAK AZIZA JOBHY</t>
  </si>
  <si>
    <t>PhilipXiao</t>
  </si>
  <si>
    <t>E0045342</t>
  </si>
  <si>
    <t>XIAO PHILIP Q MD</t>
  </si>
  <si>
    <t>XIAO PHILIP</t>
  </si>
  <si>
    <t>Cascy-ArnouxCharlot</t>
  </si>
  <si>
    <t>E0024867</t>
  </si>
  <si>
    <t>CHARLOT CASCYARNOUX MD</t>
  </si>
  <si>
    <t>CHARLOT CASCYA</t>
  </si>
  <si>
    <t>MahmoudDakhel</t>
  </si>
  <si>
    <t>E0293180</t>
  </si>
  <si>
    <t>DAKHEL MAHMOUD</t>
  </si>
  <si>
    <t>JeanRenaud</t>
  </si>
  <si>
    <t>E0048151</t>
  </si>
  <si>
    <t>RENAUD JEAN LEOPOLD EDWRIN MD</t>
  </si>
  <si>
    <t>RENAUD JEAN LEOPOLD DR.</t>
  </si>
  <si>
    <t>ThomasVreeland</t>
  </si>
  <si>
    <t>E0012083</t>
  </si>
  <si>
    <t>VREELAND THOMAS H MD</t>
  </si>
  <si>
    <t>VREELAND THOMAS DR.</t>
  </si>
  <si>
    <t>AlejandraUribe</t>
  </si>
  <si>
    <t>E0057670</t>
  </si>
  <si>
    <t>URIBE ALEJANDRA MARIA</t>
  </si>
  <si>
    <t>URIBE ALEJANDRA DR.</t>
  </si>
  <si>
    <t>NahreenMamoon</t>
  </si>
  <si>
    <t>E0050789</t>
  </si>
  <si>
    <t>MAMOON NAHREEN MD</t>
  </si>
  <si>
    <t>MAMOON NAHREEN DR.</t>
  </si>
  <si>
    <t>29 NEWKIRK PLZ</t>
  </si>
  <si>
    <t>E0362855</t>
  </si>
  <si>
    <t>MOR MILANA</t>
  </si>
  <si>
    <t>MOR MILANA DR.</t>
  </si>
  <si>
    <t>E0401923</t>
  </si>
  <si>
    <t>NADKARNI GIRISH NITIN</t>
  </si>
  <si>
    <t>NADKARNI GIRISH DR.</t>
  </si>
  <si>
    <t>150 E 42ND ST</t>
  </si>
  <si>
    <t>PICCOLO PAULO</t>
  </si>
  <si>
    <t>2710 EUCLID HEIGHTS BLVD, APT.201</t>
  </si>
  <si>
    <t>CLEVELAND HEIGHTS</t>
  </si>
  <si>
    <t>GAN QIONG</t>
  </si>
  <si>
    <t>75 LONGVIEW ST</t>
  </si>
  <si>
    <t>E0455698</t>
  </si>
  <si>
    <t>AZAN BENJAMIN MAURICE</t>
  </si>
  <si>
    <t>AZAN BENJAMIN MR.</t>
  </si>
  <si>
    <t>E0435135</t>
  </si>
  <si>
    <t>GOLDBERGER ALISON</t>
  </si>
  <si>
    <t>KRISHNA ALISON</t>
  </si>
  <si>
    <t>KRISHNA ALISON GOLDBERGER</t>
  </si>
  <si>
    <t>525 E 68TH ST # A101</t>
  </si>
  <si>
    <t>LUCKETT BRANDON</t>
  </si>
  <si>
    <t>9490 FM 1960 BYPASS ROAD W, SUITE 700</t>
  </si>
  <si>
    <t>HUMBLE</t>
  </si>
  <si>
    <t>KRAUS CARL</t>
  </si>
  <si>
    <t>ROSENBLUTH AMY</t>
  </si>
  <si>
    <t>HERNANDEZ ALICIA</t>
  </si>
  <si>
    <t>1176 5TH AVE, BOX 1170</t>
  </si>
  <si>
    <t>E0043289</t>
  </si>
  <si>
    <t>MAXIM KREDITOR M D PLLC</t>
  </si>
  <si>
    <t>MAXIMKREDITOR</t>
  </si>
  <si>
    <t>KREDITOR MAXIM</t>
  </si>
  <si>
    <t>380 2ND AVE STE 1003</t>
  </si>
  <si>
    <t>E0140133</t>
  </si>
  <si>
    <t>ATTIA A LAWRENCE MD</t>
  </si>
  <si>
    <t>A.LAWRENCEATTIA</t>
  </si>
  <si>
    <t>ATTIA A. LAWRENCE DR.</t>
  </si>
  <si>
    <t>SLRH-INPATIENT</t>
  </si>
  <si>
    <t>E0175697</t>
  </si>
  <si>
    <t>ABED ANTOINE TONY</t>
  </si>
  <si>
    <t>ANTOINETONYABED</t>
  </si>
  <si>
    <t>ABED ANTOINE TONY DR.</t>
  </si>
  <si>
    <t>E0163282</t>
  </si>
  <si>
    <t>WAHL ERIC M MD</t>
  </si>
  <si>
    <t>ERICWAHL</t>
  </si>
  <si>
    <t>WAHL ERIC DR.</t>
  </si>
  <si>
    <t>E0084168</t>
  </si>
  <si>
    <t>KATKOVSKIY DMITRIY DO</t>
  </si>
  <si>
    <t>DMITRIYKATKOVSKY</t>
  </si>
  <si>
    <t>KATKOVSKY DMITRIY</t>
  </si>
  <si>
    <t>KINGS HWY HSP</t>
  </si>
  <si>
    <t>CATHRYNDEVONS</t>
  </si>
  <si>
    <t>E0409954</t>
  </si>
  <si>
    <t>ZHANG NASEN JONATHAN</t>
  </si>
  <si>
    <t>DR.NASENZHANG</t>
  </si>
  <si>
    <t>ZHANG NASEN DR.</t>
  </si>
  <si>
    <t>E0050500</t>
  </si>
  <si>
    <t>ASUEN IMEUTINYAN MD</t>
  </si>
  <si>
    <t>IMUETINYANASUEN</t>
  </si>
  <si>
    <t>ASUEN IMUETINYAN</t>
  </si>
  <si>
    <t>E0064198</t>
  </si>
  <si>
    <t>KENT JENNIFER AMES MD</t>
  </si>
  <si>
    <t>JENNIFERKENT</t>
  </si>
  <si>
    <t>KENT JENNIFER</t>
  </si>
  <si>
    <t>E0172700</t>
  </si>
  <si>
    <t>COHEN ALAN J MD</t>
  </si>
  <si>
    <t>ALANCOHEN</t>
  </si>
  <si>
    <t>COHEN ALAN</t>
  </si>
  <si>
    <t>STONY BROOK INTERN</t>
  </si>
  <si>
    <t>E0143309</t>
  </si>
  <si>
    <t>DUNN ANDREW S MD</t>
  </si>
  <si>
    <t>ANDREWDUNN</t>
  </si>
  <si>
    <t>DUNN ANDREW</t>
  </si>
  <si>
    <t>E0177709</t>
  </si>
  <si>
    <t>INGLIS ALLAN EVANS JR  MD</t>
  </si>
  <si>
    <t>ALLANINGLIS</t>
  </si>
  <si>
    <t>INGLIS ALLAN</t>
  </si>
  <si>
    <t>ORTHOPAEDIC ASSOC NY</t>
  </si>
  <si>
    <t>E0006674</t>
  </si>
  <si>
    <t>JEFFREY ROTHMAN</t>
  </si>
  <si>
    <t>JEFFREYROTHMAN</t>
  </si>
  <si>
    <t>ROTHMAN JEFFREY DR.</t>
  </si>
  <si>
    <t>ROTHMAN JEFFREY HAROLD MD</t>
  </si>
  <si>
    <t>E0153193</t>
  </si>
  <si>
    <t>PATEL GIRISHKUMAR MD</t>
  </si>
  <si>
    <t>GIRISHPATEL</t>
  </si>
  <si>
    <t>PATEL GIRISH DR.</t>
  </si>
  <si>
    <t>IsmetLukolic</t>
  </si>
  <si>
    <t>LUKOLIC ISMET DR.</t>
  </si>
  <si>
    <t>E0385470</t>
  </si>
  <si>
    <t>GABA MICHELLE</t>
  </si>
  <si>
    <t>MichelleGaba</t>
  </si>
  <si>
    <t>GABA MICHELLE DR.</t>
  </si>
  <si>
    <t>E0042166</t>
  </si>
  <si>
    <t>FREYLE JAIME MD</t>
  </si>
  <si>
    <t>JaimeFreyle</t>
  </si>
  <si>
    <t>FREYLE JAIME DR.</t>
  </si>
  <si>
    <t>LisaEllman-Grunther</t>
  </si>
  <si>
    <t>ELLMAN-GRUNTHER LISA DR.</t>
  </si>
  <si>
    <t>31-00 BROADWAY</t>
  </si>
  <si>
    <t>FAIR LAWN</t>
  </si>
  <si>
    <t>E0327598</t>
  </si>
  <si>
    <t>GO RONALDO C MD</t>
  </si>
  <si>
    <t>RonaldoGo</t>
  </si>
  <si>
    <t>GO RONALDO MR.</t>
  </si>
  <si>
    <t>E0335627</t>
  </si>
  <si>
    <t>PARK JAY H</t>
  </si>
  <si>
    <t>JayPark</t>
  </si>
  <si>
    <t>PARK JAY DR.</t>
  </si>
  <si>
    <t>PARK JAY HOON</t>
  </si>
  <si>
    <t>E0295386</t>
  </si>
  <si>
    <t>KUNJUMON BGEE ELIZABETH</t>
  </si>
  <si>
    <t>BgeeKunjumon</t>
  </si>
  <si>
    <t>KUNJUMON BGEE</t>
  </si>
  <si>
    <t>JianjunLi</t>
  </si>
  <si>
    <t>E0370216</t>
  </si>
  <si>
    <t>THIESSEN JANINA T JANUSZOWSKA</t>
  </si>
  <si>
    <t>JaninaThiessen</t>
  </si>
  <si>
    <t>THIESSEN JANINA</t>
  </si>
  <si>
    <t>1825 PARK AVE</t>
  </si>
  <si>
    <t>E0074342</t>
  </si>
  <si>
    <t>BIGGS CARINA G MD</t>
  </si>
  <si>
    <t>CarinaBiggs</t>
  </si>
  <si>
    <t>BIGGS CARINA</t>
  </si>
  <si>
    <t>S E 98TH ST 14TH FL</t>
  </si>
  <si>
    <t>BradleySnyder</t>
  </si>
  <si>
    <t>EricGordon</t>
  </si>
  <si>
    <t>E0298421</t>
  </si>
  <si>
    <t>GORDON ERIC</t>
  </si>
  <si>
    <t>GORDON ERIC DR.</t>
  </si>
  <si>
    <t>700 WHITE PLAINS RD STE 10</t>
  </si>
  <si>
    <t>AnetaOstrowska</t>
  </si>
  <si>
    <t>E0035801</t>
  </si>
  <si>
    <t>OSTROWSKA ANETA</t>
  </si>
  <si>
    <t>OSTROWSKA ANETA DR.</t>
  </si>
  <si>
    <t>121 DEKALB AVE INTERNAL MED</t>
  </si>
  <si>
    <t>KennethCordero</t>
  </si>
  <si>
    <t>E0035659</t>
  </si>
  <si>
    <t>CORDERO KENNETH MD</t>
  </si>
  <si>
    <t>CORDERO KEN DR.</t>
  </si>
  <si>
    <t>CORDERO KENNETH PAPILOTA MD</t>
  </si>
  <si>
    <t>ManjulaChatterjee</t>
  </si>
  <si>
    <t>E0001730</t>
  </si>
  <si>
    <t>MANJULA CHATTERJEE</t>
  </si>
  <si>
    <t>CHATTERJEE MANJULA</t>
  </si>
  <si>
    <t>CHATTERJEE MANJULA MD</t>
  </si>
  <si>
    <t>SibyCherian</t>
  </si>
  <si>
    <t>E0289514</t>
  </si>
  <si>
    <t>CHERIAN SIBY VENGAL MD</t>
  </si>
  <si>
    <t>CHERIAN SIBY DR.</t>
  </si>
  <si>
    <t>CHERIAN SIBY VENGAL</t>
  </si>
  <si>
    <t>KatherineMortati</t>
  </si>
  <si>
    <t>E0011209</t>
  </si>
  <si>
    <t>MORTATI KATHERINE ALEXANDRA MD</t>
  </si>
  <si>
    <t>MORTATI KATHERINE</t>
  </si>
  <si>
    <t>403 E 34TH ST FL 4</t>
  </si>
  <si>
    <t>FlorinSeicaru</t>
  </si>
  <si>
    <t>E0025392</t>
  </si>
  <si>
    <t>SEICARU FLORIN STEFAN MD</t>
  </si>
  <si>
    <t>SEICARU FLORIN DR.</t>
  </si>
  <si>
    <t>NamikOliva</t>
  </si>
  <si>
    <t>E0031799</t>
  </si>
  <si>
    <t>OLIVA NAMIK</t>
  </si>
  <si>
    <t>OLIVA NAMIK DR.</t>
  </si>
  <si>
    <t>AdebayoAdeyinka</t>
  </si>
  <si>
    <t>E0442608</t>
  </si>
  <si>
    <t>LENG SIYANG</t>
  </si>
  <si>
    <t>O'DonnellThomas</t>
  </si>
  <si>
    <t>O'DONNELL THOMAS</t>
  </si>
  <si>
    <t>170 WILLIAM ST, ANESTHESIOLOGY</t>
  </si>
  <si>
    <t>E0296304</t>
  </si>
  <si>
    <t>HARRIS MARY</t>
  </si>
  <si>
    <t>HarrisMary</t>
  </si>
  <si>
    <t>HARRIS MARY ELISABETH MD</t>
  </si>
  <si>
    <t>CHEN KAREN</t>
  </si>
  <si>
    <t>PENDERY LESLIE</t>
  </si>
  <si>
    <t>1 GUSTAVE APT 4H, L LEVY PLACE</t>
  </si>
  <si>
    <t>E0388587</t>
  </si>
  <si>
    <t>CARLUCCIO ALESSIA</t>
  </si>
  <si>
    <t>CarluccioAlessia</t>
  </si>
  <si>
    <t>ROEHNELT ALESSIA</t>
  </si>
  <si>
    <t>E0307927</t>
  </si>
  <si>
    <t>ANDREW W PEARSON MD</t>
  </si>
  <si>
    <t>ANDREWPEARSON</t>
  </si>
  <si>
    <t>PEARSON ANDREW DR.</t>
  </si>
  <si>
    <t>PEARSON ANDREW WINT MD</t>
  </si>
  <si>
    <t>STUARTSAFTCHICK</t>
  </si>
  <si>
    <t>E0142088</t>
  </si>
  <si>
    <t>LURIO JOSEPH GLEN MESSNER MD</t>
  </si>
  <si>
    <t>JOSEPHLURIO</t>
  </si>
  <si>
    <t>LURIO JOSEPH</t>
  </si>
  <si>
    <t>LURIO JOSEPH GLEN MESSNER</t>
  </si>
  <si>
    <t>E0327026</t>
  </si>
  <si>
    <t>LINDENBERGER ELIZABETH C</t>
  </si>
  <si>
    <t>ELIZABETHLINDENBERGER</t>
  </si>
  <si>
    <t>LINDENBERGER ELIZABETH DR.</t>
  </si>
  <si>
    <t>E0276998</t>
  </si>
  <si>
    <t>COPULSKY ROBERT MD</t>
  </si>
  <si>
    <t>MR.ROBERTCOPULSKY</t>
  </si>
  <si>
    <t>E0206713</t>
  </si>
  <si>
    <t>SCHMIDT PHILIP             MD</t>
  </si>
  <si>
    <t>PHILIPSCHMIDT</t>
  </si>
  <si>
    <t>SCHMIDT PHILIP</t>
  </si>
  <si>
    <t>BROOKDALE MEDICAL CE</t>
  </si>
  <si>
    <t>E0208959</t>
  </si>
  <si>
    <t>CHIDECKEL NORMAN JAY       MD</t>
  </si>
  <si>
    <t>NORMANCHIDECKEL</t>
  </si>
  <si>
    <t>CHIDECKEL NORMAN</t>
  </si>
  <si>
    <t>CHIDECKEL NORMAN JAY</t>
  </si>
  <si>
    <t>E0447381</t>
  </si>
  <si>
    <t>LEAL DANIEL CAMPINA CALICO SIRAGUSA</t>
  </si>
  <si>
    <t>LEAL DANIEL DR.</t>
  </si>
  <si>
    <t>E0042421</t>
  </si>
  <si>
    <t>SMITH LIZETTE JOAN MD</t>
  </si>
  <si>
    <t>LIZETTESMITH</t>
  </si>
  <si>
    <t>SMITH LIZETTE DR.</t>
  </si>
  <si>
    <t>UNIV MED PRACT ASSOC</t>
  </si>
  <si>
    <t>E0222402</t>
  </si>
  <si>
    <t>SEAMAN CHERYL              MD</t>
  </si>
  <si>
    <t>CHERYLSEAMAN</t>
  </si>
  <si>
    <t>SEAMAN CHERYL DR.</t>
  </si>
  <si>
    <t>325 MANVILLE RD</t>
  </si>
  <si>
    <t>E0106465</t>
  </si>
  <si>
    <t>KHONDKER SULTANA R J MD</t>
  </si>
  <si>
    <t>SULTANAKHONDKER</t>
  </si>
  <si>
    <t>KHONDKER SULTANA</t>
  </si>
  <si>
    <t>DOUGLASFRIEDRICH</t>
  </si>
  <si>
    <t>E0144939</t>
  </si>
  <si>
    <t>MAGSINO EVELYN MD</t>
  </si>
  <si>
    <t>ALLANGELIEBTER</t>
  </si>
  <si>
    <t>GELIEBTER ALLAN</t>
  </si>
  <si>
    <t>E0284915</t>
  </si>
  <si>
    <t>KOKOSZKA AGNIESZKA</t>
  </si>
  <si>
    <t>AGNIESZKAKOKOSZKA</t>
  </si>
  <si>
    <t>KOKOSZKA AGNIESZKA MD</t>
  </si>
  <si>
    <t>1000 10TH AVE STE 1C-02</t>
  </si>
  <si>
    <t>DR.ALIZARRABI</t>
  </si>
  <si>
    <t>ZARRABI ALI DR.</t>
  </si>
  <si>
    <t>5 BEACH PLUM DR</t>
  </si>
  <si>
    <t>LaurenceWeissman</t>
  </si>
  <si>
    <t>MaximoD'Oleo</t>
  </si>
  <si>
    <t>E0091836</t>
  </si>
  <si>
    <t>CLARK CHERYL L MD</t>
  </si>
  <si>
    <t>CherylClark</t>
  </si>
  <si>
    <t>CLARK CHERYL DR.</t>
  </si>
  <si>
    <t>CLARK CHERYL LYNN</t>
  </si>
  <si>
    <t>602 CRAIG ST # 608</t>
  </si>
  <si>
    <t>E0004818</t>
  </si>
  <si>
    <t>BULKIN EUGENE</t>
  </si>
  <si>
    <t>EUGENEBULKIN</t>
  </si>
  <si>
    <t>BULKIN EUGENE DR.</t>
  </si>
  <si>
    <t>BULKIN EUGENE MICHAEL MD</t>
  </si>
  <si>
    <t>E0253992</t>
  </si>
  <si>
    <t>NEUWIRTH MICHAEL GEORGE</t>
  </si>
  <si>
    <t>MICHAELNEUWIRTH</t>
  </si>
  <si>
    <t>NEUWIRTH MICHAEL</t>
  </si>
  <si>
    <t>HSP FOR JOINT DIS</t>
  </si>
  <si>
    <t>E0383446</t>
  </si>
  <si>
    <t>KULINA GEORGIA</t>
  </si>
  <si>
    <t>GEORGIAKULINA</t>
  </si>
  <si>
    <t>E0328517</t>
  </si>
  <si>
    <t>MCGONIGLE DANIEL PAUL</t>
  </si>
  <si>
    <t>DANIELMCGONIGLE</t>
  </si>
  <si>
    <t>MCGONIGLE DANIEL DR.</t>
  </si>
  <si>
    <t>E0388585</t>
  </si>
  <si>
    <t>MATHEW MATTHEN</t>
  </si>
  <si>
    <t>MR.MATTHENMATHEW</t>
  </si>
  <si>
    <t>MATHEW MATTHEN MR.</t>
  </si>
  <si>
    <t>E0050009</t>
  </si>
  <si>
    <t>CHANG CHRISTINE MD</t>
  </si>
  <si>
    <t>CHRISTINECHANG</t>
  </si>
  <si>
    <t>CHANG CHRISTINE</t>
  </si>
  <si>
    <t>GERIATRIC MED</t>
  </si>
  <si>
    <t>InaciaBesada</t>
  </si>
  <si>
    <t>E0070434</t>
  </si>
  <si>
    <t>BESADA INACIA PEREZ MD</t>
  </si>
  <si>
    <t>BESADA INACIA DR.</t>
  </si>
  <si>
    <t>SayeraHaque</t>
  </si>
  <si>
    <t>E0039070</t>
  </si>
  <si>
    <t>HAQUE SAYERA MD</t>
  </si>
  <si>
    <t>HAQUE SAYERA DR.</t>
  </si>
  <si>
    <t>CONEY ISLAND HSP</t>
  </si>
  <si>
    <t>DanaSpivak</t>
  </si>
  <si>
    <t>E0036961</t>
  </si>
  <si>
    <t>SPIVAK DANA MD</t>
  </si>
  <si>
    <t>SPIVAK DANA DR.</t>
  </si>
  <si>
    <t>SPIVAK-ADLER DANA MD</t>
  </si>
  <si>
    <t>MohammedAladdin</t>
  </si>
  <si>
    <t>E0036657</t>
  </si>
  <si>
    <t>ALADDIN MOHAMMED MD</t>
  </si>
  <si>
    <t>ALADDIN MOHAMMED DR.</t>
  </si>
  <si>
    <t>WYCKOFF IMAGING SVCS</t>
  </si>
  <si>
    <t>LeonKurtz</t>
  </si>
  <si>
    <t>E0024883</t>
  </si>
  <si>
    <t>KURTZ LEON ELLIOT MD</t>
  </si>
  <si>
    <t>KURTZ LEON</t>
  </si>
  <si>
    <t>THOMASSCHATTNER</t>
  </si>
  <si>
    <t>E0336972</t>
  </si>
  <si>
    <t>REVERTE CHRISTOPHER MICHAEL</t>
  </si>
  <si>
    <t>ChristopherReverte</t>
  </si>
  <si>
    <t>REVERTE CHRISTOPHER DR.</t>
  </si>
  <si>
    <t>E0370279</t>
  </si>
  <si>
    <t>HUANG JIAN MEI</t>
  </si>
  <si>
    <t>Jian(Joyce)</t>
  </si>
  <si>
    <t>HUANG JIAN MEI MS.</t>
  </si>
  <si>
    <t>E0355531</t>
  </si>
  <si>
    <t>RANA SHITAL</t>
  </si>
  <si>
    <t>ShitalRana</t>
  </si>
  <si>
    <t>RANA SHITAL DR.</t>
  </si>
  <si>
    <t>E0338497</t>
  </si>
  <si>
    <t>ELIKASHVILI INNA</t>
  </si>
  <si>
    <t>InnaElikashvili</t>
  </si>
  <si>
    <t>ELIKASHVILI INNA DR.</t>
  </si>
  <si>
    <t>E0149929</t>
  </si>
  <si>
    <t>COHEN ROY A MD</t>
  </si>
  <si>
    <t>RoyCohen</t>
  </si>
  <si>
    <t>COHEN ROY</t>
  </si>
  <si>
    <t>E0374496</t>
  </si>
  <si>
    <t>KIM JULIE</t>
  </si>
  <si>
    <t>JulieKim</t>
  </si>
  <si>
    <t>OH JULIE</t>
  </si>
  <si>
    <t>E0310892</t>
  </si>
  <si>
    <t>BECKER DANIEL JACOB</t>
  </si>
  <si>
    <t>DanielBecker</t>
  </si>
  <si>
    <t>E0351155</t>
  </si>
  <si>
    <t>PALMIERO PAT-MICHAEL</t>
  </si>
  <si>
    <t>Pat-MichaelPalmiero</t>
  </si>
  <si>
    <t>PALMIERO PAT-MICHAEL DR.</t>
  </si>
  <si>
    <t>200 WESTAGE BUSINESS CTR DR STE 110</t>
  </si>
  <si>
    <t>MR.PETERPANKEN</t>
  </si>
  <si>
    <t>PANKEN PETER MR.</t>
  </si>
  <si>
    <t>495 RUGBY RD</t>
  </si>
  <si>
    <t>(718) 993-5580</t>
  </si>
  <si>
    <t>I.Cortijo,MD</t>
  </si>
  <si>
    <t>E0127629</t>
  </si>
  <si>
    <t>CORTIJO AMARILYS R MD</t>
  </si>
  <si>
    <t>Sdiaz@homecareny.org</t>
  </si>
  <si>
    <t>CORTIJO AMARILYS</t>
  </si>
  <si>
    <t>CORTIJO AMARILYS R</t>
  </si>
  <si>
    <t>Dr.IsaacBlum</t>
  </si>
  <si>
    <t>(914) 574-5977</t>
  </si>
  <si>
    <t>iblum@essenmd.com</t>
  </si>
  <si>
    <t>Dr.RalphEssien</t>
  </si>
  <si>
    <t>(914) 907-4293</t>
  </si>
  <si>
    <t>rbessien@gmail.com</t>
  </si>
  <si>
    <t>HyeonhyeLee</t>
  </si>
  <si>
    <t>E0373010</t>
  </si>
  <si>
    <t>LEE HYEONHYE</t>
  </si>
  <si>
    <t>NPHyeonhyeLee</t>
  </si>
  <si>
    <t>(718) 823-7180</t>
  </si>
  <si>
    <t>SherriM.Flournoy</t>
  </si>
  <si>
    <t>E0116840</t>
  </si>
  <si>
    <t>FLOURNOY SHERRI MICHELE</t>
  </si>
  <si>
    <t>(917) 863-6910</t>
  </si>
  <si>
    <t>flournoyconsult@aol.com</t>
  </si>
  <si>
    <t>FLOURNOY SHERRI MS.</t>
  </si>
  <si>
    <t>8786 188TH ST</t>
  </si>
  <si>
    <t>JamesL.FlournoySr.</t>
  </si>
  <si>
    <t>E0286290</t>
  </si>
  <si>
    <t>FLOURNOY JAMES</t>
  </si>
  <si>
    <t>FLOURNOY JAMES MR.</t>
  </si>
  <si>
    <t>FLOURNOY JAMES LOUIS</t>
  </si>
  <si>
    <t>LauraGeorge</t>
  </si>
  <si>
    <t>NOZIL LAURA</t>
  </si>
  <si>
    <t>530 PARKSIDE AVE, APT. 1L</t>
  </si>
  <si>
    <t>RobertTerrelonge</t>
  </si>
  <si>
    <t>(516) 376-7311</t>
  </si>
  <si>
    <t>StevenSchwartz</t>
  </si>
  <si>
    <t>E0008904</t>
  </si>
  <si>
    <t>SCHWARTZ STEVEN</t>
  </si>
  <si>
    <t>SCHWARTZ STEVEN DR.</t>
  </si>
  <si>
    <t>RichardBeaulieu</t>
  </si>
  <si>
    <t>E0321018</t>
  </si>
  <si>
    <t>BEAULIEU RICHARD</t>
  </si>
  <si>
    <t>BEAULIEU RICHARD MR.</t>
  </si>
  <si>
    <t>RichardBesser</t>
  </si>
  <si>
    <t>E0344882</t>
  </si>
  <si>
    <t>BESSER RICHARD E</t>
  </si>
  <si>
    <t>BESSER RICHARD DR.</t>
  </si>
  <si>
    <t>14-32 WEST 118 STREET</t>
  </si>
  <si>
    <t>VeronicaHopkins</t>
  </si>
  <si>
    <t>E0339303</t>
  </si>
  <si>
    <t>HOPKINS VERONICA</t>
  </si>
  <si>
    <t>465 W 167TH ST</t>
  </si>
  <si>
    <t>WayneGreen</t>
  </si>
  <si>
    <t>E0115635</t>
  </si>
  <si>
    <t>GREEN WAYNE</t>
  </si>
  <si>
    <t>GREEN WAYNE DR.</t>
  </si>
  <si>
    <t>CarolynAndrews</t>
  </si>
  <si>
    <t>Thuy-TienDam</t>
  </si>
  <si>
    <t>GlennDeluca</t>
  </si>
  <si>
    <t>SandraPellegrino</t>
  </si>
  <si>
    <t>spellegrino@dentserv.net</t>
  </si>
  <si>
    <t>BobraFyne,L.M.S.W.</t>
  </si>
  <si>
    <t>FYNE BOBRA</t>
  </si>
  <si>
    <t>SofijaJovic,Ph.D.</t>
  </si>
  <si>
    <t>JOVIC SOFIJA</t>
  </si>
  <si>
    <t>462 1ST AVE., CD247</t>
  </si>
  <si>
    <t>DianeValente,L.C.S.W.</t>
  </si>
  <si>
    <t>E0381001</t>
  </si>
  <si>
    <t>VALENTE DIANE MATOS</t>
  </si>
  <si>
    <t>VALENTE DIANE</t>
  </si>
  <si>
    <t>VirginiaFineran,M.A.</t>
  </si>
  <si>
    <t>FINERAN VIRGINIA</t>
  </si>
  <si>
    <t>652 W 163RD ST, APT 43</t>
  </si>
  <si>
    <t>DR.ARKADYBRODER</t>
  </si>
  <si>
    <t>BRODER ARKADY MR.</t>
  </si>
  <si>
    <t>1640 RT 88W, SUITE 202</t>
  </si>
  <si>
    <t>BRICK</t>
  </si>
  <si>
    <t>MichaelYoung</t>
  </si>
  <si>
    <t>E0132995</t>
  </si>
  <si>
    <t>FRIEDMAN RICHARD LAWRENCE MD</t>
  </si>
  <si>
    <t>RichardFriedman</t>
  </si>
  <si>
    <t>FRIEDMAN RICHARD</t>
  </si>
  <si>
    <t>1175 PARK AVE</t>
  </si>
  <si>
    <t>E0280004</t>
  </si>
  <si>
    <t>FRIEDMAN IRA H MD</t>
  </si>
  <si>
    <t>IraFriedman</t>
  </si>
  <si>
    <t>FRIEDMAN IRA</t>
  </si>
  <si>
    <t>S FREUND I FRIEDMAN</t>
  </si>
  <si>
    <t>E0079714</t>
  </si>
  <si>
    <t>SATSKY MINDY B MD</t>
  </si>
  <si>
    <t>MindySatsky</t>
  </si>
  <si>
    <t>SATSKY MINDY</t>
  </si>
  <si>
    <t>SATSKY MINDY B</t>
  </si>
  <si>
    <t>E0416961</t>
  </si>
  <si>
    <t>PASTORE SUZANNE</t>
  </si>
  <si>
    <t>SuzannePastore</t>
  </si>
  <si>
    <t>20 E 46TH ST</t>
  </si>
  <si>
    <t>E0222038</t>
  </si>
  <si>
    <t>STRAUSS MICHAEL LEOPOLD    MD</t>
  </si>
  <si>
    <t>MICHAELSTRAUSS</t>
  </si>
  <si>
    <t>STRAUSS MICHAEL DR.</t>
  </si>
  <si>
    <t>E0008920</t>
  </si>
  <si>
    <t>TRAVIS LISA BETH MD</t>
  </si>
  <si>
    <t>LISATRAVIS</t>
  </si>
  <si>
    <t>TRAVIS LISA DR.</t>
  </si>
  <si>
    <t>E0064940</t>
  </si>
  <si>
    <t>LEVIN MARC WILLIAM MD</t>
  </si>
  <si>
    <t>MARCLEVIN</t>
  </si>
  <si>
    <t>LEVIN MARC DR.</t>
  </si>
  <si>
    <t>BIMC PHILLIPS F P</t>
  </si>
  <si>
    <t>E0203451</t>
  </si>
  <si>
    <t>GOODMAN KARL RICHARD       MD</t>
  </si>
  <si>
    <t>KARLGOODMAN</t>
  </si>
  <si>
    <t>GOODMAN KARL DR.</t>
  </si>
  <si>
    <t>MarcSadowsky</t>
  </si>
  <si>
    <t>E0183926</t>
  </si>
  <si>
    <t>SADOWSKY MARC SAMUEL DDS</t>
  </si>
  <si>
    <t>SADOWSKY MARC DR.</t>
  </si>
  <si>
    <t>PaulBaker</t>
  </si>
  <si>
    <t>E0260733</t>
  </si>
  <si>
    <t>FURCINITO EDMUND           MD</t>
  </si>
  <si>
    <t>4 PROSPECT ST</t>
  </si>
  <si>
    <t>FrancisChionchio</t>
  </si>
  <si>
    <t>E0098494</t>
  </si>
  <si>
    <t>CHIONCHIO FRANCIS</t>
  </si>
  <si>
    <t>CHIONCHIO FRANCIS DR.</t>
  </si>
  <si>
    <t>ReenaClarkson</t>
  </si>
  <si>
    <t>MichaelChan</t>
  </si>
  <si>
    <t>E0015567</t>
  </si>
  <si>
    <t>CHAN MICHAEL</t>
  </si>
  <si>
    <t>CHAN MICHAEL DDS</t>
  </si>
  <si>
    <t>155 ASHLAND PL</t>
  </si>
  <si>
    <t>E0322118</t>
  </si>
  <si>
    <t>KLAPPER DAVID A</t>
  </si>
  <si>
    <t>DavidKlapper</t>
  </si>
  <si>
    <t>KLAPPER DAVID DR.</t>
  </si>
  <si>
    <t>KLAPPER DAVID ASHER</t>
  </si>
  <si>
    <t>7 W 81ST ST STE 1A</t>
  </si>
  <si>
    <t>E0186559</t>
  </si>
  <si>
    <t>IORDANESCU ALEXANDRA C MD</t>
  </si>
  <si>
    <t>AlexandraIordanescu</t>
  </si>
  <si>
    <t>IORDANESCU ALEXANDRA</t>
  </si>
  <si>
    <t>ST VINCENT HOSP ER</t>
  </si>
  <si>
    <t>E0329562</t>
  </si>
  <si>
    <t>BEAUBRUN DONNIE</t>
  </si>
  <si>
    <t>DonnieBeaubrun</t>
  </si>
  <si>
    <t>BEAUBRUN DONNIE DR.</t>
  </si>
  <si>
    <t>E0431521</t>
  </si>
  <si>
    <t>LANGE CATHERINE</t>
  </si>
  <si>
    <t>LangeCatherine</t>
  </si>
  <si>
    <t>LANGE CATHERINE MS.</t>
  </si>
  <si>
    <t>E0154262</t>
  </si>
  <si>
    <t>FORMAN JOEL ALEXANDER MD</t>
  </si>
  <si>
    <t>FormanJoel</t>
  </si>
  <si>
    <t>FORMAN JOEL</t>
  </si>
  <si>
    <t>FORMAN JOEL  MD</t>
  </si>
  <si>
    <t>1 GUSTAVE L LEVY PL # 1202A</t>
  </si>
  <si>
    <t>E0113034</t>
  </si>
  <si>
    <t>BIENENFELD LAURA A MD</t>
  </si>
  <si>
    <t>BienenfeldLaura</t>
  </si>
  <si>
    <t>BIENENFELD LAURA</t>
  </si>
  <si>
    <t>BIENENFELD LAURA A</t>
  </si>
  <si>
    <t>201 WATERSIDE PROFESSIONAL PARK</t>
  </si>
  <si>
    <t>E0063638</t>
  </si>
  <si>
    <t>LOVE BARRY ALLEN MD</t>
  </si>
  <si>
    <t>LoveBarry</t>
  </si>
  <si>
    <t>LOVE BARRY</t>
  </si>
  <si>
    <t>ANNENBERG 3RD FL</t>
  </si>
  <si>
    <t>E0196285</t>
  </si>
  <si>
    <t>LEONARD KATHERINE          MD</t>
  </si>
  <si>
    <t>KATHERINELEONARD</t>
  </si>
  <si>
    <t>LEONARD KATHERINE DR.</t>
  </si>
  <si>
    <t>HOSP FOR JOINT DISEA</t>
  </si>
  <si>
    <t>ANIMESHSINHA</t>
  </si>
  <si>
    <t>E0383517</t>
  </si>
  <si>
    <t>REIFF-PASAREW FAYE</t>
  </si>
  <si>
    <t>FAYEREIFF-PASAREW</t>
  </si>
  <si>
    <t>E0197181</t>
  </si>
  <si>
    <t>ALBU JEANINE               MD</t>
  </si>
  <si>
    <t>JEANINEALBU</t>
  </si>
  <si>
    <t>ALBU JEANINE DR.</t>
  </si>
  <si>
    <t>BOX 1000</t>
  </si>
  <si>
    <t>E0306709</t>
  </si>
  <si>
    <t>MICHAEL M GAISA</t>
  </si>
  <si>
    <t>MICHAELGAISA</t>
  </si>
  <si>
    <t>GAISA MICHAEL DR.</t>
  </si>
  <si>
    <t>GAISA MICHAEL MAXIMILIAN</t>
  </si>
  <si>
    <t>E0307289</t>
  </si>
  <si>
    <t>JAO JENNIFER</t>
  </si>
  <si>
    <t>JENNIFERJAO</t>
  </si>
  <si>
    <t>E0068502</t>
  </si>
  <si>
    <t>CHONG JI YOUNG MD</t>
  </si>
  <si>
    <t>JICHONG</t>
  </si>
  <si>
    <t>CHONG JI DR.</t>
  </si>
  <si>
    <t>E0105256</t>
  </si>
  <si>
    <t>GUILLAUME CARL MD</t>
  </si>
  <si>
    <t>CARLGUILLAUME</t>
  </si>
  <si>
    <t>GUILLAUME CARL DR.</t>
  </si>
  <si>
    <t>IP GUTWEIN MD &amp; RA S</t>
  </si>
  <si>
    <t>E0165371</t>
  </si>
  <si>
    <t>MASAND ASHOK</t>
  </si>
  <si>
    <t>ASHOKMASAND</t>
  </si>
  <si>
    <t>E0002573</t>
  </si>
  <si>
    <t>KLEIN SUSAN</t>
  </si>
  <si>
    <t>SUSANKLEIN</t>
  </si>
  <si>
    <t>FredrickPelzman</t>
  </si>
  <si>
    <t>JessicaPetros</t>
  </si>
  <si>
    <t>CarmenRamis</t>
  </si>
  <si>
    <t>KatherineWiesinger</t>
  </si>
  <si>
    <t>ElizabethWhite,N.P.</t>
  </si>
  <si>
    <t>E0407936</t>
  </si>
  <si>
    <t>WHITE ELIZABETH M</t>
  </si>
  <si>
    <t>WHITE ELIZABETH MS.</t>
  </si>
  <si>
    <t>AliceYuTang,N.P.</t>
  </si>
  <si>
    <t>Qi(John)Ye,M.D.</t>
  </si>
  <si>
    <t>1060AmsterdamAvenue</t>
  </si>
  <si>
    <t>LeonardoVando,MD</t>
  </si>
  <si>
    <t>E0025066</t>
  </si>
  <si>
    <t>VANDO SARKIS LEONARDO MD</t>
  </si>
  <si>
    <t>VANDO LEONARDO</t>
  </si>
  <si>
    <t>VANDO SARKIS LEONARDO</t>
  </si>
  <si>
    <t>1776 BROADWAY STE 1200</t>
  </si>
  <si>
    <t>SapphireAhmed,MD</t>
  </si>
  <si>
    <t>E0193854</t>
  </si>
  <si>
    <t>AHMED SAPPHIRE MANN MD</t>
  </si>
  <si>
    <t>AHMED SAPPHIRE</t>
  </si>
  <si>
    <t>AHMED SAPPHIRE MANN</t>
  </si>
  <si>
    <t>47 SICKLES ST STE IA</t>
  </si>
  <si>
    <t>DavidCabbad</t>
  </si>
  <si>
    <t>E0147660</t>
  </si>
  <si>
    <t>BEE-HEALTHY PROFFESSIONAL PED</t>
  </si>
  <si>
    <t>CABBAD DAVID DR.</t>
  </si>
  <si>
    <t>LINDEN BL/BROOKDALE</t>
  </si>
  <si>
    <t>AnatolyBelilovsky</t>
  </si>
  <si>
    <t>E0184315</t>
  </si>
  <si>
    <t>BELILOVSKY ANATOLY MD</t>
  </si>
  <si>
    <t>BELILOVSKY ANATOLY DR.</t>
  </si>
  <si>
    <t>523 OCEAN VIEW AVE</t>
  </si>
  <si>
    <t>RaymundoFermin,L.M.S.W.</t>
  </si>
  <si>
    <t>E0414795</t>
  </si>
  <si>
    <t>FERMIN RAYMUNDO</t>
  </si>
  <si>
    <t>FERMIN RAYMUNDO MR.</t>
  </si>
  <si>
    <t>EddieYew,M.A.,CCC-SLP,TSHH,ATP</t>
  </si>
  <si>
    <t>E0353912</t>
  </si>
  <si>
    <t>YEW EDDIE KOK KENG</t>
  </si>
  <si>
    <t>YEW EDDIE MR.</t>
  </si>
  <si>
    <t>8225 164TH ST</t>
  </si>
  <si>
    <t>AriesMeng-WeiLiao,L.M.S.W.</t>
  </si>
  <si>
    <t>E0424059</t>
  </si>
  <si>
    <t>LIAO ARIES MENG-WEI</t>
  </si>
  <si>
    <t>LIAO ARIES DR.</t>
  </si>
  <si>
    <t>NehaPilania,PT</t>
  </si>
  <si>
    <t>E0371596</t>
  </si>
  <si>
    <t>PILANIA NEHA</t>
  </si>
  <si>
    <t>E0323638</t>
  </si>
  <si>
    <t>HEIDI BENDER</t>
  </si>
  <si>
    <t>BenderHeidi</t>
  </si>
  <si>
    <t>BENDER HEIDI DR.</t>
  </si>
  <si>
    <t>BENDER HEIDI</t>
  </si>
  <si>
    <t>KeenanLisa</t>
  </si>
  <si>
    <t>KEENAN LISA MRS.</t>
  </si>
  <si>
    <t>YuliyaNisonova,L.M.S.W.</t>
  </si>
  <si>
    <t>NISONOVA YULIYA MRS.</t>
  </si>
  <si>
    <t>2792 OCEAN AVE FL 6</t>
  </si>
  <si>
    <t>AmyGoodman,L.C.S.W.</t>
  </si>
  <si>
    <t>GOODMAN AMY</t>
  </si>
  <si>
    <t>83 MAIDEN LN, 6TH FLOOR</t>
  </si>
  <si>
    <t>CristaCapriglione,M.S.Ed.</t>
  </si>
  <si>
    <t>CAPRIGLIONE CRISTA</t>
  </si>
  <si>
    <t>2026 LURTING AVE</t>
  </si>
  <si>
    <t>E0199088</t>
  </si>
  <si>
    <t>GROSSI ROBERT J            MD</t>
  </si>
  <si>
    <t>ROBERTGROSSI</t>
  </si>
  <si>
    <t>GROSSI ROBERT DR.</t>
  </si>
  <si>
    <t>E0099233</t>
  </si>
  <si>
    <t>ALTSTEIN SAMUEL HARVEY MD</t>
  </si>
  <si>
    <t>SAMUELALTSTEIN</t>
  </si>
  <si>
    <t>ALTSTEIN SAMUEL</t>
  </si>
  <si>
    <t>ALTSTEIN SAMUEL HARVEY</t>
  </si>
  <si>
    <t>E0198211</t>
  </si>
  <si>
    <t>STOLLER MARC               MD</t>
  </si>
  <si>
    <t>MARCSTOLLER</t>
  </si>
  <si>
    <t>STOLLER MARC</t>
  </si>
  <si>
    <t>STOLLER MARC MD</t>
  </si>
  <si>
    <t>E0308379</t>
  </si>
  <si>
    <t>WOO KAR-MUN CARMEN</t>
  </si>
  <si>
    <t>KAR-MUNWOO</t>
  </si>
  <si>
    <t>WOO KAR-MUN</t>
  </si>
  <si>
    <t>MR.DANIELELLIOTT</t>
  </si>
  <si>
    <t>ELLIOTT DANIEL MR.</t>
  </si>
  <si>
    <t>210 E 10TH ST</t>
  </si>
  <si>
    <t>E0113666</t>
  </si>
  <si>
    <t>MEHTA BIJAL SHAH MD</t>
  </si>
  <si>
    <t>BIJALSHAH-MEHTA</t>
  </si>
  <si>
    <t>MEHTA BIJAL DR.</t>
  </si>
  <si>
    <t>E0149373</t>
  </si>
  <si>
    <t>GORNY MARK A MD</t>
  </si>
  <si>
    <t>MARKGORNY</t>
  </si>
  <si>
    <t>GORNY MARK DR.</t>
  </si>
  <si>
    <t>HowardLantz</t>
  </si>
  <si>
    <t>E0255657</t>
  </si>
  <si>
    <t>LANTZ HOWARD MD</t>
  </si>
  <si>
    <t>LANTZ HOWARD DR.</t>
  </si>
  <si>
    <t>BROOKLYN HSP</t>
  </si>
  <si>
    <t>JayantGandhi</t>
  </si>
  <si>
    <t>E0276201</t>
  </si>
  <si>
    <t>GANDHI JAYANT H            MD</t>
  </si>
  <si>
    <t>GANDHI JAYANT DR.</t>
  </si>
  <si>
    <t>666 GRAND ST</t>
  </si>
  <si>
    <t>NarinderKukar</t>
  </si>
  <si>
    <t>E0332578</t>
  </si>
  <si>
    <t>JANN ADELENE EMERALD</t>
  </si>
  <si>
    <t>AdeleneJann</t>
  </si>
  <si>
    <t>JANN ADELENE</t>
  </si>
  <si>
    <t>425 W 59TH ST # 4A</t>
  </si>
  <si>
    <t>YogitaKashyap</t>
  </si>
  <si>
    <t>E0323099</t>
  </si>
  <si>
    <t>GRIFFIN RACHEL</t>
  </si>
  <si>
    <t>RachelGriffin</t>
  </si>
  <si>
    <t>E0324887</t>
  </si>
  <si>
    <t>AZIZ EMAD F</t>
  </si>
  <si>
    <t>EmadAziz</t>
  </si>
  <si>
    <t>AZIZ EMAD DR.</t>
  </si>
  <si>
    <t>AZIZ EMAD FARID</t>
  </si>
  <si>
    <t>425 W 59TH ST # 9C</t>
  </si>
  <si>
    <t>E0011621</t>
  </si>
  <si>
    <t>DICKSTEIN ELISHA JOSEPH MD</t>
  </si>
  <si>
    <t>DicksteinElisha</t>
  </si>
  <si>
    <t>DICKSTEIN ELISHA</t>
  </si>
  <si>
    <t>E0368572</t>
  </si>
  <si>
    <t>SPARHUBER GEORGE H</t>
  </si>
  <si>
    <t>SparhuberGeorge</t>
  </si>
  <si>
    <t>SPARHUBER GEORGE MR.</t>
  </si>
  <si>
    <t>E0183914</t>
  </si>
  <si>
    <t>TROY KEVIN  MD</t>
  </si>
  <si>
    <t>TroyKevin</t>
  </si>
  <si>
    <t>TROY KEVIN DR.</t>
  </si>
  <si>
    <t>TROY KEVIN M MD</t>
  </si>
  <si>
    <t>E0016173</t>
  </si>
  <si>
    <t>TAMLER RONALD MD</t>
  </si>
  <si>
    <t>TamlerRonald</t>
  </si>
  <si>
    <t>TAMLER RONALD</t>
  </si>
  <si>
    <t>MAHER NOLAN DR.</t>
  </si>
  <si>
    <t>DelorenzoElissa</t>
  </si>
  <si>
    <t>DELORENZO GREGORY DR.</t>
  </si>
  <si>
    <t>2001 ANDERSON FERRY RD</t>
  </si>
  <si>
    <t>E0408373</t>
  </si>
  <si>
    <t>YACOUB RABI</t>
  </si>
  <si>
    <t>YACOUB RABI DR.</t>
  </si>
  <si>
    <t>PeterSherman</t>
  </si>
  <si>
    <t>E0270254</t>
  </si>
  <si>
    <t>SHERMAN PETER M           DDS</t>
  </si>
  <si>
    <t>SHERMAN PETER</t>
  </si>
  <si>
    <t>KarenMyrie,MD</t>
  </si>
  <si>
    <t>E0111146</t>
  </si>
  <si>
    <t>MYRIE KAREN ALISON NICHOLE MD</t>
  </si>
  <si>
    <t>ElizabethMcCarthy</t>
  </si>
  <si>
    <t>(212) 886-5601</t>
  </si>
  <si>
    <t>MYRIE KAREN DR.</t>
  </si>
  <si>
    <t>JulioGorga,MD</t>
  </si>
  <si>
    <t>CarolynFratto,NP</t>
  </si>
  <si>
    <t>ShivaniDayal</t>
  </si>
  <si>
    <t>E0337659</t>
  </si>
  <si>
    <t>DAYAL SHIVANI</t>
  </si>
  <si>
    <t>DAYAL SHIVANI MISS</t>
  </si>
  <si>
    <t>DavidAbramson,MD</t>
  </si>
  <si>
    <t>E0369974</t>
  </si>
  <si>
    <t>ABRAMSON DAVID</t>
  </si>
  <si>
    <t>VitoLaPuma</t>
  </si>
  <si>
    <t>E0303876</t>
  </si>
  <si>
    <t>LA PUMA VITO</t>
  </si>
  <si>
    <t>LA PUMA VITO DR.</t>
  </si>
  <si>
    <t>118 ST NICHOLAS AVE</t>
  </si>
  <si>
    <t>ElinaBekker</t>
  </si>
  <si>
    <t>E0315395</t>
  </si>
  <si>
    <t>ELINA BEKKER PA</t>
  </si>
  <si>
    <t>BEKKER ELINA MS.</t>
  </si>
  <si>
    <t>BEKKER ELINA RPA</t>
  </si>
  <si>
    <t>OlegKarpenko</t>
  </si>
  <si>
    <t>E0323687</t>
  </si>
  <si>
    <t>KARPENKO OLEG</t>
  </si>
  <si>
    <t>KARPENKO OLEG DR.</t>
  </si>
  <si>
    <t>OlatundeOsofisan</t>
  </si>
  <si>
    <t>E0352059</t>
  </si>
  <si>
    <t>OSOFISAN OLATUNDE</t>
  </si>
  <si>
    <t>OSOFISAN OLATUNDE DR.</t>
  </si>
  <si>
    <t>295 THROOP AVE # 1B</t>
  </si>
  <si>
    <t>GregoryCelestin</t>
  </si>
  <si>
    <t>E0369710</t>
  </si>
  <si>
    <t>CELESTIN GREGORY CUTHBERT</t>
  </si>
  <si>
    <t>CELESTIN GREGORY</t>
  </si>
  <si>
    <t>AlbertSamandarov</t>
  </si>
  <si>
    <t>E0349515</t>
  </si>
  <si>
    <t>SAMANDAROV ALBERT</t>
  </si>
  <si>
    <t>SAMANDAROV ALBERT DR.</t>
  </si>
  <si>
    <t>9932 64TH AVE</t>
  </si>
  <si>
    <t>E0301882</t>
  </si>
  <si>
    <t>AVEZBAKIYEV EMANUEL</t>
  </si>
  <si>
    <t>MR.EMANUELAVEZBAKIYEV</t>
  </si>
  <si>
    <t>AVEZBAKIYEV EMANUEL MR.</t>
  </si>
  <si>
    <t>E0144829</t>
  </si>
  <si>
    <t>VILORIA EDERMIRO MD</t>
  </si>
  <si>
    <t>EDMERMIROVILORIA</t>
  </si>
  <si>
    <t>VILORIA EDMERMIRO</t>
  </si>
  <si>
    <t>VILORIA EDERMIRO</t>
  </si>
  <si>
    <t>VERRAZANO MEDICAL</t>
  </si>
  <si>
    <t>E0342183</t>
  </si>
  <si>
    <t>FEELY CHENG CINDY</t>
  </si>
  <si>
    <t>CINDYFEELY</t>
  </si>
  <si>
    <t>FEELY CINDY DR.</t>
  </si>
  <si>
    <t>E0180358</t>
  </si>
  <si>
    <t>REPPUCCI VINCENT S MD</t>
  </si>
  <si>
    <t>VINCENTREPPUCCI</t>
  </si>
  <si>
    <t>REPPUCCI VINCENT</t>
  </si>
  <si>
    <t>E0123499</t>
  </si>
  <si>
    <t>GOTTS MICHAEL DAVID MD</t>
  </si>
  <si>
    <t>MICHAELGOTTS</t>
  </si>
  <si>
    <t>GOTTS MICHAEL</t>
  </si>
  <si>
    <t>GOTTS MICHAEL DAVID</t>
  </si>
  <si>
    <t>MT SINAI-PSYH BX1228</t>
  </si>
  <si>
    <t>DR.RUWANTHIWIJESINGHE</t>
  </si>
  <si>
    <t>WIJESINGHE RUWANTHI DR.</t>
  </si>
  <si>
    <t>E0143355</t>
  </si>
  <si>
    <t>MULLER DAVID</t>
  </si>
  <si>
    <t>DAVIDMULLER</t>
  </si>
  <si>
    <t>D MULLER BOX 1087</t>
  </si>
  <si>
    <t>E0056187</t>
  </si>
  <si>
    <t>MCKNIGHT JOHN MICHAEL MD</t>
  </si>
  <si>
    <t>JOHNMCKNIGHT</t>
  </si>
  <si>
    <t>MCKNIGHT JOHN DR.</t>
  </si>
  <si>
    <t>200 W 54TH ST</t>
  </si>
  <si>
    <t>HermannMendez</t>
  </si>
  <si>
    <t>E0115522</t>
  </si>
  <si>
    <t>MENDEZ HERMAN MD</t>
  </si>
  <si>
    <t>MENDEZ HERMANN DR.</t>
  </si>
  <si>
    <t>PierreBeaubrun</t>
  </si>
  <si>
    <t>E0127639</t>
  </si>
  <si>
    <t>BEAUBRUN PIERRE RONALD MD</t>
  </si>
  <si>
    <t>BEAUBRUN PIERRE MR.</t>
  </si>
  <si>
    <t>StevenKushnick</t>
  </si>
  <si>
    <t>E0154486</t>
  </si>
  <si>
    <t>KUSHNICK STEVEN MD</t>
  </si>
  <si>
    <t>KUSHNICK STEVEN</t>
  </si>
  <si>
    <t>TessieParedes</t>
  </si>
  <si>
    <t>E0186428</t>
  </si>
  <si>
    <t>PAREDES TESSIE TIMITIMAN MD</t>
  </si>
  <si>
    <t>PAREDES TESSIE DR.</t>
  </si>
  <si>
    <t>ST ANTHONYS MED CTR</t>
  </si>
  <si>
    <t>E0118996</t>
  </si>
  <si>
    <t>SAMUEL OSSAMA R M MD</t>
  </si>
  <si>
    <t>OssamaSamuel</t>
  </si>
  <si>
    <t>SAMUEL OSSAMA DR.</t>
  </si>
  <si>
    <t>E0293644</t>
  </si>
  <si>
    <t>KISS LAWRENCE PHILIP MD</t>
  </si>
  <si>
    <t>LAWRENCEKISS</t>
  </si>
  <si>
    <t>KISS LAWRENCE</t>
  </si>
  <si>
    <t>E0076254</t>
  </si>
  <si>
    <t>SHAH RASIK V MD</t>
  </si>
  <si>
    <t>RasikShah</t>
  </si>
  <si>
    <t>SHAH RASIK</t>
  </si>
  <si>
    <t>E0271259</t>
  </si>
  <si>
    <t>VAN GILDER MAX F MD</t>
  </si>
  <si>
    <t>MaxVan</t>
  </si>
  <si>
    <t>VAN GILDER MAX</t>
  </si>
  <si>
    <t>E0159759</t>
  </si>
  <si>
    <t>SHAPIRO JANET M   MD</t>
  </si>
  <si>
    <t>JanetShapiro</t>
  </si>
  <si>
    <t>SHAPIRO JANET DR.</t>
  </si>
  <si>
    <t>ST LUKES-RSEVELT HSP</t>
  </si>
  <si>
    <t>E0155826</t>
  </si>
  <si>
    <t>GWERTZMAN GARY ALAN MD</t>
  </si>
  <si>
    <t>GaryGwertzman</t>
  </si>
  <si>
    <t>GWERTZMAN GARY DR.</t>
  </si>
  <si>
    <t>E0115819</t>
  </si>
  <si>
    <t>TSO ALAN YING YEUNG</t>
  </si>
  <si>
    <t>AlanTso</t>
  </si>
  <si>
    <t>TSO ALAN</t>
  </si>
  <si>
    <t>E0319247</t>
  </si>
  <si>
    <t>TALCOTT JAMES</t>
  </si>
  <si>
    <t>JamesTalcott</t>
  </si>
  <si>
    <t>TALCOTT JAMES DR.</t>
  </si>
  <si>
    <t>TALCOTT JAMES A</t>
  </si>
  <si>
    <t>E0062362</t>
  </si>
  <si>
    <t>MEHRA SWEETI MD</t>
  </si>
  <si>
    <t>SweetiMehra</t>
  </si>
  <si>
    <t>MEHRA SWEETI DR.</t>
  </si>
  <si>
    <t>E0226961</t>
  </si>
  <si>
    <t>TALAVERA WILFREDO          MD</t>
  </si>
  <si>
    <t>WILFREDOTALAVERA</t>
  </si>
  <si>
    <t>TALAVERA WILFREDO</t>
  </si>
  <si>
    <t>TIMOTHYWONG</t>
  </si>
  <si>
    <t>E0109106</t>
  </si>
  <si>
    <t>MARTINO JENNIFER M MD</t>
  </si>
  <si>
    <t>JENNIFERMARTINO</t>
  </si>
  <si>
    <t>MARTINO JENNIFER</t>
  </si>
  <si>
    <t>NYU DWNTWN RAD ASSOC</t>
  </si>
  <si>
    <t>EdmundDonovan</t>
  </si>
  <si>
    <t>E0324497</t>
  </si>
  <si>
    <t>REDDY HARSHA</t>
  </si>
  <si>
    <t>HarshaReddy</t>
  </si>
  <si>
    <t>REDDY HARSHA SHANKARA</t>
  </si>
  <si>
    <t>E0000548</t>
  </si>
  <si>
    <t>KOLEV VALENTIN</t>
  </si>
  <si>
    <t>ValentinKolev</t>
  </si>
  <si>
    <t>KOLEV VALENTIN GUEORGUIEV MD</t>
  </si>
  <si>
    <t>E0336325</t>
  </si>
  <si>
    <t>COHEN RANDY EDWARD</t>
  </si>
  <si>
    <t>RandyCohen</t>
  </si>
  <si>
    <t>COHEN RANDY DR.</t>
  </si>
  <si>
    <t>E0334892</t>
  </si>
  <si>
    <t>RAUFMAN JOSHUA</t>
  </si>
  <si>
    <t>JoshuaRaufman</t>
  </si>
  <si>
    <t>RAUFMAN JOSHUA MR.</t>
  </si>
  <si>
    <t>E0034013</t>
  </si>
  <si>
    <t>UKRAINSKY GENNADY MD</t>
  </si>
  <si>
    <t>GennadyUkrainsky</t>
  </si>
  <si>
    <t>UKRAINSKY GENNADY</t>
  </si>
  <si>
    <t>2748 OCEAN AVE</t>
  </si>
  <si>
    <t>E0308782</t>
  </si>
  <si>
    <t>WALKER TONYA NICOLE</t>
  </si>
  <si>
    <t>TonyaWalker</t>
  </si>
  <si>
    <t>WALKER TONYA DR.</t>
  </si>
  <si>
    <t>E0355751</t>
  </si>
  <si>
    <t>RATTNER PETER</t>
  </si>
  <si>
    <t>PeterRattner</t>
  </si>
  <si>
    <t>1ST AVE @ 16TH</t>
  </si>
  <si>
    <t>E0057662</t>
  </si>
  <si>
    <t>LISTMAN DAVID A MD</t>
  </si>
  <si>
    <t>DavidListman</t>
  </si>
  <si>
    <t>LISTMAN DAVID DR.</t>
  </si>
  <si>
    <t>E0210190</t>
  </si>
  <si>
    <t>CASTELLANO BARTOLOMEO VINCENT</t>
  </si>
  <si>
    <t>CastellanoBartolomeo</t>
  </si>
  <si>
    <t>CASTELLANO BARTOLOMEO DR.</t>
  </si>
  <si>
    <t>E0133442</t>
  </si>
  <si>
    <t>CROFT LORI BRAY MD</t>
  </si>
  <si>
    <t>CroftLori</t>
  </si>
  <si>
    <t>CROFT LORI</t>
  </si>
  <si>
    <t>E0083359</t>
  </si>
  <si>
    <t>FRUCHT STEVEN JOEL MD</t>
  </si>
  <si>
    <t>FruchtSteven</t>
  </si>
  <si>
    <t>FRUCHT STEVEN DR.</t>
  </si>
  <si>
    <t>E0015827</t>
  </si>
  <si>
    <t>EHRLICH MICHELLE E  MD</t>
  </si>
  <si>
    <t>EhrlichMichelle</t>
  </si>
  <si>
    <t>EHRLICH MICHELLE</t>
  </si>
  <si>
    <t>E0159338</t>
  </si>
  <si>
    <t>LOMBARDI PAUL  MD</t>
  </si>
  <si>
    <t>LombardiPaul</t>
  </si>
  <si>
    <t>LOMBARDI PAUL DR.</t>
  </si>
  <si>
    <t>LONG ISLAND CARE CTR</t>
  </si>
  <si>
    <t>E0101666</t>
  </si>
  <si>
    <t>SQUIRES JAMES JEROME MD</t>
  </si>
  <si>
    <t>JAMESSQUIRES</t>
  </si>
  <si>
    <t>SQUIRES JAMES</t>
  </si>
  <si>
    <t>E0292983</t>
  </si>
  <si>
    <t>OBRIEN MEAGAN</t>
  </si>
  <si>
    <t>MEAGANOBRIEN</t>
  </si>
  <si>
    <t>OBRIEN MEAGAN DR.</t>
  </si>
  <si>
    <t>OBRIEN MEAGAN POWERS</t>
  </si>
  <si>
    <t>E0010229</t>
  </si>
  <si>
    <t>ROBINSON JESSICA MD</t>
  </si>
  <si>
    <t>JESSICAROBINSON-PAPP</t>
  </si>
  <si>
    <t>ROBINSON-PAPP JESSICA DR.</t>
  </si>
  <si>
    <t>E0364275</t>
  </si>
  <si>
    <t>LAZARUS KAREN</t>
  </si>
  <si>
    <t>KARENLAZARUS</t>
  </si>
  <si>
    <t>25B 12TH ST</t>
  </si>
  <si>
    <t>DoriTen</t>
  </si>
  <si>
    <t>E0369977</t>
  </si>
  <si>
    <t>DORI TEN PA</t>
  </si>
  <si>
    <t>TEN DORI</t>
  </si>
  <si>
    <t>VasthyJean-Louis</t>
  </si>
  <si>
    <t>E0004839</t>
  </si>
  <si>
    <t>JEAN-LOUIS VASTHY</t>
  </si>
  <si>
    <t>JEAN-LOUIS VASTHY DR.</t>
  </si>
  <si>
    <t>JEAN-LOUIS VASTHY DPM</t>
  </si>
  <si>
    <t>455 FRANKLIN AVE</t>
  </si>
  <si>
    <t>StephanieCarter-Robin</t>
  </si>
  <si>
    <t>E0020153</t>
  </si>
  <si>
    <t>CARTER ROBIN STEPHANIE DPM</t>
  </si>
  <si>
    <t>CARTER-ROBIN STEPHANIE DR.</t>
  </si>
  <si>
    <t>4616 FORT HAMILTON PKWY</t>
  </si>
  <si>
    <t>ScottCooper</t>
  </si>
  <si>
    <t>E0003012</t>
  </si>
  <si>
    <t>SCOTT L COOPER</t>
  </si>
  <si>
    <t>COOPER SCOTT DR.</t>
  </si>
  <si>
    <t>COOPER SCOTT L</t>
  </si>
  <si>
    <t>585 FULTON ST</t>
  </si>
  <si>
    <t>E0335266</t>
  </si>
  <si>
    <t>BATTA  PRITI MD</t>
  </si>
  <si>
    <t>PritiBatta</t>
  </si>
  <si>
    <t>BATTA PRITI</t>
  </si>
  <si>
    <t>200 OLD COUNTRY RD STE 130</t>
  </si>
  <si>
    <t>E0231547</t>
  </si>
  <si>
    <t>LYMAN ANDREA               MD</t>
  </si>
  <si>
    <t>AndreaLyman</t>
  </si>
  <si>
    <t>LYMAN ANDREA</t>
  </si>
  <si>
    <t>APT 3A</t>
  </si>
  <si>
    <t>E0103918</t>
  </si>
  <si>
    <t>SOLTANPOUR DAVID MD</t>
  </si>
  <si>
    <t>DavidSoltanpour</t>
  </si>
  <si>
    <t>SOLTANPOUR DAVID</t>
  </si>
  <si>
    <t>36 E 36TH ST</t>
  </si>
  <si>
    <t>E0171469</t>
  </si>
  <si>
    <t>GEORGE JAMES  MD</t>
  </si>
  <si>
    <t>JamesGeorge</t>
  </si>
  <si>
    <t>GEORGE JAMES DR.</t>
  </si>
  <si>
    <t>E0335820</t>
  </si>
  <si>
    <t>ANNA GABRIELIAN MD</t>
  </si>
  <si>
    <t>AnnaGabrielian</t>
  </si>
  <si>
    <t>GABRIELIAN ANNA</t>
  </si>
  <si>
    <t>1630 E 15TH ST</t>
  </si>
  <si>
    <t>E0275248</t>
  </si>
  <si>
    <t>NIGHTINGALE JEFFREY D PC   MD</t>
  </si>
  <si>
    <t>JeffreyNightingale</t>
  </si>
  <si>
    <t>NIGHTINGALE JEFFREY</t>
  </si>
  <si>
    <t>10 E 107 ST</t>
  </si>
  <si>
    <t>E0364179</t>
  </si>
  <si>
    <t>LERMAN VADIM</t>
  </si>
  <si>
    <t>VadimLerman</t>
  </si>
  <si>
    <t>2201 HEMPSTEAD TPKE STE 668</t>
  </si>
  <si>
    <t>E0068237</t>
  </si>
  <si>
    <t>MATHIEU CLAUDINE</t>
  </si>
  <si>
    <t>ClaudineMathieu</t>
  </si>
  <si>
    <t>MATHIEU CLAUDINE DR.</t>
  </si>
  <si>
    <t>801 AMSTERDAM AVENUE</t>
  </si>
  <si>
    <t>MR.EZEQUIELRODRIGUEZ</t>
  </si>
  <si>
    <t>RODRIGUEZ EZEQUIEL MR.</t>
  </si>
  <si>
    <t>1111 AMSTERDAM AVE, ORTHO DEPT. CLARK 7</t>
  </si>
  <si>
    <t>MR.KRISTYNELISH</t>
  </si>
  <si>
    <t>ELISH KRISTYN MRS.</t>
  </si>
  <si>
    <t>E0341638</t>
  </si>
  <si>
    <t>BERMAN PAUL JEREMY</t>
  </si>
  <si>
    <t>JEREMYBERMAN</t>
  </si>
  <si>
    <t>BERMAN JEREMY DR.</t>
  </si>
  <si>
    <t>DR.ADITYAPARIKH</t>
  </si>
  <si>
    <t>PARIKH ADITYA DR.</t>
  </si>
  <si>
    <t>RoseEugene,N.P.</t>
  </si>
  <si>
    <t>E0108296</t>
  </si>
  <si>
    <t>EUGENE ROSE DE MARQUISE</t>
  </si>
  <si>
    <t>EUGENE ROSE MRS.</t>
  </si>
  <si>
    <t>1 PENN PLZ FRNT 7</t>
  </si>
  <si>
    <t>CatherineGawronski,N.P.</t>
  </si>
  <si>
    <t>E0313689</t>
  </si>
  <si>
    <t>GAWRONSKI CATHERINE ANN</t>
  </si>
  <si>
    <t>GAWRONSKI CATHERINE MS.</t>
  </si>
  <si>
    <t>TaniaGuimaraes,C.S.W.</t>
  </si>
  <si>
    <t>FranzHinojosa,M.D.</t>
  </si>
  <si>
    <t>DonaldKotler,M.D.</t>
  </si>
  <si>
    <t>E0258361</t>
  </si>
  <si>
    <t>KOTLER DONALD P            MD</t>
  </si>
  <si>
    <t>KOTLER DONALD DR.</t>
  </si>
  <si>
    <t>StephanLansey,M.D.</t>
  </si>
  <si>
    <t>BenjaminNachamie,M.D.</t>
  </si>
  <si>
    <t>E0279059</t>
  </si>
  <si>
    <t>NACHAMIE BENJAMIN ABRAHAM  MD</t>
  </si>
  <si>
    <t>NACHAMIE BENJAMIN DR.</t>
  </si>
  <si>
    <t>E0041103</t>
  </si>
  <si>
    <t>SPINA LOUIS A MD</t>
  </si>
  <si>
    <t>SpinaLouis</t>
  </si>
  <si>
    <t>SPINA LOUIS</t>
  </si>
  <si>
    <t>E0351013</t>
  </si>
  <si>
    <t>CRIMI JOSEPH</t>
  </si>
  <si>
    <t>CrimiJoseph</t>
  </si>
  <si>
    <t>CRIMI JOSEPH MR.</t>
  </si>
  <si>
    <t>E0049938</t>
  </si>
  <si>
    <t>MOUNT SINAI HSP QUEENS E C A</t>
  </si>
  <si>
    <t>ChuangDenise</t>
  </si>
  <si>
    <t>MSHQ EMERGENCY CARE ASSOCIATES</t>
  </si>
  <si>
    <t>E0308778</t>
  </si>
  <si>
    <t>SUNIL KURIEN GEORGE</t>
  </si>
  <si>
    <t>GeorgeSunil</t>
  </si>
  <si>
    <t>GEORGE SUNIL</t>
  </si>
  <si>
    <t>GEORGE SUNIL KURIEN</t>
  </si>
  <si>
    <t>1129 NORTHERN BLVD STE 101</t>
  </si>
  <si>
    <t>E0284600</t>
  </si>
  <si>
    <t>ZBAR LORI GOLDMAN MD</t>
  </si>
  <si>
    <t>ZBAR LORI</t>
  </si>
  <si>
    <t>ZBAR LORI GOLDMAN</t>
  </si>
  <si>
    <t>E0364297</t>
  </si>
  <si>
    <t>SURACH CRISTINA J</t>
  </si>
  <si>
    <t>SurachCristina</t>
  </si>
  <si>
    <t>SURACH CRISTINA</t>
  </si>
  <si>
    <t>1 GUSTAVE L LEVY PL # 1030</t>
  </si>
  <si>
    <t>ClaraGiambruno</t>
  </si>
  <si>
    <t>E0051118</t>
  </si>
  <si>
    <t>GIAMBRUNO CLARA MD</t>
  </si>
  <si>
    <t>GIAMBRUNO CLARA</t>
  </si>
  <si>
    <t>VijaySingh</t>
  </si>
  <si>
    <t>E0328313</t>
  </si>
  <si>
    <t>SINGH VIJAY</t>
  </si>
  <si>
    <t>SINGH VIJAY DR.</t>
  </si>
  <si>
    <t>SINGH VIJAY ANAND</t>
  </si>
  <si>
    <t>FirasTaha</t>
  </si>
  <si>
    <t>E0338279</t>
  </si>
  <si>
    <t>TAHA FIRAS ABDALLAH</t>
  </si>
  <si>
    <t>TAHA FIRAS</t>
  </si>
  <si>
    <t>AsuRustemli</t>
  </si>
  <si>
    <t>E0028004</t>
  </si>
  <si>
    <t>RUSTEMLI  ASU MD</t>
  </si>
  <si>
    <t>RUSTEMLI ASU DR.</t>
  </si>
  <si>
    <t>240 WILLOUGHBY STREET</t>
  </si>
  <si>
    <t>JonathanChow</t>
  </si>
  <si>
    <t>E0352797</t>
  </si>
  <si>
    <t>CHOW JONATHAN</t>
  </si>
  <si>
    <t>MeganKwasniak</t>
  </si>
  <si>
    <t>E0338345</t>
  </si>
  <si>
    <t>KWASNIAK MEGAN M</t>
  </si>
  <si>
    <t>KWASNIAK MEGAN</t>
  </si>
  <si>
    <t>KWASNIAK MEGAN MALGORZATA</t>
  </si>
  <si>
    <t>E0051774</t>
  </si>
  <si>
    <t>HECKELMAN LEORA</t>
  </si>
  <si>
    <t>LEORAHECKELMAN</t>
  </si>
  <si>
    <t>MR.HUGHSHARP</t>
  </si>
  <si>
    <t>SHARP HUGH MR.</t>
  </si>
  <si>
    <t>E0352703</t>
  </si>
  <si>
    <t>ASARE VIVIAN</t>
  </si>
  <si>
    <t>VIVIANASARE</t>
  </si>
  <si>
    <t>ASARE VIVIAN DR.</t>
  </si>
  <si>
    <t>ASARE VIVIAN AFIA-SERWAA</t>
  </si>
  <si>
    <t>1 GUSTAVE L LEVY PALCE</t>
  </si>
  <si>
    <t>E0417112</t>
  </si>
  <si>
    <t>DOSHI DHVANI</t>
  </si>
  <si>
    <t>DR.DHVANIDOSHI</t>
  </si>
  <si>
    <t>DOSHI DHVANI DR.</t>
  </si>
  <si>
    <t>212 EAST 106TH STREET</t>
  </si>
  <si>
    <t>E0320658</t>
  </si>
  <si>
    <t>HTIN THANDA</t>
  </si>
  <si>
    <t>THANDAHTIN</t>
  </si>
  <si>
    <t>E0044888</t>
  </si>
  <si>
    <t>RIPP JONATHAN A MD</t>
  </si>
  <si>
    <t>JONATHANRIPP</t>
  </si>
  <si>
    <t>RIPP JONATHAN</t>
  </si>
  <si>
    <t>FRANKNIESUCHOUSKI</t>
  </si>
  <si>
    <t>NIESUCHOUSKI FRANK</t>
  </si>
  <si>
    <t>E0148315</t>
  </si>
  <si>
    <t>WALD KENNETH JAY</t>
  </si>
  <si>
    <t>KENNETHWALD</t>
  </si>
  <si>
    <t>WALD KENNETH</t>
  </si>
  <si>
    <t>CarlJean</t>
  </si>
  <si>
    <t>BatyaGrunfeld</t>
  </si>
  <si>
    <t>GRUNFELD BATYA</t>
  </si>
  <si>
    <t>121 DEKALB AVE, THE BROOKLYN HOPITAL CENTER, DEPARTMENT OF ANESTHESIA</t>
  </si>
  <si>
    <t>E0161822</t>
  </si>
  <si>
    <t>PAKA RENUKA D MD</t>
  </si>
  <si>
    <t>RENUKAPAKA</t>
  </si>
  <si>
    <t>PAKA RENUKA</t>
  </si>
  <si>
    <t>SI UNIVERSITY HOSP</t>
  </si>
  <si>
    <t>E0314276</t>
  </si>
  <si>
    <t>KIL ERIN</t>
  </si>
  <si>
    <t>ERINKIL</t>
  </si>
  <si>
    <t>KIL ERIN DR.</t>
  </si>
  <si>
    <t>KIL ERIN HYUNSUN</t>
  </si>
  <si>
    <t>315 CHURCH ST FL</t>
  </si>
  <si>
    <t>E0225871</t>
  </si>
  <si>
    <t>HOCHSZTEIN PAUL</t>
  </si>
  <si>
    <t>PAULHOCHSZTEIN</t>
  </si>
  <si>
    <t>133 E 73RD ST</t>
  </si>
  <si>
    <t>E0181022</t>
  </si>
  <si>
    <t>PIKE SHELDON BRUCE</t>
  </si>
  <si>
    <t>SHELDONPIKE</t>
  </si>
  <si>
    <t>PIKE SHELDON DR.</t>
  </si>
  <si>
    <t>E0045662</t>
  </si>
  <si>
    <t>TAYLOR JANE</t>
  </si>
  <si>
    <t>MS.JANETAYLOR</t>
  </si>
  <si>
    <t>TAYLOR JANE MS.</t>
  </si>
  <si>
    <t>E0172806</t>
  </si>
  <si>
    <t>VAIDYA DIPAK N MD</t>
  </si>
  <si>
    <t>DIPAKVAIDYA</t>
  </si>
  <si>
    <t>VAIDYA DIPAK</t>
  </si>
  <si>
    <t>VAIDYA DIPAK NATVERLAL</t>
  </si>
  <si>
    <t>E0009394</t>
  </si>
  <si>
    <t>YANG ROY MD</t>
  </si>
  <si>
    <t>ROYYANG</t>
  </si>
  <si>
    <t>YANG ROY</t>
  </si>
  <si>
    <t>ChastityDelMoral,N.P.</t>
  </si>
  <si>
    <t>E0331352</t>
  </si>
  <si>
    <t>DELMORAL CHASTITY ANN</t>
  </si>
  <si>
    <t>DELMORAL CHASTITY</t>
  </si>
  <si>
    <t>425 W 59TH ST # 8A</t>
  </si>
  <si>
    <t>MargaretEaton,PsyD</t>
  </si>
  <si>
    <t>ChaimEliav,M.D.</t>
  </si>
  <si>
    <t>E0231220</t>
  </si>
  <si>
    <t>RACANELLI JOSEPH A         MD</t>
  </si>
  <si>
    <t>JOSEPHRACANELLI</t>
  </si>
  <si>
    <t>1107 PARK AVE</t>
  </si>
  <si>
    <t>E0164852</t>
  </si>
  <si>
    <t>HINRICHSEN GREGORY A  PHD</t>
  </si>
  <si>
    <t>GREGORYHINRICHSEN</t>
  </si>
  <si>
    <t>HINRICHSEN GREGORY DR.</t>
  </si>
  <si>
    <t>MR.TOMJOSEPH</t>
  </si>
  <si>
    <t>JOSEPH TOM MR.</t>
  </si>
  <si>
    <t>E0121681</t>
  </si>
  <si>
    <t>ORBE JESSICA MD</t>
  </si>
  <si>
    <t>JessicaOrbe</t>
  </si>
  <si>
    <t>ORBE JESSICA</t>
  </si>
  <si>
    <t>E0130764</t>
  </si>
  <si>
    <t>PATRICK DALTON MD PC</t>
  </si>
  <si>
    <t>PATRICKDALTON</t>
  </si>
  <si>
    <t>DALTON PATRICK</t>
  </si>
  <si>
    <t>E0139903</t>
  </si>
  <si>
    <t>WIENER DAN E MD</t>
  </si>
  <si>
    <t>DANWIENER</t>
  </si>
  <si>
    <t>WIENER DAN</t>
  </si>
  <si>
    <t>WIENER DAN ELIOT</t>
  </si>
  <si>
    <t>E0309555</t>
  </si>
  <si>
    <t>ASCUNCE GIL IGNACIO</t>
  </si>
  <si>
    <t>GILASCUNCE</t>
  </si>
  <si>
    <t>ASCUNCE GIL DR.</t>
  </si>
  <si>
    <t>E0172665</t>
  </si>
  <si>
    <t>REID MALCOLM D MD</t>
  </si>
  <si>
    <t>MALCOLMREID</t>
  </si>
  <si>
    <t>REID MALCOLM</t>
  </si>
  <si>
    <t>REID MALCOLM DOUGLAS</t>
  </si>
  <si>
    <t>REHAB MEDICINE</t>
  </si>
  <si>
    <t>E0313746</t>
  </si>
  <si>
    <t>VOGEL SAMANTHA R PA</t>
  </si>
  <si>
    <t>MS.SAMANTHAVOGEL</t>
  </si>
  <si>
    <t>VOGEL SAMANTHA MS.</t>
  </si>
  <si>
    <t>BINAYASHRESTHA</t>
  </si>
  <si>
    <t>E0297038</t>
  </si>
  <si>
    <t>TOMITA SANDRA S MD</t>
  </si>
  <si>
    <t>SANDRATOMITA</t>
  </si>
  <si>
    <t>TOMITA SANDRA DR.</t>
  </si>
  <si>
    <t>530 1ST AVE STE 10W</t>
  </si>
  <si>
    <t>E0046866</t>
  </si>
  <si>
    <t>SWIDLER MARK A MD</t>
  </si>
  <si>
    <t>MARKSWIDLER</t>
  </si>
  <si>
    <t>SWIDLER MARK</t>
  </si>
  <si>
    <t>COFFEY GERIATRIC</t>
  </si>
  <si>
    <t>E0134483</t>
  </si>
  <si>
    <t>SIU ALBERT LOUIS MD</t>
  </si>
  <si>
    <t>ALBERTSIU</t>
  </si>
  <si>
    <t>SIU ALBERT</t>
  </si>
  <si>
    <t>E0027627</t>
  </si>
  <si>
    <t>TAUFIQUE SHALIPA PHD</t>
  </si>
  <si>
    <t>SHILPATAUFIQUE</t>
  </si>
  <si>
    <t>TAUFIQUE SHILPA DR.</t>
  </si>
  <si>
    <t>1090 AMSTERDAM AVE 13TH FLOOR</t>
  </si>
  <si>
    <t>E0298340</t>
  </si>
  <si>
    <t>SHINHAR SHAI YESHAJAHU MD</t>
  </si>
  <si>
    <t>SHAISHINHAR</t>
  </si>
  <si>
    <t>SHINHAR SHAI DR.</t>
  </si>
  <si>
    <t>SU ANDRES MR.</t>
  </si>
  <si>
    <t>2100 DORCHESTER AVE</t>
  </si>
  <si>
    <t>DORCHESTER</t>
  </si>
  <si>
    <t>E0006341</t>
  </si>
  <si>
    <t>LITRIVIS EVGENIA MD</t>
  </si>
  <si>
    <t>DR.EVGENIALITRIVIS</t>
  </si>
  <si>
    <t>LITRIVIS EVGENIA DR.</t>
  </si>
  <si>
    <t>E0297327</t>
  </si>
  <si>
    <t>PALEP SAPNA</t>
  </si>
  <si>
    <t>SAPNAPALEP</t>
  </si>
  <si>
    <t>PALEP SAPNA DR.</t>
  </si>
  <si>
    <t>E0122532</t>
  </si>
  <si>
    <t>HARRISON LOUIS B MD</t>
  </si>
  <si>
    <t>LouisHarrison</t>
  </si>
  <si>
    <t>HARRISON LOUIS</t>
  </si>
  <si>
    <t>E0090264</t>
  </si>
  <si>
    <t>EVANS ANDREW JOHN MD</t>
  </si>
  <si>
    <t>AndrewEvans</t>
  </si>
  <si>
    <t>E0199683</t>
  </si>
  <si>
    <t>URKEN MARK L               MD</t>
  </si>
  <si>
    <t>MarkUrken</t>
  </si>
  <si>
    <t>URKEN MARK</t>
  </si>
  <si>
    <t>5 E 98TH ST FL 8</t>
  </si>
  <si>
    <t>E0204416</t>
  </si>
  <si>
    <t>PLOTYCIA STEVEN MICHAEL    MD</t>
  </si>
  <si>
    <t>STEVENPLOTYCIA</t>
  </si>
  <si>
    <t>PLOTYCIA STEVEN</t>
  </si>
  <si>
    <t>E0000383</t>
  </si>
  <si>
    <t>WILLIAM SCHELL</t>
  </si>
  <si>
    <t>WILLIAMSCHELL</t>
  </si>
  <si>
    <t>SCHELL WILLIAM DR.</t>
  </si>
  <si>
    <t>SCHELL WILLIAM MD</t>
  </si>
  <si>
    <t>1790 BROADWAY</t>
  </si>
  <si>
    <t>E0136689</t>
  </si>
  <si>
    <t>MEHTA JAYDEV DIVYAKANT MD</t>
  </si>
  <si>
    <t>JAYDEVMEHTA</t>
  </si>
  <si>
    <t>MEHTA JAYDEV</t>
  </si>
  <si>
    <t>E0030723</t>
  </si>
  <si>
    <t>PARTNOW JOSHUA LEE MD</t>
  </si>
  <si>
    <t>JOSHUAPARTNOW</t>
  </si>
  <si>
    <t>PARTNOW JOSHUA</t>
  </si>
  <si>
    <t>E0076462</t>
  </si>
  <si>
    <t>SILVERA CHARLES T</t>
  </si>
  <si>
    <t>CHARLESSILVERA</t>
  </si>
  <si>
    <t>SILVERA CHARLES DR.</t>
  </si>
  <si>
    <t>SILVERA CHARLES THEODORE</t>
  </si>
  <si>
    <t>38 EAST 32 STREET</t>
  </si>
  <si>
    <t>E0274537</t>
  </si>
  <si>
    <t>AXE HAROLD                 MD</t>
  </si>
  <si>
    <t>HAROLDAXE</t>
  </si>
  <si>
    <t>AXE HAROLD DR.</t>
  </si>
  <si>
    <t>AXE HAROLD</t>
  </si>
  <si>
    <t>25 5TH AVE</t>
  </si>
  <si>
    <t>E0385083</t>
  </si>
  <si>
    <t>HANSEN THOMS PAUL</t>
  </si>
  <si>
    <t>HansenThomas</t>
  </si>
  <si>
    <t>HANSEN THOMAS</t>
  </si>
  <si>
    <t>E0236622</t>
  </si>
  <si>
    <t>HALPERIN JONATHAN MD</t>
  </si>
  <si>
    <t>HalperinJonathan</t>
  </si>
  <si>
    <t>HALPERIN JONATHAN DR.</t>
  </si>
  <si>
    <t>E0162805</t>
  </si>
  <si>
    <t>HALLE STEVEN GARRY MD</t>
  </si>
  <si>
    <t>StevenHalle</t>
  </si>
  <si>
    <t>HALLE STEVEN</t>
  </si>
  <si>
    <t>E0231158</t>
  </si>
  <si>
    <t>GUTTIKONDA VEERANJANEYA V  MD</t>
  </si>
  <si>
    <t>VeeranjaneyaGuttikonda</t>
  </si>
  <si>
    <t>GUTTIKONDA VEERANJANEYA</t>
  </si>
  <si>
    <t>ST VINCENT S HSP-MED</t>
  </si>
  <si>
    <t>E0288036</t>
  </si>
  <si>
    <t>RUSTAMOVA SHAHNOZ</t>
  </si>
  <si>
    <t>ShahnozRustamova</t>
  </si>
  <si>
    <t>82 68 164TH ST RM B265</t>
  </si>
  <si>
    <t>E0365527</t>
  </si>
  <si>
    <t>PARIKH PURVI S</t>
  </si>
  <si>
    <t>PurviParikh</t>
  </si>
  <si>
    <t>PARIKH PURVI DR.</t>
  </si>
  <si>
    <t>E0416990</t>
  </si>
  <si>
    <t>SHRIVASTAVA ANITA</t>
  </si>
  <si>
    <t>AnitaShrivastava</t>
  </si>
  <si>
    <t>E0209632</t>
  </si>
  <si>
    <t>SOURIAL LUCY A             MD</t>
  </si>
  <si>
    <t>MRS.LUCYSOURIAL</t>
  </si>
  <si>
    <t>SOURIAL LUCY MRS.</t>
  </si>
  <si>
    <t>SOURIAL LUCY A</t>
  </si>
  <si>
    <t>PREMETESHCHATTOO</t>
  </si>
  <si>
    <t>E0165476</t>
  </si>
  <si>
    <t>PACHOLKA-MORAN JAMES  MD</t>
  </si>
  <si>
    <t>JAMESPACHOLKA-MORAN</t>
  </si>
  <si>
    <t>PACHOLKA JAMES DR.</t>
  </si>
  <si>
    <t>E0139265</t>
  </si>
  <si>
    <t>ARON NARCIS BERNAT MD</t>
  </si>
  <si>
    <t>MR.NARCISARON</t>
  </si>
  <si>
    <t>ARON NARCIS MR.</t>
  </si>
  <si>
    <t>LIFE CARE DIAL CTR</t>
  </si>
  <si>
    <t>JAMESBRILEY</t>
  </si>
  <si>
    <t>E0082369</t>
  </si>
  <si>
    <t>ALLAN JESSICA MD</t>
  </si>
  <si>
    <t>JESSICAALLAN</t>
  </si>
  <si>
    <t>ALLAN JESSICA</t>
  </si>
  <si>
    <t>E0183702</t>
  </si>
  <si>
    <t>GELBFISH GARY ALEXANDER</t>
  </si>
  <si>
    <t>GARYGELBFISH</t>
  </si>
  <si>
    <t>GELBFISH GARY DR.</t>
  </si>
  <si>
    <t>2502 AVENUE I</t>
  </si>
  <si>
    <t>E0179851</t>
  </si>
  <si>
    <t>MAHER ELIZABETH A MD</t>
  </si>
  <si>
    <t>ELIZABETHMAHER</t>
  </si>
  <si>
    <t>MAHER ELIZABETH DR.</t>
  </si>
  <si>
    <t>E0118876</t>
  </si>
  <si>
    <t>PAFUNDI CAROL</t>
  </si>
  <si>
    <t>PafundiCarol</t>
  </si>
  <si>
    <t>PAFUNDI CAROL MS.</t>
  </si>
  <si>
    <t>E0351102</t>
  </si>
  <si>
    <t>KIM SUNG YUP</t>
  </si>
  <si>
    <t>KimSung</t>
  </si>
  <si>
    <t>KIM SUNG YUP DR.</t>
  </si>
  <si>
    <t>E0351190</t>
  </si>
  <si>
    <t>NGUYEN VINH-TUNG PHUOC</t>
  </si>
  <si>
    <t>NguyenVinh-Tung</t>
  </si>
  <si>
    <t>NGUYEN VINH-TUNG</t>
  </si>
  <si>
    <t>E0091247</t>
  </si>
  <si>
    <t>OCULAM JANETH AWA</t>
  </si>
  <si>
    <t>OculamJaneth</t>
  </si>
  <si>
    <t>OCULAM JANETH MS.</t>
  </si>
  <si>
    <t>E0312921</t>
  </si>
  <si>
    <t>BREED SABRINA THEOPOSIA</t>
  </si>
  <si>
    <t>BreedSabrina</t>
  </si>
  <si>
    <t>BREED SABRINA</t>
  </si>
  <si>
    <t>210 W 70TH ST APT 201</t>
  </si>
  <si>
    <t>E0352035</t>
  </si>
  <si>
    <t>WHITE TAYLOR DOUGLAS</t>
  </si>
  <si>
    <t>WhiteTaylor</t>
  </si>
  <si>
    <t>WHITE TAYLOR DR.</t>
  </si>
  <si>
    <t>E0172688</t>
  </si>
  <si>
    <t>LOFT LLOYD MARK MD</t>
  </si>
  <si>
    <t>LloydLoft</t>
  </si>
  <si>
    <t>LOFT LLOYD</t>
  </si>
  <si>
    <t>E0007617</t>
  </si>
  <si>
    <t>BASILE MARIA</t>
  </si>
  <si>
    <t>MariaBasile</t>
  </si>
  <si>
    <t>BASILE MARIA MD</t>
  </si>
  <si>
    <t>E0258250</t>
  </si>
  <si>
    <t>LEE MARJORIE PC            MD</t>
  </si>
  <si>
    <t>MarjorieLee</t>
  </si>
  <si>
    <t>LEE MARJORIE DR.</t>
  </si>
  <si>
    <t>LEE MARJORIE</t>
  </si>
  <si>
    <t>E0222948</t>
  </si>
  <si>
    <t>HEYMAN JACOB H             MD</t>
  </si>
  <si>
    <t>JacobHeyman</t>
  </si>
  <si>
    <t>HEYMAN JACOB DR.</t>
  </si>
  <si>
    <t>HEYMAN JACOB H</t>
  </si>
  <si>
    <t>109 EAST 38TH STREET</t>
  </si>
  <si>
    <t>E0262200</t>
  </si>
  <si>
    <t>HAWKINS KATHERINE A MD</t>
  </si>
  <si>
    <t>KatherineHawkins</t>
  </si>
  <si>
    <t>HAWKINS KATHERINE</t>
  </si>
  <si>
    <t>E0157886</t>
  </si>
  <si>
    <t>MUMFORD JAMES M MD</t>
  </si>
  <si>
    <t>JamesMumford</t>
  </si>
  <si>
    <t>MUMFORD JAMES DR.</t>
  </si>
  <si>
    <t>E0296796</t>
  </si>
  <si>
    <t>BOAKYE NAANA AGYEIWAH MD</t>
  </si>
  <si>
    <t>NAANABOAKYE</t>
  </si>
  <si>
    <t>BOAKYE NAANA DR.</t>
  </si>
  <si>
    <t>E0146939</t>
  </si>
  <si>
    <t>GHOSH ANITA</t>
  </si>
  <si>
    <t>ANITAGUHA-GHOSH</t>
  </si>
  <si>
    <t>GUHA-GHOSH ANITA</t>
  </si>
  <si>
    <t>E0279031</t>
  </si>
  <si>
    <t>ROSNER WILLIAM             MD</t>
  </si>
  <si>
    <t>MR.WILLIAMROSNER</t>
  </si>
  <si>
    <t>ROSNER WILLIAM DR.</t>
  </si>
  <si>
    <t>ROOSEVELT HSP MED CT</t>
  </si>
  <si>
    <t>E0320206</t>
  </si>
  <si>
    <t>TYAGI PRIYA</t>
  </si>
  <si>
    <t>PRIYATYAGI</t>
  </si>
  <si>
    <t>E0137065</t>
  </si>
  <si>
    <t>LUKOSCHEK PETRA M MD</t>
  </si>
  <si>
    <t>PETRALUKOSCHEK</t>
  </si>
  <si>
    <t>LUKOSCHEK PETRA DR.</t>
  </si>
  <si>
    <t>E0397903</t>
  </si>
  <si>
    <t>KUWAMA YUICHIRO</t>
  </si>
  <si>
    <t>YUICHIROKUWAMA</t>
  </si>
  <si>
    <t>E0183201</t>
  </si>
  <si>
    <t>SADIQ ASMA J MD</t>
  </si>
  <si>
    <t>ASMASADIQ</t>
  </si>
  <si>
    <t>SADIQ ASMA</t>
  </si>
  <si>
    <t>HARLEM HSP</t>
  </si>
  <si>
    <t>E0105275</t>
  </si>
  <si>
    <t>SILVERBERG NANETTE B MD</t>
  </si>
  <si>
    <t>NANETTESILVERBERG</t>
  </si>
  <si>
    <t>SILVERBERG NANETTE</t>
  </si>
  <si>
    <t>Revan,Sharon</t>
  </si>
  <si>
    <t>LauriePosner</t>
  </si>
  <si>
    <t>E0077800</t>
  </si>
  <si>
    <t>POSNER LAURIE</t>
  </si>
  <si>
    <t>EileenRivera</t>
  </si>
  <si>
    <t>LorenGreenberg</t>
  </si>
  <si>
    <t>SherryHumphrey</t>
  </si>
  <si>
    <t>KarunadeiKandiah</t>
  </si>
  <si>
    <t>HelenLandicho</t>
  </si>
  <si>
    <t>KaitlynWong</t>
  </si>
  <si>
    <t>BryantXu</t>
  </si>
  <si>
    <t>WorkuZewdu</t>
  </si>
  <si>
    <t>BettySzlachter</t>
  </si>
  <si>
    <t>SZLACHTER BETTY DR.</t>
  </si>
  <si>
    <t>99 UNIVERSITY PL, 8TH FLOOR</t>
  </si>
  <si>
    <t>E0011389</t>
  </si>
  <si>
    <t>KLEIN DAVID MATTHEW MD</t>
  </si>
  <si>
    <t>KleinDavid</t>
  </si>
  <si>
    <t>KLEIN DAVID</t>
  </si>
  <si>
    <t>KLEIN DAVID MATTHEW DO</t>
  </si>
  <si>
    <t>740 64TH ST</t>
  </si>
  <si>
    <t>E0173191</t>
  </si>
  <si>
    <t>BOOK WILLIAM JEFFREY MD</t>
  </si>
  <si>
    <t>WILLIAMBOOK</t>
  </si>
  <si>
    <t>BOOK WILLIAM</t>
  </si>
  <si>
    <t>E0301053</t>
  </si>
  <si>
    <t>JOSHUA WAYNE BONSELL</t>
  </si>
  <si>
    <t>JOSHUABONSELL</t>
  </si>
  <si>
    <t>BONSELL JOSHUA DR.</t>
  </si>
  <si>
    <t>BONSELL JOSHUA WAYNE</t>
  </si>
  <si>
    <t>1ST AVENUE @16TH STREET</t>
  </si>
  <si>
    <t>E0081813</t>
  </si>
  <si>
    <t>KANO MAKI</t>
  </si>
  <si>
    <t>MAKIKANO</t>
  </si>
  <si>
    <t>KANO-LUECKERATH MAKI DR.</t>
  </si>
  <si>
    <t>KANO LUECKERATH MAKI</t>
  </si>
  <si>
    <t>141 S CENTRAL AVE</t>
  </si>
  <si>
    <t>E0217239</t>
  </si>
  <si>
    <t>BERDOFF RUSSELL LINDSAY MD</t>
  </si>
  <si>
    <t>RUSSELLBERDOFF</t>
  </si>
  <si>
    <t>BERDOFF RUSSELL</t>
  </si>
  <si>
    <t>BERDOFF RUSSELL LINDSAY MD PC</t>
  </si>
  <si>
    <t>E0364235</t>
  </si>
  <si>
    <t>LAMB ANGELA</t>
  </si>
  <si>
    <t>LambAngela</t>
  </si>
  <si>
    <t>LAMB ANGELA DR.</t>
  </si>
  <si>
    <t>BrunsonMargaret</t>
  </si>
  <si>
    <t>BRUNSON MARGARET MS.</t>
  </si>
  <si>
    <t>710 PARKSIDE AVE</t>
  </si>
  <si>
    <t>MONICAMARTIN</t>
  </si>
  <si>
    <t>E0165158</t>
  </si>
  <si>
    <t>BEDNAREK KARL THADEUS MD</t>
  </si>
  <si>
    <t>KARLBEDNAREK</t>
  </si>
  <si>
    <t>BEDNAREK KARL DR.</t>
  </si>
  <si>
    <t>KARL BEDNAREK</t>
  </si>
  <si>
    <t>FIRST AVE @ 16TH ST</t>
  </si>
  <si>
    <t>E0276663</t>
  </si>
  <si>
    <t>BERNSTEIN ROBERT S</t>
  </si>
  <si>
    <t>ROBERTBERNSTEIN</t>
  </si>
  <si>
    <t>BERNSTEIN ROBERT DR.</t>
  </si>
  <si>
    <t>SLRH INP WARD</t>
  </si>
  <si>
    <t>E0013781</t>
  </si>
  <si>
    <t>GEORGE ERIK MD</t>
  </si>
  <si>
    <t>ERIKGEORGE</t>
  </si>
  <si>
    <t>GEORGE ERIK DR.</t>
  </si>
  <si>
    <t>E0219160</t>
  </si>
  <si>
    <t>QUINN BRIAN P DPM</t>
  </si>
  <si>
    <t>BRIANQUINN</t>
  </si>
  <si>
    <t>QUINN BRIAN P</t>
  </si>
  <si>
    <t>E0002653</t>
  </si>
  <si>
    <t>MEER JOHN FREDRIC MD</t>
  </si>
  <si>
    <t>JOHNMEER</t>
  </si>
  <si>
    <t>MEER JOHN DR.</t>
  </si>
  <si>
    <t>2465 BROADWAY</t>
  </si>
  <si>
    <t>E0156521</t>
  </si>
  <si>
    <t>TWARDON ANDREW ANDRZEJ</t>
  </si>
  <si>
    <t>ANDREWTWARDON</t>
  </si>
  <si>
    <t>TWARDON ANDREW</t>
  </si>
  <si>
    <t>E0006347</t>
  </si>
  <si>
    <t>RULE ERIN EILEEN MDF</t>
  </si>
  <si>
    <t>DR.ERINGABRIEL</t>
  </si>
  <si>
    <t>GABRIEL ERIN DR.</t>
  </si>
  <si>
    <t>GABRIEL ERIN E</t>
  </si>
  <si>
    <t>E0203218</t>
  </si>
  <si>
    <t>RAUCHER BETH GOLDSTEIN     MD</t>
  </si>
  <si>
    <t>BETHRAUCHER</t>
  </si>
  <si>
    <t>RAUCHER BETH</t>
  </si>
  <si>
    <t>E0019368</t>
  </si>
  <si>
    <t>KIM GRACE JANE MD</t>
  </si>
  <si>
    <t>GRACEKIM</t>
  </si>
  <si>
    <t>E0310599</t>
  </si>
  <si>
    <t>D'SOUZA LIONEL</t>
  </si>
  <si>
    <t>DR.LIONELDSOUZA</t>
  </si>
  <si>
    <t>DSOUZA LIONEL DR.</t>
  </si>
  <si>
    <t>D'SOUZA LIONEL SANTOS</t>
  </si>
  <si>
    <t>E0447749</t>
  </si>
  <si>
    <t>BIEWALD MOLLIE ALEXANDRA</t>
  </si>
  <si>
    <t>DR.MOLLIEBIEWALD</t>
  </si>
  <si>
    <t>BIEWALD MOLLIE DR.</t>
  </si>
  <si>
    <t>E0103916</t>
  </si>
  <si>
    <t>SORIANO RAINER P MD</t>
  </si>
  <si>
    <t>RAINIERSORIANO</t>
  </si>
  <si>
    <t>SORIANO RAINIER</t>
  </si>
  <si>
    <t>1474 MADISON AVE</t>
  </si>
  <si>
    <t>E0089599</t>
  </si>
  <si>
    <t>POSADA ROBERTO MD</t>
  </si>
  <si>
    <t>ROBERTOPOSADA</t>
  </si>
  <si>
    <t>POSADA ROBERTO</t>
  </si>
  <si>
    <t>E0211996</t>
  </si>
  <si>
    <t>ROMAS NICHOLAS ACHILLES    MD</t>
  </si>
  <si>
    <t>NICHOLASROMAS</t>
  </si>
  <si>
    <t>ROMAS NICHOLAS</t>
  </si>
  <si>
    <t>E0339358</t>
  </si>
  <si>
    <t>XU TAO SHIWEI</t>
  </si>
  <si>
    <t>TAOXU</t>
  </si>
  <si>
    <t>XU TAO</t>
  </si>
  <si>
    <t>E0378403</t>
  </si>
  <si>
    <t>JERMONE ROY</t>
  </si>
  <si>
    <t>ROYJEROME</t>
  </si>
  <si>
    <t>JEROME ROY DR.</t>
  </si>
  <si>
    <t>JEROME ROY CURTIS</t>
  </si>
  <si>
    <t>E0076631</t>
  </si>
  <si>
    <t>GANATRA ANJNA NAIN</t>
  </si>
  <si>
    <t>ANJNAGANATRA</t>
  </si>
  <si>
    <t>GANATRA ANJNA DR.</t>
  </si>
  <si>
    <t>E0109811</t>
  </si>
  <si>
    <t>KAHN STUART B MD</t>
  </si>
  <si>
    <t>STUARTKAHN</t>
  </si>
  <si>
    <t>KAHN STUART</t>
  </si>
  <si>
    <t>E0042841</t>
  </si>
  <si>
    <t>KLIPSTEIN KIMBERLY G MD</t>
  </si>
  <si>
    <t>KIMBERLYKLIPSTEIN</t>
  </si>
  <si>
    <t>KLIPSTEIN KIMBERLY DR.</t>
  </si>
  <si>
    <t>DIEGOPONIEMAN</t>
  </si>
  <si>
    <t>E0123488</t>
  </si>
  <si>
    <t>LINDEN TODD B MD</t>
  </si>
  <si>
    <t>TODDLINDEN</t>
  </si>
  <si>
    <t>LINDEN TODD DR.</t>
  </si>
  <si>
    <t>161 AVENUE OF THE AMERICAS FL 13</t>
  </si>
  <si>
    <t>AmandaKateMacaluso,L.C.S.W.</t>
  </si>
  <si>
    <t>DEROBERTS AMANDA</t>
  </si>
  <si>
    <t>ViralPatel</t>
  </si>
  <si>
    <t>E0337519</t>
  </si>
  <si>
    <t>PAIK IL JOON</t>
  </si>
  <si>
    <t>IlJoon</t>
  </si>
  <si>
    <t>PAIK IL</t>
  </si>
  <si>
    <t>E0351082</t>
  </si>
  <si>
    <t>PANARELLI JOSEPH FRANCIS</t>
  </si>
  <si>
    <t>JosephPanarelli</t>
  </si>
  <si>
    <t>PANARELLI JOSEPH</t>
  </si>
  <si>
    <t>310 E 14TH ST STE 319S</t>
  </si>
  <si>
    <t>TrevorGolbourne</t>
  </si>
  <si>
    <t>GOLBOURNE TREVOR</t>
  </si>
  <si>
    <t>1000 10TH AVE, 10G</t>
  </si>
  <si>
    <t>BrandonGodbout</t>
  </si>
  <si>
    <t>E0176767</t>
  </si>
  <si>
    <t>EVANS STEVEN JAMES LORING MD</t>
  </si>
  <si>
    <t>StevenEvans</t>
  </si>
  <si>
    <t>EVANS STEVEN</t>
  </si>
  <si>
    <t>E0359366</t>
  </si>
  <si>
    <t>VARGHESE GEETA</t>
  </si>
  <si>
    <t>GeetaVarghese</t>
  </si>
  <si>
    <t>VARGHESE GEETA DR.</t>
  </si>
  <si>
    <t>E0311019</t>
  </si>
  <si>
    <t>FORY ELISSA KAY</t>
  </si>
  <si>
    <t>ElissaFory</t>
  </si>
  <si>
    <t>FORY ELISSA DR.</t>
  </si>
  <si>
    <t>425 W 59TH ST STE 6A</t>
  </si>
  <si>
    <t>E0294216</t>
  </si>
  <si>
    <t>CHERAZARD REGINE</t>
  </si>
  <si>
    <t>RegineCherazard</t>
  </si>
  <si>
    <t>CHERAZARD REGINE DR.</t>
  </si>
  <si>
    <t>E0199226</t>
  </si>
  <si>
    <t>GOMORI ELISABETH</t>
  </si>
  <si>
    <t>ElisabethGomori</t>
  </si>
  <si>
    <t>TRIANGLE MED CTR</t>
  </si>
  <si>
    <t>E0033869</t>
  </si>
  <si>
    <t>JAHNG STEFAN  MD</t>
  </si>
  <si>
    <t>StefanJahng</t>
  </si>
  <si>
    <t>JAHNG STEFAN</t>
  </si>
  <si>
    <t>E0094039</t>
  </si>
  <si>
    <t>FIERER DANIEL SETH MD</t>
  </si>
  <si>
    <t>DANIELFIERER</t>
  </si>
  <si>
    <t>FIERER DANIEL DR.</t>
  </si>
  <si>
    <t>E0296776</t>
  </si>
  <si>
    <t>MAJO JOSEPH</t>
  </si>
  <si>
    <t>MAJOJOSEPH</t>
  </si>
  <si>
    <t>JOSEPH MAJO DR.</t>
  </si>
  <si>
    <t>JOSEPH MAJO MD</t>
  </si>
  <si>
    <t>E0317162</t>
  </si>
  <si>
    <t>ROBINSON-BROWN MELISSA</t>
  </si>
  <si>
    <t>MELISSAROBINSON-BROWN</t>
  </si>
  <si>
    <t>ROBINSON-BROWN MELISSA DR.</t>
  </si>
  <si>
    <t>622 WEST 168TH STREE</t>
  </si>
  <si>
    <t>E0129182</t>
  </si>
  <si>
    <t>RODRIGUEZ-CAPRIO GABRIELA MD</t>
  </si>
  <si>
    <t>GABRIELARODRIGUEZ-CAPRIO</t>
  </si>
  <si>
    <t>RODRIGUEZ-CAPRIO GABRIELA</t>
  </si>
  <si>
    <t>E0327013</t>
  </si>
  <si>
    <t>BIRD ANNE F</t>
  </si>
  <si>
    <t>ANNEBIRD</t>
  </si>
  <si>
    <t>BIRD ANNE DR.</t>
  </si>
  <si>
    <t>BIRD ANNE FRANCES</t>
  </si>
  <si>
    <t>idaElliot</t>
  </si>
  <si>
    <t>JoohyunKim</t>
  </si>
  <si>
    <t>GuirlenCange</t>
  </si>
  <si>
    <t>SonyaChoudhury</t>
  </si>
  <si>
    <t>PatriciaNicholson</t>
  </si>
  <si>
    <t>E0371976</t>
  </si>
  <si>
    <t>NICHOLSON PATRICIA PETREICE</t>
  </si>
  <si>
    <t>NICHOLSON PATRICIA</t>
  </si>
  <si>
    <t>Asby-Jaghab,Minou</t>
  </si>
  <si>
    <t>Gracia,Philome</t>
  </si>
  <si>
    <t>Jordan,Malynda</t>
  </si>
  <si>
    <t>E0190509</t>
  </si>
  <si>
    <t>WHELAN RICHARD LAWRANCE MD</t>
  </si>
  <si>
    <t>RichardWhelan</t>
  </si>
  <si>
    <t>WHELAN RICHARD</t>
  </si>
  <si>
    <t>COLUMBIA PRESBY</t>
  </si>
  <si>
    <t>E0406879</t>
  </si>
  <si>
    <t>FELDMAN HANNAH</t>
  </si>
  <si>
    <t>HannahFeldman</t>
  </si>
  <si>
    <t>E0344558</t>
  </si>
  <si>
    <t>PANTELIDES HARRY</t>
  </si>
  <si>
    <t>HarryPantelides</t>
  </si>
  <si>
    <t>RACHELNEPOMUCENO</t>
  </si>
  <si>
    <t>NEPOMUCENO RACHEL</t>
  </si>
  <si>
    <t>E0382592</t>
  </si>
  <si>
    <t>CHEUNG JANICE M</t>
  </si>
  <si>
    <t>JaniceCheung</t>
  </si>
  <si>
    <t>CHEUNG JANICE</t>
  </si>
  <si>
    <t>CHEUNG JANICE MANSUM</t>
  </si>
  <si>
    <t>E0184789</t>
  </si>
  <si>
    <t>ROSEN RICHARD BRUCE MD</t>
  </si>
  <si>
    <t>RichardRosen</t>
  </si>
  <si>
    <t>ROSEN RICHARD</t>
  </si>
  <si>
    <t>ROSEN RICHARD BRUCE</t>
  </si>
  <si>
    <t>NY EAR &amp; EYE INFIRM</t>
  </si>
  <si>
    <t>E0324503</t>
  </si>
  <si>
    <t>EDELSTEIN JAMIE</t>
  </si>
  <si>
    <t>JamieEdelstein</t>
  </si>
  <si>
    <t>EDELSTEIN JAMIE DR.</t>
  </si>
  <si>
    <t>E0357909</t>
  </si>
  <si>
    <t>COHEN MIA GINTOFT</t>
  </si>
  <si>
    <t>MiaCohen</t>
  </si>
  <si>
    <t>COHEN MIA DR.</t>
  </si>
  <si>
    <t>E0343403</t>
  </si>
  <si>
    <t>MACK LIAN</t>
  </si>
  <si>
    <t>LianMack</t>
  </si>
  <si>
    <t>MACK LIAN DR.</t>
  </si>
  <si>
    <t>MACK LIAN ALANA</t>
  </si>
  <si>
    <t>245 W 19TH ST</t>
  </si>
  <si>
    <t>E0340058</t>
  </si>
  <si>
    <t>MASLAK STEPHEN</t>
  </si>
  <si>
    <t>StephenMaslak</t>
  </si>
  <si>
    <t>MASLAK STEPHEN DR.</t>
  </si>
  <si>
    <t>MASLAK STEPHEN JOHN</t>
  </si>
  <si>
    <t>1408 RICHMOND RD</t>
  </si>
  <si>
    <t>E0053916</t>
  </si>
  <si>
    <t>ALKURDI NASSER MD</t>
  </si>
  <si>
    <t>AlkurdiNasser</t>
  </si>
  <si>
    <t>ALKURDI NASSER</t>
  </si>
  <si>
    <t>E0126694</t>
  </si>
  <si>
    <t>BIVIANO BERNARD JOHN JR MD</t>
  </si>
  <si>
    <t>BivianoBernard</t>
  </si>
  <si>
    <t>BIVIANO BERNARD</t>
  </si>
  <si>
    <t>W QUEENS COMM HOSP</t>
  </si>
  <si>
    <t>E0431528</t>
  </si>
  <si>
    <t>CASTRO CARLOS</t>
  </si>
  <si>
    <t>CastroCarlos</t>
  </si>
  <si>
    <t>E0015573</t>
  </si>
  <si>
    <t>GITLIN DAVID</t>
  </si>
  <si>
    <t>GitlinDavid</t>
  </si>
  <si>
    <t>GITLIN DAVID DPM</t>
  </si>
  <si>
    <t>1901 FIRST AVE 5 SOUTH 2</t>
  </si>
  <si>
    <t>E0369139</t>
  </si>
  <si>
    <t>SHEFFIELD PERRY</t>
  </si>
  <si>
    <t>SheffieldPerry</t>
  </si>
  <si>
    <t>SHEFFIELD PERRY ELIZABETH</t>
  </si>
  <si>
    <t>E0289082</t>
  </si>
  <si>
    <t>GOLDENBERG GARY</t>
  </si>
  <si>
    <t>GoldenbergGary</t>
  </si>
  <si>
    <t>GOLDENBERG GARY DR.</t>
  </si>
  <si>
    <t>1428-30 MADISON AVENUE</t>
  </si>
  <si>
    <t>DR.JEFFREYNICHOLS</t>
  </si>
  <si>
    <t>E0004931</t>
  </si>
  <si>
    <t>ZELENETZ MICHAEL IVAN  MD</t>
  </si>
  <si>
    <t>MICHAELZELENETZ</t>
  </si>
  <si>
    <t>ZELENETZ MICHAEL DR.</t>
  </si>
  <si>
    <t>ZELENETZ MICHAEL IVAN MD</t>
  </si>
  <si>
    <t>2211 EMMONS AVE</t>
  </si>
  <si>
    <t>E0251639</t>
  </si>
  <si>
    <t>GIBRALTER RICHARD P        MD</t>
  </si>
  <si>
    <t>RichardGibralter</t>
  </si>
  <si>
    <t>GIBRALTER RICHARD DR.</t>
  </si>
  <si>
    <t>154 E 71ST ST</t>
  </si>
  <si>
    <t>E0020055</t>
  </si>
  <si>
    <t>WIDOFF JULIET MD</t>
  </si>
  <si>
    <t>JulietWidoff</t>
  </si>
  <si>
    <t>WIDOFF JULIET DR.</t>
  </si>
  <si>
    <t>AlexanderShvarts</t>
  </si>
  <si>
    <t>EAST VILLAGE GASTROENTEROLOGY P.C.</t>
  </si>
  <si>
    <t>232 E 12TH ST APT 1F</t>
  </si>
  <si>
    <t>E0337008</t>
  </si>
  <si>
    <t>MARK C HOMONOFF MD PLLC</t>
  </si>
  <si>
    <t>MarkHomonoff</t>
  </si>
  <si>
    <t>E0151323</t>
  </si>
  <si>
    <t>GRAYSON DOUGLAS K MD</t>
  </si>
  <si>
    <t>DouglasGrayson</t>
  </si>
  <si>
    <t>GRAYSON DOUGLAS</t>
  </si>
  <si>
    <t>E0320059</t>
  </si>
  <si>
    <t>GAO WEIYI</t>
  </si>
  <si>
    <t>WEIYIGAO</t>
  </si>
  <si>
    <t>GAO WEIYI DR.</t>
  </si>
  <si>
    <t>10 UNION SQUARE EAST STE 5D</t>
  </si>
  <si>
    <t>E0283823</t>
  </si>
  <si>
    <t>VERO ERICA</t>
  </si>
  <si>
    <t>ERICAVERO</t>
  </si>
  <si>
    <t>VERO ERICA DR.</t>
  </si>
  <si>
    <t>VERO ERICA ANN MD</t>
  </si>
  <si>
    <t>E0005099</t>
  </si>
  <si>
    <t>MOY JUDY LEE  DDS</t>
  </si>
  <si>
    <t>JUDYMOY</t>
  </si>
  <si>
    <t>MOY JUDY DR.</t>
  </si>
  <si>
    <t>MOY JUDY LEE DMD</t>
  </si>
  <si>
    <t>875 MAMARONECK AVE</t>
  </si>
  <si>
    <t>E0056755</t>
  </si>
  <si>
    <t>HANDLER BRADLEY MD</t>
  </si>
  <si>
    <t>BRADLEYHANDLER</t>
  </si>
  <si>
    <t>HANDLER BRADLEY</t>
  </si>
  <si>
    <t>E0183321</t>
  </si>
  <si>
    <t>LEVINE STEVEN BARRY MD</t>
  </si>
  <si>
    <t>STEVENLEVINE</t>
  </si>
  <si>
    <t>LEVINE STEVEN DR.</t>
  </si>
  <si>
    <t>LEVINE STEVEN BARRY</t>
  </si>
  <si>
    <t>E0146400</t>
  </si>
  <si>
    <t>TRAVIS JEANNE D MD</t>
  </si>
  <si>
    <t>JEANNETRAVIS</t>
  </si>
  <si>
    <t>TRAVIS JEANNE DR.</t>
  </si>
  <si>
    <t>TRAVIS JEANNE DEBRA</t>
  </si>
  <si>
    <t>SETTLEMENT HEALTH</t>
  </si>
  <si>
    <t>E0062558</t>
  </si>
  <si>
    <t>TORRES OMAR</t>
  </si>
  <si>
    <t>OMARTORRES</t>
  </si>
  <si>
    <t>117 E 18TH ST</t>
  </si>
  <si>
    <t>E0083005</t>
  </si>
  <si>
    <t>BAKAL RON S MD</t>
  </si>
  <si>
    <t>RONBAKAL</t>
  </si>
  <si>
    <t>BAKAL RON DR.</t>
  </si>
  <si>
    <t>E0162329</t>
  </si>
  <si>
    <t>STARPOLI ANTHONY A</t>
  </si>
  <si>
    <t>ANTHONYSTARPOLI</t>
  </si>
  <si>
    <t>STARPOLI ANTHONY</t>
  </si>
  <si>
    <t>STARPOLI ANTHONY AUSTIN</t>
  </si>
  <si>
    <t>ST VINCENTS HOSPITAL</t>
  </si>
  <si>
    <t>LevonAgdere</t>
  </si>
  <si>
    <t>E0186175</t>
  </si>
  <si>
    <t>AGDERE LEVON MD</t>
  </si>
  <si>
    <t>AGDERE LEVON DR.</t>
  </si>
  <si>
    <t>ShafiqurRahman</t>
  </si>
  <si>
    <t>E0189665</t>
  </si>
  <si>
    <t>RAHMAN SHAFIQUR MOHAMMED MD</t>
  </si>
  <si>
    <t>RAHMAN SHAFIQUR</t>
  </si>
  <si>
    <t>VipulKothari</t>
  </si>
  <si>
    <t>E0184034</t>
  </si>
  <si>
    <t>KOTHARI VIPUL CHANDRAKANT</t>
  </si>
  <si>
    <t>KOTHARI VIPUL DR.</t>
  </si>
  <si>
    <t>53-15 BEACH CHAN DR</t>
  </si>
  <si>
    <t>RitaAlbano</t>
  </si>
  <si>
    <t>E0127640</t>
  </si>
  <si>
    <t>ALBANO RITA</t>
  </si>
  <si>
    <t>Santos,Sonia</t>
  </si>
  <si>
    <t>Thomas,Johnny</t>
  </si>
  <si>
    <t>RobertReda,L.C.S.W.</t>
  </si>
  <si>
    <t>E0343092</t>
  </si>
  <si>
    <t>REDA ROBERT C</t>
  </si>
  <si>
    <t>REDA ROBERT MR.</t>
  </si>
  <si>
    <t>MicheleManisoff,OTR/L</t>
  </si>
  <si>
    <t>E0342256</t>
  </si>
  <si>
    <t>MANISOFF MICHELE LYNN</t>
  </si>
  <si>
    <t>MANISOFF MICHELE</t>
  </si>
  <si>
    <t>CharlesYurkewicz,Ph.D.</t>
  </si>
  <si>
    <t>E0294630</t>
  </si>
  <si>
    <t>CHARLES EDWARD YURKEWICZ</t>
  </si>
  <si>
    <t>YURKEWICZ CHARLES DR.</t>
  </si>
  <si>
    <t>YURKEWICZ CHARLES EDWARD</t>
  </si>
  <si>
    <t>393 FRANKLIN AVE STE 101</t>
  </si>
  <si>
    <t>MichelleLividini,Ed.M.</t>
  </si>
  <si>
    <t>LIVIDINI MICHELLE</t>
  </si>
  <si>
    <t>JustineClifford,DPT</t>
  </si>
  <si>
    <t>E0350291</t>
  </si>
  <si>
    <t>CLIFFORD JUSTINE</t>
  </si>
  <si>
    <t>ParasramPersad,L.C.S.W.</t>
  </si>
  <si>
    <t>E0353957</t>
  </si>
  <si>
    <t>PERSAD PARASRAM</t>
  </si>
  <si>
    <t>GaryKahn,</t>
  </si>
  <si>
    <t>E0343202</t>
  </si>
  <si>
    <t>KAHN GARY LEE</t>
  </si>
  <si>
    <t>KAHN GARY DR.</t>
  </si>
  <si>
    <t>GrazynaKusmierska,Ph.D.</t>
  </si>
  <si>
    <t>E0340979</t>
  </si>
  <si>
    <t>KUSMIERSKA GRAZYNA T</t>
  </si>
  <si>
    <t>KUSMIERSKA GRAZYNA</t>
  </si>
  <si>
    <t>AmitavSen</t>
  </si>
  <si>
    <t>E0360888</t>
  </si>
  <si>
    <t>SEN AMITAV R</t>
  </si>
  <si>
    <t>SEN AMITAV DR.</t>
  </si>
  <si>
    <t>1143 47TH AVE</t>
  </si>
  <si>
    <t>MarshaAustin</t>
  </si>
  <si>
    <t>E0291792</t>
  </si>
  <si>
    <t>AUSTIN MARSHA TRACYANN</t>
  </si>
  <si>
    <t>AUSTIN MARSHA DR.</t>
  </si>
  <si>
    <t>180 LIVINGSTON ST STE 304</t>
  </si>
  <si>
    <t>EJEBE KENECHI DR.</t>
  </si>
  <si>
    <t>GOROVOY DAVID</t>
  </si>
  <si>
    <t>178 PINE TREE RD</t>
  </si>
  <si>
    <t>E0437853</t>
  </si>
  <si>
    <t>FRANCO-AKEL ALBERTO</t>
  </si>
  <si>
    <t>FRANCO-AKEL ALBERTO DR.</t>
  </si>
  <si>
    <t>VU STEVEN MR.</t>
  </si>
  <si>
    <t>88 PILGRIM RD</t>
  </si>
  <si>
    <t>PEMBROKE</t>
  </si>
  <si>
    <t>MAZZELLA MARY</t>
  </si>
  <si>
    <t>BLUE ROBERT</t>
  </si>
  <si>
    <t>1 GUSTAVE L LEVY PL, DEPT OF RADIOLOGY, BOX 1234</t>
  </si>
  <si>
    <t>E0419974</t>
  </si>
  <si>
    <t>HERNANDEZ YASMIN GENEVIEVE</t>
  </si>
  <si>
    <t>HERNANDEZ-BARCO YASMIN</t>
  </si>
  <si>
    <t>HOWARD DANIEL</t>
  </si>
  <si>
    <t>SIMOES PRIYA</t>
  </si>
  <si>
    <t>1000 10TH AVE, DEPARTMENT OF MEDICINE</t>
  </si>
  <si>
    <t>FITZGERALD SIMON</t>
  </si>
  <si>
    <t>COHEN MOLLY DR.</t>
  </si>
  <si>
    <t>826 W PORTER ST</t>
  </si>
  <si>
    <t>E0154232</t>
  </si>
  <si>
    <t>KRAUSS JOEL M MD</t>
  </si>
  <si>
    <t>JOELKRAUSS</t>
  </si>
  <si>
    <t>KRAUSS JOEL</t>
  </si>
  <si>
    <t>E0285886</t>
  </si>
  <si>
    <t>CZER ANTHONEY ENRIQUEZ LIM</t>
  </si>
  <si>
    <t>CZERANTHONEYENRIQUEZLIM</t>
  </si>
  <si>
    <t>LIM CZER ANTHONEY DR.</t>
  </si>
  <si>
    <t>LIM CZER ANTHONEY ENRIQUEZ MD</t>
  </si>
  <si>
    <t>E0138857</t>
  </si>
  <si>
    <t>KWAN TAK WAI MD</t>
  </si>
  <si>
    <t>TAKKWAN</t>
  </si>
  <si>
    <t>KWAN TAK DR.</t>
  </si>
  <si>
    <t>KWAN TAK WAI</t>
  </si>
  <si>
    <t>E0114916</t>
  </si>
  <si>
    <t>SPINGARN AARON MD</t>
  </si>
  <si>
    <t>AARONSPINGARN</t>
  </si>
  <si>
    <t>SPINGARN AARON</t>
  </si>
  <si>
    <t>DOCS PHYSICIANS</t>
  </si>
  <si>
    <t>E0169792</t>
  </si>
  <si>
    <t>MATHESON DONALD S MD</t>
  </si>
  <si>
    <t>DONALDMATHESON</t>
  </si>
  <si>
    <t>MATHESON DONALD DR.</t>
  </si>
  <si>
    <t>E0033550</t>
  </si>
  <si>
    <t>PENACERRADA LEONARD VICTOR MD</t>
  </si>
  <si>
    <t>LEONARDPENACERRADA</t>
  </si>
  <si>
    <t>PENACERRADA LEONARD DR.</t>
  </si>
  <si>
    <t>E0018662</t>
  </si>
  <si>
    <t>SONARA PATRICE ANNE DO</t>
  </si>
  <si>
    <t>PATRICESONARA</t>
  </si>
  <si>
    <t>SONARA PATRICE</t>
  </si>
  <si>
    <t>E0310382</t>
  </si>
  <si>
    <t>DESHPANDE PRIYA PRAKASH</t>
  </si>
  <si>
    <t>DeshpandePriya</t>
  </si>
  <si>
    <t>DESHPANDE PRIYA</t>
  </si>
  <si>
    <t>E0428588</t>
  </si>
  <si>
    <t>DEAN CLARE</t>
  </si>
  <si>
    <t>QAZI MUHAMMAD</t>
  </si>
  <si>
    <t>1 GUSTAVE LEVY PLACE, DEPARTMENT OF PATHOLOGY-, BOX 1194 MOUNT SINAI SCHOOL OF MEDICINE</t>
  </si>
  <si>
    <t>E0099061</t>
  </si>
  <si>
    <t>HOFFMAN ROBERT JAMES MD</t>
  </si>
  <si>
    <t>RobertHoffman</t>
  </si>
  <si>
    <t>HOFFMAN ROBERT</t>
  </si>
  <si>
    <t>FranklinLowe</t>
  </si>
  <si>
    <t>E0010260</t>
  </si>
  <si>
    <t>CHUU LOUISE A  MD</t>
  </si>
  <si>
    <t>LouiseChuu</t>
  </si>
  <si>
    <t>CHUU LOUISE DR.</t>
  </si>
  <si>
    <t>E0132648</t>
  </si>
  <si>
    <t>SAGALOVICH BORIS MD</t>
  </si>
  <si>
    <t>BORISSAGALOVICH</t>
  </si>
  <si>
    <t>SAGALOVICH BORIS DR.</t>
  </si>
  <si>
    <t>SAGALOVICH BORIS</t>
  </si>
  <si>
    <t>7714 13TH AVE</t>
  </si>
  <si>
    <t>E0122545</t>
  </si>
  <si>
    <t>D'SOUZA DAVID J MD</t>
  </si>
  <si>
    <t>DavidD'Souza</t>
  </si>
  <si>
    <t>D'SOUZA DAVID</t>
  </si>
  <si>
    <t>ShariHain</t>
  </si>
  <si>
    <t>HAIN SHARI</t>
  </si>
  <si>
    <t>HEAD AND NECK SURGICAL GROUP, 425 WEST 59TH STREET 10TH FLOOR</t>
  </si>
  <si>
    <t>E0335300</t>
  </si>
  <si>
    <t>RAMASWAMY KAVISHANKAR</t>
  </si>
  <si>
    <t>RAVISHANKARRAMASWAMY</t>
  </si>
  <si>
    <t>RAMASWAMY RAVISHANKAR DR.</t>
  </si>
  <si>
    <t>RAMASWAMY RAVISHANKAR</t>
  </si>
  <si>
    <t>E0366594</t>
  </si>
  <si>
    <t>MCCORD SARAH ELIZABETH</t>
  </si>
  <si>
    <t>SARAHMCCORD</t>
  </si>
  <si>
    <t>MCCORD SARAH</t>
  </si>
  <si>
    <t>1 GUSTAVE L LEVY PL FL 8</t>
  </si>
  <si>
    <t>SAMIRFARHAT</t>
  </si>
  <si>
    <t>E0000577</t>
  </si>
  <si>
    <t>JANKOWSKI IRENE</t>
  </si>
  <si>
    <t>IRENEJANKOWSKI</t>
  </si>
  <si>
    <t>SAFAEE MARYAM DR.</t>
  </si>
  <si>
    <t>1959 NE PACIFIC ST, BB1353</t>
  </si>
  <si>
    <t>FREMED DANIEL</t>
  </si>
  <si>
    <t>1 GUSTAVE L LEVY PL, BOX 1076</t>
  </si>
  <si>
    <t>E0152274</t>
  </si>
  <si>
    <t>CORITSIDIS GEORGE N MD</t>
  </si>
  <si>
    <t>CoritsidisGeorge</t>
  </si>
  <si>
    <t>CORITSIDIS GEORGE</t>
  </si>
  <si>
    <t>E0162974</t>
  </si>
  <si>
    <t>VANEGAS EDGAR Z  MD</t>
  </si>
  <si>
    <t>VANEGAS EDGAR DR.</t>
  </si>
  <si>
    <t>MARY IMMACULATE ER</t>
  </si>
  <si>
    <t>E0328018</t>
  </si>
  <si>
    <t>SUTER MAUREEN NATALIE</t>
  </si>
  <si>
    <t>SUTER MAUREEN DR.</t>
  </si>
  <si>
    <t>535 W 110TH ST APT 1E</t>
  </si>
  <si>
    <t>HITESHI AMIT DR.</t>
  </si>
  <si>
    <t>2115 COMPTON AVE, SUITE 101</t>
  </si>
  <si>
    <t>E0299991</t>
  </si>
  <si>
    <t>HILTZIK DAVID HENRY</t>
  </si>
  <si>
    <t>DAVIDHILTZIK</t>
  </si>
  <si>
    <t>HILTZIK DAVID DR.</t>
  </si>
  <si>
    <t>CHAVANON VINCENT</t>
  </si>
  <si>
    <t>527 BIGELOW ST</t>
  </si>
  <si>
    <t>ADAMOVA YELIZAVETA DR.</t>
  </si>
  <si>
    <t>4170 CITY AVE</t>
  </si>
  <si>
    <t>E0419527</t>
  </si>
  <si>
    <t>VASQUEZ PETER A</t>
  </si>
  <si>
    <t>VASQUEZ PETER</t>
  </si>
  <si>
    <t>E0011595</t>
  </si>
  <si>
    <t>HERNANDEZ ADAM BREAUX</t>
  </si>
  <si>
    <t>HernandezAdam</t>
  </si>
  <si>
    <t>HERNANDEZ ADAM</t>
  </si>
  <si>
    <t>E0391655</t>
  </si>
  <si>
    <t>LIM-SULIT NANITA F</t>
  </si>
  <si>
    <t>Lim-SulitNanita</t>
  </si>
  <si>
    <t>LIM-SULIT NANITA</t>
  </si>
  <si>
    <t>LIM-SULIT NANITA FLAVIER</t>
  </si>
  <si>
    <t>E0343277</t>
  </si>
  <si>
    <t>MAMIK MAMTA MURALIDHAR</t>
  </si>
  <si>
    <t>MamikMamta</t>
  </si>
  <si>
    <t>MAMIK MAMTA DR.</t>
  </si>
  <si>
    <t>E0012060</t>
  </si>
  <si>
    <t>ZAKASHANSKY KONSTANTIN MD</t>
  </si>
  <si>
    <t>ZakashanskyKonstantin</t>
  </si>
  <si>
    <t>ZAKASHANSKY KONSTANTIN DR.</t>
  </si>
  <si>
    <t>E0316349</t>
  </si>
  <si>
    <t>SUJA VINOD</t>
  </si>
  <si>
    <t>VinodSujaBala</t>
  </si>
  <si>
    <t>VINOD SUJA</t>
  </si>
  <si>
    <t>E0361976</t>
  </si>
  <si>
    <t>DIAMENTE ROSANNA</t>
  </si>
  <si>
    <t>DiamenteRosanna</t>
  </si>
  <si>
    <t>DIAMENTE ROSANNA MS.</t>
  </si>
  <si>
    <t>E0326736</t>
  </si>
  <si>
    <t>REICH DANYA</t>
  </si>
  <si>
    <t>DANYAREICH</t>
  </si>
  <si>
    <t>REICH DANYA DR.</t>
  </si>
  <si>
    <t>REICH DANYA ELLEN</t>
  </si>
  <si>
    <t>E0113657</t>
  </si>
  <si>
    <t>SEBAOUN TOVA RACHEL</t>
  </si>
  <si>
    <t>TOVASEBAOUN</t>
  </si>
  <si>
    <t>SEBAOUN TOVA</t>
  </si>
  <si>
    <t>E0020238</t>
  </si>
  <si>
    <t>IDUPUGANTI RAGHU DO</t>
  </si>
  <si>
    <t>RAGHUIDUPUGANTI</t>
  </si>
  <si>
    <t>IDUPUGANTI RAGHU</t>
  </si>
  <si>
    <t>E0237172</t>
  </si>
  <si>
    <t>CASTRO GARCIA JOSE LUIS    MD</t>
  </si>
  <si>
    <t>JOSECASTRO-GARCIA</t>
  </si>
  <si>
    <t>CASTRO-GARCIA JOSE</t>
  </si>
  <si>
    <t>CASTRO GARCIA JOSE LUIS</t>
  </si>
  <si>
    <t>ST LUKES/ROSVLT HOSP</t>
  </si>
  <si>
    <t>E0140166</t>
  </si>
  <si>
    <t>LEFER GARY MD</t>
  </si>
  <si>
    <t>GaryLefer</t>
  </si>
  <si>
    <t>LEFER GARY DR.</t>
  </si>
  <si>
    <t>E0039949</t>
  </si>
  <si>
    <t>NGHI PHUONG M MD</t>
  </si>
  <si>
    <t>PhuongNghi</t>
  </si>
  <si>
    <t>NGHI PHUONG</t>
  </si>
  <si>
    <t>E0007176</t>
  </si>
  <si>
    <t>GANDHI NIPA DILIP</t>
  </si>
  <si>
    <t>NipaGandhi</t>
  </si>
  <si>
    <t>GANDHI NIPA DR.</t>
  </si>
  <si>
    <t>E0184956</t>
  </si>
  <si>
    <t>EHRLICH MARTIN H MD</t>
  </si>
  <si>
    <t>MartinEhrlich</t>
  </si>
  <si>
    <t>EHRLICH MARTIN DR.</t>
  </si>
  <si>
    <t>HARLEM INTERNAL MEDI</t>
  </si>
  <si>
    <t>E0276281</t>
  </si>
  <si>
    <t>ASKANAS ALEXANDER          MD</t>
  </si>
  <si>
    <t>ALEXANDERASKANAS</t>
  </si>
  <si>
    <t>ASKANAS ALEXANDER</t>
  </si>
  <si>
    <t>BIMC CARDIOLOGY</t>
  </si>
  <si>
    <t>E0223581</t>
  </si>
  <si>
    <t>FISHMAN DONALD R           MD</t>
  </si>
  <si>
    <t>DONALDFISHMAN</t>
  </si>
  <si>
    <t>FISHMAN DONALD DR.</t>
  </si>
  <si>
    <t>ROOSEVELT MEDICAL GP</t>
  </si>
  <si>
    <t>E0205047</t>
  </si>
  <si>
    <t>RASKIN JONATHAN M          MD</t>
  </si>
  <si>
    <t>JONATHANRASKIN</t>
  </si>
  <si>
    <t>RASKIN JONATHAN</t>
  </si>
  <si>
    <t>E0240578</t>
  </si>
  <si>
    <t>FREEMAN MELISSA M          MD</t>
  </si>
  <si>
    <t>MELISSAFREEMAN</t>
  </si>
  <si>
    <t>FREEMAN MELISSA DR.</t>
  </si>
  <si>
    <t>407 W 147TH ST</t>
  </si>
  <si>
    <t>E0106445</t>
  </si>
  <si>
    <t>OPIO GEORGE MD</t>
  </si>
  <si>
    <t>GEORGEOPIO</t>
  </si>
  <si>
    <t>OPIO GEORGE</t>
  </si>
  <si>
    <t>LAURLTON MEDICAL</t>
  </si>
  <si>
    <t>E0082609</t>
  </si>
  <si>
    <t>MISRA DEEPIKA MD</t>
  </si>
  <si>
    <t>DEEPIKAMISRA</t>
  </si>
  <si>
    <t>MISRA DEEPIKA</t>
  </si>
  <si>
    <t>BIMC HEART INST</t>
  </si>
  <si>
    <t>E0227987</t>
  </si>
  <si>
    <t>FALLER JASON               MD</t>
  </si>
  <si>
    <t>JASONFALLER</t>
  </si>
  <si>
    <t>FALLER JASON DR.</t>
  </si>
  <si>
    <t>333 W 57TH ST</t>
  </si>
  <si>
    <t>E0209213</t>
  </si>
  <si>
    <t>BASKIN DAVID               MD</t>
  </si>
  <si>
    <t>DAVIDBASKIN</t>
  </si>
  <si>
    <t>BASKIN DAVID DR.</t>
  </si>
  <si>
    <t>E0306976</t>
  </si>
  <si>
    <t>JULES ROLAND</t>
  </si>
  <si>
    <t>ROLANDJULES</t>
  </si>
  <si>
    <t>JULES ROLAND DR.</t>
  </si>
  <si>
    <t>327 BEACH 19TH STREE</t>
  </si>
  <si>
    <t>E0291685</t>
  </si>
  <si>
    <t>KING RICHARD L</t>
  </si>
  <si>
    <t>RICHARDKING</t>
  </si>
  <si>
    <t>E0040905</t>
  </si>
  <si>
    <t>MAPP SAMUEL E MD</t>
  </si>
  <si>
    <t>SAMUELMAPP</t>
  </si>
  <si>
    <t>MAPP SAMUEL</t>
  </si>
  <si>
    <t>E0027755</t>
  </si>
  <si>
    <t>WINELL JEREMY M MD</t>
  </si>
  <si>
    <t>JEREMYWINELL</t>
  </si>
  <si>
    <t>WINELL JEREMY DR.</t>
  </si>
  <si>
    <t>E0048191</t>
  </si>
  <si>
    <t>WYATT CHRISTINA MARIE MD</t>
  </si>
  <si>
    <t>CHRISTINAWYATT</t>
  </si>
  <si>
    <t>WYATT CHRISTINA</t>
  </si>
  <si>
    <t>E0430971</t>
  </si>
  <si>
    <t>DERSHOWITZ MEIR Z</t>
  </si>
  <si>
    <t>DershowitzMeir</t>
  </si>
  <si>
    <t>DERSHOWITZ MEIR</t>
  </si>
  <si>
    <t>IsolaHeather</t>
  </si>
  <si>
    <t>COLBY HEATHER MS.</t>
  </si>
  <si>
    <t>5 E 98TH ST, BOX 1174</t>
  </si>
  <si>
    <t>E0084766</t>
  </si>
  <si>
    <t>SULLIVAN JEANNE MARIE</t>
  </si>
  <si>
    <t>SullivanJeanne</t>
  </si>
  <si>
    <t>SULLIVAN JEANNE</t>
  </si>
  <si>
    <t>E0063988</t>
  </si>
  <si>
    <t>SINGH AKHILESH MD</t>
  </si>
  <si>
    <t>AkhileshSingh</t>
  </si>
  <si>
    <t>SINGH AKHILESH DR.</t>
  </si>
  <si>
    <t>STE 15</t>
  </si>
  <si>
    <t>E0213984</t>
  </si>
  <si>
    <t>HERSCHORN BRIAN JACOB      MD</t>
  </si>
  <si>
    <t>BrianHerschorn</t>
  </si>
  <si>
    <t>HERSCHORN BRIAN DR.</t>
  </si>
  <si>
    <t>30 E 65TH ST</t>
  </si>
  <si>
    <t>E0093179</t>
  </si>
  <si>
    <t>ALLISON KAREN MELANIE MD</t>
  </si>
  <si>
    <t>KarenAllison</t>
  </si>
  <si>
    <t>ALLISON KAREN DR.</t>
  </si>
  <si>
    <t>SUITE 1Y</t>
  </si>
  <si>
    <t>E0007616</t>
  </si>
  <si>
    <t>OVODENKO BORIS</t>
  </si>
  <si>
    <t>BorisOvodenko</t>
  </si>
  <si>
    <t>OVODENKO BORIS DR.</t>
  </si>
  <si>
    <t>218 2ND AVENUE</t>
  </si>
  <si>
    <t>AudreyWoolrich</t>
  </si>
  <si>
    <t>WOOLRICH AUDREY DR.</t>
  </si>
  <si>
    <t>1317 3RD AVE</t>
  </si>
  <si>
    <t>E0170078</t>
  </si>
  <si>
    <t>ESPOSITO DONNA M  MD</t>
  </si>
  <si>
    <t>DonnaEsposito</t>
  </si>
  <si>
    <t>ESPOSITO DONNA</t>
  </si>
  <si>
    <t>E0407272</t>
  </si>
  <si>
    <t>TUN KHINE ZAR</t>
  </si>
  <si>
    <t>KhineTun</t>
  </si>
  <si>
    <t>TUN KHINE</t>
  </si>
  <si>
    <t>E0303598</t>
  </si>
  <si>
    <t>CASIANO EVELYN J</t>
  </si>
  <si>
    <t>EvelynIcasiano</t>
  </si>
  <si>
    <t>ICASIANO EVELYN DR.</t>
  </si>
  <si>
    <t>ICASIANO EVELYN J</t>
  </si>
  <si>
    <t>688 WHITE PLAINS RD STE 224</t>
  </si>
  <si>
    <t>E0243391</t>
  </si>
  <si>
    <t>THANAWALA SHIRISH K        MD</t>
  </si>
  <si>
    <t>ShirishThanawala</t>
  </si>
  <si>
    <t>THANAWALA SHIRISH</t>
  </si>
  <si>
    <t>E0443142</t>
  </si>
  <si>
    <t>WEISSBART SARAH</t>
  </si>
  <si>
    <t>WEISSBART SARAH BROWN</t>
  </si>
  <si>
    <t>EDWARDS SARA DR.</t>
  </si>
  <si>
    <t>KOBRINSKI TODD DR.</t>
  </si>
  <si>
    <t>1000 10TH AVE, DEPARTMENT OF MEDICINE, 3A-02</t>
  </si>
  <si>
    <t>E0452701</t>
  </si>
  <si>
    <t>DONAHUE ALETHEIA</t>
  </si>
  <si>
    <t>E0398922</t>
  </si>
  <si>
    <t>AL AZZI YORG</t>
  </si>
  <si>
    <t>630 W 168TH ST # 4</t>
  </si>
  <si>
    <t>E0274347</t>
  </si>
  <si>
    <t>RAGNARSSON KRISTJAN T MD</t>
  </si>
  <si>
    <t>RagnarssonKristjan</t>
  </si>
  <si>
    <t>RAGNARSSON KRISTJAN</t>
  </si>
  <si>
    <t>E0159232</t>
  </si>
  <si>
    <t>KAHN RONALD A   MD</t>
  </si>
  <si>
    <t>KahnRonald</t>
  </si>
  <si>
    <t>KAHN RONALD ALBERT</t>
  </si>
  <si>
    <t>E0039102</t>
  </si>
  <si>
    <t>BARINSTEIN LAURA V MD</t>
  </si>
  <si>
    <t>E0284174</t>
  </si>
  <si>
    <t>GORDON MARSHA</t>
  </si>
  <si>
    <t>GordonMarsha</t>
  </si>
  <si>
    <t>GORDON MARSHA DR.</t>
  </si>
  <si>
    <t>E0306014</t>
  </si>
  <si>
    <t>SCHOENHOLTZ SHARON ELYSE</t>
  </si>
  <si>
    <t>SHARONSCHOENHOLTZ</t>
  </si>
  <si>
    <t>SCHOENHOLTZ SHARON DR.</t>
  </si>
  <si>
    <t>103 E 125TH ST FL 8</t>
  </si>
  <si>
    <t>E0036461</t>
  </si>
  <si>
    <t>CHU KRISTINE</t>
  </si>
  <si>
    <t>KRISTINECHU</t>
  </si>
  <si>
    <t>DEPT</t>
  </si>
  <si>
    <t>ILONZO NICOLE</t>
  </si>
  <si>
    <t>KENWORTHY ELIZABETH</t>
  </si>
  <si>
    <t>353 E 17TH ST, ROOM 223</t>
  </si>
  <si>
    <t>GERETY PADRAIC</t>
  </si>
  <si>
    <t>E0026780</t>
  </si>
  <si>
    <t>WANG JULIE MD</t>
  </si>
  <si>
    <t>WangJulie</t>
  </si>
  <si>
    <t>WANG JULIE</t>
  </si>
  <si>
    <t>ISAACMADEB</t>
  </si>
  <si>
    <t>E0114932</t>
  </si>
  <si>
    <t>DIGIOVANNA REGINA</t>
  </si>
  <si>
    <t>DR.REGINADIGIOVANNA</t>
  </si>
  <si>
    <t>DIGIOVANNA REGINA DR.</t>
  </si>
  <si>
    <t>DIGIOVANNA REGINA ATANASIO</t>
  </si>
  <si>
    <t>9001 3RD AVENUE</t>
  </si>
  <si>
    <t>DevittSara</t>
  </si>
  <si>
    <t>DEVITT SARA MISS</t>
  </si>
  <si>
    <t>11 SILVER ST</t>
  </si>
  <si>
    <t>E0383402</t>
  </si>
  <si>
    <t>GILL FELICIA ANN</t>
  </si>
  <si>
    <t>GillFelicia</t>
  </si>
  <si>
    <t>GILL FELICIA</t>
  </si>
  <si>
    <t>1 HEALTHY WAY # E-1</t>
  </si>
  <si>
    <t>E0398959</t>
  </si>
  <si>
    <t>SLOVIS BENJAMIN H</t>
  </si>
  <si>
    <t>SLOVIS BENJAMIN DR.</t>
  </si>
  <si>
    <t>OWYANG CLARK</t>
  </si>
  <si>
    <t>1 GUSTAVE L. PLACE, BOX 1149</t>
  </si>
  <si>
    <t>WooDerek</t>
  </si>
  <si>
    <t>WOO DEREK</t>
  </si>
  <si>
    <t>2928 210TH PL</t>
  </si>
  <si>
    <t>HuynhMichael</t>
  </si>
  <si>
    <t>HUYNH MICHAEL</t>
  </si>
  <si>
    <t>350 HAWTHORNE AVE, ROOM 2346</t>
  </si>
  <si>
    <t>OAKLAND</t>
  </si>
  <si>
    <t>E0192482</t>
  </si>
  <si>
    <t>HARBISON MADELEINE D</t>
  </si>
  <si>
    <t>HarbisonMadeleine</t>
  </si>
  <si>
    <t>HARBISON MADELEINE</t>
  </si>
  <si>
    <t>E0048469</t>
  </si>
  <si>
    <t>WATANABE MELANIE ANN MD</t>
  </si>
  <si>
    <t>MELANIEWATANABE</t>
  </si>
  <si>
    <t>WATANABE MELANIE DR.</t>
  </si>
  <si>
    <t>E0165823</t>
  </si>
  <si>
    <t>LAX JAMES D  MD</t>
  </si>
  <si>
    <t>JAMESLAX</t>
  </si>
  <si>
    <t>LAX JAMES</t>
  </si>
  <si>
    <t>E0009711</t>
  </si>
  <si>
    <t>FULLAR MICHAEL</t>
  </si>
  <si>
    <t>MR.MICHAELFULLAR</t>
  </si>
  <si>
    <t>FULLAR MICHAEL MR.</t>
  </si>
  <si>
    <t>FULLAR MICHAEL KEEN</t>
  </si>
  <si>
    <t>E0320067</t>
  </si>
  <si>
    <t>FOX SERENA JOAN</t>
  </si>
  <si>
    <t>SERENAFOX</t>
  </si>
  <si>
    <t>FOX SERENA DR.</t>
  </si>
  <si>
    <t>HOBEIKAORTHOPAEDICSPC</t>
  </si>
  <si>
    <t>SHAW ITIEN</t>
  </si>
  <si>
    <t>10 UNION SQ E, SUITE 5B</t>
  </si>
  <si>
    <t>GREEN JAMISON</t>
  </si>
  <si>
    <t>6815 NOBLE AVE</t>
  </si>
  <si>
    <t>VAN NUYS</t>
  </si>
  <si>
    <t>HALBSTEIN ARIANNA DR.</t>
  </si>
  <si>
    <t>17 E 102ND ST, 7TH FLOOR # 108</t>
  </si>
  <si>
    <t>E0339417</t>
  </si>
  <si>
    <t>HALAZUN HADI J</t>
  </si>
  <si>
    <t>HALAZUN HADI DR.</t>
  </si>
  <si>
    <t>E0348054</t>
  </si>
  <si>
    <t>TORABI MANDANA</t>
  </si>
  <si>
    <t>TorabiMandana</t>
  </si>
  <si>
    <t>1090 AMSTERDAM AVE # 17N</t>
  </si>
  <si>
    <t>E0341551</t>
  </si>
  <si>
    <t>HONG ALICE</t>
  </si>
  <si>
    <t>HongAliceE</t>
  </si>
  <si>
    <t>HONG ALICE DR.</t>
  </si>
  <si>
    <t>SHMIDT EUGENIA</t>
  </si>
  <si>
    <t>200 1ST ST SW</t>
  </si>
  <si>
    <t>E0385924</t>
  </si>
  <si>
    <t>NG JENNIFER</t>
  </si>
  <si>
    <t>NgJennifer</t>
  </si>
  <si>
    <t>E0359393</t>
  </si>
  <si>
    <t>MENDELSOHN NATHANIEL</t>
  </si>
  <si>
    <t>E0387465</t>
  </si>
  <si>
    <t>HASSAN SHEREF E</t>
  </si>
  <si>
    <t>HassanSheref</t>
  </si>
  <si>
    <t>HASSAN SHEREF DR.</t>
  </si>
  <si>
    <t>300 CADMAN PLAZA WEST</t>
  </si>
  <si>
    <t>E0395711</t>
  </si>
  <si>
    <t>MOHAMED SHAHANA</t>
  </si>
  <si>
    <t>DymerskyRena</t>
  </si>
  <si>
    <t>DYMERSKY RENA</t>
  </si>
  <si>
    <t>MarkevychAndriy</t>
  </si>
  <si>
    <t>MARKEVYCH ANDRIY</t>
  </si>
  <si>
    <t>2926 W 25TH ST APT 1213D</t>
  </si>
  <si>
    <t>E0380374</t>
  </si>
  <si>
    <t>CHUNG JENNY H</t>
  </si>
  <si>
    <t>ChungJenny</t>
  </si>
  <si>
    <t>CHUNG JENNY</t>
  </si>
  <si>
    <t>THE MOUNT SINAI MEDICAL CENTER</t>
  </si>
  <si>
    <t>1468 MADISON AVE FL 15, BOX1194 PATHOLOGY RESIDENCY PROGRAM</t>
  </si>
  <si>
    <t>E0164154</t>
  </si>
  <si>
    <t>PFAFF H CHARLES  MD</t>
  </si>
  <si>
    <t>HPFAFF</t>
  </si>
  <si>
    <t>PFAFF H</t>
  </si>
  <si>
    <t>PRESYTERIAN HOSPITAL</t>
  </si>
  <si>
    <t>E0072203</t>
  </si>
  <si>
    <t>TUNG FRANK K MD</t>
  </si>
  <si>
    <t>FRANKTUNG</t>
  </si>
  <si>
    <t>TUNG FRANK DR.</t>
  </si>
  <si>
    <t>TUNG FRANK KWONG FU</t>
  </si>
  <si>
    <t>E0163275</t>
  </si>
  <si>
    <t>BAMBERGER PHILIP D MD</t>
  </si>
  <si>
    <t>PhilipBamberger</t>
  </si>
  <si>
    <t>BAMBERGER PHILIP DR.</t>
  </si>
  <si>
    <t>E0205825</t>
  </si>
  <si>
    <t>NAYYAR KRISHAN CHANDER     MD</t>
  </si>
  <si>
    <t>NAYYAR KRISHAN</t>
  </si>
  <si>
    <t>NAYYAR KRISHAN CHANDER MD</t>
  </si>
  <si>
    <t>BROADWAY CARDIOPULMO</t>
  </si>
  <si>
    <t>E0271215</t>
  </si>
  <si>
    <t>MANTIA AUGUSTUS G          MD</t>
  </si>
  <si>
    <t>MantiaAugustus</t>
  </si>
  <si>
    <t>MANTIA AUGUSTUS</t>
  </si>
  <si>
    <t>MANTIA MED ASSOC</t>
  </si>
  <si>
    <t>E0225544</t>
  </si>
  <si>
    <t>FUSTER VALENTIN            MD</t>
  </si>
  <si>
    <t>FusterValentin</t>
  </si>
  <si>
    <t>FUSTER VALENTIN</t>
  </si>
  <si>
    <t>MT SINAI ANNEN 23-95</t>
  </si>
  <si>
    <t>E0129556</t>
  </si>
  <si>
    <t>SEHGAL VINITA MD</t>
  </si>
  <si>
    <t>SehgalVinita</t>
  </si>
  <si>
    <t>SEHGAL VINITA</t>
  </si>
  <si>
    <t>GandySamuel</t>
  </si>
  <si>
    <t>GANDY SAMUEL DR.</t>
  </si>
  <si>
    <t>5 E 98TH ST # 1139, 7TH FLOOR</t>
  </si>
  <si>
    <t>WayeJerome</t>
  </si>
  <si>
    <t>JEROME D. WAYE, M.D., P.C.</t>
  </si>
  <si>
    <t>650 PARK AVE</t>
  </si>
  <si>
    <t>E0016172</t>
  </si>
  <si>
    <t>BRIONES ALAN PAUL SANTOS MD</t>
  </si>
  <si>
    <t>BrionesAlanPaul</t>
  </si>
  <si>
    <t>BRIONES ALAN PAUL</t>
  </si>
  <si>
    <t>147 MADISON AVE</t>
  </si>
  <si>
    <t>E0064014</t>
  </si>
  <si>
    <t>WALSH CHRISTOPHER E MD</t>
  </si>
  <si>
    <t>WalshChristopher</t>
  </si>
  <si>
    <t>E0312390</t>
  </si>
  <si>
    <t>GALANTI NORMAN MD</t>
  </si>
  <si>
    <t>DR.NORMANGALANTI</t>
  </si>
  <si>
    <t>GALANTI NORMAN DR.</t>
  </si>
  <si>
    <t>350 S BROADWAY</t>
  </si>
  <si>
    <t>E0111067</t>
  </si>
  <si>
    <t>GAYLE ERIC GEORGE MD</t>
  </si>
  <si>
    <t>ERICGAYLE</t>
  </si>
  <si>
    <t>GAYLE ERIC</t>
  </si>
  <si>
    <t>GAYLE ERIC GEORGE</t>
  </si>
  <si>
    <t>1597 UNIONPORT RD</t>
  </si>
  <si>
    <t>E0187554</t>
  </si>
  <si>
    <t>SIEGEL STEPHEN D MD</t>
  </si>
  <si>
    <t>STEPHENSIEGEL</t>
  </si>
  <si>
    <t>SIEGEL STEPHEN DR.</t>
  </si>
  <si>
    <t>3 E 71ST ST</t>
  </si>
  <si>
    <t>ZHANG WEI</t>
  </si>
  <si>
    <t>2 MARION RD</t>
  </si>
  <si>
    <t>BRANFORD</t>
  </si>
  <si>
    <t>KOLOS IRINA</t>
  </si>
  <si>
    <t>1090 AMSTERDAM AVE, 16TH FL</t>
  </si>
  <si>
    <t>E0362940</t>
  </si>
  <si>
    <t>NAIK JAHNAVI R</t>
  </si>
  <si>
    <t>JahnaviNaik</t>
  </si>
  <si>
    <t>NAIK JAHNAVI DR.</t>
  </si>
  <si>
    <t>E0340006</t>
  </si>
  <si>
    <t>GUPTA ASHITA</t>
  </si>
  <si>
    <t>AshitaGupta</t>
  </si>
  <si>
    <t>GUPTA ASHITA DR.</t>
  </si>
  <si>
    <t>E0351739</t>
  </si>
  <si>
    <t>SANDHU GAGANGEET SINGH</t>
  </si>
  <si>
    <t>GagangeetSandhu</t>
  </si>
  <si>
    <t>SANDHU GAGANGEET DR.</t>
  </si>
  <si>
    <t>E0388633</t>
  </si>
  <si>
    <t>MEMON SEHRISH</t>
  </si>
  <si>
    <t>MemonSehrish</t>
  </si>
  <si>
    <t>LAWRENCE LINDSEY</t>
  </si>
  <si>
    <t>1 GUSTAVE L LEVY PL, EMERGENCY MEDICINE DEPT, BOX 1620</t>
  </si>
  <si>
    <t>NAHAS JONATHAN</t>
  </si>
  <si>
    <t>GAO XUAN</t>
  </si>
  <si>
    <t>E0220221</t>
  </si>
  <si>
    <t>SILVERMAN BERNARD ALLAN    MD</t>
  </si>
  <si>
    <t>SilvermanBernard</t>
  </si>
  <si>
    <t>SILVERMAN BERNARD</t>
  </si>
  <si>
    <t>2 STOWE RD STE 6</t>
  </si>
  <si>
    <t>E0021705</t>
  </si>
  <si>
    <t>ASHLEY PHILLIP RPA</t>
  </si>
  <si>
    <t>AshleyPhilip</t>
  </si>
  <si>
    <t>ASHLEY PHILLIP MR.</t>
  </si>
  <si>
    <t>E0337831</t>
  </si>
  <si>
    <t>SOLOMON RACHEL</t>
  </si>
  <si>
    <t>SolomonRachel</t>
  </si>
  <si>
    <t>SOLOMON RACHEL DR.</t>
  </si>
  <si>
    <t>E0164868</t>
  </si>
  <si>
    <t>MARIN MICHAEL L MD</t>
  </si>
  <si>
    <t>MarinMichael</t>
  </si>
  <si>
    <t>MARIN MICHAEL</t>
  </si>
  <si>
    <t>FL 14</t>
  </si>
  <si>
    <t>CHYJEK KATHY DR.</t>
  </si>
  <si>
    <t>LIANG AMY DR.</t>
  </si>
  <si>
    <t>RichardsAnika</t>
  </si>
  <si>
    <t>RICHARDS ANIKA</t>
  </si>
  <si>
    <t>1824 MADISON AVENUE, 5TH FLOOR</t>
  </si>
  <si>
    <t>E0271966</t>
  </si>
  <si>
    <t>VEITH GARY EDWIN           MD</t>
  </si>
  <si>
    <t>VeithGary</t>
  </si>
  <si>
    <t>VEITH GARY DR.</t>
  </si>
  <si>
    <t>E0187462</t>
  </si>
  <si>
    <t>MACHAC JOSEF MD</t>
  </si>
  <si>
    <t>MACHAC JOSEF</t>
  </si>
  <si>
    <t>MED BILLING</t>
  </si>
  <si>
    <t>E0073298</t>
  </si>
  <si>
    <t>HARKIN TIMOTHY JOSEPH MD</t>
  </si>
  <si>
    <t>HarkinTimothy</t>
  </si>
  <si>
    <t>HARKIN TIMOTHY</t>
  </si>
  <si>
    <t>E0055638</t>
  </si>
  <si>
    <t>VELLA ADAM MD</t>
  </si>
  <si>
    <t>VellaAdam</t>
  </si>
  <si>
    <t>VELLA ADAM</t>
  </si>
  <si>
    <t>100TH &amp; MADISON AVE</t>
  </si>
  <si>
    <t>E0273462</t>
  </si>
  <si>
    <t>HEIMANN TOMAS              MD</t>
  </si>
  <si>
    <t>HeimannTomas</t>
  </si>
  <si>
    <t>HEIMANN TOMAS</t>
  </si>
  <si>
    <t>HEIMANN TOMAS M  MD</t>
  </si>
  <si>
    <t>E0270222</t>
  </si>
  <si>
    <t>BASSIUR MARTIN            DDS</t>
  </si>
  <si>
    <t>BASSIUR MARTIN DR.</t>
  </si>
  <si>
    <t>2844 OCEAN PKWY</t>
  </si>
  <si>
    <t>E0202087</t>
  </si>
  <si>
    <t>DROLLER MICHAEL J          MD</t>
  </si>
  <si>
    <t>DrollerMichael</t>
  </si>
  <si>
    <t>DROLLER MICHAEL</t>
  </si>
  <si>
    <t>E0132985</t>
  </si>
  <si>
    <t>OSTRAGER JILL BETH MD</t>
  </si>
  <si>
    <t>OstragerJill</t>
  </si>
  <si>
    <t>OSTRAGER JILL DR.</t>
  </si>
  <si>
    <t>OSTRAGER JILL BETH</t>
  </si>
  <si>
    <t>234 CENTRAL PARK W</t>
  </si>
  <si>
    <t>E0124429</t>
  </si>
  <si>
    <t>THOMAS DAVID CHARLES MD</t>
  </si>
  <si>
    <t>ThomasDavid</t>
  </si>
  <si>
    <t>E0082420</t>
  </si>
  <si>
    <t>LORIN SCOTT MICHAEL MD</t>
  </si>
  <si>
    <t>LorinScott</t>
  </si>
  <si>
    <t>LORIN SCOTT</t>
  </si>
  <si>
    <t>E0295071</t>
  </si>
  <si>
    <t>MOUCHA CALIN</t>
  </si>
  <si>
    <t>MouchaCalin</t>
  </si>
  <si>
    <t>E0322070</t>
  </si>
  <si>
    <t>GOLDSTEIN NORMAN</t>
  </si>
  <si>
    <t>GoldsteinNorman</t>
  </si>
  <si>
    <t>GOLDSTEIN NORMAN DR.</t>
  </si>
  <si>
    <t>728 N MAIN ST FL 5</t>
  </si>
  <si>
    <t>E0372455</t>
  </si>
  <si>
    <t>ARCHER JUDITH M</t>
  </si>
  <si>
    <t>ArcherJudith</t>
  </si>
  <si>
    <t>ARCHER JUDITH MS.</t>
  </si>
  <si>
    <t>E0312310</t>
  </si>
  <si>
    <t>LU PHOEBE</t>
  </si>
  <si>
    <t>PhoebeLu</t>
  </si>
  <si>
    <t>LU PHOEBE DR.</t>
  </si>
  <si>
    <t>E0175329</t>
  </si>
  <si>
    <t>TANENBAUM LAWRENCE N MD</t>
  </si>
  <si>
    <t>TANENBAUM LAWRENCE DR.</t>
  </si>
  <si>
    <t>60 JAMES ST</t>
  </si>
  <si>
    <t>E0031595</t>
  </si>
  <si>
    <t>LIM SABINA MD</t>
  </si>
  <si>
    <t>LimSabina</t>
  </si>
  <si>
    <t>LIM SABINA</t>
  </si>
  <si>
    <t>E0196652</t>
  </si>
  <si>
    <t>HALTON KATHLEEN P          MD</t>
  </si>
  <si>
    <t>HALTON KATHLEEN</t>
  </si>
  <si>
    <t>HALTON KATHLEEN PATRICIA</t>
  </si>
  <si>
    <t>E0203614</t>
  </si>
  <si>
    <t>STOLLMAN ARYEH LEV         MD</t>
  </si>
  <si>
    <t>STOLLMAN ARYEH</t>
  </si>
  <si>
    <t>STOLLMAN ARYEH LEV</t>
  </si>
  <si>
    <t>E0149912</t>
  </si>
  <si>
    <t>GAGLIUSO DONNA J MD</t>
  </si>
  <si>
    <t>GagliusoDonna</t>
  </si>
  <si>
    <t>GAGLIUSO DONNA</t>
  </si>
  <si>
    <t>E0090201</t>
  </si>
  <si>
    <t>GRINBERG DANIEL MD</t>
  </si>
  <si>
    <t>GrinbergDaniel</t>
  </si>
  <si>
    <t>GRINBERG DANIEL DR.</t>
  </si>
  <si>
    <t>1 CROSFIELD AVE STE 201</t>
  </si>
  <si>
    <t>E0128996</t>
  </si>
  <si>
    <t>HALL SIMON JOHN MD</t>
  </si>
  <si>
    <t>HALL SIMON</t>
  </si>
  <si>
    <t>HALL SIMON JOHN</t>
  </si>
  <si>
    <t>E0058746</t>
  </si>
  <si>
    <t>BLEIWEISS IRA MD</t>
  </si>
  <si>
    <t>BLEIWEISS IRA</t>
  </si>
  <si>
    <t>14-28 30TH MADISON AVENUE</t>
  </si>
  <si>
    <t>IM JENNIFER</t>
  </si>
  <si>
    <t>1600 MCELDERRY ST</t>
  </si>
  <si>
    <t>HANSEN CHRISTOPHER DR.</t>
  </si>
  <si>
    <t>E0214703</t>
  </si>
  <si>
    <t>ELBIRT PAULA M             MD</t>
  </si>
  <si>
    <t>PAULAELBIRT</t>
  </si>
  <si>
    <t>ELBIRT PAULA DR.</t>
  </si>
  <si>
    <t>E0307714</t>
  </si>
  <si>
    <t>RIVKA SACHDEV</t>
  </si>
  <si>
    <t>RIVKASACHDEV</t>
  </si>
  <si>
    <t>SACHDEV RIVKA DR.</t>
  </si>
  <si>
    <t>SACHDEV RIVKA</t>
  </si>
  <si>
    <t>E0185465</t>
  </si>
  <si>
    <t>CASDEN ANDREW M MD</t>
  </si>
  <si>
    <t>ANDREWCASDEN</t>
  </si>
  <si>
    <t>CASDEN ANDREW</t>
  </si>
  <si>
    <t>MT SINAI ELM</t>
  </si>
  <si>
    <t>E0111368</t>
  </si>
  <si>
    <t>CHOW RITA MD</t>
  </si>
  <si>
    <t>RITACHOW</t>
  </si>
  <si>
    <t>CHOW RITA</t>
  </si>
  <si>
    <t>NadiaMorris,M.S.,CCC-SLP</t>
  </si>
  <si>
    <t>NicoleAlicino,M.S.Ed.</t>
  </si>
  <si>
    <t>ALICINO NICOLE</t>
  </si>
  <si>
    <t>E0048384</t>
  </si>
  <si>
    <t>STEWART ALLAN SCOTT MD</t>
  </si>
  <si>
    <t>StewartAllan</t>
  </si>
  <si>
    <t>STEWART ALLAN DR.</t>
  </si>
  <si>
    <t>E0069038</t>
  </si>
  <si>
    <t>SHUSTOROVICH YULIYA A MD</t>
  </si>
  <si>
    <t>ShustorovichYuliya</t>
  </si>
  <si>
    <t>SHUSTOROVICH YULIYA</t>
  </si>
  <si>
    <t>SHUSTOROVICH YULIYA ALEXANDRA</t>
  </si>
  <si>
    <t>E0228204</t>
  </si>
  <si>
    <t>GREENSTEIN FREDERICK       MD</t>
  </si>
  <si>
    <t>GREENSTEIN FREDERICK DR.</t>
  </si>
  <si>
    <t>E0016031</t>
  </si>
  <si>
    <t>WILLIAMS MICHELLE N NP</t>
  </si>
  <si>
    <t>WILLIAMS MICHELLE</t>
  </si>
  <si>
    <t>E0061204</t>
  </si>
  <si>
    <t>DELI BARBARA MD</t>
  </si>
  <si>
    <t>BARBARADELI</t>
  </si>
  <si>
    <t>DELI BARBARA</t>
  </si>
  <si>
    <t>OBG DELI</t>
  </si>
  <si>
    <t>E0218443</t>
  </si>
  <si>
    <t>HASAN ZAINAB               MD</t>
  </si>
  <si>
    <t>ZANABHASAN</t>
  </si>
  <si>
    <t>HASAN ZANAB</t>
  </si>
  <si>
    <t>E0311005</t>
  </si>
  <si>
    <t>PAGE CAMERON STUART</t>
  </si>
  <si>
    <t>CAMERONPAGE</t>
  </si>
  <si>
    <t>PAGE CAMERON DR.</t>
  </si>
  <si>
    <t>E0149703</t>
  </si>
  <si>
    <t>ROSTON VIVIAN E MD</t>
  </si>
  <si>
    <t>VivianRoston</t>
  </si>
  <si>
    <t>ROSTON VIVIAN DR.</t>
  </si>
  <si>
    <t>E0330519</t>
  </si>
  <si>
    <t>LESTER NEIL</t>
  </si>
  <si>
    <t>LesterNeil</t>
  </si>
  <si>
    <t>E0365446</t>
  </si>
  <si>
    <t>ELESPURU MAURA BRIDGET</t>
  </si>
  <si>
    <t>ElespuruMaura</t>
  </si>
  <si>
    <t>ELESPURU MAURA MS.</t>
  </si>
  <si>
    <t>E0362507</t>
  </si>
  <si>
    <t>BERTIZ TRACY VALERIE</t>
  </si>
  <si>
    <t>BertizTracy</t>
  </si>
  <si>
    <t>E0293942</t>
  </si>
  <si>
    <t>SCHWARTZ LAUREN</t>
  </si>
  <si>
    <t>SchwartzLauren</t>
  </si>
  <si>
    <t>SCHWARTZ LAUREN K</t>
  </si>
  <si>
    <t>E0012004</t>
  </si>
  <si>
    <t>MALONE ADRIANA MD</t>
  </si>
  <si>
    <t>MaloneAdriana</t>
  </si>
  <si>
    <t>MALONE ADRIANA</t>
  </si>
  <si>
    <t>E0369272</t>
  </si>
  <si>
    <t>MARTINEZ CAROLINE</t>
  </si>
  <si>
    <t>MARTINEZ CAROLINE DR.</t>
  </si>
  <si>
    <t>MARTINEZ CAROLINE LEVENTHAL</t>
  </si>
  <si>
    <t>E0363463</t>
  </si>
  <si>
    <t>CRUMBLEY TERRY DESHAWN</t>
  </si>
  <si>
    <t>CrumbleyTerry</t>
  </si>
  <si>
    <t>CRUMBLEY TERRY MS.</t>
  </si>
  <si>
    <t>1 GUSTAVE L LEVY PL FL 7 RM 271</t>
  </si>
  <si>
    <t>E0295474</t>
  </si>
  <si>
    <t>JOSEPH HENRY DAYAN</t>
  </si>
  <si>
    <t>JosephDayan</t>
  </si>
  <si>
    <t>DAYAN JOSEPH DR.</t>
  </si>
  <si>
    <t>DAYAN JOSEPH HENRY MD</t>
  </si>
  <si>
    <t>E0068318</t>
  </si>
  <si>
    <t>SIMON BETH JENNIFER MD</t>
  </si>
  <si>
    <t>BethSimon</t>
  </si>
  <si>
    <t>SIMON BETH</t>
  </si>
  <si>
    <t>9 WEST 125TH ST</t>
  </si>
  <si>
    <t>E0112747</t>
  </si>
  <si>
    <t>LURIE HEATHER L MD</t>
  </si>
  <si>
    <t>HeatherLurie</t>
  </si>
  <si>
    <t>LURIE HEATHER</t>
  </si>
  <si>
    <t>LURIE HEATHER LYNN</t>
  </si>
  <si>
    <t>200 W 57TH ST STE 1001</t>
  </si>
  <si>
    <t>E0295149</t>
  </si>
  <si>
    <t>GRAHAM VIRGINIA</t>
  </si>
  <si>
    <t>VirginiaGraham</t>
  </si>
  <si>
    <t>E0034526</t>
  </si>
  <si>
    <t>BURGER ALFRED PAUL MD</t>
  </si>
  <si>
    <t>AlfredBurger</t>
  </si>
  <si>
    <t>BURGER ALFRED</t>
  </si>
  <si>
    <t>DanielleWitman</t>
  </si>
  <si>
    <t>WITMAN DANIELLE</t>
  </si>
  <si>
    <t>E0006470</t>
  </si>
  <si>
    <t>AKHTAR JOYCE MARY</t>
  </si>
  <si>
    <t>JoyceAkhtar</t>
  </si>
  <si>
    <t>AKHTAR JOYCE DR.</t>
  </si>
  <si>
    <t>AKHTAR JOYCE MARY MD</t>
  </si>
  <si>
    <t>E0294002</t>
  </si>
  <si>
    <t>GATI ALLISON</t>
  </si>
  <si>
    <t>AllisonGati</t>
  </si>
  <si>
    <t>GATI ALLISON EMILY</t>
  </si>
  <si>
    <t>2 W 86TH ST APT 3B</t>
  </si>
  <si>
    <t>E0350607</t>
  </si>
  <si>
    <t>LIPPER JUSTIN</t>
  </si>
  <si>
    <t>LipperJustin</t>
  </si>
  <si>
    <t>LIPPER JUSTIN DR.</t>
  </si>
  <si>
    <t>LIPPER JUSTIN N</t>
  </si>
  <si>
    <t>E0332396</t>
  </si>
  <si>
    <t>BRODY JOSHUA</t>
  </si>
  <si>
    <t>BrodyJoshua</t>
  </si>
  <si>
    <t>E0329940</t>
  </si>
  <si>
    <t>LAM KIMBERLY R</t>
  </si>
  <si>
    <t>KIMBERLYLAM</t>
  </si>
  <si>
    <t>LAM KIMBERLY</t>
  </si>
  <si>
    <t>E0365514</t>
  </si>
  <si>
    <t>MEHRAZIN REZA</t>
  </si>
  <si>
    <t>MehrazinReza</t>
  </si>
  <si>
    <t>MEHRAZIN REZA DR.</t>
  </si>
  <si>
    <t>1 GUSTAVE L LEVY PL # 1272</t>
  </si>
  <si>
    <t>E0348089</t>
  </si>
  <si>
    <t>EPSTEIN JASON</t>
  </si>
  <si>
    <t>EpsteinJason</t>
  </si>
  <si>
    <t>EPSTEIN JASON HERSHEL</t>
  </si>
  <si>
    <t>E0212503</t>
  </si>
  <si>
    <t>WITANOWSKI STEPHEN JOHN    MD</t>
  </si>
  <si>
    <t>WitanowskiStephen</t>
  </si>
  <si>
    <t>WITANOWSKI STEPHEN DR.</t>
  </si>
  <si>
    <t>WITANOWSKI STEPHEN JOHN</t>
  </si>
  <si>
    <t>E0353410</t>
  </si>
  <si>
    <t>SANGHVI AMY JAYANT</t>
  </si>
  <si>
    <t>SANGHVI AMY</t>
  </si>
  <si>
    <t>E0323659</t>
  </si>
  <si>
    <t>SCHWARTZ MADELINE PERIE</t>
  </si>
  <si>
    <t>SchwartzMadeline</t>
  </si>
  <si>
    <t>GITTLEMAN MADELINE DR.</t>
  </si>
  <si>
    <t>GITTLEMAN MADELINE PERIE</t>
  </si>
  <si>
    <t>E0174995</t>
  </si>
  <si>
    <t>KRIKHELY MERAB  MD</t>
  </si>
  <si>
    <t>MerabKrikhely</t>
  </si>
  <si>
    <t>KRIKHELY MERAB</t>
  </si>
  <si>
    <t>11117A QUEENS BLVD</t>
  </si>
  <si>
    <t>E0129343</t>
  </si>
  <si>
    <t>BERWALD CARY M MD</t>
  </si>
  <si>
    <t>CaryBerwald</t>
  </si>
  <si>
    <t>BERWALD CARY</t>
  </si>
  <si>
    <t>E0104830</t>
  </si>
  <si>
    <t>CHANG PETER L</t>
  </si>
  <si>
    <t>PeterChang</t>
  </si>
  <si>
    <t>CHANG PETER</t>
  </si>
  <si>
    <t>E0035512</t>
  </si>
  <si>
    <t>WIENER JOSEPH M MD</t>
  </si>
  <si>
    <t>JosephMichael</t>
  </si>
  <si>
    <t>WIENER JOSEPH MICHAEL DR.</t>
  </si>
  <si>
    <t>E0123928</t>
  </si>
  <si>
    <t>DA ROSSO ROBERT CIAN MD</t>
  </si>
  <si>
    <t>RobertDaRosso</t>
  </si>
  <si>
    <t>DA ROSSO ROBERT</t>
  </si>
  <si>
    <t>E0197381</t>
  </si>
  <si>
    <t>FRANKEL ETTA               MD</t>
  </si>
  <si>
    <t>EttaFrankel</t>
  </si>
  <si>
    <t>FRANKEL ETTA DR.</t>
  </si>
  <si>
    <t>E0287407</t>
  </si>
  <si>
    <t>HOFFMAN JUDITH</t>
  </si>
  <si>
    <t>JudithHoffman</t>
  </si>
  <si>
    <t>HOFFMAN JUDITH DR.</t>
  </si>
  <si>
    <t>HOFFMAN JUDITH HELAINE MD</t>
  </si>
  <si>
    <t>AviTerry</t>
  </si>
  <si>
    <t>TERRY AVI</t>
  </si>
  <si>
    <t>E0171077</t>
  </si>
  <si>
    <t>LANOIX RICHARD MD</t>
  </si>
  <si>
    <t>RichardLanoix</t>
  </si>
  <si>
    <t>LANOIX RICHARD</t>
  </si>
  <si>
    <t>E0068470</t>
  </si>
  <si>
    <t>SMITH SHARON ELLEN MD</t>
  </si>
  <si>
    <t>SHARONSMITH</t>
  </si>
  <si>
    <t>SMITH SHARON</t>
  </si>
  <si>
    <t>LHHN MEDICAL PC</t>
  </si>
  <si>
    <t>E0108895</t>
  </si>
  <si>
    <t>LEE ALEXANDER JONG-SUK MD</t>
  </si>
  <si>
    <t>ALEXANDERLEE</t>
  </si>
  <si>
    <t>LEE ALEXANDER DR.</t>
  </si>
  <si>
    <t>E0013424</t>
  </si>
  <si>
    <t>CHOE JOSEFINA LUNA MD</t>
  </si>
  <si>
    <t>JOSEFINACHOE</t>
  </si>
  <si>
    <t>CHOE JOSEFINA DR.</t>
  </si>
  <si>
    <t>E0226530</t>
  </si>
  <si>
    <t>PILLALAMARRI ESWAR DUTT    MD</t>
  </si>
  <si>
    <t>ESWARPILLALAMARRI</t>
  </si>
  <si>
    <t>PILLALAMARRI ESWAR</t>
  </si>
  <si>
    <t>BROOKDALE HSP ANESTH</t>
  </si>
  <si>
    <t>E0033887</t>
  </si>
  <si>
    <t>DAEFLER SIMON  MD</t>
  </si>
  <si>
    <t>SIMONDAEFLER</t>
  </si>
  <si>
    <t>DAEFLER SIMON</t>
  </si>
  <si>
    <t>E0371980</t>
  </si>
  <si>
    <t>SMALL KATHERINE MORGAN</t>
  </si>
  <si>
    <t>KATHERINESMALL</t>
  </si>
  <si>
    <t>SMALL KATHERINE</t>
  </si>
  <si>
    <t>E0092088</t>
  </si>
  <si>
    <t>STIVALA ALICIA CHRISTINA</t>
  </si>
  <si>
    <t>ALICIASTIVALA</t>
  </si>
  <si>
    <t>STIVALA ALICIA</t>
  </si>
  <si>
    <t>POSITIVE HEALTH CARE</t>
  </si>
  <si>
    <t>DR.VIOLACHEN</t>
  </si>
  <si>
    <t>CHEN VIOLA DR.</t>
  </si>
  <si>
    <t>E0419514</t>
  </si>
  <si>
    <t>CHOY MAY</t>
  </si>
  <si>
    <t>MISSMAYCHENG</t>
  </si>
  <si>
    <t>CHOY MAY MRS.</t>
  </si>
  <si>
    <t>E0325615</t>
  </si>
  <si>
    <t>CHO HYUNG</t>
  </si>
  <si>
    <t>HYUNGCHO</t>
  </si>
  <si>
    <t>CHO HYUNG DR.</t>
  </si>
  <si>
    <t>DR.CHARLESSNYDER</t>
  </si>
  <si>
    <t>SNYDER CHARLES DR.</t>
  </si>
  <si>
    <t>E0362201</t>
  </si>
  <si>
    <t>ORANSKY MATTHEW</t>
  </si>
  <si>
    <t>MATTHEWORANSKY</t>
  </si>
  <si>
    <t>STEVENWONG</t>
  </si>
  <si>
    <t>E0000531</t>
  </si>
  <si>
    <t>OLIVARES MARGARITA</t>
  </si>
  <si>
    <t>MARGARITAOLIVARES</t>
  </si>
  <si>
    <t>OLIVARES MARGARITA PATRICIA</t>
  </si>
  <si>
    <t>E0350587</t>
  </si>
  <si>
    <t>JAVIER NOEL SALVADOR COLOMA</t>
  </si>
  <si>
    <t>NOELSALVADORJAVIER</t>
  </si>
  <si>
    <t>JAVIER NOELLE MARIE</t>
  </si>
  <si>
    <t>JAVIER NOELLE MARIE C</t>
  </si>
  <si>
    <t>E0294100</t>
  </si>
  <si>
    <t>RIOS CARLOS MD</t>
  </si>
  <si>
    <t>CARLOSRIOS</t>
  </si>
  <si>
    <t>RIOS CARLOS DR.</t>
  </si>
  <si>
    <t>E0309827</t>
  </si>
  <si>
    <t>AZIZI EFAT</t>
  </si>
  <si>
    <t>EFATAZIZI</t>
  </si>
  <si>
    <t>AZIZI EFAT DR.</t>
  </si>
  <si>
    <t>E0336238</t>
  </si>
  <si>
    <t>SCHMELZER NAOMI ARIEL</t>
  </si>
  <si>
    <t>NAOMISCHMELZER</t>
  </si>
  <si>
    <t>SCHMELZER NAOMI DR.</t>
  </si>
  <si>
    <t>DR.DAVIDKUPPERSMITH</t>
  </si>
  <si>
    <t>KUPPERSMITH DAVID DR.</t>
  </si>
  <si>
    <t>E0397938</t>
  </si>
  <si>
    <t>ESPOSITO AMY</t>
  </si>
  <si>
    <t>EspositoAmyRose</t>
  </si>
  <si>
    <t>ESPOSITO AMY DR.</t>
  </si>
  <si>
    <t>309 W 23RD ST</t>
  </si>
  <si>
    <t>E0234316</t>
  </si>
  <si>
    <t>OSULLIVAN MARY M           MD</t>
  </si>
  <si>
    <t>MaryO'Sullivan</t>
  </si>
  <si>
    <t>O'SULLIVAN MARY DR.</t>
  </si>
  <si>
    <t>ST LUKES MORNINGSIDE</t>
  </si>
  <si>
    <t>E0325613</t>
  </si>
  <si>
    <t>CHERNYAVSKY SVETLANA</t>
  </si>
  <si>
    <t>SVETLANACHERNYAVSKY</t>
  </si>
  <si>
    <t>CHERNYAVSKY SVETLANA DR.</t>
  </si>
  <si>
    <t>E0307194</t>
  </si>
  <si>
    <t>VOSKOBOYNIK DIANA</t>
  </si>
  <si>
    <t>DIANAVOSKOBOYNIK</t>
  </si>
  <si>
    <t>300 LONGWOOD AVE</t>
  </si>
  <si>
    <t>E0002841</t>
  </si>
  <si>
    <t>HAYES EARLE</t>
  </si>
  <si>
    <t>EARLEHAYES</t>
  </si>
  <si>
    <t>HAYES EARLE DR.</t>
  </si>
  <si>
    <t>HAYES EARLE W MD</t>
  </si>
  <si>
    <t>E0028366</t>
  </si>
  <si>
    <t>EIREF SIMON DAVID MD</t>
  </si>
  <si>
    <t>SimonEiref</t>
  </si>
  <si>
    <t>EIREF SIMON</t>
  </si>
  <si>
    <t>AmyMednick</t>
  </si>
  <si>
    <t>MEDNICK AMY</t>
  </si>
  <si>
    <t>301 E 21ST ST</t>
  </si>
  <si>
    <t>RebeccaBurton</t>
  </si>
  <si>
    <t>E0346986</t>
  </si>
  <si>
    <t>GOUNDER CELINE RANI</t>
  </si>
  <si>
    <t>CelineGounder</t>
  </si>
  <si>
    <t>GOUNDER CELINE DR.</t>
  </si>
  <si>
    <t>E0336900</t>
  </si>
  <si>
    <t>FAVILA KRISTINE</t>
  </si>
  <si>
    <t>KristineFavila</t>
  </si>
  <si>
    <t>FAVILA KRISTINE ABADILLA</t>
  </si>
  <si>
    <t>E0328300</t>
  </si>
  <si>
    <t>SAZAN INGA</t>
  </si>
  <si>
    <t>IngaSazan</t>
  </si>
  <si>
    <t>SAZAN INGA DR.</t>
  </si>
  <si>
    <t>E0348347</t>
  </si>
  <si>
    <t>BARRETT CONOR DOMINIC</t>
  </si>
  <si>
    <t>ConorBarrett</t>
  </si>
  <si>
    <t>BARRETT CONOR DR.</t>
  </si>
  <si>
    <t>E0325313</t>
  </si>
  <si>
    <t>PINO ALEJANDRO E</t>
  </si>
  <si>
    <t>AlejandroPino</t>
  </si>
  <si>
    <t>PINO ALEJANDRO DR.</t>
  </si>
  <si>
    <t>PINO ALEJANDRO ERNESTO</t>
  </si>
  <si>
    <t>1090 AMSTERDAM AVENUE</t>
  </si>
  <si>
    <t>E0325167</t>
  </si>
  <si>
    <t>ROBERTS ROBIN DEL-CAMPO</t>
  </si>
  <si>
    <t>RobinRoberts</t>
  </si>
  <si>
    <t>ROBERTS ROBIN</t>
  </si>
  <si>
    <t>BERNARDO SEBASTIAN DR.</t>
  </si>
  <si>
    <t>161 W 86TH ST APT 1A</t>
  </si>
  <si>
    <t>YANG DENNIS MR.</t>
  </si>
  <si>
    <t>382 OCEAN AVE, #1109</t>
  </si>
  <si>
    <t>REVERE</t>
  </si>
  <si>
    <t>E0442878</t>
  </si>
  <si>
    <t>AGNEW JENNIFER</t>
  </si>
  <si>
    <t>E0158439</t>
  </si>
  <si>
    <t>FALLICK NINA  MD</t>
  </si>
  <si>
    <t>FallickNina</t>
  </si>
  <si>
    <t>FALLICK NINA DR.</t>
  </si>
  <si>
    <t>FALLICK NINA SHARI</t>
  </si>
  <si>
    <t>241 E 86TH ST APT 2D</t>
  </si>
  <si>
    <t>KARABELL SUSAN DR.</t>
  </si>
  <si>
    <t>RUSSO BENJAMIN</t>
  </si>
  <si>
    <t>5 CLIFF RD</t>
  </si>
  <si>
    <t>HANNA JESSIE DR.</t>
  </si>
  <si>
    <t>ONE GUSTAVE L. LEVY PLACE, BOX 1230, ICAHN SCHOOL OF MEDICINE AT MOUNT SINAI</t>
  </si>
  <si>
    <t>SWEENEY CAMERON</t>
  </si>
  <si>
    <t>SCHNEIER AMANDA</t>
  </si>
  <si>
    <t>13651 WILLARD ST</t>
  </si>
  <si>
    <t>PANORAMA CITY</t>
  </si>
  <si>
    <t>E0140721</t>
  </si>
  <si>
    <t>GIORGI DIANE FRANCES-LUCIA MD</t>
  </si>
  <si>
    <t>GIORGI DIANE</t>
  </si>
  <si>
    <t>ACHOLONU URENNA</t>
  </si>
  <si>
    <t>110 IRVING ST NW, DEPARTMENT OF SURGERY</t>
  </si>
  <si>
    <t>E0436404</t>
  </si>
  <si>
    <t>KELLEHER JAMES DAVID</t>
  </si>
  <si>
    <t>KELLEHER JAMES</t>
  </si>
  <si>
    <t>YU ANDREW DR.</t>
  </si>
  <si>
    <t>D'AVINO ROBERT DR.</t>
  </si>
  <si>
    <t>E0150869</t>
  </si>
  <si>
    <t>ST CHRISTOPHER OTTILIE HCBS</t>
  </si>
  <si>
    <t>Luisa Sanchez</t>
  </si>
  <si>
    <t>(718) 797-3068</t>
  </si>
  <si>
    <t>lsanchez@sco.org</t>
  </si>
  <si>
    <t>1 ALEXANDER PL # BBB0239</t>
  </si>
  <si>
    <t>E0066347</t>
  </si>
  <si>
    <t>WAXMAN LAWRENCE RPA</t>
  </si>
  <si>
    <t>WAXMAN LAWRENCE MR.</t>
  </si>
  <si>
    <t>1ST AVE &amp; 16TH ST</t>
  </si>
  <si>
    <t>E0364496</t>
  </si>
  <si>
    <t>BONURA JESSICA A</t>
  </si>
  <si>
    <t>BonuraJessica</t>
  </si>
  <si>
    <t>BONURA JESSICA</t>
  </si>
  <si>
    <t>1 GUSTAVE L LEVY PL # 1189</t>
  </si>
  <si>
    <t>WILSON ZACHARY</t>
  </si>
  <si>
    <t>ONE GUSTAVE L. PLACE, BOX 1149</t>
  </si>
  <si>
    <t>COSTA VINCENT</t>
  </si>
  <si>
    <t>YANG DAVID</t>
  </si>
  <si>
    <t>SHIVELY RACHEL DR.</t>
  </si>
  <si>
    <t>50 E 98TH ST APT 14E4</t>
  </si>
  <si>
    <t>KONG CALVIN</t>
  </si>
  <si>
    <t>300 PASTEUR DR</t>
  </si>
  <si>
    <t>STANFORD</t>
  </si>
  <si>
    <t>WONDYRAD SEBLEWONGEL</t>
  </si>
  <si>
    <t>515 W 59TH ST, APT # 24A</t>
  </si>
  <si>
    <t>E0189540</t>
  </si>
  <si>
    <t>DELANEY VERONICA BRIDGET MD</t>
  </si>
  <si>
    <t>DelaneyVeronica</t>
  </si>
  <si>
    <t>DELANEY VERONICA</t>
  </si>
  <si>
    <t>DELANEY VERONICA BRIDGET</t>
  </si>
  <si>
    <t>MACY PAVILION-RENAL CENTER</t>
  </si>
  <si>
    <t>E0076347</t>
  </si>
  <si>
    <t>WU MAOXIN MD</t>
  </si>
  <si>
    <t>WU MAOXIN</t>
  </si>
  <si>
    <t>1428 30 MADISON AVENUE</t>
  </si>
  <si>
    <t>E0028133</t>
  </si>
  <si>
    <t>SIERROS VASILIOS MD</t>
  </si>
  <si>
    <t>SierrosVasilios</t>
  </si>
  <si>
    <t>SIERROS VASILIOS DR.</t>
  </si>
  <si>
    <t>SIERROS VASILIOS</t>
  </si>
  <si>
    <t>E0176124</t>
  </si>
  <si>
    <t>TOMEI NINA A MD</t>
  </si>
  <si>
    <t>TomeiNina</t>
  </si>
  <si>
    <t>TOMEI NINA</t>
  </si>
  <si>
    <t>PEDIATRIC DEPARTMENT</t>
  </si>
  <si>
    <t>E0065150</t>
  </si>
  <si>
    <t>CONRAD ANNE E</t>
  </si>
  <si>
    <t>ConradAnne</t>
  </si>
  <si>
    <t>CONRAD ANNE DR.</t>
  </si>
  <si>
    <t>CONRAD ANNE ELIZABETH</t>
  </si>
  <si>
    <t>E0137902</t>
  </si>
  <si>
    <t>JOHNSON LIVETTE S MD</t>
  </si>
  <si>
    <t>LIVETTEJOHNSON</t>
  </si>
  <si>
    <t>JOHNSON LIVETTE</t>
  </si>
  <si>
    <t>E0307037</t>
  </si>
  <si>
    <t>KEPPEL EMMA</t>
  </si>
  <si>
    <t>MRS.EMMAKEPPEL</t>
  </si>
  <si>
    <t>KEPPEL EMMA MRS.</t>
  </si>
  <si>
    <t>BerbariBachir</t>
  </si>
  <si>
    <t>BERBARI BACHIR DR.</t>
  </si>
  <si>
    <t>E0409931</t>
  </si>
  <si>
    <t>DHAWAN VIKRAM</t>
  </si>
  <si>
    <t>ROSE SHARON</t>
  </si>
  <si>
    <t>525 E 68TH ST, BX 124</t>
  </si>
  <si>
    <t>E0361974</t>
  </si>
  <si>
    <t>LEADER ALEXANDRA PFEIFER</t>
  </si>
  <si>
    <t>LeaderAlexandra</t>
  </si>
  <si>
    <t>LEADER ALEXANDRA DR.</t>
  </si>
  <si>
    <t>E0430458</t>
  </si>
  <si>
    <t>THOMAS SARUN VARUGHESE</t>
  </si>
  <si>
    <t>THOMAS SARUN MR.</t>
  </si>
  <si>
    <t>222 STATION PLZ NORTH  STE 400</t>
  </si>
  <si>
    <t>E0172497</t>
  </si>
  <si>
    <t>GAINSBURG DANIEL MARTIN MD</t>
  </si>
  <si>
    <t>GainsburgDaniel</t>
  </si>
  <si>
    <t>GAINSBURG DANIEL DR.</t>
  </si>
  <si>
    <t>GAINSBURG DANIEL MARTIN</t>
  </si>
  <si>
    <t>E0306676</t>
  </si>
  <si>
    <t>MENACHEM MENDEL WEINER</t>
  </si>
  <si>
    <t>WeinerMenachem</t>
  </si>
  <si>
    <t>WEINER MENACHEM DR.</t>
  </si>
  <si>
    <t>WEINER MENACHEM MENDEL</t>
  </si>
  <si>
    <t>RICARDOPOU</t>
  </si>
  <si>
    <t>E0105293</t>
  </si>
  <si>
    <t>KURITZKY JEFFREY I MD</t>
  </si>
  <si>
    <t>JEFFREYKURITZKY</t>
  </si>
  <si>
    <t>KURITZKY JEFFREY DR.</t>
  </si>
  <si>
    <t>440 E 57TH ST</t>
  </si>
  <si>
    <t>E0202705</t>
  </si>
  <si>
    <t>WISNICKI HERBERT JAY</t>
  </si>
  <si>
    <t>HWISNICKI</t>
  </si>
  <si>
    <t>WISNICKI H</t>
  </si>
  <si>
    <t>DPT OF OPTHALMOLOGY</t>
  </si>
  <si>
    <t>E0197624</t>
  </si>
  <si>
    <t>BERMAN STEVEN MARC         MD</t>
  </si>
  <si>
    <t>STEVENBERMAN</t>
  </si>
  <si>
    <t>BERMAN STEVEN DR.</t>
  </si>
  <si>
    <t>BERMAN STEVEN MARC</t>
  </si>
  <si>
    <t>201 E 19TH ST</t>
  </si>
  <si>
    <t>E0059119</t>
  </si>
  <si>
    <t>INADA VICTOR KATSUJI MD</t>
  </si>
  <si>
    <t>VictorInada</t>
  </si>
  <si>
    <t>INADA VICTOR DR.</t>
  </si>
  <si>
    <t>E0263904</t>
  </si>
  <si>
    <t>FIETTI VINCENT G MD        JR</t>
  </si>
  <si>
    <t>VINCENTFIETTI</t>
  </si>
  <si>
    <t>FIETTI VINCENT DR.</t>
  </si>
  <si>
    <t>E0217261</t>
  </si>
  <si>
    <t>GLICKEL STEVEN Z           MD</t>
  </si>
  <si>
    <t>STEVENGLICKEL</t>
  </si>
  <si>
    <t>GLICKEL STEVEN DR.</t>
  </si>
  <si>
    <t>428 WEST 59 ST</t>
  </si>
  <si>
    <t>E0042107</t>
  </si>
  <si>
    <t>WACHTEL E VASILIEVNA MD</t>
  </si>
  <si>
    <t>ELENAWACHTEL</t>
  </si>
  <si>
    <t>WACHTEL ELENA DR.</t>
  </si>
  <si>
    <t>E0071910</t>
  </si>
  <si>
    <t>RE LOUIS PETER MD</t>
  </si>
  <si>
    <t>LOUISRE</t>
  </si>
  <si>
    <t>RE LOUIS DR.</t>
  </si>
  <si>
    <t>ROOSEVELT HSP</t>
  </si>
  <si>
    <t>LOUISDONPIERRE</t>
  </si>
  <si>
    <t>SUN SIMENG</t>
  </si>
  <si>
    <t>FIRST AVENUE AT 16TH STREET, 20 BAIRD HALL, ROOM 50 BETH ISRAEL MEDICAL CENTER</t>
  </si>
  <si>
    <t>NUGENT MELINDA DR.</t>
  </si>
  <si>
    <t>111 S 11TH ST, SUITE 2170</t>
  </si>
  <si>
    <t>E0393002</t>
  </si>
  <si>
    <t>WALL EMMA KRISTINE</t>
  </si>
  <si>
    <t>WALL EMMA</t>
  </si>
  <si>
    <t>STUTZ COLLIN DR.</t>
  </si>
  <si>
    <t>605 OLD BALLAS RD</t>
  </si>
  <si>
    <t>FOX TIMOTHY DR.</t>
  </si>
  <si>
    <t>E0117535</t>
  </si>
  <si>
    <t>GABRILOVE JANICE L MD</t>
  </si>
  <si>
    <t>GabriloveJanice</t>
  </si>
  <si>
    <t>GABRILOVE JANICE</t>
  </si>
  <si>
    <t>E0100056</t>
  </si>
  <si>
    <t>YANAGISAWA ROBERT TAKAHIRO MD</t>
  </si>
  <si>
    <t>YanagisawaRobert</t>
  </si>
  <si>
    <t>YANAGISAWA ROBERT</t>
  </si>
  <si>
    <t>E0423767</t>
  </si>
  <si>
    <t>UPSHUR EMILY DAVIS</t>
  </si>
  <si>
    <t>UpshurEmily</t>
  </si>
  <si>
    <t>UPSHUR EMILY DR.</t>
  </si>
  <si>
    <t>SHAH ANJALI DR.</t>
  </si>
  <si>
    <t>BONDA SRI LAKSHMI KALA DR.</t>
  </si>
  <si>
    <t>120 MONTGOMERY STREET, APT G4</t>
  </si>
  <si>
    <t>MCNEILL IAN MR.</t>
  </si>
  <si>
    <t>1468 MADISON AVE, ANNENBERG BUILDING 8-28</t>
  </si>
  <si>
    <t>PECHMAN DAVID DR.</t>
  </si>
  <si>
    <t>17 LEATHERSTOCKING LN</t>
  </si>
  <si>
    <t>E0295016</t>
  </si>
  <si>
    <t>GHAW OLIVIA</t>
  </si>
  <si>
    <t>GHAW OLIVIA DR.</t>
  </si>
  <si>
    <t>E0307523</t>
  </si>
  <si>
    <t>BARRIE MICHELLE WEINSTEIN</t>
  </si>
  <si>
    <t>WEINSTEIN BARRIE</t>
  </si>
  <si>
    <t>WEINSTEIN MICHELLE BARRY</t>
  </si>
  <si>
    <t>E0351233</t>
  </si>
  <si>
    <t>WASHINGTON BRADFORD CLYDE</t>
  </si>
  <si>
    <t>WASHINGTON BRADFORD DR.</t>
  </si>
  <si>
    <t>340 ARDSLEY RD</t>
  </si>
  <si>
    <t>GALLAGHER SHAUNA</t>
  </si>
  <si>
    <t>GOMES PEREIRA LUIS FILIPE DR.</t>
  </si>
  <si>
    <t>240 E 23RD ST, APT. 2A</t>
  </si>
  <si>
    <t>E0117534</t>
  </si>
  <si>
    <t>GILLESPIE GINGER</t>
  </si>
  <si>
    <t>GINGERGILLESPIE</t>
  </si>
  <si>
    <t>GILLESPIE GINGER DR.</t>
  </si>
  <si>
    <t>ROHS NICHOLAS DR.</t>
  </si>
  <si>
    <t>16TH ST AT 1ST AVE, BETH ISRAEL MEDICAL CENTER</t>
  </si>
  <si>
    <t>SINGH SIMI MS.</t>
  </si>
  <si>
    <t>5002 LONDONDERRY DR</t>
  </si>
  <si>
    <t>E0366988</t>
  </si>
  <si>
    <t>CARBONARO CHRISTINE C</t>
  </si>
  <si>
    <t>CarbonaroChristine</t>
  </si>
  <si>
    <t>CARBONARO CHRISTINE MS.</t>
  </si>
  <si>
    <t>222 WESTCHESTER AVE STE 308</t>
  </si>
  <si>
    <t>E0350899</t>
  </si>
  <si>
    <t>BUCKSTEIN MICHAEL</t>
  </si>
  <si>
    <t>BucksteinMichael</t>
  </si>
  <si>
    <t>BUCKSTEIN MICHAEL DR.</t>
  </si>
  <si>
    <t>353 E 17TH ST, 2ND FLR, RM 223</t>
  </si>
  <si>
    <t>E0350571</t>
  </si>
  <si>
    <t>AFZAL OMARA</t>
  </si>
  <si>
    <t>AfzalOmara</t>
  </si>
  <si>
    <t>WERNECK KRAUSS SILVA VITOR</t>
  </si>
  <si>
    <t>6431 FANNIN ST, MSB 2.262</t>
  </si>
  <si>
    <t>BEHURIA SUPREETI DR.</t>
  </si>
  <si>
    <t>C-1/9 HUMAYUN RD</t>
  </si>
  <si>
    <t>NEW DELHI</t>
  </si>
  <si>
    <t>E0210115</t>
  </si>
  <si>
    <t>SACKS HENRY SIGMUND        MD</t>
  </si>
  <si>
    <t>SacksHenry</t>
  </si>
  <si>
    <t>SACKS HENRY DR.</t>
  </si>
  <si>
    <t>ANNENBERG 24-64 C</t>
  </si>
  <si>
    <t>E0447349</t>
  </si>
  <si>
    <t>SIEDENBURG HEATHER DAWN</t>
  </si>
  <si>
    <t>SIEDENBURG HEATHER</t>
  </si>
  <si>
    <t>E0315079</t>
  </si>
  <si>
    <t>BANSAL HAGHAV</t>
  </si>
  <si>
    <t>BANSAL RAGHAV</t>
  </si>
  <si>
    <t>MANSOUR MENA</t>
  </si>
  <si>
    <t>310 CEDAR ST, YUSM, DEPARTMENT OF PATHOLOGY</t>
  </si>
  <si>
    <t>E0338462</t>
  </si>
  <si>
    <t>NEMES ANDREEA SEFANIA</t>
  </si>
  <si>
    <t>VaduvaAndreea</t>
  </si>
  <si>
    <t>VADUVA NEMES ANDREEA DR.</t>
  </si>
  <si>
    <t>E0417010</t>
  </si>
  <si>
    <t>UNDERWOOD NICOLLE</t>
  </si>
  <si>
    <t>UnderwoodNicolleS</t>
  </si>
  <si>
    <t>UNDERWOOD NICOLLE DR.</t>
  </si>
  <si>
    <t>LinAnna</t>
  </si>
  <si>
    <t>LIN ANNA DR.</t>
  </si>
  <si>
    <t>1000 10TH AVE, CITPD, SUITE 6C-03</t>
  </si>
  <si>
    <t>E0365102</t>
  </si>
  <si>
    <t>BRYANT ARIKA Y</t>
  </si>
  <si>
    <t>BRYANT ARIKA MS.</t>
  </si>
  <si>
    <t>E0174993</t>
  </si>
  <si>
    <t>KIMBLE CHRISTINE MD</t>
  </si>
  <si>
    <t>KimbleChristine</t>
  </si>
  <si>
    <t>KIMBLE CHRISTINE DR.</t>
  </si>
  <si>
    <t>KIMBLE CHRISTINE CHANG HEE KIM</t>
  </si>
  <si>
    <t>165 CADMAN PLZ E</t>
  </si>
  <si>
    <t>KotsevaMagdalena</t>
  </si>
  <si>
    <t>KOTSEVA MAGDALENA</t>
  </si>
  <si>
    <t>1025 S 6TH ST</t>
  </si>
  <si>
    <t>D'SILVA ASHLEY</t>
  </si>
  <si>
    <t>PHILA</t>
  </si>
  <si>
    <t>VISWANATHAN NISHA</t>
  </si>
  <si>
    <t>705 PARLIAMENT ST</t>
  </si>
  <si>
    <t>LITTLE ROCK</t>
  </si>
  <si>
    <t>E0102926</t>
  </si>
  <si>
    <t>BROUNTZAS MARIA</t>
  </si>
  <si>
    <t>BrountzasMaria</t>
  </si>
  <si>
    <t>1615 NORTHERN BLVD</t>
  </si>
  <si>
    <t>E0050653</t>
  </si>
  <si>
    <t>PATEL KAMINI RPA</t>
  </si>
  <si>
    <t>PATEL KAMINI</t>
  </si>
  <si>
    <t>E0019385</t>
  </si>
  <si>
    <t>HAYES MONICA PRASAD MD</t>
  </si>
  <si>
    <t>Prasad-HayesMonica</t>
  </si>
  <si>
    <t>HAYES MONICA</t>
  </si>
  <si>
    <t>E0308188</t>
  </si>
  <si>
    <t>GRICE DOROTHY</t>
  </si>
  <si>
    <t>GriceDorothy</t>
  </si>
  <si>
    <t>GRICE DOROTHY DR.</t>
  </si>
  <si>
    <t>3659 BROADWAY FL 6</t>
  </si>
  <si>
    <t>E0170454</t>
  </si>
  <si>
    <t>FRASER ERROL</t>
  </si>
  <si>
    <t>2020 CORTELYOU RD</t>
  </si>
  <si>
    <t>E0094319</t>
  </si>
  <si>
    <t>STONE MARC ELLIOT MD</t>
  </si>
  <si>
    <t>StoneMarc</t>
  </si>
  <si>
    <t>STONE MARC DR.</t>
  </si>
  <si>
    <t>STONE MARC ELLIOT</t>
  </si>
  <si>
    <t>HAYLEYGERSHENGORN</t>
  </si>
  <si>
    <t>E0095138</t>
  </si>
  <si>
    <t>NGUYEN THOMAS THANG MD</t>
  </si>
  <si>
    <t>THOMASNGUYEN</t>
  </si>
  <si>
    <t>NGUYEN THOMAS</t>
  </si>
  <si>
    <t>E0203197</t>
  </si>
  <si>
    <t>RAVICH STEVEN J            MD</t>
  </si>
  <si>
    <t>STEVENRAVICH</t>
  </si>
  <si>
    <t>RAVICH STEVEN DR.</t>
  </si>
  <si>
    <t>4013 AVENUE U</t>
  </si>
  <si>
    <t>E0286020</t>
  </si>
  <si>
    <t>GLINIK GALINA</t>
  </si>
  <si>
    <t>GALINAGLINIK</t>
  </si>
  <si>
    <t>GLINIK GALINA DR.</t>
  </si>
  <si>
    <t>GLINIK GALINA A MD</t>
  </si>
  <si>
    <t>E0108118</t>
  </si>
  <si>
    <t>ARONOFF JEFFREY S MD</t>
  </si>
  <si>
    <t>JEFFREYARONOFF</t>
  </si>
  <si>
    <t>ARONOFF JEFFREY</t>
  </si>
  <si>
    <t>E0126778</t>
  </si>
  <si>
    <t>PALMER LANE STUART MD</t>
  </si>
  <si>
    <t>LANEPALMER</t>
  </si>
  <si>
    <t>PALMER LANE DR.</t>
  </si>
  <si>
    <t>E0124692</t>
  </si>
  <si>
    <t>RUBIN, MD JAMES</t>
  </si>
  <si>
    <t>JAMESRUBIN</t>
  </si>
  <si>
    <t>RUBIN JAMES</t>
  </si>
  <si>
    <t>RUBIN  MD JAMES</t>
  </si>
  <si>
    <t>E0186335</t>
  </si>
  <si>
    <t>EDDLEMAN KEITH ARNOLD MD</t>
  </si>
  <si>
    <t>EddlemanKeith</t>
  </si>
  <si>
    <t>EDDLEMAN KEITH DR.</t>
  </si>
  <si>
    <t>E0156063</t>
  </si>
  <si>
    <t>MAROLDA HOJSAK JOANNE R MD</t>
  </si>
  <si>
    <t>MaroldaHojsakJoanne</t>
  </si>
  <si>
    <t>HOJSAK JOANNE</t>
  </si>
  <si>
    <t>E0271486</t>
  </si>
  <si>
    <t>HOFFMAN RONALD A           MD</t>
  </si>
  <si>
    <t>HoffmanRonald</t>
  </si>
  <si>
    <t>HOFFMAN RONALD</t>
  </si>
  <si>
    <t>HOFFMAN RONALD ALAN</t>
  </si>
  <si>
    <t>380 2ND AVE FL 9</t>
  </si>
  <si>
    <t>E0327318</t>
  </si>
  <si>
    <t>CONTRERAS JOHANNA PAOLA</t>
  </si>
  <si>
    <t>ContrerasJohanna</t>
  </si>
  <si>
    <t>CONTRERAS JOHANNA PROF.</t>
  </si>
  <si>
    <t>GUO HUAZHANG</t>
  </si>
  <si>
    <t>5150 CENTRE AVE, UPMC CANCER PAVILION 2ND FLOOR-SUITE 201.5</t>
  </si>
  <si>
    <t>REIZNER WAYNE</t>
  </si>
  <si>
    <t>1969 LEONARD LN</t>
  </si>
  <si>
    <t>E0422741</t>
  </si>
  <si>
    <t>LOZADA KIRKLAND N</t>
  </si>
  <si>
    <t>LOZADA KIRKLAND</t>
  </si>
  <si>
    <t>BLOKH MARIANNA DR.</t>
  </si>
  <si>
    <t>LEWIS ERIK</t>
  </si>
  <si>
    <t>ASAAD ADEL</t>
  </si>
  <si>
    <t>E0046869</t>
  </si>
  <si>
    <t>WAGNER BRIAN JAMES MD</t>
  </si>
  <si>
    <t>WagnerBrian</t>
  </si>
  <si>
    <t>WAGNER BRIAN</t>
  </si>
  <si>
    <t>E0215120</t>
  </si>
  <si>
    <t>DAS SESHADRI               MD</t>
  </si>
  <si>
    <t>DasSeshadri</t>
  </si>
  <si>
    <t>DAS SESHADRI</t>
  </si>
  <si>
    <t>DAS SESHADRI MD</t>
  </si>
  <si>
    <t>ST VINCENTS MED CTR</t>
  </si>
  <si>
    <t>E0019315</t>
  </si>
  <si>
    <t>RHO LISA MD</t>
  </si>
  <si>
    <t>RhoLisa</t>
  </si>
  <si>
    <t>RHO LISA</t>
  </si>
  <si>
    <t>E0322433</t>
  </si>
  <si>
    <t>LEE MICHELLE H MD</t>
  </si>
  <si>
    <t>LeeMichelle</t>
  </si>
  <si>
    <t>LEE MICHELLE DR.</t>
  </si>
  <si>
    <t>E0320078</t>
  </si>
  <si>
    <t>COHEN SAMANTHA</t>
  </si>
  <si>
    <t>CohenSamantha</t>
  </si>
  <si>
    <t>E0337814</t>
  </si>
  <si>
    <t>WEBB BRYN</t>
  </si>
  <si>
    <t>WebbBryn</t>
  </si>
  <si>
    <t>WEBB BRYN DR.</t>
  </si>
  <si>
    <t>E0284601</t>
  </si>
  <si>
    <t>TILT LINDSEY CARROLL MD</t>
  </si>
  <si>
    <t>CHAUDOIN LINDSEY DR.</t>
  </si>
  <si>
    <t>CHAUDOIN LINDSEY TILT</t>
  </si>
  <si>
    <t>E0318240</t>
  </si>
  <si>
    <t>BELISOVA-GYURE ZUZANA</t>
  </si>
  <si>
    <t>BelisovaZuzana</t>
  </si>
  <si>
    <t>BELISOVA-GYURE ZUZANA DR.</t>
  </si>
  <si>
    <t>BELISOVA-GYURE ZUZANA MD</t>
  </si>
  <si>
    <t>E0000704</t>
  </si>
  <si>
    <t>ZHU HONGFA</t>
  </si>
  <si>
    <t>ZhuHongfa</t>
  </si>
  <si>
    <t>E0360617</t>
  </si>
  <si>
    <t>CONCEPCION MARIA DONNA</t>
  </si>
  <si>
    <t>ConcepcionMariaDonna</t>
  </si>
  <si>
    <t>CONCEPCION MARIA DONNA MS.</t>
  </si>
  <si>
    <t>CONCEPCION MARIA DONNA CASTILLO</t>
  </si>
  <si>
    <t>1425 MADISON AVE # 1104</t>
  </si>
  <si>
    <t>MeghanMackowiak</t>
  </si>
  <si>
    <t>E0361883</t>
  </si>
  <si>
    <t>MACKOWIAK MEGHAN</t>
  </si>
  <si>
    <t>LindaReid-Meeker</t>
  </si>
  <si>
    <t>E0153118</t>
  </si>
  <si>
    <t>REID LINDA A</t>
  </si>
  <si>
    <t>REID LINDA</t>
  </si>
  <si>
    <t>REID LINDA ANNE</t>
  </si>
  <si>
    <t>SimonePhillips</t>
  </si>
  <si>
    <t>E0371601</t>
  </si>
  <si>
    <t>PHILLIPS SIMONE THERESA</t>
  </si>
  <si>
    <t>PHILLIPS SIMONE MS.</t>
  </si>
  <si>
    <t>180 LIVINGSTON ST</t>
  </si>
  <si>
    <t>DayanaDuguerre</t>
  </si>
  <si>
    <t>E0373131</t>
  </si>
  <si>
    <t>DUGUERRE DAYANA</t>
  </si>
  <si>
    <t>JingJingMei</t>
  </si>
  <si>
    <t>E0385883</t>
  </si>
  <si>
    <t>MEI JINGJING</t>
  </si>
  <si>
    <t>MEI JING JING</t>
  </si>
  <si>
    <t>590 AVE OF THE AMERICAS FL 8</t>
  </si>
  <si>
    <t>KaiMcBride</t>
  </si>
  <si>
    <t>Kai.mcbride@nyfoundling.org</t>
  </si>
  <si>
    <t>MCBRIDE KAI</t>
  </si>
  <si>
    <t>91-1841 FORT WEAVER RD</t>
  </si>
  <si>
    <t>EWA BEACH</t>
  </si>
  <si>
    <t>JillianSarandrea</t>
  </si>
  <si>
    <t>SARANDREA JILLIAN</t>
  </si>
  <si>
    <t>LisaHo</t>
  </si>
  <si>
    <t>HO LISA MS.</t>
  </si>
  <si>
    <t>CindyGardner</t>
  </si>
  <si>
    <t>GARDNER CINDY MS.</t>
  </si>
  <si>
    <t>E0159456</t>
  </si>
  <si>
    <t>MENTUS NICHOLAS L MD</t>
  </si>
  <si>
    <t>NICHOLASMENTUS</t>
  </si>
  <si>
    <t>MENTUS NICHOLAS</t>
  </si>
  <si>
    <t>LITTLE NECK HSP</t>
  </si>
  <si>
    <t>E0383577</t>
  </si>
  <si>
    <t>KAPLAN-WEISMAN LAURA</t>
  </si>
  <si>
    <t>KAPLAN-WEISMAN LAURA M</t>
  </si>
  <si>
    <t>E0416265</t>
  </si>
  <si>
    <t>CARRANZA ALICIA CRISTINA</t>
  </si>
  <si>
    <t>CARRANZA ALICIA</t>
  </si>
  <si>
    <t>Rameau-WatersAngela</t>
  </si>
  <si>
    <t>RAMEAU ANGELA MRS.</t>
  </si>
  <si>
    <t>E0346843</t>
  </si>
  <si>
    <t>WUPPERMAN PEGGILEE</t>
  </si>
  <si>
    <t>WuppermanPeggilee</t>
  </si>
  <si>
    <t>MEADOWS TRAVIS DR.</t>
  </si>
  <si>
    <t>1 GUSTAVE L LEVY PL, MSSM DEPARTMENT OF PSYCHIATRY</t>
  </si>
  <si>
    <t>E0444919</t>
  </si>
  <si>
    <t>SARKAR SUPARNA AJOY</t>
  </si>
  <si>
    <t>SARKAR SUPARNA DR.</t>
  </si>
  <si>
    <t>LEE NANCY DR.</t>
  </si>
  <si>
    <t>101 W 8TH AVE</t>
  </si>
  <si>
    <t>SPOKANE</t>
  </si>
  <si>
    <t>E0435131</t>
  </si>
  <si>
    <t>NGUYEN MICHAEL DR.</t>
  </si>
  <si>
    <t>NGUYEN MICHAEL NGHIA</t>
  </si>
  <si>
    <t>DESAI NIRAV</t>
  </si>
  <si>
    <t>E0396467</t>
  </si>
  <si>
    <t>HERRING JENNIFER LYNN</t>
  </si>
  <si>
    <t>HerringJennifer</t>
  </si>
  <si>
    <t>HERRING JENNIFER DR.</t>
  </si>
  <si>
    <t>E0447303</t>
  </si>
  <si>
    <t>SHULMAN JONAH</t>
  </si>
  <si>
    <t>E0370241</t>
  </si>
  <si>
    <t>KOSS SHIRA LEAH</t>
  </si>
  <si>
    <t>KOSS SHIRA</t>
  </si>
  <si>
    <t>E0386249</t>
  </si>
  <si>
    <t>NADAR CHRISTINA</t>
  </si>
  <si>
    <t>NadarChristina</t>
  </si>
  <si>
    <t>NADAR CHRISTINA KIRUBA</t>
  </si>
  <si>
    <t>E0415062</t>
  </si>
  <si>
    <t>SIERRA TANIA</t>
  </si>
  <si>
    <t>SIERRA TANIA SHARLIN</t>
  </si>
  <si>
    <t>1000 10TH AVENUE</t>
  </si>
  <si>
    <t>E0089742</t>
  </si>
  <si>
    <t>RODRIGUEZ ZOE MD</t>
  </si>
  <si>
    <t>ZOERODRIGUEZ</t>
  </si>
  <si>
    <t>RODRIGUEZ ZOE</t>
  </si>
  <si>
    <t>P.A.C.C. STE#2B</t>
  </si>
  <si>
    <t>E0134441</t>
  </si>
  <si>
    <t>JEAN RAYMONDE ERNEST MD</t>
  </si>
  <si>
    <t>RAYMONDEJEAN</t>
  </si>
  <si>
    <t>JEAN RAYMONDE DR.</t>
  </si>
  <si>
    <t>E0062030</t>
  </si>
  <si>
    <t>CUMMINGS ALLEGRA MD</t>
  </si>
  <si>
    <t>ALLEGRACUMMINGS</t>
  </si>
  <si>
    <t>CUMMINGS ALLEGRA</t>
  </si>
  <si>
    <t>40 W 77TH ST</t>
  </si>
  <si>
    <t>MaraSteinberg,M.A.,CCC-SLP</t>
  </si>
  <si>
    <t>E0376026</t>
  </si>
  <si>
    <t>STEINBERG MARA ELISE</t>
  </si>
  <si>
    <t>STEINBERG MARA</t>
  </si>
  <si>
    <t>KatianaFrancois,OTR/L</t>
  </si>
  <si>
    <t>E0350210</t>
  </si>
  <si>
    <t>FRANCOIS KATIANA</t>
  </si>
  <si>
    <t>FRANCOIS KATIANA MISS</t>
  </si>
  <si>
    <t>DavidKaufman,M.D.</t>
  </si>
  <si>
    <t>E0255061</t>
  </si>
  <si>
    <t>KAUFMAN DAVID M</t>
  </si>
  <si>
    <t>CatherineOSullivan,Psy.D.</t>
  </si>
  <si>
    <t>O'SULLIVAN CATHERINE DR.</t>
  </si>
  <si>
    <t>75 N MAPLE AVE, SUITE 101B</t>
  </si>
  <si>
    <t>JonMichnovicz,M.D.</t>
  </si>
  <si>
    <t>E0155865</t>
  </si>
  <si>
    <t>MICHNOVICZ JON J MD</t>
  </si>
  <si>
    <t>MICHNOVICZ JON DR.</t>
  </si>
  <si>
    <t>83 MAIDEN LN FL 6TH</t>
  </si>
  <si>
    <t>DianneDaniels,COTA</t>
  </si>
  <si>
    <t>DANIELS DIANNE MRS.</t>
  </si>
  <si>
    <t>160 LAWRENCE AVE</t>
  </si>
  <si>
    <t>AngelaCheung,L.C.S.W.,MBA</t>
  </si>
  <si>
    <t>E0340755</t>
  </si>
  <si>
    <t>CHEUNG ANGELA YUEN MAN</t>
  </si>
  <si>
    <t>CHEUNG ANGELA MISS</t>
  </si>
  <si>
    <t>DaraCaruana,M.S.,CCC-SLP</t>
  </si>
  <si>
    <t>E0356029</t>
  </si>
  <si>
    <t>CARUANA DARA BETH</t>
  </si>
  <si>
    <t>CARUANA DARA MS.</t>
  </si>
  <si>
    <t>StevenIallonardo,M.A.</t>
  </si>
  <si>
    <t>IALLONARDO STEVEN MR.</t>
  </si>
  <si>
    <t>BrimaWunnie</t>
  </si>
  <si>
    <t>BRIMA WUNNIE</t>
  </si>
  <si>
    <t>130 W KINGSBRIDGE RD, ROOM: 7A-11</t>
  </si>
  <si>
    <t>SYEDHUSAIN</t>
  </si>
  <si>
    <t>E0057323</t>
  </si>
  <si>
    <t>LEE BRYANT B MD</t>
  </si>
  <si>
    <t>BRYANTLEE</t>
  </si>
  <si>
    <t>LEE BRYANT DR.</t>
  </si>
  <si>
    <t>OTOLARYNGOLOGY ASSC</t>
  </si>
  <si>
    <t>E0318688</t>
  </si>
  <si>
    <t>SHAH NEAL  MD</t>
  </si>
  <si>
    <t>ShahNeal</t>
  </si>
  <si>
    <t>SHAH NEAL</t>
  </si>
  <si>
    <t>CANTU MARIA</t>
  </si>
  <si>
    <t>JILANI OMAR DR.</t>
  </si>
  <si>
    <t>2433 84TH ST</t>
  </si>
  <si>
    <t>SHARMA DEEPAK DR.</t>
  </si>
  <si>
    <t>E0349718</t>
  </si>
  <si>
    <t>CHANG NADINE ANN</t>
  </si>
  <si>
    <t>ChangNadineA.</t>
  </si>
  <si>
    <t>CHANG NADINE DR.</t>
  </si>
  <si>
    <t>LustbaderEvan</t>
  </si>
  <si>
    <t>LUSTBADER EVAN</t>
  </si>
  <si>
    <t>MARCELLINO BRIDGET</t>
  </si>
  <si>
    <t>E0393111</t>
  </si>
  <si>
    <t>CASASNOVAS CARMEN</t>
  </si>
  <si>
    <t>CASASNOVAS CARMEN ELIZABETH</t>
  </si>
  <si>
    <t>SATA SIDDHARTH DR.</t>
  </si>
  <si>
    <t>1 CARRIAGE CITY PLZ, APT 1520</t>
  </si>
  <si>
    <t>RAHWAY</t>
  </si>
  <si>
    <t>HUANG GRACE</t>
  </si>
  <si>
    <t>2451 FILLINGIM ST, ROOM 400L</t>
  </si>
  <si>
    <t>E0373114</t>
  </si>
  <si>
    <t>CONNORS JILLIAN MARIE</t>
  </si>
  <si>
    <t>ConnorsJillian</t>
  </si>
  <si>
    <t>CONNORS JILLIAN</t>
  </si>
  <si>
    <t>E0066977</t>
  </si>
  <si>
    <t>JOHANNES BARRY G RPA</t>
  </si>
  <si>
    <t>JohannesBarry</t>
  </si>
  <si>
    <t>JOHANNES BARRY MR.</t>
  </si>
  <si>
    <t>SHETH NAITIK</t>
  </si>
  <si>
    <t>2525 S MICHIGAN AVE</t>
  </si>
  <si>
    <t>E0430067</t>
  </si>
  <si>
    <t>KAHN MARK ROBERT</t>
  </si>
  <si>
    <t>KAHN MARK</t>
  </si>
  <si>
    <t>175 JERICHO TPKE STE 204</t>
  </si>
  <si>
    <t>MCANANY STEVEN DR.</t>
  </si>
  <si>
    <t>1249 PARK AVE, APT 8F</t>
  </si>
  <si>
    <t>JOSHI VIVEK DR.</t>
  </si>
  <si>
    <t>1400 LOCUST ST</t>
  </si>
  <si>
    <t>CIOMEK NATALIE</t>
  </si>
  <si>
    <t>1 GUSTAVE L LEVY PL, MOUNT SINAI SCHOOL OF MEDICINE DEPARTMENT OF PATHOLOGY</t>
  </si>
  <si>
    <t>E0191528</t>
  </si>
  <si>
    <t>MACHERNIS EDWARD ALAN MD</t>
  </si>
  <si>
    <t>EDWARDMACHERNIS</t>
  </si>
  <si>
    <t>MACHERNIS EDWARD</t>
  </si>
  <si>
    <t>E0043304</t>
  </si>
  <si>
    <t>WAX DAVID BENNETT MD</t>
  </si>
  <si>
    <t>WaxDavid</t>
  </si>
  <si>
    <t>WAX DAVID DR.</t>
  </si>
  <si>
    <t>CatherineSilver</t>
  </si>
  <si>
    <t>SILVER CATHERINE</t>
  </si>
  <si>
    <t>27 CHRISTOPHER ST, 2ND FLOOR</t>
  </si>
  <si>
    <t>JessicaEveStoller</t>
  </si>
  <si>
    <t>STOLLER JESSICA MS.</t>
  </si>
  <si>
    <t>ShanayBradley</t>
  </si>
  <si>
    <t>E0338803</t>
  </si>
  <si>
    <t>EINHORN KENNETH</t>
  </si>
  <si>
    <t>EINHORN KENNETH DR.</t>
  </si>
  <si>
    <t>EINHORN KENNETH F</t>
  </si>
  <si>
    <t>667 STONELEIGH AVE  STE 202</t>
  </si>
  <si>
    <t>CaitlenTschann</t>
  </si>
  <si>
    <t>TSCHANN CAITLEN</t>
  </si>
  <si>
    <t>236 E 95TH ST, #2F</t>
  </si>
  <si>
    <t>JessicaFarrell</t>
  </si>
  <si>
    <t>E0338809</t>
  </si>
  <si>
    <t>KARYS PETER</t>
  </si>
  <si>
    <t>KARYS PETER MR.</t>
  </si>
  <si>
    <t>KellyScott</t>
  </si>
  <si>
    <t>SCOTT KELLY</t>
  </si>
  <si>
    <t>239 E 79TH ST, APT. 11G</t>
  </si>
  <si>
    <t>CarmenValcarcel</t>
  </si>
  <si>
    <t>VALCARCEL CARMEN</t>
  </si>
  <si>
    <t>628 W 151ST ST APT 5I</t>
  </si>
  <si>
    <t>ElizabethAntwi</t>
  </si>
  <si>
    <t>ANTWI ELIZABETH</t>
  </si>
  <si>
    <t>TamaraThompson</t>
  </si>
  <si>
    <t>THOMPSON TAMARA</t>
  </si>
  <si>
    <t>260 MADISON AVE, 8TH FLOOR</t>
  </si>
  <si>
    <t>WilliamWolfersberger</t>
  </si>
  <si>
    <t>WOLFERSBERGER WILLIAM DR.</t>
  </si>
  <si>
    <t>655 76TH ST</t>
  </si>
  <si>
    <t>SocorroBenedicto</t>
  </si>
  <si>
    <t>E0269225</t>
  </si>
  <si>
    <t>BENEDICTO SOCORRO A       DMD</t>
  </si>
  <si>
    <t>BENEDICTO SOCORRO</t>
  </si>
  <si>
    <t>KNICKERBOCKER AVE</t>
  </si>
  <si>
    <t>SamyMorcos</t>
  </si>
  <si>
    <t>E0269044</t>
  </si>
  <si>
    <t>MORCOS SAMY L             DDS</t>
  </si>
  <si>
    <t>THE BROOKLYN HOSPITAL CENTER</t>
  </si>
  <si>
    <t>697 WOOLLEY AVE</t>
  </si>
  <si>
    <t>KathleenGrima</t>
  </si>
  <si>
    <t>E0191596</t>
  </si>
  <si>
    <t>GRIMA KATHLEEN M MD</t>
  </si>
  <si>
    <t>GRIMA KATHLEEN DR.</t>
  </si>
  <si>
    <t>GRIMA KATHLEEN M</t>
  </si>
  <si>
    <t>EugenePezzollo</t>
  </si>
  <si>
    <t>E0220228</t>
  </si>
  <si>
    <t>PEZZOLLO EUGENE PETER</t>
  </si>
  <si>
    <t>PEZZOLLO EUGENE DR.</t>
  </si>
  <si>
    <t>23 BOND ST</t>
  </si>
  <si>
    <t>EarlClarkson</t>
  </si>
  <si>
    <t>E0223790</t>
  </si>
  <si>
    <t>CLARKSON EARL I           DDS</t>
  </si>
  <si>
    <t>CLARKSON EARL DR.</t>
  </si>
  <si>
    <t>HarryDym</t>
  </si>
  <si>
    <t>E0204091</t>
  </si>
  <si>
    <t>DYM HARRY                 DDS</t>
  </si>
  <si>
    <t>DYM HARRY DR.</t>
  </si>
  <si>
    <t>GaryKlemons</t>
  </si>
  <si>
    <t>KLEMONS GARY DR.</t>
  </si>
  <si>
    <t>7905 MAIN ROAD</t>
  </si>
  <si>
    <t>ChaimToder,M.S.</t>
  </si>
  <si>
    <t>E0312655</t>
  </si>
  <si>
    <t>CHAIM I TODER</t>
  </si>
  <si>
    <t>TODER CHAIM</t>
  </si>
  <si>
    <t>TODER CHAIM I</t>
  </si>
  <si>
    <t>E0338596</t>
  </si>
  <si>
    <t>WU SHIMING</t>
  </si>
  <si>
    <t>ShimingWu</t>
  </si>
  <si>
    <t>WU SHIMING DR.</t>
  </si>
  <si>
    <t>VoseMargaret</t>
  </si>
  <si>
    <t>VOSE MARGARET MISS</t>
  </si>
  <si>
    <t>1 GUSTAVE L LEVY PL, DEPARTMENT OF OB/GYN</t>
  </si>
  <si>
    <t>PATEL SUNNY</t>
  </si>
  <si>
    <t>2495 S MASON RD, APT 223</t>
  </si>
  <si>
    <t>KATY</t>
  </si>
  <si>
    <t>SinghNeeru</t>
  </si>
  <si>
    <t>SINGH NEERU DR.</t>
  </si>
  <si>
    <t>E0339469</t>
  </si>
  <si>
    <t>ANG CELINA SU-PING</t>
  </si>
  <si>
    <t>AngCelina</t>
  </si>
  <si>
    <t>ANG CELINA DR.</t>
  </si>
  <si>
    <t>E0134034</t>
  </si>
  <si>
    <t>TAPPER ROSENBERG MARCIA MD</t>
  </si>
  <si>
    <t>MarciaTapper-Rosenberg</t>
  </si>
  <si>
    <t>TAPPER-ROSENBERG MARCIA</t>
  </si>
  <si>
    <t>STATEN ISL MED GRP</t>
  </si>
  <si>
    <t>E0164403</t>
  </si>
  <si>
    <t>BRESCIA ANDREA M MD</t>
  </si>
  <si>
    <t>AndreaBrescia</t>
  </si>
  <si>
    <t>BRESCIA ANDREA</t>
  </si>
  <si>
    <t>E0123102</t>
  </si>
  <si>
    <t>HALL LISABETH SARA MD</t>
  </si>
  <si>
    <t>LisabethHall</t>
  </si>
  <si>
    <t>HALL LISABETH DR.</t>
  </si>
  <si>
    <t>SureshKhanna</t>
  </si>
  <si>
    <t>E0004327</t>
  </si>
  <si>
    <t>LINETSKAYA DIANA</t>
  </si>
  <si>
    <t>DianaLinetskaya</t>
  </si>
  <si>
    <t>LINETSKAYA DIANA DR.</t>
  </si>
  <si>
    <t>LINETSKAYA DIANA MD</t>
  </si>
  <si>
    <t>E0099365</t>
  </si>
  <si>
    <t>SUDEN STACY ALLISA MD</t>
  </si>
  <si>
    <t>StacySuden</t>
  </si>
  <si>
    <t>SUDEN STACY</t>
  </si>
  <si>
    <t>E0082606</t>
  </si>
  <si>
    <t>WAYNE MICHAEL GERARD</t>
  </si>
  <si>
    <t>MichaelWayne</t>
  </si>
  <si>
    <t>WAYNE MICHAEL</t>
  </si>
  <si>
    <t>37 UNION SQ W FL 4</t>
  </si>
  <si>
    <t>E0095278</t>
  </si>
  <si>
    <t>BERNSTEIN GERALD MD</t>
  </si>
  <si>
    <t>GeraldBernstein</t>
  </si>
  <si>
    <t>BERNSTEIN GERALD DR.</t>
  </si>
  <si>
    <t>E0292408</t>
  </si>
  <si>
    <t>TAWIL JOSEPH B</t>
  </si>
  <si>
    <t>JosephTawil</t>
  </si>
  <si>
    <t>TAWIL JOSEPH DR.</t>
  </si>
  <si>
    <t>E0034933</t>
  </si>
  <si>
    <t>DADARWALA AASHISH DHANSUKHLAL</t>
  </si>
  <si>
    <t>AashishDadarwala</t>
  </si>
  <si>
    <t>DADARWALA AASHISH</t>
  </si>
  <si>
    <t>200 ROUTE 59</t>
  </si>
  <si>
    <t>E0021601</t>
  </si>
  <si>
    <t>HANON SAMUEL MD</t>
  </si>
  <si>
    <t>SamuelHanon</t>
  </si>
  <si>
    <t>HANON SAMUEL</t>
  </si>
  <si>
    <t>E0431603</t>
  </si>
  <si>
    <t>SIMONETTA-PAGLINO JACQUELINE</t>
  </si>
  <si>
    <t>JacquelineSimonetta-Paglino</t>
  </si>
  <si>
    <t>E0111608</t>
  </si>
  <si>
    <t>HAHN IN-HEI</t>
  </si>
  <si>
    <t>In-HeiHahn</t>
  </si>
  <si>
    <t>HAHN IN-HEI DR.</t>
  </si>
  <si>
    <t>E0383262</t>
  </si>
  <si>
    <t>ARROYO HANSEL</t>
  </si>
  <si>
    <t>ArroyoHansel</t>
  </si>
  <si>
    <t>ARROYO HANSEL DR.</t>
  </si>
  <si>
    <t>428 BILTMORE AVE</t>
  </si>
  <si>
    <t>ASHEVILLE</t>
  </si>
  <si>
    <t>E0115182</t>
  </si>
  <si>
    <t>APPEL CHERYL</t>
  </si>
  <si>
    <t>CherylAppel</t>
  </si>
  <si>
    <t>APPEL CHERYL DR.</t>
  </si>
  <si>
    <t>E0007618</t>
  </si>
  <si>
    <t>CRAIG JON MOSKOWITZ</t>
  </si>
  <si>
    <t>CraigMoskowitz</t>
  </si>
  <si>
    <t>MOSKOWITZ CRAIG</t>
  </si>
  <si>
    <t>MOSKOWITZ CRAIG JON</t>
  </si>
  <si>
    <t>E0163198</t>
  </si>
  <si>
    <t>BUXTON DOUGLAS F MD</t>
  </si>
  <si>
    <t>DouglasBuxton</t>
  </si>
  <si>
    <t>BUXTON DOUGLAS</t>
  </si>
  <si>
    <t>E0186543</t>
  </si>
  <si>
    <t>WEISSMAN SCOTT STUART MD PC</t>
  </si>
  <si>
    <t>ScottWeissman</t>
  </si>
  <si>
    <t>WEISSMAN SCOTT DR.</t>
  </si>
  <si>
    <t>WEISSMAN SCOTT STUART MD</t>
  </si>
  <si>
    <t>E0019493</t>
  </si>
  <si>
    <t>DAGAN TAL</t>
  </si>
  <si>
    <t>TalDagan</t>
  </si>
  <si>
    <t>DAGAN TAL MD</t>
  </si>
  <si>
    <t>475 SEAVIEW AVENUE</t>
  </si>
  <si>
    <t>E0195267</t>
  </si>
  <si>
    <t>ROSENTHAL JEANNE LORRAINE  MD</t>
  </si>
  <si>
    <t>JeanneRosenthal</t>
  </si>
  <si>
    <t>ROSENTHAL JEANNE DR.</t>
  </si>
  <si>
    <t>20 E 9TH ST</t>
  </si>
  <si>
    <t>E0279152</t>
  </si>
  <si>
    <t>BLUMENTHAL JESSE A         MD</t>
  </si>
  <si>
    <t>JESSEBLUMENTHAL</t>
  </si>
  <si>
    <t>BLUMENTHAL JESSE DR.</t>
  </si>
  <si>
    <t>RANDYLEVINE</t>
  </si>
  <si>
    <t xml:space="preserve">Beth Israel Medical Center (Petrie Division and Brooklyn Division) </t>
  </si>
  <si>
    <t>E0043328</t>
  </si>
  <si>
    <t>BETH ISRAEL MEDICAL CTR ACT</t>
  </si>
  <si>
    <t xml:space="preserve">Arthur Gianelli </t>
  </si>
  <si>
    <t>(212) 523-9434</t>
  </si>
  <si>
    <t>arthur.gianelli@mountsinai.org</t>
  </si>
  <si>
    <t>Ridgewood Bushwick Senior Citizen Homecare Council</t>
  </si>
  <si>
    <t>E0009826</t>
  </si>
  <si>
    <t>RIDGEWOOD BUSHWICK SR CIT HA</t>
  </si>
  <si>
    <t>James D. Cameron</t>
  </si>
  <si>
    <t>(718) 821-0254</t>
  </si>
  <si>
    <t>jcameron@rbscc.org</t>
  </si>
  <si>
    <t>RIDGEWOOD BUSHWICK SENIOR CITIZENS</t>
  </si>
  <si>
    <t>533 BUSHWICK AVE STE A</t>
  </si>
  <si>
    <t>JeanDFrancois</t>
  </si>
  <si>
    <t>E0134445</t>
  </si>
  <si>
    <t>FRANCOIS JEAN DANIEL MD</t>
  </si>
  <si>
    <t>(718) 531-6100</t>
  </si>
  <si>
    <t>jfranc6704@aol.com</t>
  </si>
  <si>
    <t>FRANCOIS JEAN</t>
  </si>
  <si>
    <t>1130 REMSEN AVE</t>
  </si>
  <si>
    <t>YMDPharmacy,Inc</t>
  </si>
  <si>
    <t>E0331781</t>
  </si>
  <si>
    <t>YMD PHARMACY INC</t>
  </si>
  <si>
    <t>MoDalia</t>
  </si>
  <si>
    <t>(718) 221-6814</t>
  </si>
  <si>
    <t>ymdpharmacyinc@yahoo.com</t>
  </si>
  <si>
    <t>YMD PHARMACY, INC.</t>
  </si>
  <si>
    <t>519 UTICA AVE STORE 3</t>
  </si>
  <si>
    <t>VipulPatel</t>
  </si>
  <si>
    <t>E0293722</t>
  </si>
  <si>
    <t>PATEL VIPUL</t>
  </si>
  <si>
    <t>(718) 369-4263</t>
  </si>
  <si>
    <t>info@nyhanddoctor.com</t>
  </si>
  <si>
    <t>PATEL VIPUL DR.</t>
  </si>
  <si>
    <t>PATEL VIPUL MD</t>
  </si>
  <si>
    <t>PerminderDhillon</t>
  </si>
  <si>
    <t>E0071924</t>
  </si>
  <si>
    <t>DHILLON PERMINDER MD</t>
  </si>
  <si>
    <t>(718) 369-4359</t>
  </si>
  <si>
    <t>DHILLON PERMINDER</t>
  </si>
  <si>
    <t>UrielAvezbadalov</t>
  </si>
  <si>
    <t>E0005898</t>
  </si>
  <si>
    <t>AVEZBADALOV URIEL MD</t>
  </si>
  <si>
    <t>(718) 953-5702</t>
  </si>
  <si>
    <t>AVEZBADALOV URIEL</t>
  </si>
  <si>
    <t>AizidHashmat</t>
  </si>
  <si>
    <t>E0249789</t>
  </si>
  <si>
    <t>HASHMAT AIZID I            MD</t>
  </si>
  <si>
    <t>(718) 953-5700</t>
  </si>
  <si>
    <t>aizidhash@aol.com</t>
  </si>
  <si>
    <t>HASHMAT AIZID DR.</t>
  </si>
  <si>
    <t>LibertyResourcesPsychology,Physical,OccupationalandSpeechTherapy,PLLC</t>
  </si>
  <si>
    <t>JohnTorrens</t>
  </si>
  <si>
    <t>jtorrens@liberty-resources.org</t>
  </si>
  <si>
    <t>E0362066</t>
  </si>
  <si>
    <t>EGOLF AMY GAYL</t>
  </si>
  <si>
    <t>EGOLF AMY MRS.</t>
  </si>
  <si>
    <t>E0444059</t>
  </si>
  <si>
    <t>BEATTY NICHOLAS RUSSELL</t>
  </si>
  <si>
    <t>BEATTY NICHOLAS DR.</t>
  </si>
  <si>
    <t>ROSENBERG JAKE</t>
  </si>
  <si>
    <t>E0105375</t>
  </si>
  <si>
    <t>HERZFELD DORIS L MD</t>
  </si>
  <si>
    <t>HERZFELD DORIS</t>
  </si>
  <si>
    <t>E0041013</t>
  </si>
  <si>
    <t>TEWARI ASHUTOSH MD</t>
  </si>
  <si>
    <t>TEWARI ASHUTOSH</t>
  </si>
  <si>
    <t>E0011796</t>
  </si>
  <si>
    <t>IACOB CODRIN</t>
  </si>
  <si>
    <t>IACOB CODRIN EUGEN</t>
  </si>
  <si>
    <t>E0000677</t>
  </si>
  <si>
    <t>GITIG ALON MD</t>
  </si>
  <si>
    <t>GITIG ALON</t>
  </si>
  <si>
    <t>SONI VIKRAM DR.</t>
  </si>
  <si>
    <t>30 W 63RD ST, APT 16VW</t>
  </si>
  <si>
    <t>SUNDAR SRINIKETH DR.</t>
  </si>
  <si>
    <t>78 ARLEIGH DR</t>
  </si>
  <si>
    <t>YEUNG MICHELE</t>
  </si>
  <si>
    <t>E0446848</t>
  </si>
  <si>
    <t>ASTWOOD JESSE JACK</t>
  </si>
  <si>
    <t>ASTWOOD JESSE</t>
  </si>
  <si>
    <t>E0034534</t>
  </si>
  <si>
    <t>CHARI AJAI MD</t>
  </si>
  <si>
    <t>ChariAjai</t>
  </si>
  <si>
    <t>CHARI AJAI DR.</t>
  </si>
  <si>
    <t>E0019085</t>
  </si>
  <si>
    <t>ROSEN ALLY MD</t>
  </si>
  <si>
    <t>RosenAlly</t>
  </si>
  <si>
    <t>ROSEN ALLY</t>
  </si>
  <si>
    <t>TAN JUDY ANN DR.</t>
  </si>
  <si>
    <t>RAJPER NAVEED DR.</t>
  </si>
  <si>
    <t>NOOR NABILA</t>
  </si>
  <si>
    <t>2116 FRONT ST APT D3</t>
  </si>
  <si>
    <t>PaloianAlyssa</t>
  </si>
  <si>
    <t>PALOIAN ALYSSA</t>
  </si>
  <si>
    <t>5 E 98TH ST, FLOOR 12</t>
  </si>
  <si>
    <t>E0370754</t>
  </si>
  <si>
    <t>CABIN JONATHAN ARI</t>
  </si>
  <si>
    <t>CABIN JONATHAN DR.</t>
  </si>
  <si>
    <t>E0372293</t>
  </si>
  <si>
    <t>COLLEY PATRICK MICHAEL</t>
  </si>
  <si>
    <t>COLLEY PATRICK</t>
  </si>
  <si>
    <t>E0372102</t>
  </si>
  <si>
    <t>XIE MEIKUEN</t>
  </si>
  <si>
    <t>XieMei-Kuen</t>
  </si>
  <si>
    <t>LOU BECKY</t>
  </si>
  <si>
    <t>353 EAST 17TH STREET, 2ND FLOOR, ROOM 223</t>
  </si>
  <si>
    <t>E0437331</t>
  </si>
  <si>
    <t>LEE LESLIE</t>
  </si>
  <si>
    <t>E0410057</t>
  </si>
  <si>
    <t>SURTI AARTI</t>
  </si>
  <si>
    <t>SURTI AARTI DR.</t>
  </si>
  <si>
    <t>SURTI AARTI BHUPENDRA</t>
  </si>
  <si>
    <t>825 EAST 233RD STREE</t>
  </si>
  <si>
    <t>PANOSSIAN HAIG</t>
  </si>
  <si>
    <t>GRIFFITH MARGARET</t>
  </si>
  <si>
    <t>350 E 17TH ST, 9BH26</t>
  </si>
  <si>
    <t>UNGAR JONATHAN DR.</t>
  </si>
  <si>
    <t>1425 MADISON AVE, BOX 1047</t>
  </si>
  <si>
    <t>RITTER ALEXANDER</t>
  </si>
  <si>
    <t>E0348245</t>
  </si>
  <si>
    <t>WILKINS REGINA</t>
  </si>
  <si>
    <t>WilkinsRegina</t>
  </si>
  <si>
    <t>E0429247</t>
  </si>
  <si>
    <t>DEL VECCHIO THERESA M</t>
  </si>
  <si>
    <t>DelVecchioTheresa</t>
  </si>
  <si>
    <t>DELVECCHIO THERESA MRS.</t>
  </si>
  <si>
    <t>222 STATION PLZ N STE 400</t>
  </si>
  <si>
    <t>E0324703</t>
  </si>
  <si>
    <t>GELFMAN LAURA P</t>
  </si>
  <si>
    <t>LAURAGELFMAN</t>
  </si>
  <si>
    <t>GELFMAN LAURA DR.</t>
  </si>
  <si>
    <t>E0362450</t>
  </si>
  <si>
    <t>JOGENDRA MATHER REGINALD DILAN</t>
  </si>
  <si>
    <t>MATHERJOGENDRA</t>
  </si>
  <si>
    <t>JOGENDRA MATHER DR.</t>
  </si>
  <si>
    <t>SUEANNSCHEER</t>
  </si>
  <si>
    <t>SCHEER SUE ANN</t>
  </si>
  <si>
    <t>550 1ST AVE, GREENBERG HALL ADVANCED PRACTICE</t>
  </si>
  <si>
    <t>E0292299</t>
  </si>
  <si>
    <t>CHARLES H KELLNER</t>
  </si>
  <si>
    <t>MR.CHARLESKELLNER</t>
  </si>
  <si>
    <t>KELLNER CHARLES MR.</t>
  </si>
  <si>
    <t>KELLNER CHARLES H</t>
  </si>
  <si>
    <t>E0007348</t>
  </si>
  <si>
    <t>ANDREW MATHEW PEREZ</t>
  </si>
  <si>
    <t>PerezAndrew</t>
  </si>
  <si>
    <t>GLASGOW ANDREW</t>
  </si>
  <si>
    <t>GLASGOW ANDREW MATHEW MD</t>
  </si>
  <si>
    <t>E0039346</t>
  </si>
  <si>
    <t>JASTI HARISH MD</t>
  </si>
  <si>
    <t>JastiHarish</t>
  </si>
  <si>
    <t>JASTI HARISH</t>
  </si>
  <si>
    <t>E0015592</t>
  </si>
  <si>
    <t>SAHNI GAGAN D MD</t>
  </si>
  <si>
    <t>SahniGagan</t>
  </si>
  <si>
    <t>SAHNI GAGAN DR.</t>
  </si>
  <si>
    <t>E0218709</t>
  </si>
  <si>
    <t>SEGAL BARRY J              MD</t>
  </si>
  <si>
    <t>SegalBarry</t>
  </si>
  <si>
    <t>SEGAL BARRY</t>
  </si>
  <si>
    <t>SEGAL BARRY J</t>
  </si>
  <si>
    <t>PlotkinaIrina</t>
  </si>
  <si>
    <t>PLOTKINA IRINA</t>
  </si>
  <si>
    <t>ONE GUSTAVE L. LEVI PL</t>
  </si>
  <si>
    <t>ABRAHAM SHERIN MRS.</t>
  </si>
  <si>
    <t>40 WINDSOR GATE DR, BREATH FOR LIFE INC</t>
  </si>
  <si>
    <t>E0362434</t>
  </si>
  <si>
    <t>AMOROSA JENNIFER</t>
  </si>
  <si>
    <t>AmorosaJennifer</t>
  </si>
  <si>
    <t>1176 FFITH AVE</t>
  </si>
  <si>
    <t>E0334263</t>
  </si>
  <si>
    <t>AHN LINDA</t>
  </si>
  <si>
    <t>AhnLinda</t>
  </si>
  <si>
    <t>ESSES STEVEN DR.</t>
  </si>
  <si>
    <t>100 MADISON AVE</t>
  </si>
  <si>
    <t>ButlerBreanne</t>
  </si>
  <si>
    <t>BUTLER BREANNE</t>
  </si>
  <si>
    <t>1190 5TH AVE, BOX 1023</t>
  </si>
  <si>
    <t>ROSARIO FRANCES MS.</t>
  </si>
  <si>
    <t>JacobsonNina</t>
  </si>
  <si>
    <t>JACOBSON NINA</t>
  </si>
  <si>
    <t>1176 FIFTH AVE, DEPARTMENT OF OB/GYN</t>
  </si>
  <si>
    <t>E0361730</t>
  </si>
  <si>
    <t>BELSKY REBECCA L</t>
  </si>
  <si>
    <t>BelskyRebecca</t>
  </si>
  <si>
    <t>BELSKY REBECCA</t>
  </si>
  <si>
    <t>E0346758</t>
  </si>
  <si>
    <t>KURRIEN RAHAEL</t>
  </si>
  <si>
    <t>KurrienRahael</t>
  </si>
  <si>
    <t>KURRIEN RAHAEL DR.</t>
  </si>
  <si>
    <t>KURRIEN RACHEL</t>
  </si>
  <si>
    <t>E0321729</t>
  </si>
  <si>
    <t>TORRICO PEDRO JAVIER</t>
  </si>
  <si>
    <t>TorricoPedro</t>
  </si>
  <si>
    <t>TORRICO PEDRO DR.</t>
  </si>
  <si>
    <t>E0000875</t>
  </si>
  <si>
    <t>DANIEL EGAN MD</t>
  </si>
  <si>
    <t>DanielEgan</t>
  </si>
  <si>
    <t>EGAN DANIEL DR.</t>
  </si>
  <si>
    <t>EGAN DANIEL MD</t>
  </si>
  <si>
    <t>E0083218</t>
  </si>
  <si>
    <t>TING JESS MD</t>
  </si>
  <si>
    <t>TingJess</t>
  </si>
  <si>
    <t>TING JESS</t>
  </si>
  <si>
    <t>E0089613</t>
  </si>
  <si>
    <t>DANGAS GEORGE D MD</t>
  </si>
  <si>
    <t>DangasGeorge</t>
  </si>
  <si>
    <t>DANGAS GEORGE</t>
  </si>
  <si>
    <t>E0292083</t>
  </si>
  <si>
    <t>PETER HOWELL PA</t>
  </si>
  <si>
    <t>HOWELL PETER</t>
  </si>
  <si>
    <t>HOWELL PETER ALAN ARUNDEL RPA</t>
  </si>
  <si>
    <t>E0313145</t>
  </si>
  <si>
    <t>CHOW YENG-GARCIA LISA MARIE</t>
  </si>
  <si>
    <t>CHOW YENG-GARCIA LISA</t>
  </si>
  <si>
    <t>E0336343</t>
  </si>
  <si>
    <t>ZAFIROVA ZDRAVKA</t>
  </si>
  <si>
    <t>ZafirovaZdravka</t>
  </si>
  <si>
    <t>RAMESH NAVITHA</t>
  </si>
  <si>
    <t>E0101054</t>
  </si>
  <si>
    <t>ABADI JACOBO MD</t>
  </si>
  <si>
    <t>JACOBOABADI</t>
  </si>
  <si>
    <t>ABADI JACOBO DR.</t>
  </si>
  <si>
    <t>E0149898</t>
  </si>
  <si>
    <t>CORTES JOSE ALBERTO MD</t>
  </si>
  <si>
    <t>MR.JOSECORTES</t>
  </si>
  <si>
    <t>CORTES JOSE MR.</t>
  </si>
  <si>
    <t>CORTES JOSE ALBERTO</t>
  </si>
  <si>
    <t>E0146991</t>
  </si>
  <si>
    <t>HSU CARL K MD</t>
  </si>
  <si>
    <t>CARLHSU</t>
  </si>
  <si>
    <t>HSU CARL</t>
  </si>
  <si>
    <t>WYCKOFF MC JACKSON H</t>
  </si>
  <si>
    <t>E0204788</t>
  </si>
  <si>
    <t>GREISMAN STEWART GEORGE    MD</t>
  </si>
  <si>
    <t>STEWARTGREISMAN</t>
  </si>
  <si>
    <t>GREISMAN STEWART DR.</t>
  </si>
  <si>
    <t>457 W 57TH ST</t>
  </si>
  <si>
    <t>MISSJENNIFERLIBURD</t>
  </si>
  <si>
    <t>E0150209</t>
  </si>
  <si>
    <t>BROUS PATRICIA MD</t>
  </si>
  <si>
    <t>PATRICIABROUS</t>
  </si>
  <si>
    <t>BROUS PATRICIA</t>
  </si>
  <si>
    <t>E0141756</t>
  </si>
  <si>
    <t>ATILEH HAYTHAM MD</t>
  </si>
  <si>
    <t>HAYTHAMATILEH</t>
  </si>
  <si>
    <t>ATILEH HAYTHAM</t>
  </si>
  <si>
    <t>KINGS PULMONARY</t>
  </si>
  <si>
    <t>E0279727</t>
  </si>
  <si>
    <t>SCHARER LAWRENCE PC        MD</t>
  </si>
  <si>
    <t>LAWRENCESCHARER</t>
  </si>
  <si>
    <t>SCHARER LAWRENCE DR.</t>
  </si>
  <si>
    <t>54 E 82ND ST</t>
  </si>
  <si>
    <t>E0116045</t>
  </si>
  <si>
    <t>YANOWITCH PHILIP MD</t>
  </si>
  <si>
    <t>PHILIPYANOWITCH</t>
  </si>
  <si>
    <t>YANOWITCH PHILIP DR.</t>
  </si>
  <si>
    <t>E0147514</t>
  </si>
  <si>
    <t>VELAZQUEZ BELINDA MELISSA MD</t>
  </si>
  <si>
    <t>MS.BELINDAVELAZQUEZ</t>
  </si>
  <si>
    <t>VELAZQUEZ BELINDA MS.</t>
  </si>
  <si>
    <t>E0020452</t>
  </si>
  <si>
    <t>GARBER JULIA</t>
  </si>
  <si>
    <t>JuliaSundel</t>
  </si>
  <si>
    <t>SUNDEL JULIA</t>
  </si>
  <si>
    <t>KON MARIA</t>
  </si>
  <si>
    <t>E0367538</t>
  </si>
  <si>
    <t>CAI ATHENA J</t>
  </si>
  <si>
    <t>CaiAthena</t>
  </si>
  <si>
    <t>CAI ATHENA</t>
  </si>
  <si>
    <t>E0043371</t>
  </si>
  <si>
    <t>YAO JIAMING</t>
  </si>
  <si>
    <t>E0055518</t>
  </si>
  <si>
    <t>BARRETT KATHLEEN</t>
  </si>
  <si>
    <t>BARRETT KATHLEEN DR.</t>
  </si>
  <si>
    <t>33 5TH AVE</t>
  </si>
  <si>
    <t>E0042925</t>
  </si>
  <si>
    <t>LYTRIVI IRENE MD</t>
  </si>
  <si>
    <t>LYTRIVI IRENE</t>
  </si>
  <si>
    <t>E0134631</t>
  </si>
  <si>
    <t>REHWALDT LISE M MD</t>
  </si>
  <si>
    <t>REHWALDT LISE</t>
  </si>
  <si>
    <t>MT SINAI FAL PRAC GR</t>
  </si>
  <si>
    <t>E0301561</t>
  </si>
  <si>
    <t>FRIEDMAN NADYA</t>
  </si>
  <si>
    <t>FriedmanNadya</t>
  </si>
  <si>
    <t>254 W 31ST ST FL 9</t>
  </si>
  <si>
    <t>E0423744</t>
  </si>
  <si>
    <t>AYCART SAMANTHA N</t>
  </si>
  <si>
    <t>AycartSamantha</t>
  </si>
  <si>
    <t>AYCART SAMANTHA</t>
  </si>
  <si>
    <t>ConradAnthony</t>
  </si>
  <si>
    <t>CONRAD ANTHONY MR.</t>
  </si>
  <si>
    <t>E0442877</t>
  </si>
  <si>
    <t>PRATAP BALAJI</t>
  </si>
  <si>
    <t>PRATAP BALAJI DR.</t>
  </si>
  <si>
    <t>E0354686</t>
  </si>
  <si>
    <t>KELSEY PAUL DANIEL</t>
  </si>
  <si>
    <t>KelseyPaul</t>
  </si>
  <si>
    <t>KELSEY PAUL DR.</t>
  </si>
  <si>
    <t>GlaserJordan</t>
  </si>
  <si>
    <t>E0348211</t>
  </si>
  <si>
    <t>LUNA LA</t>
  </si>
  <si>
    <t>LunaIa</t>
  </si>
  <si>
    <t>LUNA IA</t>
  </si>
  <si>
    <t>750 KIMBALL AVE</t>
  </si>
  <si>
    <t>ZulfiqarFahad</t>
  </si>
  <si>
    <t>ZULFIQAR FAHAD BIN</t>
  </si>
  <si>
    <t>AmirMuhammad</t>
  </si>
  <si>
    <t>AMIR MUHAMMAD DR.</t>
  </si>
  <si>
    <t>1651 WILLIAMSBRIDGE RD, APT 3D</t>
  </si>
  <si>
    <t>E0397021</t>
  </si>
  <si>
    <t>NORYANG TENZIN</t>
  </si>
  <si>
    <t>NoryangTenzin</t>
  </si>
  <si>
    <t>E0183640</t>
  </si>
  <si>
    <t>ROSENBLATT MEG AMY MD</t>
  </si>
  <si>
    <t>RosenblattMeg</t>
  </si>
  <si>
    <t>ROSENBLATT MEG DR.</t>
  </si>
  <si>
    <t>E0132975</t>
  </si>
  <si>
    <t>ZAHN JEFFREY MD</t>
  </si>
  <si>
    <t>ZahnJeffrey</t>
  </si>
  <si>
    <t>ZAHN JEFFREY DR.</t>
  </si>
  <si>
    <t>ZAHN JEFFREY</t>
  </si>
  <si>
    <t>E0279995</t>
  </si>
  <si>
    <t>LEDER MARVIN A             MD</t>
  </si>
  <si>
    <t>LederMarvin</t>
  </si>
  <si>
    <t>LEDER MARVIN</t>
  </si>
  <si>
    <t>6915 YELLOWSTONE BLVD STE 1</t>
  </si>
  <si>
    <t>E0023102</t>
  </si>
  <si>
    <t>GORDON ERROL LLOYD MD</t>
  </si>
  <si>
    <t>GordonErrol</t>
  </si>
  <si>
    <t>GORDON ERROL DR.</t>
  </si>
  <si>
    <t>E0023064</t>
  </si>
  <si>
    <t>CASTILLO MARIA DOLORES MD</t>
  </si>
  <si>
    <t>CastilloMaria</t>
  </si>
  <si>
    <t>CASTILLO MARIA</t>
  </si>
  <si>
    <t>E0275712</t>
  </si>
  <si>
    <t>SOTIRAKIS IVICOS S         MD</t>
  </si>
  <si>
    <t>IVICOSSOTIRAKIS</t>
  </si>
  <si>
    <t>SOTIRAKIS IVICOS</t>
  </si>
  <si>
    <t>E0289357</t>
  </si>
  <si>
    <t>IRANI DINAZ</t>
  </si>
  <si>
    <t>IraniDinaz</t>
  </si>
  <si>
    <t>IRANI DINAZ DR.</t>
  </si>
  <si>
    <t>IRANI DINAZ MD</t>
  </si>
  <si>
    <t>622 WEST 168TH STREET</t>
  </si>
  <si>
    <t>TRINH HUNG</t>
  </si>
  <si>
    <t>RicksKourtney</t>
  </si>
  <si>
    <t>RICKS KOURTNEY DR.</t>
  </si>
  <si>
    <t>301 HOSPITAL DR</t>
  </si>
  <si>
    <t>GLEN BURNIE</t>
  </si>
  <si>
    <t>SAINI ANJEET</t>
  </si>
  <si>
    <t>DEBELLIS NICHOLAS DR.</t>
  </si>
  <si>
    <t>KIM BORAM</t>
  </si>
  <si>
    <t>BARTHELEMY ERNEST</t>
  </si>
  <si>
    <t>1 GUSTAVE L LEVY PL, 8TH FLOOR</t>
  </si>
  <si>
    <t>CHARNEY ALEXANDER DR.</t>
  </si>
  <si>
    <t>1425 MADISON AVE, 3RD FLOOR, SUITE 3-70, DESK #3</t>
  </si>
  <si>
    <t>LUGER DANIEL MR.</t>
  </si>
  <si>
    <t>LOZANO MELISSA</t>
  </si>
  <si>
    <t>GOSS SELENA DR.</t>
  </si>
  <si>
    <t>321 E 45TH ST APT 3G</t>
  </si>
  <si>
    <t>E0118997</t>
  </si>
  <si>
    <t>SARABANCHONG VORAVUT O MD</t>
  </si>
  <si>
    <t>SarabanchongVoravut</t>
  </si>
  <si>
    <t>SARABANCHONG VORAVUT</t>
  </si>
  <si>
    <t>E0012297</t>
  </si>
  <si>
    <t>MADERAZO ALEX BAER   MD</t>
  </si>
  <si>
    <t>MaderazoAlex</t>
  </si>
  <si>
    <t>MADERAZO ALEX DR.</t>
  </si>
  <si>
    <t>E0423774</t>
  </si>
  <si>
    <t>SINH VIJAYETA</t>
  </si>
  <si>
    <t>SinhVijayeta</t>
  </si>
  <si>
    <t>SINH VIJAYETA DR.</t>
  </si>
  <si>
    <t>E0364194</t>
  </si>
  <si>
    <t>LIPSKAR AARON MICHAEL</t>
  </si>
  <si>
    <t>LipskarAaron</t>
  </si>
  <si>
    <t>LIPSKAR AARON DR.</t>
  </si>
  <si>
    <t>E0310027</t>
  </si>
  <si>
    <t>LEILA HOSSEINIAN</t>
  </si>
  <si>
    <t>HosseinianLeila</t>
  </si>
  <si>
    <t>HOSSEINIAN LEILA DR.</t>
  </si>
  <si>
    <t>HOSSEINIAN LEILA</t>
  </si>
  <si>
    <t>E0122524</t>
  </si>
  <si>
    <t>DEAN DEBORAH NICHOLLS MD</t>
  </si>
  <si>
    <t>DeanDeborah</t>
  </si>
  <si>
    <t>DEAN DEBORAH</t>
  </si>
  <si>
    <t>E0442956</t>
  </si>
  <si>
    <t>CANO-LANDIVAR JEANETTE ELIZABETH</t>
  </si>
  <si>
    <t>Cano-LandivarJeannette</t>
  </si>
  <si>
    <t>CANO-LANDIVAR JEANNETTE DR.</t>
  </si>
  <si>
    <t>E0277165</t>
  </si>
  <si>
    <t>SLATER GARY I              MD</t>
  </si>
  <si>
    <t>SlaterGary</t>
  </si>
  <si>
    <t>SLATER GARY</t>
  </si>
  <si>
    <t>E0264569</t>
  </si>
  <si>
    <t>ARNON RICA                 MD</t>
  </si>
  <si>
    <t>ArnonRica</t>
  </si>
  <si>
    <t>ARNON RICA</t>
  </si>
  <si>
    <t>MT SINAI PED CARD</t>
  </si>
  <si>
    <t>E0290463</t>
  </si>
  <si>
    <t>ALCONTIN EVELYN</t>
  </si>
  <si>
    <t>AlcontinEvelyn</t>
  </si>
  <si>
    <t>ALCONTIN EVELYN SULIBIT</t>
  </si>
  <si>
    <t>YakushinSvetlana</t>
  </si>
  <si>
    <t>YAKUSHIN SVETLANA</t>
  </si>
  <si>
    <t>InoyatovaSvetlana</t>
  </si>
  <si>
    <t>INOYATOVA SVETLANA</t>
  </si>
  <si>
    <t>2619 FRANCIS LEWIS BLVD</t>
  </si>
  <si>
    <t>MCARTHUR TROY DR.</t>
  </si>
  <si>
    <t>1009 RUBY PL</t>
  </si>
  <si>
    <t>ANOOSHIRAVANI NILOOFAR DR.</t>
  </si>
  <si>
    <t>HAMM DAVID</t>
  </si>
  <si>
    <t>1801 W WISCONSIN AVE, MUSOD, CLASS OF 2014</t>
  </si>
  <si>
    <t>PINNELAS REBECCA</t>
  </si>
  <si>
    <t>GOLDMAN ARIELLA</t>
  </si>
  <si>
    <t>E0393634</t>
  </si>
  <si>
    <t>ROBERTS TAHNEEMARIE</t>
  </si>
  <si>
    <t>ROBERTS TAHNEEMARIE LOUISE</t>
  </si>
  <si>
    <t>AZAD ADIBA</t>
  </si>
  <si>
    <t>46 DAVID DUNLAP CIRCLE</t>
  </si>
  <si>
    <t>TORONTO</t>
  </si>
  <si>
    <t>STAHL CHRISTINE</t>
  </si>
  <si>
    <t>SHAH SHAILY</t>
  </si>
  <si>
    <t>1000 10TH AVE, ROOM 3A-15</t>
  </si>
  <si>
    <t>SANMARTIN PAUL</t>
  </si>
  <si>
    <t>20 YORK ST</t>
  </si>
  <si>
    <t>E0210900</t>
  </si>
  <si>
    <t>WINYARD ALBERT E III       MD</t>
  </si>
  <si>
    <t>WinyardAlbert</t>
  </si>
  <si>
    <t>WINYARD ALBERT</t>
  </si>
  <si>
    <t>STE 408</t>
  </si>
  <si>
    <t>E0026013</t>
  </si>
  <si>
    <t>ALTMAN KENNETH  MD</t>
  </si>
  <si>
    <t>ALTMAN KENNETH DR.</t>
  </si>
  <si>
    <t>E0101219</t>
  </si>
  <si>
    <t>LIN JING MD</t>
  </si>
  <si>
    <t>LinJing</t>
  </si>
  <si>
    <t>LIN JING</t>
  </si>
  <si>
    <t>E0180402</t>
  </si>
  <si>
    <t>GARJIAN LORI ELLEN  MD</t>
  </si>
  <si>
    <t>GarjianLori</t>
  </si>
  <si>
    <t>GARJIAN LORI DR.</t>
  </si>
  <si>
    <t>E0178589</t>
  </si>
  <si>
    <t>WILCK ERIC JAY MD</t>
  </si>
  <si>
    <t>WilckEric</t>
  </si>
  <si>
    <t>WILCK ERIC</t>
  </si>
  <si>
    <t>WILCK ERIC JAY</t>
  </si>
  <si>
    <t>E0325050</t>
  </si>
  <si>
    <t>DAVIS JACLYN C</t>
  </si>
  <si>
    <t>DavisJaclyn</t>
  </si>
  <si>
    <t>DAVIS JACLYN</t>
  </si>
  <si>
    <t>E0234555</t>
  </si>
  <si>
    <t>LASHLEY BRUCE W DPM</t>
  </si>
  <si>
    <t>LASHLEY BRUCE DR.</t>
  </si>
  <si>
    <t>625 8TH AVE</t>
  </si>
  <si>
    <t>E0033815</t>
  </si>
  <si>
    <t>EBCIOGLU ZEYNEP AYSE MD</t>
  </si>
  <si>
    <t>EBCIOGLU ZEYNEP DR.</t>
  </si>
  <si>
    <t>E0101870</t>
  </si>
  <si>
    <t>O'BRIEN JULIE</t>
  </si>
  <si>
    <t>E0164126</t>
  </si>
  <si>
    <t>DE PALO LOUIS R MD</t>
  </si>
  <si>
    <t>DePaloLouis</t>
  </si>
  <si>
    <t>DEPALO LOUIS DR.</t>
  </si>
  <si>
    <t>MysliwiecJohn</t>
  </si>
  <si>
    <t>MYSLIWIEC JOHN</t>
  </si>
  <si>
    <t>RAVIN REID</t>
  </si>
  <si>
    <t>60 HAVEN AVE APT 25B</t>
  </si>
  <si>
    <t>E0442142</t>
  </si>
  <si>
    <t>CONWAY JUSTIN JOHNSON</t>
  </si>
  <si>
    <t>CONWAY JUSTIN</t>
  </si>
  <si>
    <t>E0296323</t>
  </si>
  <si>
    <t>SIDDIQUI AYESHA</t>
  </si>
  <si>
    <t>SIDDIQUI AYESHA SAEED</t>
  </si>
  <si>
    <t>161  FORT WASHINGTON AVE</t>
  </si>
  <si>
    <t>BOWERS ROBERT</t>
  </si>
  <si>
    <t>2200 MADISON RD APT 5</t>
  </si>
  <si>
    <t>SEKHON LUCKY</t>
  </si>
  <si>
    <t>10 LOUVRE CIRCLE</t>
  </si>
  <si>
    <t>BRAMPTON</t>
  </si>
  <si>
    <t>E0446417</t>
  </si>
  <si>
    <t>YEH RICHARD</t>
  </si>
  <si>
    <t>E0350592</t>
  </si>
  <si>
    <t>YONG RAYMUND</t>
  </si>
  <si>
    <t>YongRaymund</t>
  </si>
  <si>
    <t>COOK JESSICA</t>
  </si>
  <si>
    <t>YiJooyoung</t>
  </si>
  <si>
    <t>YI JOOYOUNG</t>
  </si>
  <si>
    <t>GASHO CHRISTOPHER</t>
  </si>
  <si>
    <t>317 EDEN DR</t>
  </si>
  <si>
    <t>SANTA ROSA BEACH</t>
  </si>
  <si>
    <t>E0370240</t>
  </si>
  <si>
    <t>KADAKIA SAMEEP</t>
  </si>
  <si>
    <t>WINKLER CARL DR.</t>
  </si>
  <si>
    <t>YANOFSKY VALERIE DR.</t>
  </si>
  <si>
    <t>310 1ST AVE APT 2B</t>
  </si>
  <si>
    <t>REESE JENNIFER</t>
  </si>
  <si>
    <t>11 HLUCHY RD</t>
  </si>
  <si>
    <t>ROBBINSVILLE</t>
  </si>
  <si>
    <t>E0412837</t>
  </si>
  <si>
    <t>CATALANO JASMINE</t>
  </si>
  <si>
    <t>CatalanoJasmineMaryann</t>
  </si>
  <si>
    <t>CATALANO JASMINE DR.</t>
  </si>
  <si>
    <t>EGAN MATTHEW</t>
  </si>
  <si>
    <t>NAIK ROSHNI</t>
  </si>
  <si>
    <t>280 1ST AVE, 20 BAIRD HALL, ROOM 50</t>
  </si>
  <si>
    <t>SABAT JOSEPH DR.</t>
  </si>
  <si>
    <t>GUPTA NIKITA DR.</t>
  </si>
  <si>
    <t>830 HARRISON AVE, SUITE 1400</t>
  </si>
  <si>
    <t>TANZER MICHAEL DR.</t>
  </si>
  <si>
    <t>E0376723</t>
  </si>
  <si>
    <t>FRANCOIS DESLIN A</t>
  </si>
  <si>
    <t>FRANCOIS DESLIN MS.</t>
  </si>
  <si>
    <t>E0319214</t>
  </si>
  <si>
    <t>SRIVASTAVA JENA</t>
  </si>
  <si>
    <t>SimonJena</t>
  </si>
  <si>
    <t>SIMON JENA MS.</t>
  </si>
  <si>
    <t>SIMON JENA</t>
  </si>
  <si>
    <t>E0009716</t>
  </si>
  <si>
    <t>WHITE-EDWARDS JUDITH</t>
  </si>
  <si>
    <t>WHITE JUDITH</t>
  </si>
  <si>
    <t>WHITE JUDITH N</t>
  </si>
  <si>
    <t>E0350594</t>
  </si>
  <si>
    <t>ANDERSEN MATTHEW</t>
  </si>
  <si>
    <t>ANDERSEN-LEAVEY MATTHEW DR.</t>
  </si>
  <si>
    <t>ANDERSEN MATTHEW HANS</t>
  </si>
  <si>
    <t>E0364133</t>
  </si>
  <si>
    <t>FILIPOVIC-JEWELL ZORICA</t>
  </si>
  <si>
    <t>FILIPOVIC-JEWELL ZORICA DR.</t>
  </si>
  <si>
    <t>PARK CHANG</t>
  </si>
  <si>
    <t>245 W 19TH ST APT 6N</t>
  </si>
  <si>
    <t>ERNSTOFF NATHANIEL</t>
  </si>
  <si>
    <t>45 PARKERS POINT RD</t>
  </si>
  <si>
    <t>RUDNER ELVIRA DR.</t>
  </si>
  <si>
    <t>INGARGIOLA MICHAEL</t>
  </si>
  <si>
    <t>E0007982</t>
  </si>
  <si>
    <t>WALLACE BRALLIER JESS MD</t>
  </si>
  <si>
    <t>BrallierJess</t>
  </si>
  <si>
    <t>BRALLIER JESS DR.</t>
  </si>
  <si>
    <t>BRALLIER JESS WALLACE</t>
  </si>
  <si>
    <t>E0348670</t>
  </si>
  <si>
    <t>PRICE ALICIA MARIE</t>
  </si>
  <si>
    <t>PriceAlicia</t>
  </si>
  <si>
    <t>PRICE ALICIA</t>
  </si>
  <si>
    <t>WEIGAND JUSTIN DR.</t>
  </si>
  <si>
    <t>333 N SANTA ROSA ST</t>
  </si>
  <si>
    <t>E0008711</t>
  </si>
  <si>
    <t>AOUCHICHE HAKIMA MD</t>
  </si>
  <si>
    <t>AouchicheHakima</t>
  </si>
  <si>
    <t>AOUCHICHE HAKIMA DR.</t>
  </si>
  <si>
    <t>NayakMansiManohar</t>
  </si>
  <si>
    <t>ROSEN DANYA</t>
  </si>
  <si>
    <t>5 PERRYRIDGE RD</t>
  </si>
  <si>
    <t>E0361150</t>
  </si>
  <si>
    <t>SEPE MICHELE</t>
  </si>
  <si>
    <t>SepeMichele</t>
  </si>
  <si>
    <t>SOM SUMIT DR.</t>
  </si>
  <si>
    <t>225 WILLIAMSON STREET, TRINITAS HOSPITAL, DEPT OF INTERNA</t>
  </si>
  <si>
    <t>ELIZABETH</t>
  </si>
  <si>
    <t>E0317388</t>
  </si>
  <si>
    <t>TRIVEDI SHEFALI</t>
  </si>
  <si>
    <t>TrivediShefali</t>
  </si>
  <si>
    <t>E0331811</t>
  </si>
  <si>
    <t>LIN FRED Y MD</t>
  </si>
  <si>
    <t>LinFred</t>
  </si>
  <si>
    <t>LIN FRED DR.</t>
  </si>
  <si>
    <t>5 E 98TH ST # 1191</t>
  </si>
  <si>
    <t>ABOLBASHARI MEHRAN</t>
  </si>
  <si>
    <t>SATTA TOSHIHISA</t>
  </si>
  <si>
    <t>E0368798</t>
  </si>
  <si>
    <t>STEPENSKY ALEX</t>
  </si>
  <si>
    <t>StepenskyAlex</t>
  </si>
  <si>
    <t>2601 OCEAN PKWY RM 4N98</t>
  </si>
  <si>
    <t>CHI WEIWEI</t>
  </si>
  <si>
    <t>E0312200</t>
  </si>
  <si>
    <t>HRISTOV HRISTO DEIANOV</t>
  </si>
  <si>
    <t>HristoHristov</t>
  </si>
  <si>
    <t>HRISTOV HRISTO DR.</t>
  </si>
  <si>
    <t>E0256817</t>
  </si>
  <si>
    <t>GOLDSTEIN MARK             MD</t>
  </si>
  <si>
    <t>MarkGoldstein</t>
  </si>
  <si>
    <t>E0102705</t>
  </si>
  <si>
    <t>TRAGER ABIGAIL HOPE</t>
  </si>
  <si>
    <t>AbigailTrager</t>
  </si>
  <si>
    <t>TRAGER ABIGAIL</t>
  </si>
  <si>
    <t>E0118930</t>
  </si>
  <si>
    <t>ENNIS RONALD D MD</t>
  </si>
  <si>
    <t>RonaldEnnis</t>
  </si>
  <si>
    <t>ENNIS RONALD</t>
  </si>
  <si>
    <t>E0102267</t>
  </si>
  <si>
    <t>FISK REBECCA SASLOW MD</t>
  </si>
  <si>
    <t>RebeccaFisk</t>
  </si>
  <si>
    <t>FISK REBECCA DR.</t>
  </si>
  <si>
    <t>FISK REBECCA SASLOW</t>
  </si>
  <si>
    <t>E0257617</t>
  </si>
  <si>
    <t>SALSITZ EDWIN ARNOLD</t>
  </si>
  <si>
    <t>EdwinSalsitz</t>
  </si>
  <si>
    <t>SALSITZ EDWIN</t>
  </si>
  <si>
    <t>E0073392</t>
  </si>
  <si>
    <t>MCGINTY JAMES J MD</t>
  </si>
  <si>
    <t>JamesMcGinty</t>
  </si>
  <si>
    <t>MCGINTY JAMES</t>
  </si>
  <si>
    <t>CORNELL UNIV MED</t>
  </si>
  <si>
    <t>E0067864</t>
  </si>
  <si>
    <t>SALAND JEFFREY MARTIN MD</t>
  </si>
  <si>
    <t>SalandJeffrey</t>
  </si>
  <si>
    <t>SALAND JEFFREY</t>
  </si>
  <si>
    <t>E0332857</t>
  </si>
  <si>
    <t>JENNIFER GALJOUR L</t>
  </si>
  <si>
    <t>GaljourJennifer</t>
  </si>
  <si>
    <t>GALJOUR JENNIFER DR.</t>
  </si>
  <si>
    <t>GALJOUR JENNIFER LEIGH</t>
  </si>
  <si>
    <t>100 ST AND MADISON</t>
  </si>
  <si>
    <t>E0386560</t>
  </si>
  <si>
    <t>ODES LYUBOV N</t>
  </si>
  <si>
    <t>ODES LYUBOV MS.</t>
  </si>
  <si>
    <t>E0337179</t>
  </si>
  <si>
    <t>PARIKH RAHUL R</t>
  </si>
  <si>
    <t>ParikhRahulR.</t>
  </si>
  <si>
    <t>PARIKH RAHUL DR.</t>
  </si>
  <si>
    <t>E0454994</t>
  </si>
  <si>
    <t>STEY ANNE MADELEINE</t>
  </si>
  <si>
    <t>STEY ANNE</t>
  </si>
  <si>
    <t>E0379254</t>
  </si>
  <si>
    <t>ESCALON MIGUEL XAVIER</t>
  </si>
  <si>
    <t>EscalonMiguel</t>
  </si>
  <si>
    <t>ESCALON MIGUEL</t>
  </si>
  <si>
    <t>E0067361</t>
  </si>
  <si>
    <t>JAIN SUBHASH</t>
  </si>
  <si>
    <t>SUBHASHJAIN</t>
  </si>
  <si>
    <t>E0158702</t>
  </si>
  <si>
    <t>FELDMAN DAVID M MD</t>
  </si>
  <si>
    <t>DAVIDFELDMAN</t>
  </si>
  <si>
    <t>FITZCHARLES NIKITA</t>
  </si>
  <si>
    <t>180 GEORGE WASHINGTON BLVD</t>
  </si>
  <si>
    <t>HULL</t>
  </si>
  <si>
    <t>ZARETSKY ELINA DR.</t>
  </si>
  <si>
    <t>E0419117</t>
  </si>
  <si>
    <t>SINGH HARINDER PAL</t>
  </si>
  <si>
    <t>SINGH HARINDER</t>
  </si>
  <si>
    <t>KUMAR ARATHI</t>
  </si>
  <si>
    <t>CASSELLA COURTNEY</t>
  </si>
  <si>
    <t>1 GUSTAVE L. LEVY PLACE, BOX 1149</t>
  </si>
  <si>
    <t>SORGE RANDY DR.</t>
  </si>
  <si>
    <t>NESHEIM DAVID</t>
  </si>
  <si>
    <t>407 E 69TH ST APT 2E</t>
  </si>
  <si>
    <t>E0371210</t>
  </si>
  <si>
    <t>GASU VIVIAN A</t>
  </si>
  <si>
    <t>GasuVivian</t>
  </si>
  <si>
    <t>GASU VIVIAN MRS.</t>
  </si>
  <si>
    <t>120 E 16TH ST FL 6E</t>
  </si>
  <si>
    <t>E0382737</t>
  </si>
  <si>
    <t>DASS PUNAM</t>
  </si>
  <si>
    <t>DassPunam</t>
  </si>
  <si>
    <t>E0363376</t>
  </si>
  <si>
    <t>ROYAL DORIAN E</t>
  </si>
  <si>
    <t>RoyalDorian</t>
  </si>
  <si>
    <t>ROYAL DORIAN MRS.</t>
  </si>
  <si>
    <t>YANG JANIE</t>
  </si>
  <si>
    <t>MICHAELCUSHNER</t>
  </si>
  <si>
    <t>E0264717</t>
  </si>
  <si>
    <t>DEFABRITUS ALBERT M        MD</t>
  </si>
  <si>
    <t>ALBERTDEFABRITUS</t>
  </si>
  <si>
    <t>DEFABRITUS ALBERT</t>
  </si>
  <si>
    <t>DEFABRITUS ALBERT M</t>
  </si>
  <si>
    <t>NGUYEN LARRY</t>
  </si>
  <si>
    <t>1 GUSTAVE L LEVY PL, BOX 1264</t>
  </si>
  <si>
    <t>SASTRY AMIT MR.</t>
  </si>
  <si>
    <t>4814 CHATELAINE DR</t>
  </si>
  <si>
    <t>DUBLIN</t>
  </si>
  <si>
    <t>E0375414</t>
  </si>
  <si>
    <t>ZAHRADNIK ERIN KATHRYN</t>
  </si>
  <si>
    <t>ZAHRADNIK ERIN DR.</t>
  </si>
  <si>
    <t>E0348092</t>
  </si>
  <si>
    <t>MARAYNES MEGAN E</t>
  </si>
  <si>
    <t>MeganMaraynes</t>
  </si>
  <si>
    <t>MARAYNES MEGAN</t>
  </si>
  <si>
    <t>AnupamaBedi</t>
  </si>
  <si>
    <t>BEDI ANUPAMA MS.</t>
  </si>
  <si>
    <t>E0347208</t>
  </si>
  <si>
    <t>DANIK STEPHAN B</t>
  </si>
  <si>
    <t>StephenDanik</t>
  </si>
  <si>
    <t>DANIK STEPHAN DR.</t>
  </si>
  <si>
    <t>E0007638</t>
  </si>
  <si>
    <t>HARIZMAN NOGA</t>
  </si>
  <si>
    <t>NogaHarizman</t>
  </si>
  <si>
    <t>HARIZMAN NOGA DR.</t>
  </si>
  <si>
    <t>HARIZMAN NOGA MD</t>
  </si>
  <si>
    <t>101 W BROADWAY STE 201</t>
  </si>
  <si>
    <t>E0011597</t>
  </si>
  <si>
    <t>ALTMAN ROBERT KEITH  MD</t>
  </si>
  <si>
    <t>RobertAltman</t>
  </si>
  <si>
    <t>ALTMAN ROBERT DR.</t>
  </si>
  <si>
    <t>ALTMAN ROBERT KEITH</t>
  </si>
  <si>
    <t>ShamsahLakhani</t>
  </si>
  <si>
    <t>LAKHANI SHAMSAH</t>
  </si>
  <si>
    <t>E0362877</t>
  </si>
  <si>
    <t>HUSSON MARTINEZ JILL</t>
  </si>
  <si>
    <t>JillHusson-Martinez</t>
  </si>
  <si>
    <t>HUSSON MARTINEZ JILL DR.</t>
  </si>
  <si>
    <t>E0355435</t>
  </si>
  <si>
    <t>MURZAKHANOVA INNA</t>
  </si>
  <si>
    <t>InnaMurzakhanova</t>
  </si>
  <si>
    <t>E0378657</t>
  </si>
  <si>
    <t>JONES ALICIA M</t>
  </si>
  <si>
    <t>AliciaJones</t>
  </si>
  <si>
    <t>JONES ALICIA</t>
  </si>
  <si>
    <t>10 UNION SQ E FRNT 2L</t>
  </si>
  <si>
    <t>E0389270</t>
  </si>
  <si>
    <t>SAINT-THOMAS NAGELA F</t>
  </si>
  <si>
    <t>NagelaSainte-Thomas</t>
  </si>
  <si>
    <t>SAINTE-THOMAS NAGELA MRS.</t>
  </si>
  <si>
    <t>SAINTE-THOMAS NAGELA F</t>
  </si>
  <si>
    <t>E0294285</t>
  </si>
  <si>
    <t>SCHABERG MADELEINE RITA</t>
  </si>
  <si>
    <t>MadeleineSchaberg</t>
  </si>
  <si>
    <t>SCHABERG MADELEINE</t>
  </si>
  <si>
    <t>SCHABERG MADELEINE RITA MD</t>
  </si>
  <si>
    <t>E0323258</t>
  </si>
  <si>
    <t>REDLENER MICHAEL</t>
  </si>
  <si>
    <t>MichaelRedlener</t>
  </si>
  <si>
    <t>REDLENER MICHAEL DR.</t>
  </si>
  <si>
    <t>E0309314</t>
  </si>
  <si>
    <t>KESSEL AARON</t>
  </si>
  <si>
    <t>AaronKessel</t>
  </si>
  <si>
    <t>KESSEL AARON DR.</t>
  </si>
  <si>
    <t>KESSEL AARON DAVID MD</t>
  </si>
  <si>
    <t>E0009661</t>
  </si>
  <si>
    <t>HAZAN ALBERTO MD</t>
  </si>
  <si>
    <t>AlbertoHazan</t>
  </si>
  <si>
    <t>HAZAN ALBERTO</t>
  </si>
  <si>
    <t>AmandaCaban,M.S.</t>
  </si>
  <si>
    <t>CABAN AMANDA</t>
  </si>
  <si>
    <t>JacquelineDurant,M.S.,CF-SLP</t>
  </si>
  <si>
    <t>E0408169</t>
  </si>
  <si>
    <t>DURANT JACQUELINE MICHELLE</t>
  </si>
  <si>
    <t>DURANT JACQUELINE</t>
  </si>
  <si>
    <t>MuhammadAyub,M.S.</t>
  </si>
  <si>
    <t>E0359480</t>
  </si>
  <si>
    <t>AYUB MOHAMMAD EYAZ</t>
  </si>
  <si>
    <t>AYUB MUHAMMAD MR.</t>
  </si>
  <si>
    <t>E0184129</t>
  </si>
  <si>
    <t>BAILEY LLOYD E MD</t>
  </si>
  <si>
    <t>LloydBailey</t>
  </si>
  <si>
    <t>BAILEY LLOYD</t>
  </si>
  <si>
    <t>MEDICAL ARTS CRT HSP</t>
  </si>
  <si>
    <t>E0016019</t>
  </si>
  <si>
    <t>BABAEVA SAIERA MD</t>
  </si>
  <si>
    <t>SaieraBabaeva</t>
  </si>
  <si>
    <t>BABAEVA SAIERA DR.</t>
  </si>
  <si>
    <t>457 FDR DR</t>
  </si>
  <si>
    <t>E0344439</t>
  </si>
  <si>
    <t>BRENNAN TIMOTHY KOEHLER</t>
  </si>
  <si>
    <t>TimothyBrennan</t>
  </si>
  <si>
    <t>BRENNAN TIMOTHY</t>
  </si>
  <si>
    <t>525 E 68TH ST RM M-130</t>
  </si>
  <si>
    <t>E0350913</t>
  </si>
  <si>
    <t>ARGULIAN EDGAR</t>
  </si>
  <si>
    <t>EdgarArgulian</t>
  </si>
  <si>
    <t>425 W 59TH ST STE 9C</t>
  </si>
  <si>
    <t>E0020436</t>
  </si>
  <si>
    <t>SCHUNDLER REBECCA LYNN</t>
  </si>
  <si>
    <t>RebeccaSchundler</t>
  </si>
  <si>
    <t>SCHUNDLER REBECCA</t>
  </si>
  <si>
    <t>E0296831</t>
  </si>
  <si>
    <t>KHAN FAHAD R MD</t>
  </si>
  <si>
    <t>FahadKhan</t>
  </si>
  <si>
    <t>KHAN FAHAD</t>
  </si>
  <si>
    <t>E0328341</t>
  </si>
  <si>
    <t>NANDI ANINDITA</t>
  </si>
  <si>
    <t>AninditaNandi</t>
  </si>
  <si>
    <t>NANDI ANINDITA DR.</t>
  </si>
  <si>
    <t>MirelaToma</t>
  </si>
  <si>
    <t>E0251160</t>
  </si>
  <si>
    <t>VANGRONIGEN PETER          MD</t>
  </si>
  <si>
    <t>PeterVangronigen</t>
  </si>
  <si>
    <t>VANGRONIGEN PETER</t>
  </si>
  <si>
    <t>3304 GLENWOOD RD</t>
  </si>
  <si>
    <t>E0352405</t>
  </si>
  <si>
    <t>GOODMAN STEPHANIE MICHELLE</t>
  </si>
  <si>
    <t>StephanieGoodman</t>
  </si>
  <si>
    <t>GOODMAN STEPHANIE</t>
  </si>
  <si>
    <t>275 8TH AVENUE</t>
  </si>
  <si>
    <t>E0374987</t>
  </si>
  <si>
    <t>ILEANE ALICEA</t>
  </si>
  <si>
    <t>IleanaAlicea</t>
  </si>
  <si>
    <t>ALICEA ILEANA MS.</t>
  </si>
  <si>
    <t>ALICEA ILEANA</t>
  </si>
  <si>
    <t>E0396790</t>
  </si>
  <si>
    <t>ADAMS BENJAMIN DONALD</t>
  </si>
  <si>
    <t>BenjaminAdams</t>
  </si>
  <si>
    <t>ADAMS BENJAMIN</t>
  </si>
  <si>
    <t>E0257595</t>
  </si>
  <si>
    <t>BENOVITZ HARVEY L PC       MD</t>
  </si>
  <si>
    <t>HarveyBenovitz</t>
  </si>
  <si>
    <t>BENOVITZ HARVEY DR.</t>
  </si>
  <si>
    <t>BENOVITZ HARVEY L PC MD</t>
  </si>
  <si>
    <t>SLRH CENTER</t>
  </si>
  <si>
    <t>E0369840</t>
  </si>
  <si>
    <t>GUJJA KARTHIK REDDY</t>
  </si>
  <si>
    <t>KarthikGujja</t>
  </si>
  <si>
    <t>GUJJA KARTHIK DR.</t>
  </si>
  <si>
    <t>E0220388</t>
  </si>
  <si>
    <t>FLEISHMAN STEWART B        MD</t>
  </si>
  <si>
    <t>StewartFleishman</t>
  </si>
  <si>
    <t>FLEISHMAN STEWART</t>
  </si>
  <si>
    <t>3423 BELL BLVD</t>
  </si>
  <si>
    <t>E0011208</t>
  </si>
  <si>
    <t>KRIEGER PAUL H MD</t>
  </si>
  <si>
    <t>PAULKRIEGER</t>
  </si>
  <si>
    <t>KRIEGER PAUL DR.</t>
  </si>
  <si>
    <t>JamesPalma</t>
  </si>
  <si>
    <t>ObiageliNweke-Chukumerije</t>
  </si>
  <si>
    <t>E0067095</t>
  </si>
  <si>
    <t>GRINSTEIN GABRIELLE P MD</t>
  </si>
  <si>
    <t>GabriellaGrinstein</t>
  </si>
  <si>
    <t>GRINSTEIN GABRIELLE DR.</t>
  </si>
  <si>
    <t>E0119882</t>
  </si>
  <si>
    <t>TEITELBAUM STEPHEN MD</t>
  </si>
  <si>
    <t>StephenTeitelbaum</t>
  </si>
  <si>
    <t>TEITELBAUM STEPHEN</t>
  </si>
  <si>
    <t>PARK UROL ASSOC</t>
  </si>
  <si>
    <t>E0154666</t>
  </si>
  <si>
    <t>ROSENBLATT MARC</t>
  </si>
  <si>
    <t>MARCROSENBLATT</t>
  </si>
  <si>
    <t>3 DALEWOOD DR</t>
  </si>
  <si>
    <t>E0133227</t>
  </si>
  <si>
    <t>AYINLA RAJI MOHAMMED MD</t>
  </si>
  <si>
    <t>RAJIAYINLA</t>
  </si>
  <si>
    <t>AYINLA RAJI DR.</t>
  </si>
  <si>
    <t>AYINLA RAJI MOHAMMED</t>
  </si>
  <si>
    <t>1001 GRAND CONCOURSE APT 1B</t>
  </si>
  <si>
    <t>E0275155</t>
  </si>
  <si>
    <t>GRANT DOV Z                MD</t>
  </si>
  <si>
    <t>DOVGRANT</t>
  </si>
  <si>
    <t>GRANT DOV DR.</t>
  </si>
  <si>
    <t>E0190667</t>
  </si>
  <si>
    <t>GHASSIBI JOSEPH M</t>
  </si>
  <si>
    <t>JOSEPHGHASSIBI</t>
  </si>
  <si>
    <t>GHASSIBI JOSEPH DR.</t>
  </si>
  <si>
    <t>E0204957</t>
  </si>
  <si>
    <t>KIMMELSTIEL FRED M         MD</t>
  </si>
  <si>
    <t>FREDKIMMELSTIEL</t>
  </si>
  <si>
    <t>KIMMELSTIEL FRED DR.</t>
  </si>
  <si>
    <t>E0134081</t>
  </si>
  <si>
    <t>MICHAELBRADY</t>
  </si>
  <si>
    <t>E0246859</t>
  </si>
  <si>
    <t>CORNWALL JOHN W            MD</t>
  </si>
  <si>
    <t>JOHNCORNWALL</t>
  </si>
  <si>
    <t>CORNWALL JOHN DR.</t>
  </si>
  <si>
    <t>55 CENTRAL PARK W</t>
  </si>
  <si>
    <t>E0240455</t>
  </si>
  <si>
    <t>ROSENFELD JONATHAN E       MD</t>
  </si>
  <si>
    <t>JONATHANROSENFELD</t>
  </si>
  <si>
    <t>ROSENFELD JONATHAN DR.</t>
  </si>
  <si>
    <t>ROSENFELD JONATHAN E</t>
  </si>
  <si>
    <t>425 WEST 59TH STREET</t>
  </si>
  <si>
    <t>E0418228</t>
  </si>
  <si>
    <t>GARLAND ELIZABETH JANE</t>
  </si>
  <si>
    <t>GARLAND ELIZABETH DR.</t>
  </si>
  <si>
    <t>E0353386</t>
  </si>
  <si>
    <t>YEO JONATHAN</t>
  </si>
  <si>
    <t>YeoJonathan</t>
  </si>
  <si>
    <t>E0362057</t>
  </si>
  <si>
    <t>LENER MARC S</t>
  </si>
  <si>
    <t>LENER MARC DR.</t>
  </si>
  <si>
    <t>FADDOUL GEOVANI DR.</t>
  </si>
  <si>
    <t>1 GUSTAVE L LEVY PL, ANNENBERG - 23RD FLOOR</t>
  </si>
  <si>
    <t>BARDOS JONAH DR.</t>
  </si>
  <si>
    <t>1176 5TH AVE, 9TH FLOOR</t>
  </si>
  <si>
    <t>E0417237</t>
  </si>
  <si>
    <t>ASEME KAMARA</t>
  </si>
  <si>
    <t>ASEME KAMARA CHERYL</t>
  </si>
  <si>
    <t>E0208413</t>
  </si>
  <si>
    <t>HILLEL ZAHARIA</t>
  </si>
  <si>
    <t>ZAHARIAHILLEL</t>
  </si>
  <si>
    <t>ST LUKES/RSVLT H CTR</t>
  </si>
  <si>
    <t>E0027245</t>
  </si>
  <si>
    <t>CHO CATHERINE MD</t>
  </si>
  <si>
    <t>CATHERINECHO</t>
  </si>
  <si>
    <t>CHO CATHERINE DR.</t>
  </si>
  <si>
    <t>E0371926</t>
  </si>
  <si>
    <t>SMYTH OLIVER L</t>
  </si>
  <si>
    <t>SmythOliver</t>
  </si>
  <si>
    <t>SMYTH OLIVER MR.</t>
  </si>
  <si>
    <t>LIU ROY</t>
  </si>
  <si>
    <t>1 FLEETWOOD AVE</t>
  </si>
  <si>
    <t>E0363377</t>
  </si>
  <si>
    <t>DAVIDOV ANNA</t>
  </si>
  <si>
    <t>DavidovAnna</t>
  </si>
  <si>
    <t>E0291108</t>
  </si>
  <si>
    <t>SWEENY JOSEPH MICHAEL MD</t>
  </si>
  <si>
    <t>SWEENY JOSEPH DR.</t>
  </si>
  <si>
    <t>E0331614</t>
  </si>
  <si>
    <t>SINCLAIR CATHERINE</t>
  </si>
  <si>
    <t>SinclairCatherineFiona</t>
  </si>
  <si>
    <t>SINCLAIR CATHERINE DR.</t>
  </si>
  <si>
    <t>E0335310</t>
  </si>
  <si>
    <t>TRINH MUOI A</t>
  </si>
  <si>
    <t>TRINH MUOI</t>
  </si>
  <si>
    <t>E0355730</t>
  </si>
  <si>
    <t>PERNA DAVID</t>
  </si>
  <si>
    <t>PernaDavidJohn</t>
  </si>
  <si>
    <t>PERNA DAVID DR.</t>
  </si>
  <si>
    <t>PERNA DAVID JOHN</t>
  </si>
  <si>
    <t>10 UNION SQ E STE 5P</t>
  </si>
  <si>
    <t>E0160431</t>
  </si>
  <si>
    <t>WALLACH FRANCES ROBIN MD</t>
  </si>
  <si>
    <t>FRANCESWALLACH</t>
  </si>
  <si>
    <t>WALLACH FRANCES</t>
  </si>
  <si>
    <t>ZIA SAYYAD DR.</t>
  </si>
  <si>
    <t>230 N BROAD ST, 4TH FLOOR- SOUTH TOWER MS 623</t>
  </si>
  <si>
    <t>E0359230</t>
  </si>
  <si>
    <t>SCHUSSLER EDITH</t>
  </si>
  <si>
    <t>SCHUSSLER EDITH DR.</t>
  </si>
  <si>
    <t>WHITE FARA DR.</t>
  </si>
  <si>
    <t>GONZALEZ DANI DR.</t>
  </si>
  <si>
    <t>BHAGAVATH ANITA</t>
  </si>
  <si>
    <t>15 COLLINGWOOD DR</t>
  </si>
  <si>
    <t>E0294556</t>
  </si>
  <si>
    <t>MEHROTRA ANITA MD</t>
  </si>
  <si>
    <t>MehrotraAnita</t>
  </si>
  <si>
    <t>MEHROTRA ANITA DR.</t>
  </si>
  <si>
    <t>LICHTENSTEIN ANN MS.</t>
  </si>
  <si>
    <t>ONE GUSTAVE LEVY PLACE, BOX 1240</t>
  </si>
  <si>
    <t>LIAO HAINI DR.</t>
  </si>
  <si>
    <t>3 FARRINGTON ST</t>
  </si>
  <si>
    <t>VAUXHALL</t>
  </si>
  <si>
    <t>FINK VICTORIA MRS.</t>
  </si>
  <si>
    <t>4078 NOSTRAND AVE, APT. 2 B</t>
  </si>
  <si>
    <t>OERMANN ERIC DR.</t>
  </si>
  <si>
    <t>1425 MADISON AVE</t>
  </si>
  <si>
    <t>E0276014</t>
  </si>
  <si>
    <t>HARWIN STEVEN F            MD</t>
  </si>
  <si>
    <t>StevenHarwin</t>
  </si>
  <si>
    <t>HARWIN STEVEN DR.</t>
  </si>
  <si>
    <t>HARWIN STEVEN F</t>
  </si>
  <si>
    <t>910 PARK AVE FL 1</t>
  </si>
  <si>
    <t>TaishaBenjamin</t>
  </si>
  <si>
    <t>E0329965</t>
  </si>
  <si>
    <t>LOZADA ROSALINA ALTAGRACIA</t>
  </si>
  <si>
    <t>RosalinaLozada</t>
  </si>
  <si>
    <t>LOZADA ROSALINA</t>
  </si>
  <si>
    <t>E0132416</t>
  </si>
  <si>
    <t>ABDELMONEIM TALAAT A MD</t>
  </si>
  <si>
    <t>TalaatAbdelmoneim</t>
  </si>
  <si>
    <t>ABDELMONEIM TALAAT</t>
  </si>
  <si>
    <t>E0110334</t>
  </si>
  <si>
    <t>NESS WILLIAM CARL MD</t>
  </si>
  <si>
    <t>WilliamNess</t>
  </si>
  <si>
    <t>NESS WILLIAM</t>
  </si>
  <si>
    <t>BETH ISRAEL MC/N DIV</t>
  </si>
  <si>
    <t>E0336592</t>
  </si>
  <si>
    <t>BANTA ERIN</t>
  </si>
  <si>
    <t>ErinBanta</t>
  </si>
  <si>
    <t>116 E 36TH ST</t>
  </si>
  <si>
    <t>ZhenqingWu</t>
  </si>
  <si>
    <t>E0086584</t>
  </si>
  <si>
    <t>BORREGO FERNANDO J MD</t>
  </si>
  <si>
    <t>FERNANDOBORREGO</t>
  </si>
  <si>
    <t>BORREGO FERNANDO</t>
  </si>
  <si>
    <t>E0309668</t>
  </si>
  <si>
    <t>KO FRED CHAU-YANG</t>
  </si>
  <si>
    <t>FREDKO</t>
  </si>
  <si>
    <t>KO FRED DR.</t>
  </si>
  <si>
    <t>E0284170</t>
  </si>
  <si>
    <t>BAIR MELISSA</t>
  </si>
  <si>
    <t>MELISSABAIR</t>
  </si>
  <si>
    <t>220 CHURCH ST</t>
  </si>
  <si>
    <t>E0198359</t>
  </si>
  <si>
    <t>KUFLIK PAUL LARRY          MD</t>
  </si>
  <si>
    <t>PAULKUFLIK</t>
  </si>
  <si>
    <t>KUFLIK PAUL DR.</t>
  </si>
  <si>
    <t>E0445698</t>
  </si>
  <si>
    <t>HAWKINS EVAN JAMES</t>
  </si>
  <si>
    <t>HAWKINS EVAN DR.</t>
  </si>
  <si>
    <t>CORDOVA JUAN DR.</t>
  </si>
  <si>
    <t>1159 NIKKI VIEW DR</t>
  </si>
  <si>
    <t>BRANDON</t>
  </si>
  <si>
    <t>SCRUDATO SHANNON</t>
  </si>
  <si>
    <t>555 N DUKE ST</t>
  </si>
  <si>
    <t>E0013291</t>
  </si>
  <si>
    <t>SIVAREDDY SAILAJA MD</t>
  </si>
  <si>
    <t>SailajaSivareddy</t>
  </si>
  <si>
    <t>SIVAREDDY SAILAJA</t>
  </si>
  <si>
    <t>89-24 146TH ST</t>
  </si>
  <si>
    <t>E0147645</t>
  </si>
  <si>
    <t>CHRISTOPHER KURT W MD</t>
  </si>
  <si>
    <t>KurtChristopher</t>
  </si>
  <si>
    <t>CHRISTOPHER KURT</t>
  </si>
  <si>
    <t>E0204553</t>
  </si>
  <si>
    <t>COHEN LEE STEVEN           MD</t>
  </si>
  <si>
    <t>LEECOHEN</t>
  </si>
  <si>
    <t>COHEN LEE DR.</t>
  </si>
  <si>
    <t>HOLLISWORTH HOSP</t>
  </si>
  <si>
    <t>E0248194</t>
  </si>
  <si>
    <t>VIZEL-SCHWARTZ MONIQUE</t>
  </si>
  <si>
    <t>MONIQUEVIZEL-SCHWARTZ</t>
  </si>
  <si>
    <t>VIZEL-SCHWARTZ MONIQUE DR.</t>
  </si>
  <si>
    <t>247 3RD AVE RM 301</t>
  </si>
  <si>
    <t>ROLANDNYEIN</t>
  </si>
  <si>
    <t>E0037873</t>
  </si>
  <si>
    <t>RUBINSTEIN VALERIA JESSICA</t>
  </si>
  <si>
    <t>VALERIARUBINSTEIN</t>
  </si>
  <si>
    <t>RUBINSTEIN VALERIA DR.</t>
  </si>
  <si>
    <t>E0181278</t>
  </si>
  <si>
    <t>MARK STEIN</t>
  </si>
  <si>
    <t>MARKSTEIN</t>
  </si>
  <si>
    <t>STEIN MARK DR.</t>
  </si>
  <si>
    <t>DEPARTMENT OF UROLOG</t>
  </si>
  <si>
    <t>E0274968</t>
  </si>
  <si>
    <t>SANBORN KEVIN              MD</t>
  </si>
  <si>
    <t>KEVINSANBORN</t>
  </si>
  <si>
    <t>SANBORN KEVIN</t>
  </si>
  <si>
    <t>E0125944</t>
  </si>
  <si>
    <t>ALAGESAN RAMDAS MD</t>
  </si>
  <si>
    <t>RAMDASALAGESAN</t>
  </si>
  <si>
    <t>ALAGESAN RAMDAS</t>
  </si>
  <si>
    <t>E0058042</t>
  </si>
  <si>
    <t>CAHILL JOHN DONALD MD</t>
  </si>
  <si>
    <t>JOHNCAHILL</t>
  </si>
  <si>
    <t>CAHILL JOHN DR.</t>
  </si>
  <si>
    <t>PAMELAYEE</t>
  </si>
  <si>
    <t>YEE PAMELA DR.</t>
  </si>
  <si>
    <t>102 E 30TH ST, 1ST FLOOR</t>
  </si>
  <si>
    <t>ChennareddySwaminathan</t>
  </si>
  <si>
    <t>RemediosCaparas</t>
  </si>
  <si>
    <t>E0194199</t>
  </si>
  <si>
    <t>PAA REMEDIOS CAPARAS</t>
  </si>
  <si>
    <t>CAPARAS REMEDIOS</t>
  </si>
  <si>
    <t>PAA REMEDIOS CAPARAS R</t>
  </si>
  <si>
    <t>RosaCarrera</t>
  </si>
  <si>
    <t>E0275935</t>
  </si>
  <si>
    <t>CARRERA ROSA FLORES</t>
  </si>
  <si>
    <t>CARRERA ROSA</t>
  </si>
  <si>
    <t>AbdulRehman</t>
  </si>
  <si>
    <t>E0275607</t>
  </si>
  <si>
    <t>REHMAN ABDUL               MD</t>
  </si>
  <si>
    <t>REHMAN ABDUL</t>
  </si>
  <si>
    <t>AbrahamJelin</t>
  </si>
  <si>
    <t>E0273705</t>
  </si>
  <si>
    <t>JELIN ABRAHAM              MD</t>
  </si>
  <si>
    <t>JELIN ABRAHAM DR.</t>
  </si>
  <si>
    <t>JELIN ABRAHAM</t>
  </si>
  <si>
    <t>BROOKDALE PLAZA</t>
  </si>
  <si>
    <t>AlanStein</t>
  </si>
  <si>
    <t>E0264570</t>
  </si>
  <si>
    <t>STEIN ALAN J MD</t>
  </si>
  <si>
    <t>STEIN ALAN</t>
  </si>
  <si>
    <t>348-13 STREET STE101</t>
  </si>
  <si>
    <t>DanielCulliford,MD</t>
  </si>
  <si>
    <t>(917) 572-3885</t>
  </si>
  <si>
    <t>JamalKobeissi,MD</t>
  </si>
  <si>
    <t>(313) 320-1434</t>
  </si>
  <si>
    <t>jmkobei@aol.com</t>
  </si>
  <si>
    <t>E0354771</t>
  </si>
  <si>
    <t>YANG ANN HAE INN</t>
  </si>
  <si>
    <t>AnnYang</t>
  </si>
  <si>
    <t>YANG ANN</t>
  </si>
  <si>
    <t>E0023099</t>
  </si>
  <si>
    <t>JEUDY SABINE CNM</t>
  </si>
  <si>
    <t>SabineJeudy</t>
  </si>
  <si>
    <t>JEUDY SABINE MS.</t>
  </si>
  <si>
    <t>E0373074</t>
  </si>
  <si>
    <t>PAWA SAPNA</t>
  </si>
  <si>
    <t>SapnaPawa</t>
  </si>
  <si>
    <t>PAWA SAPNA DR.</t>
  </si>
  <si>
    <t>E0399704</t>
  </si>
  <si>
    <t>ILIONSKY NATALIA</t>
  </si>
  <si>
    <t>NataliaIlionsky</t>
  </si>
  <si>
    <t>ILIONSKY NATALIA MRS.</t>
  </si>
  <si>
    <t>GENTLE SAMUEL MR.</t>
  </si>
  <si>
    <t>1931 20TH AVE S</t>
  </si>
  <si>
    <t>SCHMAJUK MARIANA</t>
  </si>
  <si>
    <t>1 GUSTAVE L LEVY PL, MSSM DEPARTMENT OF PSYCHIATRY BOX 1230</t>
  </si>
  <si>
    <t>BROWNE ALEXANDER</t>
  </si>
  <si>
    <t>SUDARSAN NORA</t>
  </si>
  <si>
    <t>1000 10TH AVE, ST LUKE'S ROOSEVELT HOSPITAL, DEPT OF MEDICINE 3A-02</t>
  </si>
  <si>
    <t>CHAKUPURAKAL STEVEN</t>
  </si>
  <si>
    <t>BHANDARY AKSHAI DR.</t>
  </si>
  <si>
    <t>515 W 59TH ST APT 13B</t>
  </si>
  <si>
    <t>IlanDavid</t>
  </si>
  <si>
    <t>ILAN DAVID MR.</t>
  </si>
  <si>
    <t>5 E 98TH ST, 12TH FLOOR</t>
  </si>
  <si>
    <t>E0397392</t>
  </si>
  <si>
    <t>ZARGAR KAREN</t>
  </si>
  <si>
    <t>ZARGAR KAREN DR.</t>
  </si>
  <si>
    <t>E0407430</t>
  </si>
  <si>
    <t>ALTMAN SAM</t>
  </si>
  <si>
    <t>ALTMAN SAM DR.</t>
  </si>
  <si>
    <t>E0359398</t>
  </si>
  <si>
    <t>ALONSO YADIRA</t>
  </si>
  <si>
    <t>SinclairMark</t>
  </si>
  <si>
    <t>SINCLAIR MARK DR.</t>
  </si>
  <si>
    <t>E0313378</t>
  </si>
  <si>
    <t>ARABELO HOWARD ANTHONY DE LA PAZ</t>
  </si>
  <si>
    <t>ArabeloHowardAnthonyDelaPaz</t>
  </si>
  <si>
    <t>ARABELO HOWARD DR.</t>
  </si>
  <si>
    <t>DE LA PAZ ARABELO HOWARD ANTHONY</t>
  </si>
  <si>
    <t>ShaoulianHoward</t>
  </si>
  <si>
    <t>SHAOULIAN HOWARD</t>
  </si>
  <si>
    <t>10 UNION SQ E, SPINE INSTITUTE SUITE 5P</t>
  </si>
  <si>
    <t>SticklesScott</t>
  </si>
  <si>
    <t>E0351895</t>
  </si>
  <si>
    <t>WASSEF FADY WAGDY</t>
  </si>
  <si>
    <t>WASSEF FADY</t>
  </si>
  <si>
    <t>E0430170</t>
  </si>
  <si>
    <t>GARG VAANI PANSE</t>
  </si>
  <si>
    <t>GARG VAANI DR.</t>
  </si>
  <si>
    <t>E0170116</t>
  </si>
  <si>
    <t>HOROWITZ DEBORAH RONNIE  MD</t>
  </si>
  <si>
    <t>HorowitzDeborah</t>
  </si>
  <si>
    <t>HOROWITZ DEBORAH DR.</t>
  </si>
  <si>
    <t>E0370670</t>
  </si>
  <si>
    <t>BROWN BILLIE L</t>
  </si>
  <si>
    <t>BrownBillie</t>
  </si>
  <si>
    <t>BROWN BILLIE</t>
  </si>
  <si>
    <t>BROWN BILLIE LYNN</t>
  </si>
  <si>
    <t>E0311531</t>
  </si>
  <si>
    <t>STEVEN DALE BOGGS</t>
  </si>
  <si>
    <t>BOGGS STEVEN</t>
  </si>
  <si>
    <t>BOGGS STEVEN DALE</t>
  </si>
  <si>
    <t>E0094132</t>
  </si>
  <si>
    <t>CAMMERMAN DANIEL JOSEPH MD</t>
  </si>
  <si>
    <t>CammermanDaniel</t>
  </si>
  <si>
    <t>CAMMERMAN DANIEL</t>
  </si>
  <si>
    <t>E0202850</t>
  </si>
  <si>
    <t>ADLER RHODES S             MD</t>
  </si>
  <si>
    <t>AdlerRhodes</t>
  </si>
  <si>
    <t>ADLER RHODES</t>
  </si>
  <si>
    <t>ADLER RHODES S MD</t>
  </si>
  <si>
    <t>1200 FIFTH AVE IMA</t>
  </si>
  <si>
    <t>E0364160</t>
  </si>
  <si>
    <t>BURGOYNE BRIAN</t>
  </si>
  <si>
    <t>E0148057</t>
  </si>
  <si>
    <t>ATALLAH-LAJAM FARAH ELIAS MD</t>
  </si>
  <si>
    <t>Atallah-LajamFarah</t>
  </si>
  <si>
    <t>ATALLAH-LAJAM FARAH</t>
  </si>
  <si>
    <t>FOREST HILLS NUCLEAR</t>
  </si>
  <si>
    <t>E0308972</t>
  </si>
  <si>
    <t>KAUFMAN ANDREW JONATHAN MD</t>
  </si>
  <si>
    <t>KaufmanAndrew</t>
  </si>
  <si>
    <t>KAUFMAN ANDREW</t>
  </si>
  <si>
    <t>ConigliaroJennifer</t>
  </si>
  <si>
    <t>CONIGLIARO JENNIFER</t>
  </si>
  <si>
    <t>1 GUSTAVE L LEVY PL, BOX 1263</t>
  </si>
  <si>
    <t>CharneyDennis</t>
  </si>
  <si>
    <t>CHARNEY DENNIS</t>
  </si>
  <si>
    <t>1 GUSTAVE L LEVY PL, ANNENBERG 21-86, BOX 1217</t>
  </si>
  <si>
    <t>E0068403</t>
  </si>
  <si>
    <t>MCKINSEY JAMES FREDERICK MD</t>
  </si>
  <si>
    <t>McKinseyJames</t>
  </si>
  <si>
    <t>MCKINSEY JAMES DR.</t>
  </si>
  <si>
    <t>5841 S MARYLAND AVE</t>
  </si>
  <si>
    <t>E0283384</t>
  </si>
  <si>
    <t>BARASH IRINA MD</t>
  </si>
  <si>
    <t>BarashIrina</t>
  </si>
  <si>
    <t>BARASH IRINA DR.</t>
  </si>
  <si>
    <t>560 FIRST AVENUE 18TH FL</t>
  </si>
  <si>
    <t>E0387218</t>
  </si>
  <si>
    <t>FAHMY RAMY HANY FOUAD</t>
  </si>
  <si>
    <t>FahmyRamy</t>
  </si>
  <si>
    <t>FAHMY RAMY HANY FOUAD DR.</t>
  </si>
  <si>
    <t>E0202908</t>
  </si>
  <si>
    <t>CLEMENTS JERRY EUGENE      MD</t>
  </si>
  <si>
    <t>JERRYCLEMENTS</t>
  </si>
  <si>
    <t>CLEMENTS JERRY</t>
  </si>
  <si>
    <t>CLEMENTS JERRY EUGENE</t>
  </si>
  <si>
    <t>E0349647</t>
  </si>
  <si>
    <t>EGOL CLAUDINE J</t>
  </si>
  <si>
    <t>MRS.CLAUDINEEGOL</t>
  </si>
  <si>
    <t>EGOL CLAUDINE MRS.</t>
  </si>
  <si>
    <t>E0373385</t>
  </si>
  <si>
    <t>BRUCK ELENA</t>
  </si>
  <si>
    <t>ELENABRUCK</t>
  </si>
  <si>
    <t>841 BROADWAY STE 302</t>
  </si>
  <si>
    <t>E0236742</t>
  </si>
  <si>
    <t>ZAMBETTI GEORGE J JR       MD</t>
  </si>
  <si>
    <t>GEORGEZAMBETTI</t>
  </si>
  <si>
    <t>ZAMBETTI GEORGE DR.</t>
  </si>
  <si>
    <t>428 W 59 ST</t>
  </si>
  <si>
    <t>E0185541</t>
  </si>
  <si>
    <t>CHABUS BRENT IRA MD</t>
  </si>
  <si>
    <t>BRENTCHABUS</t>
  </si>
  <si>
    <t>CHABUS BRENT DR.</t>
  </si>
  <si>
    <t>E0103855</t>
  </si>
  <si>
    <t>YI CHRISTIE HYUNSU MD</t>
  </si>
  <si>
    <t>CHRISTIEYI</t>
  </si>
  <si>
    <t>YI CHRISTIE</t>
  </si>
  <si>
    <t>64 JACKSON ST</t>
  </si>
  <si>
    <t>E0059425</t>
  </si>
  <si>
    <t>YOST SHARON LYNN MD</t>
  </si>
  <si>
    <t>SHARONYOST</t>
  </si>
  <si>
    <t>YOST SHARON</t>
  </si>
  <si>
    <t>E0184225</t>
  </si>
  <si>
    <t>BASKIN MARTIN I MD</t>
  </si>
  <si>
    <t>MARTINBASKIN</t>
  </si>
  <si>
    <t>BASKIN MARTIN DR.</t>
  </si>
  <si>
    <t>ST LUKES/ROSVLT HSP</t>
  </si>
  <si>
    <t>E0163723</t>
  </si>
  <si>
    <t>ROZANSKI ALAN  MD</t>
  </si>
  <si>
    <t>ALANROZANSKI</t>
  </si>
  <si>
    <t>ROZANSKI ALAN DR.</t>
  </si>
  <si>
    <t>HILLARYRAYNES</t>
  </si>
  <si>
    <t>E0106469</t>
  </si>
  <si>
    <t>BLEI FRANCINE MD</t>
  </si>
  <si>
    <t>FrancineBlei</t>
  </si>
  <si>
    <t>BLEI FRANCINE DR.</t>
  </si>
  <si>
    <t>BLEI FRANCINE</t>
  </si>
  <si>
    <t>E0043092</t>
  </si>
  <si>
    <t>SOTELO ANDRE MD</t>
  </si>
  <si>
    <t>AndreSotelo</t>
  </si>
  <si>
    <t>SOTELO ANDRE DR.</t>
  </si>
  <si>
    <t>E0150374</t>
  </si>
  <si>
    <t>ROSENBERG AMY S MD</t>
  </si>
  <si>
    <t>AmyRosenberg</t>
  </si>
  <si>
    <t>ROSENBERG AMY DR.</t>
  </si>
  <si>
    <t>FrankBabb</t>
  </si>
  <si>
    <t>E0128275</t>
  </si>
  <si>
    <t>LOWE SANDRA M MD</t>
  </si>
  <si>
    <t>LOWE SANDRA</t>
  </si>
  <si>
    <t>E0390862</t>
  </si>
  <si>
    <t>SENAY EMILY</t>
  </si>
  <si>
    <t>SENAY EMILY DR.</t>
  </si>
  <si>
    <t>1468 MADISON AVE ANB</t>
  </si>
  <si>
    <t>E0150574</t>
  </si>
  <si>
    <t>LIPSHUTZ ROCHELLE</t>
  </si>
  <si>
    <t>ROCHELLELIPSHUTZ</t>
  </si>
  <si>
    <t>E0127558</t>
  </si>
  <si>
    <t>BARAN SYMA DEBORAH MD</t>
  </si>
  <si>
    <t>BARAN SYMA</t>
  </si>
  <si>
    <t>E0191585</t>
  </si>
  <si>
    <t>SUOZZI WILLIAM G MD</t>
  </si>
  <si>
    <t>SuozziWilliam</t>
  </si>
  <si>
    <t>SUOZZI WILLIAM DR.</t>
  </si>
  <si>
    <t>SOUZZI WILLIAM G</t>
  </si>
  <si>
    <t>E0453230</t>
  </si>
  <si>
    <t>NULSEN BENJAMIN</t>
  </si>
  <si>
    <t>NULSEN BENJAMIN FRANCIS</t>
  </si>
  <si>
    <t>E0227086</t>
  </si>
  <si>
    <t>LAWSON WILLIAM             MD</t>
  </si>
  <si>
    <t>LawsonWilliam</t>
  </si>
  <si>
    <t>LAWSON WILLIAM DR.</t>
  </si>
  <si>
    <t>E0156542</t>
  </si>
  <si>
    <t>BOCK GEORGE H MD</t>
  </si>
  <si>
    <t>BOCK GEORGE DR.</t>
  </si>
  <si>
    <t>APT 1GW</t>
  </si>
  <si>
    <t>E0093949</t>
  </si>
  <si>
    <t>RAPAPORT ROBERT MD</t>
  </si>
  <si>
    <t>RapaportRobert</t>
  </si>
  <si>
    <t>RAPAPORT ROBERT</t>
  </si>
  <si>
    <t>E0180881</t>
  </si>
  <si>
    <t>JONES JACQUELINE MD</t>
  </si>
  <si>
    <t>JonesJacqueline</t>
  </si>
  <si>
    <t>JONES JACQUELINE</t>
  </si>
  <si>
    <t>JONES JACQUELINE ELEANOR</t>
  </si>
  <si>
    <t>E0020042</t>
  </si>
  <si>
    <t>GEER ELIZA B MD</t>
  </si>
  <si>
    <t>GeerEliza</t>
  </si>
  <si>
    <t>GEER ELIZA</t>
  </si>
  <si>
    <t>E0343495</t>
  </si>
  <si>
    <t>SANZ SALVO ANGEL JAVIER</t>
  </si>
  <si>
    <t>SanzSalvoAngel</t>
  </si>
  <si>
    <t>SANZ SALVO ANGEL</t>
  </si>
  <si>
    <t>1428 MADISON AVE FL 8</t>
  </si>
  <si>
    <t>E0444392</t>
  </si>
  <si>
    <t>GEFON BORIS</t>
  </si>
  <si>
    <t>ROTHBAUM RANDI</t>
  </si>
  <si>
    <t>E0373882</t>
  </si>
  <si>
    <t>YEUNG HELEN HAI MIN</t>
  </si>
  <si>
    <t>YEUNG HELEN</t>
  </si>
  <si>
    <t>SionovaSvetlana</t>
  </si>
  <si>
    <t>SIONOVA SVETLANA MRS.</t>
  </si>
  <si>
    <t>1 GUSTAVE L LEVY PL, CARDIOTHORACIC SURGERY/ MOUNT SINAI HOSPITAL</t>
  </si>
  <si>
    <t>GLENN HERSHEY LAURA</t>
  </si>
  <si>
    <t>350 E 17TH ST, 16TH FLOOR</t>
  </si>
  <si>
    <t>E0321221</t>
  </si>
  <si>
    <t>JAJOO PARUL</t>
  </si>
  <si>
    <t>JAJOO PARUL DR.</t>
  </si>
  <si>
    <t>57 W 57TH ST STE 1701</t>
  </si>
  <si>
    <t>E0313069</t>
  </si>
  <si>
    <t>VOROBYEVA LARISA</t>
  </si>
  <si>
    <t>VOROBYEVA LARISA DR.</t>
  </si>
  <si>
    <t>2832 LINDEN BLVD</t>
  </si>
  <si>
    <t>E0319535</t>
  </si>
  <si>
    <t>KHONDKER HASAN KARIM</t>
  </si>
  <si>
    <t>KhondkerHasan</t>
  </si>
  <si>
    <t>KHONDKER HASAN</t>
  </si>
  <si>
    <t>E0371885</t>
  </si>
  <si>
    <t>ISRAEL EZRA CEASAR</t>
  </si>
  <si>
    <t>IsraelEzraCeasar</t>
  </si>
  <si>
    <t>ISRAEL EZRA DR.</t>
  </si>
  <si>
    <t>1122 AVENUE P</t>
  </si>
  <si>
    <t>E0312721</t>
  </si>
  <si>
    <t>HAINES ELIZABETH JANE</t>
  </si>
  <si>
    <t>HainesElizabeth</t>
  </si>
  <si>
    <t>HAINES ELIZABETH DR.</t>
  </si>
  <si>
    <t>GARCIA ROCIO</t>
  </si>
  <si>
    <t>12 EXECUTIVE PARK DR NE</t>
  </si>
  <si>
    <t>E0431107</t>
  </si>
  <si>
    <t>ZAYED ADHAM EKRAM</t>
  </si>
  <si>
    <t>ZAYED ADHAM DR.</t>
  </si>
  <si>
    <t>VENITELLI ZEAH</t>
  </si>
  <si>
    <t>1111 AMSTERDAM AVE, ST. LUKES HOSPITAL, GME OFFICE</t>
  </si>
  <si>
    <t>FREY PATRICIA DR.</t>
  </si>
  <si>
    <t>E0369966</t>
  </si>
  <si>
    <t>PESSOLANO ASHLEY M</t>
  </si>
  <si>
    <t>PessolanoAshley</t>
  </si>
  <si>
    <t>PESSOLANO ASHLEY</t>
  </si>
  <si>
    <t>E0448398</t>
  </si>
  <si>
    <t>CANEPA CARLA MARINA</t>
  </si>
  <si>
    <t>CANEPA CARLA</t>
  </si>
  <si>
    <t>E0130317</t>
  </si>
  <si>
    <t>HO WING WAH MD</t>
  </si>
  <si>
    <t>HoWingWah</t>
  </si>
  <si>
    <t>HO WING WAH</t>
  </si>
  <si>
    <t>E0114112</t>
  </si>
  <si>
    <t>CHASON KEVIN W MD</t>
  </si>
  <si>
    <t>ChasonKevin</t>
  </si>
  <si>
    <t>CHASON KEVIN</t>
  </si>
  <si>
    <t>E0063559</t>
  </si>
  <si>
    <t>LOUDON HOLLY C MD</t>
  </si>
  <si>
    <t>LoudonHolly</t>
  </si>
  <si>
    <t>LOUDON HOLLY</t>
  </si>
  <si>
    <t>PARKMED E W CTR</t>
  </si>
  <si>
    <t>E0066247</t>
  </si>
  <si>
    <t>BANIK RUDRANI MD</t>
  </si>
  <si>
    <t>RudraniBanik</t>
  </si>
  <si>
    <t>BANIK RUDRANI DR.</t>
  </si>
  <si>
    <t>3400 BAINBRIDGE AVE # 123</t>
  </si>
  <si>
    <t>E0363671</t>
  </si>
  <si>
    <t>CIPOLLA SIMONETTE C</t>
  </si>
  <si>
    <t>CipollaSimonette</t>
  </si>
  <si>
    <t>CIPOLLA SIMONETTE</t>
  </si>
  <si>
    <t>E0390549</t>
  </si>
  <si>
    <t>ANDRADE ALLEN D</t>
  </si>
  <si>
    <t>AndradeAllen</t>
  </si>
  <si>
    <t>ANDRADE ALLEN DR.</t>
  </si>
  <si>
    <t>E0322408</t>
  </si>
  <si>
    <t>STEINBERG AMIR SIMON</t>
  </si>
  <si>
    <t>SteinbergAmir</t>
  </si>
  <si>
    <t>STEINBERG AMIR DR.</t>
  </si>
  <si>
    <t>E0371387</t>
  </si>
  <si>
    <t>SOTO DIALYN LOURDES</t>
  </si>
  <si>
    <t>Soto-BarretoDialyn</t>
  </si>
  <si>
    <t>SOTO-BARRETO DIALYN</t>
  </si>
  <si>
    <t>E0382691</t>
  </si>
  <si>
    <t>NAIB TARA</t>
  </si>
  <si>
    <t>NaibTara</t>
  </si>
  <si>
    <t>NAIB TARA DR.</t>
  </si>
  <si>
    <t>E0374420</t>
  </si>
  <si>
    <t>ZUBER NICOLE ALEXANDRA</t>
  </si>
  <si>
    <t>ZuberNicoleA.</t>
  </si>
  <si>
    <t>ZUBER NICOLE</t>
  </si>
  <si>
    <t>E0383494</t>
  </si>
  <si>
    <t>MIRENSKY TAMAR</t>
  </si>
  <si>
    <t>MirenskyTamar</t>
  </si>
  <si>
    <t>MIRENSKY TAMAR DR.</t>
  </si>
  <si>
    <t>MIRENSKY TAMAR L</t>
  </si>
  <si>
    <t>E0439606</t>
  </si>
  <si>
    <t>GILLEGO EZRA ONG</t>
  </si>
  <si>
    <t>GillegoEzra</t>
  </si>
  <si>
    <t>GILLEGO EZRA MR.</t>
  </si>
  <si>
    <t>BURNS AMY MRS.</t>
  </si>
  <si>
    <t>E0318252</t>
  </si>
  <si>
    <t>LAJOS PAUL</t>
  </si>
  <si>
    <t>LajosPaul</t>
  </si>
  <si>
    <t>LAJOS PAUL DR.</t>
  </si>
  <si>
    <t>LAJOS PAUL SCOTT</t>
  </si>
  <si>
    <t>HildebrandtThomas</t>
  </si>
  <si>
    <t>HILDEBRANDT THOMAS DR.</t>
  </si>
  <si>
    <t>E0363743</t>
  </si>
  <si>
    <t>SIMPSON AFFERLEEN E</t>
  </si>
  <si>
    <t>SimpsonAfferleen</t>
  </si>
  <si>
    <t>SIMPSON AFFERLEEN MRS.</t>
  </si>
  <si>
    <t>E0429663</t>
  </si>
  <si>
    <t>STRICKLER SAMANTHA</t>
  </si>
  <si>
    <t>STRICKLER SAMANTHA DR.</t>
  </si>
  <si>
    <t>E0340999</t>
  </si>
  <si>
    <t>SHAH NIRALI A</t>
  </si>
  <si>
    <t>SHAH NIRALI</t>
  </si>
  <si>
    <t>SHAH NIRALI ASHOK</t>
  </si>
  <si>
    <t>E0197860</t>
  </si>
  <si>
    <t>YUDKOWITZ FRANCINE S       MD</t>
  </si>
  <si>
    <t>YudkowitzFrancine</t>
  </si>
  <si>
    <t>YUDKOWITZ FRANCINE DR.</t>
  </si>
  <si>
    <t>YUDKOWITZ FRANCINE S</t>
  </si>
  <si>
    <t>E0260177</t>
  </si>
  <si>
    <t>HERMANN GEORGE             MD</t>
  </si>
  <si>
    <t>HermannGeorge</t>
  </si>
  <si>
    <t>HERMANN GEORGE</t>
  </si>
  <si>
    <t>HERMANN GEORGE   MD</t>
  </si>
  <si>
    <t>E0000002</t>
  </si>
  <si>
    <t>DENNIS-KAI-NING LIN</t>
  </si>
  <si>
    <t>DennisLin</t>
  </si>
  <si>
    <t>LIN DENNIS MR.</t>
  </si>
  <si>
    <t>LIN DENNIS KAI-NING MD</t>
  </si>
  <si>
    <t>E0083408</t>
  </si>
  <si>
    <t>BLANCAFLOR GINNO C MD</t>
  </si>
  <si>
    <t>GinnoBlancaflor</t>
  </si>
  <si>
    <t>E0295668</t>
  </si>
  <si>
    <t>JANIS GREGORY STEPHEN</t>
  </si>
  <si>
    <t>GregoryJanis</t>
  </si>
  <si>
    <t>JANIS GREGORY DR.</t>
  </si>
  <si>
    <t>JANIS GREGORY STEPHEN MD</t>
  </si>
  <si>
    <t>E0371501</t>
  </si>
  <si>
    <t>MASTRANTONIO LAURA A</t>
  </si>
  <si>
    <t>MastrantonioLaura</t>
  </si>
  <si>
    <t>MASTRANTONIO LAURA</t>
  </si>
  <si>
    <t>SicileDominique</t>
  </si>
  <si>
    <t>CECILIACALDERON</t>
  </si>
  <si>
    <t>E0205287</t>
  </si>
  <si>
    <t>PULLANO WILLIAM E MD</t>
  </si>
  <si>
    <t>WILLIAMPULLANO</t>
  </si>
  <si>
    <t>PULLANO WILLIAM DR.</t>
  </si>
  <si>
    <t>E0172922</t>
  </si>
  <si>
    <t>PRICE ANDREW E MD</t>
  </si>
  <si>
    <t>ANDREWPRICE</t>
  </si>
  <si>
    <t>PRICE ANDREW DR.</t>
  </si>
  <si>
    <t>E0294470</t>
  </si>
  <si>
    <t>MARIA D LINDEN</t>
  </si>
  <si>
    <t>MARIALINDEN</t>
  </si>
  <si>
    <t>LINDEN MARIA DR.</t>
  </si>
  <si>
    <t>LINDEN MARIA D</t>
  </si>
  <si>
    <t>E0244433</t>
  </si>
  <si>
    <t>KLEIN GEORGE               MD</t>
  </si>
  <si>
    <t>GEORGEKLEIN</t>
  </si>
  <si>
    <t>KLEIN GEORGE DR.</t>
  </si>
  <si>
    <t>MEDECON OFF SYSTEMS</t>
  </si>
  <si>
    <t>E0062359</t>
  </si>
  <si>
    <t>ZILBERMAN ALLA</t>
  </si>
  <si>
    <t>ALLAZILBERMAN</t>
  </si>
  <si>
    <t>ZILBERMAN ALLA MD</t>
  </si>
  <si>
    <t>E0085919</t>
  </si>
  <si>
    <t>DIAZ MARIA DELOURDES MD</t>
  </si>
  <si>
    <t>MARIADIAZ</t>
  </si>
  <si>
    <t>210 E 73RD ST STE 1C</t>
  </si>
  <si>
    <t>E0302166</t>
  </si>
  <si>
    <t>HERNANDEZ COLON AGDEL JOSE</t>
  </si>
  <si>
    <t>AGDELHERNANDEZ</t>
  </si>
  <si>
    <t>HERNANDEZ AGDEL</t>
  </si>
  <si>
    <t>E0277835</t>
  </si>
  <si>
    <t>DEGIARDE MASSIMO PC        MD</t>
  </si>
  <si>
    <t>MASSIMODEGIARDE</t>
  </si>
  <si>
    <t>DEGIARDE MASSIMO</t>
  </si>
  <si>
    <t>DEGIARDE MASSIMO P</t>
  </si>
  <si>
    <t>233 LAFAYETTE ST # 5</t>
  </si>
  <si>
    <t>XieChunmei</t>
  </si>
  <si>
    <t>XIE CHUNMEI</t>
  </si>
  <si>
    <t>8929 PARALLEL PKWY</t>
  </si>
  <si>
    <t>ROCCISANO MARIA</t>
  </si>
  <si>
    <t>ClementsCherylJ</t>
  </si>
  <si>
    <t>CLEMENTS CHERYL</t>
  </si>
  <si>
    <t>550 1ST AVE, RUSK 607</t>
  </si>
  <si>
    <t>E0125922</t>
  </si>
  <si>
    <t>SEIDEN HOWARD S MD</t>
  </si>
  <si>
    <t>SeidenHoward</t>
  </si>
  <si>
    <t>SEIDEN HOWARD</t>
  </si>
  <si>
    <t>MT SINAI MC #1201</t>
  </si>
  <si>
    <t>E0128295</t>
  </si>
  <si>
    <t>BRAUN JAMES FREDERICK</t>
  </si>
  <si>
    <t>JAMESBRAUN</t>
  </si>
  <si>
    <t>BRAUN JAMES DR.</t>
  </si>
  <si>
    <t>HARRISONMITCHELL</t>
  </si>
  <si>
    <t>E0253015</t>
  </si>
  <si>
    <t>IQBAL MUHAMMAD Z           MD</t>
  </si>
  <si>
    <t>MR.MUHAMMADIQBAL</t>
  </si>
  <si>
    <t>IQBAL MUHAMMAD MR.</t>
  </si>
  <si>
    <t>3060 OCEAN AVE STE LP</t>
  </si>
  <si>
    <t>E0096086</t>
  </si>
  <si>
    <t>SEECOOMAR LESLIE MD</t>
  </si>
  <si>
    <t>LESLIESEECOOMAR</t>
  </si>
  <si>
    <t>SEECOOMAR LESLIE</t>
  </si>
  <si>
    <t>E0320358</t>
  </si>
  <si>
    <t>PRUFER NEIL LEWIS</t>
  </si>
  <si>
    <t>PruferNeil</t>
  </si>
  <si>
    <t>PRUFER NEIL DR.</t>
  </si>
  <si>
    <t>55-28 MAIN ST</t>
  </si>
  <si>
    <t>E0359080</t>
  </si>
  <si>
    <t>SOLEIMANI LAILI</t>
  </si>
  <si>
    <t>SoleimaniLaili</t>
  </si>
  <si>
    <t>SOLEIMANI LAILI DR.</t>
  </si>
  <si>
    <t>E0383263</t>
  </si>
  <si>
    <t>WEERAHANDI HIMALI M</t>
  </si>
  <si>
    <t>WeerahandiHimali</t>
  </si>
  <si>
    <t>WEERAHANDI HIMALI DR.</t>
  </si>
  <si>
    <t>E0388273</t>
  </si>
  <si>
    <t>ALBERTINI ELIZABETH STREICKER</t>
  </si>
  <si>
    <t>AlbertiniElizabeth</t>
  </si>
  <si>
    <t>ALBERTINI ELIZABETH DR.</t>
  </si>
  <si>
    <t>E0356137</t>
  </si>
  <si>
    <t>STRAUSS DANIELLE SAVITSKY</t>
  </si>
  <si>
    <t>STRAUSS DANIELLE</t>
  </si>
  <si>
    <t>BERNSTEIN DANIEL</t>
  </si>
  <si>
    <t>1125 CRESCENT DR</t>
  </si>
  <si>
    <t>HANNA MATTHEW DR.</t>
  </si>
  <si>
    <t>BRANDSTADTER RACHEL DR.</t>
  </si>
  <si>
    <t>FACQUE ALEXANDER</t>
  </si>
  <si>
    <t>E0321155</t>
  </si>
  <si>
    <t>MAYER VICTORIA LEE</t>
  </si>
  <si>
    <t>MayerVictoria</t>
  </si>
  <si>
    <t>MAYER VICTORIA</t>
  </si>
  <si>
    <t>E0369598</t>
  </si>
  <si>
    <t>ALIKAKOS MARIA</t>
  </si>
  <si>
    <t>ALIKAKOS MARIA DR.</t>
  </si>
  <si>
    <t>E0343138</t>
  </si>
  <si>
    <t>PARAMASIVAM SRINIVASAN</t>
  </si>
  <si>
    <t>SrinivasanParamasivam</t>
  </si>
  <si>
    <t>PARAMASIVAM SRINIVASAN DR.</t>
  </si>
  <si>
    <t>1000 10TH AVE # 10G</t>
  </si>
  <si>
    <t>E0132812</t>
  </si>
  <si>
    <t>SCLAFANI ANTHONY PAUL MD</t>
  </si>
  <si>
    <t>AnthonySclafani</t>
  </si>
  <si>
    <t>SCLAFANI ANTHONY DR.</t>
  </si>
  <si>
    <t>E0336676</t>
  </si>
  <si>
    <t>DUDKIEWICZ MICHAEL</t>
  </si>
  <si>
    <t>MichaelDudkiewicz</t>
  </si>
  <si>
    <t>DUDKIEWICZ MICHAEL DR.</t>
  </si>
  <si>
    <t>E0162086</t>
  </si>
  <si>
    <t>LESSER JONATHAN BAIRD MD</t>
  </si>
  <si>
    <t>JonathanLesser</t>
  </si>
  <si>
    <t>LESSER, JONATHAN</t>
  </si>
  <si>
    <t>E0108450</t>
  </si>
  <si>
    <t>SAYED HOSAM ALDIN MD</t>
  </si>
  <si>
    <t>HosamSayed</t>
  </si>
  <si>
    <t>SAYED HOSAM</t>
  </si>
  <si>
    <t>E0104982</t>
  </si>
  <si>
    <t>COLLINS MEGAN ELIZABETH MD</t>
  </si>
  <si>
    <t>MeganCollins</t>
  </si>
  <si>
    <t>COLLINS MEGAN DR.</t>
  </si>
  <si>
    <t>E0321788</t>
  </si>
  <si>
    <t>MARK KATHERINE</t>
  </si>
  <si>
    <t>KatherineMark</t>
  </si>
  <si>
    <t>MARK KATHERINE DR.</t>
  </si>
  <si>
    <t>E0290328</t>
  </si>
  <si>
    <t>VIA MICHAEL</t>
  </si>
  <si>
    <t>MichaelVia</t>
  </si>
  <si>
    <t>VIA MICHAEL DR.</t>
  </si>
  <si>
    <t>VIA MICHAEL A</t>
  </si>
  <si>
    <t>E0297036</t>
  </si>
  <si>
    <t>GUTTIKONDA LAKSHMINARAYANA</t>
  </si>
  <si>
    <t>LakshminarayanaGuttikonda</t>
  </si>
  <si>
    <t>GUTTIKONDA LAKSHMINARAYANA DR.</t>
  </si>
  <si>
    <t>E0125222</t>
  </si>
  <si>
    <t>ZEWDE MULUBRHAN</t>
  </si>
  <si>
    <t>MulubrhanZewde</t>
  </si>
  <si>
    <t>ShahinGharib</t>
  </si>
  <si>
    <t>E0083453</t>
  </si>
  <si>
    <t>LEE RICHARD MD</t>
  </si>
  <si>
    <t>CPMC PH 1-137</t>
  </si>
  <si>
    <t>E0119493</t>
  </si>
  <si>
    <t>MYERSON MERLE MD</t>
  </si>
  <si>
    <t>MerleMyerson</t>
  </si>
  <si>
    <t>MYERSON MERLE DR.</t>
  </si>
  <si>
    <t>E0203998</t>
  </si>
  <si>
    <t>TRANBAUGH ROBERT F         MD</t>
  </si>
  <si>
    <t>RobertTranbaugh</t>
  </si>
  <si>
    <t>TRANBAUGH ROBERT</t>
  </si>
  <si>
    <t>TRANBAUGH ROBERT FREDERICK</t>
  </si>
  <si>
    <t>DOWNSTATE MED CTR</t>
  </si>
  <si>
    <t>E0089611</t>
  </si>
  <si>
    <t>ZIMBLER MARC</t>
  </si>
  <si>
    <t>MarcZimbler</t>
  </si>
  <si>
    <t>BIMC ENT</t>
  </si>
  <si>
    <t>E0031878</t>
  </si>
  <si>
    <t>BUKHAROVICH INNA F MD</t>
  </si>
  <si>
    <t>InnaBukharovich</t>
  </si>
  <si>
    <t>BUKHAROVICH INNA DR.</t>
  </si>
  <si>
    <t>E0204816</t>
  </si>
  <si>
    <t>POMRANTZ ANDREW STUART     MD</t>
  </si>
  <si>
    <t>AndrewPomrantz</t>
  </si>
  <si>
    <t>POMRANTZ ANDREW</t>
  </si>
  <si>
    <t>DEPT OF PED RM 21</t>
  </si>
  <si>
    <t>YaChang</t>
  </si>
  <si>
    <t>E0050686</t>
  </si>
  <si>
    <t>FRANCIS MICHELLE Y MD</t>
  </si>
  <si>
    <t>MichelleFrancis</t>
  </si>
  <si>
    <t>FRANCIS MICHELLE</t>
  </si>
  <si>
    <t>E0298641</t>
  </si>
  <si>
    <t>GAVERAS GEORGIA</t>
  </si>
  <si>
    <t>GeorgiaGaveras</t>
  </si>
  <si>
    <t>GAVERAS GEORGIA DR.</t>
  </si>
  <si>
    <t>432 WEST 58TH</t>
  </si>
  <si>
    <t>E0203945</t>
  </si>
  <si>
    <t>ANKOLA PRATIBHA A          MD</t>
  </si>
  <si>
    <t>PratibhaAnkola</t>
  </si>
  <si>
    <t>ANKOLA PRATIBHA DR.</t>
  </si>
  <si>
    <t>OLOM PHYSICIANS</t>
  </si>
  <si>
    <t>E0125082</t>
  </si>
  <si>
    <t>LAROCHE DANIEL MD</t>
  </si>
  <si>
    <t>DanielLaroche</t>
  </si>
  <si>
    <t>LAROCHE DANIEL</t>
  </si>
  <si>
    <t>21543 JAMAICA AVE</t>
  </si>
  <si>
    <t>MR.ORIRACKOVSKY</t>
  </si>
  <si>
    <t>RACKOVSKY ORI MR.</t>
  </si>
  <si>
    <t>E0050088</t>
  </si>
  <si>
    <t>GUZMAN IDA CARTASANO</t>
  </si>
  <si>
    <t>GuzmanIda</t>
  </si>
  <si>
    <t>GUZMAN IDA</t>
  </si>
  <si>
    <t>E0301011</t>
  </si>
  <si>
    <t>NEWMAN CARA BRISTOL RPA</t>
  </si>
  <si>
    <t>NewmanCara</t>
  </si>
  <si>
    <t>NEWMAN CARA</t>
  </si>
  <si>
    <t>E0326199</t>
  </si>
  <si>
    <t>MALIK RAJESH KUMAR</t>
  </si>
  <si>
    <t>MALIK RAJESH DR.</t>
  </si>
  <si>
    <t>CROTEAU RYAN</t>
  </si>
  <si>
    <t>GRIFFETH KARLI</t>
  </si>
  <si>
    <t>707 S JEFFERSON ST</t>
  </si>
  <si>
    <t>ROANOKE</t>
  </si>
  <si>
    <t>ROBINS DANIEL DR.</t>
  </si>
  <si>
    <t>1 GUSTAVE L LEVY PL, DEPARTMENT OF PATHOLOGY - BOX 1194</t>
  </si>
  <si>
    <t>AHMED MUHAMMAD</t>
  </si>
  <si>
    <t>AVADHANI VAIDEHI</t>
  </si>
  <si>
    <t>PATHOLOGY AND LABORATORY MEDICINE EMORY, ROOM H183, 1364 CLIFTON ROAD NE</t>
  </si>
  <si>
    <t>E0329664</t>
  </si>
  <si>
    <t>LIN ZHENG</t>
  </si>
  <si>
    <t>E0421651</t>
  </si>
  <si>
    <t>OHAGAN ANDREW H</t>
  </si>
  <si>
    <t>O'HAGAN ANDREW DR.</t>
  </si>
  <si>
    <t>E0447667</t>
  </si>
  <si>
    <t>FINN ALYSSA JILL</t>
  </si>
  <si>
    <t>FINN ALYSSA</t>
  </si>
  <si>
    <t>MANGUERRA MARK CONSTANTINE DR.</t>
  </si>
  <si>
    <t>24035 THREE NOTCH RD</t>
  </si>
  <si>
    <t>HOLLYWOOD</t>
  </si>
  <si>
    <t>CUMMINGS DUSTIN DR.</t>
  </si>
  <si>
    <t>E0439321</t>
  </si>
  <si>
    <t>FEDELE PIERGIUSEPPE</t>
  </si>
  <si>
    <t>FEDELE PIERGIUSEPPE DR.</t>
  </si>
  <si>
    <t>E0436544</t>
  </si>
  <si>
    <t>FAN GAVIN G</t>
  </si>
  <si>
    <t>FAN GAVIN DR.</t>
  </si>
  <si>
    <t>TSUANG ANGELA</t>
  </si>
  <si>
    <t>1249 PARK AVE</t>
  </si>
  <si>
    <t>E0359224</t>
  </si>
  <si>
    <t>WANG SHENG</t>
  </si>
  <si>
    <t>WANG SHENG DR.</t>
  </si>
  <si>
    <t>E0140866</t>
  </si>
  <si>
    <t>EDANO ALBERT E MD</t>
  </si>
  <si>
    <t>ALBERTEDANO</t>
  </si>
  <si>
    <t>EDANO ALBERT</t>
  </si>
  <si>
    <t>1963 ROCKAWAY PKWY</t>
  </si>
  <si>
    <t>E0121693</t>
  </si>
  <si>
    <t>MURPHY BARBARA THERESE MD</t>
  </si>
  <si>
    <t>MurphyBarbara</t>
  </si>
  <si>
    <t>MURPHY BARBARA</t>
  </si>
  <si>
    <t>E0089199</t>
  </si>
  <si>
    <t>PATEL VIDYA</t>
  </si>
  <si>
    <t>PatelVidya</t>
  </si>
  <si>
    <t>ELSA MATHEWS SHERIN DR.</t>
  </si>
  <si>
    <t>JenkinsTamikia</t>
  </si>
  <si>
    <t>JENKINS TAMIKIA MS.</t>
  </si>
  <si>
    <t>YaacoubYoussef</t>
  </si>
  <si>
    <t>YAACOUB YOUSSEF DR.</t>
  </si>
  <si>
    <t>350 ENGLE STREET</t>
  </si>
  <si>
    <t>E0076427</t>
  </si>
  <si>
    <t>SUSSER RHONA S</t>
  </si>
  <si>
    <t>RHONASUSSER</t>
  </si>
  <si>
    <t>SUSSER RHONA DR.</t>
  </si>
  <si>
    <t>E0061438</t>
  </si>
  <si>
    <t>SHEIN RUVAN MD</t>
  </si>
  <si>
    <t>RUVANSHEIN</t>
  </si>
  <si>
    <t>SHEIN RUVAN DR.</t>
  </si>
  <si>
    <t>145 E 32ND ST # 303</t>
  </si>
  <si>
    <t>E0402451</t>
  </si>
  <si>
    <t>HOPS PAMELA</t>
  </si>
  <si>
    <t>PamelaHops</t>
  </si>
  <si>
    <t>HOPS PAMELA DR.</t>
  </si>
  <si>
    <t>245 5TH AVE</t>
  </si>
  <si>
    <t>E0122567</t>
  </si>
  <si>
    <t>AVOLIO JOCK A MD</t>
  </si>
  <si>
    <t>JockAvolio</t>
  </si>
  <si>
    <t>AVOLIO JOCK</t>
  </si>
  <si>
    <t>E0095242</t>
  </si>
  <si>
    <t>PAL CARMEN ELENA MD</t>
  </si>
  <si>
    <t>CarmenPal</t>
  </si>
  <si>
    <t>PAL CARMEN DR.</t>
  </si>
  <si>
    <t>DanielPolatsch</t>
  </si>
  <si>
    <t>POLATSCH DANIEL DR.</t>
  </si>
  <si>
    <t>321 E 34TH ST, FIRST FLOOR</t>
  </si>
  <si>
    <t>E0180785</t>
  </si>
  <si>
    <t>DRESCHER IRA</t>
  </si>
  <si>
    <t>IraDrescher</t>
  </si>
  <si>
    <t>E0279251</t>
  </si>
  <si>
    <t>WINSTON ARNOLD             MD</t>
  </si>
  <si>
    <t>ArnoldWinston</t>
  </si>
  <si>
    <t>WINSTON ARNOLD DR.</t>
  </si>
  <si>
    <t>425 E 58TH ST APT 18B</t>
  </si>
  <si>
    <t>JasonLightbody</t>
  </si>
  <si>
    <t>E0004670</t>
  </si>
  <si>
    <t>ANAND OM</t>
  </si>
  <si>
    <t>OmAnand</t>
  </si>
  <si>
    <t>FIRST AVENUE AT 16TH</t>
  </si>
  <si>
    <t>E0024854</t>
  </si>
  <si>
    <t>SEVERT WILLIAM L MD</t>
  </si>
  <si>
    <t>WilliamSevert</t>
  </si>
  <si>
    <t>SEVERT WILLIAM</t>
  </si>
  <si>
    <t>E0144550</t>
  </si>
  <si>
    <t>FANTL JOHN ANDREW</t>
  </si>
  <si>
    <t>JohnFantl</t>
  </si>
  <si>
    <t>FANTL JOHN MR.</t>
  </si>
  <si>
    <t>FANTL JOHN ANDREW MD</t>
  </si>
  <si>
    <t>E0111600</t>
  </si>
  <si>
    <t>POLSKY BRUCE W MD</t>
  </si>
  <si>
    <t>BrucePolsky</t>
  </si>
  <si>
    <t>POLSKY BRUCE DR.</t>
  </si>
  <si>
    <t>E0269579</t>
  </si>
  <si>
    <t>SCHWIMMER ALAN M DDS</t>
  </si>
  <si>
    <t>AlanSchwimmer</t>
  </si>
  <si>
    <t>SCHWIMMER ALAN DR.</t>
  </si>
  <si>
    <t>16TH ST &amp; FIRST AVE</t>
  </si>
  <si>
    <t>PeggyTrainor-O'Malley</t>
  </si>
  <si>
    <t>TRAINOR-O'MALLEY PEGGY MR.</t>
  </si>
  <si>
    <t>1111 AMSTERDAM AVE, M2 SUITE A</t>
  </si>
  <si>
    <t>E0123937</t>
  </si>
  <si>
    <t>PREBLICK CHRISTINE E MD</t>
  </si>
  <si>
    <t>ChristinePreblick-Salib</t>
  </si>
  <si>
    <t>PREBLICK CHRISTINE</t>
  </si>
  <si>
    <t>E0335764</t>
  </si>
  <si>
    <t>TRUONG SUSAN</t>
  </si>
  <si>
    <t>TruongSusan</t>
  </si>
  <si>
    <t>TRUONG SUSAN MISS</t>
  </si>
  <si>
    <t>E0439931</t>
  </si>
  <si>
    <t>TOMITA SHANNON AKEMI</t>
  </si>
  <si>
    <t>TOMITA SHANNON</t>
  </si>
  <si>
    <t>E0428759</t>
  </si>
  <si>
    <t>BLUSTEIN IRINA</t>
  </si>
  <si>
    <t>BLUSTEIN IRINA DR.</t>
  </si>
  <si>
    <t>E0371883</t>
  </si>
  <si>
    <t>BELYAKOVA ULYANA</t>
  </si>
  <si>
    <t>BelyakovaUlyana</t>
  </si>
  <si>
    <t>E0348324</t>
  </si>
  <si>
    <t>RUIZ KENNETH J</t>
  </si>
  <si>
    <t>RUIZ KENNETH</t>
  </si>
  <si>
    <t>AWAN AZAZ</t>
  </si>
  <si>
    <t>3444 KOSSUTH AVE, 1ST FLOOR</t>
  </si>
  <si>
    <t>MANNAN ABDUL</t>
  </si>
  <si>
    <t>515 W 59TH ST APT 28H</t>
  </si>
  <si>
    <t>MAMUN RIFAT</t>
  </si>
  <si>
    <t>E0269188</t>
  </si>
  <si>
    <t>SANDLER RAYMOND MD</t>
  </si>
  <si>
    <t>SandlerRaymond</t>
  </si>
  <si>
    <t>SANDLER RAYMOND DR.</t>
  </si>
  <si>
    <t>5 E 98TH ST FL 2 # 1174</t>
  </si>
  <si>
    <t>E0423790</t>
  </si>
  <si>
    <t>OLIVARES MALDONADO GONZALO</t>
  </si>
  <si>
    <t>OLIVARES MALDONADO GONZALO DR.</t>
  </si>
  <si>
    <t>235 PORT RICHMOND AVE</t>
  </si>
  <si>
    <t>E0444437</t>
  </si>
  <si>
    <t>HAYES GABRIELA ASHE</t>
  </si>
  <si>
    <t>HAYES GABRIELA</t>
  </si>
  <si>
    <t>E0445531</t>
  </si>
  <si>
    <t>GARG NUPUR</t>
  </si>
  <si>
    <t>DUDEKONDA SUDHIR</t>
  </si>
  <si>
    <t>5 E 98TH ST FL 15, BOX 1259</t>
  </si>
  <si>
    <t>E0209343</t>
  </si>
  <si>
    <t>SERLE JANET BARBRA         MD</t>
  </si>
  <si>
    <t>SerleJanet</t>
  </si>
  <si>
    <t>SERLE JANET DR.</t>
  </si>
  <si>
    <t>E0315296</t>
  </si>
  <si>
    <t>DE LA HOZ ELAINE ACNP</t>
  </si>
  <si>
    <t>DeLaHozElaine</t>
  </si>
  <si>
    <t>DE LA HOZ ELAINE</t>
  </si>
  <si>
    <t>530 1ST AVE STE 4J</t>
  </si>
  <si>
    <t>E0452657</t>
  </si>
  <si>
    <t>KLIPPER KAITLIN</t>
  </si>
  <si>
    <t>DR.KAITLINKLIPPER</t>
  </si>
  <si>
    <t>KLIPPER KAITLIN DR.</t>
  </si>
  <si>
    <t>E0090978</t>
  </si>
  <si>
    <t>KHABYEH SHAYA</t>
  </si>
  <si>
    <t>SHAYAKHABYEH</t>
  </si>
  <si>
    <t>KHABYEH-HASBANI SHAYA</t>
  </si>
  <si>
    <t>645 CRAWFORD AVE</t>
  </si>
  <si>
    <t>E0329501</t>
  </si>
  <si>
    <t>SAMRA FARAJ</t>
  </si>
  <si>
    <t>FARAJSAMRA</t>
  </si>
  <si>
    <t>SAMRA FARAJ DR.</t>
  </si>
  <si>
    <t>E0362889</t>
  </si>
  <si>
    <t>SHEYNSHTEYN YELENA Y</t>
  </si>
  <si>
    <t>YELENASHEYNSHTEYN</t>
  </si>
  <si>
    <t>SHEYNSHTEYN YELENA</t>
  </si>
  <si>
    <t>320 E 94TH ST</t>
  </si>
  <si>
    <t>E0121132</t>
  </si>
  <si>
    <t>DY-GUILLAUME MARIE EVE MD</t>
  </si>
  <si>
    <t>MARIEDY-GUILLAUME</t>
  </si>
  <si>
    <t>DY-GUILLAUME MARIE DR.</t>
  </si>
  <si>
    <t>KEVINCHARLOTTEN</t>
  </si>
  <si>
    <t>E0303526</t>
  </si>
  <si>
    <t>CATTAFI PAUL DAVID</t>
  </si>
  <si>
    <t>PAULCATTAFI</t>
  </si>
  <si>
    <t>CATTAFI PAUL</t>
  </si>
  <si>
    <t>94 OLD SHORT HILLS RD</t>
  </si>
  <si>
    <t>E0099498</t>
  </si>
  <si>
    <t>BLECHMAN MICHAEL BRUCE MD</t>
  </si>
  <si>
    <t>MICHAELBLECHMAN</t>
  </si>
  <si>
    <t>BLECHMAN MICHAEL DR.</t>
  </si>
  <si>
    <t>STE 3E</t>
  </si>
  <si>
    <t>E0090082</t>
  </si>
  <si>
    <t>LATKANY PAUL ALEXANDER MD</t>
  </si>
  <si>
    <t>PAULLATKANY</t>
  </si>
  <si>
    <t>LATKANY PAUL</t>
  </si>
  <si>
    <t>NYEEI OPTH PC</t>
  </si>
  <si>
    <t>E0160886</t>
  </si>
  <si>
    <t>JAGODA ANDY SAM MD</t>
  </si>
  <si>
    <t>JagodaAndy</t>
  </si>
  <si>
    <t>JAGODA ANDY</t>
  </si>
  <si>
    <t>ONE GUSTAVE L LEVY</t>
  </si>
  <si>
    <t>E0206242</t>
  </si>
  <si>
    <t>BENKOV KEITH J             MD</t>
  </si>
  <si>
    <t>BenkovKeith</t>
  </si>
  <si>
    <t>BENKOV KEITH</t>
  </si>
  <si>
    <t>E0062364</t>
  </si>
  <si>
    <t>LACINA SUSAN</t>
  </si>
  <si>
    <t>SusanLacina</t>
  </si>
  <si>
    <t>E0274461</t>
  </si>
  <si>
    <t>CLARE FREDERICK S          MD</t>
  </si>
  <si>
    <t>FrederickClare</t>
  </si>
  <si>
    <t>CLARE FREDERICK DR.</t>
  </si>
  <si>
    <t>MauricioMurillo,MD</t>
  </si>
  <si>
    <t>(917) 509-6825</t>
  </si>
  <si>
    <t>mmurillo@medcarepc.com</t>
  </si>
  <si>
    <t>WilderRucker,MD</t>
  </si>
  <si>
    <t>E0366888</t>
  </si>
  <si>
    <t>RUCKER WILDER</t>
  </si>
  <si>
    <t>(718) 490-0738</t>
  </si>
  <si>
    <t>ruckerster@gmail.com</t>
  </si>
  <si>
    <t>RUCKER WILDER DR.</t>
  </si>
  <si>
    <t>363 ROUTE 111</t>
  </si>
  <si>
    <t>JosephSacco,MD</t>
  </si>
  <si>
    <t>(917) 327-8569</t>
  </si>
  <si>
    <t>JSACCO@bronxleb.org</t>
  </si>
  <si>
    <t>E0258011</t>
  </si>
  <si>
    <t>CHIU CHIN TING             MD</t>
  </si>
  <si>
    <t>CHINCHIU</t>
  </si>
  <si>
    <t>CHIU CHIN</t>
  </si>
  <si>
    <t>E0225114</t>
  </si>
  <si>
    <t>HARRISON THEODORE JOEL     MD</t>
  </si>
  <si>
    <t>THEODOREHARRISON</t>
  </si>
  <si>
    <t>HARRISON THEODORE</t>
  </si>
  <si>
    <t>E0273216</t>
  </si>
  <si>
    <t>EHRLICH PAUL M             MD</t>
  </si>
  <si>
    <t>PAULEHRLICH</t>
  </si>
  <si>
    <t>EHRLICH PAUL</t>
  </si>
  <si>
    <t>BELLEVUE HOSPITAL</t>
  </si>
  <si>
    <t>E0254963</t>
  </si>
  <si>
    <t>CHARNEY RICHARD E          MD</t>
  </si>
  <si>
    <t>RICHARDCHARNEY</t>
  </si>
  <si>
    <t>E0102964</t>
  </si>
  <si>
    <t>SLOAN BARRY</t>
  </si>
  <si>
    <t>BARRYSLOAN</t>
  </si>
  <si>
    <t>SLOAN BARRY DR.</t>
  </si>
  <si>
    <t>SLOAN BARRY STUART</t>
  </si>
  <si>
    <t>205 W 54TH ST APT 1B</t>
  </si>
  <si>
    <t>E0222335</t>
  </si>
  <si>
    <t>MARCOVICI ELI              MD</t>
  </si>
  <si>
    <t>ELIMARCOVICI</t>
  </si>
  <si>
    <t>MARCOVICI ELI</t>
  </si>
  <si>
    <t>E0133420</t>
  </si>
  <si>
    <t>THOMAS GARY PAUL MD</t>
  </si>
  <si>
    <t>GARYTHOMAS</t>
  </si>
  <si>
    <t>THOMAS GARY DR.</t>
  </si>
  <si>
    <t>E0115556</t>
  </si>
  <si>
    <t>VAIL RONA</t>
  </si>
  <si>
    <t>RONAVAIL</t>
  </si>
  <si>
    <t>E0370083</t>
  </si>
  <si>
    <t>CHIDA RAKHSHAN M</t>
  </si>
  <si>
    <t>RAKHSHANCHIDA</t>
  </si>
  <si>
    <t>CHIDA RAKHSHAN DR.</t>
  </si>
  <si>
    <t>E0228032</t>
  </si>
  <si>
    <t>MAKER HOWARD               MD</t>
  </si>
  <si>
    <t>HOWARDMAKER</t>
  </si>
  <si>
    <t>MAKER HOWARD</t>
  </si>
  <si>
    <t>E0179141</t>
  </si>
  <si>
    <t>BRODY DAVID W  MD</t>
  </si>
  <si>
    <t>DAVIDBRODY</t>
  </si>
  <si>
    <t>ALEXWEI</t>
  </si>
  <si>
    <t>E0111171</t>
  </si>
  <si>
    <t>NERETIN NICOLE</t>
  </si>
  <si>
    <t>NICOLENERETIN</t>
  </si>
  <si>
    <t>NERETIN NICOLE DR.</t>
  </si>
  <si>
    <t>E0039918</t>
  </si>
  <si>
    <t>ROTMAN MICHAEL MD</t>
  </si>
  <si>
    <t>MICHAELROTMAN</t>
  </si>
  <si>
    <t>ROTMAN MICHAEL</t>
  </si>
  <si>
    <t>290 CENTRAL AVE</t>
  </si>
  <si>
    <t>E0427845</t>
  </si>
  <si>
    <t>STEIN SIDNEY K</t>
  </si>
  <si>
    <t>SIDNEYSTEIN</t>
  </si>
  <si>
    <t>STEIN SIDNEY DR.</t>
  </si>
  <si>
    <t>E0212981</t>
  </si>
  <si>
    <t>GEREAU HADDON SEZELLE</t>
  </si>
  <si>
    <t>SEZELLEGEREAU-HADDON</t>
  </si>
  <si>
    <t>GEREAU-HADDON SEZELLE DR.</t>
  </si>
  <si>
    <t>E0224705</t>
  </si>
  <si>
    <t>EFREMOV MARY H             MD</t>
  </si>
  <si>
    <t>MARYEFREMOV</t>
  </si>
  <si>
    <t>EFREMOV MARY DR.</t>
  </si>
  <si>
    <t>240 1ST AVE</t>
  </si>
  <si>
    <t>E0208514</t>
  </si>
  <si>
    <t>DELSON JEFFREY             MD</t>
  </si>
  <si>
    <t>JEFFREYDELSON</t>
  </si>
  <si>
    <t>DELSON JEFFREY DR.</t>
  </si>
  <si>
    <t>E0314038</t>
  </si>
  <si>
    <t>MIN INSUNG</t>
  </si>
  <si>
    <t>INSUNGMIN</t>
  </si>
  <si>
    <t>E0278025</t>
  </si>
  <si>
    <t>HIRSCHMAN RICHARD J FACP   MD</t>
  </si>
  <si>
    <t>RICHARDHIRSCHMAN</t>
  </si>
  <si>
    <t>HIRSCHMAN RICHARD DR.</t>
  </si>
  <si>
    <t>HIRSCHMAN RICHARD JAMES</t>
  </si>
  <si>
    <t>247 3RD AVE RM 401</t>
  </si>
  <si>
    <t>E0187247</t>
  </si>
  <si>
    <t>ST LUKES/RSVLT HOSP</t>
  </si>
  <si>
    <t>E0019976</t>
  </si>
  <si>
    <t>ASLAM AHMED KAMAL MD</t>
  </si>
  <si>
    <t>AHMADASLAM</t>
  </si>
  <si>
    <t>ASLAM AHMAD</t>
  </si>
  <si>
    <t>9408 FLATLANDS AVE</t>
  </si>
  <si>
    <t>COLBERG THERESA</t>
  </si>
  <si>
    <t>BETH ISRAEL MEDICAL CENTER FIRST AVENUE AT 16 STREET</t>
  </si>
  <si>
    <t>BARNETTE RYAN</t>
  </si>
  <si>
    <t>ShahNiraj</t>
  </si>
  <si>
    <t>SHAH NIRAJ</t>
  </si>
  <si>
    <t>1841 CENTRAL PARK AVE APT 19G</t>
  </si>
  <si>
    <t>E0391452</t>
  </si>
  <si>
    <t>GORDON-MALLETT ELOISE MIEKLE</t>
  </si>
  <si>
    <t>Gordon-MalletEloiseMiekle</t>
  </si>
  <si>
    <t>GORDON-MALLETT ELOISE</t>
  </si>
  <si>
    <t>1000 10TH AVE LOWR LEVEL</t>
  </si>
  <si>
    <t>E0050990</t>
  </si>
  <si>
    <t>AIVAZI ZAZA JOSHUA MD</t>
  </si>
  <si>
    <t>AivaziZaza</t>
  </si>
  <si>
    <t>AIVAZI ZAZA</t>
  </si>
  <si>
    <t>34 41 45TH ST</t>
  </si>
  <si>
    <t>E0333808</t>
  </si>
  <si>
    <t>THUM FREDERICK LORENZ III</t>
  </si>
  <si>
    <t>ThumFrederick</t>
  </si>
  <si>
    <t>THUM FREDERICK DR.</t>
  </si>
  <si>
    <t>ChoiMark</t>
  </si>
  <si>
    <t>E0210536</t>
  </si>
  <si>
    <t>ASBELL PENNY A             MD</t>
  </si>
  <si>
    <t>AsbellPenny</t>
  </si>
  <si>
    <t>ASBELL PENNY</t>
  </si>
  <si>
    <t>E0366062</t>
  </si>
  <si>
    <t>ILLUZZI ELLA ANN</t>
  </si>
  <si>
    <t>ILLuzziElla</t>
  </si>
  <si>
    <t>ILLUZZI ELLA MISS</t>
  </si>
  <si>
    <t>E0389613</t>
  </si>
  <si>
    <t>SUOZZO DANA LYNN</t>
  </si>
  <si>
    <t>SuozzoDana</t>
  </si>
  <si>
    <t>SUOZZO DANA DR.</t>
  </si>
  <si>
    <t>KooTimothy</t>
  </si>
  <si>
    <t>E0312003</t>
  </si>
  <si>
    <t>KENT REBECCA</t>
  </si>
  <si>
    <t>KentRebecca</t>
  </si>
  <si>
    <t>KENT REBECCA DR.</t>
  </si>
  <si>
    <t>5 E 98TH ST FL 2</t>
  </si>
  <si>
    <t>E0396014</t>
  </si>
  <si>
    <t>BERKOWITZ RACHEL</t>
  </si>
  <si>
    <t>BerkowitzRachel</t>
  </si>
  <si>
    <t>BERKOWITZ RACHEL DR.</t>
  </si>
  <si>
    <t>E0157524</t>
  </si>
  <si>
    <t>KINSELLA GREGORY PATRICK MD</t>
  </si>
  <si>
    <t>GREGORYKINSELLA</t>
  </si>
  <si>
    <t>KINSELLA GREGORY</t>
  </si>
  <si>
    <t>TOWER ANESTHESIA SVC</t>
  </si>
  <si>
    <t>E0162395</t>
  </si>
  <si>
    <t>MOSS DOUGLAS G MD</t>
  </si>
  <si>
    <t>DOUGLASMOSS</t>
  </si>
  <si>
    <t>MOSS DOUGLAS</t>
  </si>
  <si>
    <t>E0099840</t>
  </si>
  <si>
    <t>MARUYAMA NANCY CHIYO MD</t>
  </si>
  <si>
    <t>NancyMaruyama</t>
  </si>
  <si>
    <t>MARUYAMA NANCY DR.</t>
  </si>
  <si>
    <t>E0183305</t>
  </si>
  <si>
    <t>LEBER ROBERT J MD</t>
  </si>
  <si>
    <t>RobertLeber</t>
  </si>
  <si>
    <t>LEBER ROBERT</t>
  </si>
  <si>
    <t>LEBER ROBERT JOHN</t>
  </si>
  <si>
    <t>ST LUKES ROOSVLT GRP</t>
  </si>
  <si>
    <t>E0288645</t>
  </si>
  <si>
    <t>CONCERT CATHERINE MARIE NP</t>
  </si>
  <si>
    <t>CatherineConcert</t>
  </si>
  <si>
    <t>CONCERT CATHERINE MS.</t>
  </si>
  <si>
    <t>E0164656</t>
  </si>
  <si>
    <t>JEW EDWARD  MD</t>
  </si>
  <si>
    <t>EdwardJew</t>
  </si>
  <si>
    <t>JEW EDWARD</t>
  </si>
  <si>
    <t>E0063409</t>
  </si>
  <si>
    <t>SHIN EDWARD JOHN MD</t>
  </si>
  <si>
    <t>EdwardShin</t>
  </si>
  <si>
    <t>SHIN EDWARD</t>
  </si>
  <si>
    <t>E0297523</t>
  </si>
  <si>
    <t>CHAANINE ANTOINE HENI</t>
  </si>
  <si>
    <t>CHAANINE ANTOINE</t>
  </si>
  <si>
    <t>ZaveriVaibhav</t>
  </si>
  <si>
    <t>E0342100</t>
  </si>
  <si>
    <t>TROP CYNTHIA SIRES</t>
  </si>
  <si>
    <t>TROP CYNTHIA DR.</t>
  </si>
  <si>
    <t>E0366806</t>
  </si>
  <si>
    <t>FITTERMAN JENNIFER ANNE</t>
  </si>
  <si>
    <t>FittermanJennifer</t>
  </si>
  <si>
    <t>FITTERMAN JENNIFER MRS.</t>
  </si>
  <si>
    <t>325 PARK AVE FL 2</t>
  </si>
  <si>
    <t>E0366655</t>
  </si>
  <si>
    <t>BANSILAL SAMEER</t>
  </si>
  <si>
    <t>BansilalSameer</t>
  </si>
  <si>
    <t>BANSILAL SAMEER DR.</t>
  </si>
  <si>
    <t>E0416645</t>
  </si>
  <si>
    <t>GOLDFINGER JUDITH</t>
  </si>
  <si>
    <t>GOLDFINGER JUDITH DR.</t>
  </si>
  <si>
    <t>E0409833</t>
  </si>
  <si>
    <t>LALA MOINAKHTAR</t>
  </si>
  <si>
    <t>LalaMoinM.</t>
  </si>
  <si>
    <t>LALA MOINAKHTAR DR.</t>
  </si>
  <si>
    <t>600 NORTHERN BLVD HO</t>
  </si>
  <si>
    <t>E0264129</t>
  </si>
  <si>
    <t>BROWN DONALD B MD</t>
  </si>
  <si>
    <t>DONALDBROWN</t>
  </si>
  <si>
    <t>BROWN DONALD DR.</t>
  </si>
  <si>
    <t>E0292865</t>
  </si>
  <si>
    <t>MALOUTAS ELENI</t>
  </si>
  <si>
    <t>ELENIMALOUTAS</t>
  </si>
  <si>
    <t>MALOUTAS ELENI DR.</t>
  </si>
  <si>
    <t>MALOUTAS ELENI MD</t>
  </si>
  <si>
    <t>E0362891</t>
  </si>
  <si>
    <t>TRAENKNER JESSICA J</t>
  </si>
  <si>
    <t>MRS.JESSICATRAENKNER</t>
  </si>
  <si>
    <t>TRAENKNER JESSICA MRS.</t>
  </si>
  <si>
    <t>E0369303</t>
  </si>
  <si>
    <t>SKOVRAN DAVID</t>
  </si>
  <si>
    <t>MR.DAVIDSKOVRAN</t>
  </si>
  <si>
    <t>SKOVRAN DAVID MR.</t>
  </si>
  <si>
    <t>E0087351</t>
  </si>
  <si>
    <t>MEDINA LEONEL DELOS REYES</t>
  </si>
  <si>
    <t>LEONELMEDINA</t>
  </si>
  <si>
    <t>MEDINA LEONEL</t>
  </si>
  <si>
    <t>E0312015</t>
  </si>
  <si>
    <t>MURRAY CAROLINA</t>
  </si>
  <si>
    <t>MurrayCarolina</t>
  </si>
  <si>
    <t>MURRAY CAROLINA DR.</t>
  </si>
  <si>
    <t>91-20 ATLANTIC AVENUE</t>
  </si>
  <si>
    <t>E0195628</t>
  </si>
  <si>
    <t>PIERRO HUGO                MD</t>
  </si>
  <si>
    <t>HUGOPIERRO</t>
  </si>
  <si>
    <t>PIERRO HUGO</t>
  </si>
  <si>
    <t>408 W 57TH ST APT 1L</t>
  </si>
  <si>
    <t>CHUN-KITCHAN</t>
  </si>
  <si>
    <t>E0307362</t>
  </si>
  <si>
    <t>LEMPERT LEONID</t>
  </si>
  <si>
    <t>LEONIDLEMPERT</t>
  </si>
  <si>
    <t>LEMPERT LEONID DR.</t>
  </si>
  <si>
    <t>E0229597</t>
  </si>
  <si>
    <t>KIRPEKAR MADHURI           MD</t>
  </si>
  <si>
    <t>MADHURIKIRPEKAR</t>
  </si>
  <si>
    <t>KIRPEKAR MADHURI</t>
  </si>
  <si>
    <t>E0063706</t>
  </si>
  <si>
    <t>WONG LILY MD</t>
  </si>
  <si>
    <t>LILYWONG</t>
  </si>
  <si>
    <t>WONG LILY</t>
  </si>
  <si>
    <t>PhanThy</t>
  </si>
  <si>
    <t>PHAN THY</t>
  </si>
  <si>
    <t>LascanoRheonell</t>
  </si>
  <si>
    <t>LASCANO RHEONEIL MR.</t>
  </si>
  <si>
    <t>1190 FIFTH AVENUE, ONE GUSTAVE L. LEVY PLACE</t>
  </si>
  <si>
    <t>E0080465</t>
  </si>
  <si>
    <t>ROSS MICHAEL JOHN MD</t>
  </si>
  <si>
    <t>ROSS MICHAEL</t>
  </si>
  <si>
    <t>E0229990</t>
  </si>
  <si>
    <t>KESSELMAN PAUL DPM</t>
  </si>
  <si>
    <t>KESSELMAN PAUL DR.</t>
  </si>
  <si>
    <t>PAUL KESSELMAN DPM</t>
  </si>
  <si>
    <t>59-55 47TH AVE</t>
  </si>
  <si>
    <t>E0079529</t>
  </si>
  <si>
    <t>NAING ZAW MD</t>
  </si>
  <si>
    <t>NaingZaw</t>
  </si>
  <si>
    <t>NAING ZAW</t>
  </si>
  <si>
    <t>E0214849</t>
  </si>
  <si>
    <t>SHETH NITIN D              MD</t>
  </si>
  <si>
    <t>NITINSHETH</t>
  </si>
  <si>
    <t>SHETH NITIN DR.</t>
  </si>
  <si>
    <t>R MEDICAL BLDG S 20</t>
  </si>
  <si>
    <t>E0198826</t>
  </si>
  <si>
    <t>FLECKMAN ADRIENNE M MD</t>
  </si>
  <si>
    <t>ADRIENNEFLECKMAN</t>
  </si>
  <si>
    <t>FLECKMAN ADRIENNE</t>
  </si>
  <si>
    <t>E0058040</t>
  </si>
  <si>
    <t>KOSHY SANJANA CHERIAN</t>
  </si>
  <si>
    <t>SANJANAKOSHY</t>
  </si>
  <si>
    <t>KOSHY SANJANA</t>
  </si>
  <si>
    <t>KOSHY SANJANA CHERIAN MD</t>
  </si>
  <si>
    <t>E0402458</t>
  </si>
  <si>
    <t>HARTZOG SARAH</t>
  </si>
  <si>
    <t>SARAHHARTZOG</t>
  </si>
  <si>
    <t>HARTZOG SARAH DR.</t>
  </si>
  <si>
    <t>E0356289</t>
  </si>
  <si>
    <t>CRUZ GISELLE</t>
  </si>
  <si>
    <t>GiselleCruz</t>
  </si>
  <si>
    <t>E0386276</t>
  </si>
  <si>
    <t>WU AMY</t>
  </si>
  <si>
    <t>AmyWu</t>
  </si>
  <si>
    <t>WU AMY DR.</t>
  </si>
  <si>
    <t>96-10 METROPOLITAN A</t>
  </si>
  <si>
    <t>E0344522</t>
  </si>
  <si>
    <t>VIRIYA ELIZABETH</t>
  </si>
  <si>
    <t>ElizabethViriya</t>
  </si>
  <si>
    <t>VIRIYA ELIZABETH DR.</t>
  </si>
  <si>
    <t>VIRIYA ELIZABETH TING-TING</t>
  </si>
  <si>
    <t>E0344547</t>
  </si>
  <si>
    <t>ROUSSO JOSEPH J</t>
  </si>
  <si>
    <t>JosephRousso</t>
  </si>
  <si>
    <t>ROUSSO JOSEPH DR.</t>
  </si>
  <si>
    <t>E0318720</t>
  </si>
  <si>
    <t>KOZLOVSKY CHAIM</t>
  </si>
  <si>
    <t>ChaimKozlovsky</t>
  </si>
  <si>
    <t>E0052712</t>
  </si>
  <si>
    <t>JOHN-HULL CARLOTA H</t>
  </si>
  <si>
    <t>CarlotaJohn-Hull</t>
  </si>
  <si>
    <t>JOHN-HULL CARLOTA DR.</t>
  </si>
  <si>
    <t>JOHN-HULL CARLOTA HERMINIA</t>
  </si>
  <si>
    <t>1149 MYRTLE AVE # 55</t>
  </si>
  <si>
    <t>E0295684</t>
  </si>
  <si>
    <t>AGNANT JOANNE MICHELE</t>
  </si>
  <si>
    <t>JoanneAgnant</t>
  </si>
  <si>
    <t>AGNANT JOANNE</t>
  </si>
  <si>
    <t>E0009881</t>
  </si>
  <si>
    <t>GORIG AVIVA DANNIELLE MD</t>
  </si>
  <si>
    <t>AvivaGorig</t>
  </si>
  <si>
    <t>GORIG AVIVA</t>
  </si>
  <si>
    <t>E0338528</t>
  </si>
  <si>
    <t>COLLETTI MARIO CHARLES</t>
  </si>
  <si>
    <t>MarioColletti</t>
  </si>
  <si>
    <t>COLLETTI MARIO DR.</t>
  </si>
  <si>
    <t>JasonBell</t>
  </si>
  <si>
    <t>SHAH SHAILJA</t>
  </si>
  <si>
    <t>505 PARNASSUS AVE</t>
  </si>
  <si>
    <t>E0373019</t>
  </si>
  <si>
    <t>GARCIA ANDREW MICHAEL</t>
  </si>
  <si>
    <t>GARCIA ANDREW</t>
  </si>
  <si>
    <t>E0084305</t>
  </si>
  <si>
    <t>ODIN JOSEPH ALAN MD</t>
  </si>
  <si>
    <t>OdinJoseph</t>
  </si>
  <si>
    <t>ODIN JOSEPH</t>
  </si>
  <si>
    <t>E0060545</t>
  </si>
  <si>
    <t>IZAAK AVYTAL R</t>
  </si>
  <si>
    <t>AVYTALIZAAK</t>
  </si>
  <si>
    <t>IZAAK AVYTAL</t>
  </si>
  <si>
    <t>E0082118</t>
  </si>
  <si>
    <t>PERRY ANDREA</t>
  </si>
  <si>
    <t>ANDREAPERRY</t>
  </si>
  <si>
    <t>E0357362</t>
  </si>
  <si>
    <t>CRISMALE JAMES FRANCIS</t>
  </si>
  <si>
    <t>DR.JAMESCRISMALE</t>
  </si>
  <si>
    <t>CRISMALE JAMES DR.</t>
  </si>
  <si>
    <t>E0353106</t>
  </si>
  <si>
    <t>TAO CHENGUANG TONY</t>
  </si>
  <si>
    <t>CHENGUANGTAO</t>
  </si>
  <si>
    <t>TAO CHENGUANG DR.</t>
  </si>
  <si>
    <t>E0442623</t>
  </si>
  <si>
    <t>DELPHIN JULIE</t>
  </si>
  <si>
    <t>DR.JULIEDELPHIN</t>
  </si>
  <si>
    <t>DELPHIN JULIE DR.</t>
  </si>
  <si>
    <t>MS.SONIAPATHANIA</t>
  </si>
  <si>
    <t>PATHANIA SONIA MS.</t>
  </si>
  <si>
    <t>1111 AMSTERDAM AVE, CLARK 7 MEDICINE DEPARTMENT</t>
  </si>
  <si>
    <t>E0288888</t>
  </si>
  <si>
    <t>CILMI SALVATORE ANTHONY</t>
  </si>
  <si>
    <t>CilmiSalvatore</t>
  </si>
  <si>
    <t>CILMI SALVATORE DR.</t>
  </si>
  <si>
    <t>CILMI SALVATORE ANTHONY MD</t>
  </si>
  <si>
    <t>E0283217</t>
  </si>
  <si>
    <t>YOUSAF ALI</t>
  </si>
  <si>
    <t>AliYousaf</t>
  </si>
  <si>
    <t>ALI YOUSAF DR.</t>
  </si>
  <si>
    <t>186 JORALEMON STREET</t>
  </si>
  <si>
    <t>E0012896</t>
  </si>
  <si>
    <t>FOWKES MARY MD</t>
  </si>
  <si>
    <t>FowkesMary</t>
  </si>
  <si>
    <t>FOWKES MARY</t>
  </si>
  <si>
    <t>FOWKES MARY ELIZABETH</t>
  </si>
  <si>
    <t>E0036705</t>
  </si>
  <si>
    <t>NAGI CHANDANDEEP S MD</t>
  </si>
  <si>
    <t>NAGI CHANDANDEEP</t>
  </si>
  <si>
    <t>E0278309</t>
  </si>
  <si>
    <t>MANTIA PHILIP ANTHONY      MD</t>
  </si>
  <si>
    <t>MantiaPhilip</t>
  </si>
  <si>
    <t>MANTIA PHILIP</t>
  </si>
  <si>
    <t>E0260194</t>
  </si>
  <si>
    <t>SOM PETER M MD</t>
  </si>
  <si>
    <t>SomPeter</t>
  </si>
  <si>
    <t>SOM PETER</t>
  </si>
  <si>
    <t>SOM PETER MYRON MD</t>
  </si>
  <si>
    <t>E0177694</t>
  </si>
  <si>
    <t>SUNG MAX MD</t>
  </si>
  <si>
    <t>SungMax</t>
  </si>
  <si>
    <t>SUNG MAX</t>
  </si>
  <si>
    <t>ASSOC NEOPLASTIC DIS</t>
  </si>
  <si>
    <t>E0234544</t>
  </si>
  <si>
    <t>URIBARRI JAIME V           MD</t>
  </si>
  <si>
    <t>UribarriJaime</t>
  </si>
  <si>
    <t>URIBARRI JAIME</t>
  </si>
  <si>
    <t>E0095532</t>
  </si>
  <si>
    <t>BICKELL NINA ANDREW MD</t>
  </si>
  <si>
    <t>BickellNina</t>
  </si>
  <si>
    <t>BICKELL NINA</t>
  </si>
  <si>
    <t>E0100032</t>
  </si>
  <si>
    <t>LEVINE MICHAEL ALAN MD</t>
  </si>
  <si>
    <t>MICHAELLEVINE</t>
  </si>
  <si>
    <t>LEVINE MICHAEL</t>
  </si>
  <si>
    <t>LAKE SUCCESS UROLOGICAL ASSOC</t>
  </si>
  <si>
    <t>E0010175</t>
  </si>
  <si>
    <t>FORSYTH BEVERLY ALISON MD</t>
  </si>
  <si>
    <t>BEVERLYFORSYTH</t>
  </si>
  <si>
    <t>FORSYTH BEVERLY DR.</t>
  </si>
  <si>
    <t>5 E 98TH ST # STREET-B</t>
  </si>
  <si>
    <t>E0310986</t>
  </si>
  <si>
    <t>CADAG STEFAN</t>
  </si>
  <si>
    <t>StefanCadag</t>
  </si>
  <si>
    <t>1497 OCEAN PKWY</t>
  </si>
  <si>
    <t>E0392514</t>
  </si>
  <si>
    <t>HAMZEI-SICHANI FARID</t>
  </si>
  <si>
    <t>ZHANG DONGWEI</t>
  </si>
  <si>
    <t>1 GUSTAVE L LEVY PL, DEPARTMENT OF PATHOLOGY,MOUNT SINAI SCHOOL OF MEDICINE</t>
  </si>
  <si>
    <t>E0401912</t>
  </si>
  <si>
    <t>VARVARA MARIA</t>
  </si>
  <si>
    <t>E0087414</t>
  </si>
  <si>
    <t>GILGOFF HUGH L MD</t>
  </si>
  <si>
    <t>GilgoffHugh</t>
  </si>
  <si>
    <t>GILGOFF HUGH</t>
  </si>
  <si>
    <t>E0248915</t>
  </si>
  <si>
    <t>SACHER MICHAEL MD</t>
  </si>
  <si>
    <t>SacherMichael</t>
  </si>
  <si>
    <t>SACHER MICHAEL</t>
  </si>
  <si>
    <t>E0299263</t>
  </si>
  <si>
    <t>MAR YIN</t>
  </si>
  <si>
    <t>MarYin</t>
  </si>
  <si>
    <t>E0044878</t>
  </si>
  <si>
    <t>SCHIRRIPA JOHN PIERO MD</t>
  </si>
  <si>
    <t>SchirripaJohn</t>
  </si>
  <si>
    <t>SCHIRRIPA JOHN</t>
  </si>
  <si>
    <t>E0330528</t>
  </si>
  <si>
    <t>RANA MEENAKSHI MEHROTRA</t>
  </si>
  <si>
    <t>RanaMeenakshi</t>
  </si>
  <si>
    <t>RANA MEENAKSHI DR.</t>
  </si>
  <si>
    <t>E0354398</t>
  </si>
  <si>
    <t>STORK CAITLIN E</t>
  </si>
  <si>
    <t>STORK CAITLIN</t>
  </si>
  <si>
    <t>STORK CAITLIN ELIZABETH</t>
  </si>
  <si>
    <t>E0363796</t>
  </si>
  <si>
    <t>SARVA HARINI</t>
  </si>
  <si>
    <t>SARVA HARINI DR.</t>
  </si>
  <si>
    <t>10 UNION SQ E # 5K</t>
  </si>
  <si>
    <t>SAMUELSON STEFAN DR.</t>
  </si>
  <si>
    <t>ONE GUSTAVE L LEVY PLACE, BOX 1010, DEPARTMENT OF ANESTHESIOLOGY, KCC 8TH FLOOR</t>
  </si>
  <si>
    <t>CHUN DAVID DR.</t>
  </si>
  <si>
    <t>1000 E MOUNTAIN BLVD</t>
  </si>
  <si>
    <t>WILKES BARRE</t>
  </si>
  <si>
    <t>E0419347</t>
  </si>
  <si>
    <t>ANSARI FARRUKH</t>
  </si>
  <si>
    <t>ANSARI FARRUKH DR.</t>
  </si>
  <si>
    <t>ANSARI FARRUKH AZIZ</t>
  </si>
  <si>
    <t>WANG HAILUN</t>
  </si>
  <si>
    <t>NATTELL NOAH DR.</t>
  </si>
  <si>
    <t>10 UNION SQ E, SUITE 2D</t>
  </si>
  <si>
    <t>E0094273</t>
  </si>
  <si>
    <t>KEMPIN SANFORD J MD</t>
  </si>
  <si>
    <t>SANFORDKEMPIN</t>
  </si>
  <si>
    <t>KEMPIN SANFORD DR.</t>
  </si>
  <si>
    <t>E0297303</t>
  </si>
  <si>
    <t>PADI ABHILASH</t>
  </si>
  <si>
    <t>ABHILASHPADI</t>
  </si>
  <si>
    <t>PADI ABHILASH R MD</t>
  </si>
  <si>
    <t>E0204811</t>
  </si>
  <si>
    <t>BABITZ LISA ELLEN          MD</t>
  </si>
  <si>
    <t>LISABABITZ</t>
  </si>
  <si>
    <t>BABITZ LISA</t>
  </si>
  <si>
    <t>ARAUZ ALAN</t>
  </si>
  <si>
    <t>E0431442</t>
  </si>
  <si>
    <t>BELL DANIEL STEPHEN</t>
  </si>
  <si>
    <t>BELL DANIEL</t>
  </si>
  <si>
    <t>OVERLEY SAMUEL DR.</t>
  </si>
  <si>
    <t>10515 PEMBRIAR CIR</t>
  </si>
  <si>
    <t>PATCHETT MATTHEW</t>
  </si>
  <si>
    <t>515 W 59TH ST APT 23B</t>
  </si>
  <si>
    <t>E0030349</t>
  </si>
  <si>
    <t>TRUBELJA NENAD MD</t>
  </si>
  <si>
    <t>TrubeljaNenad</t>
  </si>
  <si>
    <t>TRUBELJA NENAD</t>
  </si>
  <si>
    <t>E0361834</t>
  </si>
  <si>
    <t>VAINSTEIN ZLATA</t>
  </si>
  <si>
    <t>VAINSTEIN ZLATA MRS.</t>
  </si>
  <si>
    <t>2882 W 15TH ST LOWR LEVEL</t>
  </si>
  <si>
    <t>E0373828</t>
  </si>
  <si>
    <t>SHAH ANKIT R</t>
  </si>
  <si>
    <t>SHAH ANKIT</t>
  </si>
  <si>
    <t>FIRST AVE AT 16 STREET</t>
  </si>
  <si>
    <t>BEN-MOSHE SIVAN DR.</t>
  </si>
  <si>
    <t>1821 CLIFTON RD NE</t>
  </si>
  <si>
    <t>E0343461</t>
  </si>
  <si>
    <t>HELBIG SINA</t>
  </si>
  <si>
    <t>HelbigSina</t>
  </si>
  <si>
    <t>ALHADDAD MARWAN</t>
  </si>
  <si>
    <t>6071 W OUTER DR, TRANSITIONAL YEAR COORDINATOR OF DEPARTMENT OF IM</t>
  </si>
  <si>
    <t>DETROIT</t>
  </si>
  <si>
    <t>NOWACKI DOUGLAS DR.</t>
  </si>
  <si>
    <t>1000 10TH AVE, ROOM 2A-05</t>
  </si>
  <si>
    <t>STEMPLER LEWEN DR.</t>
  </si>
  <si>
    <t>1 GUSTAVE L LEVY PL, BOX 1141, MOUNT SINAI MEDICAL CENTER</t>
  </si>
  <si>
    <t>AndrewsElizabeth</t>
  </si>
  <si>
    <t>ANDREWS ELIZABETH DR.</t>
  </si>
  <si>
    <t>411 WEST 114TH STREET</t>
  </si>
  <si>
    <t>E0363467</t>
  </si>
  <si>
    <t>HAWKINS DENIS LAWRENCE</t>
  </si>
  <si>
    <t>HawkinsDenis</t>
  </si>
  <si>
    <t>HAWKINS DENIS MR.</t>
  </si>
  <si>
    <t>E0375636</t>
  </si>
  <si>
    <t>FEUILLE ELIZABETH J</t>
  </si>
  <si>
    <t>FEUILLE ELIZABETH</t>
  </si>
  <si>
    <t>E0371345</t>
  </si>
  <si>
    <t>DIBELIUS GREGORY SCOTT</t>
  </si>
  <si>
    <t>DIBELIUS GREGORY DR.</t>
  </si>
  <si>
    <t>E0383583</t>
  </si>
  <si>
    <t>GOODMAN ERIC</t>
  </si>
  <si>
    <t>GoodmanEric</t>
  </si>
  <si>
    <t>GOODMAN ERIC ROBERT</t>
  </si>
  <si>
    <t>LO GRACE</t>
  </si>
  <si>
    <t>GurgesNabiel</t>
  </si>
  <si>
    <t>GURGES NABIEL</t>
  </si>
  <si>
    <t>AloferdovaKarina</t>
  </si>
  <si>
    <t>ALOFERDOVA KARINA</t>
  </si>
  <si>
    <t>E0402499</t>
  </si>
  <si>
    <t>KOMINOS VIVIAN</t>
  </si>
  <si>
    <t>KominosVivianA.</t>
  </si>
  <si>
    <t>KOMINOS VIVIAN DR.</t>
  </si>
  <si>
    <t>E0075573</t>
  </si>
  <si>
    <t>SIMS STEPHANIE E MD</t>
  </si>
  <si>
    <t>SimsStephanie</t>
  </si>
  <si>
    <t>SIMS STEPHANIE</t>
  </si>
  <si>
    <t>E0186642</t>
  </si>
  <si>
    <t>DANAHER JULIE ANN          MD</t>
  </si>
  <si>
    <t>DanaherJulie</t>
  </si>
  <si>
    <t>DANAHER JULIE DR.</t>
  </si>
  <si>
    <t>DANAHER JULIE ANN</t>
  </si>
  <si>
    <t>E0205130</t>
  </si>
  <si>
    <t>YAP MARCELO JANETTE        MD</t>
  </si>
  <si>
    <t>Yap-MarceloJanette</t>
  </si>
  <si>
    <t>MARCELO JANETTE DR.</t>
  </si>
  <si>
    <t>8452 63RD AVE</t>
  </si>
  <si>
    <t>E0341473</t>
  </si>
  <si>
    <t>SHAH ANKUR</t>
  </si>
  <si>
    <t>9408 FLATLANDS AVE STE 1</t>
  </si>
  <si>
    <t>BACOW TERRI DR.</t>
  </si>
  <si>
    <t>E0408607</t>
  </si>
  <si>
    <t>MIR SADAF NASIM</t>
  </si>
  <si>
    <t>MIR SADAF DR.</t>
  </si>
  <si>
    <t>206 CORNELIA ST STE 307</t>
  </si>
  <si>
    <t>E0454368</t>
  </si>
  <si>
    <t>CHEN JENMING</t>
  </si>
  <si>
    <t>CHEN JENMING DR.</t>
  </si>
  <si>
    <t>LEVINE DANIEL DR.</t>
  </si>
  <si>
    <t>MOSHMAN ANDREW</t>
  </si>
  <si>
    <t>136 KANE ST</t>
  </si>
  <si>
    <t>PETTEE BRETT MS.</t>
  </si>
  <si>
    <t>601 CHANNELSIDE WALK WAY, #1130</t>
  </si>
  <si>
    <t>E0433473</t>
  </si>
  <si>
    <t>BARON ELVERA L</t>
  </si>
  <si>
    <t>BARON ELVERA DR.</t>
  </si>
  <si>
    <t>E0326962</t>
  </si>
  <si>
    <t>GALLEGO MARIEL</t>
  </si>
  <si>
    <t>GallegoMarielA.</t>
  </si>
  <si>
    <t>GALLEGO MARIEL DR.</t>
  </si>
  <si>
    <t>GALLEGO MARIEL A</t>
  </si>
  <si>
    <t>E0399476</t>
  </si>
  <si>
    <t>HO YAN WOOD</t>
  </si>
  <si>
    <t>HO YAN DR.</t>
  </si>
  <si>
    <t>79- 01 BROADWAY</t>
  </si>
  <si>
    <t>ELMHERST</t>
  </si>
  <si>
    <t>E0361608</t>
  </si>
  <si>
    <t>JOUN YOOHEE</t>
  </si>
  <si>
    <t>JounYoohee</t>
  </si>
  <si>
    <t>E0446170</t>
  </si>
  <si>
    <t>BADAWY KARIM A</t>
  </si>
  <si>
    <t>BADAWY KARIM DR.</t>
  </si>
  <si>
    <t>MAZUERA MESIA SANTIAGO</t>
  </si>
  <si>
    <t>353 E 17TH ST APT 14H</t>
  </si>
  <si>
    <t>BIEDERMAN DEREK DR.</t>
  </si>
  <si>
    <t>HALLORAN MARY BRIGID</t>
  </si>
  <si>
    <t>E0420216</t>
  </si>
  <si>
    <t>PARK JENNIFER</t>
  </si>
  <si>
    <t>PARK JENNIFER DR.</t>
  </si>
  <si>
    <t>COHEN ABIGAIL DR.</t>
  </si>
  <si>
    <t>GraviusSuzann</t>
  </si>
  <si>
    <t>GRAVIUS SUZANN MRS.</t>
  </si>
  <si>
    <t>800 WESTCHESTER AVE # 511</t>
  </si>
  <si>
    <t>E0161814</t>
  </si>
  <si>
    <t>HASSAN YASMIN AKBAR  MD</t>
  </si>
  <si>
    <t>YASMINHASSAN</t>
  </si>
  <si>
    <t>HASSAN YASMIN</t>
  </si>
  <si>
    <t>SLRHC PEDIATRICS CLI</t>
  </si>
  <si>
    <t>E0139893</t>
  </si>
  <si>
    <t>WEICHENBERG DEBORAH MD</t>
  </si>
  <si>
    <t>DEBORAHWEICHENBERG</t>
  </si>
  <si>
    <t>WEICHENBERG DEBORAH</t>
  </si>
  <si>
    <t>E0088809</t>
  </si>
  <si>
    <t>COBBLAH VINCENT QUAO MD</t>
  </si>
  <si>
    <t>VINCENTCOBBLAH</t>
  </si>
  <si>
    <t>COBBLAH VINCENT</t>
  </si>
  <si>
    <t>E0020378</t>
  </si>
  <si>
    <t>PANDYA AMY ARUN MD</t>
  </si>
  <si>
    <t>MS.AMYPANDYA</t>
  </si>
  <si>
    <t>PANDYA AMY MS.</t>
  </si>
  <si>
    <t>E0042244</t>
  </si>
  <si>
    <t>KLEINMAN YEHUDA E MD</t>
  </si>
  <si>
    <t>YEHUDAKLEINMAN</t>
  </si>
  <si>
    <t>KLEINMAN YEHUDA</t>
  </si>
  <si>
    <t>7815 ELIOT AVE</t>
  </si>
  <si>
    <t>E0080582</t>
  </si>
  <si>
    <t>GARFIELD KAREN LISA KODSI MD</t>
  </si>
  <si>
    <t>KARENGARFIELD</t>
  </si>
  <si>
    <t>GARFIELD KAREN</t>
  </si>
  <si>
    <t>1ST AVE@16TH ST</t>
  </si>
  <si>
    <t>E0068019</t>
  </si>
  <si>
    <t>SHU DAVID KA-HING MD PC</t>
  </si>
  <si>
    <t>DAVIDSHU</t>
  </si>
  <si>
    <t>SHU DAVID DR.</t>
  </si>
  <si>
    <t>E0273454</t>
  </si>
  <si>
    <t>ARNETT MARIA F             MD</t>
  </si>
  <si>
    <t>MARIAARNETT</t>
  </si>
  <si>
    <t>ARNETT MARIA DR.</t>
  </si>
  <si>
    <t>ARNETT MARIA F MD</t>
  </si>
  <si>
    <t>409 E 14TH ST STE A</t>
  </si>
  <si>
    <t>E0130664</t>
  </si>
  <si>
    <t>HORNFELD MARK LOUIS DO</t>
  </si>
  <si>
    <t>MarkHornfeld</t>
  </si>
  <si>
    <t>HORNFELD MARK DR.</t>
  </si>
  <si>
    <t>207 E 23RD ST</t>
  </si>
  <si>
    <t>E0219141</t>
  </si>
  <si>
    <t>SANFILIPPO DENISE M MD     PC</t>
  </si>
  <si>
    <t>DeniseSanfilippo</t>
  </si>
  <si>
    <t>SANFILIPPO DENISE</t>
  </si>
  <si>
    <t>11 RALPH PL STE 311</t>
  </si>
  <si>
    <t>E0242630</t>
  </si>
  <si>
    <t>JEFFREY B CHICK MD PC</t>
  </si>
  <si>
    <t>JeffreyGadsden</t>
  </si>
  <si>
    <t>CHICK JEFFREY</t>
  </si>
  <si>
    <t>5586 LEGIONNAIRE DR</t>
  </si>
  <si>
    <t>E0132345</t>
  </si>
  <si>
    <t>TIERSTEN AMY DIANE MD</t>
  </si>
  <si>
    <t>TierstenAmy</t>
  </si>
  <si>
    <t>TIERSTEN AMY</t>
  </si>
  <si>
    <t>E0104156</t>
  </si>
  <si>
    <t>BERLAND DORIS GARCIA</t>
  </si>
  <si>
    <t>BerlandDoris</t>
  </si>
  <si>
    <t>BERLAND DORIS</t>
  </si>
  <si>
    <t>E0345035</t>
  </si>
  <si>
    <t>ARVELAKIS ANTONIOS</t>
  </si>
  <si>
    <t>ArvelakisAntonios</t>
  </si>
  <si>
    <t>MARTILLO MIGUEL</t>
  </si>
  <si>
    <t>E0444443</t>
  </si>
  <si>
    <t>BERNABE RAMIREZ CAROLINA</t>
  </si>
  <si>
    <t>GUPTA ANJULI</t>
  </si>
  <si>
    <t>E0444644</t>
  </si>
  <si>
    <t>RISO JANICE</t>
  </si>
  <si>
    <t>RISO JANICE DR.</t>
  </si>
  <si>
    <t>HANG ROBERT DR.</t>
  </si>
  <si>
    <t>330 CEDAR ST, TOMPKINS EAST 2</t>
  </si>
  <si>
    <t>E0317127</t>
  </si>
  <si>
    <t>ZELDIS ETTI</t>
  </si>
  <si>
    <t>ZELDIS ETTI DR.</t>
  </si>
  <si>
    <t>1825 EASTCHESTER RD ETTI ZELDIS</t>
  </si>
  <si>
    <t>E0339223</t>
  </si>
  <si>
    <t>WANG EILEEN</t>
  </si>
  <si>
    <t>EileenWang</t>
  </si>
  <si>
    <t>WANG EILEEN DR.</t>
  </si>
  <si>
    <t>235 PARK AVE S FL 2</t>
  </si>
  <si>
    <t>E0344554</t>
  </si>
  <si>
    <t>CAPUTO WILLIAM EDWARD</t>
  </si>
  <si>
    <t>WilliamCaputo</t>
  </si>
  <si>
    <t>CAPUTO WILLIAM DR.</t>
  </si>
  <si>
    <t>E0033547</t>
  </si>
  <si>
    <t>KOTKES HERSCHEL MD</t>
  </si>
  <si>
    <t>HerschelKotkes</t>
  </si>
  <si>
    <t>KOTKES HERSCHEL</t>
  </si>
  <si>
    <t>560 NORTHERN BLVD</t>
  </si>
  <si>
    <t>RounakRahman</t>
  </si>
  <si>
    <t>E0342168</t>
  </si>
  <si>
    <t>WU SIMON</t>
  </si>
  <si>
    <t>SimonWu</t>
  </si>
  <si>
    <t>2100 BARTOW AVE STE 216C</t>
  </si>
  <si>
    <t>E0367265</t>
  </si>
  <si>
    <t>EL-ESHMAWI AHMED MAHMOUD</t>
  </si>
  <si>
    <t>El-EshmawiAhmed</t>
  </si>
  <si>
    <t>EL-ESHMAWI AHMED</t>
  </si>
  <si>
    <t>E0407879</t>
  </si>
  <si>
    <t>ENEKWECHI NONSO EKENE</t>
  </si>
  <si>
    <t>EnekwechiNonso</t>
  </si>
  <si>
    <t>ENEKWECHI NONSO DR.</t>
  </si>
  <si>
    <t>74-03 COMMONWEALTH BLVD</t>
  </si>
  <si>
    <t>BellKerriAnn</t>
  </si>
  <si>
    <t>FastZhanna</t>
  </si>
  <si>
    <t>FAST ZHANNA DR.</t>
  </si>
  <si>
    <t>211 S 9TH ST, SUITE 401</t>
  </si>
  <si>
    <t>E0256952</t>
  </si>
  <si>
    <t>MAHMOOD DAWAR              MD</t>
  </si>
  <si>
    <t>MahmoodDawar</t>
  </si>
  <si>
    <t>MAHMOOD DAWAR</t>
  </si>
  <si>
    <t>MAHMOOD DAWAR MD</t>
  </si>
  <si>
    <t>E0132998</t>
  </si>
  <si>
    <t>DAVIS RENEE LOUISE MD</t>
  </si>
  <si>
    <t>DAVIS RENEE DR.</t>
  </si>
  <si>
    <t>DAVIS RENEE LOUISE</t>
  </si>
  <si>
    <t>E0323474</t>
  </si>
  <si>
    <t>SANON MARTINE</t>
  </si>
  <si>
    <t>MARTINESANON</t>
  </si>
  <si>
    <t>SANON MARTINE DR.</t>
  </si>
  <si>
    <t>E0046934</t>
  </si>
  <si>
    <t>LABOW DANIEL MARK MD</t>
  </si>
  <si>
    <t>LabowDaniel</t>
  </si>
  <si>
    <t>LABOW DANIEL</t>
  </si>
  <si>
    <t>E0041333</t>
  </si>
  <si>
    <t>AMBROSE ANNE F MD</t>
  </si>
  <si>
    <t>AmbroseAnne</t>
  </si>
  <si>
    <t>AMBROSE ANNE DR.</t>
  </si>
  <si>
    <t>E0347139</t>
  </si>
  <si>
    <t>HORTON RODNEY PAUL</t>
  </si>
  <si>
    <t>HortonRodneyPaul</t>
  </si>
  <si>
    <t>HORTON RODNEY DR.</t>
  </si>
  <si>
    <t>3000 N IH 35 STE 700</t>
  </si>
  <si>
    <t>E0341173</t>
  </si>
  <si>
    <t>UYSAL SUZAN</t>
  </si>
  <si>
    <t>UysalSuzan</t>
  </si>
  <si>
    <t>UYSAL SUZAN DR.</t>
  </si>
  <si>
    <t>755 N BROADWAY STE 1</t>
  </si>
  <si>
    <t>E0193229</t>
  </si>
  <si>
    <t>FRIEDMAN LYNN MD</t>
  </si>
  <si>
    <t>FriedmanLynn</t>
  </si>
  <si>
    <t>FRIEDMAN LYNN DR.</t>
  </si>
  <si>
    <t>FRIEDMAN LYNN S MD</t>
  </si>
  <si>
    <t>1176 FIFTH AVE E LEVEL</t>
  </si>
  <si>
    <t>E0007161</t>
  </si>
  <si>
    <t>JONATHAN ZACHARY POTACK</t>
  </si>
  <si>
    <t>POTACK JONATHAN DR.</t>
  </si>
  <si>
    <t>POTACK JONATHAN ZACHARY</t>
  </si>
  <si>
    <t>5 E 98TH ST # 1118</t>
  </si>
  <si>
    <t>PATEL ANANT</t>
  </si>
  <si>
    <t>353 E 17TH ST FL 2, GME</t>
  </si>
  <si>
    <t>HURWITZ MELISSA</t>
  </si>
  <si>
    <t>DUNNING KATHERINE MRS.</t>
  </si>
  <si>
    <t>KAKU MICHELLE</t>
  </si>
  <si>
    <t>O'FLAHERTY JACINTHA</t>
  </si>
  <si>
    <t>E0390460</t>
  </si>
  <si>
    <t>MOROCCO SARAH B</t>
  </si>
  <si>
    <t>MoroccoSarah</t>
  </si>
  <si>
    <t>MOROCCO SARAH</t>
  </si>
  <si>
    <t>E0095413</t>
  </si>
  <si>
    <t>DUBOWSKY JAY JACK MD</t>
  </si>
  <si>
    <t>DubowskyJay</t>
  </si>
  <si>
    <t>DUBOWSKY JAY</t>
  </si>
  <si>
    <t>E0093889</t>
  </si>
  <si>
    <t>SIMPSON WILLIAM LOUIE JR MD</t>
  </si>
  <si>
    <t>SimpsonWilliam</t>
  </si>
  <si>
    <t>SIMPSON WILLIAM</t>
  </si>
  <si>
    <t>E0192239</t>
  </si>
  <si>
    <t>SILLER WALTER F JR MD</t>
  </si>
  <si>
    <t>SillerWalter</t>
  </si>
  <si>
    <t>SILLER WALTER DR.</t>
  </si>
  <si>
    <t>E0239664</t>
  </si>
  <si>
    <t>PADILLA MARIA L            MD</t>
  </si>
  <si>
    <t>PadillaMaria</t>
  </si>
  <si>
    <t>PADILLA MARIA</t>
  </si>
  <si>
    <t>E0218676</t>
  </si>
  <si>
    <t>GOMES JOSEPH ANTHONY       MD</t>
  </si>
  <si>
    <t>GomesJoseph</t>
  </si>
  <si>
    <t>GOMES JOSEPH DR.</t>
  </si>
  <si>
    <t>ANNENBERG 23-95</t>
  </si>
  <si>
    <t>PALANIAPPA NANDINI</t>
  </si>
  <si>
    <t>50 E 98TH ST APT 5A</t>
  </si>
  <si>
    <t>FIGUEROA MELISSA</t>
  </si>
  <si>
    <t>E0377798</t>
  </si>
  <si>
    <t>CLAYTON LINDSAY MARIE</t>
  </si>
  <si>
    <t>ClaytonLindsay</t>
  </si>
  <si>
    <t>CLAYTON LINDSAY</t>
  </si>
  <si>
    <t>E0379090</t>
  </si>
  <si>
    <t>TOFTS RYU PETER HAMBROOK</t>
  </si>
  <si>
    <t>TOFTS RYU DR.</t>
  </si>
  <si>
    <t>E0398740</t>
  </si>
  <si>
    <t>SOBRAL FILIPE ANACLETO</t>
  </si>
  <si>
    <t>SobralFilipe</t>
  </si>
  <si>
    <t>SOBRAL FILIPE DR.</t>
  </si>
  <si>
    <t>CHERNOGUZ ARTUR</t>
  </si>
  <si>
    <t>ONE GUSTAVE L LEVY PLACE, THE MOUNT SINAI HOSPITAL</t>
  </si>
  <si>
    <t>FERRERAS KRYSTAL</t>
  </si>
  <si>
    <t>21940 RYAN RD</t>
  </si>
  <si>
    <t>E0365152</t>
  </si>
  <si>
    <t>BUTE-PARKER SYLVIA ANITA</t>
  </si>
  <si>
    <t>Bute-ParkerSylvia</t>
  </si>
  <si>
    <t>BUTE-PARKER SYLVIA MS.</t>
  </si>
  <si>
    <t>E0404596</t>
  </si>
  <si>
    <t>YAGHOUBIAN SANAM</t>
  </si>
  <si>
    <t>YAGHOUBIAN SANAM DR.</t>
  </si>
  <si>
    <t>MarseilleBeatrice</t>
  </si>
  <si>
    <t>PRAEGER JONATHAN DR.</t>
  </si>
  <si>
    <t>10 AMSTERDAM AVENUE</t>
  </si>
  <si>
    <t>E0363666</t>
  </si>
  <si>
    <t>VERINA DANIEL J</t>
  </si>
  <si>
    <t>VerinaDaniel</t>
  </si>
  <si>
    <t>VERINA DANIEL MR.</t>
  </si>
  <si>
    <t>HAND JONATHAN</t>
  </si>
  <si>
    <t>1514 JEFFERSON HWY</t>
  </si>
  <si>
    <t>NEW ORLEANS</t>
  </si>
  <si>
    <t>ROCHE KEELIN MS.</t>
  </si>
  <si>
    <t>3274 WASHINGTON ST, APT 1</t>
  </si>
  <si>
    <t>JAMAICA PLAIN</t>
  </si>
  <si>
    <t>TRIPATHI NIDHI</t>
  </si>
  <si>
    <t>E0443040</t>
  </si>
  <si>
    <t>MURPHY KATHERINE</t>
  </si>
  <si>
    <t>MURPHY KATHERINE LEE</t>
  </si>
  <si>
    <t>GOEL SANGITA DR.</t>
  </si>
  <si>
    <t>ZARZOUR HEKMAT DR.</t>
  </si>
  <si>
    <t>1468 MADISON AVE FL 8, ANNENBERG BUILDING</t>
  </si>
  <si>
    <t>RamonPimentel</t>
  </si>
  <si>
    <t>(718) 803-7300</t>
  </si>
  <si>
    <t>rampim99@aol.com???</t>
  </si>
  <si>
    <t>GavriilAgaon</t>
  </si>
  <si>
    <t>E0075736</t>
  </si>
  <si>
    <t>AGAON GAVRIIL MD</t>
  </si>
  <si>
    <t>(718) 997-0100</t>
  </si>
  <si>
    <t>agaongavriil@yahoo.com</t>
  </si>
  <si>
    <t>AGAON GAVRIIL</t>
  </si>
  <si>
    <t>E0115474</t>
  </si>
  <si>
    <t>ROSEN CAROLYN MICHELLE MD</t>
  </si>
  <si>
    <t>RosenCarolyn</t>
  </si>
  <si>
    <t>ROSEN CAROLYN</t>
  </si>
  <si>
    <t>E0107830</t>
  </si>
  <si>
    <t>SALVATORE MARY M MD</t>
  </si>
  <si>
    <t>SalvatoreMary</t>
  </si>
  <si>
    <t>SALVATORE MARY DR.</t>
  </si>
  <si>
    <t>E0232409</t>
  </si>
  <si>
    <t>MOROS DANIEL AARON         MD</t>
  </si>
  <si>
    <t>MOROS DANIEL DR.</t>
  </si>
  <si>
    <t>E0114069</t>
  </si>
  <si>
    <t>LEE DAVID S MD</t>
  </si>
  <si>
    <t>LeeDavid</t>
  </si>
  <si>
    <t>E0363281</t>
  </si>
  <si>
    <t>GALLI CLAIRE</t>
  </si>
  <si>
    <t>GalliClaire</t>
  </si>
  <si>
    <t>E0306574</t>
  </si>
  <si>
    <t>KAMATH AMITA</t>
  </si>
  <si>
    <t>KamathAmita</t>
  </si>
  <si>
    <t>KAMATH AMITA DR.</t>
  </si>
  <si>
    <t>E0343415</t>
  </si>
  <si>
    <t>EFFRON CHARLES</t>
  </si>
  <si>
    <t>EFFRON CHARLES DR.</t>
  </si>
  <si>
    <t>E0370837</t>
  </si>
  <si>
    <t>TRELLES THORNE MARIA DEL PILAR</t>
  </si>
  <si>
    <t>TRELLES THORNE M. PILAR DR.</t>
  </si>
  <si>
    <t>MoranCarllyne</t>
  </si>
  <si>
    <t>E0368483</t>
  </si>
  <si>
    <t>SANON DAVID R</t>
  </si>
  <si>
    <t>SanonDavid</t>
  </si>
  <si>
    <t>SANON DAVID MR.</t>
  </si>
  <si>
    <t>SANON DAVID RICHARD</t>
  </si>
  <si>
    <t>5 E 98TH ST FL 9 BOX 1188</t>
  </si>
  <si>
    <t>SundatovaYuliyaV.</t>
  </si>
  <si>
    <t>SUNDATOVA YULIYA MISS</t>
  </si>
  <si>
    <t>325 WEST 15TH ST,ROOM C 47, BETH ISRAEL COMPREHENSIVE CANCER CENTERDEPT OF RADIATIO</t>
  </si>
  <si>
    <t>E0427375</t>
  </si>
  <si>
    <t>JAFRI SYED</t>
  </si>
  <si>
    <t>JAFRI SYED ABDUL MIKRAM DR.</t>
  </si>
  <si>
    <t>JAFRI SYED MIKRAM</t>
  </si>
  <si>
    <t>BASU ANIRBAN DR.</t>
  </si>
  <si>
    <t>2621 UNION ST, APT. 1C</t>
  </si>
  <si>
    <t>BLAIR GISELLE DR.</t>
  </si>
  <si>
    <t>925 BRANCH CT, STE. 201</t>
  </si>
  <si>
    <t>GROVETOWN</t>
  </si>
  <si>
    <t>E0435062</t>
  </si>
  <si>
    <t>TUNICK DAVID WADE</t>
  </si>
  <si>
    <t>TUNICK DAVID DR.</t>
  </si>
  <si>
    <t>JOOMUN DEELSHAD</t>
  </si>
  <si>
    <t>1229 CHESTNUT ST, ADELPHIA HOUSE, APT 419</t>
  </si>
  <si>
    <t>CHRISTMAN MITALEE DR.</t>
  </si>
  <si>
    <t>ISLAM MARJAN</t>
  </si>
  <si>
    <t>GOTTLIEB LINDSEY</t>
  </si>
  <si>
    <t>360 E 65TH ST, APT 12D</t>
  </si>
  <si>
    <t>LIM GEOFFREY DR.</t>
  </si>
  <si>
    <t>720 STOCKBRIDGE DR</t>
  </si>
  <si>
    <t>PEEKE STEPHEN</t>
  </si>
  <si>
    <t>501 RIDGEVIEW DR</t>
  </si>
  <si>
    <t>HOCKESSIN</t>
  </si>
  <si>
    <t>LeakeandWattsServicesInc.</t>
  </si>
  <si>
    <t>E0299097</t>
  </si>
  <si>
    <t>LEAKE AND WATTS INC SEMP</t>
  </si>
  <si>
    <t>BelindaMConway</t>
  </si>
  <si>
    <t>E0366905</t>
  </si>
  <si>
    <t>WEBER LORI MARIE</t>
  </si>
  <si>
    <t>WeberLori</t>
  </si>
  <si>
    <t>WEBER LORI MRS.</t>
  </si>
  <si>
    <t>E0378520</t>
  </si>
  <si>
    <t>PATIL NINAD MOHAN</t>
  </si>
  <si>
    <t>PatilNinad</t>
  </si>
  <si>
    <t>PATIL NINAD</t>
  </si>
  <si>
    <t>E0324314</t>
  </si>
  <si>
    <t>KORUTH JACOB</t>
  </si>
  <si>
    <t>KoruthJacob</t>
  </si>
  <si>
    <t>KORUTH JACOB DR.</t>
  </si>
  <si>
    <t>KORUTH JACOB SAM</t>
  </si>
  <si>
    <t>FastNoam</t>
  </si>
  <si>
    <t>E0324712</t>
  </si>
  <si>
    <t>LEONG JENNIFER MD</t>
  </si>
  <si>
    <t>LeongJennifer</t>
  </si>
  <si>
    <t>LEONG JENNIFER</t>
  </si>
  <si>
    <t>E0329303</t>
  </si>
  <si>
    <t>FEDA ANDREW MD</t>
  </si>
  <si>
    <t>FEDA ANDREW</t>
  </si>
  <si>
    <t>DronamrajuDeepti</t>
  </si>
  <si>
    <t>DRONAMRAJU DEEPTI DR.</t>
  </si>
  <si>
    <t>22 S GREENE ST</t>
  </si>
  <si>
    <t>StephensJonathan</t>
  </si>
  <si>
    <t>STEPHENS JONATHAN</t>
  </si>
  <si>
    <t>1430 TULANE AVE, DEPT. OF SURGERY BOX SL-22</t>
  </si>
  <si>
    <t>E0437690</t>
  </si>
  <si>
    <t>HELLER JOSHUA</t>
  </si>
  <si>
    <t>HELLER JOSHUA ADAM</t>
  </si>
  <si>
    <t>GLUCK JOSHUA</t>
  </si>
  <si>
    <t>3525 LOMA VISTA RD, SUITE A</t>
  </si>
  <si>
    <t>VENTURA</t>
  </si>
  <si>
    <t>E0094193</t>
  </si>
  <si>
    <t>LEE HEEOCK</t>
  </si>
  <si>
    <t>LeeHeeock</t>
  </si>
  <si>
    <t>E0364234</t>
  </si>
  <si>
    <t>TRACY BRIDGET ANNE</t>
  </si>
  <si>
    <t>BRIDGETTRACY</t>
  </si>
  <si>
    <t>TRACY BRIDGET DR.</t>
  </si>
  <si>
    <t>E0273846</t>
  </si>
  <si>
    <t>PEPE ANTHONY J             MD</t>
  </si>
  <si>
    <t>ANTHONYPEPE</t>
  </si>
  <si>
    <t>PEPE ANTHONY DR.</t>
  </si>
  <si>
    <t>E0369764</t>
  </si>
  <si>
    <t>HENRY MARK W</t>
  </si>
  <si>
    <t>HenryMark</t>
  </si>
  <si>
    <t>HENRY MARK MR.</t>
  </si>
  <si>
    <t>E0364735</t>
  </si>
  <si>
    <t>HASEN ASHRAF</t>
  </si>
  <si>
    <t>HasenAshraf</t>
  </si>
  <si>
    <t>5 E 98TH ST FL 9</t>
  </si>
  <si>
    <t>E0011191</t>
  </si>
  <si>
    <t>ELLIS CHARLES C MD</t>
  </si>
  <si>
    <t>EllisCharles</t>
  </si>
  <si>
    <t>ELLIS CHARLES</t>
  </si>
  <si>
    <t>E0293167</t>
  </si>
  <si>
    <t>LEUTHAUSER AMY DENISE MD</t>
  </si>
  <si>
    <t>LEUTHAUSER AMY</t>
  </si>
  <si>
    <t>BURNS TAYLOR MISS</t>
  </si>
  <si>
    <t>FIRST AVENUE AND E 16TH STREET</t>
  </si>
  <si>
    <t>NewCarltonRehabilitationandNursingCenter</t>
  </si>
  <si>
    <t>E0060640</t>
  </si>
  <si>
    <t>NEW CARLTON REHAB NRS CTR SNF</t>
  </si>
  <si>
    <t>garylieberman</t>
  </si>
  <si>
    <t>(718) 789-6262</t>
  </si>
  <si>
    <t>gliebermam@carltonnh.com</t>
  </si>
  <si>
    <t>NEW CARLTON REHABILITATION &amp; NURSING CENTER</t>
  </si>
  <si>
    <t>NEW CARLTON REHAB &amp; NURSING CTR</t>
  </si>
  <si>
    <t>405 CARLTON AVE</t>
  </si>
  <si>
    <t>820RiverSt.,Inc.</t>
  </si>
  <si>
    <t>MargaretRichardson</t>
  </si>
  <si>
    <t>(718) 230-7780</t>
  </si>
  <si>
    <t>margaret.richardson@pyhit.org</t>
  </si>
  <si>
    <t>ParkSlopeCenterforMentalHealthInc.</t>
  </si>
  <si>
    <t>SusanCaputo</t>
  </si>
  <si>
    <t>(718) 788-5101</t>
  </si>
  <si>
    <t>suscap@aol.com</t>
  </si>
  <si>
    <t>34813thStreet</t>
  </si>
  <si>
    <t>ParkSlopeChildandFamilyCenter</t>
  </si>
  <si>
    <t>257A15thStreet</t>
  </si>
  <si>
    <t>POLLACK-ZOLLMAN MARTINE</t>
  </si>
  <si>
    <t>Norris-BrilliantAmi</t>
  </si>
  <si>
    <t>NORRIS-BRILLIANT AMI DR.</t>
  </si>
  <si>
    <t>NATCHEVA HRISTINA</t>
  </si>
  <si>
    <t>88 E NEWTON ST</t>
  </si>
  <si>
    <t>E0033624</t>
  </si>
  <si>
    <t>WEISS NIRIT MD</t>
  </si>
  <si>
    <t>WeissNirit</t>
  </si>
  <si>
    <t>WEISS NIRIT DR.</t>
  </si>
  <si>
    <t>WEISS NIRIT</t>
  </si>
  <si>
    <t>5 EAST 98TH ST 7TH F</t>
  </si>
  <si>
    <t>KAMAL NATASHA</t>
  </si>
  <si>
    <t>33 TREADWELL CT</t>
  </si>
  <si>
    <t>LUTHERVILLE</t>
  </si>
  <si>
    <t>SAUL SHIRA DR.</t>
  </si>
  <si>
    <t>150 BERGEN ST, UH-I-248</t>
  </si>
  <si>
    <t>ZHAO CHEN</t>
  </si>
  <si>
    <t>BerryhillRoy</t>
  </si>
  <si>
    <t>BERRYHILL ROY MR.</t>
  </si>
  <si>
    <t>525 E 68TH ST, STARR 900</t>
  </si>
  <si>
    <t>E0078237</t>
  </si>
  <si>
    <t>LATKANY ROBERT ADAM MD</t>
  </si>
  <si>
    <t>RobertLatkany</t>
  </si>
  <si>
    <t>LATKANY ROBERT DR.</t>
  </si>
  <si>
    <t>WingtatMui</t>
  </si>
  <si>
    <t>E0128330</t>
  </si>
  <si>
    <t>SAVITT JOSEPH STEVEN MD</t>
  </si>
  <si>
    <t>JosephSavitt</t>
  </si>
  <si>
    <t>SAVITT JOSEPH</t>
  </si>
  <si>
    <t>SAVITT JOSEPH STEVEN</t>
  </si>
  <si>
    <t>15 SPRING VALLEY RD</t>
  </si>
  <si>
    <t>E0034470</t>
  </si>
  <si>
    <t>MORENO LISA BELINDA</t>
  </si>
  <si>
    <t>LisaMoreno</t>
  </si>
  <si>
    <t>MORENO LISA</t>
  </si>
  <si>
    <t>7411 37TH AVE</t>
  </si>
  <si>
    <t>E0215876</t>
  </si>
  <si>
    <t>LACHMAN LEIGH JAY          MD</t>
  </si>
  <si>
    <t>LeighLachman</t>
  </si>
  <si>
    <t>LACHMAN LEIGH</t>
  </si>
  <si>
    <t>307 E 49TH ST</t>
  </si>
  <si>
    <t>E0114030</t>
  </si>
  <si>
    <t>TRETTER THERESA M MD</t>
  </si>
  <si>
    <t>TheresaTretter</t>
  </si>
  <si>
    <t>TRETTER THERESA</t>
  </si>
  <si>
    <t>E0068590</t>
  </si>
  <si>
    <t>LEE JANE AHN MD</t>
  </si>
  <si>
    <t>JaneLee</t>
  </si>
  <si>
    <t>LEE JANE DR.</t>
  </si>
  <si>
    <t>STARR 843</t>
  </si>
  <si>
    <t>AshleyStackpole</t>
  </si>
  <si>
    <t>E0184638</t>
  </si>
  <si>
    <t>OTTAVIANO LAWRENCE JOHN MD</t>
  </si>
  <si>
    <t>LawrenceOttaviano</t>
  </si>
  <si>
    <t>OTTAVIANO LAWRENCE DR.</t>
  </si>
  <si>
    <t>15 SHERIDAN SQ</t>
  </si>
  <si>
    <t>E0186936</t>
  </si>
  <si>
    <t>JONES MICHAEL ABOU MD</t>
  </si>
  <si>
    <t>MichaelJones</t>
  </si>
  <si>
    <t>E0350007</t>
  </si>
  <si>
    <t>CHEN JENNIFER ANN</t>
  </si>
  <si>
    <t>JenniferChen</t>
  </si>
  <si>
    <t>CHEN JENNIFER DR.</t>
  </si>
  <si>
    <t>E0097970</t>
  </si>
  <si>
    <t>REINA GRACE E MD</t>
  </si>
  <si>
    <t>ReinaGrace</t>
  </si>
  <si>
    <t>REINA GRACE DR.</t>
  </si>
  <si>
    <t>E0307557</t>
  </si>
  <si>
    <t>EMILY OTIS TAYLOR MD</t>
  </si>
  <si>
    <t>TaylorEmily</t>
  </si>
  <si>
    <t>TAYLOR EMILY</t>
  </si>
  <si>
    <t>TAYLOR EMILY OTIS MD</t>
  </si>
  <si>
    <t>111 BROADWAY FL 2</t>
  </si>
  <si>
    <t>E0294365</t>
  </si>
  <si>
    <t>KANE MAUREEN ANN NP</t>
  </si>
  <si>
    <t>KaneMaureen</t>
  </si>
  <si>
    <t>KANE MAUREEN</t>
  </si>
  <si>
    <t>E0373147</t>
  </si>
  <si>
    <t>ROMAIN SANDIE</t>
  </si>
  <si>
    <t>RomainSandie</t>
  </si>
  <si>
    <t>ROMAIN SANDIE MRS.</t>
  </si>
  <si>
    <t>SALONIA JAMES DR.</t>
  </si>
  <si>
    <t>E0367285</t>
  </si>
  <si>
    <t>XU QIAN</t>
  </si>
  <si>
    <t>XU QIAN DR.</t>
  </si>
  <si>
    <t>E0361715</t>
  </si>
  <si>
    <t>DUNN MONA L</t>
  </si>
  <si>
    <t>DunnMona</t>
  </si>
  <si>
    <t>DUNN MONA</t>
  </si>
  <si>
    <t>MOAYEDPARDAZI HAMIDEH MS.</t>
  </si>
  <si>
    <t>50 E 98TH ST, 8A</t>
  </si>
  <si>
    <t>HERMAN MELODY</t>
  </si>
  <si>
    <t>55 FRUIT ST</t>
  </si>
  <si>
    <t>BONOMO GIOVANNI DR.</t>
  </si>
  <si>
    <t>405 LENEVAR AVE</t>
  </si>
  <si>
    <t>E0437852</t>
  </si>
  <si>
    <t>BAWEJA MUKTA</t>
  </si>
  <si>
    <t>GnippJennifer</t>
  </si>
  <si>
    <t>GNIPP JENNIFER MS.</t>
  </si>
  <si>
    <t>445 E 77TH ST, 3D</t>
  </si>
  <si>
    <t>CohenDavid</t>
  </si>
  <si>
    <t>E0218690</t>
  </si>
  <si>
    <t>STIMMEL BARRY DAVID        MD</t>
  </si>
  <si>
    <t>HarvellKymberly</t>
  </si>
  <si>
    <t>HARVELL KYMBERLY MR.</t>
  </si>
  <si>
    <t>MS.RANHUO</t>
  </si>
  <si>
    <t>HUO RAN MS.</t>
  </si>
  <si>
    <t>50 E 98TH ST, APT. 4A</t>
  </si>
  <si>
    <t>E0042846</t>
  </si>
  <si>
    <t>RODRIGUEZ GLORIA JOSEFINA MD</t>
  </si>
  <si>
    <t>GLORIARODRIGUEZ</t>
  </si>
  <si>
    <t>RODRIGUEZ GLORIA DR.</t>
  </si>
  <si>
    <t>E0351383</t>
  </si>
  <si>
    <t>MISRA SULAGNA</t>
  </si>
  <si>
    <t>SULAGNAMISRA</t>
  </si>
  <si>
    <t>E0334805</t>
  </si>
  <si>
    <t>WANG EMILY H</t>
  </si>
  <si>
    <t>EMILYWANG</t>
  </si>
  <si>
    <t>WANG EMILY</t>
  </si>
  <si>
    <t>E0063987</t>
  </si>
  <si>
    <t>OMIDVARI KARAN MD</t>
  </si>
  <si>
    <t>KaranOmidvari</t>
  </si>
  <si>
    <t>OMIDVARI KARAN DR.</t>
  </si>
  <si>
    <t>MADISON MEDICAL</t>
  </si>
  <si>
    <t>E0155886</t>
  </si>
  <si>
    <t>LEE-WONG MARY F MD</t>
  </si>
  <si>
    <t>MaryLee-Wong</t>
  </si>
  <si>
    <t>LEE-WONG MARY DR.</t>
  </si>
  <si>
    <t>E0412861</t>
  </si>
  <si>
    <t>MONAGHAN NIALL</t>
  </si>
  <si>
    <t>MONAGHAN NIALL DR.</t>
  </si>
  <si>
    <t>MONAGHAN NIALL GARETH</t>
  </si>
  <si>
    <t>1 GUSTAVE L LEVY PL BOX 1010</t>
  </si>
  <si>
    <t>KUANSHEN</t>
  </si>
  <si>
    <t>E0058671</t>
  </si>
  <si>
    <t>SHEPARD RICHARD</t>
  </si>
  <si>
    <t>RICHARDSHEPARD</t>
  </si>
  <si>
    <t>KONSTANTINNIKIFOROV</t>
  </si>
  <si>
    <t>E0232297</t>
  </si>
  <si>
    <t>WOLDENBERG DAVID HAROLD    MD</t>
  </si>
  <si>
    <t>DAVIDWOLDENBERG</t>
  </si>
  <si>
    <t>WOLDENBERG DAVID</t>
  </si>
  <si>
    <t>E0065098</t>
  </si>
  <si>
    <t>LIAKEAS GEORGE</t>
  </si>
  <si>
    <t>GEORGELIAKEAS</t>
  </si>
  <si>
    <t>LIAKEAS GEORGE DR.</t>
  </si>
  <si>
    <t>686 LEXINGTON AVE FL 3N</t>
  </si>
  <si>
    <t>E0135165</t>
  </si>
  <si>
    <t>NEJAT MORRIS MD</t>
  </si>
  <si>
    <t>MORRISNEJAT</t>
  </si>
  <si>
    <t>NEJAT MORRIS DR.</t>
  </si>
  <si>
    <t>YUDELEVICH ERIC</t>
  </si>
  <si>
    <t>145 W 67TH ST APT 20A</t>
  </si>
  <si>
    <t>E0094033</t>
  </si>
  <si>
    <t>JABS DOUGLAS A MD</t>
  </si>
  <si>
    <t>JabsDouglas</t>
  </si>
  <si>
    <t>JABS DOUGLAS</t>
  </si>
  <si>
    <t>JHU-WILMER EYE INSTI</t>
  </si>
  <si>
    <t>E0412841</t>
  </si>
  <si>
    <t>LEVIN YULIA</t>
  </si>
  <si>
    <t>LEVIN EMILY</t>
  </si>
  <si>
    <t>LEVIN EMILY J</t>
  </si>
  <si>
    <t>1 GUSTAVE L LEVY PL # 1010</t>
  </si>
  <si>
    <t>E0442952</t>
  </si>
  <si>
    <t>PARK JAMES</t>
  </si>
  <si>
    <t>PARK JAMES DR.</t>
  </si>
  <si>
    <t>E0434042</t>
  </si>
  <si>
    <t>HAMBURGER JOSHUA</t>
  </si>
  <si>
    <t>HAMBURGER JOSHUA DR.</t>
  </si>
  <si>
    <t>E0436953</t>
  </si>
  <si>
    <t>DHALIWAL AJITPAL SINGH</t>
  </si>
  <si>
    <t>DHALIWAL AJITPAL SINGH DR.</t>
  </si>
  <si>
    <t>E0447872</t>
  </si>
  <si>
    <t>GALLOMBARDO JOSEPH ANTHONY</t>
  </si>
  <si>
    <t>GALLOMBARDO JOSEPH DR.</t>
  </si>
  <si>
    <t>E0325917</t>
  </si>
  <si>
    <t>JASMINE JO-TSUI</t>
  </si>
  <si>
    <t>Jo-TsuiJasmine</t>
  </si>
  <si>
    <t>JO-TSUI JASMINE MRS.</t>
  </si>
  <si>
    <t>JO-TSUI JASMINE</t>
  </si>
  <si>
    <t>4211 COLLEGE POINT BLVD</t>
  </si>
  <si>
    <t>KULINA ROBERT</t>
  </si>
  <si>
    <t>3419 RIVERVIEW DR</t>
  </si>
  <si>
    <t>COLONIAL BEACH</t>
  </si>
  <si>
    <t>E0082833</t>
  </si>
  <si>
    <t>SWIDO ANNE BERNADETTE</t>
  </si>
  <si>
    <t>SwidoAnne</t>
  </si>
  <si>
    <t>SWIDO ANNE</t>
  </si>
  <si>
    <t>E0275555</t>
  </si>
  <si>
    <t>RAJENDRAN NAGAI S          MD</t>
  </si>
  <si>
    <t>RajendranNagai</t>
  </si>
  <si>
    <t>RAJENDRAN NAGAI</t>
  </si>
  <si>
    <t>NORTHWAY MED CTR</t>
  </si>
  <si>
    <t>MahmoudMohamadS</t>
  </si>
  <si>
    <t>E0024780</t>
  </si>
  <si>
    <t>MANINI CORINNA C MD</t>
  </si>
  <si>
    <t>ManiniCorinna</t>
  </si>
  <si>
    <t>MANINI CORINNA DR.</t>
  </si>
  <si>
    <t>E0364970</t>
  </si>
  <si>
    <t>HOFFSTADTER-THAL KATHY</t>
  </si>
  <si>
    <t>Hoffstadter-ThalKathy</t>
  </si>
  <si>
    <t>E0419089</t>
  </si>
  <si>
    <t>RAFATJAH SOYONA</t>
  </si>
  <si>
    <t>RafatjahSoyona</t>
  </si>
  <si>
    <t>E0363452</t>
  </si>
  <si>
    <t>ULLMAN JENNIFER TAYLOR</t>
  </si>
  <si>
    <t>UllmanJennifer</t>
  </si>
  <si>
    <t>ULLMAN JENNIFER MS.</t>
  </si>
  <si>
    <t>1 GUSTAVE L LEVY PL FL 6 # 1030GP</t>
  </si>
  <si>
    <t>E0351183</t>
  </si>
  <si>
    <t>BUNKER DANIEL ROBERT</t>
  </si>
  <si>
    <t>BunkerDaniel</t>
  </si>
  <si>
    <t>BUNKER DANIEL DR.</t>
  </si>
  <si>
    <t>E0363352</t>
  </si>
  <si>
    <t>ALOIS MARIKA</t>
  </si>
  <si>
    <t>AloisMarikaRose</t>
  </si>
  <si>
    <t>E0310641</t>
  </si>
  <si>
    <t>PHILLIP KASRA</t>
  </si>
  <si>
    <t>SnaggsHasraKhia</t>
  </si>
  <si>
    <t>SNAGGS HASRA DR.</t>
  </si>
  <si>
    <t>SNAGGS HASRA KHIA</t>
  </si>
  <si>
    <t>E0366980</t>
  </si>
  <si>
    <t>YU ANNIE CHRISTIE</t>
  </si>
  <si>
    <t>YuAnnie</t>
  </si>
  <si>
    <t>YU ANNIE</t>
  </si>
  <si>
    <t>GeorgeAnu</t>
  </si>
  <si>
    <t>GEORGE ANU</t>
  </si>
  <si>
    <t>560 7TH AVENUE</t>
  </si>
  <si>
    <t>E0164703</t>
  </si>
  <si>
    <t>STEIN DEBORAH J MD</t>
  </si>
  <si>
    <t>DEBORAHSTEIN</t>
  </si>
  <si>
    <t>STEIN DEBORAH DR.</t>
  </si>
  <si>
    <t>STEIN DEBORAH JANE</t>
  </si>
  <si>
    <t>428 W 59TH STREET</t>
  </si>
  <si>
    <t>E0161400</t>
  </si>
  <si>
    <t>WEINBERG BARRY J MD</t>
  </si>
  <si>
    <t>BARRYWEINBERG</t>
  </si>
  <si>
    <t>WEINBERG BARRY DR.</t>
  </si>
  <si>
    <t>BIMC EMERG DEPT</t>
  </si>
  <si>
    <t>E0142840</t>
  </si>
  <si>
    <t>KEIL KATHERINE MD</t>
  </si>
  <si>
    <t>KATHERINEKEIL</t>
  </si>
  <si>
    <t>KEIL KATHERINE DR.</t>
  </si>
  <si>
    <t>E0114898</t>
  </si>
  <si>
    <t>WONG SOMAN MARY</t>
  </si>
  <si>
    <t>SOMANWONG</t>
  </si>
  <si>
    <t>WONG SOMAN</t>
  </si>
  <si>
    <t>139 CENTRE ST STE 809</t>
  </si>
  <si>
    <t>MANSOUR JOHN</t>
  </si>
  <si>
    <t>MersonElisabeth</t>
  </si>
  <si>
    <t>MERSON ELISABETH</t>
  </si>
  <si>
    <t>6318 AUSTIN ST</t>
  </si>
  <si>
    <t>LEIGH NATASHA DR.</t>
  </si>
  <si>
    <t>E0048039</t>
  </si>
  <si>
    <t>YOHANNAN ROBERT B MD</t>
  </si>
  <si>
    <t>YohannanRobert</t>
  </si>
  <si>
    <t>YOHANNAN ROBERT</t>
  </si>
  <si>
    <t>E0039038</t>
  </si>
  <si>
    <t>NELSON BRET P MD</t>
  </si>
  <si>
    <t>NelsonBret</t>
  </si>
  <si>
    <t>NELSON BRET</t>
  </si>
  <si>
    <t>100TH ST &amp; MADISON AVE</t>
  </si>
  <si>
    <t>E0037652</t>
  </si>
  <si>
    <t>MOTIWALA RAJEEV MD</t>
  </si>
  <si>
    <t>MotiwalaRajeev</t>
  </si>
  <si>
    <t>MOTIWALA RAJEEV DR.</t>
  </si>
  <si>
    <t>YaoMike</t>
  </si>
  <si>
    <t>E0045725</t>
  </si>
  <si>
    <t>CLUNIE GARFIELD ASHFORD MD</t>
  </si>
  <si>
    <t>ClunieGarfield</t>
  </si>
  <si>
    <t>CLUNIE GARFIELD</t>
  </si>
  <si>
    <t>1176 5TH AVE # 1171</t>
  </si>
  <si>
    <t>E0199155</t>
  </si>
  <si>
    <t>SCHWARTZ WILLIAM J         MD</t>
  </si>
  <si>
    <t>SchwartzWilliam</t>
  </si>
  <si>
    <t>SCHWARTZ WILLIAM</t>
  </si>
  <si>
    <t>SCHWARTZ WILLIAM J MD</t>
  </si>
  <si>
    <t>E0299421</t>
  </si>
  <si>
    <t>DAVID PONTON</t>
  </si>
  <si>
    <t>PONTON DAVID</t>
  </si>
  <si>
    <t>E0012183</t>
  </si>
  <si>
    <t>JENG CHRISTINA LI-HONG MD</t>
  </si>
  <si>
    <t>JengChristina</t>
  </si>
  <si>
    <t>JENG CHRISTINA DR.</t>
  </si>
  <si>
    <t>E0316584</t>
  </si>
  <si>
    <t>BALMIR SACHA DO</t>
  </si>
  <si>
    <t>BalmirSacha</t>
  </si>
  <si>
    <t>BALMIR SACHA</t>
  </si>
  <si>
    <t>McDonaldBrendan</t>
  </si>
  <si>
    <t>MCDONALD BRENDAN</t>
  </si>
  <si>
    <t>LAU MICHAEL DR.</t>
  </si>
  <si>
    <t>VELLOS TED</t>
  </si>
  <si>
    <t>13545 CIRCLE DR</t>
  </si>
  <si>
    <t>ORLAND PARK</t>
  </si>
  <si>
    <t>E0452627</t>
  </si>
  <si>
    <t>LINKNER RITA</t>
  </si>
  <si>
    <t>LINKNER RITA DR.</t>
  </si>
  <si>
    <t>E0285086</t>
  </si>
  <si>
    <t>MARKOWITZ ORIT</t>
  </si>
  <si>
    <t>MarkowitzOrit</t>
  </si>
  <si>
    <t>MARKOWITZ ORIT DR.</t>
  </si>
  <si>
    <t>E0456605</t>
  </si>
  <si>
    <t>CHUN NICHOLAS</t>
  </si>
  <si>
    <t>TeichAndrew</t>
  </si>
  <si>
    <t>TEICH ANDREW MR.</t>
  </si>
  <si>
    <t>1 GUSTAVE L LEVY PL, ANESTHESIOLOGY-BOX 1010</t>
  </si>
  <si>
    <t>E0241636</t>
  </si>
  <si>
    <t>ALTCHEK DOUGLAS D          MD</t>
  </si>
  <si>
    <t>AltchekDouglas</t>
  </si>
  <si>
    <t>ALTCHEK DOUGLAS DR.</t>
  </si>
  <si>
    <t>E0226734</t>
  </si>
  <si>
    <t>METTU SUDHAKAR REDDY       MD</t>
  </si>
  <si>
    <t>METTU SUDHAKAR</t>
  </si>
  <si>
    <t>METTU SUDHAKAR REDDY MD</t>
  </si>
  <si>
    <t>RIVERSIDE MED GROUP</t>
  </si>
  <si>
    <t>E0275898</t>
  </si>
  <si>
    <t>LAJAM FOUAD E              MD</t>
  </si>
  <si>
    <t>LajamFouad</t>
  </si>
  <si>
    <t>LAJAM FOUAD</t>
  </si>
  <si>
    <t>E0058392</t>
  </si>
  <si>
    <t>GREWAL PRIYA MD</t>
  </si>
  <si>
    <t>GrewalPriya</t>
  </si>
  <si>
    <t>GREWAL PRIYA</t>
  </si>
  <si>
    <t>HUNG CYNTHIA MS.</t>
  </si>
  <si>
    <t>ASAAD IMAD</t>
  </si>
  <si>
    <t>2500 METROHEALTH DR</t>
  </si>
  <si>
    <t>E0448629</t>
  </si>
  <si>
    <t>BASALELY DANIEL</t>
  </si>
  <si>
    <t>BASALELY DANIEL MR.</t>
  </si>
  <si>
    <t>KAN KATHLEEN</t>
  </si>
  <si>
    <t>1249 PARK AVE, APT 13 D</t>
  </si>
  <si>
    <t>YOUNG JAMES</t>
  </si>
  <si>
    <t>2101 PEASE ST, EMERGENCY DEPARTMENT</t>
  </si>
  <si>
    <t>HARLINGEN</t>
  </si>
  <si>
    <t>KUHN DANA</t>
  </si>
  <si>
    <t>GURSKY JONATHAN</t>
  </si>
  <si>
    <t>TRAN ANGELA</t>
  </si>
  <si>
    <t>SWETTER SAMANTHA DR.</t>
  </si>
  <si>
    <t>E0422311</t>
  </si>
  <si>
    <t>HELMAN SAMUEL NATHANIEL</t>
  </si>
  <si>
    <t>HELMAN SAMUEL</t>
  </si>
  <si>
    <t>E0152358</t>
  </si>
  <si>
    <t>SCHNEIDER DONNA MARIE MD</t>
  </si>
  <si>
    <t>SchneiderDonna</t>
  </si>
  <si>
    <t>SCHNEIDER DONNA DR.</t>
  </si>
  <si>
    <t>E0041951</t>
  </si>
  <si>
    <t>RADBILL BRIAN</t>
  </si>
  <si>
    <t>RadbillBrian</t>
  </si>
  <si>
    <t>E0123940</t>
  </si>
  <si>
    <t>CUADRA TERESA M MD</t>
  </si>
  <si>
    <t>CuadraTeresa</t>
  </si>
  <si>
    <t>CUADRA TERESA</t>
  </si>
  <si>
    <t>FRNT 2B</t>
  </si>
  <si>
    <t>E0198080</t>
  </si>
  <si>
    <t>SCHACHTER EDWIN NEIL       MD</t>
  </si>
  <si>
    <t>SchachterE.Neil</t>
  </si>
  <si>
    <t>SCHACHTER EDWIN</t>
  </si>
  <si>
    <t>E0043831</t>
  </si>
  <si>
    <t>CONSTANTINO JENNIFER C RPA</t>
  </si>
  <si>
    <t>ConstantinoJennifer</t>
  </si>
  <si>
    <t>CONSTANTINO JENNIFER MS.</t>
  </si>
  <si>
    <t>E0082500</t>
  </si>
  <si>
    <t>MELTZER ELYSE MICHELE</t>
  </si>
  <si>
    <t>MeltzerElyse</t>
  </si>
  <si>
    <t>MELTZER ELYSE</t>
  </si>
  <si>
    <t>NT SINAI HOSP</t>
  </si>
  <si>
    <t>ZamoraDebbie</t>
  </si>
  <si>
    <t>ZAMORA DEBBIE</t>
  </si>
  <si>
    <t>CoganMichael</t>
  </si>
  <si>
    <t>COGAN MICHAEL MR.</t>
  </si>
  <si>
    <t>462 OLD BRIDGE RD</t>
  </si>
  <si>
    <t>E0324832</t>
  </si>
  <si>
    <t>LASKOVA VIOLETTA</t>
  </si>
  <si>
    <t>LaskovaVioletta</t>
  </si>
  <si>
    <t>LASKOVA VIOLETTA DR.</t>
  </si>
  <si>
    <t>E0300959</t>
  </si>
  <si>
    <t>JOHANNA POWER VALIQUETTE</t>
  </si>
  <si>
    <t>ValiquetteJohanna</t>
  </si>
  <si>
    <t>VALIQUETTE JOHANNA</t>
  </si>
  <si>
    <t>VALIQUETTE JOHANNA POWER</t>
  </si>
  <si>
    <t>GHATAN CHRISTINE DR.</t>
  </si>
  <si>
    <t>MAERZ DAVID</t>
  </si>
  <si>
    <t>205 E 95TH ST, APARTMENT 26D</t>
  </si>
  <si>
    <t>E0400988</t>
  </si>
  <si>
    <t>BILLINGTON KAITLYN E</t>
  </si>
  <si>
    <t>BillingtonKaitlyn</t>
  </si>
  <si>
    <t>BILLINGTON KAITLYN</t>
  </si>
  <si>
    <t>BILLINGTON KAITLYN ELIZABETH</t>
  </si>
  <si>
    <t>PAREDES HAROLD</t>
  </si>
  <si>
    <t>YI CHUNHUI</t>
  </si>
  <si>
    <t>KlerAditya</t>
  </si>
  <si>
    <t>KLER ADITYA DR.</t>
  </si>
  <si>
    <t>3500 PERRY AVENUE, BRONX</t>
  </si>
  <si>
    <t>VELAZQUEZ MANANA ANA MISS</t>
  </si>
  <si>
    <t>KAGEMOTO YOKO MS.</t>
  </si>
  <si>
    <t>BARBUTO SCOTT</t>
  </si>
  <si>
    <t>1230 YORK AVE, BOX 214</t>
  </si>
  <si>
    <t>DALAPATHI VIJAY</t>
  </si>
  <si>
    <t>E0041188</t>
  </si>
  <si>
    <t>CHEHADE MIRNA ABDUL MONHEM MD</t>
  </si>
  <si>
    <t>ChehadeMirna</t>
  </si>
  <si>
    <t>CHEHADE MIRNA</t>
  </si>
  <si>
    <t>AndersonTeri</t>
  </si>
  <si>
    <t>ANDERSON TERI MS.</t>
  </si>
  <si>
    <t>E0150266</t>
  </si>
  <si>
    <t>CHUANG LINUS MD</t>
  </si>
  <si>
    <t>ChuangLinus</t>
  </si>
  <si>
    <t>CHUANG LINUS</t>
  </si>
  <si>
    <t>UNIVERSITY OB GYN PC</t>
  </si>
  <si>
    <t>E0323245</t>
  </si>
  <si>
    <t>MAKI ROBERT GLENN</t>
  </si>
  <si>
    <t>MakiRobert</t>
  </si>
  <si>
    <t>MAKI ROBERT</t>
  </si>
  <si>
    <t>E0303510</t>
  </si>
  <si>
    <t>ROXANA LIZ VEGA</t>
  </si>
  <si>
    <t>VegaRoxana</t>
  </si>
  <si>
    <t>VEGA ROXANA</t>
  </si>
  <si>
    <t>VEGA ROXANA LIZ</t>
  </si>
  <si>
    <t>MartinezJohn</t>
  </si>
  <si>
    <t>MARTINEZ JOHN</t>
  </si>
  <si>
    <t>E0309370</t>
  </si>
  <si>
    <t>GOLDBERG NAOMI</t>
  </si>
  <si>
    <t>GoldbergNaomi</t>
  </si>
  <si>
    <t>GOLDBERG NAOMI DR.</t>
  </si>
  <si>
    <t>GOLDBERG NAOMI RIVKA</t>
  </si>
  <si>
    <t>E0353089</t>
  </si>
  <si>
    <t>FASANO JULIE</t>
  </si>
  <si>
    <t>FasanoJulie</t>
  </si>
  <si>
    <t>FASANO JULIE DR.</t>
  </si>
  <si>
    <t>E0427114</t>
  </si>
  <si>
    <t>JARRETT KELLY ANDRE MD</t>
  </si>
  <si>
    <t>JarrettKelly</t>
  </si>
  <si>
    <t>JARRETT KELLY DR.</t>
  </si>
  <si>
    <t>E0309801</t>
  </si>
  <si>
    <t>LAWRENCE DONNA ANTHEA</t>
  </si>
  <si>
    <t>LawrenceDonna</t>
  </si>
  <si>
    <t>LAWRENCE DONNA DR.</t>
  </si>
  <si>
    <t>E0389343</t>
  </si>
  <si>
    <t>PARK KOJI</t>
  </si>
  <si>
    <t>ParkKoji</t>
  </si>
  <si>
    <t>PARK KOJI DR.</t>
  </si>
  <si>
    <t>E0361104</t>
  </si>
  <si>
    <t>JOHN PERCIVAL VALONZO PENA</t>
  </si>
  <si>
    <t>PenaJohn</t>
  </si>
  <si>
    <t>PENA JOHN</t>
  </si>
  <si>
    <t>PENA JOHN PERCIVAL VALONZO</t>
  </si>
  <si>
    <t>5 E 98TH ST FL 7 # 1136</t>
  </si>
  <si>
    <t>E0056231</t>
  </si>
  <si>
    <t>MITTNACHT ALEXANDER MD</t>
  </si>
  <si>
    <t>MittnachtAlexander</t>
  </si>
  <si>
    <t>MITTNACHT ALEXANDER DR.</t>
  </si>
  <si>
    <t>MITTNACHT ALEXANDER JARO CARL</t>
  </si>
  <si>
    <t>E0029880</t>
  </si>
  <si>
    <t>KANG PATRICK S MD</t>
  </si>
  <si>
    <t>PATRICKKANG</t>
  </si>
  <si>
    <t>KANG PATRICK</t>
  </si>
  <si>
    <t>E0264568</t>
  </si>
  <si>
    <t>KHAN ZAFAR MD</t>
  </si>
  <si>
    <t>ZafarKhan</t>
  </si>
  <si>
    <t>KHAN ZAFAR DR.</t>
  </si>
  <si>
    <t>E0058661</t>
  </si>
  <si>
    <t>THORNTON KAREN</t>
  </si>
  <si>
    <t>KARENTHORNTON</t>
  </si>
  <si>
    <t>THORNTON KAREN DR.</t>
  </si>
  <si>
    <t>E0221557</t>
  </si>
  <si>
    <t>MULDOON THOMAS O           MD</t>
  </si>
  <si>
    <t>THOMASMULDOON</t>
  </si>
  <si>
    <t>MULDOON THOMAS DR.</t>
  </si>
  <si>
    <t>NYEEI OPHTHOLMOLOGY</t>
  </si>
  <si>
    <t>KALI</t>
  </si>
  <si>
    <t>BECKERMAN WILLIAM</t>
  </si>
  <si>
    <t>5 E 98TH ST, BOX 1273</t>
  </si>
  <si>
    <t>SAWHNEY RISHI</t>
  </si>
  <si>
    <t>1 GUSTAVE L LEVY PL, ICAHN SCHOOL OF MEDICINE AT MOUNT SINAI, BOX 1230</t>
  </si>
  <si>
    <t>TAUB EMILY</t>
  </si>
  <si>
    <t>E0097172</t>
  </si>
  <si>
    <t>GARDNER FRANK</t>
  </si>
  <si>
    <t>GardnerFrank</t>
  </si>
  <si>
    <t>GARDNER FRANK DR.</t>
  </si>
  <si>
    <t>KalmykovPaul</t>
  </si>
  <si>
    <t>KALMYKOV PAUL MR.</t>
  </si>
  <si>
    <t>E0265452</t>
  </si>
  <si>
    <t>ALPERIN ROBERT B           MD</t>
  </si>
  <si>
    <t>AlperinRobert</t>
  </si>
  <si>
    <t>ALPERIN ROBERT DR.</t>
  </si>
  <si>
    <t>COBBLE HILL N/H</t>
  </si>
  <si>
    <t>E0104595</t>
  </si>
  <si>
    <t>LESE LAUREN J CNM</t>
  </si>
  <si>
    <t>LESE LAUREN</t>
  </si>
  <si>
    <t>E0076647</t>
  </si>
  <si>
    <t>MOLINAS SANDRA</t>
  </si>
  <si>
    <t>MOLINAS SANDRA DR.</t>
  </si>
  <si>
    <t>E0390871</t>
  </si>
  <si>
    <t>ONUOHA UCHECHUKWU</t>
  </si>
  <si>
    <t>OnuohaUchechukwu</t>
  </si>
  <si>
    <t>ONUOHA UCHECHUKWU DR.</t>
  </si>
  <si>
    <t>1468 MADISON AVE # 3RD</t>
  </si>
  <si>
    <t>E0057656</t>
  </si>
  <si>
    <t>SHAH KAUSHAL HEMENDRA MD</t>
  </si>
  <si>
    <t>ShahKaushal</t>
  </si>
  <si>
    <t>SHAH KAUSHAL</t>
  </si>
  <si>
    <t>E0325170</t>
  </si>
  <si>
    <t>NARULA JAGAT</t>
  </si>
  <si>
    <t>NARULA JAGAT P</t>
  </si>
  <si>
    <t>NARULA JAGAT PRAKASH SINGH</t>
  </si>
  <si>
    <t>E0256878</t>
  </si>
  <si>
    <t>HAMILTON WILLIAM G         MD</t>
  </si>
  <si>
    <t>HamiltonWilliam</t>
  </si>
  <si>
    <t>HAMILTON WILLIAM DR.</t>
  </si>
  <si>
    <t>E0340761</t>
  </si>
  <si>
    <t>WOLF ANDREA SHARI</t>
  </si>
  <si>
    <t>WOLF ANDREA</t>
  </si>
  <si>
    <t>E0034898</t>
  </si>
  <si>
    <t>MAJMUDAR SEJAL</t>
  </si>
  <si>
    <t>SejalMajmudar</t>
  </si>
  <si>
    <t>E0123962</t>
  </si>
  <si>
    <t>ALJIAN JOHN M MD</t>
  </si>
  <si>
    <t>JohnAljian</t>
  </si>
  <si>
    <t>ALJIAN JOHN</t>
  </si>
  <si>
    <t>SonitaSadio</t>
  </si>
  <si>
    <t>SADIO SONITA DR.</t>
  </si>
  <si>
    <t>MASSACHUSETTS GENERAL HOSPITAL, 55 FRUIT STREET GRB 1102</t>
  </si>
  <si>
    <t>E0032003</t>
  </si>
  <si>
    <t>KLETSMAN IGOR MD</t>
  </si>
  <si>
    <t>IgorKletsman</t>
  </si>
  <si>
    <t>KLETSMAN IGOR</t>
  </si>
  <si>
    <t>105 OCEANA DR E</t>
  </si>
  <si>
    <t>E0174216</t>
  </si>
  <si>
    <t>MCNALLY LOIS MARIE MD</t>
  </si>
  <si>
    <t>LoisMcNally</t>
  </si>
  <si>
    <t>MC NALLY LOIS</t>
  </si>
  <si>
    <t>E0240431</t>
  </si>
  <si>
    <t>SCHWARTZ LAWRENCE P        MD</t>
  </si>
  <si>
    <t>LAWRENCESCHWARTZ</t>
  </si>
  <si>
    <t>SCHWARTZ LAWRENCE DR.</t>
  </si>
  <si>
    <t>SCHWARTZ LAWRENCE PETER</t>
  </si>
  <si>
    <t>E0089971</t>
  </si>
  <si>
    <t>DELEON YASMIN TERESA</t>
  </si>
  <si>
    <t>DeLeon-KrausYasmin</t>
  </si>
  <si>
    <t>DELEON-KRAUS YASMIN</t>
  </si>
  <si>
    <t>DE LEON-KRAUS YASMIN</t>
  </si>
  <si>
    <t>JOSEPH CLAIRE</t>
  </si>
  <si>
    <t>235 E 95TH ST APT 15F</t>
  </si>
  <si>
    <t>E0113655</t>
  </si>
  <si>
    <t>TEODORESCU VICTORIA J MD</t>
  </si>
  <si>
    <t>TeodorescuVictoria</t>
  </si>
  <si>
    <t>TEODORESCU VICTORIA DR.</t>
  </si>
  <si>
    <t>E0144974</t>
  </si>
  <si>
    <t>KIM KUN-KIL MD</t>
  </si>
  <si>
    <t>KimKun-Kil</t>
  </si>
  <si>
    <t>KIM KUN-KIL DR.</t>
  </si>
  <si>
    <t>E0370242</t>
  </si>
  <si>
    <t>PATEL NEHA ASHWIN</t>
  </si>
  <si>
    <t>PATEL NEHA</t>
  </si>
  <si>
    <t>MINKIN PATTON</t>
  </si>
  <si>
    <t>8363 STAVENGER CV</t>
  </si>
  <si>
    <t>CORDOVA</t>
  </si>
  <si>
    <t>E0442823</t>
  </si>
  <si>
    <t>GLODNY BRADLEY</t>
  </si>
  <si>
    <t>GLODNY BRADLEY DR.</t>
  </si>
  <si>
    <t>AMOROSO NICHOLAS DR.</t>
  </si>
  <si>
    <t>E0072256</t>
  </si>
  <si>
    <t>NGUYEN VAN HONG DUONG MD</t>
  </si>
  <si>
    <t>NguyenVanHong</t>
  </si>
  <si>
    <t>NGUYEN VAN HONG</t>
  </si>
  <si>
    <t>CARDIO DPT 1033</t>
  </si>
  <si>
    <t>E0031647</t>
  </si>
  <si>
    <t>DUNKIN DAVID MD</t>
  </si>
  <si>
    <t>DunkinDavid</t>
  </si>
  <si>
    <t>DUNKIN DAVID</t>
  </si>
  <si>
    <t>DUNKIN DAVID S MD</t>
  </si>
  <si>
    <t>BrowneGillian</t>
  </si>
  <si>
    <t>BROWNE GILLIAN</t>
  </si>
  <si>
    <t>3415 BAINBRIDGE AVENUE, CHAM</t>
  </si>
  <si>
    <t>E0335280</t>
  </si>
  <si>
    <t>MINCER JOSHUA S</t>
  </si>
  <si>
    <t>MincerJoshua</t>
  </si>
  <si>
    <t>MINCER JOSHUA DR.</t>
  </si>
  <si>
    <t>MINCER JOSHUA SAMUEL</t>
  </si>
  <si>
    <t>E0377973</t>
  </si>
  <si>
    <t>GOSCHIN SIMONA</t>
  </si>
  <si>
    <t>GoschinSimona</t>
  </si>
  <si>
    <t>GOSCHIN SIMONA DR.</t>
  </si>
  <si>
    <t>317 E 17TH ST STE 5F09</t>
  </si>
  <si>
    <t>E0351391</t>
  </si>
  <si>
    <t>KIM JOSEPH K</t>
  </si>
  <si>
    <t>KimJosephK.</t>
  </si>
  <si>
    <t>KIM JOSEPH DR.</t>
  </si>
  <si>
    <t>E0359427</t>
  </si>
  <si>
    <t>APPEL JACOB M</t>
  </si>
  <si>
    <t>AppelJacob</t>
  </si>
  <si>
    <t>APPEL JACOB</t>
  </si>
  <si>
    <t>E0409921</t>
  </si>
  <si>
    <t>HERRERA KIMBERLY</t>
  </si>
  <si>
    <t>HerreraKimberlyMercedes</t>
  </si>
  <si>
    <t>HERRERA KIMBERLY MERCEDES</t>
  </si>
  <si>
    <t>E0350981</t>
  </si>
  <si>
    <t>TUVIN DANIEL</t>
  </si>
  <si>
    <t>TuvinDaniel</t>
  </si>
  <si>
    <t>TUVIN DANIEL DR.</t>
  </si>
  <si>
    <t>AnYoungsoon</t>
  </si>
  <si>
    <t>AN YOUNGSOON</t>
  </si>
  <si>
    <t>10 UNION SQ E, SUITE 4G</t>
  </si>
  <si>
    <t>E0429963</t>
  </si>
  <si>
    <t>BLOUIN AMANDA GERMAINE</t>
  </si>
  <si>
    <t>BlouinAmanda</t>
  </si>
  <si>
    <t>BLOUIN AMANDA DR.</t>
  </si>
  <si>
    <t>E0347510</t>
  </si>
  <si>
    <t>CHOPRA ASHOK CHANPARKASH</t>
  </si>
  <si>
    <t>ChopraAshok</t>
  </si>
  <si>
    <t>CHOPRA ASHOK DR.</t>
  </si>
  <si>
    <t>E0367066</t>
  </si>
  <si>
    <t>OSWALD ELIZABETH MARIE</t>
  </si>
  <si>
    <t>OswaldElizabeth</t>
  </si>
  <si>
    <t>OSWALD ELIZABETH</t>
  </si>
  <si>
    <t>AalaAmtul</t>
  </si>
  <si>
    <t>AALA AMTUL</t>
  </si>
  <si>
    <t>E0442958</t>
  </si>
  <si>
    <t>MANKODI AIMEE THERESA</t>
  </si>
  <si>
    <t>MankodiAimee</t>
  </si>
  <si>
    <t>MANKODI AIMEE</t>
  </si>
  <si>
    <t>E0305428</t>
  </si>
  <si>
    <t>GALLANE DABELA ABRAHAM</t>
  </si>
  <si>
    <t>AbrahamGallane</t>
  </si>
  <si>
    <t>ABRAHAM GALLANE DR.</t>
  </si>
  <si>
    <t>ABRAHAM GALLANE DABELA</t>
  </si>
  <si>
    <t>DavisLouise</t>
  </si>
  <si>
    <t>DAVIS LOUISE MS.</t>
  </si>
  <si>
    <t>1 GUSTAVE LEVY PLACE, MOUNT SINAI MEDICAL CTR.</t>
  </si>
  <si>
    <t>TAPNIO RICHARD DR.</t>
  </si>
  <si>
    <t>E0443516</t>
  </si>
  <si>
    <t>SHIM JIEN</t>
  </si>
  <si>
    <t>LavelanetPatricia</t>
  </si>
  <si>
    <t>LAVELANET PATRICIA</t>
  </si>
  <si>
    <t>150 EAST 77 ST</t>
  </si>
  <si>
    <t>E0421014</t>
  </si>
  <si>
    <t>ELIE JUDITH</t>
  </si>
  <si>
    <t>ELIE JUDITH MRS.</t>
  </si>
  <si>
    <t>132 W 125TH ST</t>
  </si>
  <si>
    <t>SHEIKH JASON DR.</t>
  </si>
  <si>
    <t>817 S UNIVERSITY DR, SUITE 103</t>
  </si>
  <si>
    <t>PLANTATION</t>
  </si>
  <si>
    <t>LONDINO ALDO DR.</t>
  </si>
  <si>
    <t>1 GUSTAVE L LEVY PL, ANNENBERG 10TH FLOOR</t>
  </si>
  <si>
    <t>E0437039</t>
  </si>
  <si>
    <t>EL HACHEM KARIM</t>
  </si>
  <si>
    <t>OONWALA ARMEEN</t>
  </si>
  <si>
    <t>515 W 59TH ST, 31 B</t>
  </si>
  <si>
    <t>GANDHI UJJAWAL DR.</t>
  </si>
  <si>
    <t>5000 HENNESSY BLVD, SUITE 211</t>
  </si>
  <si>
    <t>E0095119</t>
  </si>
  <si>
    <t>IYER KISHORE R  MD</t>
  </si>
  <si>
    <t>IyerKishore</t>
  </si>
  <si>
    <t>IYER KISHORE</t>
  </si>
  <si>
    <t>IYER KISHORE RAMAKRISHNA</t>
  </si>
  <si>
    <t>E0314056</t>
  </si>
  <si>
    <t>LEO ANGELA</t>
  </si>
  <si>
    <t>ANGELALEO</t>
  </si>
  <si>
    <t>315 CHURCH ST</t>
  </si>
  <si>
    <t>E0089075</t>
  </si>
  <si>
    <t>MOHAJER BABAK MD</t>
  </si>
  <si>
    <t>BABAKMOHAJER</t>
  </si>
  <si>
    <t>MOHAJER BABAK DR.</t>
  </si>
  <si>
    <t>GRAMERCY PK #5M-1</t>
  </si>
  <si>
    <t>E0276131</t>
  </si>
  <si>
    <t>SHAH BHADRA B PC           MD</t>
  </si>
  <si>
    <t>BHADRASHAH</t>
  </si>
  <si>
    <t>SHAH BHADRA DR.</t>
  </si>
  <si>
    <t>SHAH BHADRA B</t>
  </si>
  <si>
    <t>STE 9</t>
  </si>
  <si>
    <t>FARSHADSHAFIZADEH</t>
  </si>
  <si>
    <t>E0094170</t>
  </si>
  <si>
    <t>CHENNA JAYAPRATAP REDDY MD</t>
  </si>
  <si>
    <t>JAYAPRATAPCHENNA</t>
  </si>
  <si>
    <t>CHENNA JAYAPRATAP</t>
  </si>
  <si>
    <t>BENEDICTNE HOSP</t>
  </si>
  <si>
    <t>E0003627</t>
  </si>
  <si>
    <t>CHAUDHARY SAPNA</t>
  </si>
  <si>
    <t>SAPNACHAUDHARY</t>
  </si>
  <si>
    <t>CHAUDHARY SAPNA DR.</t>
  </si>
  <si>
    <t>245 5TH AVE AT 28TH</t>
  </si>
  <si>
    <t>E0276523</t>
  </si>
  <si>
    <t>ENU CHRISTOPHER CHUKWUEMEKA</t>
  </si>
  <si>
    <t>CHRISTOPHERENU</t>
  </si>
  <si>
    <t>ENU CHRISTOPHER DR.</t>
  </si>
  <si>
    <t>E0140178</t>
  </si>
  <si>
    <t>MANGHISI STEPHEN V MD</t>
  </si>
  <si>
    <t>STEPHENMANGHISI</t>
  </si>
  <si>
    <t>MANGHISI STEPHEN</t>
  </si>
  <si>
    <t>AMSTERDAM /114TH ST</t>
  </si>
  <si>
    <t>E0253411</t>
  </si>
  <si>
    <t>GOLDSTEIN MICHAEL T        MD</t>
  </si>
  <si>
    <t>GOLDSTEIN MICHAEL</t>
  </si>
  <si>
    <t>601 W 113TH ST</t>
  </si>
  <si>
    <t>E0350574</t>
  </si>
  <si>
    <t>SICULAR SERGE</t>
  </si>
  <si>
    <t>SicularSerge</t>
  </si>
  <si>
    <t>SICULAR SERGE DR.</t>
  </si>
  <si>
    <t>1176 5TH AVE # 1235</t>
  </si>
  <si>
    <t>E0321521</t>
  </si>
  <si>
    <t>CHANG LENA</t>
  </si>
  <si>
    <t>ChangLena</t>
  </si>
  <si>
    <t>CHANG LENA MS.</t>
  </si>
  <si>
    <t>NAIR HARI</t>
  </si>
  <si>
    <t>1611 NW 12TH AVE</t>
  </si>
  <si>
    <t>JABLONKA ERIC</t>
  </si>
  <si>
    <t>171 LINWOOD AVE, 2C</t>
  </si>
  <si>
    <t>Ben-AmiNaomi</t>
  </si>
  <si>
    <t>BEN-AMI NAOMI DR.</t>
  </si>
  <si>
    <t>E0405188</t>
  </si>
  <si>
    <t>CARRERA-ALVAREZ AMANDA NICOLE</t>
  </si>
  <si>
    <t>CARRERA-ALVAREZ AMANDA</t>
  </si>
  <si>
    <t>E0328617</t>
  </si>
  <si>
    <t>NUSBLATT ADAM MICHAEL</t>
  </si>
  <si>
    <t>NUSBLATT ADAM DR.</t>
  </si>
  <si>
    <t>235 E 95TH ST APT 8M</t>
  </si>
  <si>
    <t>BARLOG LAUREN</t>
  </si>
  <si>
    <t>E0433297</t>
  </si>
  <si>
    <t>BINDER ADAM FINN</t>
  </si>
  <si>
    <t>BINDER ADAM</t>
  </si>
  <si>
    <t>E0303129</t>
  </si>
  <si>
    <t>CARL JULIA ANN</t>
  </si>
  <si>
    <t>CarlJulia</t>
  </si>
  <si>
    <t>SHORE JULIA</t>
  </si>
  <si>
    <t>SHORE JULIA ANN</t>
  </si>
  <si>
    <t>1440 MADISON AVENUE</t>
  </si>
  <si>
    <t>E0364457</t>
  </si>
  <si>
    <t>FELDMAN BRIAN A</t>
  </si>
  <si>
    <t>FeldmanBrian</t>
  </si>
  <si>
    <t>FELDMAN BRIAN MR.</t>
  </si>
  <si>
    <t>SWORDER BRIAN</t>
  </si>
  <si>
    <t>E0027860</t>
  </si>
  <si>
    <t>TUN-CHIONG YOLANDA DO</t>
  </si>
  <si>
    <t>YOLANDATUN-CHIONG</t>
  </si>
  <si>
    <t>TUN-CHIONG YOLANDA DR.</t>
  </si>
  <si>
    <t>TUN-CHIONG YOLANDA</t>
  </si>
  <si>
    <t>E0242337</t>
  </si>
  <si>
    <t>DWORECKI ROMAN             MD</t>
  </si>
  <si>
    <t>ROMANDWORECKI</t>
  </si>
  <si>
    <t>DWORECKI ROMAN</t>
  </si>
  <si>
    <t>E0087852</t>
  </si>
  <si>
    <t>SESSIONS JESSICA</t>
  </si>
  <si>
    <t>JESSICASESSIONS</t>
  </si>
  <si>
    <t>E0196159</t>
  </si>
  <si>
    <t>TISSOT TODD ANTHONY        MD</t>
  </si>
  <si>
    <t>TODDTISSOT</t>
  </si>
  <si>
    <t>TISSOT TODD</t>
  </si>
  <si>
    <t>BIMC-N/YORK ANESTH</t>
  </si>
  <si>
    <t>E0320228</t>
  </si>
  <si>
    <t>HUANG YILI</t>
  </si>
  <si>
    <t>YILIHUANG</t>
  </si>
  <si>
    <t>HUANG YILI DR.</t>
  </si>
  <si>
    <t>E0279061</t>
  </si>
  <si>
    <t>SIEGEL HOWARD MD</t>
  </si>
  <si>
    <t>HOWARDSIEGEL</t>
  </si>
  <si>
    <t>SIEGEL HOWARD DR.</t>
  </si>
  <si>
    <t>BaziLucas</t>
  </si>
  <si>
    <t>BAZI LUCAS DR.</t>
  </si>
  <si>
    <t>E0216162</t>
  </si>
  <si>
    <t>SIMPSON DAVID MARTIN       MD</t>
  </si>
  <si>
    <t>SimpsonDavid</t>
  </si>
  <si>
    <t>SIMPSON DAVID DR.</t>
  </si>
  <si>
    <t>SIMPSON DAVID MARTIN</t>
  </si>
  <si>
    <t>E0009421</t>
  </si>
  <si>
    <t>MARTINEZ OFELIA MD</t>
  </si>
  <si>
    <t>MARTINEZ OFELIA DR.</t>
  </si>
  <si>
    <t>E0343545</t>
  </si>
  <si>
    <t>GOLDMAN MARK</t>
  </si>
  <si>
    <t>GoldmanMark</t>
  </si>
  <si>
    <t>GOLDMAN MARK DR.</t>
  </si>
  <si>
    <t>E0051911</t>
  </si>
  <si>
    <t>FERNANDEZ GERARDO JAVIER</t>
  </si>
  <si>
    <t>FernandezGerardo</t>
  </si>
  <si>
    <t>FERNANDEZ GERARDO</t>
  </si>
  <si>
    <t>E0159439</t>
  </si>
  <si>
    <t>DIAZ ANGELA  MD</t>
  </si>
  <si>
    <t>MS.ANGELARIVERA</t>
  </si>
  <si>
    <t>RIVERA ANGELA MS.</t>
  </si>
  <si>
    <t>LORENAHERNANDEZTELLEZ</t>
  </si>
  <si>
    <t>HERNANDEZ TELLEZ LORENA</t>
  </si>
  <si>
    <t>1935 EASTCHESTER RD, APT 26D</t>
  </si>
  <si>
    <t>E0125972</t>
  </si>
  <si>
    <t>CALLAHAN EILEEN HELEN MD</t>
  </si>
  <si>
    <t>EILEENCALLAHAN</t>
  </si>
  <si>
    <t>CALLAHAN EILEEN</t>
  </si>
  <si>
    <t>CALLAHAN EILEEN HELEN</t>
  </si>
  <si>
    <t>SOFIAUMALI</t>
  </si>
  <si>
    <t>E0229038</t>
  </si>
  <si>
    <t>LEVITT JANE                MD</t>
  </si>
  <si>
    <t>JANELEVITT</t>
  </si>
  <si>
    <t>LEVITT JANE DR.</t>
  </si>
  <si>
    <t>LEVITT JANE MD</t>
  </si>
  <si>
    <t>LHHN MED PC</t>
  </si>
  <si>
    <t>SIROHI MOHIT</t>
  </si>
  <si>
    <t>75 CONCORD CREEK RD</t>
  </si>
  <si>
    <t>GLEN MILLS</t>
  </si>
  <si>
    <t>E0101933</t>
  </si>
  <si>
    <t>MUN SON HUI MD</t>
  </si>
  <si>
    <t>MUN SON</t>
  </si>
  <si>
    <t>E0052908</t>
  </si>
  <si>
    <t>ARONOV MARGARITA A MD</t>
  </si>
  <si>
    <t>AronovMargarita</t>
  </si>
  <si>
    <t>ARONOV MARGARITA</t>
  </si>
  <si>
    <t>E0113343</t>
  </si>
  <si>
    <t>MARTIGNETTI JOHN A MD</t>
  </si>
  <si>
    <t>MartignettiJohn</t>
  </si>
  <si>
    <t>MARTIGNETTI GIAMPIERO DR.</t>
  </si>
  <si>
    <t>GEORGE SAJANA</t>
  </si>
  <si>
    <t>E0348071</t>
  </si>
  <si>
    <t>EL SALEM FADI</t>
  </si>
  <si>
    <t>E0025271</t>
  </si>
  <si>
    <t>SIGEL L KEITH MD</t>
  </si>
  <si>
    <t>SigelKeith</t>
  </si>
  <si>
    <t>SIGEL KEITH DR.</t>
  </si>
  <si>
    <t>E0296957</t>
  </si>
  <si>
    <t>CHRISTIAN DIRK BECKER</t>
  </si>
  <si>
    <t>BeckerChristian</t>
  </si>
  <si>
    <t>BECKER CHRISTIAN DR.</t>
  </si>
  <si>
    <t>BECKER CHRISTIAN DIRK MD</t>
  </si>
  <si>
    <t>E0302493</t>
  </si>
  <si>
    <t>HERNANDEZ STEPHANIE HORTENCIA</t>
  </si>
  <si>
    <t>HernandezStephanie</t>
  </si>
  <si>
    <t>HERNANDEZ STEPHANIE DR.</t>
  </si>
  <si>
    <t>OommenValsan</t>
  </si>
  <si>
    <t>OOMMEN VALSAN MR.</t>
  </si>
  <si>
    <t>MilitarOlive</t>
  </si>
  <si>
    <t>MILITAR OLIVE</t>
  </si>
  <si>
    <t>1190 5TH AVE, BOX 1028</t>
  </si>
  <si>
    <t>E0063482</t>
  </si>
  <si>
    <t>KING LASHAWNA CNM</t>
  </si>
  <si>
    <t>KingLaShawna</t>
  </si>
  <si>
    <t>KING LASHAWNA MS.</t>
  </si>
  <si>
    <t>1176 FIFTH AVENUE, E LEVEL</t>
  </si>
  <si>
    <t>E0296009</t>
  </si>
  <si>
    <t>KALE MINAL SHARATKUMAR MD</t>
  </si>
  <si>
    <t>KaleMinal</t>
  </si>
  <si>
    <t>KALE MINAL</t>
  </si>
  <si>
    <t>E0291915</t>
  </si>
  <si>
    <t>MINSKY NOGA CHLAMTAC MD</t>
  </si>
  <si>
    <t>MinskyNoga</t>
  </si>
  <si>
    <t>MINSKY NOGA DR.</t>
  </si>
  <si>
    <t>1560 GRAND CONCOURSE STE 102</t>
  </si>
  <si>
    <t>SCANNELL ELIZABETH</t>
  </si>
  <si>
    <t>E0444456</t>
  </si>
  <si>
    <t>RUBIN JENNIFER DANIELA</t>
  </si>
  <si>
    <t>RUBIN JENNIFER</t>
  </si>
  <si>
    <t>E0118201</t>
  </si>
  <si>
    <t>INABNET WILLIAM B III MD</t>
  </si>
  <si>
    <t>InabnetWilliam</t>
  </si>
  <si>
    <t>INABNET WILLIAM DR.</t>
  </si>
  <si>
    <t>INABNET WILLIAM BARLOW III</t>
  </si>
  <si>
    <t>5 E 98TH ST FL 14 # 1259</t>
  </si>
  <si>
    <t>NGENGWE RAPHAEL</t>
  </si>
  <si>
    <t>200 HAWKINS DR</t>
  </si>
  <si>
    <t>IOWA CITY</t>
  </si>
  <si>
    <t>IA</t>
  </si>
  <si>
    <t>E0367337</t>
  </si>
  <si>
    <t>MICHALAK MAIRA J</t>
  </si>
  <si>
    <t>MichalakMaria</t>
  </si>
  <si>
    <t>MICHALAK MARIA</t>
  </si>
  <si>
    <t>E0350494</t>
  </si>
  <si>
    <t>PARK SUNG</t>
  </si>
  <si>
    <t>ParkSungChul</t>
  </si>
  <si>
    <t>PARK SUNG CHUL</t>
  </si>
  <si>
    <t>E0330061</t>
  </si>
  <si>
    <t>ROSENBERG JOSHUA DAVID</t>
  </si>
  <si>
    <t>RosenbergJoshua</t>
  </si>
  <si>
    <t>ROSENBERG JOSHUA</t>
  </si>
  <si>
    <t>E0324490</t>
  </si>
  <si>
    <t>YANG AMY</t>
  </si>
  <si>
    <t>YANG AMY DR.</t>
  </si>
  <si>
    <t>YANG AMY C</t>
  </si>
  <si>
    <t>1184 5TH AVE 2ND FL</t>
  </si>
  <si>
    <t>E0305519</t>
  </si>
  <si>
    <t>O'DONOGUE MEGHAN</t>
  </si>
  <si>
    <t>O'DonogueMeghan</t>
  </si>
  <si>
    <t>TORRES MEGHAN</t>
  </si>
  <si>
    <t>TORRES MEGHAN K</t>
  </si>
  <si>
    <t>E0304317</t>
  </si>
  <si>
    <t>CHEN HENRY C</t>
  </si>
  <si>
    <t>ChenHenry</t>
  </si>
  <si>
    <t>ONE GUSTAVE L LEVY PL</t>
  </si>
  <si>
    <t>E0334969</t>
  </si>
  <si>
    <t>MATHNEY EDWARD R MD</t>
  </si>
  <si>
    <t>MathneyEdward</t>
  </si>
  <si>
    <t>MATHNEY EDWARD DR.</t>
  </si>
  <si>
    <t>PATEL ANJLEE</t>
  </si>
  <si>
    <t>800 PENNSYLVANIA AVE</t>
  </si>
  <si>
    <t>WV</t>
  </si>
  <si>
    <t>E0141184</t>
  </si>
  <si>
    <t>NASSISI DENISE MD</t>
  </si>
  <si>
    <t>NASSISI DENISE</t>
  </si>
  <si>
    <t>E0182265</t>
  </si>
  <si>
    <t>SMOUHA ERIC EZRA MD</t>
  </si>
  <si>
    <t>SMOUHA ERIC</t>
  </si>
  <si>
    <t>HSC SUNY STONY BROOK</t>
  </si>
  <si>
    <t>E0316234</t>
  </si>
  <si>
    <t>DOMANSKI MICHAEL JOHN</t>
  </si>
  <si>
    <t>DOMANSKI MICHAEL</t>
  </si>
  <si>
    <t>E0139991</t>
  </si>
  <si>
    <t>LONNER BARON STUART MD</t>
  </si>
  <si>
    <t>LonnerBaronS</t>
  </si>
  <si>
    <t>LONNER BARON DR.</t>
  </si>
  <si>
    <t>E0112791</t>
  </si>
  <si>
    <t>DELEON ISABELLE A MD</t>
  </si>
  <si>
    <t>DELEON ISABELLE DR.</t>
  </si>
  <si>
    <t>7901 BROADWAY # A1-9</t>
  </si>
  <si>
    <t>STEIN JOSHUA</t>
  </si>
  <si>
    <t>4368 FARMINGTON CIR</t>
  </si>
  <si>
    <t>SCHIFFMAN MICHAEL DR.</t>
  </si>
  <si>
    <t>1 GUSTAVE L LEVY PL, BOX 1187</t>
  </si>
  <si>
    <t>SantosLydia</t>
  </si>
  <si>
    <t>SANTOS LYDIA MS.</t>
  </si>
  <si>
    <t>MAHMOOD SORAN</t>
  </si>
  <si>
    <t>E0362200</t>
  </si>
  <si>
    <t>WILDER VENIS TIARRA</t>
  </si>
  <si>
    <t>WILDER VENIS MS.</t>
  </si>
  <si>
    <t>SINGH DIGVIJAY DR.</t>
  </si>
  <si>
    <t>3249 OAK PARK AVE</t>
  </si>
  <si>
    <t>BERWYN</t>
  </si>
  <si>
    <t>LIANTONIO JOHN DR.</t>
  </si>
  <si>
    <t>833 CHESTNUT ST, SUITE 301</t>
  </si>
  <si>
    <t>E0358428</t>
  </si>
  <si>
    <t>SAMUEL DIANA</t>
  </si>
  <si>
    <t>SamuelDiana</t>
  </si>
  <si>
    <t>BERCU ZACHARY DR.</t>
  </si>
  <si>
    <t>1364 CLIFTON RD NE, SUITE AG-05</t>
  </si>
  <si>
    <t>E0365898</t>
  </si>
  <si>
    <t>DURAN STEFANIE</t>
  </si>
  <si>
    <t>DURAN STEFANIE MS.</t>
  </si>
  <si>
    <t>HARRINGTON ANDREW</t>
  </si>
  <si>
    <t>E0040274</t>
  </si>
  <si>
    <t>KREMER ANNA A MD</t>
  </si>
  <si>
    <t>KremerAnna</t>
  </si>
  <si>
    <t>KREMER ANNA DR.</t>
  </si>
  <si>
    <t>GordonWayne</t>
  </si>
  <si>
    <t>GORDON WAYNE</t>
  </si>
  <si>
    <t>5 E. 98TH STREET, 6TH FLOOR BOX 1240 B</t>
  </si>
  <si>
    <t>E0015854</t>
  </si>
  <si>
    <t>BRODY ERICA MD</t>
  </si>
  <si>
    <t>BRODY ERICA</t>
  </si>
  <si>
    <t>E0203131</t>
  </si>
  <si>
    <t>HECHT ALAN JAY MD</t>
  </si>
  <si>
    <t>HechtAlan</t>
  </si>
  <si>
    <t>HECHT ALAN</t>
  </si>
  <si>
    <t>TrotmanAdina</t>
  </si>
  <si>
    <t>E0317145</t>
  </si>
  <si>
    <t>CARIDI JOHN</t>
  </si>
  <si>
    <t>CaridiJohn</t>
  </si>
  <si>
    <t>CARIDI JOHN M MD</t>
  </si>
  <si>
    <t>1 GUSTAVE L LEVY PL # 1136B</t>
  </si>
  <si>
    <t>Nimes-MayesOfelia</t>
  </si>
  <si>
    <t>NIMES-MAYES OFELIA MS.</t>
  </si>
  <si>
    <t>1450 MADISON AVE, 6TH FLOOR- ELECTROPHYSIOLOGY SERVICE</t>
  </si>
  <si>
    <t>SachedinaRahela</t>
  </si>
  <si>
    <t>SACHEDINA RAHELA</t>
  </si>
  <si>
    <t>185 MADISON AVE, SUITE 800</t>
  </si>
  <si>
    <t>DomingoMyrna</t>
  </si>
  <si>
    <t>DOMINGO MYRNA</t>
  </si>
  <si>
    <t>3959 BROADWAY, 7 TOWER</t>
  </si>
  <si>
    <t>BALASUNDARAM KIRUTHIKA</t>
  </si>
  <si>
    <t>114 WHITWELL STREET, QUINCY MEDICAL CENTER</t>
  </si>
  <si>
    <t>Gorenstein-HoltzmanMichelle</t>
  </si>
  <si>
    <t>GORENSTEIN-HOLTZMAN MICHELLE</t>
  </si>
  <si>
    <t>DUANMU YOUYOU</t>
  </si>
  <si>
    <t>10 CHARLES ST, APT. 4A</t>
  </si>
  <si>
    <t>MATTHEWS ANDREW DR.</t>
  </si>
  <si>
    <t>DARGAH-ZADA NIGAR</t>
  </si>
  <si>
    <t>350 E 17TH ST FL 20</t>
  </si>
  <si>
    <t>SHIN JAE DR.</t>
  </si>
  <si>
    <t>16 S PENNELL RD</t>
  </si>
  <si>
    <t>MEDIA</t>
  </si>
  <si>
    <t>SIFONTE ELIUD</t>
  </si>
  <si>
    <t>LEE MICHELE</t>
  </si>
  <si>
    <t>RODRIGUEZ GARCIA GRETTEL</t>
  </si>
  <si>
    <t>7 MEDICAL BLVD</t>
  </si>
  <si>
    <t>HATTIESBURG</t>
  </si>
  <si>
    <t>E0376734</t>
  </si>
  <si>
    <t>PARK JU HYUNG</t>
  </si>
  <si>
    <t>ParkJuHyung</t>
  </si>
  <si>
    <t>PARK JU HYUNG MS.</t>
  </si>
  <si>
    <t>1470 MADISON AVE FL 3</t>
  </si>
  <si>
    <t>XuRuimin</t>
  </si>
  <si>
    <t>E0110335</t>
  </si>
  <si>
    <t>NAIDICH THOMAS P MD</t>
  </si>
  <si>
    <t>NaidichThomas</t>
  </si>
  <si>
    <t>NAIDICH THOMAS</t>
  </si>
  <si>
    <t>E0134038</t>
  </si>
  <si>
    <t>JOSEPH R PODHORZER MD PLLC</t>
  </si>
  <si>
    <t>PODHORZER JOSEPH DR.</t>
  </si>
  <si>
    <t>PODHORZER JOSEPH  MD</t>
  </si>
  <si>
    <t>E0222172</t>
  </si>
  <si>
    <t>FITZIG LORENZO             MD</t>
  </si>
  <si>
    <t>FITZIG LORENZO</t>
  </si>
  <si>
    <t>E0076899</t>
  </si>
  <si>
    <t>GOLDMAN THOMAS I</t>
  </si>
  <si>
    <t>GoldmanThomasIsrael</t>
  </si>
  <si>
    <t>GOLDMAN THOMAS DR.</t>
  </si>
  <si>
    <t>E0033065</t>
  </si>
  <si>
    <t>CHAUDHRY AHMED DO</t>
  </si>
  <si>
    <t>ChaudhryAhmed</t>
  </si>
  <si>
    <t>CHAUDHRY AHMED DR.</t>
  </si>
  <si>
    <t>E0135177</t>
  </si>
  <si>
    <t>ARONSON ANDREW CHARLES MD</t>
  </si>
  <si>
    <t>AronsonAndrew</t>
  </si>
  <si>
    <t>ARONSON ANDREW DR.</t>
  </si>
  <si>
    <t>E0354258</t>
  </si>
  <si>
    <t>COHEN HARLEY JOSEPH</t>
  </si>
  <si>
    <t>CohenHarley</t>
  </si>
  <si>
    <t>COHEN HARLEY</t>
  </si>
  <si>
    <t>E0190269</t>
  </si>
  <si>
    <t>PARNESS IRA A MD</t>
  </si>
  <si>
    <t>ParnessIra</t>
  </si>
  <si>
    <t>PARNESS IRA</t>
  </si>
  <si>
    <t>E0013172</t>
  </si>
  <si>
    <t>SHIRAZIAN TARANEH MD</t>
  </si>
  <si>
    <t>ShirazianTaraneh</t>
  </si>
  <si>
    <t>SHIRAZIAN TARANEH</t>
  </si>
  <si>
    <t>E0104524</t>
  </si>
  <si>
    <t>BARNETT BARBARA JEAN  MD</t>
  </si>
  <si>
    <t>BarnettBarbara</t>
  </si>
  <si>
    <t>BARNETT BARBARA</t>
  </si>
  <si>
    <t>LIJ EMERG MED PHYS</t>
  </si>
  <si>
    <t>MarshallStrome</t>
  </si>
  <si>
    <t>STROME MARSHALL</t>
  </si>
  <si>
    <t>425 W 59TH ST, 10TH FLOOR</t>
  </si>
  <si>
    <t>E0152236</t>
  </si>
  <si>
    <t>BAIRD WILLIAM T DPM</t>
  </si>
  <si>
    <t>BAIRD WILLIAM DR.</t>
  </si>
  <si>
    <t>BAIRD WILLIAM T III</t>
  </si>
  <si>
    <t>5412 KINGS PLZ</t>
  </si>
  <si>
    <t>E0096017</t>
  </si>
  <si>
    <t>CHIN MAXINE GRACE</t>
  </si>
  <si>
    <t>ChinMaxine</t>
  </si>
  <si>
    <t>CHIN MAXINE MS.</t>
  </si>
  <si>
    <t>SadhuPhanindar</t>
  </si>
  <si>
    <t>SADHU PHANINDAR</t>
  </si>
  <si>
    <t>26585 BOYER CIR</t>
  </si>
  <si>
    <t>EVANS MILLS</t>
  </si>
  <si>
    <t>HarrilalTaurean</t>
  </si>
  <si>
    <t>HARRILAL TAUREAN</t>
  </si>
  <si>
    <t>144 4TH AVE</t>
  </si>
  <si>
    <t>KhouzamNour</t>
  </si>
  <si>
    <t>KHOUZAM NOUR</t>
  </si>
  <si>
    <t>KroftAlex</t>
  </si>
  <si>
    <t>KROFT ALEX</t>
  </si>
  <si>
    <t>OESTREICHER JEFFREY DR.</t>
  </si>
  <si>
    <t>SHIN HELEN DR.</t>
  </si>
  <si>
    <t>133 MORNINGSIDE AVE, NEW YORK</t>
  </si>
  <si>
    <t>E0429324</t>
  </si>
  <si>
    <t>DISCEPOLA PAUL H</t>
  </si>
  <si>
    <t>DISCEPOLA PAUL</t>
  </si>
  <si>
    <t>1140 ROUTE 72 W</t>
  </si>
  <si>
    <t>MANAHAWKIN</t>
  </si>
  <si>
    <t>FAUSTINI ANTHONY DR.</t>
  </si>
  <si>
    <t>100 GRAND ST</t>
  </si>
  <si>
    <t>NEW BRITAIN</t>
  </si>
  <si>
    <t>E0333783</t>
  </si>
  <si>
    <t>CAJULIS CORAZON BAUTISTA</t>
  </si>
  <si>
    <t>CajulisCorazon</t>
  </si>
  <si>
    <t>CAJULIS CORAZON MS.</t>
  </si>
  <si>
    <t>E0005037</t>
  </si>
  <si>
    <t>GOPI PATEL</t>
  </si>
  <si>
    <t>PatelGopi</t>
  </si>
  <si>
    <t>PATEL GOPI DR.</t>
  </si>
  <si>
    <t>PATEL GOPI MD</t>
  </si>
  <si>
    <t>E0007483</t>
  </si>
  <si>
    <t>BERSHAD SUSAN</t>
  </si>
  <si>
    <t>BERSHAD SUSAN DR.</t>
  </si>
  <si>
    <t>GabbayVilma</t>
  </si>
  <si>
    <t>GABBAY VILMA</t>
  </si>
  <si>
    <t>577 1ST AVE</t>
  </si>
  <si>
    <t>E0296125</t>
  </si>
  <si>
    <t>YVONNE MARGARET SAENGER</t>
  </si>
  <si>
    <t>SAENGER YVONNE</t>
  </si>
  <si>
    <t>SAENGER YVONNE MARGARET MD</t>
  </si>
  <si>
    <t>GUZIEL JEANNETTE DR.</t>
  </si>
  <si>
    <t>3401 N BROAD ST, 812 PARKINSON PAVILLION</t>
  </si>
  <si>
    <t>Gildener-LeapmanNeil</t>
  </si>
  <si>
    <t>E0141328</t>
  </si>
  <si>
    <t>GOODEN CHERYL KAY MD</t>
  </si>
  <si>
    <t>GoodenCheryl</t>
  </si>
  <si>
    <t>GOODEN CHERYL DR.</t>
  </si>
  <si>
    <t>MONTEFIORE ANES DEPT</t>
  </si>
  <si>
    <t>E0374459</t>
  </si>
  <si>
    <t>BALZANO JULIE</t>
  </si>
  <si>
    <t>BalzanoJulie</t>
  </si>
  <si>
    <t>BALZANO JULIE DR.</t>
  </si>
  <si>
    <t>BALZANO JULIE ELIZABETH</t>
  </si>
  <si>
    <t>10 UNION SQ EAST</t>
  </si>
  <si>
    <t>Al-IbraheemiZainab</t>
  </si>
  <si>
    <t>AL-IBRAHEEMI ZAINAB</t>
  </si>
  <si>
    <t>7600 KIRBY DR, APT 206</t>
  </si>
  <si>
    <t>E0362723</t>
  </si>
  <si>
    <t>DONNA ANN RUSSO</t>
  </si>
  <si>
    <t>RussoDonna</t>
  </si>
  <si>
    <t>RUSSO DONNA MS.</t>
  </si>
  <si>
    <t>RUSSO DONNA ANN</t>
  </si>
  <si>
    <t>5 E 98TH ST FL 1188/9TH</t>
  </si>
  <si>
    <t>E0371500</t>
  </si>
  <si>
    <t>PARVIN SYNTHIA</t>
  </si>
  <si>
    <t>ParvinSynthia</t>
  </si>
  <si>
    <t>MohitiasliJamak</t>
  </si>
  <si>
    <t>MOHITIASLI JAMAK</t>
  </si>
  <si>
    <t>1 GUSTAVE L LAVY PLACE</t>
  </si>
  <si>
    <t>SafiSalahUdUdin</t>
  </si>
  <si>
    <t>SAFI SALAH UD DIN</t>
  </si>
  <si>
    <t>3645 CORLEAR AVE</t>
  </si>
  <si>
    <t>E0277801</t>
  </si>
  <si>
    <t>RAMOS TAPIA ALBERTO M MD</t>
  </si>
  <si>
    <t>Ramos-TapiaAlberto</t>
  </si>
  <si>
    <t>RAMOS-TAPIA ALBERTO</t>
  </si>
  <si>
    <t>3738 73RD ST</t>
  </si>
  <si>
    <t>E0392346</t>
  </si>
  <si>
    <t>HASHEMI GHONCHE</t>
  </si>
  <si>
    <t>HashemiGhonche</t>
  </si>
  <si>
    <t>E0092698</t>
  </si>
  <si>
    <t>BAXTER KATHRYN M</t>
  </si>
  <si>
    <t>BaxterKathryn</t>
  </si>
  <si>
    <t>BAXTER KATHRYN MS.</t>
  </si>
  <si>
    <t>WINGATE AT ULSTER</t>
  </si>
  <si>
    <t>E0131939</t>
  </si>
  <si>
    <t>SCHUMACHER MICHAEL ARTHUR DPM</t>
  </si>
  <si>
    <t>SchumacherMichael</t>
  </si>
  <si>
    <t>SCHUMACHER MICHAEL</t>
  </si>
  <si>
    <t>SCHUMACHER MICHAEL ARTHUR</t>
  </si>
  <si>
    <t>200 WEST 57TH STREET 15TH &amp; 16TH FL</t>
  </si>
  <si>
    <t>E0082374</t>
  </si>
  <si>
    <t>BANSAL MEENA B MD</t>
  </si>
  <si>
    <t>BANSAL MEENA</t>
  </si>
  <si>
    <t>E0026263</t>
  </si>
  <si>
    <t>BRON YANA MD</t>
  </si>
  <si>
    <t>MRS.YANABRON</t>
  </si>
  <si>
    <t>BRON YANA MRS.</t>
  </si>
  <si>
    <t>350 OCEAN AVE APT 1B</t>
  </si>
  <si>
    <t>E0363636</t>
  </si>
  <si>
    <t>KAPOOR-HINTZEN NEENA</t>
  </si>
  <si>
    <t>KapoorNeena</t>
  </si>
  <si>
    <t>E0196182</t>
  </si>
  <si>
    <t>ROSENBLATT MARC A</t>
  </si>
  <si>
    <t>RosenblattMarcA.</t>
  </si>
  <si>
    <t>E0031455</t>
  </si>
  <si>
    <t>DASKALAKIS DEMETRE COSTAS</t>
  </si>
  <si>
    <t>DASKALAKIS DEMETRE DR.</t>
  </si>
  <si>
    <t>E0000438</t>
  </si>
  <si>
    <t>BLAIR SEIDLER HAMMOND</t>
  </si>
  <si>
    <t>HAMMOND BLAIR</t>
  </si>
  <si>
    <t>HAMMOND BLAIR SEIDLER MD</t>
  </si>
  <si>
    <t>E0362893</t>
  </si>
  <si>
    <t>MARESCA ANGELA J</t>
  </si>
  <si>
    <t>MarescaAngela</t>
  </si>
  <si>
    <t>MARESCA ANGELA</t>
  </si>
  <si>
    <t>E0328436</t>
  </si>
  <si>
    <t>BHATT HIMANI V</t>
  </si>
  <si>
    <t>BhattHimani</t>
  </si>
  <si>
    <t>BHATT HIMANI DR.</t>
  </si>
  <si>
    <t>BHATT HIMANI</t>
  </si>
  <si>
    <t>E0356128</t>
  </si>
  <si>
    <t>HUANG WENDY WEN-EE</t>
  </si>
  <si>
    <t>HuangWendy</t>
  </si>
  <si>
    <t>HUANG WENDY</t>
  </si>
  <si>
    <t>E0289084</t>
  </si>
  <si>
    <t>PETERSEN BRUCE</t>
  </si>
  <si>
    <t>PETERSEN BRUCE DR.</t>
  </si>
  <si>
    <t>PETERSEN BRUCE ERIC</t>
  </si>
  <si>
    <t>E0366264</t>
  </si>
  <si>
    <t>SONI SONIA</t>
  </si>
  <si>
    <t>SONI SONIA DR.</t>
  </si>
  <si>
    <t>ThomasYared</t>
  </si>
  <si>
    <t>JosefinaBastidas</t>
  </si>
  <si>
    <t>(718) 858-9658</t>
  </si>
  <si>
    <t>jbastidas@communityalternatives.org</t>
  </si>
  <si>
    <t>MargaretMcEvoy</t>
  </si>
  <si>
    <t>JulieMannas</t>
  </si>
  <si>
    <t>MANNAS JULIE</t>
  </si>
  <si>
    <t>2976 NORTHERN BLVD, 2ND FLR</t>
  </si>
  <si>
    <t>E0297968</t>
  </si>
  <si>
    <t>TRAN BRYAN JOHN MD</t>
  </si>
  <si>
    <t>TranBryan</t>
  </si>
  <si>
    <t>TRAN BRYAN DR.</t>
  </si>
  <si>
    <t>E0333413</t>
  </si>
  <si>
    <t>THOMPSON CECILIA D</t>
  </si>
  <si>
    <t>ThompsonCecilia</t>
  </si>
  <si>
    <t>THOMPSON CECILIA</t>
  </si>
  <si>
    <t>E0094230</t>
  </si>
  <si>
    <t>GRODBERG DAVID M</t>
  </si>
  <si>
    <t>GrodbergDavid</t>
  </si>
  <si>
    <t>GRODBERG DAVID</t>
  </si>
  <si>
    <t>MMC PSYCH PRACT</t>
  </si>
  <si>
    <t>ELHADDAD ABDELAZIZ DR.</t>
  </si>
  <si>
    <t>95 UNIVERSITY AVENUE, SUITE 1</t>
  </si>
  <si>
    <t>DES MOINES</t>
  </si>
  <si>
    <t>E0445601</t>
  </si>
  <si>
    <t>BROWN SHAUN</t>
  </si>
  <si>
    <t>BROWN SHAUN DR.</t>
  </si>
  <si>
    <t>E0441243</t>
  </si>
  <si>
    <t>CHEN YIFENG</t>
  </si>
  <si>
    <t>CHEN YI FENG</t>
  </si>
  <si>
    <t>E0383422</t>
  </si>
  <si>
    <t>STEINBERG ERIC</t>
  </si>
  <si>
    <t>STEINBERG ERIC DR.</t>
  </si>
  <si>
    <t>STEINBERG ERIC M</t>
  </si>
  <si>
    <t>AHMAD ASIM</t>
  </si>
  <si>
    <t>4500 SAN PABLO RD S, PROVIDER ENROLLMENT</t>
  </si>
  <si>
    <t>JACKSONVILLE</t>
  </si>
  <si>
    <t>E0321164</t>
  </si>
  <si>
    <t>PENG CHARLES</t>
  </si>
  <si>
    <t>PengCharlesY</t>
  </si>
  <si>
    <t>PENG CHARLES Y</t>
  </si>
  <si>
    <t>E0367241</t>
  </si>
  <si>
    <t>FRARACCIO LILLIAN</t>
  </si>
  <si>
    <t>FraraccioLillian</t>
  </si>
  <si>
    <t>1 GUSTAVE L LEVY PL RM 271 # 1458</t>
  </si>
  <si>
    <t>E0335352</t>
  </si>
  <si>
    <t>SALTER BENJAMIN S</t>
  </si>
  <si>
    <t>SalterBenjamin</t>
  </si>
  <si>
    <t>SALTER BENJAMIN DR.</t>
  </si>
  <si>
    <t>E0288510</t>
  </si>
  <si>
    <t>GARCIA ROSARIO MD</t>
  </si>
  <si>
    <t>GarciaRosario</t>
  </si>
  <si>
    <t>GARCIA ROSARIO</t>
  </si>
  <si>
    <t>RIPOLL LUIS DR.</t>
  </si>
  <si>
    <t>240 MADISON AVE, OFFICE 10A</t>
  </si>
  <si>
    <t>WangDar-Jen</t>
  </si>
  <si>
    <t>WANG DAR JEN MR.</t>
  </si>
  <si>
    <t>2670 E PACIFIC CT</t>
  </si>
  <si>
    <t>BREA</t>
  </si>
  <si>
    <t>JonesMichael</t>
  </si>
  <si>
    <t>JONES MICHAEL MR.</t>
  </si>
  <si>
    <t>E0144985</t>
  </si>
  <si>
    <t>XENOPHON LUCILLE C MD</t>
  </si>
  <si>
    <t>XenophonLucille</t>
  </si>
  <si>
    <t>XENOPHON LUCILLE</t>
  </si>
  <si>
    <t>E0016482</t>
  </si>
  <si>
    <t>MULLINGS MAVERLY VIOLA</t>
  </si>
  <si>
    <t>MULLINGS MAVERLY MS.</t>
  </si>
  <si>
    <t>E0270625</t>
  </si>
  <si>
    <t>LORINSKY MARC H           DMD</t>
  </si>
  <si>
    <t>LORINSKY MARC DR.</t>
  </si>
  <si>
    <t>2 E 54 ST</t>
  </si>
  <si>
    <t>E0310923</t>
  </si>
  <si>
    <t>SHYAMALA CHENDEAL NAVADA</t>
  </si>
  <si>
    <t>NavadaShyamala</t>
  </si>
  <si>
    <t>NAVADA SHYAMALA DR.</t>
  </si>
  <si>
    <t>NAVADA SHYAMALA CHENDEAL</t>
  </si>
  <si>
    <t>1190 5TH AVENUE GUGGENHEIM PAVILLION 1ST</t>
  </si>
  <si>
    <t>E0104100</t>
  </si>
  <si>
    <t>FEDER ADRIANA MD</t>
  </si>
  <si>
    <t>FederAdriana</t>
  </si>
  <si>
    <t>FEDER ADRIANA DR.</t>
  </si>
  <si>
    <t>E0102424</t>
  </si>
  <si>
    <t>CARCATERRA JOANN DO</t>
  </si>
  <si>
    <t>CarcaterraJoann</t>
  </si>
  <si>
    <t>CARCATERRA JOANN DR.</t>
  </si>
  <si>
    <t>2750 MERRICK RD</t>
  </si>
  <si>
    <t>E0005396</t>
  </si>
  <si>
    <t>CHRISTOPHER GANNON STROTHER</t>
  </si>
  <si>
    <t>StrotherChristopher</t>
  </si>
  <si>
    <t>STROTHER CHRISTOPHER DR.</t>
  </si>
  <si>
    <t>STROTHER CHRISTOPHER GANNON MD</t>
  </si>
  <si>
    <t>100TH SREET &amp; MADISON AVENUE</t>
  </si>
  <si>
    <t>HammondIsaac</t>
  </si>
  <si>
    <t>BREWER KATHERINE</t>
  </si>
  <si>
    <t>5 E 98TH ST, 6TH FLOOR</t>
  </si>
  <si>
    <t>E0382762</t>
  </si>
  <si>
    <t>VargheseBetsy</t>
  </si>
  <si>
    <t>VARGHESE BETSY MATHEW</t>
  </si>
  <si>
    <t>MOSSOP EDWARD DR.</t>
  </si>
  <si>
    <t>ONE GUSTAVE L LEVY PLACE, MOUNT SINAI</t>
  </si>
  <si>
    <t>SEROUYA SAM</t>
  </si>
  <si>
    <t>E0418338</t>
  </si>
  <si>
    <t>LIU JERRY TSUNING</t>
  </si>
  <si>
    <t>LIU JERRY DR.</t>
  </si>
  <si>
    <t>HENDLER STEVEN</t>
  </si>
  <si>
    <t>FAUST JEREMY DR.</t>
  </si>
  <si>
    <t>3 EAST 102ND STREET</t>
  </si>
  <si>
    <t>NAZMY MIRIAM DR.</t>
  </si>
  <si>
    <t>1770 N ORANGE GROVE AVE, SUITE 100</t>
  </si>
  <si>
    <t>BEASLEY CHARLES DR.</t>
  </si>
  <si>
    <t>701 DOCTORS DR</t>
  </si>
  <si>
    <t>KINSTON</t>
  </si>
  <si>
    <t>E0347424</t>
  </si>
  <si>
    <t>GUERRERO RACHEL</t>
  </si>
  <si>
    <t>GuerreroRachel</t>
  </si>
  <si>
    <t>GUERRERO RACHEL DR.</t>
  </si>
  <si>
    <t>E0412879</t>
  </si>
  <si>
    <t>JABER NADIM</t>
  </si>
  <si>
    <t>JABER NADIM AOUN</t>
  </si>
  <si>
    <t>HoeflichWerner</t>
  </si>
  <si>
    <t>HOEFLICH WERNER MR.</t>
  </si>
  <si>
    <t>310 14TH ST, APT.3L</t>
  </si>
  <si>
    <t>E0041636</t>
  </si>
  <si>
    <t>KATS LYUDMILA</t>
  </si>
  <si>
    <t>LYUDMILAKATS</t>
  </si>
  <si>
    <t>KATS LYUDMILA A MD</t>
  </si>
  <si>
    <t>E0156468</t>
  </si>
  <si>
    <t>DERMKSIAN JEFFREY V MD</t>
  </si>
  <si>
    <t>JEFFREYDERMKSIAN</t>
  </si>
  <si>
    <t>DERMKSIAN JEFFREY DR.</t>
  </si>
  <si>
    <t>E0269393</t>
  </si>
  <si>
    <t>TEITEL MICHAEL G           MD</t>
  </si>
  <si>
    <t>MICHAELTEITEL</t>
  </si>
  <si>
    <t>TEITEL MICHAEL DR.</t>
  </si>
  <si>
    <t>TEITEL MICHAEL G</t>
  </si>
  <si>
    <t>25-35 31ST AVE</t>
  </si>
  <si>
    <t>L I C</t>
  </si>
  <si>
    <t>DEVINOKAY</t>
  </si>
  <si>
    <t>OKAY DEVIN</t>
  </si>
  <si>
    <t>E0373111</t>
  </si>
  <si>
    <t>SANGIOVANNI CHRISTINE BOBOTAS</t>
  </si>
  <si>
    <t>SanGiovanniChristine</t>
  </si>
  <si>
    <t>SANGIOVANNI CHRISTINE MRS.</t>
  </si>
  <si>
    <t>E0218614</t>
  </si>
  <si>
    <t>SCHICK ALEXANDER           MD</t>
  </si>
  <si>
    <t>ALEXANDERSCHICK</t>
  </si>
  <si>
    <t>SCHICK ALEXANDER DR.</t>
  </si>
  <si>
    <t>CLOSED 030888</t>
  </si>
  <si>
    <t>E0114325</t>
  </si>
  <si>
    <t>MALACHOVSKY MARTIN</t>
  </si>
  <si>
    <t>MARTINMALACHOVSKY</t>
  </si>
  <si>
    <t>MALACHOVSKY MARTIN DR.</t>
  </si>
  <si>
    <t>330 W 58TH ST STE 414</t>
  </si>
  <si>
    <t>E0160400</t>
  </si>
  <si>
    <t>GERDES KENNETH J MD</t>
  </si>
  <si>
    <t>KENNETHGERDES</t>
  </si>
  <si>
    <t>GERDES KENNETH DR.</t>
  </si>
  <si>
    <t>E0025738</t>
  </si>
  <si>
    <t>CARRERA ROSE-MARIE  MD</t>
  </si>
  <si>
    <t>ROSE-MARIECARRERA</t>
  </si>
  <si>
    <t>CARRERA ROSE-MARIE DR.</t>
  </si>
  <si>
    <t>E0060551</t>
  </si>
  <si>
    <t>SHAH SHEFALI</t>
  </si>
  <si>
    <t>SHEFALISHAH</t>
  </si>
  <si>
    <t>SHAH SHEFALI DR.</t>
  </si>
  <si>
    <t>480 E BAY DR</t>
  </si>
  <si>
    <t>E0204361</t>
  </si>
  <si>
    <t>AINSPAN JEFFREY LOUIS MD</t>
  </si>
  <si>
    <t>JEFFREYAINSPAN</t>
  </si>
  <si>
    <t>AINSPAN JEFFREY DR.</t>
  </si>
  <si>
    <t>E0076240</t>
  </si>
  <si>
    <t>FIELD JONATHAN MD</t>
  </si>
  <si>
    <t>JONATHANFIELD</t>
  </si>
  <si>
    <t>FIELD JONATHAN</t>
  </si>
  <si>
    <t>E0222050</t>
  </si>
  <si>
    <t>NADELSON ELLIOT J          MD</t>
  </si>
  <si>
    <t>ELLIOTNADELSON</t>
  </si>
  <si>
    <t>NADELSON ELLIOT</t>
  </si>
  <si>
    <t>24 EAST 12 ST</t>
  </si>
  <si>
    <t>E0302024</t>
  </si>
  <si>
    <t>MOON JANG IL</t>
  </si>
  <si>
    <t>MoonJang</t>
  </si>
  <si>
    <t>MOON JANG</t>
  </si>
  <si>
    <t>1801 NW 9TH AVE FL 5</t>
  </si>
  <si>
    <t>E0312293</t>
  </si>
  <si>
    <t>GALSKY MATTHEW DAVID</t>
  </si>
  <si>
    <t>GalskyMatthew</t>
  </si>
  <si>
    <t>GALSKY MATTHEW</t>
  </si>
  <si>
    <t>E0124532</t>
  </si>
  <si>
    <t>BRYCE THOMAS NATHANIEL MD</t>
  </si>
  <si>
    <t>BryceThomas</t>
  </si>
  <si>
    <t>BRYCE THOMAS</t>
  </si>
  <si>
    <t>REHAB MED ASC 6TH FL</t>
  </si>
  <si>
    <t>E0166426</t>
  </si>
  <si>
    <t>ESPOSITO STEPHEN P MD</t>
  </si>
  <si>
    <t>EspositoStephen</t>
  </si>
  <si>
    <t>ESPOSITO STEPHEN</t>
  </si>
  <si>
    <t>E0001930</t>
  </si>
  <si>
    <t>DUA SAKSHI</t>
  </si>
  <si>
    <t>DuaSakshi</t>
  </si>
  <si>
    <t>DUA SAKSHI MD</t>
  </si>
  <si>
    <t>E0128386</t>
  </si>
  <si>
    <t>HERSTIK BARRY GLENN DPM</t>
  </si>
  <si>
    <t>HERSTIK BARRY</t>
  </si>
  <si>
    <t>934 MANHATTAN AVE</t>
  </si>
  <si>
    <t>E0362019</t>
  </si>
  <si>
    <t>ARMEDILLA EPIFANI DIAZ</t>
  </si>
  <si>
    <t>Diaz-ArmedillaEpifani</t>
  </si>
  <si>
    <t>ARMEDILLA EPIFANI MRS.</t>
  </si>
  <si>
    <t>E0293603</t>
  </si>
  <si>
    <t>CHIKWE JOANNA YVONNE MD</t>
  </si>
  <si>
    <t>ChikweJoanna</t>
  </si>
  <si>
    <t>CHIKWE JOANNA</t>
  </si>
  <si>
    <t>E0011127</t>
  </si>
  <si>
    <t>MARCUSE LARA VANESSA MD</t>
  </si>
  <si>
    <t>MarcuseLara</t>
  </si>
  <si>
    <t>MARCUSE LARA</t>
  </si>
  <si>
    <t>E0348332</t>
  </si>
  <si>
    <t>LIN ELAINE PATRICIA</t>
  </si>
  <si>
    <t>LinElaine</t>
  </si>
  <si>
    <t>LIN ELAINE MS.</t>
  </si>
  <si>
    <t>E0372370</t>
  </si>
  <si>
    <t>PABICH AGNIESZKA</t>
  </si>
  <si>
    <t>PabichAgnieszka</t>
  </si>
  <si>
    <t>E0094159</t>
  </si>
  <si>
    <t>TING WINDSOR MD</t>
  </si>
  <si>
    <t>TingWindsor</t>
  </si>
  <si>
    <t>TING WINDSOR</t>
  </si>
  <si>
    <t>E0075052</t>
  </si>
  <si>
    <t>RIEBER JONATHAN MAX MD</t>
  </si>
  <si>
    <t>JonathanRieber</t>
  </si>
  <si>
    <t>RIEBER JONATHAN DR.</t>
  </si>
  <si>
    <t>RIEBER JONATHAN MAX</t>
  </si>
  <si>
    <t>1 ELM ST</t>
  </si>
  <si>
    <t>E0344703</t>
  </si>
  <si>
    <t>BLUM JESSICA E</t>
  </si>
  <si>
    <t>BlumJessica</t>
  </si>
  <si>
    <t>BLUM JESSICA MS.</t>
  </si>
  <si>
    <t>EPPELHEIMER CHRISTINE</t>
  </si>
  <si>
    <t>E0347232</t>
  </si>
  <si>
    <t>KATTAN JACOB DANIEL</t>
  </si>
  <si>
    <t>KattanJacob</t>
  </si>
  <si>
    <t>KATTAN JACOB</t>
  </si>
  <si>
    <t>5 EAST 98TH ST FL 10</t>
  </si>
  <si>
    <t>NDUKWE NWAYIEZE</t>
  </si>
  <si>
    <t>1924 ESSEX AVE</t>
  </si>
  <si>
    <t>E0369967</t>
  </si>
  <si>
    <t>THAN NAW SUSAN</t>
  </si>
  <si>
    <t>ThanNaw</t>
  </si>
  <si>
    <t>THAN NAW MS.</t>
  </si>
  <si>
    <t>DelCampoJennifer</t>
  </si>
  <si>
    <t>DEL CAMPO JENNIFER FREIDA</t>
  </si>
  <si>
    <t>E0429620</t>
  </si>
  <si>
    <t>CHUNG MICHAEL SUNGJAE</t>
  </si>
  <si>
    <t>CHUNG MICHAEL</t>
  </si>
  <si>
    <t>E0337460</t>
  </si>
  <si>
    <t>NAUSHINA MITHANI</t>
  </si>
  <si>
    <t>MithaniNaushina</t>
  </si>
  <si>
    <t>MITHANI NAUSHINA</t>
  </si>
  <si>
    <t>MITHANI NAUSHINA N</t>
  </si>
  <si>
    <t>MILLINER BRENDAN</t>
  </si>
  <si>
    <t>SHAH ANJAN DR.</t>
  </si>
  <si>
    <t>34 CARLSTADT RD</t>
  </si>
  <si>
    <t>MINKOWITZ SHEERA DR.</t>
  </si>
  <si>
    <t>1925 EASTCHESTER RD, 9D</t>
  </si>
  <si>
    <t>CHINNAPPAN SARANYA</t>
  </si>
  <si>
    <t>1 GUSTAVE L LEVY PL, BOX 1010</t>
  </si>
  <si>
    <t>CHENEY LAURA</t>
  </si>
  <si>
    <t>19 COUNTRY CLUB DR, APT B</t>
  </si>
  <si>
    <t>E0379703</t>
  </si>
  <si>
    <t>KOCH LAUREN M</t>
  </si>
  <si>
    <t>KochLauren</t>
  </si>
  <si>
    <t>KOCH LAUREN</t>
  </si>
  <si>
    <t>KOCH LAUREN MARIE</t>
  </si>
  <si>
    <t>ROY JONATHAN</t>
  </si>
  <si>
    <t>E0197133</t>
  </si>
  <si>
    <t>LEVINE ALICE               MD</t>
  </si>
  <si>
    <t>LevineAlice</t>
  </si>
  <si>
    <t>LEVINE ALICE</t>
  </si>
  <si>
    <t>MADEK JONATHAN DR.</t>
  </si>
  <si>
    <t>ONE GUSTAVE L. LEVY PLACE, BOX 1010</t>
  </si>
  <si>
    <t>GLASER ALLISON</t>
  </si>
  <si>
    <t>E0011250</t>
  </si>
  <si>
    <t>GIBBS KATHLEEN MD</t>
  </si>
  <si>
    <t>GIBBS KATHLEEN</t>
  </si>
  <si>
    <t>E0295755</t>
  </si>
  <si>
    <t>DIBBELL ADONIA</t>
  </si>
  <si>
    <t>DibbellAdonia</t>
  </si>
  <si>
    <t>DENNIS ADONIA</t>
  </si>
  <si>
    <t>DENNIS ADONIA H</t>
  </si>
  <si>
    <t>E0375950</t>
  </si>
  <si>
    <t>CABRAL ALBA O</t>
  </si>
  <si>
    <t>CabralAlba</t>
  </si>
  <si>
    <t>CABRAL ALBA</t>
  </si>
  <si>
    <t>CABRAL ALBA ONDINA</t>
  </si>
  <si>
    <t>E0354746</t>
  </si>
  <si>
    <t>POOR HOOMAN DADKHAHI</t>
  </si>
  <si>
    <t>PoorHooman</t>
  </si>
  <si>
    <t>POOR HOOMAN DR.</t>
  </si>
  <si>
    <t>E0327602</t>
  </si>
  <si>
    <t>LIPSON SCOTT D</t>
  </si>
  <si>
    <t>LIPSON SCOTT DR.</t>
  </si>
  <si>
    <t>E0367462</t>
  </si>
  <si>
    <t>AYE THIDA</t>
  </si>
  <si>
    <t>AyeThida</t>
  </si>
  <si>
    <t>FIRST AVE AND 16TH ST</t>
  </si>
  <si>
    <t>AlexeenkoLada</t>
  </si>
  <si>
    <t>E0337876</t>
  </si>
  <si>
    <t>WANG LAN</t>
  </si>
  <si>
    <t>WangLanSun</t>
  </si>
  <si>
    <t>WANG LAN DR.</t>
  </si>
  <si>
    <t>WANG LAN SUN</t>
  </si>
  <si>
    <t>E0355729</t>
  </si>
  <si>
    <t>SAVASTA CRISTINA MARIA</t>
  </si>
  <si>
    <t>SAVASTA CRISTINA</t>
  </si>
  <si>
    <t>FISHMAN REBECCA</t>
  </si>
  <si>
    <t>666 GREENWICH ST, #715</t>
  </si>
  <si>
    <t>E0437695</t>
  </si>
  <si>
    <t>AMIN SUNIL PRAKASH</t>
  </si>
  <si>
    <t>AMIN SUNIL</t>
  </si>
  <si>
    <t>VILLENA-VARGAS JONATHAN</t>
  </si>
  <si>
    <t>101 W 15TH ST # W, APT 1GS</t>
  </si>
  <si>
    <t>E0346833</t>
  </si>
  <si>
    <t>LUCHSINGER INGRID ELENA</t>
  </si>
  <si>
    <t>LuchsingerIngridE.</t>
  </si>
  <si>
    <t>LUCHSINGER INGRID DR.</t>
  </si>
  <si>
    <t>KOTKIN SEAN</t>
  </si>
  <si>
    <t>PASICK CHRISTINA DR.</t>
  </si>
  <si>
    <t>2107 BAILEYS CORNER RD</t>
  </si>
  <si>
    <t>WALL TOWNSHIP</t>
  </si>
  <si>
    <t>PollakJessica</t>
  </si>
  <si>
    <t>POLLAK JESSICA</t>
  </si>
  <si>
    <t>AlexandroffHelen</t>
  </si>
  <si>
    <t>ALEXANDROFF HELEN</t>
  </si>
  <si>
    <t>KISHTAGARI ASHWIN DR.</t>
  </si>
  <si>
    <t>515 W 59TH ST, APT# 22G</t>
  </si>
  <si>
    <t>VERPLANKE BENJAMIN</t>
  </si>
  <si>
    <t>E0408933</t>
  </si>
  <si>
    <t>BORUKHOV ILANA</t>
  </si>
  <si>
    <t>BorukhovIlana</t>
  </si>
  <si>
    <t>E0303516</t>
  </si>
  <si>
    <t>ANNA CASTELLI</t>
  </si>
  <si>
    <t>ANNACASTELLI</t>
  </si>
  <si>
    <t>CASTELLI ANNA</t>
  </si>
  <si>
    <t>MR.JIANWEIZHANG</t>
  </si>
  <si>
    <t>STEIN SETH</t>
  </si>
  <si>
    <t>1000 10TH AVE, 3RD FLOOR, SUITE 3A-02</t>
  </si>
  <si>
    <t>SHTARKMAN ILONA DR.</t>
  </si>
  <si>
    <t>20 E 46TH ST RM 200</t>
  </si>
  <si>
    <t>E0078229</t>
  </si>
  <si>
    <t>LOOKSTEIN ROBERT A MD</t>
  </si>
  <si>
    <t>LooksteinRobert</t>
  </si>
  <si>
    <t>LOOKSTEIN ROBERT</t>
  </si>
  <si>
    <t>E0217433</t>
  </si>
  <si>
    <t>LEMPEL HERBERT SHELDON     MD</t>
  </si>
  <si>
    <t>LempelHerbert</t>
  </si>
  <si>
    <t>LEMPEL HERBERT DR.</t>
  </si>
  <si>
    <t>MEDICAL DIRECTOR</t>
  </si>
  <si>
    <t>E0091083</t>
  </si>
  <si>
    <t>ZAIDI MONE MD</t>
  </si>
  <si>
    <t>ZaidiMone</t>
  </si>
  <si>
    <t>ZAIDI MONE</t>
  </si>
  <si>
    <t>E0216690</t>
  </si>
  <si>
    <t>GREEN KAREN MERYL MD</t>
  </si>
  <si>
    <t>GreenKaren</t>
  </si>
  <si>
    <t>E0278261</t>
  </si>
  <si>
    <t>GENDELMAN SEYMOUR MD</t>
  </si>
  <si>
    <t>GendelmanSeymour</t>
  </si>
  <si>
    <t>GENDELMAN SEYMOUR DR.</t>
  </si>
  <si>
    <t>E0094607</t>
  </si>
  <si>
    <t>NAVARRO THELMA MYERS</t>
  </si>
  <si>
    <t>NavarroThelma</t>
  </si>
  <si>
    <t>NAVARRO THELMA</t>
  </si>
  <si>
    <t>BIMC CANCER</t>
  </si>
  <si>
    <t>E0027100</t>
  </si>
  <si>
    <t>WON JAMIE RPA</t>
  </si>
  <si>
    <t>KimJamie</t>
  </si>
  <si>
    <t>KIM JAMIE</t>
  </si>
  <si>
    <t>KIM JAMIE RPA</t>
  </si>
  <si>
    <t>E0042270</t>
  </si>
  <si>
    <t>SHAH HARSHIDA R MD</t>
  </si>
  <si>
    <t>SHAH HARSHIDA</t>
  </si>
  <si>
    <t>E0173357</t>
  </si>
  <si>
    <t>BORCICH ANTHONY S MD</t>
  </si>
  <si>
    <t>BorcichAnthony</t>
  </si>
  <si>
    <t>BORCICH ANTHONY</t>
  </si>
  <si>
    <t>E0084884</t>
  </si>
  <si>
    <t>CHOUDHRI TANVIR FIAZ MD</t>
  </si>
  <si>
    <t>ChoudhriTanvir</t>
  </si>
  <si>
    <t>CHOUDHRI TANVIR DR.</t>
  </si>
  <si>
    <t>E0135886</t>
  </si>
  <si>
    <t>WEINTRAUB ANDREA SUZANNE MD</t>
  </si>
  <si>
    <t>WeintraubAndrea</t>
  </si>
  <si>
    <t>WEINTRAUB ANDREA</t>
  </si>
  <si>
    <t>E0066263</t>
  </si>
  <si>
    <t>WISTINGHAUSEN BIRTE MD</t>
  </si>
  <si>
    <t>WistinghausenBirte</t>
  </si>
  <si>
    <t>WISTINGHAUSEN BIRTE</t>
  </si>
  <si>
    <t>NYUMC PED ONC</t>
  </si>
  <si>
    <t>NOWOTNY JAKOB</t>
  </si>
  <si>
    <t>E0329594</t>
  </si>
  <si>
    <t>LAI YAN H</t>
  </si>
  <si>
    <t>LAI YAN</t>
  </si>
  <si>
    <t>E0099930</t>
  </si>
  <si>
    <t>LEE JAY YUNG MD</t>
  </si>
  <si>
    <t>JAYLEE</t>
  </si>
  <si>
    <t>LEE JAY</t>
  </si>
  <si>
    <t>E0224057</t>
  </si>
  <si>
    <t>BOUZOUKI MARIA             MD</t>
  </si>
  <si>
    <t>MARIABOUZOUKI</t>
  </si>
  <si>
    <t>BOUZOUKI MARIA DR.</t>
  </si>
  <si>
    <t>E0070287</t>
  </si>
  <si>
    <t>GHASRI-ZARGHAMI-SABET SHAHLA</t>
  </si>
  <si>
    <t>GhasriZarghami-SabetShahla</t>
  </si>
  <si>
    <t>GHARSRI-ZARGHAMI-SABET SHAHLA MS.</t>
  </si>
  <si>
    <t>1176 5TH AVE E LEVEL</t>
  </si>
  <si>
    <t>E0316006</t>
  </si>
  <si>
    <t>SIMON ASHER</t>
  </si>
  <si>
    <t>SimonAsher</t>
  </si>
  <si>
    <t>SIMON ASHER DR.</t>
  </si>
  <si>
    <t>SIMON ASHER BRIAN</t>
  </si>
  <si>
    <t>E0134893</t>
  </si>
  <si>
    <t>FRIEDMAN JOSEPH IRWIN MD</t>
  </si>
  <si>
    <t>FriedmanJoseph</t>
  </si>
  <si>
    <t>FRIEDMAN JOSEPH MR.</t>
  </si>
  <si>
    <t>35 CROOKED HILL RD STE 203 OFC D</t>
  </si>
  <si>
    <t>E0366956</t>
  </si>
  <si>
    <t>HIDALGO LAURITA</t>
  </si>
  <si>
    <t>HidalgoLaurita</t>
  </si>
  <si>
    <t>E0362437</t>
  </si>
  <si>
    <t>TONG BONNIE</t>
  </si>
  <si>
    <t>TongBonnie</t>
  </si>
  <si>
    <t>YOUNG BONNIE</t>
  </si>
  <si>
    <t>DiFedeDanielle</t>
  </si>
  <si>
    <t>DIFEDE DANIELLE MS.</t>
  </si>
  <si>
    <t>ONE GUSTAVE L. LEVY PLACE MOUNT SINAI HOSPITAL, BOX 1116</t>
  </si>
  <si>
    <t>BenchekrounHanaa</t>
  </si>
  <si>
    <t>BENCHEKROUN BELABBES HANAA</t>
  </si>
  <si>
    <t>BarchamSamih</t>
  </si>
  <si>
    <t>BARCHAM SAMIH DR.</t>
  </si>
  <si>
    <t>E0269770</t>
  </si>
  <si>
    <t>STURMAN IRA M             DDS</t>
  </si>
  <si>
    <t>IRASTURMAN</t>
  </si>
  <si>
    <t>STURMAN IRA DR.</t>
  </si>
  <si>
    <t>E0257655</t>
  </si>
  <si>
    <t>GUARDARRAMAS GABRIEL R MD  PC</t>
  </si>
  <si>
    <t>GABRIELGUARDARRAMAS</t>
  </si>
  <si>
    <t>GUARDARRAMAS GABRIEL DR.</t>
  </si>
  <si>
    <t>GUARDARRAMAS GABRIEL R</t>
  </si>
  <si>
    <t>600 W 111TH ST STE 1E</t>
  </si>
  <si>
    <t>E0062388</t>
  </si>
  <si>
    <t>QUENTZEL STEPHAN JEREMY MD</t>
  </si>
  <si>
    <t>STEPHANQUENTZEL</t>
  </si>
  <si>
    <t>QUENTZEL STEPHAN DR.</t>
  </si>
  <si>
    <t>E0117513</t>
  </si>
  <si>
    <t>MARCILLA OSCAR A MD</t>
  </si>
  <si>
    <t>MarcillaOscar</t>
  </si>
  <si>
    <t>MARCILLA OSCAR DR.</t>
  </si>
  <si>
    <t>E0071192</t>
  </si>
  <si>
    <t>TAUB PETER JAMES MD</t>
  </si>
  <si>
    <t>TaubPeter</t>
  </si>
  <si>
    <t>TAUB PETER</t>
  </si>
  <si>
    <t>155 WHITE PLAINS RD</t>
  </si>
  <si>
    <t>E0102244</t>
  </si>
  <si>
    <t>HEIBA SHERIF IBRAHIM MD</t>
  </si>
  <si>
    <t>HeibaSherif</t>
  </si>
  <si>
    <t>HEIBA SHERIF</t>
  </si>
  <si>
    <t>E0133389</t>
  </si>
  <si>
    <t>KEMETHER EILEEN</t>
  </si>
  <si>
    <t>E0296822</t>
  </si>
  <si>
    <t>GRIF OKSANA</t>
  </si>
  <si>
    <t>GrifOksana</t>
  </si>
  <si>
    <t>E0336717</t>
  </si>
  <si>
    <t>CHUNG INSUNG</t>
  </si>
  <si>
    <t>ChungInsung</t>
  </si>
  <si>
    <t>E0032812</t>
  </si>
  <si>
    <t>DINH LINH THI THUY MD</t>
  </si>
  <si>
    <t>DinhLinh</t>
  </si>
  <si>
    <t>DINH LINH</t>
  </si>
  <si>
    <t>DINH LINH THI THUY</t>
  </si>
  <si>
    <t>E0024137</t>
  </si>
  <si>
    <t>FACTOR STEPHANIE HOPE MD</t>
  </si>
  <si>
    <t>FactorStephanie</t>
  </si>
  <si>
    <t>FACTOR STEPHANIE</t>
  </si>
  <si>
    <t>E0225080</t>
  </si>
  <si>
    <t>DIETERICH DOUGLAS THOMAS   MD</t>
  </si>
  <si>
    <t>DieterichDouglas</t>
  </si>
  <si>
    <t>DIETERICH DOUGLAS</t>
  </si>
  <si>
    <t>E0164834</t>
  </si>
  <si>
    <t>NELSON JUDITH EVE MD</t>
  </si>
  <si>
    <t>NelsonJudith</t>
  </si>
  <si>
    <t>NELSON JUDITH</t>
  </si>
  <si>
    <t>NELSON JUDITH EVE</t>
  </si>
  <si>
    <t>E0362048</t>
  </si>
  <si>
    <t>PEREZ RODRIGUEZ MARIA DELAS MERCEDE</t>
  </si>
  <si>
    <t>Perez-RodriguezMaria</t>
  </si>
  <si>
    <t>PEREZ RODRIGUEZ MARIA DELAS MERCEDES DR.</t>
  </si>
  <si>
    <t>E0370951</t>
  </si>
  <si>
    <t>MCCARTY KRISTEN ELIZABETH</t>
  </si>
  <si>
    <t>MCCARTY KRISTEN</t>
  </si>
  <si>
    <t>BustosJessica</t>
  </si>
  <si>
    <t>BUSTOS JESSICA</t>
  </si>
  <si>
    <t>285 OLMSTED BLVD, SUITE 1</t>
  </si>
  <si>
    <t>E0002092</t>
  </si>
  <si>
    <t>TONI SHIH PEARSON</t>
  </si>
  <si>
    <t>PEARSON TONI DR.</t>
  </si>
  <si>
    <t>PEARSON TONI SHIH MD</t>
  </si>
  <si>
    <t>HE WEI</t>
  </si>
  <si>
    <t>55 FRUIT ST # 015</t>
  </si>
  <si>
    <t>YOON DANIEL DR.</t>
  </si>
  <si>
    <t>3535 OLENTANGY RIVER RD</t>
  </si>
  <si>
    <t>SimaHamid</t>
  </si>
  <si>
    <t>SIMA HAMID DR.</t>
  </si>
  <si>
    <t>51 E 97TH ST, APT#5B</t>
  </si>
  <si>
    <t>StewartRobert</t>
  </si>
  <si>
    <t>STEWART ROBERT DR.</t>
  </si>
  <si>
    <t>138 W 25TH ST, SUITE #802, ROOM B4</t>
  </si>
  <si>
    <t>GARNEAU JONATHAN</t>
  </si>
  <si>
    <t>39 ARBOR CREEK DR</t>
  </si>
  <si>
    <t>FiliMariela</t>
  </si>
  <si>
    <t>FILI MARIELA</t>
  </si>
  <si>
    <t>1 GUSTAVE L LEVY PL, BOX 1116</t>
  </si>
  <si>
    <t>CRUZ LISANNE DR.</t>
  </si>
  <si>
    <t>1450 MADISON AVE, MOUNT SINAI HOSPITAL</t>
  </si>
  <si>
    <t>E0015196</t>
  </si>
  <si>
    <t>LUBLINER ERIC D MD</t>
  </si>
  <si>
    <t>LublinerEric</t>
  </si>
  <si>
    <t>LUBLINER ERIC</t>
  </si>
  <si>
    <t>E0424934</t>
  </si>
  <si>
    <t>SONMEZ HALIS</t>
  </si>
  <si>
    <t>E0418674</t>
  </si>
  <si>
    <t>HERRMANN SIMCHA</t>
  </si>
  <si>
    <t>GRIFFITH JOHN DR.</t>
  </si>
  <si>
    <t>250 IRONDEQUOIT RD</t>
  </si>
  <si>
    <t>KING MICHAEL DR.</t>
  </si>
  <si>
    <t>1 GUSTAVE L LEVY PL, BOX 1234</t>
  </si>
  <si>
    <t>GULEWICZ KARA DR.</t>
  </si>
  <si>
    <t>CRISTALES DIANE MS.</t>
  </si>
  <si>
    <t>EPSHTEYN IRENE</t>
  </si>
  <si>
    <t>E0377723</t>
  </si>
  <si>
    <t>POUR TREVOR ROBINSON</t>
  </si>
  <si>
    <t>PourTrevor</t>
  </si>
  <si>
    <t>POUR TREVOR DR.</t>
  </si>
  <si>
    <t>TRAN ANN</t>
  </si>
  <si>
    <t>27 BARKER AVE, APT 216</t>
  </si>
  <si>
    <t>E0424875</t>
  </si>
  <si>
    <t>RAVIKUMAR AARTI</t>
  </si>
  <si>
    <t>RAVIKUMAR AARTI DR.</t>
  </si>
  <si>
    <t>88 ASHFORD AVE</t>
  </si>
  <si>
    <t>E0388651</t>
  </si>
  <si>
    <t>ORLANDO BARBARA SARAH</t>
  </si>
  <si>
    <t>ORLANDO BARBARA</t>
  </si>
  <si>
    <t>E0368997</t>
  </si>
  <si>
    <t>ELIAS ELLIOTT</t>
  </si>
  <si>
    <t>ELIAS ELLIOTT DR.</t>
  </si>
  <si>
    <t>TimotheoseAlbert</t>
  </si>
  <si>
    <t>TIMOTHEOSE ALBERT MR.</t>
  </si>
  <si>
    <t>E0362879</t>
  </si>
  <si>
    <t>SUSAYA RONALD A</t>
  </si>
  <si>
    <t>SusayaRonald</t>
  </si>
  <si>
    <t>SUSAYA RONALD MR.</t>
  </si>
  <si>
    <t>E0280297</t>
  </si>
  <si>
    <t>PIERSON RICHARD N JR MD</t>
  </si>
  <si>
    <t>PiersonRichardN.</t>
  </si>
  <si>
    <t>PIERSON RICHARD DR.</t>
  </si>
  <si>
    <t>ST LUKES ROOS HOSP</t>
  </si>
  <si>
    <t>E0202130</t>
  </si>
  <si>
    <t>DELIGDISCH SCHOR LIANE     MD</t>
  </si>
  <si>
    <t>DELIGDISCH LIANE DR.</t>
  </si>
  <si>
    <t>1423 30 MADISON AVE</t>
  </si>
  <si>
    <t>MENASHE LEO</t>
  </si>
  <si>
    <t>2 BRASTOW AVE # 1</t>
  </si>
  <si>
    <t>SOMERVILLE</t>
  </si>
  <si>
    <t>E0362575</t>
  </si>
  <si>
    <t>TREITEL STUART ALLAN</t>
  </si>
  <si>
    <t>TreitelStuart</t>
  </si>
  <si>
    <t>TREITEL STUART</t>
  </si>
  <si>
    <t>5 E 98TH ST FL 9 # 1188</t>
  </si>
  <si>
    <t>CHRYSOFAKIS GRIGORIOS</t>
  </si>
  <si>
    <t>6555 COYLE AVE, SUITE 301</t>
  </si>
  <si>
    <t>CARMICHAEL</t>
  </si>
  <si>
    <t>FORLEITER CRAIG DR.</t>
  </si>
  <si>
    <t>1000 10TH AVE, SUITE 2B-10</t>
  </si>
  <si>
    <t>BrooklynPerinatalNetwork,Inc.&amp;BrooklynTaskForceonIM</t>
  </si>
  <si>
    <t>NgoziMoses</t>
  </si>
  <si>
    <t>nmoses@bpnetwork.org</t>
  </si>
  <si>
    <t>76NevinsStreet</t>
  </si>
  <si>
    <t>TranscareNewYork,Inc.</t>
  </si>
  <si>
    <t>JosephFitt</t>
  </si>
  <si>
    <t>(718) 763-8888</t>
  </si>
  <si>
    <t>joef@transcare.com</t>
  </si>
  <si>
    <t>AdvantageCarePhysicians</t>
  </si>
  <si>
    <t>WilliamA.Gillespie,MD</t>
  </si>
  <si>
    <t>(646) 680-5797</t>
  </si>
  <si>
    <t>gillespiew@acpny.com</t>
  </si>
  <si>
    <t>GILLESPIE WILLIAM DR.</t>
  </si>
  <si>
    <t>256 MAIN ST</t>
  </si>
  <si>
    <t>E0302810</t>
  </si>
  <si>
    <t>ZABACK YEHOSHUA H</t>
  </si>
  <si>
    <t>ZabackYehoshua</t>
  </si>
  <si>
    <t>ZABACK YEHOSHUA</t>
  </si>
  <si>
    <t>SuzanneEschenbach</t>
  </si>
  <si>
    <t>GaryButchen</t>
  </si>
  <si>
    <t>DanielleFriedman</t>
  </si>
  <si>
    <t>DeboraGaskin</t>
  </si>
  <si>
    <t>MeganGay</t>
  </si>
  <si>
    <t>E0412969</t>
  </si>
  <si>
    <t>FLORENDO ERIKA OCAMPO</t>
  </si>
  <si>
    <t>FlorendoErika</t>
  </si>
  <si>
    <t>FLORENDO ERIKA MS.</t>
  </si>
  <si>
    <t>E0202128</t>
  </si>
  <si>
    <t>GELLER MARTIN ROBERT       MD</t>
  </si>
  <si>
    <t>GellerMartin</t>
  </si>
  <si>
    <t>GELLER MARTIN</t>
  </si>
  <si>
    <t>E0172775</t>
  </si>
  <si>
    <t>GHILLANI RICHARD MD</t>
  </si>
  <si>
    <t>GhillaniRichard</t>
  </si>
  <si>
    <t>GHILLANI RICHARD</t>
  </si>
  <si>
    <t>E0293072</t>
  </si>
  <si>
    <t>GOLDBERG DAVID</t>
  </si>
  <si>
    <t>GoldbergDavid</t>
  </si>
  <si>
    <t>GOLDBERG DAVID DR.</t>
  </si>
  <si>
    <t>GreifRebecca</t>
  </si>
  <si>
    <t>GREIF REBECCA DR.</t>
  </si>
  <si>
    <t>E0273758</t>
  </si>
  <si>
    <t>GRIEPP RANDALL B           MD</t>
  </si>
  <si>
    <t>GrieppRandall</t>
  </si>
  <si>
    <t>GRIEPP RANDALL</t>
  </si>
  <si>
    <t>GumasteVivek</t>
  </si>
  <si>
    <t>E0398175</t>
  </si>
  <si>
    <t>GUTIERREZ GARY M</t>
  </si>
  <si>
    <t>GutierrezGary</t>
  </si>
  <si>
    <t>GUTIERREZ GARY MR.</t>
  </si>
  <si>
    <t>GUTIERREZ GARY MARTIN</t>
  </si>
  <si>
    <t>1 GUSTAVE L LEVY PL # 1136</t>
  </si>
  <si>
    <t>E0287364</t>
  </si>
  <si>
    <t>TEJWANI NATASHA</t>
  </si>
  <si>
    <t>TEJWANI NATASHA DR.</t>
  </si>
  <si>
    <t>TEJWANI NATASHA ANUPAMA MD</t>
  </si>
  <si>
    <t>E0362763</t>
  </si>
  <si>
    <t>GARO NICHOLAS</t>
  </si>
  <si>
    <t>GaroNicholas</t>
  </si>
  <si>
    <t>GARO NICHOLAS DR.</t>
  </si>
  <si>
    <t>E0350562</t>
  </si>
  <si>
    <t>YOO JI YEOUN</t>
  </si>
  <si>
    <t>PEREL-WINKLER ALEXANDRA</t>
  </si>
  <si>
    <t>10 AMSTERDAM AVE, #300</t>
  </si>
  <si>
    <t>E0446891</t>
  </si>
  <si>
    <t>TONG KELLY</t>
  </si>
  <si>
    <t>E0140947</t>
  </si>
  <si>
    <t>RAACKE LISA M MD</t>
  </si>
  <si>
    <t>RAACKE LISA</t>
  </si>
  <si>
    <t>RAACKE LISA MARIE</t>
  </si>
  <si>
    <t>E0358378</t>
  </si>
  <si>
    <t>AMORUSO LEONARD D</t>
  </si>
  <si>
    <t>AMORUSO LEONARD DR.</t>
  </si>
  <si>
    <t>AMORUSO LEONARD DONATO</t>
  </si>
  <si>
    <t>359 E 17TH ST STE 20BH53</t>
  </si>
  <si>
    <t>OKOJI OLANMA</t>
  </si>
  <si>
    <t>505 E 70TH ST, WEILL CORNELL INTERNAL MEDICINE ASSOCIATES, BOX 148</t>
  </si>
  <si>
    <t>E0301491</t>
  </si>
  <si>
    <t>GILBERT ELYSE</t>
  </si>
  <si>
    <t>GilbertElyse</t>
  </si>
  <si>
    <t>GILBERT ELYSE LONSTEIN CNM</t>
  </si>
  <si>
    <t>1176 FIFTH AVENUE E LEVEE</t>
  </si>
  <si>
    <t>EsperLayal</t>
  </si>
  <si>
    <t>ESPER LAYAL ELIAS</t>
  </si>
  <si>
    <t>E0033960</t>
  </si>
  <si>
    <t>CROWLEY LAURA ELIZABETH MD</t>
  </si>
  <si>
    <t>CROWLEY LAURA</t>
  </si>
  <si>
    <t>E0045751</t>
  </si>
  <si>
    <t>SETT SUVRO</t>
  </si>
  <si>
    <t>SETT SUVRO SATADAL MD</t>
  </si>
  <si>
    <t>E0082501</t>
  </si>
  <si>
    <t>GALVEZ MAIDA P MD</t>
  </si>
  <si>
    <t>GalvezMaida</t>
  </si>
  <si>
    <t>GALVEZ MAIDA</t>
  </si>
  <si>
    <t>AOI SHUNSUKE DR.</t>
  </si>
  <si>
    <t>FIRST AVE. AT 16TH ST., 20 BAIRD HALL, ROOM 50</t>
  </si>
  <si>
    <t>MA YUE</t>
  </si>
  <si>
    <t>HAI RUTH</t>
  </si>
  <si>
    <t>KimSungHyun</t>
  </si>
  <si>
    <t>KIM SUNG HYUN</t>
  </si>
  <si>
    <t>E0443140</t>
  </si>
  <si>
    <t>IUORIO RICHARD</t>
  </si>
  <si>
    <t>IUORIO RICHARD DR.</t>
  </si>
  <si>
    <t>E0073148</t>
  </si>
  <si>
    <t>CHO HEARN JAY MD</t>
  </si>
  <si>
    <t>ChoHearn</t>
  </si>
  <si>
    <t>CHO HEARN</t>
  </si>
  <si>
    <t>STE 341</t>
  </si>
  <si>
    <t>E0042405</t>
  </si>
  <si>
    <t>KARANIKOLAS KATHLEEN MD</t>
  </si>
  <si>
    <t>KaranikolasKathleen</t>
  </si>
  <si>
    <t>KARANIKOLAS KATHLEEN</t>
  </si>
  <si>
    <t>E0198352</t>
  </si>
  <si>
    <t>THOMAS ALBERT GEORGE       MD</t>
  </si>
  <si>
    <t>ThomasAlbert</t>
  </si>
  <si>
    <t>THOMAS ALBERT DR.</t>
  </si>
  <si>
    <t>MT SINAI DEPT OB/GYN</t>
  </si>
  <si>
    <t>E0116562</t>
  </si>
  <si>
    <t>OSHER ANNETTE</t>
  </si>
  <si>
    <t>OsherAnnette</t>
  </si>
  <si>
    <t>941 PARK AVE</t>
  </si>
  <si>
    <t>E0201073</t>
  </si>
  <si>
    <t>SHARMA SAMIN KUMAR         MD</t>
  </si>
  <si>
    <t>SharmaSamin</t>
  </si>
  <si>
    <t>SHARMA SAMIN DR.</t>
  </si>
  <si>
    <t>BOOTH MEM MEDICAL CT</t>
  </si>
  <si>
    <t>E0207720</t>
  </si>
  <si>
    <t>PATEL JAYANTILAL M         MD</t>
  </si>
  <si>
    <t>PatelJayantilal</t>
  </si>
  <si>
    <t>PATEL JAYANTILAL</t>
  </si>
  <si>
    <t>E0215419</t>
  </si>
  <si>
    <t>MARSH FRANKLIN JR          MD</t>
  </si>
  <si>
    <t>MARSH FRANKLIN DR.</t>
  </si>
  <si>
    <t>342 E 67TH ST</t>
  </si>
  <si>
    <t>E0057659</t>
  </si>
  <si>
    <t>GRELLER HOWARD ANDREW</t>
  </si>
  <si>
    <t>GrellerHoward</t>
  </si>
  <si>
    <t>GRELLER HOWARD DR.</t>
  </si>
  <si>
    <t>SAGALOVICH DANIEL</t>
  </si>
  <si>
    <t>150 NASSAU ST, APT. 15C</t>
  </si>
  <si>
    <t>WILKINSON MATTHEW</t>
  </si>
  <si>
    <t>1 GUSTAVE L LEVY PL, BOX 12-59</t>
  </si>
  <si>
    <t>E0373015</t>
  </si>
  <si>
    <t>XU LU NA</t>
  </si>
  <si>
    <t>E0428291</t>
  </si>
  <si>
    <t>BENGTSEN ERIK HALDEN</t>
  </si>
  <si>
    <t>BENGTSEN ERIK DR.</t>
  </si>
  <si>
    <t>10 NATHAN PULMAN PLACE</t>
  </si>
  <si>
    <t>SHWE YAMIN</t>
  </si>
  <si>
    <t>10 UNION SQ E, SUIT 5D</t>
  </si>
  <si>
    <t>E0364734</t>
  </si>
  <si>
    <t>PANOS AMBER A</t>
  </si>
  <si>
    <t>PanosAmber</t>
  </si>
  <si>
    <t>MCDONALD AMBER MRS.</t>
  </si>
  <si>
    <t>5 E 98TH ST FL 14 STE A</t>
  </si>
  <si>
    <t>SOLIS DANIEL</t>
  </si>
  <si>
    <t>TAK JAMES</t>
  </si>
  <si>
    <t>JACOBS EMILIE DR.</t>
  </si>
  <si>
    <t>1000 10TH AVE, RM. 3A-15 DEPARTMENT OF MEDICINE</t>
  </si>
  <si>
    <t>SHUKLA PRATIK DR.</t>
  </si>
  <si>
    <t>801 OSTRUM ST</t>
  </si>
  <si>
    <t>BETHLEHEM</t>
  </si>
  <si>
    <t>E0372985</t>
  </si>
  <si>
    <t>LAI KEVIN</t>
  </si>
  <si>
    <t>PARK WUNGKI</t>
  </si>
  <si>
    <t>REKAWEK PATRICIA</t>
  </si>
  <si>
    <t>5 CEDAR CHASE DR</t>
  </si>
  <si>
    <t>MOUNTVILLE</t>
  </si>
  <si>
    <t>E0118561</t>
  </si>
  <si>
    <t>BENNETT STEPHEN J DPM</t>
  </si>
  <si>
    <t>BENNETT STEPHEN DR.</t>
  </si>
  <si>
    <t>BENNETT STEPHEN JONAS</t>
  </si>
  <si>
    <t>10 STEUBEN DR</t>
  </si>
  <si>
    <t>E0419035</t>
  </si>
  <si>
    <t>BORKOVSKAYA SHIMELFARB MARIANNA</t>
  </si>
  <si>
    <t>MARIANNASHIMELFARB</t>
  </si>
  <si>
    <t>SHIMELFARB MARIANNA</t>
  </si>
  <si>
    <t>E0064136</t>
  </si>
  <si>
    <t>BENTSIANOV MARIE AZER MD</t>
  </si>
  <si>
    <t>MARIEBENTSIANOV</t>
  </si>
  <si>
    <t>BENTSIANOV MARIE</t>
  </si>
  <si>
    <t>40 W BRIGHTON AVE STE 103</t>
  </si>
  <si>
    <t>E0277393</t>
  </si>
  <si>
    <t>WALSH JOSEPH B             MD</t>
  </si>
  <si>
    <t>JOSEPHWALSH</t>
  </si>
  <si>
    <t>WALSH JOSEPH</t>
  </si>
  <si>
    <t>E0277450</t>
  </si>
  <si>
    <t>PODELL ROBERT M MD</t>
  </si>
  <si>
    <t>ROBERTPODELL</t>
  </si>
  <si>
    <t>PODELL ROBERT DR.</t>
  </si>
  <si>
    <t>365 W 28TH ST</t>
  </si>
  <si>
    <t>E0104688</t>
  </si>
  <si>
    <t>SHAHKOOHI AFSHIN MD</t>
  </si>
  <si>
    <t>AFSHINSHAHKOOHI</t>
  </si>
  <si>
    <t>SHAHKOOHI AFSHIN DR.</t>
  </si>
  <si>
    <t>E0332579</t>
  </si>
  <si>
    <t>DEMBITZER FRANCINE RACHEL</t>
  </si>
  <si>
    <t>DembitzerFrancine</t>
  </si>
  <si>
    <t>DEMBITZER FRANCINE DR.</t>
  </si>
  <si>
    <t>SIDDIQI NAZIA</t>
  </si>
  <si>
    <t>11147 WASHINGTON BLVD</t>
  </si>
  <si>
    <t>WHITTIER</t>
  </si>
  <si>
    <t>E0384930</t>
  </si>
  <si>
    <t>SHAWN LAUREN M</t>
  </si>
  <si>
    <t>SHAWN LAUREN DR.</t>
  </si>
  <si>
    <t>SHAWN LAUREN KORNREICH</t>
  </si>
  <si>
    <t>NEKOLA DANIEL</t>
  </si>
  <si>
    <t>18 WEBSTER AVE</t>
  </si>
  <si>
    <t>GOODFRIEND GABRIELLA</t>
  </si>
  <si>
    <t>12734 ALBERS ST</t>
  </si>
  <si>
    <t>VALLEY VILLAGE</t>
  </si>
  <si>
    <t>CHEEMA AHMAD</t>
  </si>
  <si>
    <t>SMITH CASEY DR.</t>
  </si>
  <si>
    <t>TOLIA VISHAL</t>
  </si>
  <si>
    <t>AbbasMohemmedd</t>
  </si>
  <si>
    <t>ABBAS MOHEMMEDD KHALID</t>
  </si>
  <si>
    <t>E0306747</t>
  </si>
  <si>
    <t>ARTA SEITAJ</t>
  </si>
  <si>
    <t>SEITAJ ARTA</t>
  </si>
  <si>
    <t>E0227812</t>
  </si>
  <si>
    <t>HENN FRITZ A MD           PHD</t>
  </si>
  <si>
    <t>HennFritz</t>
  </si>
  <si>
    <t>HENN FRITZ DR.</t>
  </si>
  <si>
    <t>E0363767</t>
  </si>
  <si>
    <t>CALINGASAN MINETTE CARYL SAPITULA</t>
  </si>
  <si>
    <t>Sapitula-CalingasanMinette</t>
  </si>
  <si>
    <t>SAPITULA-CALINGASAN MINETTE CARYL</t>
  </si>
  <si>
    <t>E0306216</t>
  </si>
  <si>
    <t>MORALES ROSE MARIE</t>
  </si>
  <si>
    <t>MoralesRose</t>
  </si>
  <si>
    <t>MORALES ROSE</t>
  </si>
  <si>
    <t>E0123104</t>
  </si>
  <si>
    <t>HUPPERT BARRY L MD</t>
  </si>
  <si>
    <t>BARRYHUPPERT</t>
  </si>
  <si>
    <t>HUPPERT BARRY DR.</t>
  </si>
  <si>
    <t>HUPPERT BARRY LAWRENCE</t>
  </si>
  <si>
    <t>3131 KINGS HWY</t>
  </si>
  <si>
    <t>GORSKI JUSTIN DR.</t>
  </si>
  <si>
    <t>AMARA RICHARD</t>
  </si>
  <si>
    <t>115 GALLOWAE</t>
  </si>
  <si>
    <t>WATCHUNG</t>
  </si>
  <si>
    <t>TUMMALAPALLI SRI LEKHA</t>
  </si>
  <si>
    <t>79 CHAPEL RIDGE PL</t>
  </si>
  <si>
    <t>FALK KERAC DR.</t>
  </si>
  <si>
    <t>COOPER DENRICK MR.</t>
  </si>
  <si>
    <t>E0376509</t>
  </si>
  <si>
    <t>CASTANARO JOHN</t>
  </si>
  <si>
    <t>CASTANARO JOHN DR.</t>
  </si>
  <si>
    <t>SAN MARTIN MONTENEGRO VICENTE</t>
  </si>
  <si>
    <t>E0019075</t>
  </si>
  <si>
    <t>BALWANI MANISHA CHANDRU MD</t>
  </si>
  <si>
    <t>BalwaniManisha</t>
  </si>
  <si>
    <t>BALWANI MANISHA</t>
  </si>
  <si>
    <t>BALWANI MANISHA C</t>
  </si>
  <si>
    <t>E0004446</t>
  </si>
  <si>
    <t>TENG SUSANNA MD</t>
  </si>
  <si>
    <t>TENG SUSANNA</t>
  </si>
  <si>
    <t>VanCleaveJanet</t>
  </si>
  <si>
    <t>VANCLEAVE JANET MS.</t>
  </si>
  <si>
    <t>E0411559</t>
  </si>
  <si>
    <t>KIM SANG J</t>
  </si>
  <si>
    <t>KIM SANG</t>
  </si>
  <si>
    <t>KIM SANG JO</t>
  </si>
  <si>
    <t>E0369612</t>
  </si>
  <si>
    <t>DIFIORE MARIA A</t>
  </si>
  <si>
    <t>DiFioreMaria</t>
  </si>
  <si>
    <t>DIFIORE MARIA MISS</t>
  </si>
  <si>
    <t>E0383319</t>
  </si>
  <si>
    <t>SCOTT MATTHEW</t>
  </si>
  <si>
    <t>ScottMatthew</t>
  </si>
  <si>
    <t>SCOTT MATTHEW GLEN</t>
  </si>
  <si>
    <t>E0308130</t>
  </si>
  <si>
    <t>JACOBI ADAM HOWARD</t>
  </si>
  <si>
    <t>JacobiAdam</t>
  </si>
  <si>
    <t>JACOBI ADAM DR.</t>
  </si>
  <si>
    <t>WANG KUN</t>
  </si>
  <si>
    <t>550 UNIVERSITY BLVD, UH-3143</t>
  </si>
  <si>
    <t>MASARSKY DINA</t>
  </si>
  <si>
    <t>BESSEL MARINA</t>
  </si>
  <si>
    <t>71 ROCHELLE PL</t>
  </si>
  <si>
    <t>COX KATHERINE</t>
  </si>
  <si>
    <t>1294 THOMPSON RUN CT</t>
  </si>
  <si>
    <t>VIENNA</t>
  </si>
  <si>
    <t>CHUBAK ADAM DR.</t>
  </si>
  <si>
    <t>1425 MADISON AVE, 4TH FL</t>
  </si>
  <si>
    <t>SCHUESSLER MARTHA</t>
  </si>
  <si>
    <t>560 GRAND ST APT 3L</t>
  </si>
  <si>
    <t>IRIZARRY KENDRA MISS</t>
  </si>
  <si>
    <t>54 CALLE MUDEJAR, SULTANA</t>
  </si>
  <si>
    <t>HUANG IRIS</t>
  </si>
  <si>
    <t>BurakoffSteven</t>
  </si>
  <si>
    <t>BURAKOFF STEVEN MR.</t>
  </si>
  <si>
    <t>ONE GUSTAVE L. LEVY PLACE, BOX 1079</t>
  </si>
  <si>
    <t>E0030325</t>
  </si>
  <si>
    <t>BURDICK KATHERINE E  PHD</t>
  </si>
  <si>
    <t>BurdickKatherine</t>
  </si>
  <si>
    <t>BURDICK KATHERINE</t>
  </si>
  <si>
    <t>E0443126</t>
  </si>
  <si>
    <t>GOODMAN WAYNE</t>
  </si>
  <si>
    <t>GoodmanWayne</t>
  </si>
  <si>
    <t>GOODMAN WAYNE DR.</t>
  </si>
  <si>
    <t>E0017938</t>
  </si>
  <si>
    <t>LINDEN ELLENA ALEXANDRA MD</t>
  </si>
  <si>
    <t>LindenEllena</t>
  </si>
  <si>
    <t>LINDEN ELLENA DR.</t>
  </si>
  <si>
    <t>100 COMMUNITY DR</t>
  </si>
  <si>
    <t>E0366157</t>
  </si>
  <si>
    <t>ERNI CAROLINE T</t>
  </si>
  <si>
    <t>ErniCaroline</t>
  </si>
  <si>
    <t>ERNI CAROLINE</t>
  </si>
  <si>
    <t>E0019140</t>
  </si>
  <si>
    <t>SARPEL UMUT MD</t>
  </si>
  <si>
    <t>SarpelUmut</t>
  </si>
  <si>
    <t>SARPEL UMUT DR.</t>
  </si>
  <si>
    <t>SARPEL UMUT</t>
  </si>
  <si>
    <t>E0308611</t>
  </si>
  <si>
    <t>ROBINSON DOROTHY ALBINA</t>
  </si>
  <si>
    <t>RobinsonDorothy</t>
  </si>
  <si>
    <t>ROBINSON DOROTHY MS.</t>
  </si>
  <si>
    <t>E0293943</t>
  </si>
  <si>
    <t>LEISMAN STACI</t>
  </si>
  <si>
    <t>LeismanStaci</t>
  </si>
  <si>
    <t>LEISMAN STACI DR.</t>
  </si>
  <si>
    <t>LEISMAN STACI ALISON</t>
  </si>
  <si>
    <t>E0389901</t>
  </si>
  <si>
    <t>FERNANDEZ RANVIER GUSTAVO G</t>
  </si>
  <si>
    <t>Fernandez-RanvierGustavo</t>
  </si>
  <si>
    <t>FERNANDEZ-RANVIER GUSTAVO</t>
  </si>
  <si>
    <t>E0006448</t>
  </si>
  <si>
    <t>NORRIS MARLAINA M MD</t>
  </si>
  <si>
    <t>NorrisMarlaina</t>
  </si>
  <si>
    <t>NORRIS MARLAINA DR.</t>
  </si>
  <si>
    <t>MERVYN-COHEN VANESSA</t>
  </si>
  <si>
    <t>WALTERS HANNAH</t>
  </si>
  <si>
    <t>353 E 17TH ST, 2ND FLOOR; ROOM 223</t>
  </si>
  <si>
    <t>FISHER JULIYA</t>
  </si>
  <si>
    <t>450 CLARKSON AVE, BOX 1262</t>
  </si>
  <si>
    <t>CHUNG KEVIN DR.</t>
  </si>
  <si>
    <t>E0323512</t>
  </si>
  <si>
    <t>CHASE JENNIFER C</t>
  </si>
  <si>
    <t>ChaseJennifer</t>
  </si>
  <si>
    <t>CHASE JENNIFER</t>
  </si>
  <si>
    <t>E0448300</t>
  </si>
  <si>
    <t>BHARGAVA SAMHITA HEMA</t>
  </si>
  <si>
    <t>BHARGAVA SAMHITA</t>
  </si>
  <si>
    <t>PODOLNICK JEREMY DR.</t>
  </si>
  <si>
    <t>1000 10TH AVE, ROOSEVELT HOSPITAL DEPARTMENT OF ORTHOPAEDICS</t>
  </si>
  <si>
    <t>E0283962</t>
  </si>
  <si>
    <t>WARD STEPHEN</t>
  </si>
  <si>
    <t>WardStephen</t>
  </si>
  <si>
    <t>WARD STEPHEN CHRISTOPHER</t>
  </si>
  <si>
    <t>E0101439</t>
  </si>
  <si>
    <t>GUPTA ANJALI RANI MD</t>
  </si>
  <si>
    <t>GUPTA ANJALI</t>
  </si>
  <si>
    <t>GUPTA ANJALI RANI</t>
  </si>
  <si>
    <t>ORZECHOWSKI LUKASZ MR.</t>
  </si>
  <si>
    <t>321 E 34TH ST</t>
  </si>
  <si>
    <t>E0442834</t>
  </si>
  <si>
    <t>XIE YAN YAN SALLY</t>
  </si>
  <si>
    <t>XIE YAN YAN</t>
  </si>
  <si>
    <t>E0370249</t>
  </si>
  <si>
    <t>AZZI JAMES</t>
  </si>
  <si>
    <t>AZZI JAMES DR.</t>
  </si>
  <si>
    <t>E0157883</t>
  </si>
  <si>
    <t>MORROW JON D MD</t>
  </si>
  <si>
    <t>MORROW JON DR.</t>
  </si>
  <si>
    <t>MORROW JON DANA MD</t>
  </si>
  <si>
    <t>E0057979</t>
  </si>
  <si>
    <t>TURI TERESA CNM</t>
  </si>
  <si>
    <t>TURI TERESA</t>
  </si>
  <si>
    <t>E0011058</t>
  </si>
  <si>
    <t>HOFFMAN RONALD HARVEY  MD</t>
  </si>
  <si>
    <t>HOFFMAN RONALD DR.</t>
  </si>
  <si>
    <t>E0364342</t>
  </si>
  <si>
    <t>MESSANA JEANNE N</t>
  </si>
  <si>
    <t>MessanaJeanne</t>
  </si>
  <si>
    <t>MESSANA JEANNE</t>
  </si>
  <si>
    <t>StaciBryson</t>
  </si>
  <si>
    <t>JosephBuonfiglio</t>
  </si>
  <si>
    <t>E0113260</t>
  </si>
  <si>
    <t>KANIYARATHINKAL LALY SREEDHAR</t>
  </si>
  <si>
    <t>LALYKANIYARATHINKAL</t>
  </si>
  <si>
    <t>KANIYARATHINKAL LALY</t>
  </si>
  <si>
    <t>KINGSBROOK JEWISH ME</t>
  </si>
  <si>
    <t>CLAUDIAUSEDA</t>
  </si>
  <si>
    <t>E0087421</t>
  </si>
  <si>
    <t>LEE JEONG RAN OH</t>
  </si>
  <si>
    <t>JEONGLEE</t>
  </si>
  <si>
    <t>LEE JEONG DR.</t>
  </si>
  <si>
    <t>517 PARK AVE</t>
  </si>
  <si>
    <t>E0011744</t>
  </si>
  <si>
    <t>DUBOIS NICHOLA</t>
  </si>
  <si>
    <t>DUBOIS NICHOLAS</t>
  </si>
  <si>
    <t>DUBOIS NICHOLAS BROOKS</t>
  </si>
  <si>
    <t>177 E 87TH ST STE 507</t>
  </si>
  <si>
    <t>E0215083</t>
  </si>
  <si>
    <t>HABER RICHARD S            MD</t>
  </si>
  <si>
    <t>HABER RICHARD</t>
  </si>
  <si>
    <t>1 GUSTAVE L LEVY PL # 1234</t>
  </si>
  <si>
    <t>E0223095</t>
  </si>
  <si>
    <t>COHEN CARMEL JONATHAN MD</t>
  </si>
  <si>
    <t>COHEN CARMEL</t>
  </si>
  <si>
    <t>E0317914</t>
  </si>
  <si>
    <t>FRIEDLANDER PHILIP ADAM</t>
  </si>
  <si>
    <t>FRIEDLANDER PHILIP</t>
  </si>
  <si>
    <t>E0024917</t>
  </si>
  <si>
    <t>FARBER JEFFREY IAN MD</t>
  </si>
  <si>
    <t>FarberJeffrey</t>
  </si>
  <si>
    <t>FARBER JEFFREY</t>
  </si>
  <si>
    <t>E0139368</t>
  </si>
  <si>
    <t>DELANEY KATHLEEN ANN MD</t>
  </si>
  <si>
    <t>DelaneyKathleen</t>
  </si>
  <si>
    <t>DELANEY KATHLEEN</t>
  </si>
  <si>
    <t>DELANEY KATHLEEN A</t>
  </si>
  <si>
    <t>E0196550</t>
  </si>
  <si>
    <t>TUHRIM STANLEY             MD</t>
  </si>
  <si>
    <t>TuhrimStanley</t>
  </si>
  <si>
    <t>TUHRIM STANLEY DR.</t>
  </si>
  <si>
    <t>INSTITUTEFORFAMILYHLTH</t>
  </si>
  <si>
    <t>E0209381</t>
  </si>
  <si>
    <t>INSTITUTE FOR FAMILY HLTH</t>
  </si>
  <si>
    <t>All Other:: Case Management / Health Home:: Clinic:: Mental Health:: Practitioner - Primary Care Provider (PCP)</t>
  </si>
  <si>
    <t>THE INSTITUTE FOR FAMILY HEALTH</t>
  </si>
  <si>
    <t>CASTANEDA OSPINA SERGUEI DR.</t>
  </si>
  <si>
    <t>HONG KIMBERLY</t>
  </si>
  <si>
    <t>1490 MADISON AVE</t>
  </si>
  <si>
    <t>LawsonAnne</t>
  </si>
  <si>
    <t>363 E 76TH ST, APT. 8L</t>
  </si>
  <si>
    <t>SANCHEZ SADIE DR.</t>
  </si>
  <si>
    <t>605 BANNOCK ST</t>
  </si>
  <si>
    <t>DESAI KAVITA</t>
  </si>
  <si>
    <t>1000 10TH AVE STE 10C</t>
  </si>
  <si>
    <t>E0430834</t>
  </si>
  <si>
    <t>ESHAK DAVID</t>
  </si>
  <si>
    <t>ESHAK DAVID DR.</t>
  </si>
  <si>
    <t>ESHAK DAVID SHABAZ ALLY</t>
  </si>
  <si>
    <t>E0321440</t>
  </si>
  <si>
    <t>BENDER CATHERINE JANE</t>
  </si>
  <si>
    <t>BenderCatherine</t>
  </si>
  <si>
    <t>BENDER CATHERINE</t>
  </si>
  <si>
    <t>ANDERSEN GRETCHEN</t>
  </si>
  <si>
    <t>14650 AVIATION BLVD, SUITE 210</t>
  </si>
  <si>
    <t>SAINI ALOK DR.</t>
  </si>
  <si>
    <t>KOTECHA NISHA</t>
  </si>
  <si>
    <t>1 SPRINGFIELD AVE</t>
  </si>
  <si>
    <t>SUMMIT</t>
  </si>
  <si>
    <t>TENG ANNABELLE</t>
  </si>
  <si>
    <t>1000 10TH AVE, DEPARTMENT OF SURGERY, SUITE 2B-10</t>
  </si>
  <si>
    <t>E0008283</t>
  </si>
  <si>
    <t>DIRECTOR TARA MD</t>
  </si>
  <si>
    <t>DirectorTara</t>
  </si>
  <si>
    <t>DIRECTOR TARA</t>
  </si>
  <si>
    <t>LAMON AGNES DR.</t>
  </si>
  <si>
    <t>25 MAIN ST, SUITE 103</t>
  </si>
  <si>
    <t>TomasevicMirjana</t>
  </si>
  <si>
    <t>TOMASEVIC MIRJANA MRS.</t>
  </si>
  <si>
    <t>E0070460</t>
  </si>
  <si>
    <t>MCDONAGH MARY VALENTINE</t>
  </si>
  <si>
    <t>McDonaghMary</t>
  </si>
  <si>
    <t>MCDONAGH MARY MISS</t>
  </si>
  <si>
    <t>E0313087</t>
  </si>
  <si>
    <t>TAYLOR JEROME D</t>
  </si>
  <si>
    <t>TaylorJerome</t>
  </si>
  <si>
    <t>TAYLOR JEROME DR.</t>
  </si>
  <si>
    <t>70 PARKSIDE CT</t>
  </si>
  <si>
    <t>E0379359</t>
  </si>
  <si>
    <t>KLINEOVA SYLVIA</t>
  </si>
  <si>
    <t>KlineovaSylvia</t>
  </si>
  <si>
    <t>E0294640</t>
  </si>
  <si>
    <t>NICHOLAS GENES MD</t>
  </si>
  <si>
    <t>GenesNicholas</t>
  </si>
  <si>
    <t>GENES NICHOLAS DR.</t>
  </si>
  <si>
    <t>GENES NICHOLAS</t>
  </si>
  <si>
    <t>E0390941</t>
  </si>
  <si>
    <t>QUICK MELISSA KAUFMAN</t>
  </si>
  <si>
    <t>QuickMelissa</t>
  </si>
  <si>
    <t>QUICK MELISSA</t>
  </si>
  <si>
    <t>VIRK JASKIRAT DR.</t>
  </si>
  <si>
    <t>GURNANI TINA</t>
  </si>
  <si>
    <t>UNIVERSITY OF FLORIDA, 1600 SW ARCHER RD</t>
  </si>
  <si>
    <t>E0417452</t>
  </si>
  <si>
    <t>NGUYEN DIEMTHUY NANCY</t>
  </si>
  <si>
    <t>NGUYEN DIEMTHUY DR.</t>
  </si>
  <si>
    <t>E0376883</t>
  </si>
  <si>
    <t>RAINEY MARY CHANDLER</t>
  </si>
  <si>
    <t>RAINEY MARY CHANDLER DR.</t>
  </si>
  <si>
    <t>E0390883</t>
  </si>
  <si>
    <t>TSEGA SURAFEL</t>
  </si>
  <si>
    <t>TsegaSurafel</t>
  </si>
  <si>
    <t>TSEGA SURAFEL DR.</t>
  </si>
  <si>
    <t>17 EAST 102ND STREET</t>
  </si>
  <si>
    <t>TafaMuleta</t>
  </si>
  <si>
    <t>TAFA MULETA</t>
  </si>
  <si>
    <t>500 UNIVERSITY DR</t>
  </si>
  <si>
    <t>HERSHEY</t>
  </si>
  <si>
    <t>PatelBhavini</t>
  </si>
  <si>
    <t>PATEL BHAVINI</t>
  </si>
  <si>
    <t>11455 E RENATA AVE</t>
  </si>
  <si>
    <t>MESA</t>
  </si>
  <si>
    <t>RIVAUD YAYONE MS.</t>
  </si>
  <si>
    <t>120 ARROW WOOD PL</t>
  </si>
  <si>
    <t>LEEDS STEPHANIE</t>
  </si>
  <si>
    <t>1425 MADISON AVE, ROOM 11-20</t>
  </si>
  <si>
    <t>TudelaFelipe</t>
  </si>
  <si>
    <t>TUDELA FELIPE</t>
  </si>
  <si>
    <t>1801 NW 9TH AVE, SUITE 201</t>
  </si>
  <si>
    <t>E0202848</t>
  </si>
  <si>
    <t>HAUSMAN MICHAEL R          MD</t>
  </si>
  <si>
    <t>HausmanMichael</t>
  </si>
  <si>
    <t>HAUSMAN MICHAEL DR.</t>
  </si>
  <si>
    <t>DEPT OF ORTHOPEDICS</t>
  </si>
  <si>
    <t>E0309131</t>
  </si>
  <si>
    <t>ROSENZWEIG KENNETH ERIC</t>
  </si>
  <si>
    <t>RosenzweigKenneth</t>
  </si>
  <si>
    <t>ROSENZWEIG KENNETH</t>
  </si>
  <si>
    <t>DwamenaAfari</t>
  </si>
  <si>
    <t>DWAMENA AFARI</t>
  </si>
  <si>
    <t>DIANATI MALEKI NEDA</t>
  </si>
  <si>
    <t>MANDELBERGER ADRIENNE DR.</t>
  </si>
  <si>
    <t>SHI DAVID DR.</t>
  </si>
  <si>
    <t>216 SAINT PAUL ST, APT 704</t>
  </si>
  <si>
    <t>BROOKLINE</t>
  </si>
  <si>
    <t>KRONER PAUL</t>
  </si>
  <si>
    <t>515 W 59TH ST APT 15R</t>
  </si>
  <si>
    <t>E0332074</t>
  </si>
  <si>
    <t>FRIEDMAN ESTHER</t>
  </si>
  <si>
    <t>2510 30TH STREET</t>
  </si>
  <si>
    <t>E0322174</t>
  </si>
  <si>
    <t>DANIEL CASPER PA</t>
  </si>
  <si>
    <t>CasperDaniel</t>
  </si>
  <si>
    <t>CASPER DANIEL MR.</t>
  </si>
  <si>
    <t>CASPER DANIEL RPA</t>
  </si>
  <si>
    <t>5 E98TH ST FL 9 BOX 1188</t>
  </si>
  <si>
    <t>E0417259</t>
  </si>
  <si>
    <t>KORMAN ANDREW STEPHEN</t>
  </si>
  <si>
    <t>KormanAndrewS</t>
  </si>
  <si>
    <t>KORMAN ANDREW DR.</t>
  </si>
  <si>
    <t>E0284369</t>
  </si>
  <si>
    <t>AN JIANQIANG MD</t>
  </si>
  <si>
    <t>AnJian-Qiang(John)</t>
  </si>
  <si>
    <t>AN JIANQIANG DR.</t>
  </si>
  <si>
    <t>E0325132</t>
  </si>
  <si>
    <t>SCHUETZ-MUELLER JAN</t>
  </si>
  <si>
    <t>Schuetz-MuellerJan</t>
  </si>
  <si>
    <t>SCHUETZ-MUELLER JAN DR.</t>
  </si>
  <si>
    <t>NW YORK</t>
  </si>
  <si>
    <t>E0305403</t>
  </si>
  <si>
    <t>YURY KHELEMSKY</t>
  </si>
  <si>
    <t>KhelemskyYury</t>
  </si>
  <si>
    <t>KHELEMSKY YURY DR.</t>
  </si>
  <si>
    <t>KHELEMSKY YURY</t>
  </si>
  <si>
    <t>E0350551</t>
  </si>
  <si>
    <t>KATZ SAND ILANA BETH</t>
  </si>
  <si>
    <t>KATZ SAND ILANA DR.</t>
  </si>
  <si>
    <t>SantosMiladys</t>
  </si>
  <si>
    <t>SANTOS MILADYS</t>
  </si>
  <si>
    <t>E0387579</t>
  </si>
  <si>
    <t>MARKMAN LISA HANNAH</t>
  </si>
  <si>
    <t>MarkmanLisaHannah</t>
  </si>
  <si>
    <t>MARKMAN LISA DR.</t>
  </si>
  <si>
    <t>200 W 57TH ST FL 16</t>
  </si>
  <si>
    <t>E0011179</t>
  </si>
  <si>
    <t>SHREVES ASHLEY E MD</t>
  </si>
  <si>
    <t>SHREVES ASHLEY</t>
  </si>
  <si>
    <t>LEE CHRISTINA DR.</t>
  </si>
  <si>
    <t>180 PARK ROW, APT 22E</t>
  </si>
  <si>
    <t>HarperSeanPaul</t>
  </si>
  <si>
    <t>HARPER SEAN</t>
  </si>
  <si>
    <t>ZiaAhmed</t>
  </si>
  <si>
    <t>E0143303</t>
  </si>
  <si>
    <t>AHMED ZIA MD</t>
  </si>
  <si>
    <t>AHMED ZIA DR.</t>
  </si>
  <si>
    <t>ChaimWanounou</t>
  </si>
  <si>
    <t>AriellaRitvo</t>
  </si>
  <si>
    <t>(718) 387-7628</t>
  </si>
  <si>
    <t>aritvo@bedfordmedical.org</t>
  </si>
  <si>
    <t>100RossStreet</t>
  </si>
  <si>
    <t>ORNILLO CHIARRA DR.</t>
  </si>
  <si>
    <t>105 GREENE ST, UNIT 1001</t>
  </si>
  <si>
    <t>E0383709</t>
  </si>
  <si>
    <t>RADKANI PEJMAN</t>
  </si>
  <si>
    <t>FRANCE RICHARD</t>
  </si>
  <si>
    <t>301 PROSPECT AVE, MEDICAL EDUCATION DEPARTMENT</t>
  </si>
  <si>
    <t>E0346786</t>
  </si>
  <si>
    <t>BRANSON CHRISTOPHE</t>
  </si>
  <si>
    <t>BransonChristopher</t>
  </si>
  <si>
    <t>BRANSON CHRISTOPHER DR.</t>
  </si>
  <si>
    <t>E0340826</t>
  </si>
  <si>
    <t>TRUONG TUYETTRINH NGUYEN</t>
  </si>
  <si>
    <t>TruongTuyet-Trinh</t>
  </si>
  <si>
    <t>TRUONG TUYET-TRINH</t>
  </si>
  <si>
    <t>E0318377</t>
  </si>
  <si>
    <t>MCCORMICK ELIZABETH T</t>
  </si>
  <si>
    <t>McCormickElizabeth</t>
  </si>
  <si>
    <t>MCCORMICK ELIZABETH DR.</t>
  </si>
  <si>
    <t>MCCORMICK ELIZABETH T  MD</t>
  </si>
  <si>
    <t>E0328316</t>
  </si>
  <si>
    <t>WU ALBERT</t>
  </si>
  <si>
    <t>WU ALBERT DR.</t>
  </si>
  <si>
    <t>WU ALBERT Y</t>
  </si>
  <si>
    <t>E0324273</t>
  </si>
  <si>
    <t>LAZARCIUC MIRELA NICOLE</t>
  </si>
  <si>
    <t>LAZARCIUC MIRELA</t>
  </si>
  <si>
    <t>E0364214</t>
  </si>
  <si>
    <t>BARON ELISABETH</t>
  </si>
  <si>
    <t>BaronElisabethGreenwald</t>
  </si>
  <si>
    <t>BARON ELISABETH GREENWALD</t>
  </si>
  <si>
    <t>16TH STREET @ 1ST AVENUE</t>
  </si>
  <si>
    <t>KimJinaE</t>
  </si>
  <si>
    <t>KIM JINA</t>
  </si>
  <si>
    <t>SamakaiFota</t>
  </si>
  <si>
    <t>SAMAKAI FOTA MS.</t>
  </si>
  <si>
    <t>2600 NETHERLAND AVE APT 1901</t>
  </si>
  <si>
    <t>BAUR LAURA</t>
  </si>
  <si>
    <t>353 E 17TH ST, 2ND FL 2, RM 223, BETH ISRAEL MED CTR, DEPT OF PSYCH</t>
  </si>
  <si>
    <t>SHAH RUPIN</t>
  </si>
  <si>
    <t>GalvaoSobrinhoCarlos</t>
  </si>
  <si>
    <t>GALVAO SOBRINHO CARLOS</t>
  </si>
  <si>
    <t>5038 N WOODBURN ST</t>
  </si>
  <si>
    <t>WHITEFISH BAY</t>
  </si>
  <si>
    <t>MelissaCarty</t>
  </si>
  <si>
    <t>DanielleCentofranchi</t>
  </si>
  <si>
    <t>SusanCentonza</t>
  </si>
  <si>
    <t>EnochChungChan</t>
  </si>
  <si>
    <t>E0116293</t>
  </si>
  <si>
    <t>CHAN ENOCH CHUNG MD</t>
  </si>
  <si>
    <t>CHAN ENOCH DR.</t>
  </si>
  <si>
    <t>FIRST CHOICE MED</t>
  </si>
  <si>
    <t>MichaelDefalco</t>
  </si>
  <si>
    <t>AnthonyDemma</t>
  </si>
  <si>
    <t>LI TERRY DR.</t>
  </si>
  <si>
    <t>YUNG LILY</t>
  </si>
  <si>
    <t>BIEDERMAN HANNAH</t>
  </si>
  <si>
    <t>MORTEL MARIE ROSALETTE</t>
  </si>
  <si>
    <t>E0107461</t>
  </si>
  <si>
    <t>SAW THAZIN MD</t>
  </si>
  <si>
    <t>SawThazin</t>
  </si>
  <si>
    <t>SAW THAZIN</t>
  </si>
  <si>
    <t>E0113656</t>
  </si>
  <si>
    <t>TURNER STEPHEN B MD</t>
  </si>
  <si>
    <t>TurnerStephen</t>
  </si>
  <si>
    <t>TURNER STEPHEN</t>
  </si>
  <si>
    <t>E0365258</t>
  </si>
  <si>
    <t>LEVY RUTH</t>
  </si>
  <si>
    <t>LevyRuth</t>
  </si>
  <si>
    <t>LEVY RUTH MRS.</t>
  </si>
  <si>
    <t>FURTADO SUNIL DR.</t>
  </si>
  <si>
    <t>300 PASTEUR DR, R209, EDWARDS BLDG</t>
  </si>
  <si>
    <t>MCVANE BENJAMIN</t>
  </si>
  <si>
    <t>E0100277</t>
  </si>
  <si>
    <t>ROTHSTEIN ROBERT MD</t>
  </si>
  <si>
    <t>RobertRothstein</t>
  </si>
  <si>
    <t>ROTHSTEIN ROBERT</t>
  </si>
  <si>
    <t>319 BRIGHTON BEACH AVE</t>
  </si>
  <si>
    <t>E0092515</t>
  </si>
  <si>
    <t>EDEDET A UDO</t>
  </si>
  <si>
    <t>EdedetUdo</t>
  </si>
  <si>
    <t>UDO EDEDET DR.</t>
  </si>
  <si>
    <t>OlgaGruscinska</t>
  </si>
  <si>
    <t>E0306000</t>
  </si>
  <si>
    <t>SOYFER AMANDA</t>
  </si>
  <si>
    <t>AmandaWeingarten</t>
  </si>
  <si>
    <t>WEINGARTEN AMANDA</t>
  </si>
  <si>
    <t>E0309873</t>
  </si>
  <si>
    <t>LIMAYE ATUL M</t>
  </si>
  <si>
    <t>LimayeAtul</t>
  </si>
  <si>
    <t>LIMAYE ATUL</t>
  </si>
  <si>
    <t>E0311339</t>
  </si>
  <si>
    <t>GUNASEKARAN GANESH</t>
  </si>
  <si>
    <t>GunasekaranGanesh</t>
  </si>
  <si>
    <t>BaumetKrishna</t>
  </si>
  <si>
    <t>BAUMET KRISHNA</t>
  </si>
  <si>
    <t>GRACE WARREN DR.</t>
  </si>
  <si>
    <t>400 COURT ST, SUITE 100</t>
  </si>
  <si>
    <t>ACUNA JESSICA DR.</t>
  </si>
  <si>
    <t>EDWARDS MARTIN</t>
  </si>
  <si>
    <t>301 E 69TH ST, APT 8A</t>
  </si>
  <si>
    <t>VIG SANJANA MISS</t>
  </si>
  <si>
    <t>E0323579</t>
  </si>
  <si>
    <t>ANDREA E PEREZ</t>
  </si>
  <si>
    <t>PEREZ ANDREA DR.</t>
  </si>
  <si>
    <t>PEREZ ANDREA E</t>
  </si>
  <si>
    <t>990 STEWART AVE LL60</t>
  </si>
  <si>
    <t>E0362431</t>
  </si>
  <si>
    <t>ADAMS RACHEL MAY</t>
  </si>
  <si>
    <t>AdamsRachel</t>
  </si>
  <si>
    <t>ADAMS RACHEL DR.</t>
  </si>
  <si>
    <t>COSENZO LAUREN</t>
  </si>
  <si>
    <t>E0317836</t>
  </si>
  <si>
    <t>STEFANI ANN RUSSO</t>
  </si>
  <si>
    <t>RUSSO STEFANI DR.</t>
  </si>
  <si>
    <t>RUSSO STEFANI ANN</t>
  </si>
  <si>
    <t>E0002902</t>
  </si>
  <si>
    <t>EISENSON ARLENE</t>
  </si>
  <si>
    <t>EisensonArlene</t>
  </si>
  <si>
    <t>E0400675</t>
  </si>
  <si>
    <t>NUGENT WILLIAM</t>
  </si>
  <si>
    <t>WILLIAMNUGENT</t>
  </si>
  <si>
    <t>NUGENT WILLIAM DR.</t>
  </si>
  <si>
    <t>NUGENT WILLIAM COLLINS</t>
  </si>
  <si>
    <t>56-45 MAIN ST STE W-LL300</t>
  </si>
  <si>
    <t>WIDMAR MARIA DR.</t>
  </si>
  <si>
    <t>1 GUSTAVE L LEVY PL, BOX 1259</t>
  </si>
  <si>
    <t>BHANUSALI DHAVAL DR.</t>
  </si>
  <si>
    <t>1090 AMSTERDAM AVE., SUITE 11B, ST. LUKE'S-ROOSEVELT HOSPITAL- DEPARTMENT OF DERMATOLOG</t>
  </si>
  <si>
    <t>E0445098</t>
  </si>
  <si>
    <t>JANG MICHELLE YONGKYONG</t>
  </si>
  <si>
    <t>JANG MICHELLE</t>
  </si>
  <si>
    <t>E0038983</t>
  </si>
  <si>
    <t>THUNG SWAN N MD</t>
  </si>
  <si>
    <t>ThungSwan</t>
  </si>
  <si>
    <t>THUNG SWAN</t>
  </si>
  <si>
    <t>THUNG SWAN NIO</t>
  </si>
  <si>
    <t>14-28 30 MADISON AVENUE</t>
  </si>
  <si>
    <t>E0148615</t>
  </si>
  <si>
    <t>FARIES PETER LYNN MD</t>
  </si>
  <si>
    <t>FariesPeter</t>
  </si>
  <si>
    <t>FARIES PETER</t>
  </si>
  <si>
    <t>E0187871</t>
  </si>
  <si>
    <t>SILVERMAN LEWIS R</t>
  </si>
  <si>
    <t>SilvermanLewis</t>
  </si>
  <si>
    <t>SILVERMAN LEWIS</t>
  </si>
  <si>
    <t>N MILES</t>
  </si>
  <si>
    <t>E0110596</t>
  </si>
  <si>
    <t>KIKUOKA JAMES SEI MD</t>
  </si>
  <si>
    <t>JAMESKIKUOKA</t>
  </si>
  <si>
    <t>KIKUOKA JAMES DR.</t>
  </si>
  <si>
    <t>KINGSTON HOSP</t>
  </si>
  <si>
    <t>E0358815</t>
  </si>
  <si>
    <t>DROBNIS ADAM D</t>
  </si>
  <si>
    <t>DROBNIS ADAM DR.</t>
  </si>
  <si>
    <t>LiXiu-Min</t>
  </si>
  <si>
    <t>LI XIU-MIN DR.</t>
  </si>
  <si>
    <t>E0391569</t>
  </si>
  <si>
    <t>REILL SHERRY ANN</t>
  </si>
  <si>
    <t>ReillSherry</t>
  </si>
  <si>
    <t>REILL SHERRY</t>
  </si>
  <si>
    <t>1615 NORTHERN BLVD STE 301</t>
  </si>
  <si>
    <t>E0442397</t>
  </si>
  <si>
    <t>WALLACE SHANNON LEIGH</t>
  </si>
  <si>
    <t>WALLACE SHANNON</t>
  </si>
  <si>
    <t>GIBSON CHARLISA</t>
  </si>
  <si>
    <t>E0377170</t>
  </si>
  <si>
    <t>GLOWACKI ANNA MARIA</t>
  </si>
  <si>
    <t>GlowackiAnna</t>
  </si>
  <si>
    <t>GLOWACKI ANNA MRS.</t>
  </si>
  <si>
    <t>JOHNSTON-COX HILLARY</t>
  </si>
  <si>
    <t>MILLER AMANDA</t>
  </si>
  <si>
    <t>1000 10TH AVE STE 10C, OBSTETRICS &amp; GYNECOLOGY RESIDENCY</t>
  </si>
  <si>
    <t>HOLMER ARIELA</t>
  </si>
  <si>
    <t>9437 LOCKWOOD AVE</t>
  </si>
  <si>
    <t>SKOKIE</t>
  </si>
  <si>
    <t>WIZNIA LAUREN</t>
  </si>
  <si>
    <t>KourSandeep</t>
  </si>
  <si>
    <t>KOUR SANDEEP</t>
  </si>
  <si>
    <t>7234 RIVERSIDE STATION BLVD</t>
  </si>
  <si>
    <t>E0299132</t>
  </si>
  <si>
    <t>AVA REGINA SIERECKI</t>
  </si>
  <si>
    <t>SiereckiAva</t>
  </si>
  <si>
    <t>SIERECKI AVA DR.</t>
  </si>
  <si>
    <t>SIERECKI AVA REGINA</t>
  </si>
  <si>
    <t>E0373016</t>
  </si>
  <si>
    <t>EL-GASIM MAHMOOD</t>
  </si>
  <si>
    <t>EL-GASIM MAHMOOD DR.</t>
  </si>
  <si>
    <t>MAKKER PARTH DR.</t>
  </si>
  <si>
    <t>280 1ST AVE</t>
  </si>
  <si>
    <t>FELDMAN SCOTT</t>
  </si>
  <si>
    <t>SanchezYohana</t>
  </si>
  <si>
    <t>SANCHEZ YOHANA</t>
  </si>
  <si>
    <t>115 HAWTHORNE AVE</t>
  </si>
  <si>
    <t>NEPTUNE CITY</t>
  </si>
  <si>
    <t>E0183246</t>
  </si>
  <si>
    <t>WALLACH ELIZABETH MD</t>
  </si>
  <si>
    <t>WallachElizabeth</t>
  </si>
  <si>
    <t>WALLACH ELIZABETH</t>
  </si>
  <si>
    <t>1 G LEVY PLACE</t>
  </si>
  <si>
    <t>E0033026</t>
  </si>
  <si>
    <t>SPEKTOR GARY MD</t>
  </si>
  <si>
    <t>SPEKTOR GARY DR.</t>
  </si>
  <si>
    <t>3250 CONEY ISLAND AVE</t>
  </si>
  <si>
    <t>E0361845</t>
  </si>
  <si>
    <t>GOPALAN RADHA S</t>
  </si>
  <si>
    <t>GopalanRadha</t>
  </si>
  <si>
    <t>GOPALAN RADHA DR.</t>
  </si>
  <si>
    <t>E0256273</t>
  </si>
  <si>
    <t>MILLS CHRISTOPHER B        MD</t>
  </si>
  <si>
    <t>ChristopherMills</t>
  </si>
  <si>
    <t>MILLS CHRISTOPHER DR.</t>
  </si>
  <si>
    <t>E0279248</t>
  </si>
  <si>
    <t>HAROVAS ANTOINE C PC       MD</t>
  </si>
  <si>
    <t>AntoineHarovas</t>
  </si>
  <si>
    <t>1150 PARK AVE</t>
  </si>
  <si>
    <t>E0111149</t>
  </si>
  <si>
    <t>KORNBERG ROBERT J MD PLLC</t>
  </si>
  <si>
    <t>RobertKornberg</t>
  </si>
  <si>
    <t>KORNBERG ROBERT DR.</t>
  </si>
  <si>
    <t>KORNBERG ROBERT JONATHAN</t>
  </si>
  <si>
    <t>E0079726</t>
  </si>
  <si>
    <t>FERRIS DAVID CRAIG MD</t>
  </si>
  <si>
    <t>DavidFerris</t>
  </si>
  <si>
    <t>FERRIS DAVID DR.</t>
  </si>
  <si>
    <t>E0274119</t>
  </si>
  <si>
    <t>PERSKY MARK S              MD</t>
  </si>
  <si>
    <t>MarkPersky</t>
  </si>
  <si>
    <t>PERSKY MARK</t>
  </si>
  <si>
    <t>PERSKY MARK STEPHEN</t>
  </si>
  <si>
    <t>E0251580</t>
  </si>
  <si>
    <t>ATAKENT YUCEL S            MD</t>
  </si>
  <si>
    <t>YucelAtakent</t>
  </si>
  <si>
    <t>ATAKENT YUCEL</t>
  </si>
  <si>
    <t>NY UNIV MED CTR</t>
  </si>
  <si>
    <t>E0391375</t>
  </si>
  <si>
    <t>PIZZOLLA LISA</t>
  </si>
  <si>
    <t>PATEL RIDDHI DR.</t>
  </si>
  <si>
    <t>22 S GREENE ST, NGE 08</t>
  </si>
  <si>
    <t>MacqueenCoralieIrene</t>
  </si>
  <si>
    <t>HUANG ALICIA</t>
  </si>
  <si>
    <t>EHTESHAMI AFSHAR ARASH DR.</t>
  </si>
  <si>
    <t>E0164975</t>
  </si>
  <si>
    <t>ADAMS DAVID H MD</t>
  </si>
  <si>
    <t>AdamsDavid</t>
  </si>
  <si>
    <t>ADAMS DAVID H</t>
  </si>
  <si>
    <t>E0059239</t>
  </si>
  <si>
    <t>HECHT ANDREW C MD</t>
  </si>
  <si>
    <t>HechtAndrew</t>
  </si>
  <si>
    <t>HECHT ANDREW DR.</t>
  </si>
  <si>
    <t>E0150429</t>
  </si>
  <si>
    <t>TING ANDREW SHIH-HENG MD</t>
  </si>
  <si>
    <t>TingAndrew</t>
  </si>
  <si>
    <t>TING ANDREW</t>
  </si>
  <si>
    <t>5 E 98TH ST # PEDS</t>
  </si>
  <si>
    <t>E0086322</t>
  </si>
  <si>
    <t>NOWAK-WEGRZYN ANNA HALINA MD</t>
  </si>
  <si>
    <t>Nowak-WegrzynAnna</t>
  </si>
  <si>
    <t>NOWAK-WEGRZYN ANNA</t>
  </si>
  <si>
    <t>KrauelMaryJo</t>
  </si>
  <si>
    <t>KRAUEL MARY MS.</t>
  </si>
  <si>
    <t>E0070958</t>
  </si>
  <si>
    <t>NEWMAN DAVID H MD</t>
  </si>
  <si>
    <t>NewmanDavid</t>
  </si>
  <si>
    <t>NEWMAN DAVID</t>
  </si>
  <si>
    <t>GLICK PETER DR.</t>
  </si>
  <si>
    <t>51 W 86TH ST, SUITE 104D</t>
  </si>
  <si>
    <t>E0314043</t>
  </si>
  <si>
    <t>HANDSSCHUH CAROLINE</t>
  </si>
  <si>
    <t>HandschuhCaroline</t>
  </si>
  <si>
    <t>HANDSCHUH CAROLINE</t>
  </si>
  <si>
    <t>HANDSCHUH CAROLINE SUSANNE</t>
  </si>
  <si>
    <t>E0187332</t>
  </si>
  <si>
    <t>LEVIN NATHAN MD</t>
  </si>
  <si>
    <t>LEVIN NATHAN</t>
  </si>
  <si>
    <t>BECKER JAMES</t>
  </si>
  <si>
    <t>CANDELARIO-COSME MADELINE</t>
  </si>
  <si>
    <t>E 16TH STREET AND FIRST AVENUE</t>
  </si>
  <si>
    <t>FLOYD MARK</t>
  </si>
  <si>
    <t>7667 QUIDA DR</t>
  </si>
  <si>
    <t>WEST PALM BEACH</t>
  </si>
  <si>
    <t>E0140948</t>
  </si>
  <si>
    <t>RICHARDSON LYNNE D MD</t>
  </si>
  <si>
    <t>RichardsonLynne</t>
  </si>
  <si>
    <t>RICHARDSON LYNNE</t>
  </si>
  <si>
    <t>E0443026</t>
  </si>
  <si>
    <t>CRUZ CANDICE</t>
  </si>
  <si>
    <t>CRUZ CANDICE DR.</t>
  </si>
  <si>
    <t>E0362686</t>
  </si>
  <si>
    <t>LINARES LISA M</t>
  </si>
  <si>
    <t>LinaresLisa</t>
  </si>
  <si>
    <t>LINARES LISA</t>
  </si>
  <si>
    <t>166 W BROAD ST, SUITE 203</t>
  </si>
  <si>
    <t>E0427480</t>
  </si>
  <si>
    <t>WELCH KATE</t>
  </si>
  <si>
    <t>WELCH KATE DR.</t>
  </si>
  <si>
    <t>115 EAST 61ST STREET  12TH FL</t>
  </si>
  <si>
    <t>TYAGI SAM</t>
  </si>
  <si>
    <t>E0352786</t>
  </si>
  <si>
    <t>LYNCH COLLEEN</t>
  </si>
  <si>
    <t>LynchColleen</t>
  </si>
  <si>
    <t>LYNCH COLLEEN DR.</t>
  </si>
  <si>
    <t>LYNCH COLLEEN STEPHANIE</t>
  </si>
  <si>
    <t>LEVINE CALLEY</t>
  </si>
  <si>
    <t>E0451110</t>
  </si>
  <si>
    <t>STRANGAS YORGOS ELIA</t>
  </si>
  <si>
    <t>STRANGAS YORGOS</t>
  </si>
  <si>
    <t>LEVINE ELLIOT</t>
  </si>
  <si>
    <t>49 MARION ST APT 4A</t>
  </si>
  <si>
    <t>EDWARDS JONATHAN</t>
  </si>
  <si>
    <t>1468 MADISON AVE, ANNENBERG BUILDING FLOOR 15 ROOM 15-50</t>
  </si>
  <si>
    <t>EdmanMaria</t>
  </si>
  <si>
    <t>EDMAN MARIA DR.</t>
  </si>
  <si>
    <t>E0441914</t>
  </si>
  <si>
    <t>PATIL VIVEK VINAY</t>
  </si>
  <si>
    <t>PATIL VIVEK DR.</t>
  </si>
  <si>
    <t>E0314083</t>
  </si>
  <si>
    <t>JAFFE SHIRLEE</t>
  </si>
  <si>
    <t>JAFFE SHIRLEE DR.</t>
  </si>
  <si>
    <t>E0341964</t>
  </si>
  <si>
    <t>GENDY REMON</t>
  </si>
  <si>
    <t>GendyRemon</t>
  </si>
  <si>
    <t>GENDY REMON DR.</t>
  </si>
  <si>
    <t>E0365593</t>
  </si>
  <si>
    <t>SINGSON MAGDALENA</t>
  </si>
  <si>
    <t>SingsonMagdalenaL</t>
  </si>
  <si>
    <t>E0082718</t>
  </si>
  <si>
    <t>LUZ AMARILIS LUGO MD</t>
  </si>
  <si>
    <t>LugoLuz</t>
  </si>
  <si>
    <t>LUGO LUZ</t>
  </si>
  <si>
    <t>E0362483</t>
  </si>
  <si>
    <t>SCORSESE ANITA G</t>
  </si>
  <si>
    <t>SCORSESE ANITA MS.</t>
  </si>
  <si>
    <t>SCORSESE ANITA GRACE</t>
  </si>
  <si>
    <t>E0303079</t>
  </si>
  <si>
    <t>FUTRELL JUNIE CYNTHIE</t>
  </si>
  <si>
    <t>FUTRELL JUNIE</t>
  </si>
  <si>
    <t>DAVIDSON BRUCE MR.</t>
  </si>
  <si>
    <t>#10 UNION SQUARE EAST</t>
  </si>
  <si>
    <t>E0061650</t>
  </si>
  <si>
    <t>FABEL ANDREW J RPA</t>
  </si>
  <si>
    <t>FABEL ANDREW MR.</t>
  </si>
  <si>
    <t>E0329780</t>
  </si>
  <si>
    <t>ROBERT JOYCE FOLASHADE</t>
  </si>
  <si>
    <t>ROBERT JOYCE DR.</t>
  </si>
  <si>
    <t>KIM AHREUM DR.</t>
  </si>
  <si>
    <t>355 17TH ST., APT 10C</t>
  </si>
  <si>
    <t>E0329430</t>
  </si>
  <si>
    <t>DURAN NANCY</t>
  </si>
  <si>
    <t>DuranNancy</t>
  </si>
  <si>
    <t>E0366676</t>
  </si>
  <si>
    <t>FURMAN ALICE CARY</t>
  </si>
  <si>
    <t>FURMAN ALICE DR.</t>
  </si>
  <si>
    <t>241 E 88TH ST APT 2D</t>
  </si>
  <si>
    <t>E0054113</t>
  </si>
  <si>
    <t>MORENO PEDRO R MD</t>
  </si>
  <si>
    <t>MORENO PEDRO</t>
  </si>
  <si>
    <t>E0015167</t>
  </si>
  <si>
    <t>ALOYSI AMY STARR MD</t>
  </si>
  <si>
    <t>AloysiAmy</t>
  </si>
  <si>
    <t>ALOYSI AMY</t>
  </si>
  <si>
    <t>LalitPatel</t>
  </si>
  <si>
    <t>AllMedicalIPA,86East49Street,SuiteD</t>
  </si>
  <si>
    <t>AnkineeduPrasad</t>
  </si>
  <si>
    <t>E0031130</t>
  </si>
  <si>
    <t>PRASAD ANKINEEDU N MD</t>
  </si>
  <si>
    <t>PRASAD ANKINEEDU DR.</t>
  </si>
  <si>
    <t>AtaulOsmani</t>
  </si>
  <si>
    <t>(718) 636-0100</t>
  </si>
  <si>
    <t>mahosmani@gmail.com</t>
  </si>
  <si>
    <t>NaeemChaudry</t>
  </si>
  <si>
    <t>E0025349</t>
  </si>
  <si>
    <t>CHAUDHRY NAEEM AKHTER MD</t>
  </si>
  <si>
    <t>(718) 501-5550</t>
  </si>
  <si>
    <t>naeemchmd@yahoo.com</t>
  </si>
  <si>
    <t>CHAUDHRY NAEEM DR.</t>
  </si>
  <si>
    <t>FaisalWaseem</t>
  </si>
  <si>
    <t>(718) 441-0184</t>
  </si>
  <si>
    <t>fwaseemny@gmail.com</t>
  </si>
  <si>
    <t>E0106468</t>
  </si>
  <si>
    <t>BARCZEWSKA-HILLEL ANNA MD</t>
  </si>
  <si>
    <t>ANNABARCZEWSKA-HILLEL</t>
  </si>
  <si>
    <t>BARCZEWSKA-HILLEL ANNA DR.</t>
  </si>
  <si>
    <t>LENOX HILL ANES</t>
  </si>
  <si>
    <t>E0336174</t>
  </si>
  <si>
    <t>MORRIS JOSHUA D</t>
  </si>
  <si>
    <t>DR.JOSHUAMORRIS</t>
  </si>
  <si>
    <t>MORRIS JOSHUA DR.</t>
  </si>
  <si>
    <t>E0197139</t>
  </si>
  <si>
    <t>ITZKOVITZ INA S            MD</t>
  </si>
  <si>
    <t>INAITZKOVITZ</t>
  </si>
  <si>
    <t>ITZKOVITZ INA</t>
  </si>
  <si>
    <t>ITZKOVITZ INA SUE</t>
  </si>
  <si>
    <t>VICKI-JODEUTSCH</t>
  </si>
  <si>
    <t>E0250477</t>
  </si>
  <si>
    <t>COHEN JOEL M MD</t>
  </si>
  <si>
    <t>JOELCOHEN</t>
  </si>
  <si>
    <t>COHEN JOEL DR.</t>
  </si>
  <si>
    <t>228 E BROADWAY</t>
  </si>
  <si>
    <t>E0308533</t>
  </si>
  <si>
    <t>GAZALI RADFAN M</t>
  </si>
  <si>
    <t>RadfanGazali</t>
  </si>
  <si>
    <t>GAZALI RADFAN DR.</t>
  </si>
  <si>
    <t>E0369516</t>
  </si>
  <si>
    <t>CALVIN CHEN-HWAN WEI</t>
  </si>
  <si>
    <t>CalvinWei</t>
  </si>
  <si>
    <t>WEI CALVIN DR.</t>
  </si>
  <si>
    <t>AngelinaMarshall-Figueroa</t>
  </si>
  <si>
    <t>MARSHALL-FIGUEROA ANGELINA MRS.</t>
  </si>
  <si>
    <t>10 UNION SQ E, SUITE 3A</t>
  </si>
  <si>
    <t>E0066233</t>
  </si>
  <si>
    <t>TURNER MICHAEL DOV</t>
  </si>
  <si>
    <t>MichaelTurner</t>
  </si>
  <si>
    <t>TURNER MICHAEL DR.</t>
  </si>
  <si>
    <t>E0335711</t>
  </si>
  <si>
    <t>SWARTZ JORDAN LOUIS</t>
  </si>
  <si>
    <t>JordanSwartz</t>
  </si>
  <si>
    <t>SWARTZ JORDAN</t>
  </si>
  <si>
    <t>E0385006</t>
  </si>
  <si>
    <t>MACRI MIRTHA J</t>
  </si>
  <si>
    <t>MirthaMacri</t>
  </si>
  <si>
    <t>MACRI MIRTHA</t>
  </si>
  <si>
    <t>E0350184</t>
  </si>
  <si>
    <t>LAW SINGWU DAVID</t>
  </si>
  <si>
    <t>SingwuLaw</t>
  </si>
  <si>
    <t>LAW SINGWU DR.</t>
  </si>
  <si>
    <t>YesseniaCiaramitaro</t>
  </si>
  <si>
    <t>E0293414</t>
  </si>
  <si>
    <t>BRADEN J HEXOM MD</t>
  </si>
  <si>
    <t>HexomBraden</t>
  </si>
  <si>
    <t>HEXOM BRADEN DR.</t>
  </si>
  <si>
    <t>HEXOM BRADEN JAMES  MD</t>
  </si>
  <si>
    <t>E0382781</t>
  </si>
  <si>
    <t>HACKETT ALYSSA</t>
  </si>
  <si>
    <t>HackettAlyssa</t>
  </si>
  <si>
    <t>HACKETT ALYSSA DR.</t>
  </si>
  <si>
    <t>HACKETT ALYSSA MICHELLE</t>
  </si>
  <si>
    <t>E0420804</t>
  </si>
  <si>
    <t>GORDON LONNA PATRICE</t>
  </si>
  <si>
    <t>GORDON LONNA DR.</t>
  </si>
  <si>
    <t>E0407249</t>
  </si>
  <si>
    <t>ALTSCHUL REBECCA</t>
  </si>
  <si>
    <t>ALTSCHUL REBECCA LYNN</t>
  </si>
  <si>
    <t>SullivanFrancis</t>
  </si>
  <si>
    <t>SULLIVAN FRANCIS</t>
  </si>
  <si>
    <t>1 GUSTAVE L LEVY PL, BOX 1136</t>
  </si>
  <si>
    <t>E0441271</t>
  </si>
  <si>
    <t>HORN JEREMY H</t>
  </si>
  <si>
    <t>HORN JEREMY MR.</t>
  </si>
  <si>
    <t>E0349068</t>
  </si>
  <si>
    <t>AMORUSO DANIEL</t>
  </si>
  <si>
    <t>525 E 68TH ST # 130&amp;585</t>
  </si>
  <si>
    <t>BEDARD RACHAEL DR.</t>
  </si>
  <si>
    <t>1493 CAMBRIDGE ST., CAMBRIDGE HEALTH ALLIANCE,</t>
  </si>
  <si>
    <t>SIEGEL BRIANNA</t>
  </si>
  <si>
    <t>292 LONG RIDGE RD</t>
  </si>
  <si>
    <t>FIALLO ALFREDO</t>
  </si>
  <si>
    <t>5201 HARRY HINES BLVD, GRADUATE MEDICAL EDUCATION</t>
  </si>
  <si>
    <t>E0396274</t>
  </si>
  <si>
    <t>MATSUKI TAKASHI</t>
  </si>
  <si>
    <t>MATSUKI TAKASHI DR.</t>
  </si>
  <si>
    <t>E0367210</t>
  </si>
  <si>
    <t>BROWN SHARAYFAH</t>
  </si>
  <si>
    <t>BrownSharayfah</t>
  </si>
  <si>
    <t>KIRSCHNER DIANA</t>
  </si>
  <si>
    <t>222 E 34TH ST, APARTMENT 925</t>
  </si>
  <si>
    <t>E0091076</t>
  </si>
  <si>
    <t>MOHAMMADI SHAHRZAD MD</t>
  </si>
  <si>
    <t>ShahrzadMohammadi</t>
  </si>
  <si>
    <t>MOHAMMADI SHAHRZAD</t>
  </si>
  <si>
    <t>5141 BROADWAY # 1-095</t>
  </si>
  <si>
    <t>E0083220</t>
  </si>
  <si>
    <t>JENKINS ARTHUR L III MD</t>
  </si>
  <si>
    <t>JenkinsArthur</t>
  </si>
  <si>
    <t>JENKINS ARTHUR DR.</t>
  </si>
  <si>
    <t>JENKINS ARTHUR L III</t>
  </si>
  <si>
    <t>E0297116</t>
  </si>
  <si>
    <t>GUPTA VISHAL</t>
  </si>
  <si>
    <t>GuptaVishal</t>
  </si>
  <si>
    <t>PenumaduArunakumari</t>
  </si>
  <si>
    <t>E0026434</t>
  </si>
  <si>
    <t>CHAM MATTHEW DY MD</t>
  </si>
  <si>
    <t>ChamMatthew</t>
  </si>
  <si>
    <t>CHAM MATTHEW</t>
  </si>
  <si>
    <t>CuartasMariaPatricia</t>
  </si>
  <si>
    <t>E0364379</t>
  </si>
  <si>
    <t>ENNIS KIMBERLEY S</t>
  </si>
  <si>
    <t>EnnisKimberley</t>
  </si>
  <si>
    <t>ENNIS KIMBERLEY MS.</t>
  </si>
  <si>
    <t>1 GUSTAVE LEVY L PL</t>
  </si>
  <si>
    <t>E0284275</t>
  </si>
  <si>
    <t>HUANG JENIFFER VIVIAN MD</t>
  </si>
  <si>
    <t>HuangJennifer</t>
  </si>
  <si>
    <t>HUANG JENNIFER</t>
  </si>
  <si>
    <t>HUANG JENNIFER VIVIAN DO</t>
  </si>
  <si>
    <t>NufableMarvin</t>
  </si>
  <si>
    <t>NUFABLE MARVIN</t>
  </si>
  <si>
    <t>EliscaSherryleen</t>
  </si>
  <si>
    <t>CZARKOWSKI LEIGH</t>
  </si>
  <si>
    <t>BIZARGITY PEYMAN</t>
  </si>
  <si>
    <t>1000 10TH AVE, SURGERY DEPARTMENT</t>
  </si>
  <si>
    <t>E0372957</t>
  </si>
  <si>
    <t>BRUGGER JONATHAN WILLIAM</t>
  </si>
  <si>
    <t>BRUGGER JONATHAN DR.</t>
  </si>
  <si>
    <t>E0320996</t>
  </si>
  <si>
    <t>SARIN APARNA</t>
  </si>
  <si>
    <t>SarinAparna</t>
  </si>
  <si>
    <t>E0333781</t>
  </si>
  <si>
    <t>FUSCO HEIDI MD</t>
  </si>
  <si>
    <t>FuscoHeidi</t>
  </si>
  <si>
    <t>FUSCO HEIDI</t>
  </si>
  <si>
    <t>THANKACHEN JINCY MISS</t>
  </si>
  <si>
    <t>1000 10TH AVE, ST. LUKE'S ROOSEVELT - DEPARTMENT OF INTERNAL MEDICINE</t>
  </si>
  <si>
    <t>E0093434</t>
  </si>
  <si>
    <t>HERRON DANIEL MARTIN MD</t>
  </si>
  <si>
    <t>HerronDaniel</t>
  </si>
  <si>
    <t>HERRON DANIEL</t>
  </si>
  <si>
    <t>E0196272</t>
  </si>
  <si>
    <t>GREEN ROBERT SPENCER       MD</t>
  </si>
  <si>
    <t>GreenRobert</t>
  </si>
  <si>
    <t>GREEN ROBERT</t>
  </si>
  <si>
    <t>1 GUSTAVE L LEVY PL # 1198&amp; # 1200</t>
  </si>
  <si>
    <t>E0291482</t>
  </si>
  <si>
    <t>TROIA ROSANNA</t>
  </si>
  <si>
    <t>ROSANNATROIA</t>
  </si>
  <si>
    <t>251 CENTRAL PARK W STE 1C</t>
  </si>
  <si>
    <t>E0189845</t>
  </si>
  <si>
    <t>DIMITROV NADYA E</t>
  </si>
  <si>
    <t>NADYADIMITROV</t>
  </si>
  <si>
    <t>DIMITROV NADYA DR.</t>
  </si>
  <si>
    <t>HO COREY</t>
  </si>
  <si>
    <t>CapparelliAlicia</t>
  </si>
  <si>
    <t>E0362067</t>
  </si>
  <si>
    <t>WELCH ALISON KATE</t>
  </si>
  <si>
    <t>WELCH ALISON DR.</t>
  </si>
  <si>
    <t>E0380397</t>
  </si>
  <si>
    <t>NAYAK ANUPMA</t>
  </si>
  <si>
    <t>NayakAnupma</t>
  </si>
  <si>
    <t>NAYAK ANUPMA DR.</t>
  </si>
  <si>
    <t>RODRIGUEZ AGRAMONTE FERDINAND</t>
  </si>
  <si>
    <t>104 CALLE 2A, PALMAR DE TORRIMAR</t>
  </si>
  <si>
    <t>OSTROVSKY DMITRY</t>
  </si>
  <si>
    <t>1090 AMSTERDAM AVE, 16F</t>
  </si>
  <si>
    <t>E0442303</t>
  </si>
  <si>
    <t>UDEVBULU EHIZODE MARTIN</t>
  </si>
  <si>
    <t>UDEVBULU EHIZODE DR.</t>
  </si>
  <si>
    <t>E0366575</t>
  </si>
  <si>
    <t>SINANAN INDRA</t>
  </si>
  <si>
    <t>SinananIndra</t>
  </si>
  <si>
    <t>SINANAN INDRA MRS.</t>
  </si>
  <si>
    <t>E0350459</t>
  </si>
  <si>
    <t>TADROS RAMI ODEH</t>
  </si>
  <si>
    <t>TadrosRami</t>
  </si>
  <si>
    <t>TADROS RAMI</t>
  </si>
  <si>
    <t>E0382489</t>
  </si>
  <si>
    <t>GRINSPAN ARI MATTHEW</t>
  </si>
  <si>
    <t>GrinspanAri</t>
  </si>
  <si>
    <t>GRINSPAN ARI</t>
  </si>
  <si>
    <t>E0308999</t>
  </si>
  <si>
    <t>AVNI THAKORE</t>
  </si>
  <si>
    <t>THAKORE AVNI DR.</t>
  </si>
  <si>
    <t>THAKORE AVNI H</t>
  </si>
  <si>
    <t>1991 MARCUS AVE</t>
  </si>
  <si>
    <t>E0006082</t>
  </si>
  <si>
    <t>KORE NISSENSON</t>
  </si>
  <si>
    <t>GLIED KORE DR.</t>
  </si>
  <si>
    <t>NISSENSON KORE PSY.D</t>
  </si>
  <si>
    <t>AMIRIAN JOSSEF DR.</t>
  </si>
  <si>
    <t>E0385410</t>
  </si>
  <si>
    <t>PECHTER PATRICIA M</t>
  </si>
  <si>
    <t>PECHTER PATRICIA</t>
  </si>
  <si>
    <t>E0151583</t>
  </si>
  <si>
    <t>BUCOBO YOLEIDA MD</t>
  </si>
  <si>
    <t>BUCOBO YOLEIDA</t>
  </si>
  <si>
    <t>CONCOURSE MEDICAL</t>
  </si>
  <si>
    <t>MichaelAlfred</t>
  </si>
  <si>
    <t>MICHAEL ALFRED</t>
  </si>
  <si>
    <t>301 PROSPECT AVE, CLINICAL AFFILIATES</t>
  </si>
  <si>
    <t>CASTELLO-RAMIREZ MARIA</t>
  </si>
  <si>
    <t>UW HOSPITAL AND CLINICS, 600 HIGLAND AVENUE</t>
  </si>
  <si>
    <t>E0289256</t>
  </si>
  <si>
    <t>TAY EE</t>
  </si>
  <si>
    <t>TayEe</t>
  </si>
  <si>
    <t>TAY EE DR.</t>
  </si>
  <si>
    <t>TAY EE TEIN MD</t>
  </si>
  <si>
    <t>E0368486</t>
  </si>
  <si>
    <t>CHIANG JACQUELINE P</t>
  </si>
  <si>
    <t>PeChiangJacqueline</t>
  </si>
  <si>
    <t>CHIANG JACQUELINE</t>
  </si>
  <si>
    <t>E0396773</t>
  </si>
  <si>
    <t>SEMENOVSKAYA ZINA</t>
  </si>
  <si>
    <t>SemenovskayaZina</t>
  </si>
  <si>
    <t>SEMENOVSKAYA ZINA DR.</t>
  </si>
  <si>
    <t>E0369523</t>
  </si>
  <si>
    <t>KHANIMOV ALBERT</t>
  </si>
  <si>
    <t>KhanimovAlbert</t>
  </si>
  <si>
    <t>KHANIMOV ALBERT MR.</t>
  </si>
  <si>
    <t>DUTT DEBLEENA DR.</t>
  </si>
  <si>
    <t>6 HILLSIDE TER</t>
  </si>
  <si>
    <t>PATEL CHARVI</t>
  </si>
  <si>
    <t>MukherjeeSubhajit</t>
  </si>
  <si>
    <t>MUKHERJEE SUBHAJIT DR.</t>
  </si>
  <si>
    <t>6431 FANNIN ST, MSB 4.232 (DEPARTMENT OF GASTROENTEROLOGY)</t>
  </si>
  <si>
    <t>E0453097</t>
  </si>
  <si>
    <t>ACHO MEGAN ELIZABETH-SABAH</t>
  </si>
  <si>
    <t>ACHO MEGAN</t>
  </si>
  <si>
    <t>CARREAU NICOLE</t>
  </si>
  <si>
    <t>KHAN MOHEMMED MR.</t>
  </si>
  <si>
    <t>14 JOHN CIR</t>
  </si>
  <si>
    <t>NORWOOD</t>
  </si>
  <si>
    <t>E0364376</t>
  </si>
  <si>
    <t>MARCANO LISA JOANNA</t>
  </si>
  <si>
    <t>MarcanoLisa</t>
  </si>
  <si>
    <t>MARCANO LISA</t>
  </si>
  <si>
    <t>GEORGIEV KRUM DR.</t>
  </si>
  <si>
    <t>3410 N HIGH SCHOOL RD</t>
  </si>
  <si>
    <t>HidayatallahNadia</t>
  </si>
  <si>
    <t>HIDAYATALLAH NADIA DR.</t>
  </si>
  <si>
    <t>BeeneediDharanipriya</t>
  </si>
  <si>
    <t>BEENEEDI DHARANIPRIYA</t>
  </si>
  <si>
    <t>130 W KINGSBRIDGE RD, 7TH FL</t>
  </si>
  <si>
    <t>E0447669</t>
  </si>
  <si>
    <t>LIU QING</t>
  </si>
  <si>
    <t>LiuQing</t>
  </si>
  <si>
    <t>LAPIN ARYEH DR.</t>
  </si>
  <si>
    <t>E0200652</t>
  </si>
  <si>
    <t>BEDDOE DOTTINO ANN MARIE   MD</t>
  </si>
  <si>
    <t>BeddoeAnn</t>
  </si>
  <si>
    <t>BEDDOE ANN MARIE DR.</t>
  </si>
  <si>
    <t>E0153178</t>
  </si>
  <si>
    <t>MANASIA ANTHONY ROBERT MD</t>
  </si>
  <si>
    <t>ManasiaAnthony</t>
  </si>
  <si>
    <t>MANASIA ANTHONY</t>
  </si>
  <si>
    <t>FL 12</t>
  </si>
  <si>
    <t>E0059334</t>
  </si>
  <si>
    <t>HORTON JAY ROBERT</t>
  </si>
  <si>
    <t>HortonJay</t>
  </si>
  <si>
    <t>HORTON JAY</t>
  </si>
  <si>
    <t>E0403755</t>
  </si>
  <si>
    <t>PISANI LAURA</t>
  </si>
  <si>
    <t>PISANI LAURA DR.</t>
  </si>
  <si>
    <t>3959 BROADWAY FL 7</t>
  </si>
  <si>
    <t>SHERWIN MARC</t>
  </si>
  <si>
    <t>11 THE PNES</t>
  </si>
  <si>
    <t>E0364851</t>
  </si>
  <si>
    <t>STIEGLITZ PATRICIA FRANCES</t>
  </si>
  <si>
    <t>StieglitzPatricia</t>
  </si>
  <si>
    <t>STIEGLITZ PATRICIA MS.</t>
  </si>
  <si>
    <t>LINDSEY SEAN DR.</t>
  </si>
  <si>
    <t>YOSELEVSKY ELIZABETH</t>
  </si>
  <si>
    <t>305 E 63RD ST, APT 7E</t>
  </si>
  <si>
    <t>KNIGHT-GREENFIELD ASHLEY</t>
  </si>
  <si>
    <t>HannounAnas</t>
  </si>
  <si>
    <t>ABU-HANNOUN ANAS</t>
  </si>
  <si>
    <t>PIER KATHERINE</t>
  </si>
  <si>
    <t>BUTTAR SIMRAN DR.</t>
  </si>
  <si>
    <t>LAI CHEUK YIN</t>
  </si>
  <si>
    <t>10839 50TH AVE, FLOOR 3</t>
  </si>
  <si>
    <t>MATILSKY DANIELLE</t>
  </si>
  <si>
    <t>3400 SPRUCE ST, GROUND RAVDIN</t>
  </si>
  <si>
    <t>CITTI CAITLIN MRS.</t>
  </si>
  <si>
    <t>RUMSCHIK SEAN DR.</t>
  </si>
  <si>
    <t>VONAHRENS DAGNY</t>
  </si>
  <si>
    <t>TONG CHING LICK CHARLES</t>
  </si>
  <si>
    <t>1 GUSTAVE L LEVY PL, DEPARTMENT OF OTOLARYNGOLOGY, BOX 1189</t>
  </si>
  <si>
    <t>FRANCIS ANTONIA MISS</t>
  </si>
  <si>
    <t>CHAVARRIA-SILES IVAN DR.</t>
  </si>
  <si>
    <t>164 HIGH ST</t>
  </si>
  <si>
    <t>GREENFIELD</t>
  </si>
  <si>
    <t>IRUKU NIKHILA DR.</t>
  </si>
  <si>
    <t>10 SEBASTIANI BLVD</t>
  </si>
  <si>
    <t>GAITHERSBURG</t>
  </si>
  <si>
    <t>MORAN-GATES TAYLOR</t>
  </si>
  <si>
    <t>250 E SUPERIOR ST, #5-2177</t>
  </si>
  <si>
    <t>E0331507</t>
  </si>
  <si>
    <t>ELIOT MEGAN</t>
  </si>
  <si>
    <t>EliotMegan</t>
  </si>
  <si>
    <t>ELIOT MEGAN DR.</t>
  </si>
  <si>
    <t>E0144098</t>
  </si>
  <si>
    <t>MADHAVA VALSA S MD</t>
  </si>
  <si>
    <t>MADHAVA VALSA</t>
  </si>
  <si>
    <t>EL-HAYEK GEORGES</t>
  </si>
  <si>
    <t>515 W 59TH ST APT 6H</t>
  </si>
  <si>
    <t>E0395481</t>
  </si>
  <si>
    <t>YU LO</t>
  </si>
  <si>
    <t>YuLoWa</t>
  </si>
  <si>
    <t>YU LO WA</t>
  </si>
  <si>
    <t>BOSTICK ERICA DR.</t>
  </si>
  <si>
    <t>1111 AMSTERDAM AVE, PLANT BUILDING SUITE 2050</t>
  </si>
  <si>
    <t>BALAKRISHNA JAYALAKSHMI DR.</t>
  </si>
  <si>
    <t>1000 10TH AVE, ST LUKES ROOSEVELT HOSPITAL CENTRE,</t>
  </si>
  <si>
    <t>PEREZ COSTE JOSE DR.</t>
  </si>
  <si>
    <t>2001 VAIL AVE</t>
  </si>
  <si>
    <t>E0383433</t>
  </si>
  <si>
    <t>KENIA RACHNA</t>
  </si>
  <si>
    <t>KeniaRachna</t>
  </si>
  <si>
    <t>KENIA RACHNA MUKESH</t>
  </si>
  <si>
    <t>1000 10TH AVE FL 6</t>
  </si>
  <si>
    <t>JOSON TANNIA</t>
  </si>
  <si>
    <t>5601 LOCH RAVEN BLVD, RMB, STE. 502</t>
  </si>
  <si>
    <t>JILLANI ASIF</t>
  </si>
  <si>
    <t>1579 STRAITS TPKE, LOWER LEVEL</t>
  </si>
  <si>
    <t>E0390212</t>
  </si>
  <si>
    <t>MATHEWS SHYAMA SARA</t>
  </si>
  <si>
    <t>MathewsShyama</t>
  </si>
  <si>
    <t>MATHEWS SHYAMA DR.</t>
  </si>
  <si>
    <t>RAVAL HEMANTKUMAR DR.</t>
  </si>
  <si>
    <t>2625 S FLORIDA AVE</t>
  </si>
  <si>
    <t>LAKELAND</t>
  </si>
  <si>
    <t>E0296755</t>
  </si>
  <si>
    <t>TARR DIANE E MD</t>
  </si>
  <si>
    <t>TARR DIANE DR.</t>
  </si>
  <si>
    <t>E0052708</t>
  </si>
  <si>
    <t>KYRIAKOU VICTORIA M</t>
  </si>
  <si>
    <t>KyriakouVictoria</t>
  </si>
  <si>
    <t>KYRIAKOU VICTORIA</t>
  </si>
  <si>
    <t>530 FIRST AVENUE SD</t>
  </si>
  <si>
    <t>E0153114</t>
  </si>
  <si>
    <t>SALKY BARRY A MD</t>
  </si>
  <si>
    <t>SalkyBarry</t>
  </si>
  <si>
    <t>SALKY BARRY</t>
  </si>
  <si>
    <t>E0212131</t>
  </si>
  <si>
    <t>COHEN EDMOND               MD</t>
  </si>
  <si>
    <t>CohenEdmond</t>
  </si>
  <si>
    <t>COHEN EDMOND</t>
  </si>
  <si>
    <t>JanoffJessica</t>
  </si>
  <si>
    <t>HINCHEY JESSICA</t>
  </si>
  <si>
    <t>1260 SILAS DEANE HWY</t>
  </si>
  <si>
    <t>WETHERSFIELD</t>
  </si>
  <si>
    <t>KIRPEKAR MEERA</t>
  </si>
  <si>
    <t>6060 FAIRMONT PKWY, APT# 8208</t>
  </si>
  <si>
    <t>PASADENA</t>
  </si>
  <si>
    <t>LEE JASON</t>
  </si>
  <si>
    <t>141 E 3RD ST APT 10C</t>
  </si>
  <si>
    <t>E0367310</t>
  </si>
  <si>
    <t>PAUL GEET</t>
  </si>
  <si>
    <t>E0293767</t>
  </si>
  <si>
    <t>YUSUPOV DMITRIY RPA</t>
  </si>
  <si>
    <t>YusupovDmitriy</t>
  </si>
  <si>
    <t>YUSUPOV DMITRIY</t>
  </si>
  <si>
    <t>E0383024</t>
  </si>
  <si>
    <t>COHEN LOUIS</t>
  </si>
  <si>
    <t>CohenLouis</t>
  </si>
  <si>
    <t>COHEN LOUIS JARED</t>
  </si>
  <si>
    <t>E0308071</t>
  </si>
  <si>
    <t>MANIS GEORGE</t>
  </si>
  <si>
    <t>MANIS GEORGE DR.</t>
  </si>
  <si>
    <t>E0090340</t>
  </si>
  <si>
    <t>KOHLI-SETH ROOPA MD</t>
  </si>
  <si>
    <t>Kohli-SethRoopa</t>
  </si>
  <si>
    <t>KOHLI-SETH ROOPA</t>
  </si>
  <si>
    <t>E0204388</t>
  </si>
  <si>
    <t>BRODMAN MICHAEL L          MD</t>
  </si>
  <si>
    <t>BrodmanMichael</t>
  </si>
  <si>
    <t>BRODMAN MICHAEL</t>
  </si>
  <si>
    <t>AndroneAna</t>
  </si>
  <si>
    <t>E0223010</t>
  </si>
  <si>
    <t>CUTTNER JANET              MD</t>
  </si>
  <si>
    <t>CUTTNER JANET MD</t>
  </si>
  <si>
    <t>1735 YORK AVE STE P2</t>
  </si>
  <si>
    <t>E0025921</t>
  </si>
  <si>
    <t>LYDE MICHELLE R RPA</t>
  </si>
  <si>
    <t>LydeMichelle</t>
  </si>
  <si>
    <t>LYDE MICHELLE MS.</t>
  </si>
  <si>
    <t>LYDE MICHELLE RENEE</t>
  </si>
  <si>
    <t>25 12TH ST</t>
  </si>
  <si>
    <t>E0099669</t>
  </si>
  <si>
    <t>MACAULAY GRANT ROBERT MD</t>
  </si>
  <si>
    <t>GRANTMACAULAY</t>
  </si>
  <si>
    <t>MACAULAY GRANT DR.</t>
  </si>
  <si>
    <t>1555 3RD AVE</t>
  </si>
  <si>
    <t>E0123909</t>
  </si>
  <si>
    <t>KRAMER DAVID MD</t>
  </si>
  <si>
    <t>DAVIDKRAMER</t>
  </si>
  <si>
    <t>KRAMER DAVID DR.</t>
  </si>
  <si>
    <t>TabanorJoy-Ann</t>
  </si>
  <si>
    <t>TABANOR JOY-ANN</t>
  </si>
  <si>
    <t>E0378650</t>
  </si>
  <si>
    <t>DWYER CHELSEA PA</t>
  </si>
  <si>
    <t>DwyerChelsea</t>
  </si>
  <si>
    <t>DWYER CHELSEA</t>
  </si>
  <si>
    <t>RawandKadar</t>
  </si>
  <si>
    <t>E0018917</t>
  </si>
  <si>
    <t>KHADER RAWAND SUDQI MD</t>
  </si>
  <si>
    <t>(212) 392-1500</t>
  </si>
  <si>
    <t>KHADER RAWAND DR.</t>
  </si>
  <si>
    <t>LaSaundraEstelle</t>
  </si>
  <si>
    <t>E0031616</t>
  </si>
  <si>
    <t>ESTELLE LASAUNDRA CHRISHUN DDS</t>
  </si>
  <si>
    <t>(212) 426-3790</t>
  </si>
  <si>
    <t>drestelledds@gmail.com</t>
  </si>
  <si>
    <t>ESTELLE LASAUNDRA DR.</t>
  </si>
  <si>
    <t>20 E 46TH ST RM 400</t>
  </si>
  <si>
    <t>MayerBallas</t>
  </si>
  <si>
    <t>(718) 520-0001</t>
  </si>
  <si>
    <t>ballascardiology@gmail.com</t>
  </si>
  <si>
    <t>MonaPervil-Ulysse</t>
  </si>
  <si>
    <t>E0162962</t>
  </si>
  <si>
    <t>PERVIL-ULYSSE MONA  MD</t>
  </si>
  <si>
    <t>(646) 258-6955</t>
  </si>
  <si>
    <t>pervilulysse@aol.com</t>
  </si>
  <si>
    <t>PERVIL-ULYSSE MONA DR.</t>
  </si>
  <si>
    <t>MONA PERVIL-ULYSSE</t>
  </si>
  <si>
    <t>SheldonLippman</t>
  </si>
  <si>
    <t>YvetteSladky</t>
  </si>
  <si>
    <t>(718) 339-1238</t>
  </si>
  <si>
    <t>shelbaby@aol.com</t>
  </si>
  <si>
    <t>AnnaLutz</t>
  </si>
  <si>
    <t>E0017554</t>
  </si>
  <si>
    <t>LUTZ ANNA MD</t>
  </si>
  <si>
    <t>LUTZ ANNA</t>
  </si>
  <si>
    <t>KalliopeAngelos-Caceres</t>
  </si>
  <si>
    <t>AnthonyBates</t>
  </si>
  <si>
    <t>BATES ANTHONY MR.</t>
  </si>
  <si>
    <t>401 STATE ST</t>
  </si>
  <si>
    <t>LisaBorg</t>
  </si>
  <si>
    <t>WilliamBreland</t>
  </si>
  <si>
    <t>E0000702</t>
  </si>
  <si>
    <t>ADAM S MORGENTHAU</t>
  </si>
  <si>
    <t>MorgenthauAdam</t>
  </si>
  <si>
    <t>MORGENTHAU ADAM</t>
  </si>
  <si>
    <t>MORGENTHAU ADAM S MD</t>
  </si>
  <si>
    <t>sattarsupport</t>
  </si>
  <si>
    <t>HyltonLightman,MD,DCH(SA),FAAP</t>
  </si>
  <si>
    <t>E0149284</t>
  </si>
  <si>
    <t>LIGHTMAN HYLTON MD</t>
  </si>
  <si>
    <t>LeahLightman</t>
  </si>
  <si>
    <t>(718) 868-4808</t>
  </si>
  <si>
    <t>leahlightman@yahoo.com</t>
  </si>
  <si>
    <t>LIGHTMAN HYLTON DR.</t>
  </si>
  <si>
    <t>601 JARVIS AVE</t>
  </si>
  <si>
    <t>Forestdale,Inc.</t>
  </si>
  <si>
    <t>EricNicklas</t>
  </si>
  <si>
    <t>Enicklas@forestdaleinc.org</t>
  </si>
  <si>
    <t>E0421955</t>
  </si>
  <si>
    <t>OMRDD/LEAKE AND WATTS NYC MSC</t>
  </si>
  <si>
    <t>LEAKE AND WATTS NYC MSC</t>
  </si>
  <si>
    <t>E0040031</t>
  </si>
  <si>
    <t>LEAKE &amp; WATTS MSC-HV</t>
  </si>
  <si>
    <t>E0224869</t>
  </si>
  <si>
    <t>AYZENBERG VICTOR           MD</t>
  </si>
  <si>
    <t>AyzenbergVictor</t>
  </si>
  <si>
    <t>AYZENBERG VICTOR</t>
  </si>
  <si>
    <t>DEPT OF RAD/ONCO</t>
  </si>
  <si>
    <t>E0017521</t>
  </si>
  <si>
    <t>ANYANWA ANELECHI C MD</t>
  </si>
  <si>
    <t>AnyanwuAnelechi</t>
  </si>
  <si>
    <t>ANYANWU ANELECHI</t>
  </si>
  <si>
    <t>ANYANWU ANELECHI CHINEDU</t>
  </si>
  <si>
    <t>E0020836</t>
  </si>
  <si>
    <t>GOVINDARAJ SATISH MD</t>
  </si>
  <si>
    <t>GovindarajSatish</t>
  </si>
  <si>
    <t>GOVINDARAJ SATISH DR.</t>
  </si>
  <si>
    <t>80TH STREET &amp; 41ST A</t>
  </si>
  <si>
    <t>E0068241</t>
  </si>
  <si>
    <t>TANG JIAN J</t>
  </si>
  <si>
    <t>TangJianJenny</t>
  </si>
  <si>
    <t>TANG JIAN DR.</t>
  </si>
  <si>
    <t>JOSHI VIJAN</t>
  </si>
  <si>
    <t>590 FOREST AVENUE</t>
  </si>
  <si>
    <t>PALO ALTO</t>
  </si>
  <si>
    <t>GaliveetiSneha</t>
  </si>
  <si>
    <t>GALIVEETI SNEHA</t>
  </si>
  <si>
    <t>2500 JOHNSON AVENUE, APT 21T</t>
  </si>
  <si>
    <t>NoahYetunde</t>
  </si>
  <si>
    <t>NOAH YETUNDE</t>
  </si>
  <si>
    <t>E0446197</t>
  </si>
  <si>
    <t>PAMIDIMUKALA CHAITHANYA</t>
  </si>
  <si>
    <t>PAMIDIMUKALA CHAITHANYA DR.</t>
  </si>
  <si>
    <t>E0011300</t>
  </si>
  <si>
    <t>NISSIM JULIE MD</t>
  </si>
  <si>
    <t>NissimJulie</t>
  </si>
  <si>
    <t>NISSIM JULIE</t>
  </si>
  <si>
    <t>E0308894</t>
  </si>
  <si>
    <t>DEMARIA SAMUEL</t>
  </si>
  <si>
    <t>DeMariaSamuel</t>
  </si>
  <si>
    <t>DEMARIA SAMUEL DR.</t>
  </si>
  <si>
    <t>E0011287</t>
  </si>
  <si>
    <t>NGUYEN SCOTT Q MD</t>
  </si>
  <si>
    <t>NguyenScott</t>
  </si>
  <si>
    <t>NGUYEN SCOTT</t>
  </si>
  <si>
    <t>NGUYEN SCOTT QUY</t>
  </si>
  <si>
    <t>E0308520</t>
  </si>
  <si>
    <t>LAI JOANNE MD</t>
  </si>
  <si>
    <t>LaiJoanne</t>
  </si>
  <si>
    <t>LAI JOANNE DR.</t>
  </si>
  <si>
    <t>LAI JOANNE</t>
  </si>
  <si>
    <t>E0374865</t>
  </si>
  <si>
    <t>SANDERS JENNIFER ELIZABETH</t>
  </si>
  <si>
    <t>SANDERS JENNIFER DR.</t>
  </si>
  <si>
    <t>525 E 68TH ST # 179</t>
  </si>
  <si>
    <t>E0456507</t>
  </si>
  <si>
    <t>NIMO GLORIA</t>
  </si>
  <si>
    <t>NimoGloria</t>
  </si>
  <si>
    <t>KABRA NITIN</t>
  </si>
  <si>
    <t>20 BAIRD HALL, ROOM 50, BETH ISRAEL MEDICAL CENTER FIRST AVENUE AT 16TH STREET</t>
  </si>
  <si>
    <t>E0369758</t>
  </si>
  <si>
    <t>GIUDICE RICHARD A</t>
  </si>
  <si>
    <t>GiudiceRichard</t>
  </si>
  <si>
    <t>GIUDICE RICHARD</t>
  </si>
  <si>
    <t>GIUDICE RICHARD AUGUSTINE</t>
  </si>
  <si>
    <t>LAMELAS ANDREAS</t>
  </si>
  <si>
    <t>1305 N BUENA VISTA ST, APT. D</t>
  </si>
  <si>
    <t>BURBANK</t>
  </si>
  <si>
    <t>E0367260</t>
  </si>
  <si>
    <t>NICKI STEPHEN L</t>
  </si>
  <si>
    <t>NICKL STEPHEN DR.</t>
  </si>
  <si>
    <t>NICKL STEPHEN LAWRENCE</t>
  </si>
  <si>
    <t>MARLOW ELIZABETH DR.</t>
  </si>
  <si>
    <t>1000 10TH AVE, DEPARTMENT OF MEDICINE, SUITE 3A-02</t>
  </si>
  <si>
    <t>MCFADDEN WHITNEY MISS</t>
  </si>
  <si>
    <t>1 GUSTAVE L LEVY PL, DEPARTMENT OF PSYCHIATRY, BOX 1230</t>
  </si>
  <si>
    <t>E0339312</t>
  </si>
  <si>
    <t>RATHIBHAN HEMNARINE</t>
  </si>
  <si>
    <t>RATHIBHAN HEMNARINE MR.</t>
  </si>
  <si>
    <t>E0371715</t>
  </si>
  <si>
    <t>KIRSTEN JONATHAN ARIEL</t>
  </si>
  <si>
    <t>KIRSTEN JONATHAN DR.</t>
  </si>
  <si>
    <t>TOZZI MEGHAN E.</t>
  </si>
  <si>
    <t>1122 GRAND ST, APT 607</t>
  </si>
  <si>
    <t>E0378719</t>
  </si>
  <si>
    <t>KHATTAB AHMED M</t>
  </si>
  <si>
    <t>KhattabAhmed</t>
  </si>
  <si>
    <t>KHATTAB AHMED</t>
  </si>
  <si>
    <t>E0358733</t>
  </si>
  <si>
    <t>SIDOR MARDOCHE</t>
  </si>
  <si>
    <t>E0404641</t>
  </si>
  <si>
    <t>MAROTTA MICHAEL STEPHEN</t>
  </si>
  <si>
    <t>MAROTTA MICHAEL DR.</t>
  </si>
  <si>
    <t>MintzLetty</t>
  </si>
  <si>
    <t>MINTZ LETTY MRS.</t>
  </si>
  <si>
    <t>1 GUSTAVE L LEVY PL, BOX 1052</t>
  </si>
  <si>
    <t>MIZRAHI MIKE</t>
  </si>
  <si>
    <t>E0094043</t>
  </si>
  <si>
    <t>EPHRAT MOSHE MD</t>
  </si>
  <si>
    <t>EphratMoshe</t>
  </si>
  <si>
    <t>EPHRAT MOSHE DR.</t>
  </si>
  <si>
    <t>EPHRAT MOSHE</t>
  </si>
  <si>
    <t>3003 NEW HYDE PARK RD STE 409</t>
  </si>
  <si>
    <t>E0231509</t>
  </si>
  <si>
    <t>LEE DUCK JA                MD</t>
  </si>
  <si>
    <t>LEE DUCKJA DR.</t>
  </si>
  <si>
    <t>E0214575</t>
  </si>
  <si>
    <t>BRODIE SCOTT E             MD</t>
  </si>
  <si>
    <t>BrodieScott</t>
  </si>
  <si>
    <t>BRODIE SCOTT</t>
  </si>
  <si>
    <t>E0081348</t>
  </si>
  <si>
    <t>BUSSE PAULA JANE MD</t>
  </si>
  <si>
    <t>BussePaula</t>
  </si>
  <si>
    <t>BUSSE PAULA</t>
  </si>
  <si>
    <t>E0051311</t>
  </si>
  <si>
    <t>STAAL JASON</t>
  </si>
  <si>
    <t>StaalJason</t>
  </si>
  <si>
    <t>STAAL JASON DR.</t>
  </si>
  <si>
    <t>E0140694</t>
  </si>
  <si>
    <t>INDIO LILLIAN R</t>
  </si>
  <si>
    <t>IndioLillian</t>
  </si>
  <si>
    <t>INDIO LILLIAN</t>
  </si>
  <si>
    <t>1010 NORTH BROADWAY</t>
  </si>
  <si>
    <t>E0027956</t>
  </si>
  <si>
    <t>COUPET MENDEL C RPA</t>
  </si>
  <si>
    <t>CoupetMendel</t>
  </si>
  <si>
    <t>COUPET MENDEL MR.</t>
  </si>
  <si>
    <t>E0089463</t>
  </si>
  <si>
    <t>SHENOY RAJESH UPENDRA MD</t>
  </si>
  <si>
    <t>ShenoyRajesh</t>
  </si>
  <si>
    <t>SHENOY RAJESH DR.</t>
  </si>
  <si>
    <t>E0011089</t>
  </si>
  <si>
    <t>COSME-THORMANN BRAULIO FEDERICO</t>
  </si>
  <si>
    <t>Cosme-ThormannBraulio</t>
  </si>
  <si>
    <t>COSME-THORMANN BRAULIO DR.</t>
  </si>
  <si>
    <t>82-01 37TH AVE</t>
  </si>
  <si>
    <t>LandriganPhilip</t>
  </si>
  <si>
    <t>LANDRIGAN PHILIP DR.</t>
  </si>
  <si>
    <t>1 GUSTAVE L LEVY PL, BOX 1057</t>
  </si>
  <si>
    <t>E0217978</t>
  </si>
  <si>
    <t>ABRAMSON AUSTIN WAYNE      MD</t>
  </si>
  <si>
    <t>ABRAMSON AUSTIN DR.</t>
  </si>
  <si>
    <t>E0248680</t>
  </si>
  <si>
    <t>OSTER STUART               MD</t>
  </si>
  <si>
    <t>OsterStuart</t>
  </si>
  <si>
    <t>OSTER STUART DR.</t>
  </si>
  <si>
    <t>OSTER STUART MD</t>
  </si>
  <si>
    <t>JUDAH FRIEDMAN</t>
  </si>
  <si>
    <t>E0178531</t>
  </si>
  <si>
    <t>GLASS RONALD B J MD</t>
  </si>
  <si>
    <t>GLASS RONALD DR.</t>
  </si>
  <si>
    <t>E0054399</t>
  </si>
  <si>
    <t>OBADIAH BARRY MD</t>
  </si>
  <si>
    <t>ObadiahBarry</t>
  </si>
  <si>
    <t>OBADIAH BARRY DR.</t>
  </si>
  <si>
    <t>2318 31ST ST</t>
  </si>
  <si>
    <t>E0093894</t>
  </si>
  <si>
    <t>LEUNG SUI RONG MD</t>
  </si>
  <si>
    <t>LeungTina</t>
  </si>
  <si>
    <t>LEUNG TINA SUI-RONG</t>
  </si>
  <si>
    <t>LEUNG TINA SUI RONG</t>
  </si>
  <si>
    <t>E0093966</t>
  </si>
  <si>
    <t>ULLMAN THOMAS ANTHONY MD</t>
  </si>
  <si>
    <t>UllmanThomas</t>
  </si>
  <si>
    <t>ULLMAN THOMAS</t>
  </si>
  <si>
    <t>E0156886</t>
  </si>
  <si>
    <t>OCHOA ELIZABETH PHD</t>
  </si>
  <si>
    <t>ELIZABETHOCHOA</t>
  </si>
  <si>
    <t>OCHOA ELIZABETH</t>
  </si>
  <si>
    <t>OCHOA ELIZABETH SUZANNE</t>
  </si>
  <si>
    <t>E0295544</t>
  </si>
  <si>
    <t>SEEMA VARMA MD</t>
  </si>
  <si>
    <t>VarmaSeemaN.</t>
  </si>
  <si>
    <t>VARMA SEEMA</t>
  </si>
  <si>
    <t>VARMA SEEMA NANDKISHOR MD</t>
  </si>
  <si>
    <t>E0285670</t>
  </si>
  <si>
    <t>CHE-KAI TSAO MD</t>
  </si>
  <si>
    <t>TsaoChe-Kai</t>
  </si>
  <si>
    <t>TSAO CHE-KAI DR.</t>
  </si>
  <si>
    <t>TSAO CHE-KAI MD</t>
  </si>
  <si>
    <t>E0327571</t>
  </si>
  <si>
    <t>DHAMOON MANDIP MD</t>
  </si>
  <si>
    <t>DhamoonMandip</t>
  </si>
  <si>
    <t>DHAMOON MANDIP</t>
  </si>
  <si>
    <t>E0078287</t>
  </si>
  <si>
    <t>JACOB-ALI JENNA MD</t>
  </si>
  <si>
    <t>JacobJeena</t>
  </si>
  <si>
    <t>JACOB JEENA</t>
  </si>
  <si>
    <t>JACOB JEENA S</t>
  </si>
  <si>
    <t>AbrahamMaryJoy</t>
  </si>
  <si>
    <t>ABRAHAM MARY JOY MRS.</t>
  </si>
  <si>
    <t>E0317512</t>
  </si>
  <si>
    <t>STEVEN CHIN-SING YUNG</t>
  </si>
  <si>
    <t>YungSteven</t>
  </si>
  <si>
    <t>YUNG STEVEN</t>
  </si>
  <si>
    <t>YUNG STEVEN CHIN-SING</t>
  </si>
  <si>
    <t>1 GUSTAVE L LEVY PL # 1508</t>
  </si>
  <si>
    <t>E0365409</t>
  </si>
  <si>
    <t>JOSE JESSY P</t>
  </si>
  <si>
    <t>JoseJessy</t>
  </si>
  <si>
    <t>JOSE JESSY MRS.</t>
  </si>
  <si>
    <t>E0383603</t>
  </si>
  <si>
    <t>BLANCHARD KAREN</t>
  </si>
  <si>
    <t>BlanchardKaren</t>
  </si>
  <si>
    <t>LeviJuanita</t>
  </si>
  <si>
    <t>LEVI JUANITA MS.</t>
  </si>
  <si>
    <t>E0004476</t>
  </si>
  <si>
    <t>TANNOUS HENRY</t>
  </si>
  <si>
    <t>TannousHenry</t>
  </si>
  <si>
    <t>TANNOUS HENRY DR.</t>
  </si>
  <si>
    <t>TANNOUS HENRY JEAN</t>
  </si>
  <si>
    <t>E0364175</t>
  </si>
  <si>
    <t>SEN URMI</t>
  </si>
  <si>
    <t>SEN URMI DR.</t>
  </si>
  <si>
    <t>201 LYONS AVE # B2</t>
  </si>
  <si>
    <t>CCMMcMurrayClinic</t>
  </si>
  <si>
    <t>LaurenRigney</t>
  </si>
  <si>
    <t>(212) 564-6006</t>
  </si>
  <si>
    <t>E0066286</t>
  </si>
  <si>
    <t>SATCHELL MARGARET ANSELL MD</t>
  </si>
  <si>
    <t>SatchellMargaret</t>
  </si>
  <si>
    <t>SATCHELL MARGARET</t>
  </si>
  <si>
    <t>E0133445</t>
  </si>
  <si>
    <t>ASCHEIM DEBORAH V DAVIS MD</t>
  </si>
  <si>
    <t>ASCHEIM DEBORAH DR.</t>
  </si>
  <si>
    <t>E0013704</t>
  </si>
  <si>
    <t>BRYSON ETHAN OLIVER  MD</t>
  </si>
  <si>
    <t>BrysonEthan</t>
  </si>
  <si>
    <t>BRYSON ETHAN</t>
  </si>
  <si>
    <t>WallisRachel</t>
  </si>
  <si>
    <t>WALLIS RACHEL MS.</t>
  </si>
  <si>
    <t>24915 SHILOH AVE # 2</t>
  </si>
  <si>
    <t>E0280473</t>
  </si>
  <si>
    <t>HIRSCHHORN KURT            MD</t>
  </si>
  <si>
    <t>HirschhornKurt</t>
  </si>
  <si>
    <t>HIRSCHHORN KURT DR.</t>
  </si>
  <si>
    <t>ANNENBERG 17-62</t>
  </si>
  <si>
    <t>E0036865</t>
  </si>
  <si>
    <t>CORTESE MARISA ANGELA</t>
  </si>
  <si>
    <t>CorteseMarisa</t>
  </si>
  <si>
    <t>CORTESE MARISA</t>
  </si>
  <si>
    <t>2649 STRANG BLVD</t>
  </si>
  <si>
    <t>E0295358</t>
  </si>
  <si>
    <t>PONNI VIJAYA PERUMALSWAMI</t>
  </si>
  <si>
    <t>PerumalswamiPonni</t>
  </si>
  <si>
    <t>PERUMALSWAMI PONNI MS.</t>
  </si>
  <si>
    <t>PERUMALSWAMI PONNI VIJAYA</t>
  </si>
  <si>
    <t>E0333035</t>
  </si>
  <si>
    <t>NICHOLSON TARA ANNE</t>
  </si>
  <si>
    <t>NicholsonTara</t>
  </si>
  <si>
    <t>NICHOLSON TARA MRS.</t>
  </si>
  <si>
    <t>E0414737</t>
  </si>
  <si>
    <t>STEER STEVEN ALLEN</t>
  </si>
  <si>
    <t>STEER STEVEN DR.</t>
  </si>
  <si>
    <t>E0065247</t>
  </si>
  <si>
    <t>O'BOYLE MARGARET M</t>
  </si>
  <si>
    <t>O'BoylePalmerMargaret</t>
  </si>
  <si>
    <t>PALMER MARGARET MS.</t>
  </si>
  <si>
    <t>PALMER MARGARET O'BOYLE</t>
  </si>
  <si>
    <t>E0377794</t>
  </si>
  <si>
    <t>MAGLIONE PAUL JOSEPH</t>
  </si>
  <si>
    <t>MaglionePaul</t>
  </si>
  <si>
    <t>MAGLIONE PAUL DR.</t>
  </si>
  <si>
    <t>HIENSCH ROBERT JAN</t>
  </si>
  <si>
    <t>100 HAVEN AVE, APT. 22C</t>
  </si>
  <si>
    <t>E0445187</t>
  </si>
  <si>
    <t>ROBBINS ALICIA ISABEL</t>
  </si>
  <si>
    <t>ROBBINS ALICIA MISS</t>
  </si>
  <si>
    <t>E0375363</t>
  </si>
  <si>
    <t>CONCEPCION ERIKA K</t>
  </si>
  <si>
    <t>CONCEPCION ERIKA DR.</t>
  </si>
  <si>
    <t>E0021409</t>
  </si>
  <si>
    <t>BASSEY YARROMI AUGUSTINE EYO</t>
  </si>
  <si>
    <t>YARROMIBASSEY</t>
  </si>
  <si>
    <t>BASSEY YARROMI</t>
  </si>
  <si>
    <t>E0409957</t>
  </si>
  <si>
    <t>HUANG TIANGUI</t>
  </si>
  <si>
    <t>HUANG TIANGUI DR.</t>
  </si>
  <si>
    <t>E0375884</t>
  </si>
  <si>
    <t>BALDINO MICHAEL</t>
  </si>
  <si>
    <t>E0357464</t>
  </si>
  <si>
    <t>COLOMBEL JEAN-FREDERIC</t>
  </si>
  <si>
    <t>ColombelJean-Frederic</t>
  </si>
  <si>
    <t>KIRALY DREW DR.</t>
  </si>
  <si>
    <t>E0295578</t>
  </si>
  <si>
    <t>KANDOV RUBEN</t>
  </si>
  <si>
    <t>KandovRuben</t>
  </si>
  <si>
    <t>KANDOV RUBEN DR.</t>
  </si>
  <si>
    <t>705- 86TH ST</t>
  </si>
  <si>
    <t>E0139138</t>
  </si>
  <si>
    <t>SHEINART KARA F MD</t>
  </si>
  <si>
    <t>SheinartKara</t>
  </si>
  <si>
    <t>SHEINART KARA DR.</t>
  </si>
  <si>
    <t>SHEINART KARA F</t>
  </si>
  <si>
    <t>PO BOX 1139</t>
  </si>
  <si>
    <t>E0381626</t>
  </si>
  <si>
    <t>MILMAN LYUDMILA</t>
  </si>
  <si>
    <t>MilmanLyudmila</t>
  </si>
  <si>
    <t>CHEN KARIN MS.</t>
  </si>
  <si>
    <t>E0352735</t>
  </si>
  <si>
    <t>GALBRAITH RONALD WOOD</t>
  </si>
  <si>
    <t>GALBRAITH RONALD</t>
  </si>
  <si>
    <t>E0383007</t>
  </si>
  <si>
    <t>LAND MALGORZATA</t>
  </si>
  <si>
    <t>123 W 86TH ST</t>
  </si>
  <si>
    <t>HERNANDEZ ALICEA JOHN DR.</t>
  </si>
  <si>
    <t>515 W 59TH ST, APT. 30K</t>
  </si>
  <si>
    <t>BeaugeEstelle</t>
  </si>
  <si>
    <t>BEAUGE ESTELLE MS.</t>
  </si>
  <si>
    <t>462 1ST AVE, NBV 15S5</t>
  </si>
  <si>
    <t>BaeHyun</t>
  </si>
  <si>
    <t>BAE HYUN DR.</t>
  </si>
  <si>
    <t>E0384613</t>
  </si>
  <si>
    <t>ANGUS HEATHER LYNN</t>
  </si>
  <si>
    <t>AngusHeather</t>
  </si>
  <si>
    <t>ANGUS HEATHER</t>
  </si>
  <si>
    <t>EISENBERG AMANDA MS.</t>
  </si>
  <si>
    <t>4802 10TH AVE., MAIMONIDES MEDICAL CENTER</t>
  </si>
  <si>
    <t>PARK JOONGHEUM DR.</t>
  </si>
  <si>
    <t>E0127804</t>
  </si>
  <si>
    <t>HIMEL HARVEY NORMAN MD</t>
  </si>
  <si>
    <t>HIMEL HARVEY</t>
  </si>
  <si>
    <t>HIMEL HARVEY NORMAN</t>
  </si>
  <si>
    <t>ROUX MICHAEL DR.</t>
  </si>
  <si>
    <t>1255 S CEDAR CREST BLVD STE 3200</t>
  </si>
  <si>
    <t>MISUMIDA NAOKI DR.</t>
  </si>
  <si>
    <t>353 E 17TH ST APT 20G</t>
  </si>
  <si>
    <t>KATO HIROTAKA</t>
  </si>
  <si>
    <t>9200 W WISCONSIN AVE, DEPT OF INTERNAL MEDICINE</t>
  </si>
  <si>
    <t>PAPADOPOULOS CHRISTOPHER DR.</t>
  </si>
  <si>
    <t>443 CLEMENT AVE, 2ND FLOOR</t>
  </si>
  <si>
    <t>E0088345</t>
  </si>
  <si>
    <t>SRIVASTAVA SHUBHIKA MD</t>
  </si>
  <si>
    <t>SrivastavaShubhika</t>
  </si>
  <si>
    <t>SRIVASTAVA SHUBHIKA</t>
  </si>
  <si>
    <t>1 GUSTAVE L LEVY PL # 1200 &amp; # 1201</t>
  </si>
  <si>
    <t>E0302257</t>
  </si>
  <si>
    <t>KUO FELIX</t>
  </si>
  <si>
    <t>KuoFelix</t>
  </si>
  <si>
    <t>KUO FELIX DR.</t>
  </si>
  <si>
    <t>901 STEWART AVE</t>
  </si>
  <si>
    <t>E0253202</t>
  </si>
  <si>
    <t>WOOD-SMITH DONALD</t>
  </si>
  <si>
    <t>WOOD-SMITH DONALD DR.</t>
  </si>
  <si>
    <t>136 E 64TH ST</t>
  </si>
  <si>
    <t>E0368327</t>
  </si>
  <si>
    <t>RO RICHARD</t>
  </si>
  <si>
    <t>LINDER HARRISON</t>
  </si>
  <si>
    <t>171 LACKAWANNA DR</t>
  </si>
  <si>
    <t>STANHOPE</t>
  </si>
  <si>
    <t>ELMER MARK</t>
  </si>
  <si>
    <t>1 GUSTAVE L LEVY PL, DEPARTMENT OF EMERGENCY MEDICINE, BOX 1149</t>
  </si>
  <si>
    <t>SANGLI SWATHI</t>
  </si>
  <si>
    <t>515 W 59TH ST APT 21A, NY, NY</t>
  </si>
  <si>
    <t>E0335244</t>
  </si>
  <si>
    <t>MEDDER NIA</t>
  </si>
  <si>
    <t>PROF.NIAMEDDER</t>
  </si>
  <si>
    <t>MEDDER NIA PROF.</t>
  </si>
  <si>
    <t>MICKMAN CARL</t>
  </si>
  <si>
    <t>MCRAE MARCEE DR.</t>
  </si>
  <si>
    <t>1 GUSTAVE L LEVY PL, 1149</t>
  </si>
  <si>
    <t>E0326690</t>
  </si>
  <si>
    <t>SCOBIE JANICE VINCIA</t>
  </si>
  <si>
    <t>ScobieJanice</t>
  </si>
  <si>
    <t>SCOBIE JANICE</t>
  </si>
  <si>
    <t>E0145826</t>
  </si>
  <si>
    <t>BAR-CHAMA NATAN MD</t>
  </si>
  <si>
    <t>Bar-ChamaNatan</t>
  </si>
  <si>
    <t>BAR-CHAMA NATAN</t>
  </si>
  <si>
    <t>E0039066</t>
  </si>
  <si>
    <t>PINKAS ADINA MD</t>
  </si>
  <si>
    <t>PinkasAdina</t>
  </si>
  <si>
    <t>PINKAS ADINA DR.</t>
  </si>
  <si>
    <t>E0120553</t>
  </si>
  <si>
    <t>MERNS KAREN  PHD</t>
  </si>
  <si>
    <t>MernsKaren</t>
  </si>
  <si>
    <t>MERNS KAREN</t>
  </si>
  <si>
    <t>E0348674</t>
  </si>
  <si>
    <t>SWOPE DAVID M</t>
  </si>
  <si>
    <t>SwopeDavidM</t>
  </si>
  <si>
    <t>SWOPE DAVID</t>
  </si>
  <si>
    <t>E0390890</t>
  </si>
  <si>
    <t>BARNHART STEPHANIE</t>
  </si>
  <si>
    <t>BarnhartStephanie</t>
  </si>
  <si>
    <t>BARNHART STEPHANIE DR.</t>
  </si>
  <si>
    <t>E0442673</t>
  </si>
  <si>
    <t>KREYMER YELENA</t>
  </si>
  <si>
    <t>KREYMER YELENA DR.</t>
  </si>
  <si>
    <t>E0440994</t>
  </si>
  <si>
    <t>POWERS CHRISTOPHER PAUL</t>
  </si>
  <si>
    <t>POWERS CHRISTOPHER MR.</t>
  </si>
  <si>
    <t>E0387973</t>
  </si>
  <si>
    <t>GILLERAN SUZANNE M</t>
  </si>
  <si>
    <t>GilleranSuzanne</t>
  </si>
  <si>
    <t>GILLERAN SUZANNE</t>
  </si>
  <si>
    <t>GILLERAN SUZANNE MARIE</t>
  </si>
  <si>
    <t>1 GUSTAVE L LEVY PL # 1216</t>
  </si>
  <si>
    <t>E0391694</t>
  </si>
  <si>
    <t>YANAGAWA ROBERT KEI</t>
  </si>
  <si>
    <t>YanagawaRobert</t>
  </si>
  <si>
    <t>YANAGAWA ROBERT DR.</t>
  </si>
  <si>
    <t>HOUY SEING</t>
  </si>
  <si>
    <t>Edwards-GuishardGlennis</t>
  </si>
  <si>
    <t>EDWARDS-GUISHARD GLENNIS MRS.</t>
  </si>
  <si>
    <t>16TH STREET 1ST AVENUE, 9 BERNSTEIN</t>
  </si>
  <si>
    <t>WoodhullCourtney</t>
  </si>
  <si>
    <t>WOODHULL COURTNEY</t>
  </si>
  <si>
    <t>E0000295</t>
  </si>
  <si>
    <t>STIEBER JONATHAN</t>
  </si>
  <si>
    <t>StieberJonathanR</t>
  </si>
  <si>
    <t>STIEBER JONATHAN MD</t>
  </si>
  <si>
    <t>E0336640</t>
  </si>
  <si>
    <t>GUPTA MEENAKASHI</t>
  </si>
  <si>
    <t>GuptaMeenakashi</t>
  </si>
  <si>
    <t>GUPTA MEENAKASHI DR.</t>
  </si>
  <si>
    <t>E0429539</t>
  </si>
  <si>
    <t>PATHROSE MATHEW</t>
  </si>
  <si>
    <t>PathroseMathew</t>
  </si>
  <si>
    <t>E0421022</t>
  </si>
  <si>
    <t>ADELMAN RUTH M</t>
  </si>
  <si>
    <t>AdelmanRuth</t>
  </si>
  <si>
    <t>ADELMAN RUTH MS.</t>
  </si>
  <si>
    <t>ADELMAN RUTH MARISSA</t>
  </si>
  <si>
    <t>E0366346</t>
  </si>
  <si>
    <t>PASKA ANDREW M</t>
  </si>
  <si>
    <t>PaskaAndrew</t>
  </si>
  <si>
    <t>PASKA ANDREW MR.</t>
  </si>
  <si>
    <t>HAMMER ELIZABETH</t>
  </si>
  <si>
    <t>550 1ST AVE, APT. 11E</t>
  </si>
  <si>
    <t>E0421787</t>
  </si>
  <si>
    <t>DIENSTAG BILL D</t>
  </si>
  <si>
    <t>DIENSTAG BILL MR.</t>
  </si>
  <si>
    <t>MARCHIONE JOSEPH</t>
  </si>
  <si>
    <t>PrintyRachel</t>
  </si>
  <si>
    <t>PRINTY RACHEL</t>
  </si>
  <si>
    <t>1700 S TAMIAMI TRL</t>
  </si>
  <si>
    <t>SARASOTA</t>
  </si>
  <si>
    <t>E0248669</t>
  </si>
  <si>
    <t>PFAIL JOHN LAWRENCE       DDS</t>
  </si>
  <si>
    <t>PfailJohn</t>
  </si>
  <si>
    <t>PFAIL JOHN</t>
  </si>
  <si>
    <t>CABELLO RICARDO</t>
  </si>
  <si>
    <t>4124 APPLEBY WAY</t>
  </si>
  <si>
    <t>FAIRFAX</t>
  </si>
  <si>
    <t>E0385445</t>
  </si>
  <si>
    <t>ARABOV YOSIF</t>
  </si>
  <si>
    <t>JEYACHANDRAN DEVI</t>
  </si>
  <si>
    <t>1 GUSTAVE L LEVY PL, DEPARTMENT OF PATHOLOGY ICAHN SCHOOL OF MEDICINE</t>
  </si>
  <si>
    <t>AYUB SARABIA CARLOS</t>
  </si>
  <si>
    <t>BATISTI JENNIFER DR.</t>
  </si>
  <si>
    <t>E0383150</t>
  </si>
  <si>
    <t>PAREKH RAJ</t>
  </si>
  <si>
    <t>ParekhRaj</t>
  </si>
  <si>
    <t>PAREKH RAJ M</t>
  </si>
  <si>
    <t>E0113969</t>
  </si>
  <si>
    <t>ANTHONY KOPATSIS MD FACS PLLC</t>
  </si>
  <si>
    <t>KOPATSIS ANTHONY DR.</t>
  </si>
  <si>
    <t>E0033927</t>
  </si>
  <si>
    <t>MARN RICHARD YEE</t>
  </si>
  <si>
    <t>MarnRichard</t>
  </si>
  <si>
    <t>MARN RICHARD DR.</t>
  </si>
  <si>
    <t>MalatestaChristian</t>
  </si>
  <si>
    <t>MALATESTA CHRISTIAN MR.</t>
  </si>
  <si>
    <t>E0390863</t>
  </si>
  <si>
    <t>GLOBINA YELENA</t>
  </si>
  <si>
    <t>GlobinaYelena</t>
  </si>
  <si>
    <t>E0283578</t>
  </si>
  <si>
    <t>SCHREIBER ABRAHAM MD</t>
  </si>
  <si>
    <t>SCHREIBER ABRAHAM</t>
  </si>
  <si>
    <t>E0079007</t>
  </si>
  <si>
    <t>OTT CHRISTINE MARGIT</t>
  </si>
  <si>
    <t>MarshallChristine</t>
  </si>
  <si>
    <t>MARSHALL CHRISTINE MRS.</t>
  </si>
  <si>
    <t>MARSHALL CHRISTINE MARGIT</t>
  </si>
  <si>
    <t>PatelDevina</t>
  </si>
  <si>
    <t>PATEL DEVINA</t>
  </si>
  <si>
    <t>377 JERSEY AVE, SUITE 280</t>
  </si>
  <si>
    <t>BATTISTA JAMES DR.</t>
  </si>
  <si>
    <t>E0364340</t>
  </si>
  <si>
    <t>MANZANILLA GLORIA VICTORIA</t>
  </si>
  <si>
    <t>ManzanillaGloria</t>
  </si>
  <si>
    <t>MANZANILLA GLORIA MS.</t>
  </si>
  <si>
    <t>E0446983</t>
  </si>
  <si>
    <t>EGGERT LAUREN E</t>
  </si>
  <si>
    <t>EGGERT LAUREN</t>
  </si>
  <si>
    <t>EGGERT LAUREN ELAINE</t>
  </si>
  <si>
    <t>SHRENSEL JEFFREY DR.</t>
  </si>
  <si>
    <t>E0393093</t>
  </si>
  <si>
    <t>MCGOVERN PETER</t>
  </si>
  <si>
    <t>PeterMcGovern</t>
  </si>
  <si>
    <t>MCGOVERN PETER GERARD</t>
  </si>
  <si>
    <t>E0349098</t>
  </si>
  <si>
    <t>MOR TRISHA</t>
  </si>
  <si>
    <t>TrishaMor</t>
  </si>
  <si>
    <t>MOR TRISHA DR.</t>
  </si>
  <si>
    <t>E0353668</t>
  </si>
  <si>
    <t>SHANBHOGUE ALAMPADY KRISTINA PRASAD</t>
  </si>
  <si>
    <t>AlampadyShanbhogue</t>
  </si>
  <si>
    <t>SHANBHOGUE KRISHNA</t>
  </si>
  <si>
    <t>E0364189</t>
  </si>
  <si>
    <t>AKINGBOYE ADEKEMI OLUFNMILAYO</t>
  </si>
  <si>
    <t>AdekemiAkingboye</t>
  </si>
  <si>
    <t>AKINGBOYE ADEKEMI</t>
  </si>
  <si>
    <t>AKINGBOYE ADEKEMI OLUFUNMILAYO</t>
  </si>
  <si>
    <t>E0156537</t>
  </si>
  <si>
    <t>MILDVAN DONNA MD</t>
  </si>
  <si>
    <t>DonnaMildvan</t>
  </si>
  <si>
    <t>MILDVAN DONNA</t>
  </si>
  <si>
    <t>E0283472</t>
  </si>
  <si>
    <t>PUSTOVOYTOV VADIM MD</t>
  </si>
  <si>
    <t>PustovoytovVadim</t>
  </si>
  <si>
    <t>PUSTOVOYTOV VADIM</t>
  </si>
  <si>
    <t>E0386179</t>
  </si>
  <si>
    <t>GELLER LAUREN</t>
  </si>
  <si>
    <t>GellerLauren</t>
  </si>
  <si>
    <t>GELLER LAUREN DR.</t>
  </si>
  <si>
    <t>GELLER LAUREN ELIZABETH</t>
  </si>
  <si>
    <t>E0391001</t>
  </si>
  <si>
    <t>CHAI RAYMOND</t>
  </si>
  <si>
    <t>ChaiRaymond</t>
  </si>
  <si>
    <t>10 UNION SQ E # 5B</t>
  </si>
  <si>
    <t>E0283620</t>
  </si>
  <si>
    <t>ALEXANDRU BURDUCEA</t>
  </si>
  <si>
    <t>BurduceaAlexandru</t>
  </si>
  <si>
    <t>BURDUCEA ALEXANDRU</t>
  </si>
  <si>
    <t>BURDUCEA ALEXANDRU DO</t>
  </si>
  <si>
    <t>E0000217</t>
  </si>
  <si>
    <t>RUHE JORG JOACHIM</t>
  </si>
  <si>
    <t>JorgRuhe</t>
  </si>
  <si>
    <t>RUHE JORG</t>
  </si>
  <si>
    <t>RUHE JORG JOACHIM MD</t>
  </si>
  <si>
    <t>OlgaEvdos</t>
  </si>
  <si>
    <t>E0166752</t>
  </si>
  <si>
    <t>PEREZ MARITZA I MD</t>
  </si>
  <si>
    <t>MaritzaPerez</t>
  </si>
  <si>
    <t>PEREZ MARITZA MS.</t>
  </si>
  <si>
    <t>YALE UNIV SCH OF MED</t>
  </si>
  <si>
    <t>E0113641</t>
  </si>
  <si>
    <t>YOUNG EDWIN REYNOLDS MD</t>
  </si>
  <si>
    <t>EdwinYoung</t>
  </si>
  <si>
    <t>YOUNG EDWIN DR.</t>
  </si>
  <si>
    <t>E0417221</t>
  </si>
  <si>
    <t>HALPER PETER</t>
  </si>
  <si>
    <t>PeterHalper</t>
  </si>
  <si>
    <t>HALPER PETER DR.</t>
  </si>
  <si>
    <t>E0122537</t>
  </si>
  <si>
    <t>FISHBERGER JEFFREY MD</t>
  </si>
  <si>
    <t>JeffreyFishberger</t>
  </si>
  <si>
    <t>FISHBERGER JEFFREY DR.</t>
  </si>
  <si>
    <t>FRNT 2T</t>
  </si>
  <si>
    <t>E0076149</t>
  </si>
  <si>
    <t>GILBERT MELVIN R MD</t>
  </si>
  <si>
    <t>MelvinGilbert</t>
  </si>
  <si>
    <t>GILBERT MELVIN PROF.</t>
  </si>
  <si>
    <t>SLR PSYCHIATRIC ASSO</t>
  </si>
  <si>
    <t>GradyJeffrey</t>
  </si>
  <si>
    <t>GRADY JEFFREY MR.</t>
  </si>
  <si>
    <t>E0344395</t>
  </si>
  <si>
    <t>HAREL NOAM</t>
  </si>
  <si>
    <t>HarelNoam</t>
  </si>
  <si>
    <t>HAREL NOAM Y</t>
  </si>
  <si>
    <t>E0086622</t>
  </si>
  <si>
    <t>NOWAKOWSKI FRANCIS SCOTT MD</t>
  </si>
  <si>
    <t>NowakowskiFrancis</t>
  </si>
  <si>
    <t>NOWAKOWSKI FRANCIS</t>
  </si>
  <si>
    <t>MT SINAI RADIOLOGY</t>
  </si>
  <si>
    <t>E0011810</t>
  </si>
  <si>
    <t>LEE MIKYUNG</t>
  </si>
  <si>
    <t>LeeMikyung</t>
  </si>
  <si>
    <t>E0111275</t>
  </si>
  <si>
    <t>LERNER GARY</t>
  </si>
  <si>
    <t>LernerGary</t>
  </si>
  <si>
    <t>LERNER GARY N</t>
  </si>
  <si>
    <t>E0132389</t>
  </si>
  <si>
    <t>HANDELMAN MICHELE</t>
  </si>
  <si>
    <t>HandelmanMichele</t>
  </si>
  <si>
    <t>HANDELMAN MICHELE MS.</t>
  </si>
  <si>
    <t>DOWNSTATE OB/GYN PC</t>
  </si>
  <si>
    <t>E0147708</t>
  </si>
  <si>
    <t>MAYER STEPHAN A MD</t>
  </si>
  <si>
    <t>MayerStephan</t>
  </si>
  <si>
    <t>MAYER STEPHAN DR.</t>
  </si>
  <si>
    <t>E0041095</t>
  </si>
  <si>
    <t>GOLDMAN JANE CLEARY MD</t>
  </si>
  <si>
    <t>GOLDMAN JANE</t>
  </si>
  <si>
    <t>1175 FIFTH AVE E LEVEL</t>
  </si>
  <si>
    <t>E0018691</t>
  </si>
  <si>
    <t>FERRARA LAUREN MD</t>
  </si>
  <si>
    <t>FerraraLauren</t>
  </si>
  <si>
    <t>FERRARA LAUREN</t>
  </si>
  <si>
    <t>E0135097</t>
  </si>
  <si>
    <t>JACOBSON BARRY LAURENCE DMD</t>
  </si>
  <si>
    <t>JACOBSON BARRY DR.</t>
  </si>
  <si>
    <t>14402 JEWEL AVE</t>
  </si>
  <si>
    <t>E0201035</t>
  </si>
  <si>
    <t>STRAIN JAMES               MD</t>
  </si>
  <si>
    <t>StrainJames</t>
  </si>
  <si>
    <t>STRAIN JAMES DR.</t>
  </si>
  <si>
    <t>E0314967</t>
  </si>
  <si>
    <t>CHO SAMUEL</t>
  </si>
  <si>
    <t>ChoSamuel</t>
  </si>
  <si>
    <t>CHO SAMUEL KANG-WOOK</t>
  </si>
  <si>
    <t>79-01 BROADWAY ROOM A1-9</t>
  </si>
  <si>
    <t>E0336613</t>
  </si>
  <si>
    <t>FORSH DAVID</t>
  </si>
  <si>
    <t>ForshDavid</t>
  </si>
  <si>
    <t>FORSH DAVID DR.</t>
  </si>
  <si>
    <t>FORSH DAVID ALEXANDER</t>
  </si>
  <si>
    <t>5 E 98TH ST PMB 1188</t>
  </si>
  <si>
    <t>E0355418</t>
  </si>
  <si>
    <t>MODHWADIA KANAN</t>
  </si>
  <si>
    <t>ModhwadiaKanan</t>
  </si>
  <si>
    <t>E0353101</t>
  </si>
  <si>
    <t>JAMES MONIQUE ELESHA</t>
  </si>
  <si>
    <t>JamesMonique</t>
  </si>
  <si>
    <t>JAMES MONIQUE</t>
  </si>
  <si>
    <t>E0104678</t>
  </si>
  <si>
    <t>WEISS STEPHEN R MD</t>
  </si>
  <si>
    <t>STEPHENWEISS</t>
  </si>
  <si>
    <t>WEISS STEPHEN DR.</t>
  </si>
  <si>
    <t>E0301968</t>
  </si>
  <si>
    <t>MERCHANT YUKO  MD</t>
  </si>
  <si>
    <t>YUKOMERCHANT</t>
  </si>
  <si>
    <t>MERCHANT YUKO DR.</t>
  </si>
  <si>
    <t>MERCHANT YUKO</t>
  </si>
  <si>
    <t>E0291813</t>
  </si>
  <si>
    <t>OLUPONA TOLULOPE</t>
  </si>
  <si>
    <t>TOLULOPEOLUPONA</t>
  </si>
  <si>
    <t>OLUPONA TOLULOPE DR.</t>
  </si>
  <si>
    <t>E0232605</t>
  </si>
  <si>
    <t>GOLDMAN MARTIN ELLIOT      MD</t>
  </si>
  <si>
    <t>GoldmanMartin</t>
  </si>
  <si>
    <t>GOLDMAN MARTIN DR.</t>
  </si>
  <si>
    <t>E0387560</t>
  </si>
  <si>
    <t>ADAM P GRANT</t>
  </si>
  <si>
    <t>GrantAdam</t>
  </si>
  <si>
    <t>GRANT ADAM</t>
  </si>
  <si>
    <t>GRANT ADAM P</t>
  </si>
  <si>
    <t>LeonidPoretsky</t>
  </si>
  <si>
    <t>E0296601</t>
  </si>
  <si>
    <t>AHMAD JAWAD</t>
  </si>
  <si>
    <t>AhmadJawad</t>
  </si>
  <si>
    <t>AHMAD JAWAD DR.</t>
  </si>
  <si>
    <t>MarinDeborah</t>
  </si>
  <si>
    <t>MARIN DEBORAH MS.</t>
  </si>
  <si>
    <t>E0170491</t>
  </si>
  <si>
    <t>ROSCH ELLIOTT C MD</t>
  </si>
  <si>
    <t>RoschElliott</t>
  </si>
  <si>
    <t>ROSCH ELLIOTT</t>
  </si>
  <si>
    <t>124 PARK AVE</t>
  </si>
  <si>
    <t>E0056810</t>
  </si>
  <si>
    <t>BAHL NARESH BALA</t>
  </si>
  <si>
    <t>BahlNaresh</t>
  </si>
  <si>
    <t>BAHL NARESH</t>
  </si>
  <si>
    <t>LITTLE NECK NH</t>
  </si>
  <si>
    <t>E0289058</t>
  </si>
  <si>
    <t>BLOK JANICE M RPA</t>
  </si>
  <si>
    <t>BlokJanice</t>
  </si>
  <si>
    <t>BLOK JANICE</t>
  </si>
  <si>
    <t>525 E 68TH ST M014</t>
  </si>
  <si>
    <t>MontgomeryGuy</t>
  </si>
  <si>
    <t>MONTGOMERY GUY DR.</t>
  </si>
  <si>
    <t>E0137904</t>
  </si>
  <si>
    <t>SKLOOT GWEN S MD</t>
  </si>
  <si>
    <t>SklootGwen</t>
  </si>
  <si>
    <t>SKLOOT GWEN</t>
  </si>
  <si>
    <t>E0027856</t>
  </si>
  <si>
    <t>RABIN ELAINE J  MD</t>
  </si>
  <si>
    <t>RABIN ELAINE</t>
  </si>
  <si>
    <t>100TH AND MADISON</t>
  </si>
  <si>
    <t>E0113756</t>
  </si>
  <si>
    <t>GENDEN ERIC M MD</t>
  </si>
  <si>
    <t>GendenEric</t>
  </si>
  <si>
    <t>GENDEN ERIC DR.</t>
  </si>
  <si>
    <t>7901 BROADWAY # A1-19</t>
  </si>
  <si>
    <t>E0158420</t>
  </si>
  <si>
    <t>GERMANO ISABELLE M MD</t>
  </si>
  <si>
    <t>GermanoIsabelle</t>
  </si>
  <si>
    <t>GERMANO ISABELLE DR.</t>
  </si>
  <si>
    <t>GERMANO ISABELLE M</t>
  </si>
  <si>
    <t>E0160401</t>
  </si>
  <si>
    <t>GARWOOD JOHN WILLIAM MD</t>
  </si>
  <si>
    <t>GARWOOD JOHN</t>
  </si>
  <si>
    <t>DELONE NOAH</t>
  </si>
  <si>
    <t>KALLUR KAMALA RAMYA</t>
  </si>
  <si>
    <t>E0370578</t>
  </si>
  <si>
    <t>RAPOPORT IRINA</t>
  </si>
  <si>
    <t>RapoportIrina</t>
  </si>
  <si>
    <t>RAPOPORT IRINA MS.</t>
  </si>
  <si>
    <t>SabiMajdouline</t>
  </si>
  <si>
    <t>SABI MAJDOULINE</t>
  </si>
  <si>
    <t>E0373049</t>
  </si>
  <si>
    <t>SPARKS ANN MARTHA</t>
  </si>
  <si>
    <t>SparksMarthaA.</t>
  </si>
  <si>
    <t>SPARKS MARTHA DR.</t>
  </si>
  <si>
    <t>E0001278</t>
  </si>
  <si>
    <t>ALBERTO ESCALLON MD</t>
  </si>
  <si>
    <t>EscallonAlberto</t>
  </si>
  <si>
    <t>ESCALLON ALBERTO</t>
  </si>
  <si>
    <t>ESCALLON ALBERTO MD</t>
  </si>
  <si>
    <t>E0354291</t>
  </si>
  <si>
    <t>AGRAWAL KHUSHBOO KUMARI</t>
  </si>
  <si>
    <t>AGRAWAL KHUSHBOO</t>
  </si>
  <si>
    <t>E0335106</t>
  </si>
  <si>
    <t>GAL JONATHAN STEPHEN</t>
  </si>
  <si>
    <t>GalJonathan</t>
  </si>
  <si>
    <t>GAL JONATHAN</t>
  </si>
  <si>
    <t>REDDY GERARD DR.</t>
  </si>
  <si>
    <t>E0336681</t>
  </si>
  <si>
    <t>BAEZA DAGER JUNNEY</t>
  </si>
  <si>
    <t>BAEZA DAGER JUNNEY MARIA</t>
  </si>
  <si>
    <t>4302 ALTON RD STE 420</t>
  </si>
  <si>
    <t>E0378991</t>
  </si>
  <si>
    <t>DONOVAN MICHAEL JOSEPH</t>
  </si>
  <si>
    <t>DonovanMichael</t>
  </si>
  <si>
    <t>DONOVAN MICHAEL DR.</t>
  </si>
  <si>
    <t>E0379131</t>
  </si>
  <si>
    <t>ILORETA ALFRED MARC CALO JR</t>
  </si>
  <si>
    <t>IloretaAlfredMarc</t>
  </si>
  <si>
    <t>ILORETA ALFRED MARC DR.</t>
  </si>
  <si>
    <t>E0317840</t>
  </si>
  <si>
    <t>LEWIS SARA CATHERINE</t>
  </si>
  <si>
    <t>LEWIS SARA DR.</t>
  </si>
  <si>
    <t>E0351185</t>
  </si>
  <si>
    <t>WEIR DAVID C</t>
  </si>
  <si>
    <t>WEIR DAVID DR.</t>
  </si>
  <si>
    <t>E0408323</t>
  </si>
  <si>
    <t>MELLA MARIA TERESA</t>
  </si>
  <si>
    <t>MellaMaria</t>
  </si>
  <si>
    <t>E0362043</t>
  </si>
  <si>
    <t>LOH DANIELLA A</t>
  </si>
  <si>
    <t>LOH DANIELLA</t>
  </si>
  <si>
    <t>JIM ON SHELBI</t>
  </si>
  <si>
    <t>5 E 98TH ST # 1048, MT SINAI SCHOOL OF MEDICINE, DEPT OF DERMATOLOGY</t>
  </si>
  <si>
    <t>E0354331</t>
  </si>
  <si>
    <t>KADIAN-DODOV DANIELLA</t>
  </si>
  <si>
    <t>KADIAN-DODOV DANIELLA DR.</t>
  </si>
  <si>
    <t>E0081646</t>
  </si>
  <si>
    <t>SICAT MICHAEL ALAN GUESON MD</t>
  </si>
  <si>
    <t>SicatMichael</t>
  </si>
  <si>
    <t>SICAT MICHAEL</t>
  </si>
  <si>
    <t>501 SEAVIEW AVE</t>
  </si>
  <si>
    <t>E0040136</t>
  </si>
  <si>
    <t>DEINER STACIE GAIL MD</t>
  </si>
  <si>
    <t>DeinerStacie</t>
  </si>
  <si>
    <t>DEINER STACIE</t>
  </si>
  <si>
    <t>E0202162</t>
  </si>
  <si>
    <t>HEWITT ROSS G              MD</t>
  </si>
  <si>
    <t>HEWITT ROSS DR.</t>
  </si>
  <si>
    <t>E0363374</t>
  </si>
  <si>
    <t>STAUFFER CHANAN</t>
  </si>
  <si>
    <t>StaufferChanan</t>
  </si>
  <si>
    <t>FAROOQUI FALAHAT DR.</t>
  </si>
  <si>
    <t>ABRAMCHAYEVA ELINA DR.</t>
  </si>
  <si>
    <t>8570 66TH RD</t>
  </si>
  <si>
    <t>E0006009</t>
  </si>
  <si>
    <t>KIM EDWARD MD</t>
  </si>
  <si>
    <t>TateishiMegan</t>
  </si>
  <si>
    <t>TATEISHI MEGAN</t>
  </si>
  <si>
    <t>114 INDIA ST APT 1A</t>
  </si>
  <si>
    <t>E0283258</t>
  </si>
  <si>
    <t>SCHMIDT PAUL HENRY</t>
  </si>
  <si>
    <t>SCHMIDT PAUL DR.</t>
  </si>
  <si>
    <t>E0337851</t>
  </si>
  <si>
    <t>LAZAREVIC SONYA</t>
  </si>
  <si>
    <t>LazarevicSonya</t>
  </si>
  <si>
    <t>LAZAREVIC SONYA DR.</t>
  </si>
  <si>
    <t>1000 10TH AVE FL 8</t>
  </si>
  <si>
    <t>MORAN CHRISTOPHER MR.</t>
  </si>
  <si>
    <t>E0382985</t>
  </si>
  <si>
    <t>ZHUANG MINSHENG</t>
  </si>
  <si>
    <t>E0332841</t>
  </si>
  <si>
    <t>SINGH RAJENDRA</t>
  </si>
  <si>
    <t>SinghRajendra</t>
  </si>
  <si>
    <t>VallejoFranco</t>
  </si>
  <si>
    <t>VALLEJO FRANCO</t>
  </si>
  <si>
    <t>E0279335</t>
  </si>
  <si>
    <t>WEINSTEIN KENNETH N        MD</t>
  </si>
  <si>
    <t>KENNETHWEINSTEIN</t>
  </si>
  <si>
    <t>WEINSTEIN KENNETH</t>
  </si>
  <si>
    <t>E0202615</t>
  </si>
  <si>
    <t>REDDY SREERANGAPALLE S     MD</t>
  </si>
  <si>
    <t>SREERANGAPALLEREDDY</t>
  </si>
  <si>
    <t>REDDY SREERANGAPALLE DR.</t>
  </si>
  <si>
    <t>1049 5TH AVE</t>
  </si>
  <si>
    <t>E0284431</t>
  </si>
  <si>
    <t>LALLY SEAN D MD</t>
  </si>
  <si>
    <t>SEANLALLY</t>
  </si>
  <si>
    <t>LALLY SEAN</t>
  </si>
  <si>
    <t>E0397258</t>
  </si>
  <si>
    <t>STEELE JUSTIN GREGORY</t>
  </si>
  <si>
    <t>JUSTINSTEELE</t>
  </si>
  <si>
    <t>STEELE JUSTIN DR.</t>
  </si>
  <si>
    <t>555 W 57TH ST STE 525</t>
  </si>
  <si>
    <t>E0063442</t>
  </si>
  <si>
    <t>MARENCO JULIO ENRIQUE</t>
  </si>
  <si>
    <t>JULIOMARENCO</t>
  </si>
  <si>
    <t>MARENCO JULIO DR.</t>
  </si>
  <si>
    <t>E0020239</t>
  </si>
  <si>
    <t>KUO NAN-HSIEN MD</t>
  </si>
  <si>
    <t>NAN-HSIENKUO</t>
  </si>
  <si>
    <t>KUO NAN-HSIEN</t>
  </si>
  <si>
    <t>E0196271</t>
  </si>
  <si>
    <t>HOLZMAN IAN RONALD         MD</t>
  </si>
  <si>
    <t>HolzmanIan</t>
  </si>
  <si>
    <t>HOLZMAN IAN</t>
  </si>
  <si>
    <t>SyskoRobyn</t>
  </si>
  <si>
    <t>SYSKO ROBYN</t>
  </si>
  <si>
    <t>1051 RIVERSIDE DR, UNIT 98</t>
  </si>
  <si>
    <t>WILEY BRANDON DR.</t>
  </si>
  <si>
    <t>505 PARNASSUS AVE RM 987</t>
  </si>
  <si>
    <t>E0194379</t>
  </si>
  <si>
    <t>RUTTENBERG MARGARET B MD</t>
  </si>
  <si>
    <t>MARGARETRUTTENBERG</t>
  </si>
  <si>
    <t>RUTTENBERG MARGARET DR.</t>
  </si>
  <si>
    <t>RUTTENBERG MARGARET BRUNGRABER</t>
  </si>
  <si>
    <t>E0127725</t>
  </si>
  <si>
    <t>ZEITLIN JOSEPH</t>
  </si>
  <si>
    <t>JOSEPHZEITLIN</t>
  </si>
  <si>
    <t>ZEITLIN JOSEPH  MD</t>
  </si>
  <si>
    <t>E0228241</t>
  </si>
  <si>
    <t>HASHIM SAMI A              MD</t>
  </si>
  <si>
    <t>SAMIHASHIM</t>
  </si>
  <si>
    <t>HASHIM SAMI DR.</t>
  </si>
  <si>
    <t>E0329535</t>
  </si>
  <si>
    <t>SWAIN SUSAN QUINEY</t>
  </si>
  <si>
    <t>SUSANSWAIN</t>
  </si>
  <si>
    <t>SWAIN SUSAN DR.</t>
  </si>
  <si>
    <t>MS.MARIAPARCHESKY</t>
  </si>
  <si>
    <t>PARCHESKY MARIA MS.</t>
  </si>
  <si>
    <t>86 VILLAGE ST</t>
  </si>
  <si>
    <t>MEDWAY</t>
  </si>
  <si>
    <t>E0013133</t>
  </si>
  <si>
    <t>HERNANDEZ CAMERON ROLAND MD</t>
  </si>
  <si>
    <t>CAMERONHERNANDEZ</t>
  </si>
  <si>
    <t>HERNANDEZ CAMERON</t>
  </si>
  <si>
    <t>E0423811</t>
  </si>
  <si>
    <t>HAM JACOB J</t>
  </si>
  <si>
    <t>JACOBHAM</t>
  </si>
  <si>
    <t>HAM JACOB DR.</t>
  </si>
  <si>
    <t>HAM JACOB JIHEON</t>
  </si>
  <si>
    <t>E0342587</t>
  </si>
  <si>
    <t>RIVERA VERONICA</t>
  </si>
  <si>
    <t>VERONICARIVERA</t>
  </si>
  <si>
    <t>RIVERA VERONICA DR.</t>
  </si>
  <si>
    <t>MR.RAFAELHARARI</t>
  </si>
  <si>
    <t>HARARI RAFAEL MR.</t>
  </si>
  <si>
    <t>E0083188</t>
  </si>
  <si>
    <t>HUPRIKER SHIRISH S MD</t>
  </si>
  <si>
    <t>SHIRISHHUPRIKAR</t>
  </si>
  <si>
    <t>HUPRIKAR SHIRISH</t>
  </si>
  <si>
    <t>E0056522</t>
  </si>
  <si>
    <t>KOLEVZON ALEXANDER MD</t>
  </si>
  <si>
    <t>ALEXANDERKOLEVZON</t>
  </si>
  <si>
    <t>KOLEVZON ALEXANDER DR.</t>
  </si>
  <si>
    <t>E0362892</t>
  </si>
  <si>
    <t>MCCONNELL LINDSAY B</t>
  </si>
  <si>
    <t>LINDSAYMCCONNELL</t>
  </si>
  <si>
    <t>ALLEN LINDSAY</t>
  </si>
  <si>
    <t>ALLEN LINDSAY MCCONNELL</t>
  </si>
  <si>
    <t>300 E 68TH ST RM 152</t>
  </si>
  <si>
    <t>YAO JONATHAN</t>
  </si>
  <si>
    <t>ONE GUSTAVE L. LEVY PLACE, MOUNT SINAI, DEPARTMENT OF PATHOLOGY</t>
  </si>
  <si>
    <t>KOTHARI RISHI</t>
  </si>
  <si>
    <t>6 QUEEN ST</t>
  </si>
  <si>
    <t>ENFIELD</t>
  </si>
  <si>
    <t>LEUNG STEVEN</t>
  </si>
  <si>
    <t>E0395237</t>
  </si>
  <si>
    <t>LYN MICHELLE S</t>
  </si>
  <si>
    <t>LynMichelle</t>
  </si>
  <si>
    <t>LYN MICHELLE MISS</t>
  </si>
  <si>
    <t>LYN MICHELLE SOYEUN</t>
  </si>
  <si>
    <t>E0370640</t>
  </si>
  <si>
    <t>EZE PAMELA N</t>
  </si>
  <si>
    <t>EzePamela</t>
  </si>
  <si>
    <t>EZE PAMELA</t>
  </si>
  <si>
    <t>SHOOPAK ANNA</t>
  </si>
  <si>
    <t>665 WASHINGTON STREET, SUITE 1504</t>
  </si>
  <si>
    <t>ALERHAND STEPHEN</t>
  </si>
  <si>
    <t>NADEAU MARISSA</t>
  </si>
  <si>
    <t>KLEIN NINA DR.</t>
  </si>
  <si>
    <t>353 E 17TH ST, 2ND FL ROOM 223</t>
  </si>
  <si>
    <t>FELIX LOGAN PAOLO DR.</t>
  </si>
  <si>
    <t>2300 S CONGRESS AVE, #100</t>
  </si>
  <si>
    <t>E0441421</t>
  </si>
  <si>
    <t>TOFIGH MOHAMMAD</t>
  </si>
  <si>
    <t>TOFIGH MOHAMMAD DR.</t>
  </si>
  <si>
    <t>ALAJAJI ABDULLAH</t>
  </si>
  <si>
    <t>3045 ARLINGTON AVENUE, GRADUATE MEDICAL EDUCATION MS1050</t>
  </si>
  <si>
    <t>TOLEDO</t>
  </si>
  <si>
    <t>E0393647</t>
  </si>
  <si>
    <t>AXT LINDSEY E</t>
  </si>
  <si>
    <t>AxtLindsey</t>
  </si>
  <si>
    <t>AXT LINDSEY</t>
  </si>
  <si>
    <t>AXT LINDSEY ERICA</t>
  </si>
  <si>
    <t>FaershteinDanielle</t>
  </si>
  <si>
    <t>FAERSHTEIN DANIELLE</t>
  </si>
  <si>
    <t>1468 MADISON AVENUE, 3RD FLOOR</t>
  </si>
  <si>
    <t>MARCIANAVEH</t>
  </si>
  <si>
    <t>E0307365</t>
  </si>
  <si>
    <t>FERSH MADELEINE ESTHER MD</t>
  </si>
  <si>
    <t>DR.MADELEINEFERSH</t>
  </si>
  <si>
    <t>FERSH MADELEINE DR.</t>
  </si>
  <si>
    <t>E0315626</t>
  </si>
  <si>
    <t>ALVAREZ DIMITRI</t>
  </si>
  <si>
    <t>DIMITRIALVAREZ</t>
  </si>
  <si>
    <t>ALVAREZ DIMITRI DR.</t>
  </si>
  <si>
    <t>E0053937</t>
  </si>
  <si>
    <t>MICHAEL ERIC ROSEN MD PC</t>
  </si>
  <si>
    <t>MICHAELROSEN</t>
  </si>
  <si>
    <t>E0213701</t>
  </si>
  <si>
    <t>DIXON DAVID DPM</t>
  </si>
  <si>
    <t>DAVIDDIXON</t>
  </si>
  <si>
    <t>DIXON DAVID DR.</t>
  </si>
  <si>
    <t>30 W 60TH ST APT 1E</t>
  </si>
  <si>
    <t>E0147650</t>
  </si>
  <si>
    <t>SOIFER TODD BARRETT MD</t>
  </si>
  <si>
    <t>MR.TODDSOIFER</t>
  </si>
  <si>
    <t>SOIFER TODD MR.</t>
  </si>
  <si>
    <t>KINGS HWY ORTHO ASSC</t>
  </si>
  <si>
    <t>E0133003</t>
  </si>
  <si>
    <t>BAIRD PHILIP LEE MD</t>
  </si>
  <si>
    <t>PHILLIPBAIRD</t>
  </si>
  <si>
    <t>BAIRD PHILLIP DR.</t>
  </si>
  <si>
    <t>ASC URBAN FAM PRAC</t>
  </si>
  <si>
    <t>BeswickRosalyn</t>
  </si>
  <si>
    <t>BESWICK ROSALYN MISS</t>
  </si>
  <si>
    <t>SimeunovicKosana</t>
  </si>
  <si>
    <t>SIMEUNOVIC KOSANA</t>
  </si>
  <si>
    <t>5001 HARDY ST</t>
  </si>
  <si>
    <t>E0347429</t>
  </si>
  <si>
    <t>MASSIN JANUARY</t>
  </si>
  <si>
    <t>MassinJanuary</t>
  </si>
  <si>
    <t>LeouKonstantinos</t>
  </si>
  <si>
    <t>LEOU KONSTANTINOS</t>
  </si>
  <si>
    <t>285 W GROVE ST</t>
  </si>
  <si>
    <t>PARAMUS</t>
  </si>
  <si>
    <t>E0309134</t>
  </si>
  <si>
    <t>RAJA M FLORES</t>
  </si>
  <si>
    <t>FloresRaja</t>
  </si>
  <si>
    <t>FLORES RAJA</t>
  </si>
  <si>
    <t>FLORES RAJA M</t>
  </si>
  <si>
    <t>E0062540</t>
  </si>
  <si>
    <t>ROSENBERG HENRIETTA MD</t>
  </si>
  <si>
    <t>RosenbergHenrietta</t>
  </si>
  <si>
    <t>ROSENBERG HENRIETTA</t>
  </si>
  <si>
    <t>E0102307</t>
  </si>
  <si>
    <t>DELMAN BRADLEY NEIL MD</t>
  </si>
  <si>
    <t>DelmanBradley</t>
  </si>
  <si>
    <t>DELMAN BRADLEY</t>
  </si>
  <si>
    <t>DELMAN BRADLEY NEIL</t>
  </si>
  <si>
    <t>E0261204</t>
  </si>
  <si>
    <t>NAKAMURA HACHIRO           MD</t>
  </si>
  <si>
    <t>NakamuraHachiro</t>
  </si>
  <si>
    <t>NAKAMURA HACHIRO</t>
  </si>
  <si>
    <t>E0164424</t>
  </si>
  <si>
    <t>MARION JAMES F MD</t>
  </si>
  <si>
    <t>MarionJames</t>
  </si>
  <si>
    <t>MARION JAMES DR.</t>
  </si>
  <si>
    <t>MARION JAMES FRANCIS</t>
  </si>
  <si>
    <t>PatelBindu</t>
  </si>
  <si>
    <t>PATEL BINDU</t>
  </si>
  <si>
    <t>E0118008</t>
  </si>
  <si>
    <t>MEHRAN ROXANA MD</t>
  </si>
  <si>
    <t>MehranRoxana</t>
  </si>
  <si>
    <t>MEHRAN ROXANA DR.</t>
  </si>
  <si>
    <t>WA CARDIOL CTR PC</t>
  </si>
  <si>
    <t>E0009075</t>
  </si>
  <si>
    <t>KOTTIECH SAMER MD</t>
  </si>
  <si>
    <t>KottiechSamer</t>
  </si>
  <si>
    <t>KOTTIECH SAMER</t>
  </si>
  <si>
    <t>E0261644</t>
  </si>
  <si>
    <t>WEINBERGER JESSE MICHAEL   MD</t>
  </si>
  <si>
    <t>WeinbergerJesse</t>
  </si>
  <si>
    <t>WEINBERGER JESSE DR.</t>
  </si>
  <si>
    <t>E0195648</t>
  </si>
  <si>
    <t>BURSTEIN DAVID E MD</t>
  </si>
  <si>
    <t>BursteinDavid</t>
  </si>
  <si>
    <t>BURSTEIN DAVID</t>
  </si>
  <si>
    <t>BURSTEIN DAVID E</t>
  </si>
  <si>
    <t>E0159678</t>
  </si>
  <si>
    <t>TRANCHINA STEPHEN A MD</t>
  </si>
  <si>
    <t>TranchinaStephen</t>
  </si>
  <si>
    <t>TRANCHINA STEPHEN</t>
  </si>
  <si>
    <t>E0044332</t>
  </si>
  <si>
    <t>ESRIG CYNTHIA W</t>
  </si>
  <si>
    <t>EsrigCynthia</t>
  </si>
  <si>
    <t>ESRIG CYNTHIA</t>
  </si>
  <si>
    <t>16TH ST @ 1ST AVE</t>
  </si>
  <si>
    <t>E0369497</t>
  </si>
  <si>
    <t>ESPOSITO MARIAH</t>
  </si>
  <si>
    <t>E0327834</t>
  </si>
  <si>
    <t>LEE SANA</t>
  </si>
  <si>
    <t>LeeSana</t>
  </si>
  <si>
    <t>LEE SANA DR.</t>
  </si>
  <si>
    <t>E0085221</t>
  </si>
  <si>
    <t>SINGER MARK ADAM DO</t>
  </si>
  <si>
    <t>SingerMark</t>
  </si>
  <si>
    <t>SINGER MARK</t>
  </si>
  <si>
    <t>E0167686</t>
  </si>
  <si>
    <t>BACH NANCY MD</t>
  </si>
  <si>
    <t>BACH NANCY</t>
  </si>
  <si>
    <t>E0024516</t>
  </si>
  <si>
    <t>OSMAN KEREN MD</t>
  </si>
  <si>
    <t>OsmanKeren</t>
  </si>
  <si>
    <t>OSMAN KAREN</t>
  </si>
  <si>
    <t>PesceSarah</t>
  </si>
  <si>
    <t>PESCE SARAH</t>
  </si>
  <si>
    <t>100 PORT WASHINGTON BLVD, SUITE 105</t>
  </si>
  <si>
    <t>E0009752</t>
  </si>
  <si>
    <t>YU IRENE</t>
  </si>
  <si>
    <t>YuIrene</t>
  </si>
  <si>
    <t>3020 WESTCHESTER AVE STE 303</t>
  </si>
  <si>
    <t>E0283946</t>
  </si>
  <si>
    <t>POLYDORIDES ALEXANDROS DEMETRIOS MD</t>
  </si>
  <si>
    <t>PolydoridesAlexandros</t>
  </si>
  <si>
    <t>POLYDORIDES ALEXANDROS DR.</t>
  </si>
  <si>
    <t>TARDIO MARCO MR.</t>
  </si>
  <si>
    <t>10 UNION SQ E, PHILLIPS AMBULATORY CENTER SUITE 3M</t>
  </si>
  <si>
    <t>E0300971</t>
  </si>
  <si>
    <t>OH WILLIAM KYU</t>
  </si>
  <si>
    <t>OhWilliam</t>
  </si>
  <si>
    <t>OH WILLIAM</t>
  </si>
  <si>
    <t>E0068571</t>
  </si>
  <si>
    <t>NAUTIYAL PREETI MD</t>
  </si>
  <si>
    <t>NautiyalPreeti</t>
  </si>
  <si>
    <t>NAUTIYAL PREETI</t>
  </si>
  <si>
    <t>E0355375</t>
  </si>
  <si>
    <t>HANRETTA KELLY COLLEEN</t>
  </si>
  <si>
    <t>HanrettaKelly</t>
  </si>
  <si>
    <t>HANRETTA KELLY DR.</t>
  </si>
  <si>
    <t>77 PONDFIELD RD</t>
  </si>
  <si>
    <t>CHEN PEI</t>
  </si>
  <si>
    <t>3575 GEARY BLVD, FIRST FLOOR</t>
  </si>
  <si>
    <t>E0454450</t>
  </si>
  <si>
    <t>MARES ANGELICA</t>
  </si>
  <si>
    <t>MARES ANGELICA DR.</t>
  </si>
  <si>
    <t>HIRSCHMANN-LEVY KATE MRS.</t>
  </si>
  <si>
    <t>EspinosaFrankie</t>
  </si>
  <si>
    <t>ESPINOSA FRANKIE</t>
  </si>
  <si>
    <t>E0084851</t>
  </si>
  <si>
    <t>PATEL AMAN B MD</t>
  </si>
  <si>
    <t>PATEL AMAN DR.</t>
  </si>
  <si>
    <t>E0324514</t>
  </si>
  <si>
    <t>LUBEZKY NIR</t>
  </si>
  <si>
    <t>SARAO AMAR ANANTDEEP SINGH MR.</t>
  </si>
  <si>
    <t>225 WILLIAMSON ST, 7 NORTH, DEPT. OF MEDICINE</t>
  </si>
  <si>
    <t>E0049879</t>
  </si>
  <si>
    <t>ROTHLAUF ELIZABETH B</t>
  </si>
  <si>
    <t>RothlaufElizabeth</t>
  </si>
  <si>
    <t>ROTHLAUF ELIZABETH MS.</t>
  </si>
  <si>
    <t>E0376161</t>
  </si>
  <si>
    <t>NGUYEN THU-HA T</t>
  </si>
  <si>
    <t>NGUYEN THU-HA</t>
  </si>
  <si>
    <t>1ST AVE AT 16TH STR</t>
  </si>
  <si>
    <t>VAIDYA AJAY</t>
  </si>
  <si>
    <t>2703 MOCKINGBIRD DR</t>
  </si>
  <si>
    <t>PONCA CITY</t>
  </si>
  <si>
    <t>MANN ELIZABETH</t>
  </si>
  <si>
    <t>3400 SPRUCE ST</t>
  </si>
  <si>
    <t>E0315753</t>
  </si>
  <si>
    <t>MONTGOMERY KAITLIN BLAIR</t>
  </si>
  <si>
    <t>MontgomeryKaitlyn</t>
  </si>
  <si>
    <t>MONTGOMERY KAITLYN</t>
  </si>
  <si>
    <t>MONTGOMERY KAITLYN BLAIRE</t>
  </si>
  <si>
    <t>SABHARWAL MANPREET SINGH DR.</t>
  </si>
  <si>
    <t>515 W 59TH ST, APT 31 L</t>
  </si>
  <si>
    <t>MANKEE ANIL</t>
  </si>
  <si>
    <t>6565 N. CHARLES STREET PPE 203</t>
  </si>
  <si>
    <t>E0067873</t>
  </si>
  <si>
    <t>BELOSTOTSKY NATALIE</t>
  </si>
  <si>
    <t>BelostotskyNatalie</t>
  </si>
  <si>
    <t>E0323343</t>
  </si>
  <si>
    <t>TRUGLIO JOSEPH</t>
  </si>
  <si>
    <t>TruglioJoseph</t>
  </si>
  <si>
    <t>TRUGLIO JOSEPH DR.</t>
  </si>
  <si>
    <t>TRUGLIO JOSEPH MICHAEL</t>
  </si>
  <si>
    <t>BarkerDaniel</t>
  </si>
  <si>
    <t>BARKER DANIEL DR.</t>
  </si>
  <si>
    <t>1755 GUNBARREL RD, SUITE 301</t>
  </si>
  <si>
    <t>CHATTANOOGA</t>
  </si>
  <si>
    <t>NANDIPATI SIRISHA</t>
  </si>
  <si>
    <t>8950 VILLA LA JOLLA DR STE C112</t>
  </si>
  <si>
    <t>LA JOLLA</t>
  </si>
  <si>
    <t>RAMPERSAD ALLANA MS.</t>
  </si>
  <si>
    <t>DANKS JOHN DR.</t>
  </si>
  <si>
    <t>2160 S 1ST AVE, OFFICE OF SURGERY</t>
  </si>
  <si>
    <t>SINGH TAMANNA</t>
  </si>
  <si>
    <t>MANGLA KIMBERLY</t>
  </si>
  <si>
    <t>FannoAlyssa</t>
  </si>
  <si>
    <t>FANNO ALYSSA</t>
  </si>
  <si>
    <t>FEIG JONATHAN</t>
  </si>
  <si>
    <t>1663 OCEAN PKWY</t>
  </si>
  <si>
    <t>WALDMAN LINDSEY DR.</t>
  </si>
  <si>
    <t>E0435273</t>
  </si>
  <si>
    <t>HUANG CHENCHAN</t>
  </si>
  <si>
    <t>HUANG CHENCHAN DR.</t>
  </si>
  <si>
    <t>SullivanTanya</t>
  </si>
  <si>
    <t>E0408005</t>
  </si>
  <si>
    <t>DUTT MICHAEL C</t>
  </si>
  <si>
    <t>DUTT MICHAEL</t>
  </si>
  <si>
    <t>E0412747</t>
  </si>
  <si>
    <t>SIVANANTHAN GAJAN</t>
  </si>
  <si>
    <t>SIVANANTHAN GAJAN DR.</t>
  </si>
  <si>
    <t>ChowdhuryZasia</t>
  </si>
  <si>
    <t>CHOWDHURY ZASIA MRS.</t>
  </si>
  <si>
    <t>WEINBERGER TAMAR DR.</t>
  </si>
  <si>
    <t>KIM JOSEPH</t>
  </si>
  <si>
    <t>GLEW TIMOTHY</t>
  </si>
  <si>
    <t>19 WOODLAND ST, SUITE 35</t>
  </si>
  <si>
    <t>FRIEDMAN MEGAN</t>
  </si>
  <si>
    <t>1111 AMSTERDAM AVE, ST.-LUKE'S ROOSEVELT- DEPT OF ANESTHESIOLOGY</t>
  </si>
  <si>
    <t>E0367328</t>
  </si>
  <si>
    <t>LEUNG ERIC</t>
  </si>
  <si>
    <t>E0352486</t>
  </si>
  <si>
    <t>SAHULEE RAJ</t>
  </si>
  <si>
    <t>SahuleeRaj</t>
  </si>
  <si>
    <t>SAHULEE RAJ DR.</t>
  </si>
  <si>
    <t>MAATY MONA</t>
  </si>
  <si>
    <t>1240 S CEDAR CREST BLVD</t>
  </si>
  <si>
    <t>AMUSA GANIYU</t>
  </si>
  <si>
    <t>4800 ALBERTA AVENUE</t>
  </si>
  <si>
    <t>FOWLE EVAN</t>
  </si>
  <si>
    <t>STROMBOM PAUL</t>
  </si>
  <si>
    <t>SparrowAnneMarie</t>
  </si>
  <si>
    <t>SPARROW ANNEMARIE DR.</t>
  </si>
  <si>
    <t>17 E 102ND ST, ROOM D3-131</t>
  </si>
  <si>
    <t>GULATI SHILPA</t>
  </si>
  <si>
    <t>1111 AMSTERDAM AVE, PLANT BUILDING, GROUND FLOOR</t>
  </si>
  <si>
    <t>E0393256</t>
  </si>
  <si>
    <t>ABDELRAHMAN HANAN</t>
  </si>
  <si>
    <t>AbdelrahmanHanan</t>
  </si>
  <si>
    <t>DALAL PAVAN</t>
  </si>
  <si>
    <t>E0085012</t>
  </si>
  <si>
    <t>PAUL AUDREY Z</t>
  </si>
  <si>
    <t>PAUL AUDREY</t>
  </si>
  <si>
    <t>NY PRESBY SUITE 208</t>
  </si>
  <si>
    <t>E0011928</t>
  </si>
  <si>
    <t>IM SHELLY A  MD</t>
  </si>
  <si>
    <t>IM SHELLY</t>
  </si>
  <si>
    <t>E0424735</t>
  </si>
  <si>
    <t>BACIGALUPI ROBERT</t>
  </si>
  <si>
    <t>17 E 102ND ST # F</t>
  </si>
  <si>
    <t>E0363782</t>
  </si>
  <si>
    <t>HWANG ANDREW</t>
  </si>
  <si>
    <t>FLANNAGAN MOLLY DR.</t>
  </si>
  <si>
    <t>1250 E MARSHALL ST, SURGICAL CRITICAL CARE 980454</t>
  </si>
  <si>
    <t>RICHMOND</t>
  </si>
  <si>
    <t>E0390258</t>
  </si>
  <si>
    <t>SHOUHED DANIEL</t>
  </si>
  <si>
    <t>ShouhedDaniel</t>
  </si>
  <si>
    <t>WiestChristine</t>
  </si>
  <si>
    <t>WIEST CHRISTINE</t>
  </si>
  <si>
    <t>DICKERSON SHANE</t>
  </si>
  <si>
    <t>243 W 107TH ST APT 4W</t>
  </si>
  <si>
    <t>E0091514</t>
  </si>
  <si>
    <t>TSE WINONA MD</t>
  </si>
  <si>
    <t>TSE WINONA DR.</t>
  </si>
  <si>
    <t>MAIMONIDES NEURO</t>
  </si>
  <si>
    <t>E0129565</t>
  </si>
  <si>
    <t>OLMEDO RUBEN EDUARDO MD</t>
  </si>
  <si>
    <t>OLMEDO RUBEN</t>
  </si>
  <si>
    <t>E0056041</t>
  </si>
  <si>
    <t>CHUN AUDREY KYJUNG MD</t>
  </si>
  <si>
    <t>ChunAudrey</t>
  </si>
  <si>
    <t>CHUN AUDREY</t>
  </si>
  <si>
    <t>COFFEY GERAITRICS</t>
  </si>
  <si>
    <t>E0385081</t>
  </si>
  <si>
    <t>LONGTINE JANINA ANN</t>
  </si>
  <si>
    <t>LONGTINE JANINA DR.</t>
  </si>
  <si>
    <t>Santoni-RugiuFrancesco</t>
  </si>
  <si>
    <t>E0174712</t>
  </si>
  <si>
    <t>BEDERSON JOSHUA BENJAMIN MD</t>
  </si>
  <si>
    <t>BEDERSON JOSHUA DR.</t>
  </si>
  <si>
    <t>NEUROSURGERY ASSOC</t>
  </si>
  <si>
    <t>E0111390</t>
  </si>
  <si>
    <t>SAMPSON HUGH</t>
  </si>
  <si>
    <t>E0340334</t>
  </si>
  <si>
    <t>LEBER MELISSA DEE</t>
  </si>
  <si>
    <t>LeberMelissa</t>
  </si>
  <si>
    <t>LEBER MELISSA DR.</t>
  </si>
  <si>
    <t>E0370478</t>
  </si>
  <si>
    <t>GOLDENBERG ELVIRA</t>
  </si>
  <si>
    <t>GoldenbergElvira</t>
  </si>
  <si>
    <t>E0324492</t>
  </si>
  <si>
    <t>CAMARGO MARIANNE</t>
  </si>
  <si>
    <t>E0052811</t>
  </si>
  <si>
    <t>FACCIUTO MARCELO ENRIQUE MD</t>
  </si>
  <si>
    <t>FacciutoMarcelo</t>
  </si>
  <si>
    <t>FACCIUTO MARCELO</t>
  </si>
  <si>
    <t>FACCIUTO MARCELO ENRIQUE</t>
  </si>
  <si>
    <t>E0303470</t>
  </si>
  <si>
    <t>WOJTASZEK ANNA LIDIA</t>
  </si>
  <si>
    <t>WojtaszekAnna</t>
  </si>
  <si>
    <t>WOJTASZEK ANNA</t>
  </si>
  <si>
    <t>E0352912</t>
  </si>
  <si>
    <t>HERNANDEZ NADIA</t>
  </si>
  <si>
    <t>HERNANDEZ NADIA DR.</t>
  </si>
  <si>
    <t>E0411413</t>
  </si>
  <si>
    <t>HARSANY AMY</t>
  </si>
  <si>
    <t>HARSANY AMY DR.</t>
  </si>
  <si>
    <t>KelleyRobert</t>
  </si>
  <si>
    <t>KELLEY ROBERT DR.</t>
  </si>
  <si>
    <t>5637 PEACHTREE DUNWOODY ROAD, SUITE 700</t>
  </si>
  <si>
    <t>E0373257</t>
  </si>
  <si>
    <t>ADKINSON TISA ADIYA</t>
  </si>
  <si>
    <t>AdkinsonTisaA.</t>
  </si>
  <si>
    <t>ADKINSON TISA</t>
  </si>
  <si>
    <t>E0355103</t>
  </si>
  <si>
    <t>NATARAJ ANAND GOPALAN</t>
  </si>
  <si>
    <t>NatarajAnand</t>
  </si>
  <si>
    <t>NATARAJ ANAND</t>
  </si>
  <si>
    <t>E0337808</t>
  </si>
  <si>
    <t>FABIAN MICHELLE</t>
  </si>
  <si>
    <t>FabianMichelle</t>
  </si>
  <si>
    <t>FABIAN MICHELLE DR.</t>
  </si>
  <si>
    <t>5 E 98TH ST # 1</t>
  </si>
  <si>
    <t>E0383502</t>
  </si>
  <si>
    <t>SHETH SEEMA</t>
  </si>
  <si>
    <t>ShethSeema</t>
  </si>
  <si>
    <t>E0361154</t>
  </si>
  <si>
    <t>KUDLACIK ANNE</t>
  </si>
  <si>
    <t>KudlacikAnne</t>
  </si>
  <si>
    <t>HOCHKEPPEL JESSE</t>
  </si>
  <si>
    <t>27 W 72ND ST, APT. 301</t>
  </si>
  <si>
    <t>E0437862</t>
  </si>
  <si>
    <t>CLAR MIA</t>
  </si>
  <si>
    <t>CLAR MIA KYONGJU</t>
  </si>
  <si>
    <t>DerevnukAlexandra</t>
  </si>
  <si>
    <t>DEREVNUK ALEXANDRA</t>
  </si>
  <si>
    <t>17 E 102ND ST, 2ND FLOOR EHS</t>
  </si>
  <si>
    <t>E0382728</t>
  </si>
  <si>
    <t>LEE HANNA</t>
  </si>
  <si>
    <t>LeeHanna</t>
  </si>
  <si>
    <t>E0451597</t>
  </si>
  <si>
    <t>BOU AYACHE JAD MARWAN</t>
  </si>
  <si>
    <t>BOU AYACHE JAD DR.</t>
  </si>
  <si>
    <t>BERKSON SARAH</t>
  </si>
  <si>
    <t>833 CHESTNUT ST, SUITE 210</t>
  </si>
  <si>
    <t>E0427023</t>
  </si>
  <si>
    <t>ORRINGER DEBRA</t>
  </si>
  <si>
    <t>OrringerDebra</t>
  </si>
  <si>
    <t>E0173919</t>
  </si>
  <si>
    <t>JAGANNATH SUNDAR MD</t>
  </si>
  <si>
    <t>JagannathSundar</t>
  </si>
  <si>
    <t>JAGANNATH SUNDAR DR.</t>
  </si>
  <si>
    <t>E0366300</t>
  </si>
  <si>
    <t>MATTIMORE MELISSA DIANE</t>
  </si>
  <si>
    <t>MattimoreMelissa</t>
  </si>
  <si>
    <t>MATTIMORE MELISSA</t>
  </si>
  <si>
    <t>E0285286</t>
  </si>
  <si>
    <t>AIELLO KAREN</t>
  </si>
  <si>
    <t>AielloKaren</t>
  </si>
  <si>
    <t>AIELLO KAREN MISS</t>
  </si>
  <si>
    <t>E0419829</t>
  </si>
  <si>
    <t>KATHLEEN A ANDRE</t>
  </si>
  <si>
    <t>AndreKathleen</t>
  </si>
  <si>
    <t>ANDRE KATHLEEN MRS.</t>
  </si>
  <si>
    <t>ANDRE KATHLEEN AMOY</t>
  </si>
  <si>
    <t>E0449892</t>
  </si>
  <si>
    <t>DONOHUE LISA</t>
  </si>
  <si>
    <t>CAVALLO JAIME DR.</t>
  </si>
  <si>
    <t>660 S EUCLID AVE, BOX 8109, 1701 W. BUILDING</t>
  </si>
  <si>
    <t>E0429357</t>
  </si>
  <si>
    <t>OZBAY FATIH</t>
  </si>
  <si>
    <t>OzbayFatih</t>
  </si>
  <si>
    <t>OZBAY FATIH DR.</t>
  </si>
  <si>
    <t>1160 5TH AVE OFC 106</t>
  </si>
  <si>
    <t>E0345918</t>
  </si>
  <si>
    <t>UPPU SANTOSH CHAKRAVERTHY</t>
  </si>
  <si>
    <t>UppuSantosh</t>
  </si>
  <si>
    <t>UPPU SANTOSH DR.</t>
  </si>
  <si>
    <t>1 GUSTAVE L LEVY PL # 1200&amp;1234</t>
  </si>
  <si>
    <t>STACYDELIN</t>
  </si>
  <si>
    <t>E0361369</t>
  </si>
  <si>
    <t>DE-LIN STACY ANDREA</t>
  </si>
  <si>
    <t>MaryNordenberg</t>
  </si>
  <si>
    <t>(212) 274-7226</t>
  </si>
  <si>
    <t>mary.nordenberg@ppnyc.org</t>
  </si>
  <si>
    <t>DE-LIN STACY DR.</t>
  </si>
  <si>
    <t>REBECCADONN</t>
  </si>
  <si>
    <t>E0325351</t>
  </si>
  <si>
    <t>DONN REBECCA JANE</t>
  </si>
  <si>
    <t>DONN REBECCA MS.</t>
  </si>
  <si>
    <t>E0087283</t>
  </si>
  <si>
    <t>ALBOHM KATHLEEN C</t>
  </si>
  <si>
    <t>AlbohmKathleen</t>
  </si>
  <si>
    <t>ALBOHM KATHLEEN</t>
  </si>
  <si>
    <t>SUNARYO PETER</t>
  </si>
  <si>
    <t>2 BOBBI JEAN AVE</t>
  </si>
  <si>
    <t>E0025692</t>
  </si>
  <si>
    <t>MILLER MARC ANDREW MD</t>
  </si>
  <si>
    <t>MillerMarc</t>
  </si>
  <si>
    <t>MILLER MARC</t>
  </si>
  <si>
    <t>MILLER MARC ANDREW</t>
  </si>
  <si>
    <t>E0049927</t>
  </si>
  <si>
    <t>NEUMANN DEBORAH JODY MD</t>
  </si>
  <si>
    <t>NeumannDeborah</t>
  </si>
  <si>
    <t>NEUMANN DEBORAH</t>
  </si>
  <si>
    <t>E0003944</t>
  </si>
  <si>
    <t>FREDERIC BAKHCHI MD</t>
  </si>
  <si>
    <t>BAKHCHI FREDERIC</t>
  </si>
  <si>
    <t>BAKHCHI FREDERIC MD</t>
  </si>
  <si>
    <t>JeanYves</t>
  </si>
  <si>
    <t>E0087292</t>
  </si>
  <si>
    <t>CEBALLOS CLARE</t>
  </si>
  <si>
    <t>CeballosClare</t>
  </si>
  <si>
    <t>E0371660</t>
  </si>
  <si>
    <t>LERNER RACHAEL A</t>
  </si>
  <si>
    <t>LernerRachael</t>
  </si>
  <si>
    <t>LERNER RACHAEL</t>
  </si>
  <si>
    <t>E0444662</t>
  </si>
  <si>
    <t>KARPOFF MARISSA NAOMI</t>
  </si>
  <si>
    <t>KARPOFF MARISSA</t>
  </si>
  <si>
    <t>LIEBER SARAH</t>
  </si>
  <si>
    <t>PERSON HANNIBAL DR.</t>
  </si>
  <si>
    <t>2753 MCDOWELL RD</t>
  </si>
  <si>
    <t>GOMEZ JENNIFER DR.</t>
  </si>
  <si>
    <t>150 E 210TH ST</t>
  </si>
  <si>
    <t>STEPAN KATELYN MRS.</t>
  </si>
  <si>
    <t>310 E 71ST ST, APT 4G</t>
  </si>
  <si>
    <t>E0114994</t>
  </si>
  <si>
    <t>RIEDER RONALD</t>
  </si>
  <si>
    <t>RiederRonald</t>
  </si>
  <si>
    <t>RIEDER RONALD DR.</t>
  </si>
  <si>
    <t>RIEDER RONALD O</t>
  </si>
  <si>
    <t>E0435270</t>
  </si>
  <si>
    <t>MADISI NAGENDRA YADAV</t>
  </si>
  <si>
    <t>MADISI NAGENDRA DR.</t>
  </si>
  <si>
    <t>E0373837</t>
  </si>
  <si>
    <t>GOLD RONIT</t>
  </si>
  <si>
    <t>128 MOTT ST STE 403</t>
  </si>
  <si>
    <t>E0419162</t>
  </si>
  <si>
    <t>GONZALEZ JULIE</t>
  </si>
  <si>
    <t>GONZALEZ JULIE DR.</t>
  </si>
  <si>
    <t>877 STEWART AVE STE</t>
  </si>
  <si>
    <t>E0365842</t>
  </si>
  <si>
    <t>GUY JUDATH PHILIP</t>
  </si>
  <si>
    <t>GuyJudah</t>
  </si>
  <si>
    <t>GUY JUDAH DR.</t>
  </si>
  <si>
    <t>GUY JUDAH PHILIP</t>
  </si>
  <si>
    <t>LEE SUSAN MS.</t>
  </si>
  <si>
    <t>MARTINEZ MIGUEL DR.</t>
  </si>
  <si>
    <t>46 FORT WASHINGTON AVE, APT. 61</t>
  </si>
  <si>
    <t>E0437171</t>
  </si>
  <si>
    <t>NAGORI ANAND V</t>
  </si>
  <si>
    <t>NAGORI ANAND DR.</t>
  </si>
  <si>
    <t>HOSSAIN RYDHWANA DR.</t>
  </si>
  <si>
    <t>55 FRUIT ST, MGH THOARACIC IMAGING</t>
  </si>
  <si>
    <t>ALIGENE KATHY</t>
  </si>
  <si>
    <t>475 48TH AVE, APT 3101</t>
  </si>
  <si>
    <t>PUERTORICANFAMILYINSTITUTE</t>
  </si>
  <si>
    <t>E0273941</t>
  </si>
  <si>
    <t>PUERTO RICAN FAMILY INSTITUTE</t>
  </si>
  <si>
    <t>PUERTO RICAN FAMILY INSTITUTE, INC.</t>
  </si>
  <si>
    <t>MNHTN CL/ADOL DT</t>
  </si>
  <si>
    <t>E0416877</t>
  </si>
  <si>
    <t>BURNS SARI JACLYN</t>
  </si>
  <si>
    <t>BURNS SARI DR.</t>
  </si>
  <si>
    <t>26 AVENUE A</t>
  </si>
  <si>
    <t>E0296461</t>
  </si>
  <si>
    <t>CHOI ANNE JUNG SOO</t>
  </si>
  <si>
    <t>ChoiAnne</t>
  </si>
  <si>
    <t>CHOI ANNE</t>
  </si>
  <si>
    <t>E0367360</t>
  </si>
  <si>
    <t>PITAKMONGKOLKUL SUPAWADEE</t>
  </si>
  <si>
    <t>PitakmongkolkulSupawadee</t>
  </si>
  <si>
    <t>E0363056</t>
  </si>
  <si>
    <t>JOCSON MARIA JESSICA</t>
  </si>
  <si>
    <t>JocsonMaria</t>
  </si>
  <si>
    <t>JOCSON MARIA JESSICA MRS.</t>
  </si>
  <si>
    <t>1568 MADISON AVE # 1179</t>
  </si>
  <si>
    <t>JACOB SEBY DR.</t>
  </si>
  <si>
    <t>1952 WHITNEY AVE</t>
  </si>
  <si>
    <t>E0325040</t>
  </si>
  <si>
    <t>LEE DONG-SEOK D</t>
  </si>
  <si>
    <t>LeeDong-Seok</t>
  </si>
  <si>
    <t>LEE DONG-SEOK DR.</t>
  </si>
  <si>
    <t>LEE DONG-SEOK DANIEL</t>
  </si>
  <si>
    <t>E0073352</t>
  </si>
  <si>
    <t>ALPERN AMY</t>
  </si>
  <si>
    <t>AlpernAmy</t>
  </si>
  <si>
    <t>ALPERN AMY MS.</t>
  </si>
  <si>
    <t>E0383586</t>
  </si>
  <si>
    <t>NAYMAGON STEVEN</t>
  </si>
  <si>
    <t>NaymagonSteven</t>
  </si>
  <si>
    <t>NAYMAGON STEVEN DR.</t>
  </si>
  <si>
    <t>E0312368</t>
  </si>
  <si>
    <t>ZACKAI SHEEMON PINHAS</t>
  </si>
  <si>
    <t>ZackaiSheemon</t>
  </si>
  <si>
    <t>ZACKAI SHEEMON</t>
  </si>
  <si>
    <t>ODOHERTY JEAN MS.</t>
  </si>
  <si>
    <t>3110 THOMSON AVE</t>
  </si>
  <si>
    <t>E0130661</t>
  </si>
  <si>
    <t>GLASSER LYNNE ANN MD</t>
  </si>
  <si>
    <t>GLASSER LYNNE</t>
  </si>
  <si>
    <t>E0276538</t>
  </si>
  <si>
    <t>SMITH DONALD A             MD</t>
  </si>
  <si>
    <t>SMITH DONALD DR.</t>
  </si>
  <si>
    <t>DEPT OF MED BOX 3000</t>
  </si>
  <si>
    <t>E0310745</t>
  </si>
  <si>
    <t>RODRIGUEZ-DIAZ CESAR</t>
  </si>
  <si>
    <t>Rodriguez-DiazCesar</t>
  </si>
  <si>
    <t>RODRIGUEZ-DIAZ CESAR DR.</t>
  </si>
  <si>
    <t>E0044973</t>
  </si>
  <si>
    <t>SORIANO THERESA A MD</t>
  </si>
  <si>
    <t>SorianoTheresa</t>
  </si>
  <si>
    <t>SORIANO THERESA</t>
  </si>
  <si>
    <t>E0107883</t>
  </si>
  <si>
    <t>AHILAN PARAMANATHAN MD</t>
  </si>
  <si>
    <t>AhilanParamanathan</t>
  </si>
  <si>
    <t>AHILAN PARA MR.</t>
  </si>
  <si>
    <t>E0073419</t>
  </si>
  <si>
    <t>MIRAVITE JOAN MARIE</t>
  </si>
  <si>
    <t>MiraviteJoan</t>
  </si>
  <si>
    <t>MIRAVITE JOAN</t>
  </si>
  <si>
    <t>2R</t>
  </si>
  <si>
    <t>BrooklynBirthingCenter,Inc.</t>
  </si>
  <si>
    <t>E0090767</t>
  </si>
  <si>
    <t>BROOKLYN BIRTHING CENTER</t>
  </si>
  <si>
    <t>2183 OCEAN AVE</t>
  </si>
  <si>
    <t>CesarE.Ayala-Rodriguez</t>
  </si>
  <si>
    <t>E0313303</t>
  </si>
  <si>
    <t>AYALA-RODRIGUEZ CESAR ESTEBAN</t>
  </si>
  <si>
    <t>AYALA-RODRIGUEZ CESAR</t>
  </si>
  <si>
    <t>ChiragPatel</t>
  </si>
  <si>
    <t>WalterBesser</t>
  </si>
  <si>
    <t>E0236103</t>
  </si>
  <si>
    <t>BESSER WALTER              MD</t>
  </si>
  <si>
    <t>BESSER WALTER DR.</t>
  </si>
  <si>
    <t>BESSER WALTER MD</t>
  </si>
  <si>
    <t>3071 29TH ST</t>
  </si>
  <si>
    <t>ElliotRayfield</t>
  </si>
  <si>
    <t>IrinaGressel</t>
  </si>
  <si>
    <t>E0140726</t>
  </si>
  <si>
    <t>GRESSEL IRINA MD</t>
  </si>
  <si>
    <t>GRESSEL IRINA</t>
  </si>
  <si>
    <t>E0323379</t>
  </si>
  <si>
    <t>VADADA AMITA</t>
  </si>
  <si>
    <t>VADADA AMITA DR.</t>
  </si>
  <si>
    <t>VADADA AMITA MD</t>
  </si>
  <si>
    <t>E0083430</t>
  </si>
  <si>
    <t>RESNICK ELIZABETH CAREN RPA</t>
  </si>
  <si>
    <t>RESNICK ELIZABETH</t>
  </si>
  <si>
    <t>E0015604</t>
  </si>
  <si>
    <t>VOUYOUKA AGELIKI MD</t>
  </si>
  <si>
    <t>VouyoukaAgeliki</t>
  </si>
  <si>
    <t>VOUYOUKA AGELIKI</t>
  </si>
  <si>
    <t>E0157560</t>
  </si>
  <si>
    <t>MEHTA DAVENDRA MD</t>
  </si>
  <si>
    <t>MehtaDavendra</t>
  </si>
  <si>
    <t>MEHTA DAVENDRA DR.</t>
  </si>
  <si>
    <t>E0003683</t>
  </si>
  <si>
    <t>QUINN CARRIE</t>
  </si>
  <si>
    <t>QUINN CARRIE ANN</t>
  </si>
  <si>
    <t>E0103920</t>
  </si>
  <si>
    <t>SILVER JONATHAN J MD</t>
  </si>
  <si>
    <t>SILVER JONATHAN</t>
  </si>
  <si>
    <t>E0127872</t>
  </si>
  <si>
    <t>CALLIPARI FRANCESCO MD</t>
  </si>
  <si>
    <t>CALLIPARI FRANCESCO</t>
  </si>
  <si>
    <t>E0222518</t>
  </si>
  <si>
    <t>NAGLER HARRIS MARK         MD</t>
  </si>
  <si>
    <t>NaglerHarrisM.</t>
  </si>
  <si>
    <t>NAGLER HARRIS</t>
  </si>
  <si>
    <t>COLUMBIA PRESBY HOSP</t>
  </si>
  <si>
    <t>SINHA ANILA</t>
  </si>
  <si>
    <t>17 LISA DR</t>
  </si>
  <si>
    <t>NASHUA</t>
  </si>
  <si>
    <t>DERRIEN ANNA LISA DR.</t>
  </si>
  <si>
    <t>MALIK DANISH DR.</t>
  </si>
  <si>
    <t>E0348681</t>
  </si>
  <si>
    <t>MCCLELLAND MARY THERESE</t>
  </si>
  <si>
    <t>McClellandMary</t>
  </si>
  <si>
    <t>MCCLELLAND MARY MISS</t>
  </si>
  <si>
    <t>E0030535</t>
  </si>
  <si>
    <t>GRIBETZ IRWIN X</t>
  </si>
  <si>
    <t>GRIBETZ IRWIN</t>
  </si>
  <si>
    <t>E0170979</t>
  </si>
  <si>
    <t>KRIEGEL DAVID A MD</t>
  </si>
  <si>
    <t>KRIEGEL DAVID</t>
  </si>
  <si>
    <t>E0062639</t>
  </si>
  <si>
    <t>TROSS SUSAN</t>
  </si>
  <si>
    <t>TrossSusan</t>
  </si>
  <si>
    <t>E0283236</t>
  </si>
  <si>
    <t>QURESHI SHEERAZ AHMED MD</t>
  </si>
  <si>
    <t>QURESHI SHEERAZ</t>
  </si>
  <si>
    <t>E0348640</t>
  </si>
  <si>
    <t>SHEFLIN-FINDLING SHARI M</t>
  </si>
  <si>
    <t>SHEFLIN-FINDLING SHARI</t>
  </si>
  <si>
    <t>E0293791</t>
  </si>
  <si>
    <t>ZEIZAFOUN NEBRAS</t>
  </si>
  <si>
    <t>ZeizafounNebras</t>
  </si>
  <si>
    <t>ZEIZAFOUN NEBRAS DR.</t>
  </si>
  <si>
    <t>ZEIZAFOUN NEBRAS  MD</t>
  </si>
  <si>
    <t>E0417109</t>
  </si>
  <si>
    <t>BUCHANAN ANNE</t>
  </si>
  <si>
    <t>BuchananAnne</t>
  </si>
  <si>
    <t>BUCHANAN ANNE DR.</t>
  </si>
  <si>
    <t>E0329506</t>
  </si>
  <si>
    <t>DEPETER KERRIN</t>
  </si>
  <si>
    <t>DePeterKerrin</t>
  </si>
  <si>
    <t>DEPETER KERRIN DR.</t>
  </si>
  <si>
    <t>DEPETER KERRIN CRAIG</t>
  </si>
  <si>
    <t>E0306537</t>
  </si>
  <si>
    <t>HUANG MIN</t>
  </si>
  <si>
    <t>AGARWAL SUNIL DR.</t>
  </si>
  <si>
    <t>1 GUSTAVE L LEVY PL, CARDIOLOGY</t>
  </si>
  <si>
    <t>E0412878</t>
  </si>
  <si>
    <t>MAHLE CAMERON</t>
  </si>
  <si>
    <t>E0412833</t>
  </si>
  <si>
    <t>ETTINGER BARRY</t>
  </si>
  <si>
    <t>ETTINGER BARRY DR.</t>
  </si>
  <si>
    <t>DIZDAREVIC ISMAR</t>
  </si>
  <si>
    <t>1000 10TH AVE, SURGICAL SUITE</t>
  </si>
  <si>
    <t>BISHAY VIVIAN</t>
  </si>
  <si>
    <t>E0412751</t>
  </si>
  <si>
    <t>LU CHARLIE</t>
  </si>
  <si>
    <t>LU CHARLIE DR.</t>
  </si>
  <si>
    <t>LU CHARLIE CHENGGANG</t>
  </si>
  <si>
    <t>E0407632</t>
  </si>
  <si>
    <t>RICE TIMOTHY REYNOLDS</t>
  </si>
  <si>
    <t>RICE TIMOTHY DR.</t>
  </si>
  <si>
    <t>LANG PENELOPE</t>
  </si>
  <si>
    <t>65 W 13TH ST, APT 8E</t>
  </si>
  <si>
    <t>E0452751</t>
  </si>
  <si>
    <t>RANADE SHEENA C</t>
  </si>
  <si>
    <t>RANADE SHEENA</t>
  </si>
  <si>
    <t>E0454040</t>
  </si>
  <si>
    <t>SIMIC MAJA</t>
  </si>
  <si>
    <t>SimicMaja</t>
  </si>
  <si>
    <t>SIMIC MAJA DR.</t>
  </si>
  <si>
    <t>E0370357</t>
  </si>
  <si>
    <t>KOUMASIDIS PA SARRA</t>
  </si>
  <si>
    <t>KOUMASIDIS SARRA</t>
  </si>
  <si>
    <t>2601 OCEAN PKWY RM 3N17</t>
  </si>
  <si>
    <t>CONIFERPARK</t>
  </si>
  <si>
    <t>ARMSACRES</t>
  </si>
  <si>
    <t>E0364736</t>
  </si>
  <si>
    <t>CRONIN MEREDITH LEIGH</t>
  </si>
  <si>
    <t>CroninMeredith</t>
  </si>
  <si>
    <t>CRONIN MEREDITH</t>
  </si>
  <si>
    <t>E0306679</t>
  </si>
  <si>
    <t>AMANDA J RHEE</t>
  </si>
  <si>
    <t>RheeAmanda</t>
  </si>
  <si>
    <t>RHEE AMANDA DR.</t>
  </si>
  <si>
    <t>RHEE AMANDA JIYUNG</t>
  </si>
  <si>
    <t>E0364498</t>
  </si>
  <si>
    <t>SALVA KRISTINE Y</t>
  </si>
  <si>
    <t>SalvaKristine</t>
  </si>
  <si>
    <t>SALVA KRISTINE MS.</t>
  </si>
  <si>
    <t>E0347624</t>
  </si>
  <si>
    <t>KAPADIA PANKAJ KANUBHAI</t>
  </si>
  <si>
    <t>KAPADIA PANKAJ</t>
  </si>
  <si>
    <t>SHETH NIJAL</t>
  </si>
  <si>
    <t>878 109TH AVE N</t>
  </si>
  <si>
    <t>E0365905</t>
  </si>
  <si>
    <t>KENNY ELLEN-MARIE</t>
  </si>
  <si>
    <t>KENNY ELLEN-MARIE MRS.</t>
  </si>
  <si>
    <t>E0371008</t>
  </si>
  <si>
    <t>SEALY LATOYA N</t>
  </si>
  <si>
    <t>SealyLatoya</t>
  </si>
  <si>
    <t>SEALY LATOYA MRS.</t>
  </si>
  <si>
    <t>ZHANG KEVIN</t>
  </si>
  <si>
    <t>E0452656</t>
  </si>
  <si>
    <t>ALTER ERIC</t>
  </si>
  <si>
    <t>ALTER ERIC LOUIS</t>
  </si>
  <si>
    <t>E0426792</t>
  </si>
  <si>
    <t>HURST TERESA</t>
  </si>
  <si>
    <t>HurstTeresaL.</t>
  </si>
  <si>
    <t>HURST TERESA DR.</t>
  </si>
  <si>
    <t>E0362235</t>
  </si>
  <si>
    <t>LEE KAREN ANN</t>
  </si>
  <si>
    <t>SMIETANA JEFF MR.</t>
  </si>
  <si>
    <t>1 GUSTAVE L LEVY PL, BOX 1118</t>
  </si>
  <si>
    <t>CASSADY STEVEN</t>
  </si>
  <si>
    <t>820 HOLLINS ST</t>
  </si>
  <si>
    <t>ELBAUM LINDSAY</t>
  </si>
  <si>
    <t>736 SCOTCH PLAINS AVE</t>
  </si>
  <si>
    <t>KENNIS SAMANTHA</t>
  </si>
  <si>
    <t>McLaughlinTheresa</t>
  </si>
  <si>
    <t>MCLAUGHLIN THERESA MS.</t>
  </si>
  <si>
    <t>523 E 72ND ST</t>
  </si>
  <si>
    <t>E0033070</t>
  </si>
  <si>
    <t>HYUN GRACE SOO JUNG MD</t>
  </si>
  <si>
    <t>HyunGrace</t>
  </si>
  <si>
    <t>HYUN GRACE</t>
  </si>
  <si>
    <t>E0091437</t>
  </si>
  <si>
    <t>DUNSKY KEVIN GERBER MD</t>
  </si>
  <si>
    <t>DunskyKevin</t>
  </si>
  <si>
    <t>DUNSKY KEVIN MR.</t>
  </si>
  <si>
    <t>ATKINSON PAUL</t>
  </si>
  <si>
    <t>E0299430</t>
  </si>
  <si>
    <t>VARGHESE ROBIN</t>
  </si>
  <si>
    <t>VargheseRobin</t>
  </si>
  <si>
    <t>VARGHESE ROBIN DR.</t>
  </si>
  <si>
    <t>HOMER SETH DR.</t>
  </si>
  <si>
    <t>77 HERRICK ST STE 101</t>
  </si>
  <si>
    <t>SANDOVAL MONICA MRS.</t>
  </si>
  <si>
    <t>5200 EASTERN AVENUE, SUITE 200</t>
  </si>
  <si>
    <t>E0297744</t>
  </si>
  <si>
    <t>MELISSA ELAINE PEARD</t>
  </si>
  <si>
    <t>PeardMelissa</t>
  </si>
  <si>
    <t>PEARD MELISSA</t>
  </si>
  <si>
    <t>PEARD MELISSA ELAINE</t>
  </si>
  <si>
    <t>KosmasConstantine</t>
  </si>
  <si>
    <t>E0368867</t>
  </si>
  <si>
    <t>COVEN TODD</t>
  </si>
  <si>
    <t>CovenTodd</t>
  </si>
  <si>
    <t>COVEN TODD DR.</t>
  </si>
  <si>
    <t>23-83 BELL BLVD UPPE</t>
  </si>
  <si>
    <t>E0188667</t>
  </si>
  <si>
    <t>ISOLA LUIS MANUEL MD</t>
  </si>
  <si>
    <t>IsolaLuis</t>
  </si>
  <si>
    <t>ISOLA LUIS</t>
  </si>
  <si>
    <t>E0155807</t>
  </si>
  <si>
    <t>GINSBURG ROBIN NINA MD</t>
  </si>
  <si>
    <t>GinsburgRobin</t>
  </si>
  <si>
    <t>GINSBURG ROBIN</t>
  </si>
  <si>
    <t>E0157397</t>
  </si>
  <si>
    <t>LEVINE ADAM IRA</t>
  </si>
  <si>
    <t>LevineAdam</t>
  </si>
  <si>
    <t>LEVINE ADAM DR.</t>
  </si>
  <si>
    <t>JEWISHBOARDFAMILYCHILDA</t>
  </si>
  <si>
    <t>CONEY I. REAL CSS CL</t>
  </si>
  <si>
    <t>E0154217</t>
  </si>
  <si>
    <t>LANGAN MARIE-NOELLE S MD</t>
  </si>
  <si>
    <t>LanganMarie-Noelle</t>
  </si>
  <si>
    <t>LANGAN MARIE-NOELLE MS.</t>
  </si>
  <si>
    <t>E0016408</t>
  </si>
  <si>
    <t>ARNON RONEN MD</t>
  </si>
  <si>
    <t>ArnonRonen</t>
  </si>
  <si>
    <t>ARNON RONEN</t>
  </si>
  <si>
    <t>E0307462</t>
  </si>
  <si>
    <t>MILES BRETT A</t>
  </si>
  <si>
    <t>MILES BRETT DR.</t>
  </si>
  <si>
    <t>E0345712</t>
  </si>
  <si>
    <t>SIM VIMALA VYTHA</t>
  </si>
  <si>
    <t>SIM VIMALA DR.</t>
  </si>
  <si>
    <t>PROTANO MARION-ANNA DR.</t>
  </si>
  <si>
    <t>1 GUSTAVE L LEVY PL # 1118</t>
  </si>
  <si>
    <t>E0333530</t>
  </si>
  <si>
    <t>REGELMANN MOLLY OLIVER</t>
  </si>
  <si>
    <t>REGELMANN MOLLY</t>
  </si>
  <si>
    <t>1 GUSTAVE L LEVY PL BOX 1200</t>
  </si>
  <si>
    <t>E0324897</t>
  </si>
  <si>
    <t>BEURIA PRARTHANA MD</t>
  </si>
  <si>
    <t>BeuriaPrarthana</t>
  </si>
  <si>
    <t>BEURIA PRARTHANA DR.</t>
  </si>
  <si>
    <t>E0082483</t>
  </si>
  <si>
    <t>DIAZ GEORGE ALFRED MD</t>
  </si>
  <si>
    <t>DIAZ GEORGE DR.</t>
  </si>
  <si>
    <t>E0337493</t>
  </si>
  <si>
    <t>JEMIOLO URSULA</t>
  </si>
  <si>
    <t>JEMIOLO URSULA MRS.</t>
  </si>
  <si>
    <t>E0000341</t>
  </si>
  <si>
    <t>KAREN JULIA DOBLIN</t>
  </si>
  <si>
    <t>DOBLIN KAREN MRS.</t>
  </si>
  <si>
    <t>DOBLIN KAREN JULIA</t>
  </si>
  <si>
    <t>E0313382</t>
  </si>
  <si>
    <t>YEH JONATHAN CHING-CHEN</t>
  </si>
  <si>
    <t>YEH JONATHAN</t>
  </si>
  <si>
    <t>GLUKHOVSKIY BORIS MR.</t>
  </si>
  <si>
    <t>10 UNION SQ E, PHILLIPS AMBULATORY CARE CENTER, ORTHOPEDIC SURGERY</t>
  </si>
  <si>
    <t>E0368326</t>
  </si>
  <si>
    <t>MILLARD KAYLENE L</t>
  </si>
  <si>
    <t>MILLARD KAYLENE</t>
  </si>
  <si>
    <t>FOSHEE ELIZABETH</t>
  </si>
  <si>
    <t>30 E 40TH ST, 12TH FLOOR</t>
  </si>
  <si>
    <t>NECHEMIA RACHEL MS.</t>
  </si>
  <si>
    <t>245 5TH AVE, 2ND FLOOR</t>
  </si>
  <si>
    <t>E0001203</t>
  </si>
  <si>
    <t>KAWANO THOMAS</t>
  </si>
  <si>
    <t>KAWANO THOMAS DR.</t>
  </si>
  <si>
    <t>KAWANO THOMAS LEE MD</t>
  </si>
  <si>
    <t>E0362227</t>
  </si>
  <si>
    <t>KIM JAEHON MICHAEL</t>
  </si>
  <si>
    <t>KimJaehon</t>
  </si>
  <si>
    <t>KIM JAEHON DR.</t>
  </si>
  <si>
    <t>E0352661</t>
  </si>
  <si>
    <t>MADEIRA CHARLES</t>
  </si>
  <si>
    <t>MADEIRA CHARLES DR.</t>
  </si>
  <si>
    <t>VNSNYCOMMUNITYHEALTHSERVICES</t>
  </si>
  <si>
    <t>TONG MICHELLE</t>
  </si>
  <si>
    <t>E0130540</t>
  </si>
  <si>
    <t>SHARMA VANSHDEEP MD</t>
  </si>
  <si>
    <t>SharmaVanshdeep</t>
  </si>
  <si>
    <t>SHARMA VANSHDEEP DR.</t>
  </si>
  <si>
    <t>E0293812</t>
  </si>
  <si>
    <t>LEAKE AND WATTS SERVICES INC</t>
  </si>
  <si>
    <t>E0266328</t>
  </si>
  <si>
    <t>LEAKE AND WATTS SERVICES, INC.</t>
  </si>
  <si>
    <t>BAJWA FARHAN</t>
  </si>
  <si>
    <t>1111 AMSTERDAM AVE, DEPT OF MEDICINE, CLARK 5-700 ST. LUKE'S - ROOSEVELT</t>
  </si>
  <si>
    <t>E0362056</t>
  </si>
  <si>
    <t>GLICK AMY R</t>
  </si>
  <si>
    <t>GLICK AMY</t>
  </si>
  <si>
    <t>E0427715</t>
  </si>
  <si>
    <t>KOH PRISCILLA</t>
  </si>
  <si>
    <t>KimPriscilla</t>
  </si>
  <si>
    <t>KOH PRISCILLA HYO</t>
  </si>
  <si>
    <t>BRADSHAW CHRISTINA</t>
  </si>
  <si>
    <t>4226 BROOKHAVEN AVE</t>
  </si>
  <si>
    <t>DONOVAN DANIEL</t>
  </si>
  <si>
    <t>PENESETTI DEEPAK DR.</t>
  </si>
  <si>
    <t>510 2ND AVE, APT 16E</t>
  </si>
  <si>
    <t>HINCHEY JOSEPH</t>
  </si>
  <si>
    <t>1945 EASTCHESTER RD APT 26H</t>
  </si>
  <si>
    <t>E0417230</t>
  </si>
  <si>
    <t>GAUNAY GEOFFREY STEVEN</t>
  </si>
  <si>
    <t>GAUNAY GEOFFREY</t>
  </si>
  <si>
    <t>450 LAKEVILLE RD</t>
  </si>
  <si>
    <t>E0373279</t>
  </si>
  <si>
    <t>ROBBINS ERIC ADAM</t>
  </si>
  <si>
    <t>RobbinsEric</t>
  </si>
  <si>
    <t>ROBBINS ERIC DR.</t>
  </si>
  <si>
    <t>ROBBINS ERIC A</t>
  </si>
  <si>
    <t>LONG ALLEGRA</t>
  </si>
  <si>
    <t>BELOKOVSKAYA REGINA DR.</t>
  </si>
  <si>
    <t>E0337809</t>
  </si>
  <si>
    <t>MULLIN KATHLEEN</t>
  </si>
  <si>
    <t>MullinKathleen</t>
  </si>
  <si>
    <t>MULLIN KATHLEEN B</t>
  </si>
  <si>
    <t>E0343267</t>
  </si>
  <si>
    <t>GERTZ ERIN CATHERINE</t>
  </si>
  <si>
    <t>GertzErin</t>
  </si>
  <si>
    <t>GERTZ ERIN</t>
  </si>
  <si>
    <t>E0332499</t>
  </si>
  <si>
    <t>KA MING NGAI GORDON MD</t>
  </si>
  <si>
    <t>NgaiKaMing</t>
  </si>
  <si>
    <t>NGAI KA MING</t>
  </si>
  <si>
    <t>NGAI KA MING GORDON MD</t>
  </si>
  <si>
    <t>IacovielloBrian</t>
  </si>
  <si>
    <t>IACOVIELLO BRIAN</t>
  </si>
  <si>
    <t>156 5TH AVE, SUITE 1200</t>
  </si>
  <si>
    <t>E0323346</t>
  </si>
  <si>
    <t>KANG STANLEY</t>
  </si>
  <si>
    <t>KangStanley</t>
  </si>
  <si>
    <t>KANG STANLEY MD</t>
  </si>
  <si>
    <t>SHARMEEN SAIKA</t>
  </si>
  <si>
    <t>E0225256</t>
  </si>
  <si>
    <t>BROWN BARRY L              MD</t>
  </si>
  <si>
    <t>BrownBarry</t>
  </si>
  <si>
    <t>BROWN BARRY DR.</t>
  </si>
  <si>
    <t>E0046834</t>
  </si>
  <si>
    <t>SHAPIRO JASON SCOTT MD</t>
  </si>
  <si>
    <t>ShapiroJason</t>
  </si>
  <si>
    <t>SHAPIRO JASON</t>
  </si>
  <si>
    <t>E0155057</t>
  </si>
  <si>
    <t>FREILICH AARON MD</t>
  </si>
  <si>
    <t>FreilichAaron</t>
  </si>
  <si>
    <t>FREILICH AARON</t>
  </si>
  <si>
    <t>E0255582</t>
  </si>
  <si>
    <t>GOODHEART HERBERT P        MD</t>
  </si>
  <si>
    <t>GoodheartHerbert</t>
  </si>
  <si>
    <t>GOODHEART HERBERT DR.</t>
  </si>
  <si>
    <t>E0047118</t>
  </si>
  <si>
    <t>GOLDSTEIN MARTIN ADAM MD</t>
  </si>
  <si>
    <t>GoldsteinMartin</t>
  </si>
  <si>
    <t>GOLDSTEIN MARTIN DR.</t>
  </si>
  <si>
    <t>E0277131</t>
  </si>
  <si>
    <t>MILLER AARON E             MD</t>
  </si>
  <si>
    <t>MillerAaron</t>
  </si>
  <si>
    <t>MILLER AARON DR.</t>
  </si>
  <si>
    <t>MAIMONIDES HOSP</t>
  </si>
  <si>
    <t>E0146820</t>
  </si>
  <si>
    <t>KIM HYUNG LEONA MD</t>
  </si>
  <si>
    <t>Kim-SchlugerHyungLeona</t>
  </si>
  <si>
    <t>KIM-SCHLUGER HYUNG MRS.</t>
  </si>
  <si>
    <t>E0006899</t>
  </si>
  <si>
    <t>HANEN SUZANNE</t>
  </si>
  <si>
    <t>HanenSuzanne</t>
  </si>
  <si>
    <t>E0426401</t>
  </si>
  <si>
    <t>PATEL AESHA B</t>
  </si>
  <si>
    <t>PatelAesha</t>
  </si>
  <si>
    <t>PATEL AESHA</t>
  </si>
  <si>
    <t>E0291292</t>
  </si>
  <si>
    <t>RAMKEESOON ROSEMARIE NP</t>
  </si>
  <si>
    <t>RamkeesoonRosemarie</t>
  </si>
  <si>
    <t>RAMKEESOON ROSEMARIE MRS.</t>
  </si>
  <si>
    <t>E0442613</t>
  </si>
  <si>
    <t>FIGUEROA DIAZ VIVIANA</t>
  </si>
  <si>
    <t>FIGUEROA DIAZ VIVIANA DR.</t>
  </si>
  <si>
    <t>E0444253</t>
  </si>
  <si>
    <t>SPANA JENNIFER ANN</t>
  </si>
  <si>
    <t>SpanaJennifer</t>
  </si>
  <si>
    <t>SPANA JENNIFER MRS.</t>
  </si>
  <si>
    <t>E0307639</t>
  </si>
  <si>
    <t>GONZALEZ SUSANA</t>
  </si>
  <si>
    <t>GonzalezSusana</t>
  </si>
  <si>
    <t>GONZALEZ SUSANA DR.</t>
  </si>
  <si>
    <t>E0024274</t>
  </si>
  <si>
    <t>SUSSMAN SHAWN J RPA</t>
  </si>
  <si>
    <t>SussmanShawn</t>
  </si>
  <si>
    <t>SUSSMAN SHAWN MR.</t>
  </si>
  <si>
    <t>SUSSMAN SHAWN JAMES</t>
  </si>
  <si>
    <t>E0013380</t>
  </si>
  <si>
    <t>SITTLER PATRICK LYNN MD</t>
  </si>
  <si>
    <t>SittlerPatrick</t>
  </si>
  <si>
    <t>SITTLER PATRICK</t>
  </si>
  <si>
    <t>E0082582</t>
  </si>
  <si>
    <t>CHOO SUNG YOON MD</t>
  </si>
  <si>
    <t>ChooSungYoon</t>
  </si>
  <si>
    <t>CHOO SUNG</t>
  </si>
  <si>
    <t>E0044643</t>
  </si>
  <si>
    <t>FISHMAN DAVID A MD</t>
  </si>
  <si>
    <t>FishmanDavid</t>
  </si>
  <si>
    <t>FISHMAN DAVID</t>
  </si>
  <si>
    <t>E0136894</t>
  </si>
  <si>
    <t>VASILIADIS ATHANASIA S MD</t>
  </si>
  <si>
    <t>VasiliadisAthanasia</t>
  </si>
  <si>
    <t>VASILIADIS ATHANASIA</t>
  </si>
  <si>
    <t>E0123876</t>
  </si>
  <si>
    <t>SINHA AJOY KUMAR MD</t>
  </si>
  <si>
    <t>SinhaAjoy</t>
  </si>
  <si>
    <t>SINHA AJOY</t>
  </si>
  <si>
    <t>E0209164</t>
  </si>
  <si>
    <t>KERR LESLIE DUBIN          MD</t>
  </si>
  <si>
    <t>KerrLeslie</t>
  </si>
  <si>
    <t>KERR LESLIE</t>
  </si>
  <si>
    <t>E0371003</t>
  </si>
  <si>
    <t>SERVAY ELSBET</t>
  </si>
  <si>
    <t>ServayElsbet</t>
  </si>
  <si>
    <t>E0351237</t>
  </si>
  <si>
    <t>JN-PIERRE CARL EDOUARD</t>
  </si>
  <si>
    <t>Jn-PierreCarl</t>
  </si>
  <si>
    <t>E0415751</t>
  </si>
  <si>
    <t>LESSER MICHELLE L</t>
  </si>
  <si>
    <t>LesserMichelle</t>
  </si>
  <si>
    <t>LESSER MICHELLE</t>
  </si>
  <si>
    <t>JohnsonJames</t>
  </si>
  <si>
    <t>JOHNSON JAMES</t>
  </si>
  <si>
    <t>1924 ALCOA HWY, BOX U109</t>
  </si>
  <si>
    <t>KNOXVILLE</t>
  </si>
  <si>
    <t>E0375729</t>
  </si>
  <si>
    <t>BOLDEN DINA M</t>
  </si>
  <si>
    <t>BoldenDina</t>
  </si>
  <si>
    <t>BOLDEN DINA MRS.</t>
  </si>
  <si>
    <t>E0383593</t>
  </si>
  <si>
    <t>RODRIGUEZ GERMAN HUERTA</t>
  </si>
  <si>
    <t>RodriguezGermanHuerta</t>
  </si>
  <si>
    <t>RODRIGUEZ GERMAN</t>
  </si>
  <si>
    <t>E0038032</t>
  </si>
  <si>
    <t>SCUTT HENCY</t>
  </si>
  <si>
    <t>ScuttHency</t>
  </si>
  <si>
    <t>E0008876</t>
  </si>
  <si>
    <t>CAPARAS LUZVIMINDA</t>
  </si>
  <si>
    <t>CaparasLuzviminda</t>
  </si>
  <si>
    <t>CAPARAS LUZVIMINDA R</t>
  </si>
  <si>
    <t>E0006405</t>
  </si>
  <si>
    <t>MIR WASEEM MD</t>
  </si>
  <si>
    <t>MirWaseem</t>
  </si>
  <si>
    <t>MIR WASEEM</t>
  </si>
  <si>
    <t>500 W MAIN ST</t>
  </si>
  <si>
    <t>E0284378</t>
  </si>
  <si>
    <t>MASCARENHAS JOHN OMAR MD</t>
  </si>
  <si>
    <t>MascarenhasJohn</t>
  </si>
  <si>
    <t>MASCARENHAS JOHN DR.</t>
  </si>
  <si>
    <t>E0302551</t>
  </si>
  <si>
    <t>CARY BRIAN A</t>
  </si>
  <si>
    <t>CaryBrian</t>
  </si>
  <si>
    <t>CARY BRIAN</t>
  </si>
  <si>
    <t>E0007235</t>
  </si>
  <si>
    <t>LEYBELL INNA MD</t>
  </si>
  <si>
    <t>LEYBELL INNA</t>
  </si>
  <si>
    <t>E0384679</t>
  </si>
  <si>
    <t>LEE PETER MJ</t>
  </si>
  <si>
    <t>LeePeter</t>
  </si>
  <si>
    <t>LEE PETER DR.</t>
  </si>
  <si>
    <t>1ST AVE 16TH ST</t>
  </si>
  <si>
    <t>E0442761</t>
  </si>
  <si>
    <t>WILLNER JONATHAN MATTHEW</t>
  </si>
  <si>
    <t>WILLNER JONATHAN DR.</t>
  </si>
  <si>
    <t>BonoValerie</t>
  </si>
  <si>
    <t>BONO VALERIE MS.</t>
  </si>
  <si>
    <t>196 BAY 20TH ST</t>
  </si>
  <si>
    <t>E0374014</t>
  </si>
  <si>
    <t>THOMAS NICOLE L</t>
  </si>
  <si>
    <t>ThomasNicole</t>
  </si>
  <si>
    <t>THOMAS NICOLE</t>
  </si>
  <si>
    <t>THOMAS NICOLE LYNN</t>
  </si>
  <si>
    <t>GonzalezAbel</t>
  </si>
  <si>
    <t>GONZALEZ ABEL DR.</t>
  </si>
  <si>
    <t>408 37TH ST</t>
  </si>
  <si>
    <t>UNION CITY</t>
  </si>
  <si>
    <t>E0164784</t>
  </si>
  <si>
    <t>OH CHUNKEUN MD</t>
  </si>
  <si>
    <t>CHUNOH</t>
  </si>
  <si>
    <t>OH CHUN</t>
  </si>
  <si>
    <t>E0126654</t>
  </si>
  <si>
    <t>SIDHU GURCHARAN S MD</t>
  </si>
  <si>
    <t>GURCHARANSIDHU</t>
  </si>
  <si>
    <t>SIDHU GURCHARAN</t>
  </si>
  <si>
    <t>E0114616</t>
  </si>
  <si>
    <t>LALL AJAY MD</t>
  </si>
  <si>
    <t>AJAYLALL</t>
  </si>
  <si>
    <t>LALL AJAY</t>
  </si>
  <si>
    <t>BETH ISRAEL MC NORTH</t>
  </si>
  <si>
    <t>E0291011</t>
  </si>
  <si>
    <t>BABU BENSON A MD</t>
  </si>
  <si>
    <t>BABU BENSON</t>
  </si>
  <si>
    <t>E0364921</t>
  </si>
  <si>
    <t>KAPUSTINA ANNA</t>
  </si>
  <si>
    <t>E0369210</t>
  </si>
  <si>
    <t>ROY VNEETHA</t>
  </si>
  <si>
    <t>ROY VENEETHA</t>
  </si>
  <si>
    <t>E0058705</t>
  </si>
  <si>
    <t>KALIR TAMARA MD</t>
  </si>
  <si>
    <t>KalirTamara</t>
  </si>
  <si>
    <t>KALIR TAMARA</t>
  </si>
  <si>
    <t>O'BrienJohn</t>
  </si>
  <si>
    <t>O'BRIEN JOHN DR.</t>
  </si>
  <si>
    <t>117 E 37TH ST, SUITE 1CC</t>
  </si>
  <si>
    <t>E0370487</t>
  </si>
  <si>
    <t>MOTAMED DAVID B</t>
  </si>
  <si>
    <t>MotamedDavid</t>
  </si>
  <si>
    <t>MOTAMED DAVID MR.</t>
  </si>
  <si>
    <t>E0207622</t>
  </si>
  <si>
    <t>RIDGEWOOD-BUSHWICK SCHMCRCOUN</t>
  </si>
  <si>
    <t>RIDGEWOOD BUSHWICK SEN CITZ</t>
  </si>
  <si>
    <t>Moffat Gardens Assisted Living Program</t>
  </si>
  <si>
    <t>E0322227</t>
  </si>
  <si>
    <t>MOFFAT GARDENS ALP INC</t>
  </si>
  <si>
    <t>Scott Short</t>
  </si>
  <si>
    <t>(718) 366-3800</t>
  </si>
  <si>
    <t>sshort@rbscc.org</t>
  </si>
  <si>
    <t>22 MOFFAT ST</t>
  </si>
  <si>
    <t>E0027518</t>
  </si>
  <si>
    <t>SHEMESH EYAL MS</t>
  </si>
  <si>
    <t>ShemeshEyal</t>
  </si>
  <si>
    <t>SHEMESH EYAL</t>
  </si>
  <si>
    <t>E0141384</t>
  </si>
  <si>
    <t>LEVY CAROL J MD</t>
  </si>
  <si>
    <t>LevyCarol</t>
  </si>
  <si>
    <t>LEVY CAROL</t>
  </si>
  <si>
    <t>E0006043</t>
  </si>
  <si>
    <t>JUDITH M FIERSTEIN</t>
  </si>
  <si>
    <t>FiersteinJudah</t>
  </si>
  <si>
    <t>FIERSTEIN JUDAH</t>
  </si>
  <si>
    <t>FIERSTEIN JUDAH MOSES</t>
  </si>
  <si>
    <t>E0390867</t>
  </si>
  <si>
    <t>CHEREZOVA DIANA</t>
  </si>
  <si>
    <t>CherezovaDiana</t>
  </si>
  <si>
    <t>CHEREZOVA DIANA DR.</t>
  </si>
  <si>
    <t>97-77 QUEENS BLVD</t>
  </si>
  <si>
    <t>E0122517</t>
  </si>
  <si>
    <t>PARKAS VALERIE MD</t>
  </si>
  <si>
    <t>ParkasValerie</t>
  </si>
  <si>
    <t>PARKAS VALERIE</t>
  </si>
  <si>
    <t>MEDICINE DEPT</t>
  </si>
  <si>
    <t>E0030741</t>
  </si>
  <si>
    <t>AUGELLO SABINO A MD</t>
  </si>
  <si>
    <t>AugelloSabinoA.</t>
  </si>
  <si>
    <t>AUGELLO SABINO DR.</t>
  </si>
  <si>
    <t>AUGELLO SABINO ANTHONY MD</t>
  </si>
  <si>
    <t>2318 31ST ST STE 300</t>
  </si>
  <si>
    <t>E0336662</t>
  </si>
  <si>
    <t>ATREJA ASHISH</t>
  </si>
  <si>
    <t>E0209070</t>
  </si>
  <si>
    <t>LEIPZIG ROSANNE M          MD</t>
  </si>
  <si>
    <t>LeipzigRosanne</t>
  </si>
  <si>
    <t>LEIPZIG ROSANNE</t>
  </si>
  <si>
    <t>E0072258</t>
  </si>
  <si>
    <t>GHODSI NEWSHA ZAHRA MD</t>
  </si>
  <si>
    <t>GHODSI NEWSHA</t>
  </si>
  <si>
    <t>E0362772</t>
  </si>
  <si>
    <t>GALLAGHER EMILY JANE</t>
  </si>
  <si>
    <t>GallagherEmily</t>
  </si>
  <si>
    <t>GALLAGHER EMILY DR.</t>
  </si>
  <si>
    <t>E0309904</t>
  </si>
  <si>
    <t>CICCONE JEFFREY MICHAEL MD</t>
  </si>
  <si>
    <t>CicconeJeffrey</t>
  </si>
  <si>
    <t>CICCONE JEFFREY DR.</t>
  </si>
  <si>
    <t>E0005072</t>
  </si>
  <si>
    <t>ABRAMOV NATELA RPA</t>
  </si>
  <si>
    <t>AbramovNatela</t>
  </si>
  <si>
    <t>ABRAMOV NATELA MRS.</t>
  </si>
  <si>
    <t>E0010117</t>
  </si>
  <si>
    <t>BADANI KETAN KISHORE</t>
  </si>
  <si>
    <t>BadaniKetan</t>
  </si>
  <si>
    <t>BADANI KETAN DR.</t>
  </si>
  <si>
    <t>E0010296</t>
  </si>
  <si>
    <t>FERNANDES AJIT SAVIO MD</t>
  </si>
  <si>
    <t>FernandesAjit</t>
  </si>
  <si>
    <t>FERNANDES AJIT DR.</t>
  </si>
  <si>
    <t>FERNANDES AJIT SAVIO</t>
  </si>
  <si>
    <t>701 DOCTORS DR STE M</t>
  </si>
  <si>
    <t>CHEN CHEN DR.</t>
  </si>
  <si>
    <t>306 E 96TH ST, APT 12F</t>
  </si>
  <si>
    <t>KATZ LARA DR.</t>
  </si>
  <si>
    <t>AmanMuhammad</t>
  </si>
  <si>
    <t>AMAN MUHAMMAD</t>
  </si>
  <si>
    <t>8300 FLOYD CURL DR, MSC 7883</t>
  </si>
  <si>
    <t>KAUFMAN JENNA</t>
  </si>
  <si>
    <t>350 E 17TH ST, #9BH26</t>
  </si>
  <si>
    <t>PetrilloSabrina</t>
  </si>
  <si>
    <t>EmpireGateMedical,PC</t>
  </si>
  <si>
    <t>E0376243</t>
  </si>
  <si>
    <t>JONES VIVIAN LYNN</t>
  </si>
  <si>
    <t>VivianJones</t>
  </si>
  <si>
    <t>(646) 217-4610</t>
  </si>
  <si>
    <t>rgordon@datadrivends.com</t>
  </si>
  <si>
    <t>JONES VIVIAN</t>
  </si>
  <si>
    <t>SharonFoster</t>
  </si>
  <si>
    <t>FamiliesontheMove</t>
  </si>
  <si>
    <t>EuphemiaAdams</t>
  </si>
  <si>
    <t>(347) 682-4872</t>
  </si>
  <si>
    <t>GAYMENOFAFRICANDESCENT</t>
  </si>
  <si>
    <t>VaughnTaylor</t>
  </si>
  <si>
    <t>(718) 222-6300</t>
  </si>
  <si>
    <t>vtaylor@gmail.org</t>
  </si>
  <si>
    <t>GAY MEN OF AFRICAN DESCENT, INC.</t>
  </si>
  <si>
    <t>44 COURT ST, 10TH FLOOR SUITE 1000</t>
  </si>
  <si>
    <t>EDOUARDHAZEL</t>
  </si>
  <si>
    <t>E0217187</t>
  </si>
  <si>
    <t>HAZEL EDOVARD JOSEPH MD</t>
  </si>
  <si>
    <t>EdouardHazel</t>
  </si>
  <si>
    <t>(516) 582-0708</t>
  </si>
  <si>
    <t>ehael1165@aol.com</t>
  </si>
  <si>
    <t>HAZEL EDUARDO DR.</t>
  </si>
  <si>
    <t>555 ROCKAWAY PKWY</t>
  </si>
  <si>
    <t>LisaOrbegoso,L.C.S.W.</t>
  </si>
  <si>
    <t>E0340945</t>
  </si>
  <si>
    <t>ORBEGOSO LISA</t>
  </si>
  <si>
    <t>KatherineVanterpool,M.S.Ed.</t>
  </si>
  <si>
    <t>VANTERPOOL KATHERINE</t>
  </si>
  <si>
    <t>460 W34TH STREET, 9TH FLOOR</t>
  </si>
  <si>
    <t>AnnaSchechter,L.M.S.W.</t>
  </si>
  <si>
    <t>SCHECHTER ANNA</t>
  </si>
  <si>
    <t>ThomasLynch,M.A.</t>
  </si>
  <si>
    <t>CharlesJacobus,M.A.</t>
  </si>
  <si>
    <t>JACOBUS CHARLES MR.</t>
  </si>
  <si>
    <t>E0203929</t>
  </si>
  <si>
    <t>SCHWARTZ ARTHUR E          MD</t>
  </si>
  <si>
    <t>SCHWARTZ ARTHUR DR.</t>
  </si>
  <si>
    <t>SCHWARTZ ARTHUR ERNEST</t>
  </si>
  <si>
    <t>E0123872</t>
  </si>
  <si>
    <t>SICHERER SCOTT HOWARD MD</t>
  </si>
  <si>
    <t>SICHERER SCOTT</t>
  </si>
  <si>
    <t>E0186566</t>
  </si>
  <si>
    <t>LEIBOWITZ ANDREW B</t>
  </si>
  <si>
    <t>LEIBOWITZ ANDREW DR.</t>
  </si>
  <si>
    <t>E0383063</t>
  </si>
  <si>
    <t>BERMAN MICHAEL RICHARD</t>
  </si>
  <si>
    <t>BermanMichaelR.</t>
  </si>
  <si>
    <t>BERMAN MICHAEL</t>
  </si>
  <si>
    <t>350 E 17TH ST STE 6</t>
  </si>
  <si>
    <t>E0215652</t>
  </si>
  <si>
    <t>TOSI MICHAEL FRANCIS       MD</t>
  </si>
  <si>
    <t>TOSI MICHAEL</t>
  </si>
  <si>
    <t>E0260173</t>
  </si>
  <si>
    <t>RABINOWITZ JACK G</t>
  </si>
  <si>
    <t>RABINOWITZ JACK</t>
  </si>
  <si>
    <t>E0184265</t>
  </si>
  <si>
    <t>FRIEDMAN FREDERICK JR MD</t>
  </si>
  <si>
    <t>FRIEDMAN FREDERICK DR.</t>
  </si>
  <si>
    <t>47 E 88TH ST FL 1</t>
  </si>
  <si>
    <t>E0013903</t>
  </si>
  <si>
    <t>SINGH ILA</t>
  </si>
  <si>
    <t>E0078092</t>
  </si>
  <si>
    <t>CHAHIL TINA JASJIT MD</t>
  </si>
  <si>
    <t>ChahilTinaJasjit</t>
  </si>
  <si>
    <t>CHAHIL TINA DR.</t>
  </si>
  <si>
    <t>DOCS PHYSICIANS/BIMC</t>
  </si>
  <si>
    <t>E0112717</t>
  </si>
  <si>
    <t>POWELL CHARLES A MD</t>
  </si>
  <si>
    <t>POWELL CHARLES DR.</t>
  </si>
  <si>
    <t>E0004882</t>
  </si>
  <si>
    <t>CHAN YU-FENG MD</t>
  </si>
  <si>
    <t>CHAN YU-FENG</t>
  </si>
  <si>
    <t>E0302340</t>
  </si>
  <si>
    <t>ARES ELLA</t>
  </si>
  <si>
    <t>AresEllaMarie</t>
  </si>
  <si>
    <t>ARES ELLA MS.</t>
  </si>
  <si>
    <t>ARES ELLA MARIE</t>
  </si>
  <si>
    <t>E0151817</t>
  </si>
  <si>
    <t>BRYANT LINDA M MD</t>
  </si>
  <si>
    <t>BryantLinda</t>
  </si>
  <si>
    <t>BRYANT LINDA DR.</t>
  </si>
  <si>
    <t>CoffeyBarbara</t>
  </si>
  <si>
    <t>COFFEY BARBARA DR.</t>
  </si>
  <si>
    <t>55 FRUIT ST CPZN 2, MASSACHUSETTS GENERAL HOSPITAL</t>
  </si>
  <si>
    <t>E0041413</t>
  </si>
  <si>
    <t>SUN WEI YUE MD</t>
  </si>
  <si>
    <t>WEISUN</t>
  </si>
  <si>
    <t>SUN WEI DR.</t>
  </si>
  <si>
    <t>7618 18TH AVE FL 1</t>
  </si>
  <si>
    <t>E0041794</t>
  </si>
  <si>
    <t>BEER JOSHUA DAVID MD</t>
  </si>
  <si>
    <t>JOSHUABEER</t>
  </si>
  <si>
    <t>BEER JOSHUA</t>
  </si>
  <si>
    <t>E0076730</t>
  </si>
  <si>
    <t>LEMER MATTHEW</t>
  </si>
  <si>
    <t>MATTHEWLEMER</t>
  </si>
  <si>
    <t>LEMER MATTHEW DR.</t>
  </si>
  <si>
    <t>E0061792</t>
  </si>
  <si>
    <t>ROTTENBERG ERIC CHARLES MD</t>
  </si>
  <si>
    <t>ERICROTTENBERG</t>
  </si>
  <si>
    <t>ROTTENBERG ERIC</t>
  </si>
  <si>
    <t>157-02 CROSS BAY BWD</t>
  </si>
  <si>
    <t>E0116125</t>
  </si>
  <si>
    <t>HOROWITZ MARK</t>
  </si>
  <si>
    <t>MARKHOROWITZ</t>
  </si>
  <si>
    <t>HOROWITZ MARK DR.</t>
  </si>
  <si>
    <t>E0335255</t>
  </si>
  <si>
    <t>BAKST RICHARD L</t>
  </si>
  <si>
    <t>BakstRichard</t>
  </si>
  <si>
    <t>BAKST RICHARD DR.</t>
  </si>
  <si>
    <t>GANGIREDDY SANDEEP DR.</t>
  </si>
  <si>
    <t>1 GUSTAVE L LEVY PL, DEPT. OF MEDICINE</t>
  </si>
  <si>
    <t>RossBrian</t>
  </si>
  <si>
    <t>ROSS BRIAN</t>
  </si>
  <si>
    <t>ADRIANZEN HERRERA DIEGO</t>
  </si>
  <si>
    <t>515 W 59TH ST, APT. 10J</t>
  </si>
  <si>
    <t>E0033925</t>
  </si>
  <si>
    <t>SERBAN STELIAN JOAN</t>
  </si>
  <si>
    <t>SerbanStelian</t>
  </si>
  <si>
    <t>SERBAN STELIAN DR.</t>
  </si>
  <si>
    <t>NGUYEN KIEN ANH</t>
  </si>
  <si>
    <t>KYI CHRISANN MS.</t>
  </si>
  <si>
    <t>505 EAST 70TH STREET, WEILL CORNELL INTERNAL MEDICINE ASSOCIATES</t>
  </si>
  <si>
    <t>E0434036</t>
  </si>
  <si>
    <t>TIOLECO NINA MARIE</t>
  </si>
  <si>
    <t>TiolecoNina</t>
  </si>
  <si>
    <t>TIOLECO NINA DR.</t>
  </si>
  <si>
    <t>E0361968</t>
  </si>
  <si>
    <t>GOODMAN MERA ASHLEY</t>
  </si>
  <si>
    <t>GOODMAN MERA</t>
  </si>
  <si>
    <t>KUMAR SHAWN</t>
  </si>
  <si>
    <t>7064 TIMBERVIEW TRL</t>
  </si>
  <si>
    <t>WEST BLOOMFIELD</t>
  </si>
  <si>
    <t>SHEK STANTON</t>
  </si>
  <si>
    <t>1000 10TH AVE, 3A</t>
  </si>
  <si>
    <t>CHAKRAVARTI ALOKE</t>
  </si>
  <si>
    <t>16TH STREET AND 1ST AVE, MOUNT SINAI BETH ISRAEL</t>
  </si>
  <si>
    <t>VENTURA IAZSMIN</t>
  </si>
  <si>
    <t>180 HARVESTER DR STE 110, BURR RIDGE</t>
  </si>
  <si>
    <t>BURR RIDGE</t>
  </si>
  <si>
    <t>E0369958</t>
  </si>
  <si>
    <t>DANG DAVID T</t>
  </si>
  <si>
    <t>DangDavid</t>
  </si>
  <si>
    <t>DANG DAVID</t>
  </si>
  <si>
    <t>KHELEMSKY RENATA DR.</t>
  </si>
  <si>
    <t>1400 PELHAM PKWY S, JACOBI MEDICAL CENTER, BUILDING 1, ROOM 3NE1</t>
  </si>
  <si>
    <t>SONG WENDY</t>
  </si>
  <si>
    <t>HEYDEN RACHAEL DR.</t>
  </si>
  <si>
    <t>E0043307</t>
  </si>
  <si>
    <t>FISCHER GREGORY WALTER MD</t>
  </si>
  <si>
    <t>FischerGregory</t>
  </si>
  <si>
    <t>FISCHER GREGORY DR.</t>
  </si>
  <si>
    <t>E0123418</t>
  </si>
  <si>
    <t>GOODMAN MARIANNE S MD</t>
  </si>
  <si>
    <t>GoodmanMarianne</t>
  </si>
  <si>
    <t>GOODMAN MARIANNE</t>
  </si>
  <si>
    <t>E0373104</t>
  </si>
  <si>
    <t>EWING ADRIENNE M</t>
  </si>
  <si>
    <t>EwingAdrienne</t>
  </si>
  <si>
    <t>EWING ADRIENNE MRS.</t>
  </si>
  <si>
    <t>BAN HIROKAZU</t>
  </si>
  <si>
    <t>16TH STREET AT FIRST AVENUE</t>
  </si>
  <si>
    <t>CROWE JENNA</t>
  </si>
  <si>
    <t>LAHEY CLINIC INC., 41 MALL ROAD</t>
  </si>
  <si>
    <t>FEELY MEGHAN DR.</t>
  </si>
  <si>
    <t>680 CENTRE ST</t>
  </si>
  <si>
    <t>BROCKTON</t>
  </si>
  <si>
    <t>E0209262</t>
  </si>
  <si>
    <t>LEBOWICZ JOSEPH</t>
  </si>
  <si>
    <t>JOSEPHLEBOWICZ</t>
  </si>
  <si>
    <t>E0305711</t>
  </si>
  <si>
    <t>OSEI-TUTU ACHIAMAH</t>
  </si>
  <si>
    <t>ACHIAMAHOSEI-TUTU</t>
  </si>
  <si>
    <t>585 SCHENECTADY AVE RM 406 FL 4</t>
  </si>
  <si>
    <t>HOWARDGUIA</t>
  </si>
  <si>
    <t>GUIA HOWARD</t>
  </si>
  <si>
    <t>506 6TH ST, DEPARTMENT OF CARDIOTHORACIC SURGERY</t>
  </si>
  <si>
    <t>E0142044</t>
  </si>
  <si>
    <t>HEISMAN ALEXANDER</t>
  </si>
  <si>
    <t>ALEXANDERHEISMAN</t>
  </si>
  <si>
    <t>925 MIDWAY</t>
  </si>
  <si>
    <t>E0052013</t>
  </si>
  <si>
    <t>COHEN LISA</t>
  </si>
  <si>
    <t>LISACOHEN</t>
  </si>
  <si>
    <t>COHEN LISA DR.</t>
  </si>
  <si>
    <t>COHEN LISA JANET</t>
  </si>
  <si>
    <t>E0000329</t>
  </si>
  <si>
    <t>JIMMY R SITT</t>
  </si>
  <si>
    <t>JIMMYSITT</t>
  </si>
  <si>
    <t>SITT JIMMY DR.</t>
  </si>
  <si>
    <t>SITT JIMMY R MD</t>
  </si>
  <si>
    <t>E0128389</t>
  </si>
  <si>
    <t>HERSTIK IVAN GREG DPM</t>
  </si>
  <si>
    <t>MR.IVANHERSTIK</t>
  </si>
  <si>
    <t>HERSTIK IVAN MR.</t>
  </si>
  <si>
    <t>HERSTIK IVAN GREG</t>
  </si>
  <si>
    <t>95 UNIVERSITY PLACE</t>
  </si>
  <si>
    <t>E0112212</t>
  </si>
  <si>
    <t>LIBERMAN DINA MD</t>
  </si>
  <si>
    <t>DINALIBERMAN</t>
  </si>
  <si>
    <t>LIBERMAN DINA</t>
  </si>
  <si>
    <t>3057 CONEY ISLAND AVE</t>
  </si>
  <si>
    <t>THERESACAPRA</t>
  </si>
  <si>
    <t>E0205317</t>
  </si>
  <si>
    <t>CAVALIERE RAYMOND G DPM</t>
  </si>
  <si>
    <t>RAYMONDCAVALIERE</t>
  </si>
  <si>
    <t>CAVALIERE RAYMOND</t>
  </si>
  <si>
    <t>201 E 28TH ST STE 1A</t>
  </si>
  <si>
    <t>E0388629</t>
  </si>
  <si>
    <t>CHUNG ANDREW</t>
  </si>
  <si>
    <t>ChungAndrew</t>
  </si>
  <si>
    <t>CHUNG ANDREW DUC</t>
  </si>
  <si>
    <t>LEE MATTHEW</t>
  </si>
  <si>
    <t>E0373891</t>
  </si>
  <si>
    <t>KRISHNASAMY PRIYA</t>
  </si>
  <si>
    <t>KRISHNASAMY PRIYA DR.</t>
  </si>
  <si>
    <t>7557 263RD ST</t>
  </si>
  <si>
    <t>ShahArpitFalgun</t>
  </si>
  <si>
    <t>SHAH ARPIT</t>
  </si>
  <si>
    <t>PeterDigilio</t>
  </si>
  <si>
    <t>FRANK DANIEL DR.</t>
  </si>
  <si>
    <t>KALKAN ESRA</t>
  </si>
  <si>
    <t>1000 10TH AVE, ST LUKE'S ROOSEVELT HOSPITAL</t>
  </si>
  <si>
    <t>TanneruDurga</t>
  </si>
  <si>
    <t>TANNERU DURGA RAM PRASAD</t>
  </si>
  <si>
    <t>5A MARISA CT</t>
  </si>
  <si>
    <t>E0409948</t>
  </si>
  <si>
    <t>LIKHTEROV ILYA</t>
  </si>
  <si>
    <t>10 UNION SQ E 5B</t>
  </si>
  <si>
    <t>E0361112</t>
  </si>
  <si>
    <t>MASON STEPHANIE V</t>
  </si>
  <si>
    <t>MasonStephanie</t>
  </si>
  <si>
    <t>MASON STEPHANIE MISS</t>
  </si>
  <si>
    <t>MASON STEPHANIE VENICIA</t>
  </si>
  <si>
    <t>SchuleMonika</t>
  </si>
  <si>
    <t>SCHULE MONIKA MS.</t>
  </si>
  <si>
    <t>1 GUSTAVE L LEVY PL, BOX 1153 (NICU)</t>
  </si>
  <si>
    <t>E0364920</t>
  </si>
  <si>
    <t>ALTIN LISA A</t>
  </si>
  <si>
    <t>AltinLisa</t>
  </si>
  <si>
    <t>ALTIN LISA</t>
  </si>
  <si>
    <t>E0393085</t>
  </si>
  <si>
    <t>BENTSIANOV SARI</t>
  </si>
  <si>
    <t>BENTSIANOV SARI DANA</t>
  </si>
  <si>
    <t>E0445889</t>
  </si>
  <si>
    <t>SHOIRAH HAZEM</t>
  </si>
  <si>
    <t>SHOIRAH HAZEM DR.</t>
  </si>
  <si>
    <t>E0397551</t>
  </si>
  <si>
    <t>HAREL ASAFF</t>
  </si>
  <si>
    <t>HAREL ASAFF DR.</t>
  </si>
  <si>
    <t>7901 BROADWAY STE D4</t>
  </si>
  <si>
    <t>E0384890</t>
  </si>
  <si>
    <t>ANAND ANJOLI</t>
  </si>
  <si>
    <t>AnandAnjoli</t>
  </si>
  <si>
    <t>E0369973</t>
  </si>
  <si>
    <t>QIU FEN</t>
  </si>
  <si>
    <t>E0352039</t>
  </si>
  <si>
    <t>ZERILLO JERON D</t>
  </si>
  <si>
    <t>ZerilloJeron</t>
  </si>
  <si>
    <t>ZERILLO JERON</t>
  </si>
  <si>
    <t>E0412829</t>
  </si>
  <si>
    <t>BATES ANDREW</t>
  </si>
  <si>
    <t>BATES ANDREW TYLER</t>
  </si>
  <si>
    <t>100 NICOLLS ROAD</t>
  </si>
  <si>
    <t>E0128794</t>
  </si>
  <si>
    <t>SYED SAEED A MD</t>
  </si>
  <si>
    <t>SyedSaeedA.</t>
  </si>
  <si>
    <t>SYED SAEED</t>
  </si>
  <si>
    <t>E0330238</t>
  </si>
  <si>
    <t>IRIE HANNA YOKO MD</t>
  </si>
  <si>
    <t>IrieHanna</t>
  </si>
  <si>
    <t>IRIE HANNA YOKO</t>
  </si>
  <si>
    <t>E0364442</t>
  </si>
  <si>
    <t>BRIZEUS THEVIA</t>
  </si>
  <si>
    <t>BrizeusThevia</t>
  </si>
  <si>
    <t>BRIZEUS THEVIA MS.</t>
  </si>
  <si>
    <t>5 E 98TH ST FL 9 # 9TH</t>
  </si>
  <si>
    <t>E0338518</t>
  </si>
  <si>
    <t>KAPUR VISHAL</t>
  </si>
  <si>
    <t>KapurVishal</t>
  </si>
  <si>
    <t>KAPUR VISHAL DR.</t>
  </si>
  <si>
    <t>E0294263</t>
  </si>
  <si>
    <t>JENNIFER B CERASOLI MD</t>
  </si>
  <si>
    <t>CerasoliJennifer</t>
  </si>
  <si>
    <t>CERASOLI JENNIFER DR.</t>
  </si>
  <si>
    <t>CERASOLI JENNIFER B MD</t>
  </si>
  <si>
    <t>CILUS SOPHIANA</t>
  </si>
  <si>
    <t>E0327755</t>
  </si>
  <si>
    <t>GAVRIIL ELEFTHERIOS S</t>
  </si>
  <si>
    <t>GavriilEleftheriosS</t>
  </si>
  <si>
    <t>GAVRIIL ELEFTHERIOS DR.</t>
  </si>
  <si>
    <t>E0157872</t>
  </si>
  <si>
    <t>LEE MEN-JEAN MD</t>
  </si>
  <si>
    <t>LeeMen-Jean</t>
  </si>
  <si>
    <t>LEE MEN-JEAN</t>
  </si>
  <si>
    <t>E0321501</t>
  </si>
  <si>
    <t>CHAN JACQUELINE</t>
  </si>
  <si>
    <t>ChanJacqueline</t>
  </si>
  <si>
    <t>CHAN JACQUELINE DR.</t>
  </si>
  <si>
    <t>136-20 38TH AVENUE</t>
  </si>
  <si>
    <t>E0354724</t>
  </si>
  <si>
    <t>BARR RACHEL LYNN</t>
  </si>
  <si>
    <t>BARR RACHEL DR.</t>
  </si>
  <si>
    <t>E0339535</t>
  </si>
  <si>
    <t>KREMYANSKAYA MARINA</t>
  </si>
  <si>
    <t>KREMYANSKAYA MARINA DR.</t>
  </si>
  <si>
    <t>E0334210</t>
  </si>
  <si>
    <t>WILSON ELIZABETH MARIE</t>
  </si>
  <si>
    <t>WILSON ELIZABETH DR.</t>
  </si>
  <si>
    <t>132 W 125TH ST FL 6</t>
  </si>
  <si>
    <t>E0307871</t>
  </si>
  <si>
    <t>GREENSTEIN ALEXANDER JOHN MD</t>
  </si>
  <si>
    <t>GREENSTEIN ALEXANDER DR.</t>
  </si>
  <si>
    <t>GREENSTEIN ALEXANDER JOHN</t>
  </si>
  <si>
    <t>E0286066</t>
  </si>
  <si>
    <t>RUSSELL CORTESSA</t>
  </si>
  <si>
    <t>RussellCortessaLynn</t>
  </si>
  <si>
    <t>RUSSELL CORTESSA LYNN MD</t>
  </si>
  <si>
    <t>E0340525</t>
  </si>
  <si>
    <t>FULMES MYCHAILO</t>
  </si>
  <si>
    <t>FulmesMychailo</t>
  </si>
  <si>
    <t>E0004823</t>
  </si>
  <si>
    <t>OSMANOVIC FERID</t>
  </si>
  <si>
    <t>OsmanovicFerid</t>
  </si>
  <si>
    <t>OSMANOVIC FERID MD</t>
  </si>
  <si>
    <t>GuiteauSergio</t>
  </si>
  <si>
    <t>GUITEAU SERGIO</t>
  </si>
  <si>
    <t>2601 E ROOSEVELT ST</t>
  </si>
  <si>
    <t>E0124437</t>
  </si>
  <si>
    <t>STERN RICHARD HERSH MD</t>
  </si>
  <si>
    <t>SternRichard</t>
  </si>
  <si>
    <t>STERN RICHARD</t>
  </si>
  <si>
    <t>STERN RICHARD HERSH</t>
  </si>
  <si>
    <t>NEW ISLAND HSP RAD</t>
  </si>
  <si>
    <t>E0064830</t>
  </si>
  <si>
    <t>STRAUCHEN JAMES ARTHUR MD</t>
  </si>
  <si>
    <t>StrauchenJames</t>
  </si>
  <si>
    <t>1950 5TH AVE</t>
  </si>
  <si>
    <t>E0294036</t>
  </si>
  <si>
    <t>ROTZMAN ROMAN Y MD</t>
  </si>
  <si>
    <t>RoyzmanRoman</t>
  </si>
  <si>
    <t>ROYZMAN ROMAN DR.</t>
  </si>
  <si>
    <t>ROYZMAN ROMAN Y MD</t>
  </si>
  <si>
    <t>705 86TH ST STE M5</t>
  </si>
  <si>
    <t>E0058656</t>
  </si>
  <si>
    <t>WEISS DEBORAH JOY MD</t>
  </si>
  <si>
    <t>WeissDeborah</t>
  </si>
  <si>
    <t>WEISS DEBORAH DR.</t>
  </si>
  <si>
    <t>E0208233</t>
  </si>
  <si>
    <t>STEINHAGEN RANDOLPH M      MD</t>
  </si>
  <si>
    <t>SteinhagenRandolph</t>
  </si>
  <si>
    <t>STEINHAGEN RANDOLPH</t>
  </si>
  <si>
    <t>E0114979</t>
  </si>
  <si>
    <t>HATCHER VIRGIL</t>
  </si>
  <si>
    <t>HatcherVirgilAllen</t>
  </si>
  <si>
    <t>HATCHER VIRGIL DR.</t>
  </si>
  <si>
    <t>E0032469</t>
  </si>
  <si>
    <t>HERRERA JOSEPH EVERARD DO</t>
  </si>
  <si>
    <t>HerreraJoseph</t>
  </si>
  <si>
    <t>HERRERA JOSEPH DR.</t>
  </si>
  <si>
    <t>E0006613</t>
  </si>
  <si>
    <t>GOFORTH THOMAS</t>
  </si>
  <si>
    <t>GOFORTH THOMAS DR.</t>
  </si>
  <si>
    <t>GOFORTH THOMAS BRYAN MD</t>
  </si>
  <si>
    <t>TONIBUTLER</t>
  </si>
  <si>
    <t>E0365458</t>
  </si>
  <si>
    <t>KELLY MARY K</t>
  </si>
  <si>
    <t>KellyMary</t>
  </si>
  <si>
    <t>KELLY MARY</t>
  </si>
  <si>
    <t>E0186620</t>
  </si>
  <si>
    <t>BRONHEIM DAVID SAMUEL MD</t>
  </si>
  <si>
    <t>BRONHEIM DAVID DR.</t>
  </si>
  <si>
    <t>BRONHEIM DAVID SAMUEL</t>
  </si>
  <si>
    <t>E0064013</t>
  </si>
  <si>
    <t>PATEL VINISHA MD</t>
  </si>
  <si>
    <t>PatelVinisha</t>
  </si>
  <si>
    <t>PATEL VINISHA</t>
  </si>
  <si>
    <t>ForonjyRobert</t>
  </si>
  <si>
    <t>LOPEZ ALLISON DR.</t>
  </si>
  <si>
    <t>1468 MADISON AVE, ANNENBERG BUILDING, 4TH FLOOR</t>
  </si>
  <si>
    <t>E0364291</t>
  </si>
  <si>
    <t>KOPELEVA NINA A</t>
  </si>
  <si>
    <t>KopelevaNina</t>
  </si>
  <si>
    <t>KOPELEVA NINA</t>
  </si>
  <si>
    <t>E0370248</t>
  </si>
  <si>
    <t>CHAN FUNG MICHAEL</t>
  </si>
  <si>
    <t>CHAN FUNG DR.</t>
  </si>
  <si>
    <t>IzrailovaAnzhela</t>
  </si>
  <si>
    <t>IZRAILOVA ANZHELA</t>
  </si>
  <si>
    <t>5 E 98TH ST FL 6, DEPARTMENT OF ANESTHESIA</t>
  </si>
  <si>
    <t>OlatunbosunBamidele</t>
  </si>
  <si>
    <t>OLATUNBOSUN BAMIDELE DR.</t>
  </si>
  <si>
    <t>1445 LAKESIDE DR, 211</t>
  </si>
  <si>
    <t>E0387776</t>
  </si>
  <si>
    <t>ANIK KARISHMA AMINA</t>
  </si>
  <si>
    <t>AnikKarishma</t>
  </si>
  <si>
    <t>ANIK KARISHMA DR.</t>
  </si>
  <si>
    <t>WARNER KEVIN</t>
  </si>
  <si>
    <t>1660 MADISON AVE, 11H</t>
  </si>
  <si>
    <t>MARYANSKY ALEKSEY</t>
  </si>
  <si>
    <t>E0138714</t>
  </si>
  <si>
    <t>BLAUFARB IRA STEPHEN MD</t>
  </si>
  <si>
    <t>BlaufarbIra</t>
  </si>
  <si>
    <t>BLAUFARB IRA</t>
  </si>
  <si>
    <t>E0383573</t>
  </si>
  <si>
    <t>SINGLA MONTISH</t>
  </si>
  <si>
    <t>SinglaMontish</t>
  </si>
  <si>
    <t>SHAHNAZ SAMIRA</t>
  </si>
  <si>
    <t>3375 LAKE AUSTIN BLVD APT C</t>
  </si>
  <si>
    <t>PerosevicNikola</t>
  </si>
  <si>
    <t>PEROSEVIC NIKOLA DR.</t>
  </si>
  <si>
    <t>130 W KINGSBRIDGE RD, BRONX</t>
  </si>
  <si>
    <t>TRIPATHI BYOMESH</t>
  </si>
  <si>
    <t>ZHAN YOUGEN</t>
  </si>
  <si>
    <t>ONE GUSTAVE L. LEVY PLACE, DEPT OF PATHOLOGY, ICAHN SCHOOL OF MED AT MOUNT SINAI</t>
  </si>
  <si>
    <t>FIFER KENNETH</t>
  </si>
  <si>
    <t>FELICIANO DAVID DR.</t>
  </si>
  <si>
    <t>1918 COOLEY AVE, APT 8</t>
  </si>
  <si>
    <t>EAST PALO ALTO</t>
  </si>
  <si>
    <t>SCAFF JORDAN</t>
  </si>
  <si>
    <t>MALEZHIK VERA</t>
  </si>
  <si>
    <t>800 PALISADE AVE APT 1202</t>
  </si>
  <si>
    <t>FORT LEE</t>
  </si>
  <si>
    <t>KUTNER ALLISON</t>
  </si>
  <si>
    <t>ANDO TOMO MR.</t>
  </si>
  <si>
    <t>353 E 17TH ST, #19A</t>
  </si>
  <si>
    <t>E0412967</t>
  </si>
  <si>
    <t>ELIZONDO DENISE</t>
  </si>
  <si>
    <t>ElizondoDenise</t>
  </si>
  <si>
    <t>ELIZONDO DENISE DR.</t>
  </si>
  <si>
    <t>ELIZONDO DENISE MICHELLE</t>
  </si>
  <si>
    <t>MAZID NOURAH</t>
  </si>
  <si>
    <t>1111 AMSTERDAM AVE, ST. LUKE'S-ROOSEVELT HOSPITAL CTR, DEPT. OF ANESTHESIA</t>
  </si>
  <si>
    <t>E0157332</t>
  </si>
  <si>
    <t>DICK JEFFREY M MD</t>
  </si>
  <si>
    <t>DickJeffrey</t>
  </si>
  <si>
    <t>DICK JEFFREY DR.</t>
  </si>
  <si>
    <t>DICK JEFFREY MARC</t>
  </si>
  <si>
    <t>167 RUTLEDGE ST</t>
  </si>
  <si>
    <t>E0123182</t>
  </si>
  <si>
    <t>CHAUDHRY HINA W MD</t>
  </si>
  <si>
    <t>ChaudhryHina</t>
  </si>
  <si>
    <t>CHAUDHRY HINA DR.</t>
  </si>
  <si>
    <t>E0178481</t>
  </si>
  <si>
    <t>GROSSMAN HILLEL T MD</t>
  </si>
  <si>
    <t>GrossmanHillel</t>
  </si>
  <si>
    <t>GROSSMAN HILLEL DR.</t>
  </si>
  <si>
    <t>PSYCH CLINICAL GROUP</t>
  </si>
  <si>
    <t>E0191564</t>
  </si>
  <si>
    <t>CHARAP PETER JEFF MD</t>
  </si>
  <si>
    <t>CharapPeter</t>
  </si>
  <si>
    <t>CHARAP PETER</t>
  </si>
  <si>
    <t>CHARAP PETER JEFF</t>
  </si>
  <si>
    <t>E0020464</t>
  </si>
  <si>
    <t>MARITATO ANDREA F MD</t>
  </si>
  <si>
    <t>MARITATO ANDREA</t>
  </si>
  <si>
    <t>E0293951</t>
  </si>
  <si>
    <t>SILVERMAN SARAH</t>
  </si>
  <si>
    <t>SilvermanSarah</t>
  </si>
  <si>
    <t>SILVERMAN SARAH DR.</t>
  </si>
  <si>
    <t>E0020798</t>
  </si>
  <si>
    <t>KRIEGER STEPHEN</t>
  </si>
  <si>
    <t>KriegerStephen</t>
  </si>
  <si>
    <t>KRIEGER STEPHEN DR.</t>
  </si>
  <si>
    <t>KRIEGER STEPHEN C MD</t>
  </si>
  <si>
    <t>E0071869</t>
  </si>
  <si>
    <t>MACKAY RICHARD E MD</t>
  </si>
  <si>
    <t>MacKayRichard</t>
  </si>
  <si>
    <t>MACKAY RICHARD</t>
  </si>
  <si>
    <t>E0238801</t>
  </si>
  <si>
    <t>LEEDS JEFFREY GORDON      DDS</t>
  </si>
  <si>
    <t>LeedsJeffrey</t>
  </si>
  <si>
    <t>LEEDS JEFFREY DR.</t>
  </si>
  <si>
    <t>LEEDS JEFFREY GORDON</t>
  </si>
  <si>
    <t>TimmesSuzanne</t>
  </si>
  <si>
    <t>FLYNN SUZANNE MS.</t>
  </si>
  <si>
    <t>1 GUSTAVE L LEVY PLACE BOX 1104</t>
  </si>
  <si>
    <t>E0335547</t>
  </si>
  <si>
    <t>EVANS ADAM STUART</t>
  </si>
  <si>
    <t>EvansAdam</t>
  </si>
  <si>
    <t>EVANS ADAM DR.</t>
  </si>
  <si>
    <t>E0142873</t>
  </si>
  <si>
    <t>SHETH PARAG MD</t>
  </si>
  <si>
    <t>ShethParag</t>
  </si>
  <si>
    <t>SHETH PARAG</t>
  </si>
  <si>
    <t>BOX 12408</t>
  </si>
  <si>
    <t>E0140817</t>
  </si>
  <si>
    <t>BAUMLIN KEVIN MICHAEL MD</t>
  </si>
  <si>
    <t>BaumlinKevin</t>
  </si>
  <si>
    <t>BAUMLIN KEVIN</t>
  </si>
  <si>
    <t>E0061427</t>
  </si>
  <si>
    <t>OLOOMI-YAZDI MOHAMMAD MEHDI</t>
  </si>
  <si>
    <t>OloomiMehdi</t>
  </si>
  <si>
    <t>OLOOMI MEHDI DR.</t>
  </si>
  <si>
    <t>SikkaGautam</t>
  </si>
  <si>
    <t>SIKKA GAUTAM</t>
  </si>
  <si>
    <t>130 W KINGSBRIDGE RD # 7A-11, JAMES J. PETERS VAMC</t>
  </si>
  <si>
    <t>TAI CHE-YU DR.</t>
  </si>
  <si>
    <t>E0346897</t>
  </si>
  <si>
    <t>MUKHERJEE PREETIKA</t>
  </si>
  <si>
    <t>MukherjeePreetika</t>
  </si>
  <si>
    <t>MUKHERJEE PREETIKA DR.</t>
  </si>
  <si>
    <t>Matalon-GraziShira</t>
  </si>
  <si>
    <t>OBGYN ASSOCIATES OF ST LUKES ROOSEVELT HOSPITAL</t>
  </si>
  <si>
    <t>E0051106</t>
  </si>
  <si>
    <t>ROSENBAUM GENEVIEVE</t>
  </si>
  <si>
    <t>RosenbaumGenevieve</t>
  </si>
  <si>
    <t>E0076422</t>
  </si>
  <si>
    <t>TAN JIAN-YOU</t>
  </si>
  <si>
    <t>TAN JIANYOU</t>
  </si>
  <si>
    <t>E0260016</t>
  </si>
  <si>
    <t>THYS DANIEL M              MD</t>
  </si>
  <si>
    <t>ThysDanielM.</t>
  </si>
  <si>
    <t>THYS DANIEL DR.</t>
  </si>
  <si>
    <t>E0126248</t>
  </si>
  <si>
    <t>OLIVIERI FLORIDA GISELE MD</t>
  </si>
  <si>
    <t>OlivieriFlorida</t>
  </si>
  <si>
    <t>OLIVIERI FLORIDA</t>
  </si>
  <si>
    <t>E0239796</t>
  </si>
  <si>
    <t>BERENSTEIN ALEJANDRO       MD</t>
  </si>
  <si>
    <t>BerensteinAlejandro</t>
  </si>
  <si>
    <t>BERENSTEIN ALEJANDRO</t>
  </si>
  <si>
    <t>N Y UNIVERSITY HOSP</t>
  </si>
  <si>
    <t>ByrdDesiree</t>
  </si>
  <si>
    <t>BYRD DESIREE</t>
  </si>
  <si>
    <t>1468 MADISON AVE, NEUROLOGY MHBB BOX 1052</t>
  </si>
  <si>
    <t>E0186694</t>
  </si>
  <si>
    <t>CANTOR GORDON MICHAEL MD</t>
  </si>
  <si>
    <t>CantorGordon</t>
  </si>
  <si>
    <t>CANTOR GORDON</t>
  </si>
  <si>
    <t>E0448219</t>
  </si>
  <si>
    <t>CASSAGNOL EMLYNE LOUISE</t>
  </si>
  <si>
    <t>CassagnolEmlyne</t>
  </si>
  <si>
    <t>CASSAGNOL EMLYNE</t>
  </si>
  <si>
    <t>E0382831</t>
  </si>
  <si>
    <t>CHEUNG ANGELES</t>
  </si>
  <si>
    <t>CheungAngeles</t>
  </si>
  <si>
    <t>CHEUNG ANGELES DR.</t>
  </si>
  <si>
    <t>E0433486</t>
  </si>
  <si>
    <t>CHUNG CHRISTINE</t>
  </si>
  <si>
    <t>CHUNG CHRISTINE MS.</t>
  </si>
  <si>
    <t>200 OLD COUNTRY RD STE 120</t>
  </si>
  <si>
    <t>E0419095</t>
  </si>
  <si>
    <t>MICELOTTA NOA</t>
  </si>
  <si>
    <t>KoppelmanNoa</t>
  </si>
  <si>
    <t>MICELOTTA NOA DR.</t>
  </si>
  <si>
    <t>KUTNER MATTHEW DR.</t>
  </si>
  <si>
    <t>FIRST AVENUE AT 16TH STREET, MOUNT SINAI BETH ISRAEL</t>
  </si>
  <si>
    <t>NEW YOKR</t>
  </si>
  <si>
    <t>E0313999</t>
  </si>
  <si>
    <t>SHARMA SHUCHITA</t>
  </si>
  <si>
    <t>E0344696</t>
  </si>
  <si>
    <t>MATHEWSON GRETCHEN K</t>
  </si>
  <si>
    <t>MathewsonGretchen</t>
  </si>
  <si>
    <t>MATHEWSON GRETCHEN</t>
  </si>
  <si>
    <t>GONZALES JOHN PATRICK DR.</t>
  </si>
  <si>
    <t>353 E 17TH ST, 8F</t>
  </si>
  <si>
    <t>D'SOUZA AVINASH DR.</t>
  </si>
  <si>
    <t>NADEEM MUHAMMAD FARHAN</t>
  </si>
  <si>
    <t>1000 AMSTERDAM AVE, MOUNT SINAI ROOSEVELT HOSPITAL</t>
  </si>
  <si>
    <t>E0336028</t>
  </si>
  <si>
    <t>MAGEE LAUREN EVA</t>
  </si>
  <si>
    <t>MAGEE LAUREN</t>
  </si>
  <si>
    <t>E0030434</t>
  </si>
  <si>
    <t>PAREKH SAMIR  MD</t>
  </si>
  <si>
    <t>ParekhSamir</t>
  </si>
  <si>
    <t>PAREKH SAMIR MR.</t>
  </si>
  <si>
    <t>PAREKH SAMIR SUNIL  MD</t>
  </si>
  <si>
    <t>111 E 210TH ST/DEPT OF ONCOLOGY</t>
  </si>
  <si>
    <t>E0271092</t>
  </si>
  <si>
    <t>GREEN MARK W               MD</t>
  </si>
  <si>
    <t>GreenMark</t>
  </si>
  <si>
    <t>GREEN MARK DR.</t>
  </si>
  <si>
    <t>E0337911</t>
  </si>
  <si>
    <t>VELUSWAMY RAJWANTH</t>
  </si>
  <si>
    <t>VeluswamyRajwanth</t>
  </si>
  <si>
    <t>VELUSWAMY RAJWANTH REDDY</t>
  </si>
  <si>
    <t>4724 N DAVIS HWY</t>
  </si>
  <si>
    <t>PENSACOLA</t>
  </si>
  <si>
    <t>E0338264</t>
  </si>
  <si>
    <t>LUBIN SOPHIA</t>
  </si>
  <si>
    <t>LUBIN SOPHIA DR.</t>
  </si>
  <si>
    <t>4422 3RD AVE 2ND FL</t>
  </si>
  <si>
    <t>E0285607</t>
  </si>
  <si>
    <t>HELLER MARK L MD</t>
  </si>
  <si>
    <t>HELLER MARK DR.</t>
  </si>
  <si>
    <t>MADISON AVE @ 100TH ST</t>
  </si>
  <si>
    <t>E0385149</t>
  </si>
  <si>
    <t>MENON MADHAV C</t>
  </si>
  <si>
    <t>MenonMadhav</t>
  </si>
  <si>
    <t>MENON MADHAV DR.</t>
  </si>
  <si>
    <t>MENON MADHAV CHANDRASEKHAR</t>
  </si>
  <si>
    <t>E0377620</t>
  </si>
  <si>
    <t>ROMAN JASMIN</t>
  </si>
  <si>
    <t>ROMAN JASMIN DR.</t>
  </si>
  <si>
    <t>E0007416</t>
  </si>
  <si>
    <t>GEIGER MIWA KAREN MD</t>
  </si>
  <si>
    <t>GeigerMiwa</t>
  </si>
  <si>
    <t>GEIGER MIWA</t>
  </si>
  <si>
    <t>E0390895</t>
  </si>
  <si>
    <t>SYROS GEORGIOS</t>
  </si>
  <si>
    <t>E0203312</t>
  </si>
  <si>
    <t>MULLEN MICHAEL PATRICK     MD</t>
  </si>
  <si>
    <t>MullenMichael</t>
  </si>
  <si>
    <t>MULLEN MICHAEL</t>
  </si>
  <si>
    <t>E0076960</t>
  </si>
  <si>
    <t>FEDERMAN ALEX DAVID MD</t>
  </si>
  <si>
    <t>FedermanAlex</t>
  </si>
  <si>
    <t>FEDERMAN ALEX</t>
  </si>
  <si>
    <t>E0210257</t>
  </si>
  <si>
    <t>MINTZ BETTY JANE MD</t>
  </si>
  <si>
    <t>MintzBetty</t>
  </si>
  <si>
    <t>MINTZ BETTY DR.</t>
  </si>
  <si>
    <t>MINTZ BETTY JANE</t>
  </si>
  <si>
    <t>E0259295</t>
  </si>
  <si>
    <t>FREILICH ABRAHAM R         MD</t>
  </si>
  <si>
    <t>FreilichAbraham</t>
  </si>
  <si>
    <t>FREILICH ABRAHAM DR.</t>
  </si>
  <si>
    <t>FREILICH ABRAHAM R</t>
  </si>
  <si>
    <t>CHOKSHI KRISHNA</t>
  </si>
  <si>
    <t>LEE NAYOUNG</t>
  </si>
  <si>
    <t>O'KEEFFE JENNIFER</t>
  </si>
  <si>
    <t>MURPHY ELIZABETH</t>
  </si>
  <si>
    <t>BLACK ALIZA</t>
  </si>
  <si>
    <t>156 WILLIAM ST</t>
  </si>
  <si>
    <t>KalliniRonnie</t>
  </si>
  <si>
    <t>KALLINI RONNIE DR.</t>
  </si>
  <si>
    <t>TOOMARIAN MOJDEH</t>
  </si>
  <si>
    <t>1000 10TH AVE, EMERGENCY MEDICINE, RM. GE-01</t>
  </si>
  <si>
    <t>UEMURA TAKESHI</t>
  </si>
  <si>
    <t>353 E 17TH ST, APT. 4G</t>
  </si>
  <si>
    <t>E0279796</t>
  </si>
  <si>
    <t>RAAB EDWARD L              MD</t>
  </si>
  <si>
    <t>RaabEdward</t>
  </si>
  <si>
    <t>RAAB EDWARD</t>
  </si>
  <si>
    <t>RAAB EDWARD LEON</t>
  </si>
  <si>
    <t>E0219091</t>
  </si>
  <si>
    <t>SIVAK MARK A               MD</t>
  </si>
  <si>
    <t>SivakMark</t>
  </si>
  <si>
    <t>SIVAK MARK DR.</t>
  </si>
  <si>
    <t>SIVAK MARK A</t>
  </si>
  <si>
    <t>NEUROLOGY FCLTY ASSO</t>
  </si>
  <si>
    <t>E0105334</t>
  </si>
  <si>
    <t>CARRAO VINCENT MD</t>
  </si>
  <si>
    <t>CarraoVincent</t>
  </si>
  <si>
    <t>CARRAO VINCENT DR.</t>
  </si>
  <si>
    <t>CARRAO VINCENT</t>
  </si>
  <si>
    <t>E0180992</t>
  </si>
  <si>
    <t>INGBER SCOTT MD</t>
  </si>
  <si>
    <t>IngberScott</t>
  </si>
  <si>
    <t>INGBER SCOTT DR.</t>
  </si>
  <si>
    <t>E0173574</t>
  </si>
  <si>
    <t>HENZLOVA MILENA J  MD</t>
  </si>
  <si>
    <t>HenzlovaMilena</t>
  </si>
  <si>
    <t>HENZLOVA MILENA DR.</t>
  </si>
  <si>
    <t>E0068862</t>
  </si>
  <si>
    <t>GRETZ-FRIEDMAN ELISSA M</t>
  </si>
  <si>
    <t>GRETZ FRIEDMAN ELISSA DR.</t>
  </si>
  <si>
    <t>E0041157</t>
  </si>
  <si>
    <t>CHEN KATHERINE TSIA-HUEY MD</t>
  </si>
  <si>
    <t>ChenKatherine</t>
  </si>
  <si>
    <t>CHEN KATHERINE DR.</t>
  </si>
  <si>
    <t>WileyJose</t>
  </si>
  <si>
    <t>E0008932</t>
  </si>
  <si>
    <t>CELEBI JULIDE</t>
  </si>
  <si>
    <t>CelebiJulide</t>
  </si>
  <si>
    <t>CELEBI JULIDE DR.</t>
  </si>
  <si>
    <t>E0386863</t>
  </si>
  <si>
    <t>SHULMAN EVAN</t>
  </si>
  <si>
    <t>ShulmanEvan</t>
  </si>
  <si>
    <t>E0351995</t>
  </si>
  <si>
    <t>LEVIN MATTHEW A</t>
  </si>
  <si>
    <t>LevinMatthew</t>
  </si>
  <si>
    <t>LEVIN MATTHEW DR.</t>
  </si>
  <si>
    <t>E0102977</t>
  </si>
  <si>
    <t>NICOSIA THOMAS A</t>
  </si>
  <si>
    <t>NicosiaThomas</t>
  </si>
  <si>
    <t>NICOSIA THOMAS DR.</t>
  </si>
  <si>
    <t>E0077106</t>
  </si>
  <si>
    <t>BERMAN PETER D</t>
  </si>
  <si>
    <t>BermanPeter</t>
  </si>
  <si>
    <t>BERMAN PETER DR.</t>
  </si>
  <si>
    <t>E0332826</t>
  </si>
  <si>
    <t>ZHOU LAN</t>
  </si>
  <si>
    <t>ZhouLan</t>
  </si>
  <si>
    <t>E0297245</t>
  </si>
  <si>
    <t>MISIUKIEWICZ KRZYSZTOF</t>
  </si>
  <si>
    <t>MisiukiewiczKrzysztof</t>
  </si>
  <si>
    <t>MISIUKIEWICZ KRZYSZTOF DR.</t>
  </si>
  <si>
    <t>MISIUKIEWICZ KRZYSZTOF JACEK</t>
  </si>
  <si>
    <t>E0039971</t>
  </si>
  <si>
    <t>KWA WINSTON C MD</t>
  </si>
  <si>
    <t>KwaWinston</t>
  </si>
  <si>
    <t>KWA WINSTON</t>
  </si>
  <si>
    <t>DISTEFANO ALBERTO DR.</t>
  </si>
  <si>
    <t>40 TEMPLE ST</t>
  </si>
  <si>
    <t>Little Sisters of the?Assumption?Family Health Service, Inc.</t>
  </si>
  <si>
    <t>E0242539</t>
  </si>
  <si>
    <t>LITTLE SISTERS OF ASSUM</t>
  </si>
  <si>
    <t>Dorothy Calvani</t>
  </si>
  <si>
    <t>(646) 672-5230</t>
  </si>
  <si>
    <t>dcalvani@lsafhs.org</t>
  </si>
  <si>
    <t>All Other:: Case Management / Health Home:: Clinic:: Hospice</t>
  </si>
  <si>
    <t>LITTLE SISTERS OF THE ASSUMPTION FAMILY HEALTH SERVICE INC</t>
  </si>
  <si>
    <t>333 E 115TH ST</t>
  </si>
  <si>
    <t>E0322801</t>
  </si>
  <si>
    <t>1250 E 229TH ST</t>
  </si>
  <si>
    <t>Housing Works Inc</t>
  </si>
  <si>
    <t>E0164894</t>
  </si>
  <si>
    <t>HOUSING WORKS INC AI</t>
  </si>
  <si>
    <t>Michael Clarke</t>
  </si>
  <si>
    <t>(347) 473-7475</t>
  </si>
  <si>
    <t>clarke@housingworks.org</t>
  </si>
  <si>
    <t>594 BROADWAY</t>
  </si>
  <si>
    <t>Doug Waite</t>
  </si>
  <si>
    <t>Manchanda-Gera, Akanksha</t>
  </si>
  <si>
    <t>Economic Opportunity Council of Suffolk, Inc</t>
  </si>
  <si>
    <t>E0131708</t>
  </si>
  <si>
    <t>ECON OPP COUNCIL SUFFOLK AI</t>
  </si>
  <si>
    <t>Adrian Fassett</t>
  </si>
  <si>
    <t>(631) 289-2124</t>
  </si>
  <si>
    <t>afassett@eoc-suffolk.com</t>
  </si>
  <si>
    <t>ECONOMIC OPPORTUNITY COUNCIL OF SUFFOLK, INC.</t>
  </si>
  <si>
    <t>25 4TH AVE STE 102</t>
  </si>
  <si>
    <t>E0430738</t>
  </si>
  <si>
    <t>FISCHER RACHEL ANN</t>
  </si>
  <si>
    <t>FISCHER RACHEL</t>
  </si>
  <si>
    <t>E0440184</t>
  </si>
  <si>
    <t>GANDHI RUCHITA BHARAT</t>
  </si>
  <si>
    <t>GANDHI RUCHITA</t>
  </si>
  <si>
    <t>E0426788</t>
  </si>
  <si>
    <t>BASKIN DAVID SATHYA</t>
  </si>
  <si>
    <t>BaskinDavid</t>
  </si>
  <si>
    <t>E0443144</t>
  </si>
  <si>
    <t>ROSEN HILI</t>
  </si>
  <si>
    <t>E0130758</t>
  </si>
  <si>
    <t>J BARBAZAN-SILVA M D P C</t>
  </si>
  <si>
    <t>JOSEBARBAZANSILVA</t>
  </si>
  <si>
    <t>BARBAZAN SILVA JOSE</t>
  </si>
  <si>
    <t>BARBAZAN-SILVA JOSE MD</t>
  </si>
  <si>
    <t>E0133295</t>
  </si>
  <si>
    <t>HAAS SUSAN MARIAN CNM</t>
  </si>
  <si>
    <t>SUSANHAAS</t>
  </si>
  <si>
    <t>HAAS SUSAN MS.</t>
  </si>
  <si>
    <t>P A C C</t>
  </si>
  <si>
    <t>E0007217</t>
  </si>
  <si>
    <t>LAYLIEV ELIZABETH</t>
  </si>
  <si>
    <t>ELIZABETHLAYLIEV</t>
  </si>
  <si>
    <t>LAYLIEV ELIZABETH DR.</t>
  </si>
  <si>
    <t>LAYLIEV ELIZABETH MD</t>
  </si>
  <si>
    <t>E0211299</t>
  </si>
  <si>
    <t>RESPLER MARK ALLAN MD</t>
  </si>
  <si>
    <t>MARKRESPLER</t>
  </si>
  <si>
    <t>RESPLER MARK</t>
  </si>
  <si>
    <t>RESPLER MARK ALLAN</t>
  </si>
  <si>
    <t>1762 55TH ST</t>
  </si>
  <si>
    <t>E0385963</t>
  </si>
  <si>
    <t>ABECKASER ANAT</t>
  </si>
  <si>
    <t>ANATABECKASER</t>
  </si>
  <si>
    <t>ABECKASER ANAT ZOHARA</t>
  </si>
  <si>
    <t>622 W 168TH ST PH 14-C</t>
  </si>
  <si>
    <t>E0277435</t>
  </si>
  <si>
    <t>BLEIER HOWARD              MD</t>
  </si>
  <si>
    <t>HOWARDBLEIER</t>
  </si>
  <si>
    <t>BLEIER HOWARD DR.</t>
  </si>
  <si>
    <t>E0326873</t>
  </si>
  <si>
    <t>GUTTMAN EMMA</t>
  </si>
  <si>
    <t>GuttmanEmma</t>
  </si>
  <si>
    <t>HEWLETT SHIRLEY MRS.</t>
  </si>
  <si>
    <t>350 EAST 17TH ST, 16 BAIRD HALL</t>
  </si>
  <si>
    <t>E0104299</t>
  </si>
  <si>
    <t>ASHIKARI ANDREW Y MD</t>
  </si>
  <si>
    <t>AshikariAndrew</t>
  </si>
  <si>
    <t>ASHIKARI ANDREW</t>
  </si>
  <si>
    <t>MEDRANO BENJAMIN</t>
  </si>
  <si>
    <t>FLAX KENNETH</t>
  </si>
  <si>
    <t>CHANCAY MARIA DR.</t>
  </si>
  <si>
    <t>SAENGER PAMELA</t>
  </si>
  <si>
    <t>JIANG DAVID DR.</t>
  </si>
  <si>
    <t>E0203633</t>
  </si>
  <si>
    <t>FEINSILVER STEVEN HENRY    MD</t>
  </si>
  <si>
    <t>FEINSILVER STEVEN DR.</t>
  </si>
  <si>
    <t>E0194288</t>
  </si>
  <si>
    <t>YANG EDWARD CHARLES MD</t>
  </si>
  <si>
    <t>YangEdward</t>
  </si>
  <si>
    <t>YANG EDWARD DR.</t>
  </si>
  <si>
    <t>E0197938</t>
  </si>
  <si>
    <t>REICH DAVID LOUIS          MD</t>
  </si>
  <si>
    <t>REICH DAVID DR.</t>
  </si>
  <si>
    <t>REICH DAVID LOUIS</t>
  </si>
  <si>
    <t>SANGIA SHUSHUNOVA DR.</t>
  </si>
  <si>
    <t>DAVEY KEVIN DR.</t>
  </si>
  <si>
    <t>E0335779</t>
  </si>
  <si>
    <t>JACOBS JORDAN MS</t>
  </si>
  <si>
    <t>JacobsJordan</t>
  </si>
  <si>
    <t>JACOBS JORDAN DR.</t>
  </si>
  <si>
    <t>KaseNathan</t>
  </si>
  <si>
    <t>KASE NATHAN DR.</t>
  </si>
  <si>
    <t>E0307944</t>
  </si>
  <si>
    <t>KELLOGG KATHERINE</t>
  </si>
  <si>
    <t>KelloggKatherine</t>
  </si>
  <si>
    <t>HILL KATHERINE MS.</t>
  </si>
  <si>
    <t>KhmelnitskyYelena</t>
  </si>
  <si>
    <t>KHMELNITSKY YELENA</t>
  </si>
  <si>
    <t>33 WILSON TER</t>
  </si>
  <si>
    <t>E0130498</t>
  </si>
  <si>
    <t>SERIO JANE F MD</t>
  </si>
  <si>
    <t>SerioJane</t>
  </si>
  <si>
    <t>SERIO JANE</t>
  </si>
  <si>
    <t>FLORAL PK PRIM MED C</t>
  </si>
  <si>
    <t>E0129301</t>
  </si>
  <si>
    <t>MAGID MARGARET MD</t>
  </si>
  <si>
    <t>MagidMargret</t>
  </si>
  <si>
    <t>MAGID MARGRET</t>
  </si>
  <si>
    <t>1428 30 MADISON AVE</t>
  </si>
  <si>
    <t>E0084432</t>
  </si>
  <si>
    <t>SHIM-CHANG HELEN MD</t>
  </si>
  <si>
    <t>Shim-ChangHelen</t>
  </si>
  <si>
    <t>SHIM- CHANG HELEN DR.</t>
  </si>
  <si>
    <t>E0352920</t>
  </si>
  <si>
    <t>KATZ DANIEL JOSHUA</t>
  </si>
  <si>
    <t>KATZ DANIEL DR.</t>
  </si>
  <si>
    <t>E0324631</t>
  </si>
  <si>
    <t>KOVACIC JASON CIRIL</t>
  </si>
  <si>
    <t>KOVACIC JASON</t>
  </si>
  <si>
    <t>E0388597</t>
  </si>
  <si>
    <t>OJO-CARONS MARY</t>
  </si>
  <si>
    <t>OJO-CARONS MARY DR.</t>
  </si>
  <si>
    <t>OJO-CARONS MARY NDIDI-EGUNIWE</t>
  </si>
  <si>
    <t>31-60 21ST ST</t>
  </si>
  <si>
    <t>LIN JONATHAN DR.</t>
  </si>
  <si>
    <t>361 PIERMONT RD</t>
  </si>
  <si>
    <t>MATZA MARK</t>
  </si>
  <si>
    <t>207 FLAG STICK CT</t>
  </si>
  <si>
    <t>ALI SAMER</t>
  </si>
  <si>
    <t>1111 AMSTERDAM AVE BLDG 2050</t>
  </si>
  <si>
    <t>FRAWLEY ALEAN</t>
  </si>
  <si>
    <t>SaiyedHasan</t>
  </si>
  <si>
    <t>SAIYED HASAN DR.</t>
  </si>
  <si>
    <t>1981 SEVEN SEAS CT</t>
  </si>
  <si>
    <t>ALPHARETTA</t>
  </si>
  <si>
    <t>SCHORN VICTOR</t>
  </si>
  <si>
    <t>6041 CADILLAC AVE, MODULE 450</t>
  </si>
  <si>
    <t>E0028194</t>
  </si>
  <si>
    <t>TANG DAVID J MD</t>
  </si>
  <si>
    <t>TangDavid</t>
  </si>
  <si>
    <t>TANG DAVID</t>
  </si>
  <si>
    <t>HARRISON RACHEL</t>
  </si>
  <si>
    <t>10 UNION SQ E, DEPT. OF ORTHOPAEDIC SURGERY, STE 3K</t>
  </si>
  <si>
    <t>E0426392</t>
  </si>
  <si>
    <t>STOLBERG STEPHANIE</t>
  </si>
  <si>
    <t>STOLBERG STEPHANIE MISS</t>
  </si>
  <si>
    <t>E0315303</t>
  </si>
  <si>
    <t>HERSHBERGER DAVID HUGH MD</t>
  </si>
  <si>
    <t>HershbergerDavid</t>
  </si>
  <si>
    <t>HERSHBERGER DAVID DR.</t>
  </si>
  <si>
    <t>E0366987</t>
  </si>
  <si>
    <t>DOU SI YAN D</t>
  </si>
  <si>
    <t>DouSiYan</t>
  </si>
  <si>
    <t>DOU SI YAN</t>
  </si>
  <si>
    <t>5 E 98TH ST FL 7 # 7TH</t>
  </si>
  <si>
    <t>SpektorYelena</t>
  </si>
  <si>
    <t>SPEKTOR YELENA</t>
  </si>
  <si>
    <t>815 GRAVESEND NECK RD, #4B</t>
  </si>
  <si>
    <t>SINGH RAJA DR.</t>
  </si>
  <si>
    <t>2201 45TH ST, COLUMBIA HOSPITAL</t>
  </si>
  <si>
    <t>E0348325</t>
  </si>
  <si>
    <t>YAU MABEL</t>
  </si>
  <si>
    <t>YauMabel</t>
  </si>
  <si>
    <t>Trees-BarkerDonna</t>
  </si>
  <si>
    <t>TREES-BARKER DONNA MRS.</t>
  </si>
  <si>
    <t>356 VETERANS MEMORIAL HWY STE 5</t>
  </si>
  <si>
    <t>E0370361</t>
  </si>
  <si>
    <t>MACALAGIUM FELICIA PANALIGAN</t>
  </si>
  <si>
    <t>MacalaguimFelicia</t>
  </si>
  <si>
    <t>MACALAGUIM MARIA MS.</t>
  </si>
  <si>
    <t>E0367064</t>
  </si>
  <si>
    <t>ESTABILLO JOEL R</t>
  </si>
  <si>
    <t>EstabilloJoel</t>
  </si>
  <si>
    <t>ESTABILLO JOEL MR.</t>
  </si>
  <si>
    <t>E0264207</t>
  </si>
  <si>
    <t>DISTEFANO DOUGLAS C MD PC</t>
  </si>
  <si>
    <t>DiStefanoDouglas</t>
  </si>
  <si>
    <t>DISTEFANO DOUGLAS DR.</t>
  </si>
  <si>
    <t>1185 PARK AVE</t>
  </si>
  <si>
    <t>E0007969</t>
  </si>
  <si>
    <t>ALMEE LEE LUCAS MD</t>
  </si>
  <si>
    <t>LucasAimee</t>
  </si>
  <si>
    <t>LUCAS AIMEE DR.</t>
  </si>
  <si>
    <t>LUCAS AIMEE LEE</t>
  </si>
  <si>
    <t>E0289183</t>
  </si>
  <si>
    <t>KLEINMAN LAWRENCE</t>
  </si>
  <si>
    <t>KleinmanLawrence</t>
  </si>
  <si>
    <t>KLEINMAN LAWRENCE DR.</t>
  </si>
  <si>
    <t>E0000392</t>
  </si>
  <si>
    <t>LISA NICOLE JACKSON</t>
  </si>
  <si>
    <t>JACKSON LISA</t>
  </si>
  <si>
    <t>JACKSON LISA NICOLE MD</t>
  </si>
  <si>
    <t>E0011327</t>
  </si>
  <si>
    <t>SHETREAT-KLEIN AVNIEL N</t>
  </si>
  <si>
    <t>Shetreat-KleinAvniel</t>
  </si>
  <si>
    <t>SHETREAT-KLEIN AVNIEL DR.</t>
  </si>
  <si>
    <t>E0393361</t>
  </si>
  <si>
    <t>BIETRY RAYMOND EMILE</t>
  </si>
  <si>
    <t>BietryRaymond</t>
  </si>
  <si>
    <t>BIETRY RAYMOND DR.</t>
  </si>
  <si>
    <t>GangapersadAstra</t>
  </si>
  <si>
    <t>GANGAPERSAD ASTRA MRS.</t>
  </si>
  <si>
    <t>11220 210TH ST</t>
  </si>
  <si>
    <t>E0364934</t>
  </si>
  <si>
    <t>CRUZ CARMEN M</t>
  </si>
  <si>
    <t>CruzCarmen</t>
  </si>
  <si>
    <t>CRUZ CARMEN</t>
  </si>
  <si>
    <t>E0196007</t>
  </si>
  <si>
    <t>HOFFMAN CINDY              MD</t>
  </si>
  <si>
    <t>HoffmanCindy</t>
  </si>
  <si>
    <t>HOFFMAN CINDY</t>
  </si>
  <si>
    <t>Melarcode-KrishnamoorthyParasuram</t>
  </si>
  <si>
    <t>MELARCODE KRISHNAMOORTHY PARASURAM DR.</t>
  </si>
  <si>
    <t>RHOME RYAN DR.</t>
  </si>
  <si>
    <t>1184 5TH AVE, FIRST FLOOR</t>
  </si>
  <si>
    <t>PASSERI MICHAEL DR.</t>
  </si>
  <si>
    <t>GOODMAN CLARKE</t>
  </si>
  <si>
    <t>E0431577</t>
  </si>
  <si>
    <t>PINERO JOSEPH RAY</t>
  </si>
  <si>
    <t>PINERO JOSEPH DR.</t>
  </si>
  <si>
    <t>E0371669</t>
  </si>
  <si>
    <t>ROMERO MICHELLE</t>
  </si>
  <si>
    <t>RomeroMichelle</t>
  </si>
  <si>
    <t>E0378400</t>
  </si>
  <si>
    <t>DO BRIAN</t>
  </si>
  <si>
    <t>DoBrian</t>
  </si>
  <si>
    <t>DO BRIAN DR.</t>
  </si>
  <si>
    <t>OPATA ALEXANDRIA</t>
  </si>
  <si>
    <t>17 E 102ND ST, 4TH FLOOR</t>
  </si>
  <si>
    <t>JUSTL ELLIS IAN</t>
  </si>
  <si>
    <t>13754 E 25TH PL</t>
  </si>
  <si>
    <t>DesaiApexa</t>
  </si>
  <si>
    <t>DESAI APEXA</t>
  </si>
  <si>
    <t>210 E 86TH ST, 502</t>
  </si>
  <si>
    <t>E0273604</t>
  </si>
  <si>
    <t>SAMPSON IAN H              MD</t>
  </si>
  <si>
    <t>SampsonIan</t>
  </si>
  <si>
    <t>SAMPSON IAN DR.</t>
  </si>
  <si>
    <t>E0050428</t>
  </si>
  <si>
    <t>PALESE MICHAEL MD</t>
  </si>
  <si>
    <t>PaleseMichael</t>
  </si>
  <si>
    <t>PALESE MICHAEL</t>
  </si>
  <si>
    <t>BRADY UROLOGICAL</t>
  </si>
  <si>
    <t>ZYBULEWSKI ADAM DR.</t>
  </si>
  <si>
    <t>77 HUDSON ST, APT 2302</t>
  </si>
  <si>
    <t>E0261563</t>
  </si>
  <si>
    <t>LAWRENCE DONALD P          MD</t>
  </si>
  <si>
    <t>LawrenceDonald</t>
  </si>
  <si>
    <t>LAWRENCE DONALD DR.</t>
  </si>
  <si>
    <t>37 STEWART ST</t>
  </si>
  <si>
    <t>MARKS DOUGLAS</t>
  </si>
  <si>
    <t>E0369273</t>
  </si>
  <si>
    <t>FIRPO-BETANCOURT ADOLFO</t>
  </si>
  <si>
    <t>Firpo-BetancourtAdolfo</t>
  </si>
  <si>
    <t>FIRPO-BETANCOURT ADOLFO DR.</t>
  </si>
  <si>
    <t>E0359443</t>
  </si>
  <si>
    <t>GREENSTEIN SAMUEL PHILLIP</t>
  </si>
  <si>
    <t>GREENSTEIN SAMUEL</t>
  </si>
  <si>
    <t>OsbornIrene</t>
  </si>
  <si>
    <t>E0175077</t>
  </si>
  <si>
    <t>SILVERSTEIN JEFFREY H MD</t>
  </si>
  <si>
    <t>SilversteinJeffrey</t>
  </si>
  <si>
    <t>E0101055</t>
  </si>
  <si>
    <t>DELVALLE MICHELLE MD</t>
  </si>
  <si>
    <t>DELVALLE MICHELLE DR.</t>
  </si>
  <si>
    <t>HUDSON VALLEY CAROD</t>
  </si>
  <si>
    <t>E0362006</t>
  </si>
  <si>
    <t>SANTOS BABETTE D</t>
  </si>
  <si>
    <t>SantosBabette</t>
  </si>
  <si>
    <t>SANTOS BABETTE MISS</t>
  </si>
  <si>
    <t>E0341568</t>
  </si>
  <si>
    <t>BARONE MEDINA ELIZABETH</t>
  </si>
  <si>
    <t>BARONE MEDINA MISS</t>
  </si>
  <si>
    <t>E0348519</t>
  </si>
  <si>
    <t>SCHWARTZ ANDREW DAVID</t>
  </si>
  <si>
    <t>SchwartzAndrew</t>
  </si>
  <si>
    <t>SCHWARTZ ANDREW DR.</t>
  </si>
  <si>
    <t>KOHLI MANPREET DR.</t>
  </si>
  <si>
    <t>300 2ND AVE</t>
  </si>
  <si>
    <t>LONG BRANCH</t>
  </si>
  <si>
    <t>E0201951</t>
  </si>
  <si>
    <t>HOLLINGER INGRID           MD</t>
  </si>
  <si>
    <t>HollingerIngrid</t>
  </si>
  <si>
    <t>HOLLINGER INGRID DR.</t>
  </si>
  <si>
    <t>HOLLINGER INGRID</t>
  </si>
  <si>
    <t>AlsammanOmar</t>
  </si>
  <si>
    <t>ALSAMMAN OMAR DR.</t>
  </si>
  <si>
    <t>276 ENGLE ST APT 10E</t>
  </si>
  <si>
    <t>E0456698</t>
  </si>
  <si>
    <t>DOKUN OLANREWAJU T</t>
  </si>
  <si>
    <t>DOKUN OLANREWAJU</t>
  </si>
  <si>
    <t>E0440781</t>
  </si>
  <si>
    <t>GUTTERIDGE DAVID L</t>
  </si>
  <si>
    <t>GUTTERIDGE DAVID DR.</t>
  </si>
  <si>
    <t>RICHMAN JAMES</t>
  </si>
  <si>
    <t>925 CHELTEN PKWY</t>
  </si>
  <si>
    <t>JOSEPH THOMAS DR.</t>
  </si>
  <si>
    <t>E0393298</t>
  </si>
  <si>
    <t>LEUNG JUSTIN SHERN-CHI</t>
  </si>
  <si>
    <t>LEUNG JUSTIN</t>
  </si>
  <si>
    <t>E0365511</t>
  </si>
  <si>
    <t>ROSE SAMANTHA</t>
  </si>
  <si>
    <t>RoseSamantha</t>
  </si>
  <si>
    <t>E0411164</t>
  </si>
  <si>
    <t>PREESHAGUL ISABEL RUTH</t>
  </si>
  <si>
    <t>PREESHAGUL ISABEL DR.</t>
  </si>
  <si>
    <t>KRCEDINAC JELENA</t>
  </si>
  <si>
    <t>1114 47TH AVE APT 1R</t>
  </si>
  <si>
    <t>BHINDER JASJIT DR.</t>
  </si>
  <si>
    <t>E0057783</t>
  </si>
  <si>
    <t>KELEMEN POND R MD</t>
  </si>
  <si>
    <t>KelemenPond</t>
  </si>
  <si>
    <t>KELEMEN POND</t>
  </si>
  <si>
    <t>E0363864</t>
  </si>
  <si>
    <t>LAZARIN MARGAUX HELENE</t>
  </si>
  <si>
    <t>LAZARIN MARGAUX</t>
  </si>
  <si>
    <t>50 E 168TH ST</t>
  </si>
  <si>
    <t>E0189313</t>
  </si>
  <si>
    <t>MULTZ ALAN S MD</t>
  </si>
  <si>
    <t>MultzAlan</t>
  </si>
  <si>
    <t>MULTZ ALAN</t>
  </si>
  <si>
    <t>E0398046</t>
  </si>
  <si>
    <t>SACHS BRACHA YAFFA</t>
  </si>
  <si>
    <t>SachsBracha</t>
  </si>
  <si>
    <t>SACHS BRACHA MS.</t>
  </si>
  <si>
    <t>CrowderEtasha</t>
  </si>
  <si>
    <t>CROWDER ETASHA</t>
  </si>
  <si>
    <t>44 COURT ST</t>
  </si>
  <si>
    <t>FerdiantoFerry</t>
  </si>
  <si>
    <t>FERDIANTO FERRY</t>
  </si>
  <si>
    <t>LEE HYUNJOO</t>
  </si>
  <si>
    <t>10 NATHAN D PERLMAN PLACE</t>
  </si>
  <si>
    <t>YUE CONNIE</t>
  </si>
  <si>
    <t>515 W 59TH ST, APT 9M</t>
  </si>
  <si>
    <t>LEWIS RAMOS VANESSA</t>
  </si>
  <si>
    <t>E0370444</t>
  </si>
  <si>
    <t>BHIM-SADUSINGH CHANDRA</t>
  </si>
  <si>
    <t>BhimChandra</t>
  </si>
  <si>
    <t>BHIM CHANDRA</t>
  </si>
  <si>
    <t>E0431242</t>
  </si>
  <si>
    <t>DOCTOR MICHAEL</t>
  </si>
  <si>
    <t>O'CONNOR PAUL</t>
  </si>
  <si>
    <t>NIIKICOLODNY</t>
  </si>
  <si>
    <t>MIRIAMCREMER</t>
  </si>
  <si>
    <t>E0032726</t>
  </si>
  <si>
    <t>CREMER MIRIAM</t>
  </si>
  <si>
    <t>CREMER MIRIAM MD</t>
  </si>
  <si>
    <t>CliffsideRenalDialysis</t>
  </si>
  <si>
    <t>MoisheDeutsch</t>
  </si>
  <si>
    <t>(718) 793-3201</t>
  </si>
  <si>
    <t>md@fvrehab.com</t>
  </si>
  <si>
    <t>ForestViewCenterforRehabilitation&amp;Nursing</t>
  </si>
  <si>
    <t>(718) 793-3202</t>
  </si>
  <si>
    <t>ForestViewNursingHomeAdultDayCareCenter</t>
  </si>
  <si>
    <t>(718) 793-3203</t>
  </si>
  <si>
    <t>WoodcrestNursingHomeInc</t>
  </si>
  <si>
    <t>E0138981</t>
  </si>
  <si>
    <t>TRIPODI JOSEPH MD</t>
  </si>
  <si>
    <t>(718) 793-3204</t>
  </si>
  <si>
    <t>TRIPODI JOSEPH</t>
  </si>
  <si>
    <t>GASTRO ASSOC LI PC</t>
  </si>
  <si>
    <t>CommunityAccessInc./EastVillageAccess</t>
  </si>
  <si>
    <t>E0169580</t>
  </si>
  <si>
    <t>COMMUNITY ACCESS,INC.</t>
  </si>
  <si>
    <t>JennaYoung</t>
  </si>
  <si>
    <t>(212) 780-1400</t>
  </si>
  <si>
    <t>jyoung@communityaccess.org</t>
  </si>
  <si>
    <t>COMMUNITY ACCESS, INC.</t>
  </si>
  <si>
    <t>COMMUNITY ACCESS INC</t>
  </si>
  <si>
    <t>242 E 2ND ST</t>
  </si>
  <si>
    <t>CommunityAccessInc./GouverneurCourt</t>
  </si>
  <si>
    <t>CommunityAccessInc./West159thStreet</t>
  </si>
  <si>
    <t>CommunityAccessInc./WarrenStreet</t>
  </si>
  <si>
    <t>E0442041</t>
  </si>
  <si>
    <t>MORRIS SARAH EMILY</t>
  </si>
  <si>
    <t>MORRIS SARA</t>
  </si>
  <si>
    <t>MORRIS SARA BETH KASHUK</t>
  </si>
  <si>
    <t>DAVOUDZADEH NATAN DR.</t>
  </si>
  <si>
    <t>NAIDS STEVEN DR.</t>
  </si>
  <si>
    <t>1200 OLD YORK RD</t>
  </si>
  <si>
    <t>ABINGTON</t>
  </si>
  <si>
    <t>MUNOT KHUSHBOO</t>
  </si>
  <si>
    <t>515 W 59TH ST, 26 H</t>
  </si>
  <si>
    <t>E0372260</t>
  </si>
  <si>
    <t>SHARRIEFF TANYA</t>
  </si>
  <si>
    <t>SharrieffTanya</t>
  </si>
  <si>
    <t>SHARRIEFF TANYA MS.</t>
  </si>
  <si>
    <t>E0011193</t>
  </si>
  <si>
    <t>FERNAINE GEORGE MD</t>
  </si>
  <si>
    <t>FernaineGeorge</t>
  </si>
  <si>
    <t>FERNAINE GEORGE</t>
  </si>
  <si>
    <t>217 OVINGTON AVE</t>
  </si>
  <si>
    <t>E0369326</t>
  </si>
  <si>
    <t>CEDENO STACEY V</t>
  </si>
  <si>
    <t>CedenoStacey</t>
  </si>
  <si>
    <t>CEDENO STACEY</t>
  </si>
  <si>
    <t>E0012408</t>
  </si>
  <si>
    <t>CAMPBELL KIRK NICHOLAS  MD</t>
  </si>
  <si>
    <t>CampbellKirk</t>
  </si>
  <si>
    <t>CAMPBELL KIRK DR.</t>
  </si>
  <si>
    <t>Azar-CavanaghMadelynn</t>
  </si>
  <si>
    <t>AZAR-CAVANAGH MADELYNN DR.</t>
  </si>
  <si>
    <t>ONE GUSTAVE L. LEVY PLACE, BOX 1057</t>
  </si>
  <si>
    <t>HiraNeeru</t>
  </si>
  <si>
    <t>HIRA NEERU MRS.</t>
  </si>
  <si>
    <t>3200 SW 60TH CT</t>
  </si>
  <si>
    <t>E0417175</t>
  </si>
  <si>
    <t>GALAL NEHAL</t>
  </si>
  <si>
    <t>E0307486</t>
  </si>
  <si>
    <t>FAHIMEH SASAN DO</t>
  </si>
  <si>
    <t>SasanFahimeh</t>
  </si>
  <si>
    <t>SASAN FAHIMEH</t>
  </si>
  <si>
    <t>SASAN FAHIMEH DO</t>
  </si>
  <si>
    <t>E0415796</t>
  </si>
  <si>
    <t>STERN ERIC KIMBERLY</t>
  </si>
  <si>
    <t>SternErin</t>
  </si>
  <si>
    <t>STERN ERIN MRS.</t>
  </si>
  <si>
    <t>STERN ERIN KIMBERLY</t>
  </si>
  <si>
    <t>E0386214</t>
  </si>
  <si>
    <t>RENTERIA-AZEVEDO ANNE</t>
  </si>
  <si>
    <t>RenteriaAnne</t>
  </si>
  <si>
    <t>RENTERIA ANNE DR.</t>
  </si>
  <si>
    <t>RENTERIA-AZEVEDO ANNE S</t>
  </si>
  <si>
    <t>E0367737</t>
  </si>
  <si>
    <t>COURTNEY MARY C</t>
  </si>
  <si>
    <t>CourtneyMary</t>
  </si>
  <si>
    <t>COURTNEY MARY MS.</t>
  </si>
  <si>
    <t>E0322164</t>
  </si>
  <si>
    <t>KHAIM RAFAEL NP-C</t>
  </si>
  <si>
    <t>KhaimRafael</t>
  </si>
  <si>
    <t>KHAIM RAFAEL</t>
  </si>
  <si>
    <t>8515 MAIN ST STE E</t>
  </si>
  <si>
    <t>PANCHAL NEIL</t>
  </si>
  <si>
    <t>703 MAIN ST</t>
  </si>
  <si>
    <t>SHIEH MASON</t>
  </si>
  <si>
    <t>1115 S SUNSET AVE</t>
  </si>
  <si>
    <t>WEST COVINA</t>
  </si>
  <si>
    <t>E0428423</t>
  </si>
  <si>
    <t>RHEE PETER DONG-YUL</t>
  </si>
  <si>
    <t>RHEE PETER DR.</t>
  </si>
  <si>
    <t>E0412962</t>
  </si>
  <si>
    <t>PIKE LILY</t>
  </si>
  <si>
    <t>PIKE LILY MULVANEY</t>
  </si>
  <si>
    <t>E0337832</t>
  </si>
  <si>
    <t>BUSINGYE JACQUELINE RUKANSHAGIZA</t>
  </si>
  <si>
    <t>BusingyeJacqueline</t>
  </si>
  <si>
    <t>BUSINGYE JACQUELINE</t>
  </si>
  <si>
    <t>E0287463</t>
  </si>
  <si>
    <t>TEIXEIRA JANICE</t>
  </si>
  <si>
    <t>TeixeiraJanice</t>
  </si>
  <si>
    <t>TEIXEIRA JANICE DR.</t>
  </si>
  <si>
    <t>TEIXEIRA JANICE CHRISTINE</t>
  </si>
  <si>
    <t>1400 PELHAM PARKWAY SOUTH RM BS 35</t>
  </si>
  <si>
    <t>MURAKAMI NAOKA DR.</t>
  </si>
  <si>
    <t>4500 PARSONS BLVD, DEPARTMENT OF MEDICINE</t>
  </si>
  <si>
    <t>DelmanAriel</t>
  </si>
  <si>
    <t>DELMAN ARIEL MISS</t>
  </si>
  <si>
    <t>SPIEGELMAN JESSICA</t>
  </si>
  <si>
    <t>E0017157</t>
  </si>
  <si>
    <t>SHAH ARTI MD</t>
  </si>
  <si>
    <t>ShahArti</t>
  </si>
  <si>
    <t>SHAH ARTI DR.</t>
  </si>
  <si>
    <t>E0063264</t>
  </si>
  <si>
    <t>HECHT HARVEY STANLEY MD</t>
  </si>
  <si>
    <t>HechtHarvey</t>
  </si>
  <si>
    <t>HECHT HARVEY</t>
  </si>
  <si>
    <t>BIMC HEART INSTITUTE</t>
  </si>
  <si>
    <t>E0342413</t>
  </si>
  <si>
    <t>DELE-MICHAEL ADEBOLA</t>
  </si>
  <si>
    <t>Dele-MichaelAdebola</t>
  </si>
  <si>
    <t>DELE-MICHAEL ADEBOLA DR.</t>
  </si>
  <si>
    <t>E0309074</t>
  </si>
  <si>
    <t>NAVARRO ROBERTO</t>
  </si>
  <si>
    <t>ZINBERG ADELE DR.</t>
  </si>
  <si>
    <t>149 W 108TH ST</t>
  </si>
  <si>
    <t>E0311516</t>
  </si>
  <si>
    <t>LAPSIA VIJAY HARISH</t>
  </si>
  <si>
    <t>LapsiaVijay</t>
  </si>
  <si>
    <t>LAPSIA VIJAY DR.</t>
  </si>
  <si>
    <t>E0362456</t>
  </si>
  <si>
    <t>LAROCK KENNETH A</t>
  </si>
  <si>
    <t>LaRockKenneth</t>
  </si>
  <si>
    <t>MT. SINAI MEDICAL CENTER</t>
  </si>
  <si>
    <t>1 GUSTAVE L LEVY PL # 1165</t>
  </si>
  <si>
    <t>TRIVEDI VRINDA DR.</t>
  </si>
  <si>
    <t>ZHOU XIAOSUN</t>
  </si>
  <si>
    <t>E0388609</t>
  </si>
  <si>
    <t>DANGAYACH NEHA</t>
  </si>
  <si>
    <t>DangayachNeha</t>
  </si>
  <si>
    <t>DANGAYACH NEHA DR.</t>
  </si>
  <si>
    <t>DANGAYACH NEHA SUBHASH</t>
  </si>
  <si>
    <t>E0286067</t>
  </si>
  <si>
    <t>FARRELL CRISTINA</t>
  </si>
  <si>
    <t>FarrellCristina</t>
  </si>
  <si>
    <t>E0294688</t>
  </si>
  <si>
    <t>SAM-DERIGGS GINA RHONA</t>
  </si>
  <si>
    <t>SamGina</t>
  </si>
  <si>
    <t>SAM GINA DR.</t>
  </si>
  <si>
    <t>SAM GINA R</t>
  </si>
  <si>
    <t>3 TECHNOLOGY DR STE 700</t>
  </si>
  <si>
    <t>O MURCHU EAMON DR.</t>
  </si>
  <si>
    <t>123 SUMMER ST, WORCESTER</t>
  </si>
  <si>
    <t>E0021239</t>
  </si>
  <si>
    <t>HIRSCHKORN KAREN</t>
  </si>
  <si>
    <t>HirschkornKaren</t>
  </si>
  <si>
    <t>390 W 114TH ST</t>
  </si>
  <si>
    <t>E0086037</t>
  </si>
  <si>
    <t>PINNEY SEAN PATRICK MD</t>
  </si>
  <si>
    <t>PinneySean</t>
  </si>
  <si>
    <t>PINNEY SEAN</t>
  </si>
  <si>
    <t>E0316610</t>
  </si>
  <si>
    <t>KECHEJIAN JOANNE M MD</t>
  </si>
  <si>
    <t>KechejianJoanne</t>
  </si>
  <si>
    <t>KECHEJIAN JOANNE</t>
  </si>
  <si>
    <t>E0094367</t>
  </si>
  <si>
    <t>GARDENIER DONALD</t>
  </si>
  <si>
    <t>GardenierDonald</t>
  </si>
  <si>
    <t>GARDENIER DONALD DR.</t>
  </si>
  <si>
    <t>E0060790</t>
  </si>
  <si>
    <t>BASSILY-MARCUS ADEL MAKRAM MD</t>
  </si>
  <si>
    <t>Bassily-MarcusAdel</t>
  </si>
  <si>
    <t>BASSILY-MARCUS ADEL</t>
  </si>
  <si>
    <t>E0153934</t>
  </si>
  <si>
    <t>FRIEDEN RICHARD A MD</t>
  </si>
  <si>
    <t>FriedenRichard</t>
  </si>
  <si>
    <t>FRIEDEN RICHARD</t>
  </si>
  <si>
    <t>E0224923</t>
  </si>
  <si>
    <t>KENNISH ARTHUR JAY         MD</t>
  </si>
  <si>
    <t>KennishArthur</t>
  </si>
  <si>
    <t>KENNISH ARTHUR</t>
  </si>
  <si>
    <t>KENNISH ARTHUR JAY MD</t>
  </si>
  <si>
    <t>1 GUSTAVE L PLACE</t>
  </si>
  <si>
    <t>E0212127</t>
  </si>
  <si>
    <t>GETTES MARK A              MD</t>
  </si>
  <si>
    <t>GettesMark</t>
  </si>
  <si>
    <t>GETTES MARK DR.</t>
  </si>
  <si>
    <t>GETTES MARK ALLEN</t>
  </si>
  <si>
    <t>GOVERNATORI NICHOLAS MR.</t>
  </si>
  <si>
    <t>1020 SANSOM ST, SUITE 239</t>
  </si>
  <si>
    <t>LIN LISA</t>
  </si>
  <si>
    <t>17 E 102ND ST, 7TH FLOOR, #1087</t>
  </si>
  <si>
    <t>HORTON LUCY DR.</t>
  </si>
  <si>
    <t>1000 10TH AVE, DEPT. OF MEDICINE 3A-C2</t>
  </si>
  <si>
    <t>E0329668</t>
  </si>
  <si>
    <t>DURKEE MARY CAROLINE ACNP</t>
  </si>
  <si>
    <t>DurkeeMary</t>
  </si>
  <si>
    <t>MCDERMOTT MARY MISS</t>
  </si>
  <si>
    <t>E0362430</t>
  </si>
  <si>
    <t>GARRUTO KIMBERLY</t>
  </si>
  <si>
    <t>GarrutoKimberly</t>
  </si>
  <si>
    <t>E0355509</t>
  </si>
  <si>
    <t>EGAN MAUREEN</t>
  </si>
  <si>
    <t>EGAN MAUREEN DR.</t>
  </si>
  <si>
    <t>EGAN MAUREEN S</t>
  </si>
  <si>
    <t>KALE SACHIN</t>
  </si>
  <si>
    <t>4019 W DUBLIN GRANVILLE RD</t>
  </si>
  <si>
    <t>E0335525</t>
  </si>
  <si>
    <t>LERCHER KIRK</t>
  </si>
  <si>
    <t>LercherKirk</t>
  </si>
  <si>
    <t>LERCHER KIRK DR.</t>
  </si>
  <si>
    <t>E0284476</t>
  </si>
  <si>
    <t>CAPORUSCIO JESSICA L MD</t>
  </si>
  <si>
    <t>CaporuscioJessica</t>
  </si>
  <si>
    <t>CAPORUSCIO JESSICA</t>
  </si>
  <si>
    <t>E0435025</t>
  </si>
  <si>
    <t>CZERNIK ANNETTE</t>
  </si>
  <si>
    <t>CzernikAnnette</t>
  </si>
  <si>
    <t>E0431439</t>
  </si>
  <si>
    <t>CURATOLO CHRISTOPHER JOHN</t>
  </si>
  <si>
    <t>CURATOLO CHRISTOPHER DR.</t>
  </si>
  <si>
    <t>PATEL ANUJ DR.</t>
  </si>
  <si>
    <t>1000 10TH AVE, PAIN MANAGEMENT 14A</t>
  </si>
  <si>
    <t>YOUNG DAVID</t>
  </si>
  <si>
    <t>800 SPRUCE ST</t>
  </si>
  <si>
    <t>E0348479</t>
  </si>
  <si>
    <t>KOWALSKY SHANNA</t>
  </si>
  <si>
    <t>Kowalsky-HerbstShanna</t>
  </si>
  <si>
    <t>KOWALSKY SHANNA MS.</t>
  </si>
  <si>
    <t>KOWALSKY-HERBST SHANNA REBECCA</t>
  </si>
  <si>
    <t>E0354466</t>
  </si>
  <si>
    <t>SCHAEFER SARAH HALL</t>
  </si>
  <si>
    <t>SchaeferSarah</t>
  </si>
  <si>
    <t>SCHAEFER SARAH</t>
  </si>
  <si>
    <t>SANGARLANGKARN AROONSIRI</t>
  </si>
  <si>
    <t>VANYO LARA MS.</t>
  </si>
  <si>
    <t>1111 25TH ST NW APT 813</t>
  </si>
  <si>
    <t>BENITEZ CAMILO</t>
  </si>
  <si>
    <t>E0348581</t>
  </si>
  <si>
    <t>MEADE NICOLE</t>
  </si>
  <si>
    <t>MeadeNicole</t>
  </si>
  <si>
    <t>E0423569</t>
  </si>
  <si>
    <t>STEVENS NICHOLAS STAMER</t>
  </si>
  <si>
    <t>STEVENS NICHOLAS MR.</t>
  </si>
  <si>
    <t>WHANG JEREMY DR.</t>
  </si>
  <si>
    <t>DURRANI RAISA DR.</t>
  </si>
  <si>
    <t>1530 33RD ST NW</t>
  </si>
  <si>
    <t>NOTZON MANDA</t>
  </si>
  <si>
    <t>350 E 17TH ST # 9BH26, BETH ISRAEL MEDICAL CENTER DEPT OF OBSTETRICS AND GYN.</t>
  </si>
  <si>
    <t>E0404709</t>
  </si>
  <si>
    <t>CAREY ABIGAIL S</t>
  </si>
  <si>
    <t>CAREY ABIGAIL DR.</t>
  </si>
  <si>
    <t>E0145343</t>
  </si>
  <si>
    <t>COOK WILLIAM A MD</t>
  </si>
  <si>
    <t>CookWilliamA.</t>
  </si>
  <si>
    <t>COOK WILLIAM MR.</t>
  </si>
  <si>
    <t>COOK WILLIAM ANTHONY</t>
  </si>
  <si>
    <t>BORISKHORETS</t>
  </si>
  <si>
    <t>E0004245</t>
  </si>
  <si>
    <t>BRENNER HILLARY BETH</t>
  </si>
  <si>
    <t>MRS.HILLARYBRENNER</t>
  </si>
  <si>
    <t>BRENNER HILLARY MRS.</t>
  </si>
  <si>
    <t>BRENNER HILLARY BETH DPM</t>
  </si>
  <si>
    <t>BURTMAN ELIZABETH</t>
  </si>
  <si>
    <t>HART CASUARINA</t>
  </si>
  <si>
    <t>260 1ST ST, APT D10</t>
  </si>
  <si>
    <t>SCHLOSS ALEXANDRA</t>
  </si>
  <si>
    <t>E0090463</t>
  </si>
  <si>
    <t>FORMAN LISA DIANE MD</t>
  </si>
  <si>
    <t>FormanLisa</t>
  </si>
  <si>
    <t>FORMAN LISA</t>
  </si>
  <si>
    <t>WASSERSTEIN JEANETTE</t>
  </si>
  <si>
    <t>1160 FIFTH AVENUE, SUITE 112</t>
  </si>
  <si>
    <t>VOAKLANDER REBECCA</t>
  </si>
  <si>
    <t>353 E 17TH ST FL 2, ROOM 223</t>
  </si>
  <si>
    <t>CHADHA JUSKARAN</t>
  </si>
  <si>
    <t>E0291280</t>
  </si>
  <si>
    <t>MADELINE CARA FIELDS</t>
  </si>
  <si>
    <t>FIELDS MADELINE DR.</t>
  </si>
  <si>
    <t>FIELDS MADELINE CARA MD</t>
  </si>
  <si>
    <t>223 E 34TH ST</t>
  </si>
  <si>
    <t>Village Housing Development Fund Corp d/b/a VillageCare at 46&amp;Ten</t>
  </si>
  <si>
    <t>E0294311</t>
  </si>
  <si>
    <t>THE VILLAGE AT 46TH AND TEN ALP</t>
  </si>
  <si>
    <t>Allison Silvers</t>
  </si>
  <si>
    <t>VILLAGECARE AT 46 AND TEN</t>
  </si>
  <si>
    <t>510 W 46TH ST</t>
  </si>
  <si>
    <t>Visiting Nurse Service CHOICE Select Health</t>
  </si>
  <si>
    <t>E0330271</t>
  </si>
  <si>
    <t>VNS CHOICE</t>
  </si>
  <si>
    <t>VNS CHOICE SELECT HEALTH SNP</t>
  </si>
  <si>
    <t>1250 BROADWAY FL 11</t>
  </si>
  <si>
    <t>Consolidated Day Hab</t>
  </si>
  <si>
    <t>E0029739</t>
  </si>
  <si>
    <t>YAI DAY</t>
  </si>
  <si>
    <t>Matthew Sturiale</t>
  </si>
  <si>
    <t>E0201890</t>
  </si>
  <si>
    <t>GULMATICO CONSTANTINO V    MD</t>
  </si>
  <si>
    <t>CONSTANTINOGULMATICO</t>
  </si>
  <si>
    <t>GULMATICO CONSTANTINO DR.</t>
  </si>
  <si>
    <t>GULMATICO CONSTANTINO V</t>
  </si>
  <si>
    <t>3103 EMMONS AVE</t>
  </si>
  <si>
    <t>E0122298</t>
  </si>
  <si>
    <t>ROUBIN GARY S MD</t>
  </si>
  <si>
    <t>RoubinGaryS.S.</t>
  </si>
  <si>
    <t>ROUBIN GARY</t>
  </si>
  <si>
    <t>E0031482</t>
  </si>
  <si>
    <t>PARSONS BRADFORD MD</t>
  </si>
  <si>
    <t>ParsonsBradford</t>
  </si>
  <si>
    <t>PARSONS BRADFORD DR.</t>
  </si>
  <si>
    <t>E0186692</t>
  </si>
  <si>
    <t>FARRAYE JOSEPH MD</t>
  </si>
  <si>
    <t>FarrayeJoseph</t>
  </si>
  <si>
    <t>FARRAYE JOSEPH</t>
  </si>
  <si>
    <t>SEA-CRESTHEALTHCARECENTER</t>
  </si>
  <si>
    <t>E0333154</t>
  </si>
  <si>
    <t>LAM DAVID WING-HANG</t>
  </si>
  <si>
    <t>LamDavid</t>
  </si>
  <si>
    <t>LAM DAVID DR.</t>
  </si>
  <si>
    <t>10 E 98TH ST</t>
  </si>
  <si>
    <t>E0309227</t>
  </si>
  <si>
    <t>AUSTIN-MATTISON CAROLINE</t>
  </si>
  <si>
    <t>Austin-MattisonCaroline</t>
  </si>
  <si>
    <t>AUSTIN-MATTISON CAROLINE MRS.</t>
  </si>
  <si>
    <t>E0306655</t>
  </si>
  <si>
    <t>MEREDITH WEPNER GROSSMAN</t>
  </si>
  <si>
    <t>GrossmanMeredith</t>
  </si>
  <si>
    <t>GROSSMAN MEREDITH</t>
  </si>
  <si>
    <t>GROSSMAN MEREDITH WEPNER</t>
  </si>
  <si>
    <t>E0389929</t>
  </si>
  <si>
    <t>PIEH NYOTA MAY</t>
  </si>
  <si>
    <t>PiehNyota</t>
  </si>
  <si>
    <t>PIEH NYOTA DR.</t>
  </si>
  <si>
    <t>1ST AVE AT E 16TH ST FL 5</t>
  </si>
  <si>
    <t>E0365934</t>
  </si>
  <si>
    <t>LEASY MENACHEM JEREMY</t>
  </si>
  <si>
    <t>LEASY MENACHEM</t>
  </si>
  <si>
    <t>E0409019</t>
  </si>
  <si>
    <t>PAWALE AMIT AUDUMBAR</t>
  </si>
  <si>
    <t>PAWALE AMIT DR.</t>
  </si>
  <si>
    <t>1190 5TH AVE 2ND FL</t>
  </si>
  <si>
    <t>AqeelNour</t>
  </si>
  <si>
    <t>AQEEL NOUR MISS</t>
  </si>
  <si>
    <t>1310 W STEWART DR STE 602</t>
  </si>
  <si>
    <t>E0378694</t>
  </si>
  <si>
    <t>SICHEL KELLY L</t>
  </si>
  <si>
    <t>SichelKelly</t>
  </si>
  <si>
    <t>MULE KELLY DR.</t>
  </si>
  <si>
    <t>SICHEL KELLY LYNN</t>
  </si>
  <si>
    <t>E0083187</t>
  </si>
  <si>
    <t>GLIATTO PETER MATTHEW MD</t>
  </si>
  <si>
    <t>GliattoPeter</t>
  </si>
  <si>
    <t>GLIATTO PETER</t>
  </si>
  <si>
    <t>E0144839</t>
  </si>
  <si>
    <t>DUVVURI SRINIVAS MD</t>
  </si>
  <si>
    <t>DuvvuriSrinivas</t>
  </si>
  <si>
    <t>DUVVURI SRINIVAS</t>
  </si>
  <si>
    <t>11 RALPH PL STE 109</t>
  </si>
  <si>
    <t>E0329512</t>
  </si>
  <si>
    <t>GOLDSTEIN ZIL</t>
  </si>
  <si>
    <t>GOLDSTEIN ZIL GARNER</t>
  </si>
  <si>
    <t>E0294780</t>
  </si>
  <si>
    <t>AWERBUCH ELIZABETH DO</t>
  </si>
  <si>
    <t>AWERBUCH ELIZABETH</t>
  </si>
  <si>
    <t>E0122720</t>
  </si>
  <si>
    <t>PHAN HONGVAN C RPA</t>
  </si>
  <si>
    <t>PHAN HONGVAN</t>
  </si>
  <si>
    <t>E0384879</t>
  </si>
  <si>
    <t>SCHIMLER MICHAEL E</t>
  </si>
  <si>
    <t>SCHIMLER MICHAEL DR.</t>
  </si>
  <si>
    <t>E0320399</t>
  </si>
  <si>
    <t>FRED J DELUCIA</t>
  </si>
  <si>
    <t>DELUCIA FRED DR.</t>
  </si>
  <si>
    <t>DELUCIA FRED J</t>
  </si>
  <si>
    <t>17926 UNION TPKE</t>
  </si>
  <si>
    <t>E0405105</t>
  </si>
  <si>
    <t>GEORGE ANDREA L</t>
  </si>
  <si>
    <t>GEORGE ANDREA MRS.</t>
  </si>
  <si>
    <t>E0426365</t>
  </si>
  <si>
    <t>WILLIS TERRI A</t>
  </si>
  <si>
    <t>WILLIS TERRI MS.</t>
  </si>
  <si>
    <t>WILLIS TERRI ANNE</t>
  </si>
  <si>
    <t>132 GREENPOINT AVE</t>
  </si>
  <si>
    <t>JeffreySolomon</t>
  </si>
  <si>
    <t>E0225614</t>
  </si>
  <si>
    <t>SOLOMON JEFFREY D DPM</t>
  </si>
  <si>
    <t>SOLOMON JEFFREY DR.</t>
  </si>
  <si>
    <t>SOLOMON JEFFREY D</t>
  </si>
  <si>
    <t>566 E 5TH ST</t>
  </si>
  <si>
    <t>JosephKaplovitz,DO</t>
  </si>
  <si>
    <t>E0395839</t>
  </si>
  <si>
    <t>KAPLOVITZ JOSEPH</t>
  </si>
  <si>
    <t>GIORDANO JAMES</t>
  </si>
  <si>
    <t>515 W 59TH ST APT 32B</t>
  </si>
  <si>
    <t>COHEN LAUREN</t>
  </si>
  <si>
    <t>E0055650</t>
  </si>
  <si>
    <t>ABASCAL VIVIAN M MD</t>
  </si>
  <si>
    <t>AbascalVivian</t>
  </si>
  <si>
    <t>ABASCAL VIVIAN</t>
  </si>
  <si>
    <t>New Surfside Nursing Home, LLC</t>
  </si>
  <si>
    <t>E0268122</t>
  </si>
  <si>
    <t>NEW SURFSIDE NURSING HOME</t>
  </si>
  <si>
    <t>Elizabeth Dunn</t>
  </si>
  <si>
    <t>(718) 471-3400</t>
  </si>
  <si>
    <t>elizdu@aol.com</t>
  </si>
  <si>
    <t>NEW SURFSIDE NURSING HOME LLC</t>
  </si>
  <si>
    <t>22-41 NEW HAVEN AVE</t>
  </si>
  <si>
    <t>E0164368</t>
  </si>
  <si>
    <t>ST CHRISTOPHER-OTTILIE RICHMO</t>
  </si>
  <si>
    <t>RICHMOND HILL ICF</t>
  </si>
  <si>
    <t>E0367661</t>
  </si>
  <si>
    <t>HAYASHI FUMITAKA</t>
  </si>
  <si>
    <t>HayashiFumitaka</t>
  </si>
  <si>
    <t>E0383035</t>
  </si>
  <si>
    <t>WICKER JORDAN</t>
  </si>
  <si>
    <t>WickerJordan</t>
  </si>
  <si>
    <t>WICKER JORDAN DR.</t>
  </si>
  <si>
    <t>WICKER JORDAN FIELD</t>
  </si>
  <si>
    <t>E0398893</t>
  </si>
  <si>
    <t>BAXTER PETER CARL</t>
  </si>
  <si>
    <t>BAXTER PETER</t>
  </si>
  <si>
    <t>E0245791</t>
  </si>
  <si>
    <t>BLOSHINSKY MARVIN B        MD</t>
  </si>
  <si>
    <t>SanoMary</t>
  </si>
  <si>
    <t>SANO MARY DR.</t>
  </si>
  <si>
    <t>E0370788</t>
  </si>
  <si>
    <t>GENUTH RACHEL C</t>
  </si>
  <si>
    <t>GenuthRachel</t>
  </si>
  <si>
    <t>GENUTH RACHEL MS.</t>
  </si>
  <si>
    <t>TEITELBAUM JASON DR.</t>
  </si>
  <si>
    <t>2800 MAIN ST., ST. VINCENT'S MEDICAL CENTER</t>
  </si>
  <si>
    <t>GOLDSHTEYN YELENA</t>
  </si>
  <si>
    <t>3031 JAVIER RD STE 100</t>
  </si>
  <si>
    <t>ABI AAD SIMON DR.</t>
  </si>
  <si>
    <t>1111 AMSTERDAM AVE, DEPARTMENT OF MEDICINE</t>
  </si>
  <si>
    <t>TENG MATTHEW DR.</t>
  </si>
  <si>
    <t>7026 OLD KATY RD, SUITE 276</t>
  </si>
  <si>
    <t>BALUTIS ELAINE DR.</t>
  </si>
  <si>
    <t>E0033904</t>
  </si>
  <si>
    <t>FILSOUFI FARZAN</t>
  </si>
  <si>
    <t>FilsoufiFarzan</t>
  </si>
  <si>
    <t>E0195905</t>
  </si>
  <si>
    <t>FLATOW EVAN L              MD</t>
  </si>
  <si>
    <t>FlatowEvan</t>
  </si>
  <si>
    <t>FLATOW EVAN DR.</t>
  </si>
  <si>
    <t>COLUMBIA PRESBYTRN</t>
  </si>
  <si>
    <t>OLANOW C. DR.</t>
  </si>
  <si>
    <t>5 E 98TH ST, 7TH FLOOR</t>
  </si>
  <si>
    <t>PaulGazzara</t>
  </si>
  <si>
    <t>Peta-GayeHermitt</t>
  </si>
  <si>
    <t>SETO BENNY</t>
  </si>
  <si>
    <t>2037 29TH ST</t>
  </si>
  <si>
    <t>E0160062</t>
  </si>
  <si>
    <t>CHOTKOWSKI GREGORY DDS</t>
  </si>
  <si>
    <t>CHOTKOWSKI GREGORY DR.</t>
  </si>
  <si>
    <t>CHOTKOWSKI GREGORY CHARLES</t>
  </si>
  <si>
    <t>595 MADISON AVE STE 1204</t>
  </si>
  <si>
    <t>E0284178</t>
  </si>
  <si>
    <t>LAI CHRISTINE</t>
  </si>
  <si>
    <t>LaiChristine</t>
  </si>
  <si>
    <t>LAI CHRISTINE DR.</t>
  </si>
  <si>
    <t>LAI CHRISTINE MD</t>
  </si>
  <si>
    <t>136-20 38TH ST STE 6E</t>
  </si>
  <si>
    <t>E0334880</t>
  </si>
  <si>
    <t>ROCCO MELISSA L MD</t>
  </si>
  <si>
    <t>RoccoMelissa</t>
  </si>
  <si>
    <t>ROCCO MELISSA DR.</t>
  </si>
  <si>
    <t>E0325063</t>
  </si>
  <si>
    <t>BOUVIER NICOLE MARIE</t>
  </si>
  <si>
    <t>BouvierNicole</t>
  </si>
  <si>
    <t>BOUVIER NICOLE DR.</t>
  </si>
  <si>
    <t>E0422590</t>
  </si>
  <si>
    <t>ANDO YUMI</t>
  </si>
  <si>
    <t>E0027653</t>
  </si>
  <si>
    <t>BLUMENTHAL CELIA</t>
  </si>
  <si>
    <t>CELIABLUMENTHAL</t>
  </si>
  <si>
    <t>STEPHENTRAUZZI</t>
  </si>
  <si>
    <t>E0274141</t>
  </si>
  <si>
    <t>MARLAR KHIN                MD</t>
  </si>
  <si>
    <t>MARLAR KHIN DR.</t>
  </si>
  <si>
    <t>MARLAR KHIN   MD</t>
  </si>
  <si>
    <t>E0116780</t>
  </si>
  <si>
    <t>FIEL MARIE MD</t>
  </si>
  <si>
    <t>FielMaria</t>
  </si>
  <si>
    <t>FIEL MARIA</t>
  </si>
  <si>
    <t>E0132880</t>
  </si>
  <si>
    <t>CALLAN FELICIA TIRICO MD</t>
  </si>
  <si>
    <t>CallanFelicia</t>
  </si>
  <si>
    <t>CALLAN FELICIA DR.</t>
  </si>
  <si>
    <t>E0050583</t>
  </si>
  <si>
    <t>ANDRONE LOUIS CRISTIAN MD</t>
  </si>
  <si>
    <t>AndroneLouis</t>
  </si>
  <si>
    <t>ANDRONE LOUIS</t>
  </si>
  <si>
    <t>9 W 125TH ST</t>
  </si>
  <si>
    <t>E0388575</t>
  </si>
  <si>
    <t>GRUEN ALISON</t>
  </si>
  <si>
    <t>GruenAlison</t>
  </si>
  <si>
    <t>17 E 102ND ST FL 2</t>
  </si>
  <si>
    <t>E0023243</t>
  </si>
  <si>
    <t>LEE KAREN M MD</t>
  </si>
  <si>
    <t>LeeKaren</t>
  </si>
  <si>
    <t>LEE KAREN M</t>
  </si>
  <si>
    <t>E0013334</t>
  </si>
  <si>
    <t>PALKHIWALA SAMEET ARUN MD</t>
  </si>
  <si>
    <t>PALKHIWALA SAMEET DR.</t>
  </si>
  <si>
    <t>Rojas-CifredoAriz</t>
  </si>
  <si>
    <t>ROJAS-CIFREDO ARIZ MS.</t>
  </si>
  <si>
    <t>1425 MADISON AVE, 4TH FLOOR</t>
  </si>
  <si>
    <t>DionisoMauro,PT</t>
  </si>
  <si>
    <t>E0095940</t>
  </si>
  <si>
    <t>MAURO JR. DIONISIO</t>
  </si>
  <si>
    <t>MAURO DIONISIO MR.</t>
  </si>
  <si>
    <t>MAURO DIONISIO B JR</t>
  </si>
  <si>
    <t>3533 RIVERDALE AVE STE 1A</t>
  </si>
  <si>
    <t>AnahidNisanian,MD</t>
  </si>
  <si>
    <t>E0039645</t>
  </si>
  <si>
    <t>NISANIAN ANAHID JAQUELLINE MD</t>
  </si>
  <si>
    <t>NISANIAN ANAHID MS.</t>
  </si>
  <si>
    <t>558 ATLANTIC AVE</t>
  </si>
  <si>
    <t>RobinsonRoberto,MD</t>
  </si>
  <si>
    <t>E0026507</t>
  </si>
  <si>
    <t>ROBINSON ROBERTO H QUINONEZ MD</t>
  </si>
  <si>
    <t>ROBINSON ROBERTO DR.</t>
  </si>
  <si>
    <t>PhillipSohn,DO</t>
  </si>
  <si>
    <t>E0313575</t>
  </si>
  <si>
    <t>PHILLIP SOHN</t>
  </si>
  <si>
    <t>SOHN PHILLIP DR.</t>
  </si>
  <si>
    <t>SOHN PHILLIP JOON</t>
  </si>
  <si>
    <t>AnatoliyVilnits,MD</t>
  </si>
  <si>
    <t>E0165917</t>
  </si>
  <si>
    <t>MARTIN WILLIAM MICHAEL MD</t>
  </si>
  <si>
    <t>MartinWilliam</t>
  </si>
  <si>
    <t>MARTIN WILLIAM MICHAEL</t>
  </si>
  <si>
    <t>E0151772</t>
  </si>
  <si>
    <t>SCHMITZ GEORGE M MD</t>
  </si>
  <si>
    <t>SchmitzGeorge</t>
  </si>
  <si>
    <t>SCHMITZ GEORGE</t>
  </si>
  <si>
    <t>E0241707</t>
  </si>
  <si>
    <t>GOREVIC PETER D            MD</t>
  </si>
  <si>
    <t>GorevicPeter</t>
  </si>
  <si>
    <t>GOREVIC PETER</t>
  </si>
  <si>
    <t>E0367692</t>
  </si>
  <si>
    <t>GRULLON BELKYS</t>
  </si>
  <si>
    <t>GrullonBelkys</t>
  </si>
  <si>
    <t>GRULLON BELKYS MS.</t>
  </si>
  <si>
    <t>7901 BROADWAY # D4-55</t>
  </si>
  <si>
    <t>E0388622</t>
  </si>
  <si>
    <t>COCA STEVEN</t>
  </si>
  <si>
    <t>CocaSteven</t>
  </si>
  <si>
    <t>COCA STEVEN DR.</t>
  </si>
  <si>
    <t>COCA STEVEN GEORGE</t>
  </si>
  <si>
    <t>E0269104</t>
  </si>
  <si>
    <t>HIRSCH JACK               DDS</t>
  </si>
  <si>
    <t>HIRSCH JACK DR.</t>
  </si>
  <si>
    <t>DEPT OF DENTISTRY</t>
  </si>
  <si>
    <t>E0133457</t>
  </si>
  <si>
    <t>MCCLASKEY JOHN HUGH MD</t>
  </si>
  <si>
    <t>McClaskeyJohn</t>
  </si>
  <si>
    <t>MCCLASKEY JOHN</t>
  </si>
  <si>
    <t>1360 PORTLAND AVE</t>
  </si>
  <si>
    <t>LOPEZ JOANNE MRS.</t>
  </si>
  <si>
    <t>7245 E SOUTHGATE DR</t>
  </si>
  <si>
    <t>E0296060</t>
  </si>
  <si>
    <t>FREEPONG TAMEISHA</t>
  </si>
  <si>
    <t>FrempongTamiesha</t>
  </si>
  <si>
    <t>FREMPONG TAMIESHA</t>
  </si>
  <si>
    <t>17 E 102ND ST FL 8</t>
  </si>
  <si>
    <t>E0112725</t>
  </si>
  <si>
    <t>MRA ZAN MD</t>
  </si>
  <si>
    <t>MRA ZAN</t>
  </si>
  <si>
    <t>E0336463</t>
  </si>
  <si>
    <t>SONNENBLICK EMILY</t>
  </si>
  <si>
    <t>SonnenblickEmily</t>
  </si>
  <si>
    <t>SONNENBLICK EMILY BLAND</t>
  </si>
  <si>
    <t>CASSO DOMINGUEZ ABEL</t>
  </si>
  <si>
    <t>E0435147</t>
  </si>
  <si>
    <t>MARTINS JOHN PHILIP</t>
  </si>
  <si>
    <t>MARTINS JOHN DR.</t>
  </si>
  <si>
    <t>VohraRishi</t>
  </si>
  <si>
    <t>MIKHAILOV ALEXEI</t>
  </si>
  <si>
    <t>ONE GUSTAVE L.LEVY PLACE, DEPT. OF PATHOLOGY, MOUNT SINAI SCHOOL OF MEDICINE</t>
  </si>
  <si>
    <t>E0412762</t>
  </si>
  <si>
    <t>DAVIS TONY</t>
  </si>
  <si>
    <t>DavisTony</t>
  </si>
  <si>
    <t>DAVIS TONY DR.</t>
  </si>
  <si>
    <t>DAVIS TONY WAYNE JR</t>
  </si>
  <si>
    <t>E0071039</t>
  </si>
  <si>
    <t>HERMANN LUKE KENNAN MD</t>
  </si>
  <si>
    <t>HermannLuke</t>
  </si>
  <si>
    <t>HERMANN LUKE</t>
  </si>
  <si>
    <t>ELMHURST FAULTY PRAC</t>
  </si>
  <si>
    <t>E0179168</t>
  </si>
  <si>
    <t>OROPELLO JOHN MARK   MD</t>
  </si>
  <si>
    <t>OropelloJohn</t>
  </si>
  <si>
    <t>OROPELLO JOHN</t>
  </si>
  <si>
    <t>MT SINAI HOSP ICU</t>
  </si>
  <si>
    <t>E0035399</t>
  </si>
  <si>
    <t>KIM SANGHYUN A MD</t>
  </si>
  <si>
    <t>KimSanghyun</t>
  </si>
  <si>
    <t>KIM SANGHYUN</t>
  </si>
  <si>
    <t>KIM SANGHYUN ALEXANDER</t>
  </si>
  <si>
    <t>ELIAS HAROLD DR.</t>
  </si>
  <si>
    <t>1111 AMSTERDAM AVE, CLARK BUILDING, 7TH FLOOR</t>
  </si>
  <si>
    <t>SUNDARAM VIKRAM DR.</t>
  </si>
  <si>
    <t>4755 OGLETOWN STANTON RD</t>
  </si>
  <si>
    <t>LEKPERIC SAFET</t>
  </si>
  <si>
    <t>E0034884</t>
  </si>
  <si>
    <t>PUMAROL ALBA</t>
  </si>
  <si>
    <t>E0111398</t>
  </si>
  <si>
    <t>YLAND KATHRYNNE F MD</t>
  </si>
  <si>
    <t>YlandKathrynne</t>
  </si>
  <si>
    <t>YLAND KATHRYNNE</t>
  </si>
  <si>
    <t>N SHORE MED GRP</t>
  </si>
  <si>
    <t>E0040360</t>
  </si>
  <si>
    <t>SOFFER DANIEL MD</t>
  </si>
  <si>
    <t>SofferDaniel</t>
  </si>
  <si>
    <t>SOFFER DANIEL</t>
  </si>
  <si>
    <t>E0327737</t>
  </si>
  <si>
    <t>BLACKSBURG SETH ROBERT</t>
  </si>
  <si>
    <t>BLACKSBURG SETH DR.</t>
  </si>
  <si>
    <t>1184 5TH AVE BOX 1236</t>
  </si>
  <si>
    <t>CHEN STEPHANIE</t>
  </si>
  <si>
    <t>HUSCUSSON MELISSA</t>
  </si>
  <si>
    <t>MilekicBojana</t>
  </si>
  <si>
    <t>MILEKIC BOJANA</t>
  </si>
  <si>
    <t>501 MADISON AVE</t>
  </si>
  <si>
    <t>SALMAN LENORE</t>
  </si>
  <si>
    <t>14422 JEWEL AVE</t>
  </si>
  <si>
    <t>E0250706</t>
  </si>
  <si>
    <t>NEW MARIA IANDOLO MD</t>
  </si>
  <si>
    <t>NEW MARIA</t>
  </si>
  <si>
    <t>ROUDENKO ALEXANDRA</t>
  </si>
  <si>
    <t>E0101193</t>
  </si>
  <si>
    <t>REDDY RAMACHANDRA MD</t>
  </si>
  <si>
    <t>ReddyRamachandra</t>
  </si>
  <si>
    <t>REDDY RAMACHANDRA DR.</t>
  </si>
  <si>
    <t>REDDY RAMACHANDRA CHERUKURU</t>
  </si>
  <si>
    <t>REDDY RAMACHANDR</t>
  </si>
  <si>
    <t>E0116424</t>
  </si>
  <si>
    <t>KOROBOW AMY</t>
  </si>
  <si>
    <t>KorobowAmy</t>
  </si>
  <si>
    <t>E0203132</t>
  </si>
  <si>
    <t>GROSSO MICHAEL B MD</t>
  </si>
  <si>
    <t>GrossoMichael</t>
  </si>
  <si>
    <t>GROSSO MICHAEL</t>
  </si>
  <si>
    <t>GROSSO MICHAEL B</t>
  </si>
  <si>
    <t>E0111389</t>
  </si>
  <si>
    <t>FRIEDMAN SCOTT L MD</t>
  </si>
  <si>
    <t>FriedmanScott</t>
  </si>
  <si>
    <t>FRIEDMAN SCOTT</t>
  </si>
  <si>
    <t>E0042112</t>
  </si>
  <si>
    <t>KINI SUBHASH ULLAL MD</t>
  </si>
  <si>
    <t>KiniSubhash</t>
  </si>
  <si>
    <t>KINI SUBHASH</t>
  </si>
  <si>
    <t>KINI SUBHASH U</t>
  </si>
  <si>
    <t>5 E 98TH ST FL 3 &amp; FL 14</t>
  </si>
  <si>
    <t>E0097980</t>
  </si>
  <si>
    <t>MIRICA MARILENA MD</t>
  </si>
  <si>
    <t>MiricaMarilena</t>
  </si>
  <si>
    <t>MIRICA MARILENA DR.</t>
  </si>
  <si>
    <t>CREST HALL</t>
  </si>
  <si>
    <t>E0229358</t>
  </si>
  <si>
    <t>MARKINSON BRYAN CRAIG DPM</t>
  </si>
  <si>
    <t>MarkinsonBryan</t>
  </si>
  <si>
    <t>MARKINSON BRYAN DR.</t>
  </si>
  <si>
    <t>MARKINSON BRYAN CRAIG</t>
  </si>
  <si>
    <t>17 E 102ND ST FL 4</t>
  </si>
  <si>
    <t>MurroughJames</t>
  </si>
  <si>
    <t>MURROUGH JAMES DR.</t>
  </si>
  <si>
    <t>KanishchevaAnna</t>
  </si>
  <si>
    <t>KANISHCHEVA ANNA</t>
  </si>
  <si>
    <t>1 PENN PLZ, 8TH FLOOR</t>
  </si>
  <si>
    <t>MarkRussell</t>
  </si>
  <si>
    <t>E0404434</t>
  </si>
  <si>
    <t>MARK RUSSELL MD PC</t>
  </si>
  <si>
    <t>887 RUTLAND RD</t>
  </si>
  <si>
    <t>DaniellaRutner</t>
  </si>
  <si>
    <t>MarkHarooni</t>
  </si>
  <si>
    <t>E0123495</t>
  </si>
  <si>
    <t>HAROONI MARK MD</t>
  </si>
  <si>
    <t>HAROONI MARK</t>
  </si>
  <si>
    <t>OONHAROONI MARK MD</t>
  </si>
  <si>
    <t>450 CLARKSON AVE STE J</t>
  </si>
  <si>
    <t>Harooni&amp;Sheindlin,MD,PC</t>
  </si>
  <si>
    <t>E0288318</t>
  </si>
  <si>
    <t>HAROONI AND SHEINDLIN MD PC</t>
  </si>
  <si>
    <t>HAROONI &amp; SHEINDLIN MD PC</t>
  </si>
  <si>
    <t>KATHERINELAI</t>
  </si>
  <si>
    <t>ELIZABETHYOUNGEWIRTH</t>
  </si>
  <si>
    <t>SmirnoffMargaret</t>
  </si>
  <si>
    <t>SMIRNOFF MARGARET</t>
  </si>
  <si>
    <t>ONE GUSTAVE LEVY PLACE, BOX 1027</t>
  </si>
  <si>
    <t>E0442682</t>
  </si>
  <si>
    <t>MIER HICKS ANGEL ENRIQUE</t>
  </si>
  <si>
    <t>MIER HICKS ANGEL</t>
  </si>
  <si>
    <t>GARG SANDEEP</t>
  </si>
  <si>
    <t>825 FAIRFAX AVE</t>
  </si>
  <si>
    <t>E0441408</t>
  </si>
  <si>
    <t>HABER ELLIOT</t>
  </si>
  <si>
    <t>HABER ELLIOT DR.</t>
  </si>
  <si>
    <t>OGRICH LAUREN</t>
  </si>
  <si>
    <t>HamidiSayyed</t>
  </si>
  <si>
    <t>HAMIDI SAYYED</t>
  </si>
  <si>
    <t>E0455892</t>
  </si>
  <si>
    <t>CASTILLO GRANERO JAVIER</t>
  </si>
  <si>
    <t>E0380049</t>
  </si>
  <si>
    <t>COLIN MICHAEL</t>
  </si>
  <si>
    <t>COLIN MICHAEL DR.</t>
  </si>
  <si>
    <t>BIMC-FIRST AVE AT 16TH ST</t>
  </si>
  <si>
    <t>E0355202</t>
  </si>
  <si>
    <t>KORBAN TAREK</t>
  </si>
  <si>
    <t>KORBAN TAREK DR.</t>
  </si>
  <si>
    <t>3915 BROADWAY</t>
  </si>
  <si>
    <t>DoyleMichael</t>
  </si>
  <si>
    <t>DOYLE MICHAEL MR.</t>
  </si>
  <si>
    <t>E0368314</t>
  </si>
  <si>
    <t>HEATH STACY PIPES</t>
  </si>
  <si>
    <t>HEATH STACY</t>
  </si>
  <si>
    <t>E0295014</t>
  </si>
  <si>
    <t>IOFIN ILYA</t>
  </si>
  <si>
    <t>IofinIlya</t>
  </si>
  <si>
    <t>IOFIN ILYA DR.</t>
  </si>
  <si>
    <t>E0335256</t>
  </si>
  <si>
    <t>COHEN BENJAMIN</t>
  </si>
  <si>
    <t>CohenBenjamin</t>
  </si>
  <si>
    <t>COHEN BENJAMIN DR.</t>
  </si>
  <si>
    <t>COHEN BENJAMIN LEE</t>
  </si>
  <si>
    <t>E0372171</t>
  </si>
  <si>
    <t>NAGGAR NICOLE A</t>
  </si>
  <si>
    <t>NaggarNicoleAlison</t>
  </si>
  <si>
    <t>NAGGAR NICOLE DR.</t>
  </si>
  <si>
    <t>207 E 57TH ST APT 33B</t>
  </si>
  <si>
    <t>KATZ JASON</t>
  </si>
  <si>
    <t>2 HILLANDALE CLOSE</t>
  </si>
  <si>
    <t>BELLINI GEOFFREY DR.</t>
  </si>
  <si>
    <t>E0094307</t>
  </si>
  <si>
    <t>VASSALOTTI JOSEPH ALFRED MD</t>
  </si>
  <si>
    <t>VassalottiJoseph</t>
  </si>
  <si>
    <t>VASSALOTTI JOSEPH</t>
  </si>
  <si>
    <t>PAN MARC DR.</t>
  </si>
  <si>
    <t>E0300760</t>
  </si>
  <si>
    <t>KOICHI NOMOTO</t>
  </si>
  <si>
    <t>NOMOTO KOICHI</t>
  </si>
  <si>
    <t>PARRILLA EDWIN</t>
  </si>
  <si>
    <t>FIRST AVENUE AT 16TH STREET, MOUNT SINAI BETH ISRAEL - PETRIE DIVISION</t>
  </si>
  <si>
    <t>AlishayevJulia</t>
  </si>
  <si>
    <t>ALISHAYEV JULIA</t>
  </si>
  <si>
    <t>10 UNION SQ E, MOUNT SINAI BETH ISRAEL</t>
  </si>
  <si>
    <t>CORREA AMIT</t>
  </si>
  <si>
    <t>E0015276</t>
  </si>
  <si>
    <t>WELSH LOIS-ANN C RPA</t>
  </si>
  <si>
    <t>WelshLois-Ann</t>
  </si>
  <si>
    <t>WELSH LOIS-ANN MS.</t>
  </si>
  <si>
    <t>E0165564</t>
  </si>
  <si>
    <t>STONE JOANNE MD</t>
  </si>
  <si>
    <t>StoneJoanne</t>
  </si>
  <si>
    <t>STONE JOANNE DR.</t>
  </si>
  <si>
    <t>MATERNAL FETAL MEDIC</t>
  </si>
  <si>
    <t>E0331658</t>
  </si>
  <si>
    <t>BRAMAN SIDNEY</t>
  </si>
  <si>
    <t>BramanSidney</t>
  </si>
  <si>
    <t>BRAMAN SIDNEY DR.</t>
  </si>
  <si>
    <t>E0144114</t>
  </si>
  <si>
    <t>PITTMAN NANCI S MD</t>
  </si>
  <si>
    <t>PittmanNanci</t>
  </si>
  <si>
    <t>PITTMAN NANCI</t>
  </si>
  <si>
    <t>E0079717</t>
  </si>
  <si>
    <t>TSUNG JAMES W MD</t>
  </si>
  <si>
    <t>TsungJames</t>
  </si>
  <si>
    <t>TSUNG JAMES DR.</t>
  </si>
  <si>
    <t>SHEEPSHEADNRS&amp;REHCTRADHC</t>
  </si>
  <si>
    <t>E0058569</t>
  </si>
  <si>
    <t>SHEEPSHEAD NRS &amp; REH CTR ADHC</t>
  </si>
  <si>
    <t>SHEEPSHEAD NURSING AND REHABILITATION CENTER LLC</t>
  </si>
  <si>
    <t>SHEEPSHEAD NURSING &amp; REHAB CTR</t>
  </si>
  <si>
    <t>3900 SHORE PKWY</t>
  </si>
  <si>
    <t>MEDCARE,LLC</t>
  </si>
  <si>
    <t>E0081219</t>
  </si>
  <si>
    <t>MEDCARE, LLC</t>
  </si>
  <si>
    <t>CommunityAccessInc./AvenueD</t>
  </si>
  <si>
    <t>CommunityAccessInc./EastSecondStreet</t>
  </si>
  <si>
    <t>CommunityAccessInc./DeKalbAvenue</t>
  </si>
  <si>
    <t>CommunityAccessInc./CedarAvenue</t>
  </si>
  <si>
    <t>CommunityAccessInc./FranklinAvenue</t>
  </si>
  <si>
    <t>CommunityAccessInc./ThirdAvenue</t>
  </si>
  <si>
    <t>CommunityAccessInc./SupportedHousingIandII</t>
  </si>
  <si>
    <t>CommunityAccessInc./CrisisRespiteCenter</t>
  </si>
  <si>
    <t>CommunityAccessInc./SupportLine</t>
  </si>
  <si>
    <t>BHATNAGAR DIVYA</t>
  </si>
  <si>
    <t>E0370660</t>
  </si>
  <si>
    <t>BAUTRO ESTER ANUNUADO</t>
  </si>
  <si>
    <t>BautroEster</t>
  </si>
  <si>
    <t>BAUTRO ESTER MRS.</t>
  </si>
  <si>
    <t>1468 5TH AVENUE AND 100 ST</t>
  </si>
  <si>
    <t>E0329642</t>
  </si>
  <si>
    <t>GREENE JONATHAN BENJAMIN</t>
  </si>
  <si>
    <t>GREENE JONATHAN</t>
  </si>
  <si>
    <t>E0363634</t>
  </si>
  <si>
    <t>JOHNSON JANET HELENE</t>
  </si>
  <si>
    <t>JohnsonJanet</t>
  </si>
  <si>
    <t>JOHNSON JANET MRS.</t>
  </si>
  <si>
    <t>E0332811</t>
  </si>
  <si>
    <t>GILAD RONIT</t>
  </si>
  <si>
    <t>GiladRonit</t>
  </si>
  <si>
    <t>80TH ST &amp; 41ST AVE</t>
  </si>
  <si>
    <t>E0400482</t>
  </si>
  <si>
    <t>RATCLIFFE JUSTIN ANTHONY</t>
  </si>
  <si>
    <t>RATCLIFFE JUSTIN DR.</t>
  </si>
  <si>
    <t>8686 BAY PARKWAY M1 + M2</t>
  </si>
  <si>
    <t>E0348733</t>
  </si>
  <si>
    <t>MITIKU NESANET SENAITE MD PHD</t>
  </si>
  <si>
    <t>MitikuNesanet</t>
  </si>
  <si>
    <t>E0152415</t>
  </si>
  <si>
    <t>ZAGHI RAMIN</t>
  </si>
  <si>
    <t>RAMINZAGHI</t>
  </si>
  <si>
    <t>ZAGHI RAMIN DR.</t>
  </si>
  <si>
    <t>222 E 19TH ST APT 1E</t>
  </si>
  <si>
    <t>ADNANISA</t>
  </si>
  <si>
    <t>ISA ADNAN</t>
  </si>
  <si>
    <t>350 E 17TH ST, 16 BAIRD HALL- DEPT OF SURGERY</t>
  </si>
  <si>
    <t>E0241469</t>
  </si>
  <si>
    <t>YOUNG SIMON DPM</t>
  </si>
  <si>
    <t>SIMONYOUNG</t>
  </si>
  <si>
    <t>YOUNG SIMON DR.</t>
  </si>
  <si>
    <t>110 W 96TH ST STE 1A</t>
  </si>
  <si>
    <t>E0058765</t>
  </si>
  <si>
    <t>FERGUSON CHRISTOPHER J  DPM</t>
  </si>
  <si>
    <t>CHRISTOPHERFERGUSON</t>
  </si>
  <si>
    <t>FERGUSON CHRISTOPHER DR.</t>
  </si>
  <si>
    <t>ILYABILIK</t>
  </si>
  <si>
    <t>SamiTanya</t>
  </si>
  <si>
    <t>SAMI TANYA MS.</t>
  </si>
  <si>
    <t>ONE GUSTAVE L. LEVY PLACE, MOUNT SINAI MEDICAL CENTER, MEDICAL STAFF SERVICES</t>
  </si>
  <si>
    <t>HORNG SAM</t>
  </si>
  <si>
    <t>20 YORK ST, YALE-NEW HAVEN HOSPITAL</t>
  </si>
  <si>
    <t>KUMAR NEHA</t>
  </si>
  <si>
    <t>E0424933</t>
  </si>
  <si>
    <t>HALENE TOBIAS BERNHARD</t>
  </si>
  <si>
    <t>HALENE TOBIAS DR.</t>
  </si>
  <si>
    <t>IYER ARTI DR.</t>
  </si>
  <si>
    <t>5230 CENTRE AVE, ROOM 209, SON BUILDING</t>
  </si>
  <si>
    <t>HendrixsonAlana</t>
  </si>
  <si>
    <t>HENDRIXSON ALANA</t>
  </si>
  <si>
    <t>950 E BOGARD RD, SUITE 228</t>
  </si>
  <si>
    <t>WASILLA</t>
  </si>
  <si>
    <t>E0361117</t>
  </si>
  <si>
    <t>NICOL SARAH H</t>
  </si>
  <si>
    <t>NicolSarah</t>
  </si>
  <si>
    <t>NICOL SARAH</t>
  </si>
  <si>
    <t>E0367291</t>
  </si>
  <si>
    <t>MURAKAMI MIKIKO</t>
  </si>
  <si>
    <t>E0344119</t>
  </si>
  <si>
    <t>FACULTY PRACTICE ASSOCIATES</t>
  </si>
  <si>
    <t>MisraAmit</t>
  </si>
  <si>
    <t>MISRA AMIT KUMAR DR.</t>
  </si>
  <si>
    <t>2187 CRUGER AVE, APT 5M</t>
  </si>
  <si>
    <t>E0307728</t>
  </si>
  <si>
    <t>BRUCE ERIC SANDS</t>
  </si>
  <si>
    <t>SandsBruce</t>
  </si>
  <si>
    <t>SANDS BRUCE DR.</t>
  </si>
  <si>
    <t>SANDS BRUCE ERIC</t>
  </si>
  <si>
    <t>E0104919</t>
  </si>
  <si>
    <t>BORDOWITZ RICHARD ALEXANDER</t>
  </si>
  <si>
    <t>BORDOWITZ RICHARD</t>
  </si>
  <si>
    <t>FAM PRACT CTR</t>
  </si>
  <si>
    <t>E0104931</t>
  </si>
  <si>
    <t>ABULENCIA ARMAND EMMANUEL</t>
  </si>
  <si>
    <t>AbulenciaArmand</t>
  </si>
  <si>
    <t>ABULENCIA ARMAND</t>
  </si>
  <si>
    <t>ISLAND ORTHOPAEDICS</t>
  </si>
  <si>
    <t>E0198697</t>
  </si>
  <si>
    <t>WEISSBLUTH JAY E           MD</t>
  </si>
  <si>
    <t>JAYWEISSBLUTH</t>
  </si>
  <si>
    <t>WEISSBLUTH JAY</t>
  </si>
  <si>
    <t>1913 AVENUE Z</t>
  </si>
  <si>
    <t>E0111001</t>
  </si>
  <si>
    <t>ROSENBERG MICHAEL GEORGE MD</t>
  </si>
  <si>
    <t>MICHAELROSENBERG</t>
  </si>
  <si>
    <t>ROSENBERG MICHAEL DR.</t>
  </si>
  <si>
    <t>JMC/1400</t>
  </si>
  <si>
    <t>BAHL SUMEET DR.</t>
  </si>
  <si>
    <t>185 S ORANGE AVE, MSB G506</t>
  </si>
  <si>
    <t>E0455732</t>
  </si>
  <si>
    <t>TBEUR YASMINA</t>
  </si>
  <si>
    <t>E0375761</t>
  </si>
  <si>
    <t>PUSKAS JOHN DANIEL</t>
  </si>
  <si>
    <t>PuskasJohn</t>
  </si>
  <si>
    <t>PUSKAS JOHN DR.</t>
  </si>
  <si>
    <t>E0186191</t>
  </si>
  <si>
    <t>STACY CHARLES B MD</t>
  </si>
  <si>
    <t>StacyCharles</t>
  </si>
  <si>
    <t>STACY CHARLES MR.</t>
  </si>
  <si>
    <t>STACY CHARLES B</t>
  </si>
  <si>
    <t>E0019623</t>
  </si>
  <si>
    <t>DO LIEN THANH MD</t>
  </si>
  <si>
    <t>DO LIEN</t>
  </si>
  <si>
    <t>E0309735</t>
  </si>
  <si>
    <t>FONTANEZ-NIEVES TANIA DAYANE</t>
  </si>
  <si>
    <t>Fontanez-NievesTaniaD</t>
  </si>
  <si>
    <t>FONTANEZ-NIEVES TANIA DR.</t>
  </si>
  <si>
    <t>SELLERS MORGAN</t>
  </si>
  <si>
    <t>1811 W IOWA ST, APT. 2</t>
  </si>
  <si>
    <t>E0345744</t>
  </si>
  <si>
    <t>ZHANG ZESONG</t>
  </si>
  <si>
    <t>ZhangZesong</t>
  </si>
  <si>
    <t>ZHANG ZESONG DR.</t>
  </si>
  <si>
    <t>KONEY NII</t>
  </si>
  <si>
    <t>E0372994</t>
  </si>
  <si>
    <t>KAO ANDREW ALLEN</t>
  </si>
  <si>
    <t>KAO ANDREW DR.</t>
  </si>
  <si>
    <t>LAURITSEN CLINTON</t>
  </si>
  <si>
    <t>701 POENTIC KILL WAY, APT 123</t>
  </si>
  <si>
    <t>RUBINOV JASON</t>
  </si>
  <si>
    <t>ROSS ALEXIS</t>
  </si>
  <si>
    <t>38 W 22ND ST, FLOOR 7</t>
  </si>
  <si>
    <t>WAN ELIAS</t>
  </si>
  <si>
    <t>TUROCY JENNA</t>
  </si>
  <si>
    <t>E0422698</t>
  </si>
  <si>
    <t>LEIFER JESSICA HARRIS</t>
  </si>
  <si>
    <t>LEIFER JESSICA DR.</t>
  </si>
  <si>
    <t>AMSALEM AVRAHAM</t>
  </si>
  <si>
    <t>600 W 239TH ST, APT 4B</t>
  </si>
  <si>
    <t>E0357444</t>
  </si>
  <si>
    <t>LAW LINDA W</t>
  </si>
  <si>
    <t>LawLinda</t>
  </si>
  <si>
    <t>LAW LINDA DR.</t>
  </si>
  <si>
    <t>185 CANAL ST FRNT 6</t>
  </si>
  <si>
    <t>E0366838</t>
  </si>
  <si>
    <t>KEUHNELIAN JOCELYN BOADO</t>
  </si>
  <si>
    <t>Boado-KeuhnelianJocelyn</t>
  </si>
  <si>
    <t>BOADO KEUHNELIAN JOCELYN MRS.</t>
  </si>
  <si>
    <t>KAKANI CHANDANA</t>
  </si>
  <si>
    <t>3400 SPRUCE ST, RHODES 7</t>
  </si>
  <si>
    <t>E0416447</t>
  </si>
  <si>
    <t>SCRIPPS TESSA BROWNING</t>
  </si>
  <si>
    <t>SCRIPPS TESSA</t>
  </si>
  <si>
    <t>DAYAN JUDY</t>
  </si>
  <si>
    <t>990 E 22ND ST</t>
  </si>
  <si>
    <t>E0029066</t>
  </si>
  <si>
    <t>MEDINA-NOEL CRISANTA P NP</t>
  </si>
  <si>
    <t>Medina-NoelCrisanta</t>
  </si>
  <si>
    <t>MEDINA-NOEL CRISANTA</t>
  </si>
  <si>
    <t>E0303413</t>
  </si>
  <si>
    <t>PAWHA PUNEET</t>
  </si>
  <si>
    <t>PawhaPuneet</t>
  </si>
  <si>
    <t>PAWHA PUNEET SINGH</t>
  </si>
  <si>
    <t>ONE GUSTAVE LEVY PLACE BOX 1234</t>
  </si>
  <si>
    <t>E0114172</t>
  </si>
  <si>
    <t>WASSERSTEIN MELISSA PITTEL MD</t>
  </si>
  <si>
    <t>WassersteinMelissa</t>
  </si>
  <si>
    <t>WASSERSTEIN MELISSA DR.</t>
  </si>
  <si>
    <t>AdamLeczycki</t>
  </si>
  <si>
    <t>E0338069</t>
  </si>
  <si>
    <t>LECZYCKI ADAM Z</t>
  </si>
  <si>
    <t>(646) 459-6166</t>
  </si>
  <si>
    <t>aleczycki@a-b-c.org</t>
  </si>
  <si>
    <t>LECZYCKI ADAM</t>
  </si>
  <si>
    <t>1841 PARK AVE</t>
  </si>
  <si>
    <t>SullivanRobertG</t>
  </si>
  <si>
    <t>SULLIVAN ROBERT</t>
  </si>
  <si>
    <t>1 PENN PLAZA, 7TH FL. STE. 725, EVERCARE/UNITED HEALTHCARE</t>
  </si>
  <si>
    <t>E0410388</t>
  </si>
  <si>
    <t>CASCETTA KRYSTAL PAULINE</t>
  </si>
  <si>
    <t>CASCETTA KRYSTAL DR.</t>
  </si>
  <si>
    <t>E0180714</t>
  </si>
  <si>
    <t>KIM JOYCE M   MD</t>
  </si>
  <si>
    <t>KimJoyce</t>
  </si>
  <si>
    <t>KIM JOYCE DR.</t>
  </si>
  <si>
    <t>KIM JOYCE M</t>
  </si>
  <si>
    <t>E0351186</t>
  </si>
  <si>
    <t>RAHIM ARSHAD</t>
  </si>
  <si>
    <t>RAHIM ARSHAD DR.</t>
  </si>
  <si>
    <t>GeorgeRose</t>
  </si>
  <si>
    <t>GEORGE ROSE MRS.</t>
  </si>
  <si>
    <t>E0392064</t>
  </si>
  <si>
    <t>HEATH CANDRICE RACHELLE</t>
  </si>
  <si>
    <t>HEATH CANDRICE DR.</t>
  </si>
  <si>
    <t>E0012067</t>
  </si>
  <si>
    <t>HARMATY MARCO A MD</t>
  </si>
  <si>
    <t>HarmatyMarco</t>
  </si>
  <si>
    <t>HARMATY MARCO</t>
  </si>
  <si>
    <t>HARMATY MARCO ANDREW</t>
  </si>
  <si>
    <t>SCARABELLI TIZIANO</t>
  </si>
  <si>
    <t>1900 UNIVERSITY DRIVE, UNIVERSITY OF ALABAMA AT BIRMINGHAM 311 HT</t>
  </si>
  <si>
    <t>E0369676</t>
  </si>
  <si>
    <t>JAKUBOWSKI RITA MARY</t>
  </si>
  <si>
    <t>JakubowskiRita</t>
  </si>
  <si>
    <t>JAKUBOWSKI RITA MS.</t>
  </si>
  <si>
    <t>ONE GUSTAVE L LEVY PLLC</t>
  </si>
  <si>
    <t>E0283594</t>
  </si>
  <si>
    <t>SHIMONOV JOSEF MD</t>
  </si>
  <si>
    <t>SHIMONOV JOSEF</t>
  </si>
  <si>
    <t>1616-D VOORHIES AVE</t>
  </si>
  <si>
    <t>E0329888</t>
  </si>
  <si>
    <t>SENGUPTA PARTHO P MD</t>
  </si>
  <si>
    <t>SenguptaPartho</t>
  </si>
  <si>
    <t>SENGUPTA PARTHO DR.</t>
  </si>
  <si>
    <t>NestlerEric</t>
  </si>
  <si>
    <t>NESTLER ERIC</t>
  </si>
  <si>
    <t>E0080609</t>
  </si>
  <si>
    <t>BEGUN JAY R MD PC</t>
  </si>
  <si>
    <t>BegunJay</t>
  </si>
  <si>
    <t>BEGUN JAY DR.</t>
  </si>
  <si>
    <t>E0021997</t>
  </si>
  <si>
    <t>SELLMAN ROBERT RPA</t>
  </si>
  <si>
    <t>SellmanRobert</t>
  </si>
  <si>
    <t>SELLMAN ROBERT</t>
  </si>
  <si>
    <t>100TH STREET AND MADISON</t>
  </si>
  <si>
    <t>TavarezLaura</t>
  </si>
  <si>
    <t>TAVAREZ LAURA</t>
  </si>
  <si>
    <t>225 60TH ST</t>
  </si>
  <si>
    <t>E0442504</t>
  </si>
  <si>
    <t>FUNG TIMOTHY TENREN</t>
  </si>
  <si>
    <t>FUNG TIMOTHY</t>
  </si>
  <si>
    <t>CommunityAccessInc./HowietheHarpProgram</t>
  </si>
  <si>
    <t>CommunityAccessInc./RecoveryConnections</t>
  </si>
  <si>
    <t>CommunityAccessInc./HowietheHarpTraining</t>
  </si>
  <si>
    <t>E0043395</t>
  </si>
  <si>
    <t>ANDRUS PHILLIP MD</t>
  </si>
  <si>
    <t>AndrusPhillip</t>
  </si>
  <si>
    <t>ANDRUS PHILIP</t>
  </si>
  <si>
    <t>MSMC EMERG SVC</t>
  </si>
  <si>
    <t>E0348691</t>
  </si>
  <si>
    <t>CATAMERO DONNA DOMENICA</t>
  </si>
  <si>
    <t>CatameroDonna</t>
  </si>
  <si>
    <t>CATAMERO DONNA MS.</t>
  </si>
  <si>
    <t>E0140327</t>
  </si>
  <si>
    <t>LEWIS JACQUELINE</t>
  </si>
  <si>
    <t>LewisJacqueline</t>
  </si>
  <si>
    <t>16 &amp; 1ST STREET</t>
  </si>
  <si>
    <t>E0112155</t>
  </si>
  <si>
    <t>ROTH RAM</t>
  </si>
  <si>
    <t>RothRam</t>
  </si>
  <si>
    <t>ROTH RAM DR.</t>
  </si>
  <si>
    <t>E0181349</t>
  </si>
  <si>
    <t>WEINGARTEN SIDNEY ROBERT MD</t>
  </si>
  <si>
    <t>WeingartenSidney</t>
  </si>
  <si>
    <t>WEINGARTEN SIDNEY</t>
  </si>
  <si>
    <t>WEISER MITCHELL DR.</t>
  </si>
  <si>
    <t>5 EAST 98TH ST, DEPARTMENT OF ORTHOPAEDICS BOX 1188</t>
  </si>
  <si>
    <t>HAMSHER CARLYLE DR.</t>
  </si>
  <si>
    <t>ELIAS MICHAEL</t>
  </si>
  <si>
    <t>E0419317</t>
  </si>
  <si>
    <t>MCCARTHY DAYNA</t>
  </si>
  <si>
    <t>664 STONELEIGH AVE</t>
  </si>
  <si>
    <t>GENESE FRANK</t>
  </si>
  <si>
    <t>16026 23RD AVE</t>
  </si>
  <si>
    <t>E0448557</t>
  </si>
  <si>
    <t>BAMBRICK SANTOYO GABRIELA</t>
  </si>
  <si>
    <t>BAMBRICK-SANTOYO GABRIELA DR.</t>
  </si>
  <si>
    <t>EngelbertJustin</t>
  </si>
  <si>
    <t>ENGELBERT JUSTIN</t>
  </si>
  <si>
    <t>MurphyKristopher</t>
  </si>
  <si>
    <t>MURPHY KRISTOPHER</t>
  </si>
  <si>
    <t>8 DELAY STREET</t>
  </si>
  <si>
    <t>BAJPAYEE GARGI</t>
  </si>
  <si>
    <t>ELIZONDO LEAH</t>
  </si>
  <si>
    <t>420 E 70TH ST APT 9G</t>
  </si>
  <si>
    <t>OCHIENG PIUS DR.</t>
  </si>
  <si>
    <t>700 HIGH ST</t>
  </si>
  <si>
    <t>WILLIAMSPORT</t>
  </si>
  <si>
    <t>E0285120</t>
  </si>
  <si>
    <t>RHIM EUGENE</t>
  </si>
  <si>
    <t>RhimEugene</t>
  </si>
  <si>
    <t>RHIM EUGENE DR.</t>
  </si>
  <si>
    <t>RHIM EUGENE MD</t>
  </si>
  <si>
    <t>1 GUSTAV L LEVY PLACE</t>
  </si>
  <si>
    <t>E0452666</t>
  </si>
  <si>
    <t>HENICK DAVID</t>
  </si>
  <si>
    <t>HenickDavid</t>
  </si>
  <si>
    <t>HENICK DAVID DR.</t>
  </si>
  <si>
    <t>COLLEENPECK</t>
  </si>
  <si>
    <t>E0383663</t>
  </si>
  <si>
    <t>PECK COLLEEN M</t>
  </si>
  <si>
    <t>PECK COLLEEN</t>
  </si>
  <si>
    <t>SUSANPESCI</t>
  </si>
  <si>
    <t>E0443962</t>
  </si>
  <si>
    <t>PESCI SUSAN EDNA</t>
  </si>
  <si>
    <t>PESCI SUSAN</t>
  </si>
  <si>
    <t>LINDAPRINE</t>
  </si>
  <si>
    <t>E0311198</t>
  </si>
  <si>
    <t>KIRSCHNER JONATHAN SYDNEY</t>
  </si>
  <si>
    <t>KIRSCHNER JONATHAN DR.</t>
  </si>
  <si>
    <t>E0303409</t>
  </si>
  <si>
    <t>ARGIRIADI PAMELA</t>
  </si>
  <si>
    <t>ArgiriadiPamela</t>
  </si>
  <si>
    <t>ARGIRIADI PAMELA DR.</t>
  </si>
  <si>
    <t>ARGIRIADI PAMELA ANASTASIA</t>
  </si>
  <si>
    <t>E0384614</t>
  </si>
  <si>
    <t>SOONES TACARA</t>
  </si>
  <si>
    <t>SoonesTacara</t>
  </si>
  <si>
    <t>SOONES TACARA DR.</t>
  </si>
  <si>
    <t>AlvinAddes,MD</t>
  </si>
  <si>
    <t>E0223954</t>
  </si>
  <si>
    <t>ADDES ALVIN DAVID          MD</t>
  </si>
  <si>
    <t>ADDES ALVIN</t>
  </si>
  <si>
    <t>7 LEXINGTON AVE RM 1A</t>
  </si>
  <si>
    <t>JenniferAllen,NP</t>
  </si>
  <si>
    <t>E0371305</t>
  </si>
  <si>
    <t>ALLEN JENNIFER E</t>
  </si>
  <si>
    <t>ALLEN JENNIFER MISS</t>
  </si>
  <si>
    <t>RossanaDilmanian,MD</t>
  </si>
  <si>
    <t>E0033158</t>
  </si>
  <si>
    <t>DILMANIAN ROSSANA</t>
  </si>
  <si>
    <t>DILMANIAN ROSSANA DR.</t>
  </si>
  <si>
    <t>AndrasFenyves,MD</t>
  </si>
  <si>
    <t>E0106622</t>
  </si>
  <si>
    <t>FENYVES ANDRAS MD</t>
  </si>
  <si>
    <t>FENYVES ANDRAS DR.</t>
  </si>
  <si>
    <t>E0122287</t>
  </si>
  <si>
    <t>WELTZ CHRISTINA R MD</t>
  </si>
  <si>
    <t>WELTZ CHRISTINA</t>
  </si>
  <si>
    <t>WELTZ CHRISTINA R</t>
  </si>
  <si>
    <t>5 E 98TH ST FL 14 STE C</t>
  </si>
  <si>
    <t>E0147659</t>
  </si>
  <si>
    <t>BARUCH LAWRENCE MD</t>
  </si>
  <si>
    <t>BARUCH LAWRENCE DR.</t>
  </si>
  <si>
    <t>FLORENCE NIGHTINGALE</t>
  </si>
  <si>
    <t>E0075443</t>
  </si>
  <si>
    <t>BEITIA LAURA GRACE MD</t>
  </si>
  <si>
    <t>BEITIA LAURA</t>
  </si>
  <si>
    <t>E0250615</t>
  </si>
  <si>
    <t>LICCIARDI LUDWIG M         MD</t>
  </si>
  <si>
    <t>LICCIARDI LUDWIG</t>
  </si>
  <si>
    <t>VICTORY MEMORIAL HOS</t>
  </si>
  <si>
    <t>JULIASULLIVAN</t>
  </si>
  <si>
    <t>E0325657</t>
  </si>
  <si>
    <t>SULLIVAN JULIA ELIZABETH</t>
  </si>
  <si>
    <t>SULLIVAN JULIA MS.</t>
  </si>
  <si>
    <t>JINITANENHAUS</t>
  </si>
  <si>
    <t>E0373384</t>
  </si>
  <si>
    <t>TANENHAUS JINI</t>
  </si>
  <si>
    <t>TANENHAUS JINI MS.</t>
  </si>
  <si>
    <t>TANENHAUS JINI C</t>
  </si>
  <si>
    <t>SIGRIDTRISTAN</t>
  </si>
  <si>
    <t>E0310128</t>
  </si>
  <si>
    <t>TRISTAN SIGRID BIRGITTA MD</t>
  </si>
  <si>
    <t>TRISTAN SIGRID DR.</t>
  </si>
  <si>
    <t>530 1ST AVE # 5F</t>
  </si>
  <si>
    <t>SIERRAWASHINGTON</t>
  </si>
  <si>
    <t>HouseCallMedicalServicesofNewYork</t>
  </si>
  <si>
    <t>ImeldaTavas</t>
  </si>
  <si>
    <t>BenjaminKornitzer</t>
  </si>
  <si>
    <t>E0341892</t>
  </si>
  <si>
    <t>KORNITZER BENJAMIN S</t>
  </si>
  <si>
    <t>KORNITZER BENJAMIN</t>
  </si>
  <si>
    <t>JoonhyeKook</t>
  </si>
  <si>
    <t>2024CrestonAvenue</t>
  </si>
  <si>
    <t>KARIM ABDUL DR.</t>
  </si>
  <si>
    <t>1111 AMSTERDAM AVE # 205, ST. LUKE'S-ROOSEVELT HOSPITAL CENTER</t>
  </si>
  <si>
    <t>E0359254</t>
  </si>
  <si>
    <t>FOX KELITA LOUISE</t>
  </si>
  <si>
    <t>FOX KELITA</t>
  </si>
  <si>
    <t>E0362047</t>
  </si>
  <si>
    <t>PHAN THUC D</t>
  </si>
  <si>
    <t>PHAN THUC</t>
  </si>
  <si>
    <t>PHAN THUC DUY</t>
  </si>
  <si>
    <t>E0439071</t>
  </si>
  <si>
    <t>SHEHEBAR MOURAD M</t>
  </si>
  <si>
    <t>SHEHEBAR MOURAD DR.</t>
  </si>
  <si>
    <t>E0320814</t>
  </si>
  <si>
    <t>ALEXIS QUENTZ</t>
  </si>
  <si>
    <t>AlexisQuentz</t>
  </si>
  <si>
    <t>GLICK JOELLE</t>
  </si>
  <si>
    <t>301 ELIZABETH ST APT 6K</t>
  </si>
  <si>
    <t>E0374350</t>
  </si>
  <si>
    <t>HOPPING BRYAN T</t>
  </si>
  <si>
    <t>HOPPING BRYAN DR.</t>
  </si>
  <si>
    <t>HANNA MINA DR.</t>
  </si>
  <si>
    <t>1000 SOUTH COLUMBIA ROAD</t>
  </si>
  <si>
    <t>GRAND FORKS</t>
  </si>
  <si>
    <t>E0364245</t>
  </si>
  <si>
    <t>JINJOLAVA NANA</t>
  </si>
  <si>
    <t>E0385394</t>
  </si>
  <si>
    <t>COCHRAN LYNN E</t>
  </si>
  <si>
    <t>CochranLynn</t>
  </si>
  <si>
    <t>COCHRAN LYNN</t>
  </si>
  <si>
    <t>625 MADISON AVE FL 2</t>
  </si>
  <si>
    <t>BRAR SONYA</t>
  </si>
  <si>
    <t>LI ZHONGHUA</t>
  </si>
  <si>
    <t>E0385139</t>
  </si>
  <si>
    <t>LAVINE ELYSE</t>
  </si>
  <si>
    <t>LavineElyse</t>
  </si>
  <si>
    <t>LAVINE ELYSE MS.</t>
  </si>
  <si>
    <t>E0035870</t>
  </si>
  <si>
    <t>BARNEA AMNON</t>
  </si>
  <si>
    <t>BARNEA AMNON DR.</t>
  </si>
  <si>
    <t>E0009666</t>
  </si>
  <si>
    <t>AYYALA UMA S MD</t>
  </si>
  <si>
    <t>AYYALA UMA</t>
  </si>
  <si>
    <t>E0072987</t>
  </si>
  <si>
    <t>IOCOLANO CAROLYN F</t>
  </si>
  <si>
    <t>IocolanoCarolyn</t>
  </si>
  <si>
    <t>IOCOLANO CAROLYN</t>
  </si>
  <si>
    <t>E0022086</t>
  </si>
  <si>
    <t>LEAKE AND WATTS SVCS INC SPV</t>
  </si>
  <si>
    <t>E0290457</t>
  </si>
  <si>
    <t>DOSHI AMISH</t>
  </si>
  <si>
    <t>DoshiAmish</t>
  </si>
  <si>
    <t>DOSHI AMISH HARISH</t>
  </si>
  <si>
    <t>E0284150</t>
  </si>
  <si>
    <t>COLVIN ALEXIS</t>
  </si>
  <si>
    <t>ColvinAlexis</t>
  </si>
  <si>
    <t>COLVIN ALEXIS DR.</t>
  </si>
  <si>
    <t>COLVIN ALEXIS CHAING MD</t>
  </si>
  <si>
    <t>GUPTA ISHA DR.</t>
  </si>
  <si>
    <t>14815 N DEL WEBB BLVD</t>
  </si>
  <si>
    <t>SUN CITY</t>
  </si>
  <si>
    <t>PELLERANO GUZMAN EDWARD</t>
  </si>
  <si>
    <t>415 S 28TH AVE</t>
  </si>
  <si>
    <t>GONZALEZ ORTIZ NOELANI</t>
  </si>
  <si>
    <t>B1 CALLE PRINCIPE DE ASTURIAS, MANSIONES REALES</t>
  </si>
  <si>
    <t>ENGLAND PETER</t>
  </si>
  <si>
    <t>PRAJAPATI SHYAM</t>
  </si>
  <si>
    <t>34 PARK HILL DR</t>
  </si>
  <si>
    <t>ABED ELIE</t>
  </si>
  <si>
    <t>1000 N LINCOLN BLVD, 2900</t>
  </si>
  <si>
    <t>OKLAHOMA CITY</t>
  </si>
  <si>
    <t>E0033266</t>
  </si>
  <si>
    <t>BIALOS MICHAEL THOMSON MD</t>
  </si>
  <si>
    <t>BialosMichael</t>
  </si>
  <si>
    <t>BIALOS MICHAEL DR.</t>
  </si>
  <si>
    <t>LWIN THINZAR DR.</t>
  </si>
  <si>
    <t>353 E 17TH ST, 2ND FLOOR, ROOM 223,</t>
  </si>
  <si>
    <t>UENO RIE</t>
  </si>
  <si>
    <t>353 EAST 17TH, 16H</t>
  </si>
  <si>
    <t>HWANG ESTHER</t>
  </si>
  <si>
    <t>6TH AVENUE &amp; SPRUCE STREET</t>
  </si>
  <si>
    <t>WEST READING</t>
  </si>
  <si>
    <t>E0442900</t>
  </si>
  <si>
    <t>KATZ ANNE</t>
  </si>
  <si>
    <t>KATZ ANNE REBECCA</t>
  </si>
  <si>
    <t>HUSSAIN MARYUM</t>
  </si>
  <si>
    <t>COLLINS BRIDGET</t>
  </si>
  <si>
    <t>WANG TINA</t>
  </si>
  <si>
    <t>9129 STONEHOUSE AVE</t>
  </si>
  <si>
    <t>DWIGGINS DUSTIN</t>
  </si>
  <si>
    <t>E0008515</t>
  </si>
  <si>
    <t>MASER ELANA ANNE MD</t>
  </si>
  <si>
    <t>MaserElana</t>
  </si>
  <si>
    <t>MASER ELANA DR.</t>
  </si>
  <si>
    <t>E0322701</t>
  </si>
  <si>
    <t>BABINEAU SHANNON ELIZABETH</t>
  </si>
  <si>
    <t>BabineauShannon</t>
  </si>
  <si>
    <t>BABINEAU SHANNON</t>
  </si>
  <si>
    <t>777 N BROADWAY STE 203</t>
  </si>
  <si>
    <t>E0356022</t>
  </si>
  <si>
    <t>DHARMARAJAN KAVITA VYAS</t>
  </si>
  <si>
    <t>DharmarajanKavita</t>
  </si>
  <si>
    <t>DHARMARAJAN KAVITA DR.</t>
  </si>
  <si>
    <t>SchlachterLeslie</t>
  </si>
  <si>
    <t>SCHLACHTER LESLIE MRS.</t>
  </si>
  <si>
    <t>5 E 98TH ST, 6TH FLOOR UROLOGY</t>
  </si>
  <si>
    <t>BROOKS RAMONA DR.</t>
  </si>
  <si>
    <t>1401 HARRODSBURG RD, C115</t>
  </si>
  <si>
    <t>LEXINGTON</t>
  </si>
  <si>
    <t>NAKAMOTO KEITARO DR.</t>
  </si>
  <si>
    <t>1600 MEDICAL CENTER DR, SUITE 2500</t>
  </si>
  <si>
    <t>GARCIA TOME RODRIGO</t>
  </si>
  <si>
    <t>AHMED MOHAMMED</t>
  </si>
  <si>
    <t>LOWELL ANNA</t>
  </si>
  <si>
    <t>E0045034</t>
  </si>
  <si>
    <t>BUSTAMANTE MARCO MD</t>
  </si>
  <si>
    <t>BustamanteMarco</t>
  </si>
  <si>
    <t>BUSTAMANTE MARCO</t>
  </si>
  <si>
    <t>MT SINAI HOSP QUEENS</t>
  </si>
  <si>
    <t>E0296441</t>
  </si>
  <si>
    <t>ISLAM THANIYA SULTANA</t>
  </si>
  <si>
    <t>IslamThaniya</t>
  </si>
  <si>
    <t>ISLAM THANIYA MS.</t>
  </si>
  <si>
    <t>E0383594</t>
  </si>
  <si>
    <t>PROBST MARC</t>
  </si>
  <si>
    <t>ProbstMarc</t>
  </si>
  <si>
    <t>E0302762</t>
  </si>
  <si>
    <t>BRIAN KEARNEY</t>
  </si>
  <si>
    <t>KearneyBrian</t>
  </si>
  <si>
    <t>KEARNEY BRIAN</t>
  </si>
  <si>
    <t>E0382734</t>
  </si>
  <si>
    <t>SU EMIILY</t>
  </si>
  <si>
    <t>SuEmily</t>
  </si>
  <si>
    <t>SU EMILY DR.</t>
  </si>
  <si>
    <t>SU EMILY WAN-JU</t>
  </si>
  <si>
    <t>E0446234</t>
  </si>
  <si>
    <t>WAINTRAUB DANIEL JEREMY</t>
  </si>
  <si>
    <t>WAINTRAUB DANIEL DR.</t>
  </si>
  <si>
    <t>BlanasDemetri</t>
  </si>
  <si>
    <t>BLANAS DEMETRI</t>
  </si>
  <si>
    <t>HAIDER SYED</t>
  </si>
  <si>
    <t>515 W 59TH ST, APT 13H</t>
  </si>
  <si>
    <t>MARIN LEA</t>
  </si>
  <si>
    <t>ONE GUSTAVE L. LEVY PLACE BOX 1230, ICAHN SCHOOL OF MEDICINE DEPARTMENT OF PSYCHIATRY</t>
  </si>
  <si>
    <t>KhanMohammad</t>
  </si>
  <si>
    <t>40 WRIGHT ST</t>
  </si>
  <si>
    <t>PALMER</t>
  </si>
  <si>
    <t>E0436427</t>
  </si>
  <si>
    <t>KATZ JONATHAN SETH</t>
  </si>
  <si>
    <t>KATZ JONATHAN</t>
  </si>
  <si>
    <t>FarhadArjomand,MD</t>
  </si>
  <si>
    <t>E0080058</t>
  </si>
  <si>
    <t>ARJOMAMD FARHAD MD</t>
  </si>
  <si>
    <t>ARJOMAND FARHAD</t>
  </si>
  <si>
    <t>ARJOMAMD FARHAD</t>
  </si>
  <si>
    <t>MANKAL PAVAN</t>
  </si>
  <si>
    <t>1111 AMSTERDAM AVE, GME, PLANT BUILDING, GROUND FL</t>
  </si>
  <si>
    <t>E0437838</t>
  </si>
  <si>
    <t>CHEESMAN KHADEEN</t>
  </si>
  <si>
    <t>E0316038</t>
  </si>
  <si>
    <t>SOLANKI-SINGH RISHITA DO</t>
  </si>
  <si>
    <t>Solanki-SinghRishita</t>
  </si>
  <si>
    <t>SOLANKI SINGH RISHITA DR.</t>
  </si>
  <si>
    <t>BimsonBrianneEsther</t>
  </si>
  <si>
    <t>BIMSON BRIANNE</t>
  </si>
  <si>
    <t>GARTNER SAMUEL DR.</t>
  </si>
  <si>
    <t>E0312303</t>
  </si>
  <si>
    <t>SHAH SOORAJ MALAY</t>
  </si>
  <si>
    <t>ShahSoorajMalay</t>
  </si>
  <si>
    <t>SHAH SOORAJ DR.</t>
  </si>
  <si>
    <t>MazurekJonathanN</t>
  </si>
  <si>
    <t>MAZUREK JONATHAN DR.</t>
  </si>
  <si>
    <t>4300 ALTON RD</t>
  </si>
  <si>
    <t>E0324150</t>
  </si>
  <si>
    <t>TABRIZIAN PARISSA</t>
  </si>
  <si>
    <t>E0335141</t>
  </si>
  <si>
    <t>MCCORMICK PATRICK J</t>
  </si>
  <si>
    <t>MCCORMICK PATRICK DR.</t>
  </si>
  <si>
    <t>MCCORMICK PATRICK JUDD</t>
  </si>
  <si>
    <t>E0340053</t>
  </si>
  <si>
    <t>LIN LEE YULEE</t>
  </si>
  <si>
    <t>LinLeeYulee</t>
  </si>
  <si>
    <t>LIN LEE</t>
  </si>
  <si>
    <t>E0018203</t>
  </si>
  <si>
    <t>DEFILIPPIS JEANNETTE ANN</t>
  </si>
  <si>
    <t>DeFilippisJeanette</t>
  </si>
  <si>
    <t>DEFILIPPIS JEANETTE MS.</t>
  </si>
  <si>
    <t>1 GUSTAVE L LEVY PL # 122U8</t>
  </si>
  <si>
    <t>E0326831</t>
  </si>
  <si>
    <t>NENTIN FARIDA</t>
  </si>
  <si>
    <t>NENTIN FARIDA DR.</t>
  </si>
  <si>
    <t>NENTIN FARIDA G</t>
  </si>
  <si>
    <t>E0318325</t>
  </si>
  <si>
    <t>CASTILLO-RODRIGUEZ RAQUEL</t>
  </si>
  <si>
    <t>Castillo-RodriguezRaquel</t>
  </si>
  <si>
    <t>CASTILLO-RODRIGUEZ RAQUEL INES</t>
  </si>
  <si>
    <t>475 STATE ROUTE 17M</t>
  </si>
  <si>
    <t>E0390438</t>
  </si>
  <si>
    <t>DOTY NORA J</t>
  </si>
  <si>
    <t>DOTY NORA DR.</t>
  </si>
  <si>
    <t>10 UNION SQ E FRNT 2D</t>
  </si>
  <si>
    <t>E0387240</t>
  </si>
  <si>
    <t>KANDARAKIS STYLIANOS ARTEMIOS</t>
  </si>
  <si>
    <t>KANDARAKIS STYLIANOS</t>
  </si>
  <si>
    <t>17 E 102ND ST - 8 WEST</t>
  </si>
  <si>
    <t>E0352707</t>
  </si>
  <si>
    <t>ALLEN-DICKER JOSUA</t>
  </si>
  <si>
    <t>Allen-DickerJoshua</t>
  </si>
  <si>
    <t>ALLEN-DICKER JOSHUA DR.</t>
  </si>
  <si>
    <t>ALLEN-DICKER JOSHUA WILL</t>
  </si>
  <si>
    <t>BERLER DAVID DR.</t>
  </si>
  <si>
    <t>PERL MARCEL</t>
  </si>
  <si>
    <t>1000 10TH AVE RM 3A-15, DEPARTMENT OF MEDICINE</t>
  </si>
  <si>
    <t>BURISH NIKKI</t>
  </si>
  <si>
    <t>AdewaleAdenlola</t>
  </si>
  <si>
    <t>ADEX PHYSICAL THERAPY PC</t>
  </si>
  <si>
    <t>AhmarButt</t>
  </si>
  <si>
    <t>E0149893</t>
  </si>
  <si>
    <t>BUTT AHMAR AZIZ MD</t>
  </si>
  <si>
    <t>BUTT AHMAR</t>
  </si>
  <si>
    <t>E0388579</t>
  </si>
  <si>
    <t>TIKHONOVA ELIZAVETA</t>
  </si>
  <si>
    <t>TikhonovaElizaveta</t>
  </si>
  <si>
    <t>E0319576</t>
  </si>
  <si>
    <t>KLEIN MICHELLE LEE</t>
  </si>
  <si>
    <t>KleinMichelle</t>
  </si>
  <si>
    <t>KLEIN MICHELLE</t>
  </si>
  <si>
    <t>5 EAST 98TH ST</t>
  </si>
  <si>
    <t>E0368349</t>
  </si>
  <si>
    <t>BANGIYEV SIMON</t>
  </si>
  <si>
    <t>BANGIYEV SIMON DR.</t>
  </si>
  <si>
    <t>3353 82ND ST APT A01</t>
  </si>
  <si>
    <t>E0400986</t>
  </si>
  <si>
    <t>GARCIA DAIRON MANUEL</t>
  </si>
  <si>
    <t>GARCIA DAIRON</t>
  </si>
  <si>
    <t>E0431003</t>
  </si>
  <si>
    <t>GRUBIN JEREMY</t>
  </si>
  <si>
    <t>GRUBIN JEREMY DR.</t>
  </si>
  <si>
    <t>E0358842</t>
  </si>
  <si>
    <t>STEPHENS EVELYN AFIF</t>
  </si>
  <si>
    <t>STEPHENS EVELYN DR.</t>
  </si>
  <si>
    <t>E0439326</t>
  </si>
  <si>
    <t>BEWLEY BENOIT RICHARD</t>
  </si>
  <si>
    <t>BEWLEY BENOIT</t>
  </si>
  <si>
    <t>E0378472</t>
  </si>
  <si>
    <t>KAMTHAN GAUTAM</t>
  </si>
  <si>
    <t>KamthanGautam</t>
  </si>
  <si>
    <t>KAMTHAN GAUTAM MR.</t>
  </si>
  <si>
    <t>BERMAN DAVID DR.</t>
  </si>
  <si>
    <t>E0136352</t>
  </si>
  <si>
    <t>HOROWITZ CAROL ROSE MD</t>
  </si>
  <si>
    <t>HorowitzCarol</t>
  </si>
  <si>
    <t>HOROWITZ CAROL</t>
  </si>
  <si>
    <t>E0071214</t>
  </si>
  <si>
    <t>OLIN JEFFREY WAYNE DO</t>
  </si>
  <si>
    <t>OlinJeffrey</t>
  </si>
  <si>
    <t>OLIN JEFFREY</t>
  </si>
  <si>
    <t>E0294823</t>
  </si>
  <si>
    <t>SRINIVAS RAO DUKKIPATI</t>
  </si>
  <si>
    <t>DukkipatiSrinivas</t>
  </si>
  <si>
    <t>DUKKIPATI SRINIVAS</t>
  </si>
  <si>
    <t>DUKKIPATI SRINIVAS RAO MD</t>
  </si>
  <si>
    <t>E0000549</t>
  </si>
  <si>
    <t>BEASLEY MARY</t>
  </si>
  <si>
    <t>BeasleyMary</t>
  </si>
  <si>
    <t>BEASLEY MARY DR.</t>
  </si>
  <si>
    <t>BEASLEY MARY BETH MD</t>
  </si>
  <si>
    <t>E0349076</t>
  </si>
  <si>
    <t>STA ANA VICTOR</t>
  </si>
  <si>
    <t>STA. ANA VICTOR DR.</t>
  </si>
  <si>
    <t>STA ANA VICTOR FRANCIS</t>
  </si>
  <si>
    <t>E0343434</t>
  </si>
  <si>
    <t>DAZZO GIUSEPPINA</t>
  </si>
  <si>
    <t>DelGrecoGiuseppina</t>
  </si>
  <si>
    <t>DEL GRECO GIUSEPPINA DR.</t>
  </si>
  <si>
    <t>DEL GRECO GIUSEPPINA</t>
  </si>
  <si>
    <t>21036 26TH AVE</t>
  </si>
  <si>
    <t>E0300089</t>
  </si>
  <si>
    <t>LEENA THOMAS</t>
  </si>
  <si>
    <t>ThomasLeena</t>
  </si>
  <si>
    <t>THOMAS LEENA</t>
  </si>
  <si>
    <t>PICKRELL AARON</t>
  </si>
  <si>
    <t>MORRISON JAMES</t>
  </si>
  <si>
    <t>GANNOT SHARON</t>
  </si>
  <si>
    <t>HUGHES KENNETH</t>
  </si>
  <si>
    <t>1 GUSTAVE L LEVY PLACE, BOX 1194</t>
  </si>
  <si>
    <t>E0340849</t>
  </si>
  <si>
    <t>SILVERMAN SUZANNE KESSLER</t>
  </si>
  <si>
    <t>FENSKE SUZANNE DR.</t>
  </si>
  <si>
    <t>FENSKE SUZANNE SILVERMAN</t>
  </si>
  <si>
    <t>E0323325</t>
  </si>
  <si>
    <t>OLIVER KRISTIN</t>
  </si>
  <si>
    <t>OLIVER KRISTIN MS.</t>
  </si>
  <si>
    <t>OLIVER KRISTIN MW</t>
  </si>
  <si>
    <t>E0347508</t>
  </si>
  <si>
    <t>BROWN LAURA E</t>
  </si>
  <si>
    <t>BROWN LAURA</t>
  </si>
  <si>
    <t>E0337837</t>
  </si>
  <si>
    <t>BERGMAN MICHAEL</t>
  </si>
  <si>
    <t>SchlusselKacie</t>
  </si>
  <si>
    <t>SCHLUSSEL KACIE</t>
  </si>
  <si>
    <t>180 WOODSIDE DR</t>
  </si>
  <si>
    <t>E0367578</t>
  </si>
  <si>
    <t>TRIESCH KRISTEN M</t>
  </si>
  <si>
    <t>TRIESCH KRISTEN</t>
  </si>
  <si>
    <t>E0332810</t>
  </si>
  <si>
    <t>KOPELL BRIAN</t>
  </si>
  <si>
    <t>KopellBrian</t>
  </si>
  <si>
    <t>KOPELL BRIAN DR.</t>
  </si>
  <si>
    <t>1 GUSTAVE L LEVY</t>
  </si>
  <si>
    <t>E0128420</t>
  </si>
  <si>
    <t>CASH BRADLEY S MD</t>
  </si>
  <si>
    <t>CashBradley</t>
  </si>
  <si>
    <t>CASH BRADLEY DR.</t>
  </si>
  <si>
    <t>E0015933</t>
  </si>
  <si>
    <t>BETCHEN SIMONE ALISE MD</t>
  </si>
  <si>
    <t>BETCHEN SIMONE</t>
  </si>
  <si>
    <t>E0104705</t>
  </si>
  <si>
    <t>OWEN RANDALL PAUL MD</t>
  </si>
  <si>
    <t>OwenRandall</t>
  </si>
  <si>
    <t>OWEN RANDALL</t>
  </si>
  <si>
    <t>E0050378</t>
  </si>
  <si>
    <t>RHEE MICHELLE K MD</t>
  </si>
  <si>
    <t>RheeMichelle</t>
  </si>
  <si>
    <t>RHEE MICHELLE DR.</t>
  </si>
  <si>
    <t>E0294149</t>
  </si>
  <si>
    <t>JOSHUA SHATZKES</t>
  </si>
  <si>
    <t>ShatzkesJoshua</t>
  </si>
  <si>
    <t>SHATZKES JOSHUA</t>
  </si>
  <si>
    <t>SHATZKES JOSHUA MD</t>
  </si>
  <si>
    <t>E0295010</t>
  </si>
  <si>
    <t>ZEICHNER JOSHUA ADAM</t>
  </si>
  <si>
    <t>ZeichnerJoshua</t>
  </si>
  <si>
    <t>ZEICHNER JOSHUA DR.</t>
  </si>
  <si>
    <t>E0311404</t>
  </si>
  <si>
    <t>SUMA DASARI</t>
  </si>
  <si>
    <t>DasariSuma</t>
  </si>
  <si>
    <t>DASARI SUMA</t>
  </si>
  <si>
    <t>COSTALES THERESA DR.</t>
  </si>
  <si>
    <t>EDWARDS JONATHAN DR.</t>
  </si>
  <si>
    <t>ERNESTISAACSON</t>
  </si>
  <si>
    <t>E0071794</t>
  </si>
  <si>
    <t>ROSEN DANIEL D</t>
  </si>
  <si>
    <t>DANIELROSEN</t>
  </si>
  <si>
    <t>ROSEN DANIEL</t>
  </si>
  <si>
    <t>ROSEN DANIEL D MD</t>
  </si>
  <si>
    <t>E0163397</t>
  </si>
  <si>
    <t>CHADI RONNY M MD</t>
  </si>
  <si>
    <t>RONNYCHADI</t>
  </si>
  <si>
    <t>CHADI RONNY DR.</t>
  </si>
  <si>
    <t>E0127596</t>
  </si>
  <si>
    <t>RAJPAR NOOR MOHAMMED MD</t>
  </si>
  <si>
    <t>RAJPAR NOOR</t>
  </si>
  <si>
    <t>E0119913</t>
  </si>
  <si>
    <t>BECKHARDT RUSSELL NEIL</t>
  </si>
  <si>
    <t>BeckhardtRussell</t>
  </si>
  <si>
    <t>BECKHARDT RUSSELL DR.</t>
  </si>
  <si>
    <t>E0171383</t>
  </si>
  <si>
    <t>ZYLBERT SUSAN LYNN MD</t>
  </si>
  <si>
    <t>ZylbertSusan</t>
  </si>
  <si>
    <t>ZYLBERT SUSAN</t>
  </si>
  <si>
    <t>E0008705</t>
  </si>
  <si>
    <t>MARGOLIES LAURIE RENELLE</t>
  </si>
  <si>
    <t>MargoliesLaurie</t>
  </si>
  <si>
    <t>MARGOLIES LAURIE</t>
  </si>
  <si>
    <t>E0182288</t>
  </si>
  <si>
    <t>BADLANI SACHAL MD</t>
  </si>
  <si>
    <t>BadlaniSachal</t>
  </si>
  <si>
    <t>BADLANI SACHAL</t>
  </si>
  <si>
    <t>E0336542</t>
  </si>
  <si>
    <t>BENRATH MICHELLE</t>
  </si>
  <si>
    <t>BenrathMichelle</t>
  </si>
  <si>
    <t>BENRATH MICHELLE MISS</t>
  </si>
  <si>
    <t>BENRATH MICHELLE CHAMBLISS</t>
  </si>
  <si>
    <t>E0041668</t>
  </si>
  <si>
    <t>BREEN TRACY LYNN MD</t>
  </si>
  <si>
    <t>BreenTracy</t>
  </si>
  <si>
    <t>BREEN TRACY</t>
  </si>
  <si>
    <t>E0346807</t>
  </si>
  <si>
    <t>MARTINEZ MIRIAM</t>
  </si>
  <si>
    <t>MartinezMiriam</t>
  </si>
  <si>
    <t>MenchavezEdith</t>
  </si>
  <si>
    <t>MENCHAVEZ EDITH</t>
  </si>
  <si>
    <t>E0299651</t>
  </si>
  <si>
    <t>MONTEITH SHARIFA AMELIA MD</t>
  </si>
  <si>
    <t>MenonSharifa</t>
  </si>
  <si>
    <t>MENON SHARIFA</t>
  </si>
  <si>
    <t>MENON SHARIFA AMELIA MD</t>
  </si>
  <si>
    <t>1176 FIFTH AVE</t>
  </si>
  <si>
    <t>E0402590</t>
  </si>
  <si>
    <t>MERRILL MADELINE</t>
  </si>
  <si>
    <t>MerrillMadeline</t>
  </si>
  <si>
    <t>E0398863</t>
  </si>
  <si>
    <t>MOCCO J</t>
  </si>
  <si>
    <t>MoccoJ.</t>
  </si>
  <si>
    <t>MOCCO J.</t>
  </si>
  <si>
    <t>CHUGH ROHIT</t>
  </si>
  <si>
    <t>420 DELAWARE ST SE, 11-100 PHILLIPS WANGENSTEEN BUILDING</t>
  </si>
  <si>
    <t>MINNEAPOLIS</t>
  </si>
  <si>
    <t>E0066110</t>
  </si>
  <si>
    <t>ESTRELLA LISSETTE</t>
  </si>
  <si>
    <t>EstrellaLissette</t>
  </si>
  <si>
    <t>ESTRELLA LISSETTE MS.</t>
  </si>
  <si>
    <t>HARTMAN JOSHUA</t>
  </si>
  <si>
    <t>TAPPER COREY</t>
  </si>
  <si>
    <t>E0447705</t>
  </si>
  <si>
    <t>MORALES EDUARDO ALEJANDRO</t>
  </si>
  <si>
    <t>MORALES EDUARDO</t>
  </si>
  <si>
    <t>ETRA AARON DR.</t>
  </si>
  <si>
    <t>E0349296</t>
  </si>
  <si>
    <t>JASON W KRELLMAN</t>
  </si>
  <si>
    <t>KrellmanJason</t>
  </si>
  <si>
    <t>KRELLMAN JASON DR.</t>
  </si>
  <si>
    <t>KRELLMAN JASON W</t>
  </si>
  <si>
    <t>E0412950</t>
  </si>
  <si>
    <t>TUFTS RYAN</t>
  </si>
  <si>
    <t>TUFTS RYAN DR.</t>
  </si>
  <si>
    <t>TUFTS RYAN EUGENE</t>
  </si>
  <si>
    <t>WONG SERRE-YU DR.</t>
  </si>
  <si>
    <t>E0136565</t>
  </si>
  <si>
    <t>NIR YAIR JACOB</t>
  </si>
  <si>
    <t>JACOBNIR</t>
  </si>
  <si>
    <t>NIR JACOB</t>
  </si>
  <si>
    <t>E0303339</t>
  </si>
  <si>
    <t>LANDERER DAVID</t>
  </si>
  <si>
    <t>DAVIDLANDERER</t>
  </si>
  <si>
    <t>E0387549</t>
  </si>
  <si>
    <t>BUNAL NORWIN SHU</t>
  </si>
  <si>
    <t>BunalNorwin</t>
  </si>
  <si>
    <t>BUNAL NORWIN</t>
  </si>
  <si>
    <t>1 GUSTAVE L LEVY PL RM 655 # 1030</t>
  </si>
  <si>
    <t>E0276575</t>
  </si>
  <si>
    <t>CUNNINGHAM-RUNDLES C       MD</t>
  </si>
  <si>
    <t>Cunningham-RundlesCharlotte</t>
  </si>
  <si>
    <t>CUNNINGHAM-RUNDLES CHARLOTTE DR.</t>
  </si>
  <si>
    <t>O MALLEY GRENYE DR.</t>
  </si>
  <si>
    <t>E0085631</t>
  </si>
  <si>
    <t>RINALDI PAUL J</t>
  </si>
  <si>
    <t>RinaldiPaulJ.</t>
  </si>
  <si>
    <t>RINALDI PAUL</t>
  </si>
  <si>
    <t>REESAROBERTS</t>
  </si>
  <si>
    <t>E0373472</t>
  </si>
  <si>
    <t>ROBERTS REESA</t>
  </si>
  <si>
    <t>ROBERTS REESA MS.</t>
  </si>
  <si>
    <t>ROBERTS REESA SHELLEY-ANN</t>
  </si>
  <si>
    <t>MARQUITARODRIGUEZ</t>
  </si>
  <si>
    <t>E0373139</t>
  </si>
  <si>
    <t>RODRIGUEZ MARQUITA</t>
  </si>
  <si>
    <t>RODRIGUEZ MARQUITA MRS.</t>
  </si>
  <si>
    <t>SUSANRUBIN</t>
  </si>
  <si>
    <t>TIMOTHYRYNTZ</t>
  </si>
  <si>
    <t>ARIELSAMACH</t>
  </si>
  <si>
    <t>E0392484</t>
  </si>
  <si>
    <t>SAMACH ARIEL</t>
  </si>
  <si>
    <t>DANASCHONBERG</t>
  </si>
  <si>
    <t>CECILYSCHWIMMER</t>
  </si>
  <si>
    <t>E0325825</t>
  </si>
  <si>
    <t>SCHWIMMER CECEILY ELIZABETH</t>
  </si>
  <si>
    <t>SCHWIMMER CECILY MS.</t>
  </si>
  <si>
    <t>RANISHANKAR</t>
  </si>
  <si>
    <t>E0290529</t>
  </si>
  <si>
    <t>SHANKAR RANI</t>
  </si>
  <si>
    <t>SHANKAR RANI MS.</t>
  </si>
  <si>
    <t>NOAASHIMONI</t>
  </si>
  <si>
    <t>E0012417</t>
  </si>
  <si>
    <t>SHIMONI NOAA MD</t>
  </si>
  <si>
    <t>SHIMONI NOA'A</t>
  </si>
  <si>
    <t>E0000221</t>
  </si>
  <si>
    <t>REYNA MARIA ANAIZZA A SAMSON</t>
  </si>
  <si>
    <t>ReynaMaria</t>
  </si>
  <si>
    <t>REYNA MARIA</t>
  </si>
  <si>
    <t>LEE KRISTEN DR.</t>
  </si>
  <si>
    <t>511 COURTYARD DR, BLDG. 500</t>
  </si>
  <si>
    <t>HILLSBOROUGH</t>
  </si>
  <si>
    <t>E0338857</t>
  </si>
  <si>
    <t>AGARWAL RITU</t>
  </si>
  <si>
    <t>AGARWAL RITU DR.</t>
  </si>
  <si>
    <t>E0296240</t>
  </si>
  <si>
    <t>PATTERSON SHANNA</t>
  </si>
  <si>
    <t>PattersonShannaKathlyn</t>
  </si>
  <si>
    <t>PATTERSON SHANNA DR.</t>
  </si>
  <si>
    <t>PATTERSON SHANNA KATHLYN</t>
  </si>
  <si>
    <t>425 WEST 59TH ST</t>
  </si>
  <si>
    <t>E0294834</t>
  </si>
  <si>
    <t>AARON PATRICK TANSY</t>
  </si>
  <si>
    <t>TansyAaron</t>
  </si>
  <si>
    <t>TANSY AARON DR.</t>
  </si>
  <si>
    <t>TANSY AARON PATRICK</t>
  </si>
  <si>
    <t>501 SEAVIEW AVE STE 104</t>
  </si>
  <si>
    <t>E0442835</t>
  </si>
  <si>
    <t>PERRY EILEEN</t>
  </si>
  <si>
    <t>PerryEileenL.</t>
  </si>
  <si>
    <t>PERRY EILEEN MRS.</t>
  </si>
  <si>
    <t>PERRY EILEEN LOUISE</t>
  </si>
  <si>
    <t>E0021186</t>
  </si>
  <si>
    <t>AULT KATHLEEN</t>
  </si>
  <si>
    <t>AultKathleen</t>
  </si>
  <si>
    <t>AULT KATHLEEN MS.</t>
  </si>
  <si>
    <t>E0392170</t>
  </si>
  <si>
    <t>QIAN CHENG</t>
  </si>
  <si>
    <t>E0089501</t>
  </si>
  <si>
    <t>CHUANG DENISE ONG MD</t>
  </si>
  <si>
    <t>DeniseOChuang</t>
  </si>
  <si>
    <t>CHUANG DENISE</t>
  </si>
  <si>
    <t>MSHQ</t>
  </si>
  <si>
    <t>E0312311</t>
  </si>
  <si>
    <t>JOHNSON JESSE THOMAS II</t>
  </si>
  <si>
    <t>MR.JESSEJOHNSON</t>
  </si>
  <si>
    <t>JOHNSON JESSE MR.</t>
  </si>
  <si>
    <t>E0034300</t>
  </si>
  <si>
    <t>SOO-HOO DORENE M</t>
  </si>
  <si>
    <t>DORENESOO-HOO</t>
  </si>
  <si>
    <t>SOO-HOO DORENE</t>
  </si>
  <si>
    <t>110 LAFAYETTE STREET STE 603</t>
  </si>
  <si>
    <t>E0287465</t>
  </si>
  <si>
    <t>CHAFIAN DAVID JONATHAN MD</t>
  </si>
  <si>
    <t>DAVIDCHAFIIAN</t>
  </si>
  <si>
    <t>CHAFIIAN DAVID DR.</t>
  </si>
  <si>
    <t>CHAFIIAN DAVID JONATHAN  MD</t>
  </si>
  <si>
    <t>E0154409</t>
  </si>
  <si>
    <t>GRINBERG MIKHAIL</t>
  </si>
  <si>
    <t>MIKHAILGRINBERG</t>
  </si>
  <si>
    <t>SYED MUSTAFA</t>
  </si>
  <si>
    <t>E0383599</t>
  </si>
  <si>
    <t>GOETZ CELINE</t>
  </si>
  <si>
    <t>GoetzCeline</t>
  </si>
  <si>
    <t>GOETZ CELINE DR.</t>
  </si>
  <si>
    <t>PATEL RUSHI DR.</t>
  </si>
  <si>
    <t>LAI GEORGE DR.</t>
  </si>
  <si>
    <t>E0363319</t>
  </si>
  <si>
    <t>GANZMAN ADAM CRAIG</t>
  </si>
  <si>
    <t>GanzmanAdam</t>
  </si>
  <si>
    <t>GANZMAN ADAM MR.</t>
  </si>
  <si>
    <t>KHAN AMIRAH</t>
  </si>
  <si>
    <t>E0139657</t>
  </si>
  <si>
    <t>BRODMAN-GRIMM KAREN F</t>
  </si>
  <si>
    <t>BrodmanKaren</t>
  </si>
  <si>
    <t>BRODMAN KAREN DR.</t>
  </si>
  <si>
    <t>BRODMAN KAREN F</t>
  </si>
  <si>
    <t>E0363642</t>
  </si>
  <si>
    <t>CARR LINH-DA VO THI</t>
  </si>
  <si>
    <t>CarrLinh-da</t>
  </si>
  <si>
    <t>CARR LINHDA</t>
  </si>
  <si>
    <t>1 GUSTAVE L LEVY PL # 11C11E</t>
  </si>
  <si>
    <t>E0384996</t>
  </si>
  <si>
    <t>IAZZETTI LORETTA</t>
  </si>
  <si>
    <t>IazzettiLoretta</t>
  </si>
  <si>
    <t>IAZZETTI LORETTA DR.</t>
  </si>
  <si>
    <t>1 GUSTAVE L LEVY PL # 1616</t>
  </si>
  <si>
    <t>E0332840</t>
  </si>
  <si>
    <t>SERGIE ZIAD</t>
  </si>
  <si>
    <t>E0257471</t>
  </si>
  <si>
    <t>GELDWERT JOSEF J DPM</t>
  </si>
  <si>
    <t>JOSEFGELDWERT</t>
  </si>
  <si>
    <t>GELDWERT JOSEF DR.</t>
  </si>
  <si>
    <t>E0126298</t>
  </si>
  <si>
    <t>GORDIN INNA MD</t>
  </si>
  <si>
    <t>INNAGORDIN</t>
  </si>
  <si>
    <t>GORDIN INNA DR.</t>
  </si>
  <si>
    <t>SOFIAFOLK</t>
  </si>
  <si>
    <t>FOLK SOFIA</t>
  </si>
  <si>
    <t>1-ST AVE AT 16-TH ST</t>
  </si>
  <si>
    <t>E0289269</t>
  </si>
  <si>
    <t>FU PAULINE</t>
  </si>
  <si>
    <t>PAULINEFU</t>
  </si>
  <si>
    <t>FU PAULINE DR.</t>
  </si>
  <si>
    <t>FU PAULINE POLIN DPM</t>
  </si>
  <si>
    <t>E0209003</t>
  </si>
  <si>
    <t>KRAUSZ ROBERT B MD</t>
  </si>
  <si>
    <t>ROBERTKRAUSZ</t>
  </si>
  <si>
    <t>KRAUSZ ROBERT DR.</t>
  </si>
  <si>
    <t>E0028785</t>
  </si>
  <si>
    <t>FAIZ ARIFA MD</t>
  </si>
  <si>
    <t>DR.ARIFAFAIZ</t>
  </si>
  <si>
    <t>FAIZ ARIFA DR.</t>
  </si>
  <si>
    <t>E0008871</t>
  </si>
  <si>
    <t>MAHTEMENWOK YOHANNES</t>
  </si>
  <si>
    <t>DR.YOHANNESMAHTEMEWORK</t>
  </si>
  <si>
    <t>MAHTEMEWORK YOHANNES DR.</t>
  </si>
  <si>
    <t>MS.ANNEKUKRAL</t>
  </si>
  <si>
    <t>KUKRAL ANNE MS.</t>
  </si>
  <si>
    <t>1ST AVE AT 16TH STREET, BIMC PETRIE DIVISION</t>
  </si>
  <si>
    <t>CatholicGuardianServices</t>
  </si>
  <si>
    <t>E0231332</t>
  </si>
  <si>
    <t>CATHOLIC GUARD SOC VICTOR ST</t>
  </si>
  <si>
    <t>CraigLongley</t>
  </si>
  <si>
    <t>clongley@catholicguardian.org</t>
  </si>
  <si>
    <t>CATHOLIC GUARDIAN SOCIETY &amp; HOME BUREAU</t>
  </si>
  <si>
    <t>1858 VICTOR ST</t>
  </si>
  <si>
    <t>E0226325</t>
  </si>
  <si>
    <t>CATHOLIC GUARD SOC DRESDEN</t>
  </si>
  <si>
    <t>DRESDEN ICF</t>
  </si>
  <si>
    <t>E0227924</t>
  </si>
  <si>
    <t>CATHOLIC GUARD SOC W 23RD ST</t>
  </si>
  <si>
    <t>WEST 23RD ST ICF</t>
  </si>
  <si>
    <t>E0188533</t>
  </si>
  <si>
    <t>CATHOLIC GUARD SOC E 243RD ST</t>
  </si>
  <si>
    <t>E 243RD ST ICF</t>
  </si>
  <si>
    <t>E0188402</t>
  </si>
  <si>
    <t>CATHOLIC GUARD SOC LACOMBE AV</t>
  </si>
  <si>
    <t>LACOMBE AVE ICF</t>
  </si>
  <si>
    <t>E0227925</t>
  </si>
  <si>
    <t>CATHOLIC GUARD SOC HAMPTN BAY</t>
  </si>
  <si>
    <t>HAMPTON BAYS ICF</t>
  </si>
  <si>
    <t>E0226817</t>
  </si>
  <si>
    <t>CATHOLIC GUARD SOC E HAMPTON</t>
  </si>
  <si>
    <t>EAST HAMPTON ICF</t>
  </si>
  <si>
    <t>E0382651</t>
  </si>
  <si>
    <t>GULKO PERCIO</t>
  </si>
  <si>
    <t>GulkoPercio</t>
  </si>
  <si>
    <t>GULKO PERCIO S</t>
  </si>
  <si>
    <t>CABOT JENNIFER</t>
  </si>
  <si>
    <t>330 BROOKLINE AVE</t>
  </si>
  <si>
    <t>E0372384</t>
  </si>
  <si>
    <t>BINGHAM CATHERINE HEGARTY</t>
  </si>
  <si>
    <t>BinghamCatherine</t>
  </si>
  <si>
    <t>BINGHAM CATHERINE</t>
  </si>
  <si>
    <t>E0200362</t>
  </si>
  <si>
    <t>SHULMAN JOANNA F           MD</t>
  </si>
  <si>
    <t>SHULMAN JOANNA</t>
  </si>
  <si>
    <t>E0355298</t>
  </si>
  <si>
    <t>SFAKIANOS JOHN</t>
  </si>
  <si>
    <t>SfakianosJohn</t>
  </si>
  <si>
    <t>PO BOX 28284</t>
  </si>
  <si>
    <t>StamaterakisHarula</t>
  </si>
  <si>
    <t>STAMATERKIS HARULA MS.</t>
  </si>
  <si>
    <t>E0323266</t>
  </si>
  <si>
    <t>DIMAIO CHRISTOPHE</t>
  </si>
  <si>
    <t>DiMaioChristopher</t>
  </si>
  <si>
    <t>DIMAIO CHRISTOPHER</t>
  </si>
  <si>
    <t>DIMAIO CHRISTOPHER JOHN</t>
  </si>
  <si>
    <t>E0320536</t>
  </si>
  <si>
    <t>REID-ADAM JESSICA MD</t>
  </si>
  <si>
    <t>Reid-AdamJessica</t>
  </si>
  <si>
    <t>REID-ADAM JESSICA</t>
  </si>
  <si>
    <t>MIDDLETON SONDRA MS.</t>
  </si>
  <si>
    <t>350 E 17TH ST, 3RD FLOOR</t>
  </si>
  <si>
    <t>E0034430</t>
  </si>
  <si>
    <t>LIU LAWRENCE CHAD UYTENGSU MD</t>
  </si>
  <si>
    <t>LiuLawrence</t>
  </si>
  <si>
    <t>LIU LAWRENCE</t>
  </si>
  <si>
    <t>LIU LAWRENCE CHAD UYTENGSU</t>
  </si>
  <si>
    <t>E0279650</t>
  </si>
  <si>
    <t>STEIN RICHARD M            MD</t>
  </si>
  <si>
    <t>SteinRichard</t>
  </si>
  <si>
    <t>STEIN RICHARD</t>
  </si>
  <si>
    <t>19 E 98TH ST # 7AB</t>
  </si>
  <si>
    <t>E0359937</t>
  </si>
  <si>
    <t>SILVERSTEIN JESSICA K</t>
  </si>
  <si>
    <t>HARRIS JESSICA MS.</t>
  </si>
  <si>
    <t>229 E 79TH ST STE 1</t>
  </si>
  <si>
    <t>E0435209</t>
  </si>
  <si>
    <t>MONCADA DANA</t>
  </si>
  <si>
    <t>MoncadaDanaLauren</t>
  </si>
  <si>
    <t>MONCADA DANA MISS</t>
  </si>
  <si>
    <t>8686 BAY PKWY</t>
  </si>
  <si>
    <t>HARIPRASHAD ANITA</t>
  </si>
  <si>
    <t>KimSarah</t>
  </si>
  <si>
    <t>KIM SARA</t>
  </si>
  <si>
    <t>E0144631</t>
  </si>
  <si>
    <t>RODITIS NICHOLAS MD</t>
  </si>
  <si>
    <t>RoditisNicholas</t>
  </si>
  <si>
    <t>RODITIS NICHOLAS DR.</t>
  </si>
  <si>
    <t>RAMER NAOMI</t>
  </si>
  <si>
    <t>1 GUSTAVE L LEVY PL, PATHOLOGY,</t>
  </si>
  <si>
    <t>E0364434</t>
  </si>
  <si>
    <t>HIRSHSON CHARI ILANA</t>
  </si>
  <si>
    <t>HirshsonChari</t>
  </si>
  <si>
    <t>HIRSHSON CHARI DR.</t>
  </si>
  <si>
    <t>HyattAlexander</t>
  </si>
  <si>
    <t>HYATT ALEXANDER DR.</t>
  </si>
  <si>
    <t>350 ENGLE ST, ENGLEWOOD HOSPITAL AND MEDICAL CENTER</t>
  </si>
  <si>
    <t>E0300189</t>
  </si>
  <si>
    <t>IRINA ILYASOV</t>
  </si>
  <si>
    <t>IlyasovIrina</t>
  </si>
  <si>
    <t>ILYASOV IRINA</t>
  </si>
  <si>
    <t>8686 BAY PKWY STE M4</t>
  </si>
  <si>
    <t>IttyAny</t>
  </si>
  <si>
    <t>E0405324</t>
  </si>
  <si>
    <t>SHAH ANAR D</t>
  </si>
  <si>
    <t>SHAH ANAR DR.</t>
  </si>
  <si>
    <t>SHAH ANAR DINESH</t>
  </si>
  <si>
    <t>KULKARNI AMITA</t>
  </si>
  <si>
    <t>297 WALNUT ST</t>
  </si>
  <si>
    <t>E0334266</t>
  </si>
  <si>
    <t>BUHION CAROLINE</t>
  </si>
  <si>
    <t>BuhionCaroline</t>
  </si>
  <si>
    <t>BUHION CAROLINE J</t>
  </si>
  <si>
    <t>PatelDharti</t>
  </si>
  <si>
    <t>PATEL DHARTI</t>
  </si>
  <si>
    <t>330 E 46TH ST, 8R</t>
  </si>
  <si>
    <t>E0340106</t>
  </si>
  <si>
    <t>DEMICCO ELIZABETH</t>
  </si>
  <si>
    <t>DEMICCO ELIZABETH DR.</t>
  </si>
  <si>
    <t>DEMICCO ELIZABETH GRACE</t>
  </si>
  <si>
    <t>E0414958</t>
  </si>
  <si>
    <t>COHEN RACHEL ARIELA</t>
  </si>
  <si>
    <t>CohenRachelA.</t>
  </si>
  <si>
    <t>COHEN RACHEL</t>
  </si>
  <si>
    <t>780 8TH AVE STE 303</t>
  </si>
  <si>
    <t>E0385408</t>
  </si>
  <si>
    <t>CACES PHYLLIS ADRIENNE R</t>
  </si>
  <si>
    <t>CACES PHYLLIS ADRIENNE DR.</t>
  </si>
  <si>
    <t>CACES PHYLLIS ADRIENNE ROMERO</t>
  </si>
  <si>
    <t>KagaMai</t>
  </si>
  <si>
    <t>KAGA MAI DR.</t>
  </si>
  <si>
    <t>350 E 17TH ST, 20 BAIRD HALL</t>
  </si>
  <si>
    <t>E0199974</t>
  </si>
  <si>
    <t>STERN ERIC HOWARD          MD</t>
  </si>
  <si>
    <t>STERN ERIC</t>
  </si>
  <si>
    <t>E0371290</t>
  </si>
  <si>
    <t>GALE GREGORY MARK</t>
  </si>
  <si>
    <t>GALE GREGORY DR.</t>
  </si>
  <si>
    <t>E0071833</t>
  </si>
  <si>
    <t>HE JOHN CIJIANG</t>
  </si>
  <si>
    <t>HeJohn</t>
  </si>
  <si>
    <t>HE JOHN</t>
  </si>
  <si>
    <t>E0222153</t>
  </si>
  <si>
    <t>ARIDA GEORGE N             MD</t>
  </si>
  <si>
    <t>ARIDA GEORGE</t>
  </si>
  <si>
    <t>ARIDA GEORGE N</t>
  </si>
  <si>
    <t>E0009912</t>
  </si>
  <si>
    <t>COX AMANDA LOUISE MD</t>
  </si>
  <si>
    <t>CoxAmanda</t>
  </si>
  <si>
    <t>COX AMANDA</t>
  </si>
  <si>
    <t>81 WILLOUGHBY ST</t>
  </si>
  <si>
    <t>E0032733</t>
  </si>
  <si>
    <t>CESPEDES MICHELLE SIMONE</t>
  </si>
  <si>
    <t>CespedesMichelle</t>
  </si>
  <si>
    <t>CESPEDES MICHELLE DR.</t>
  </si>
  <si>
    <t>OteroMostaceroDiana</t>
  </si>
  <si>
    <t>OTERO MOSTACERO DIANA</t>
  </si>
  <si>
    <t>709 S 3RD ST APT 824</t>
  </si>
  <si>
    <t>ZHANG ZHOU DR.</t>
  </si>
  <si>
    <t>WEBSTER TYLER DR.</t>
  </si>
  <si>
    <t>3460 14TH ST NW, APT 105</t>
  </si>
  <si>
    <t>E0364859</t>
  </si>
  <si>
    <t>MONTEALEGRE MARIA ELENA GWEB</t>
  </si>
  <si>
    <t>MontealegreMaria</t>
  </si>
  <si>
    <t>MONTEALEGRE MARIA MRS.</t>
  </si>
  <si>
    <t>MONTEALEGRE MARIA ELENA GUIEB</t>
  </si>
  <si>
    <t>E0365871</t>
  </si>
  <si>
    <t>D'HAITI DESPINOS MARJORY</t>
  </si>
  <si>
    <t>D'HaitiDespinosMarjory</t>
  </si>
  <si>
    <t>D'HAITI DESPINOS MARJORY MRS.</t>
  </si>
  <si>
    <t>1 GUSTAVE L LEVY PL FL 8 # 8E</t>
  </si>
  <si>
    <t>E0184146</t>
  </si>
  <si>
    <t>SEALFON STUART C MD</t>
  </si>
  <si>
    <t>SealfonStuart</t>
  </si>
  <si>
    <t>SEALFON STUART</t>
  </si>
  <si>
    <t>E0346263</t>
  </si>
  <si>
    <t>MALBARI ALEFIYAH</t>
  </si>
  <si>
    <t>MalbariAlefiyah</t>
  </si>
  <si>
    <t>MALBARI ALEFIYAH DR.</t>
  </si>
  <si>
    <t>E0295138</t>
  </si>
  <si>
    <t>COLEMAN TIA</t>
  </si>
  <si>
    <t>ColemanTia</t>
  </si>
  <si>
    <t>E0361780</t>
  </si>
  <si>
    <t>WADHERA VIKRAM</t>
  </si>
  <si>
    <t>WADHERA VIKRAM DR.</t>
  </si>
  <si>
    <t>E0304923</t>
  </si>
  <si>
    <t>GLASSBERG JEFFREY AVINS MD</t>
  </si>
  <si>
    <t>GlassbergJeffrey</t>
  </si>
  <si>
    <t>GLASSBERG JEFFREY DR.</t>
  </si>
  <si>
    <t>BAVISHI CHIRAG</t>
  </si>
  <si>
    <t>RICART THOMAS DR.</t>
  </si>
  <si>
    <t>60 ADAMS TER</t>
  </si>
  <si>
    <t>CLIFTON</t>
  </si>
  <si>
    <t>LA BATTAGLIA WILLIAM MR.</t>
  </si>
  <si>
    <t>10 UNION SQ E, SUITE 3 A DEPT. OF UROLOGY</t>
  </si>
  <si>
    <t>RIOLO THOMAS DR.</t>
  </si>
  <si>
    <t>5500 MERRICK RD</t>
  </si>
  <si>
    <t>E0102955</t>
  </si>
  <si>
    <t>MANNINO MICHAEL M</t>
  </si>
  <si>
    <t>ManninoMichael</t>
  </si>
  <si>
    <t>MANNINO MICHAEL</t>
  </si>
  <si>
    <t>E0320569</t>
  </si>
  <si>
    <t>KIM JESSIE</t>
  </si>
  <si>
    <t>KimJessieJi-Ae</t>
  </si>
  <si>
    <t>6301 MILL LN</t>
  </si>
  <si>
    <t>E0090947</t>
  </si>
  <si>
    <t>DELAET DAVID EDWARD MD</t>
  </si>
  <si>
    <t>DELAET DAVID</t>
  </si>
  <si>
    <t>E0405827</t>
  </si>
  <si>
    <t>BOGUSLAVSKIY BORIS</t>
  </si>
  <si>
    <t>BoguslavskiyBoris</t>
  </si>
  <si>
    <t>BOGUSLAVSKIY BORIS MR.</t>
  </si>
  <si>
    <t>JamesSarah</t>
  </si>
  <si>
    <t>JAMES SARAH MRS.</t>
  </si>
  <si>
    <t>E0370250</t>
  </si>
  <si>
    <t>NEWMAN MARISSA</t>
  </si>
  <si>
    <t>NewmanMarissa</t>
  </si>
  <si>
    <t>NEWMAN MARISSA DR.</t>
  </si>
  <si>
    <t>E0417117</t>
  </si>
  <si>
    <t>WANG LINDA</t>
  </si>
  <si>
    <t>WangLinda</t>
  </si>
  <si>
    <t>WANG LINDA DR.</t>
  </si>
  <si>
    <t>QUINTERO LUIS DR.</t>
  </si>
  <si>
    <t>410 LAKEVILLE RD, SUITE NUMBER 107</t>
  </si>
  <si>
    <t>MOERDLER SCOTT</t>
  </si>
  <si>
    <t>3333 HENRY HUDSON PKWY</t>
  </si>
  <si>
    <t>MAKINO JUN</t>
  </si>
  <si>
    <t>E0409989</t>
  </si>
  <si>
    <t>QAYYUM ROOMANA</t>
  </si>
  <si>
    <t>KorzekwinskiErica</t>
  </si>
  <si>
    <t>KORZEKWINSKI ERICA</t>
  </si>
  <si>
    <t>1000 TENTH AVENUE, SUITE 5G-80</t>
  </si>
  <si>
    <t>E0042430</t>
  </si>
  <si>
    <t>KAUFMAN LEWIS MD</t>
  </si>
  <si>
    <t>KAUFMAN LEWIS</t>
  </si>
  <si>
    <t>E0024584</t>
  </si>
  <si>
    <t>QIU LIBO MD</t>
  </si>
  <si>
    <t>QiuLibo</t>
  </si>
  <si>
    <t>QIU LIBO</t>
  </si>
  <si>
    <t>E0223913</t>
  </si>
  <si>
    <t>CATHOLIC GUARD SOC MARION LN</t>
  </si>
  <si>
    <t>MARION LANE ICF</t>
  </si>
  <si>
    <t>CioconDavid</t>
  </si>
  <si>
    <t>E0163748</t>
  </si>
  <si>
    <t>COHEN BERNARD MD</t>
  </si>
  <si>
    <t>CohenBernard</t>
  </si>
  <si>
    <t>COHEN BERNARD DR.</t>
  </si>
  <si>
    <t>NEUROLOGY FAC ASSOC</t>
  </si>
  <si>
    <t>E0390267</t>
  </si>
  <si>
    <t>COLMAN RACHEL</t>
  </si>
  <si>
    <t>ColmanRachel</t>
  </si>
  <si>
    <t>E0397910</t>
  </si>
  <si>
    <t>CRARY JOHN</t>
  </si>
  <si>
    <t>CraryJohn</t>
  </si>
  <si>
    <t>DanowDebra</t>
  </si>
  <si>
    <t>DANOW DEBRA MRS.</t>
  </si>
  <si>
    <t>1468 MADISON AVE, MOUNT SINAI MEDICAL CENTER</t>
  </si>
  <si>
    <t>DemetriouNicholas</t>
  </si>
  <si>
    <t>DEMETRIOU NICHOLAS MR.</t>
  </si>
  <si>
    <t>E0326914</t>
  </si>
  <si>
    <t>DESMAN GARRETT</t>
  </si>
  <si>
    <t>DesmanGarrett</t>
  </si>
  <si>
    <t>DESMAN GARRETT DR.</t>
  </si>
  <si>
    <t>DESMAN GARRETT T</t>
  </si>
  <si>
    <t>E0450401</t>
  </si>
  <si>
    <t>DOBROWSKI KATIE LYNN</t>
  </si>
  <si>
    <t>DobrowskiKatie</t>
  </si>
  <si>
    <t>DOBROWSKI KATIE MISS</t>
  </si>
  <si>
    <t>E0025740</t>
  </si>
  <si>
    <t>EDWARDS ERIC DAVID MD</t>
  </si>
  <si>
    <t>EdwardsEric</t>
  </si>
  <si>
    <t>EDWARDS ERIC DR.</t>
  </si>
  <si>
    <t>STROHL ADAM DR.</t>
  </si>
  <si>
    <t>834 CHESTNUT ST, SUITE G114</t>
  </si>
  <si>
    <t>E0365699</t>
  </si>
  <si>
    <t>KRAVETS OLGA V</t>
  </si>
  <si>
    <t>KravetsOlga</t>
  </si>
  <si>
    <t>KRAVETS OLGA</t>
  </si>
  <si>
    <t>E0346731</t>
  </si>
  <si>
    <t>HOFSTEIN YARIV</t>
  </si>
  <si>
    <t>HofsteinYariv</t>
  </si>
  <si>
    <t>HOFSTEIN YARIV MR.</t>
  </si>
  <si>
    <t>E0285068</t>
  </si>
  <si>
    <t>VANGEEPURAM NITA MD</t>
  </si>
  <si>
    <t>VangeepuramNita</t>
  </si>
  <si>
    <t>VANGEEPURAM NITA</t>
  </si>
  <si>
    <t>1 GUSTAVE L LEVY PL # 1202A, # 1200</t>
  </si>
  <si>
    <t>E0348732</t>
  </si>
  <si>
    <t>STRONG NOEL KRISTI</t>
  </si>
  <si>
    <t>StrongNoel</t>
  </si>
  <si>
    <t>STRONG NOEL DR.</t>
  </si>
  <si>
    <t>E0362216</t>
  </si>
  <si>
    <t>ZHANG LINDA PING</t>
  </si>
  <si>
    <t>ZhangLinda</t>
  </si>
  <si>
    <t>ZHANG LINDA</t>
  </si>
  <si>
    <t>E0369322</t>
  </si>
  <si>
    <t>BOWE ADRAENNE</t>
  </si>
  <si>
    <t>BoweAdraenne</t>
  </si>
  <si>
    <t>365 5TH AVE # 6-422</t>
  </si>
  <si>
    <t>EMILYSMITH</t>
  </si>
  <si>
    <t>E0397476</t>
  </si>
  <si>
    <t>SMITH EMILY KATHERINE</t>
  </si>
  <si>
    <t>SMITH EMILY MISS</t>
  </si>
  <si>
    <t>RobertMorrow</t>
  </si>
  <si>
    <t>E0274628</t>
  </si>
  <si>
    <t>MORROW ROBERT W            MD</t>
  </si>
  <si>
    <t>(718) 884-9803</t>
  </si>
  <si>
    <t>rwmorrowmd@aol.com,moepractice@gmail.com</t>
  </si>
  <si>
    <t>MORROW ROBERT</t>
  </si>
  <si>
    <t>5997 RIVERDALE AVE</t>
  </si>
  <si>
    <t>RuchiAgarwal</t>
  </si>
  <si>
    <t>(917) 828-0092</t>
  </si>
  <si>
    <t>wellcareobgyn@gmail.com</t>
  </si>
  <si>
    <t>SusanDohNutakor</t>
  </si>
  <si>
    <t>E0332887</t>
  </si>
  <si>
    <t>DOH SUSAN NUTAKOR NP</t>
  </si>
  <si>
    <t>NUTAKOR-DOH SUSAN MRS.</t>
  </si>
  <si>
    <t>TimothyJohnson</t>
  </si>
  <si>
    <t>E0032985</t>
  </si>
  <si>
    <t>JOHNSON TIMOTHY CURTISS MD</t>
  </si>
  <si>
    <t>(646) 355-3711</t>
  </si>
  <si>
    <t>dr.johnson@urbanmedicalgroup.com</t>
  </si>
  <si>
    <t>JOHNSON TIMOTHY DR.</t>
  </si>
  <si>
    <t>JOHNSON TIMOTHY CURTISS</t>
  </si>
  <si>
    <t>TziporahThall</t>
  </si>
  <si>
    <t>THALL TZIPORAH</t>
  </si>
  <si>
    <t>100 ROSS ST</t>
  </si>
  <si>
    <t>BETHISRAELMEDICALCTRACT</t>
  </si>
  <si>
    <t>10 PEARLMAN PL</t>
  </si>
  <si>
    <t>E0429680</t>
  </si>
  <si>
    <t>MAGLIONE KATHARINE DRISCOLL</t>
  </si>
  <si>
    <t>MAGLIONE KATHARINE</t>
  </si>
  <si>
    <t>E0299990</t>
  </si>
  <si>
    <t>TOE ALBERT YEE YEE</t>
  </si>
  <si>
    <t>TOE ALBERT</t>
  </si>
  <si>
    <t>E0370483</t>
  </si>
  <si>
    <t>OWENS CRYSTAL</t>
  </si>
  <si>
    <t>OwensCrystal</t>
  </si>
  <si>
    <t>STEIN LAURA</t>
  </si>
  <si>
    <t>FOURSEASONSNRS&amp;REHCTRAD</t>
  </si>
  <si>
    <t>FOUR SEASONS NRS &amp; REH CTR</t>
  </si>
  <si>
    <t>UPPERMANHATTANMHCTRSCM</t>
  </si>
  <si>
    <t>E0142970</t>
  </si>
  <si>
    <t>UPPER MANHATTAN MH CTR SCM</t>
  </si>
  <si>
    <t>UPPER MANHATTAN MNTL HLTH CTR</t>
  </si>
  <si>
    <t>CHILD/ADOL CL</t>
  </si>
  <si>
    <t>E0365672</t>
  </si>
  <si>
    <t>BURTON HANNAH M</t>
  </si>
  <si>
    <t>BurtonHannah</t>
  </si>
  <si>
    <t>LU HANNAH</t>
  </si>
  <si>
    <t>LU HANNAH MAREAN</t>
  </si>
  <si>
    <t>MELENDEZ DAVID DR.</t>
  </si>
  <si>
    <t>2500 N STATE ST, DEPT. OF SURGERY</t>
  </si>
  <si>
    <t>WARNER EIRAN DR.</t>
  </si>
  <si>
    <t>53 BRUCEWOOD CRES.</t>
  </si>
  <si>
    <t>SHROFF ANJALI</t>
  </si>
  <si>
    <t>840 MONTCLAIR RD, SUITE 122</t>
  </si>
  <si>
    <t>O'HanlonDavid</t>
  </si>
  <si>
    <t>O'HANLON DAVID MR.</t>
  </si>
  <si>
    <t>ONE GUSTAVE L. LEVY PLACE, THE MOUNT SINAI HOSPITAL</t>
  </si>
  <si>
    <t>E0344471</t>
  </si>
  <si>
    <t>KHORASANI HOOMAN</t>
  </si>
  <si>
    <t>250 W 57TH ST</t>
  </si>
  <si>
    <t>E0409154</t>
  </si>
  <si>
    <t>COLON MODESTO J</t>
  </si>
  <si>
    <t>COLON MODESTO DR.</t>
  </si>
  <si>
    <t>1190 5TH AVE FL 2</t>
  </si>
  <si>
    <t>WILLIAMS ELBERT</t>
  </si>
  <si>
    <t>1190 5TH AVE, BOX 1028 GP2W</t>
  </si>
  <si>
    <t>LucevAnthony</t>
  </si>
  <si>
    <t>LUCEV ANTHONY DR.</t>
  </si>
  <si>
    <t>233 HARMON AVE</t>
  </si>
  <si>
    <t>MANNAN ABUL ALA SYED RIFAT DR.</t>
  </si>
  <si>
    <t>ROSEN LEIGH</t>
  </si>
  <si>
    <t>ILUYOMADE ADEDAPO DR.</t>
  </si>
  <si>
    <t>GolierJulia</t>
  </si>
  <si>
    <t>GOLIER JULIA DR.</t>
  </si>
  <si>
    <t>130 W KINGSBRIDGE RD, VA MEDICAL CENTER, OOMH</t>
  </si>
  <si>
    <t>E0132490</t>
  </si>
  <si>
    <t>GHOOI ASHOK MD</t>
  </si>
  <si>
    <t>GhooiAshok</t>
  </si>
  <si>
    <t>GHOOI ASHOK DR.</t>
  </si>
  <si>
    <t>1626 BRUCKNER BLVD</t>
  </si>
  <si>
    <t>E0359245</t>
  </si>
  <si>
    <t>HANSEN MICHAEL</t>
  </si>
  <si>
    <t>MIZRAHI MOSHE DR.</t>
  </si>
  <si>
    <t>708 AVENUE Y</t>
  </si>
  <si>
    <t>E0437843</t>
  </si>
  <si>
    <t>KONTOROVICH AMY ROSEN</t>
  </si>
  <si>
    <t>KONTOROVICH AMY DR.</t>
  </si>
  <si>
    <t>E0425443</t>
  </si>
  <si>
    <t>GOULD JAMES S</t>
  </si>
  <si>
    <t>GouldJames</t>
  </si>
  <si>
    <t>GOULD JAMES MR.</t>
  </si>
  <si>
    <t>E0367316</t>
  </si>
  <si>
    <t>MCCABE KATHLEEN MARA</t>
  </si>
  <si>
    <t>MCCABE KATHLEEN</t>
  </si>
  <si>
    <t>DARBINYAN ARMINE DR.</t>
  </si>
  <si>
    <t>E0364377</t>
  </si>
  <si>
    <t>SOLOMON BETELHEM</t>
  </si>
  <si>
    <t>SolomonBetelhem</t>
  </si>
  <si>
    <t>SOLOMON BETELHEM MISS</t>
  </si>
  <si>
    <t>1 GUSTAVE L LEVY PL GP 9W BOX 1495</t>
  </si>
  <si>
    <t>RO MARYANN DR.</t>
  </si>
  <si>
    <t>3605 193RD ST</t>
  </si>
  <si>
    <t>E0428792</t>
  </si>
  <si>
    <t>MUSLEH SARAH</t>
  </si>
  <si>
    <t>MUSLEH SARAH DR.</t>
  </si>
  <si>
    <t>LIPORACI LUCENA RAFAEL</t>
  </si>
  <si>
    <t>174 ARMISTICE BLVD</t>
  </si>
  <si>
    <t>PAWTUCKET</t>
  </si>
  <si>
    <t>E0363570</t>
  </si>
  <si>
    <t>ESCALON JULIET BEJARIN</t>
  </si>
  <si>
    <t>EscalonJuliet</t>
  </si>
  <si>
    <t>ESCALON JULIET MRS.</t>
  </si>
  <si>
    <t>MALHOTRA JYOTI</t>
  </si>
  <si>
    <t>E0322431</t>
  </si>
  <si>
    <t>BABER USMAN MD</t>
  </si>
  <si>
    <t>BaberUsman</t>
  </si>
  <si>
    <t>BABER USMAN</t>
  </si>
  <si>
    <t>E0284906</t>
  </si>
  <si>
    <t>CRISTINA A TENNYSON MD</t>
  </si>
  <si>
    <t>TennysonChristina</t>
  </si>
  <si>
    <t>TENNYSON CHRISTINA</t>
  </si>
  <si>
    <t>TENNYSON CRISTINA ANN MD</t>
  </si>
  <si>
    <t>E0101093</t>
  </si>
  <si>
    <t>ANTOSOFSKY HOWARD MD</t>
  </si>
  <si>
    <t>HOWARDANTOSOFSKY</t>
  </si>
  <si>
    <t>ANTOSOFSKY HOWARD DR.</t>
  </si>
  <si>
    <t>E0241657</t>
  </si>
  <si>
    <t>GAGE DENNIS                MD</t>
  </si>
  <si>
    <t>DENNISGAGE</t>
  </si>
  <si>
    <t>GAGE DENNIS DR.</t>
  </si>
  <si>
    <t>E0130287</t>
  </si>
  <si>
    <t>SIGAMONY MANOHAR MD</t>
  </si>
  <si>
    <t>MANOHARSIGAMONY</t>
  </si>
  <si>
    <t>SIGAMONY MANOHAR</t>
  </si>
  <si>
    <t>E0214418</t>
  </si>
  <si>
    <t>MOAZED KAMBIZ THOMAS       MD</t>
  </si>
  <si>
    <t>KAMBIZMOAZED</t>
  </si>
  <si>
    <t>MOAZED KAMBIZ DR.</t>
  </si>
  <si>
    <t>172 AMSTERDAM AVE</t>
  </si>
  <si>
    <t>E0125023</t>
  </si>
  <si>
    <t>MARTIN DEAN RANDOLPH MD</t>
  </si>
  <si>
    <t>DEANMARTIN</t>
  </si>
  <si>
    <t>MARTIN DEAN DR.</t>
  </si>
  <si>
    <t>BROOKDALE HOSP-OB/GY</t>
  </si>
  <si>
    <t>E0274642</t>
  </si>
  <si>
    <t>YUVIENCO FRANCISCO MD</t>
  </si>
  <si>
    <t>FRANCISCOYUVIENCO</t>
  </si>
  <si>
    <t>YUVIENCO FRANCISCO</t>
  </si>
  <si>
    <t>E0283403</t>
  </si>
  <si>
    <t>FERNANDO ANUSHA ROSANNE MD</t>
  </si>
  <si>
    <t>ANUSHAFERNANDO</t>
  </si>
  <si>
    <t>FERNANDO ANUSHA</t>
  </si>
  <si>
    <t>E0182866</t>
  </si>
  <si>
    <t>YUDELMAN IAN M MD</t>
  </si>
  <si>
    <t>IANYUDELMAN</t>
  </si>
  <si>
    <t>YUDELMAN IAN DR.</t>
  </si>
  <si>
    <t>LENOX HILL HOSP NETW</t>
  </si>
  <si>
    <t>E0210777</t>
  </si>
  <si>
    <t>MONJE BARTOLOME JR         MD</t>
  </si>
  <si>
    <t>BARTOLOMEMONJE</t>
  </si>
  <si>
    <t>MONJE BARTOLOME</t>
  </si>
  <si>
    <t>E0011451</t>
  </si>
  <si>
    <t>HAN-FAVER DOREEN D MD</t>
  </si>
  <si>
    <t>DOREENHANFAVER</t>
  </si>
  <si>
    <t>HAN FAVER DOREEN DR.</t>
  </si>
  <si>
    <t>E0291805</t>
  </si>
  <si>
    <t>KULMAN ILANA</t>
  </si>
  <si>
    <t>ILANAKULMAN</t>
  </si>
  <si>
    <t>KULMAN ILANA DR.</t>
  </si>
  <si>
    <t>KULMAN ILANA B</t>
  </si>
  <si>
    <t>1 GUSTAVE L LEVY PL # 1250</t>
  </si>
  <si>
    <t>FILOPEI JASON DR.</t>
  </si>
  <si>
    <t>SPINDEL STEPHEN DR.</t>
  </si>
  <si>
    <t>CenterforCommunityAlternatives,Inc.</t>
  </si>
  <si>
    <t>E0099743</t>
  </si>
  <si>
    <t>CTR FOR COMM ALTERNATIVES INC</t>
  </si>
  <si>
    <t>CENTER FOR COMMUNITY ALTERNATIVES, INC.</t>
  </si>
  <si>
    <t>E0135792</t>
  </si>
  <si>
    <t>DRAYER BURTON PAUL MD</t>
  </si>
  <si>
    <t>DRAYER BURTON</t>
  </si>
  <si>
    <t>E0296149</t>
  </si>
  <si>
    <t>AMY KELLEY</t>
  </si>
  <si>
    <t>KelleyAmy</t>
  </si>
  <si>
    <t>KELLEY AMY</t>
  </si>
  <si>
    <t>KELLEY AMY STEVES</t>
  </si>
  <si>
    <t>E0090197</t>
  </si>
  <si>
    <t>FLORMAN SANDER SCOTT</t>
  </si>
  <si>
    <t>FLORMAN SANDER DR.</t>
  </si>
  <si>
    <t>E0331187</t>
  </si>
  <si>
    <t>HORAK BRADLEY THOMAS MD</t>
  </si>
  <si>
    <t>HorakBradleyThomas</t>
  </si>
  <si>
    <t>HORAK BRADLEY DR.</t>
  </si>
  <si>
    <t>321 E 34TH ST FL 1ST</t>
  </si>
  <si>
    <t>LUO MICHAEL DR.</t>
  </si>
  <si>
    <t>TheChildren'sAidSociety</t>
  </si>
  <si>
    <t>E0273891</t>
  </si>
  <si>
    <t>CHILDRENS AID SOC-LORD MEM CL</t>
  </si>
  <si>
    <t>Dr.LisaHandwerker</t>
  </si>
  <si>
    <t>(718) 764-2410</t>
  </si>
  <si>
    <t>THE CHILDREN'S AID SOCIETY</t>
  </si>
  <si>
    <t>I.S. 218/JUMEL PL&amp;</t>
  </si>
  <si>
    <t>ABBOTTHOUSEINC</t>
  </si>
  <si>
    <t>VILLAGECENTERFORCAREAADC</t>
  </si>
  <si>
    <t>E0181259</t>
  </si>
  <si>
    <t>VILLAGE CENTER FOR CARE AADC</t>
  </si>
  <si>
    <t>VILLAGE ADULT DAY HEALTH CARE DAY TREATMENT PROGRAM</t>
  </si>
  <si>
    <t>133 WEST 20TH STREET</t>
  </si>
  <si>
    <t>TERENCECARDINALCOOKEHCC</t>
  </si>
  <si>
    <t>BROOKLYNHOSPITALCENTER</t>
  </si>
  <si>
    <t>E0274053</t>
  </si>
  <si>
    <t>All Other:: Clinic:: Hospice:: Hospital:: Pharmacy:: Substance Abuse</t>
  </si>
  <si>
    <t>QUEENSBLVDEXTENDEDCARE</t>
  </si>
  <si>
    <t>E0378632</t>
  </si>
  <si>
    <t>QUEENS BLVD EXTENDED CARE</t>
  </si>
  <si>
    <t>QUEENS BOULEVARD EXTENDED CARE FACILITY MANAGEMENT LLC</t>
  </si>
  <si>
    <t>QUEENS BLVD EXTENDED CARE FAC MGMT</t>
  </si>
  <si>
    <t>6111 QUEENS BLVD</t>
  </si>
  <si>
    <t>E0002731</t>
  </si>
  <si>
    <t>WICKHAM JASMINE</t>
  </si>
  <si>
    <t>WICKHAM JASMINE MS.</t>
  </si>
  <si>
    <t>WICKHAM JASMINE HILARY</t>
  </si>
  <si>
    <t>LIANG JOHN DR.</t>
  </si>
  <si>
    <t>10 UNION SQ E STE 5D, PHILLIPS AMBULATORY CARE CENTER</t>
  </si>
  <si>
    <t>E0368362</t>
  </si>
  <si>
    <t>TANNOUS LEIGH A</t>
  </si>
  <si>
    <t>TANNOUS LEIGH</t>
  </si>
  <si>
    <t>NOLAN KATHERINE</t>
  </si>
  <si>
    <t>4215 JUSTISON CT</t>
  </si>
  <si>
    <t>KESSLER MATTHEW</t>
  </si>
  <si>
    <t>38 INDIAN WELLS RD</t>
  </si>
  <si>
    <t>KHAING PHUE</t>
  </si>
  <si>
    <t>17 EAST 102ND STREET, 7TH FLOOR #1087</t>
  </si>
  <si>
    <t>HOANG LOAN KIM</t>
  </si>
  <si>
    <t>CARAVANOS CHRISTOPHER</t>
  </si>
  <si>
    <t>E0133635</t>
  </si>
  <si>
    <t>WAIN ABBE MICHELLE MD</t>
  </si>
  <si>
    <t>WainAbbe</t>
  </si>
  <si>
    <t>WAIN ABBE MRS.</t>
  </si>
  <si>
    <t>E0251637</t>
  </si>
  <si>
    <t>REUBEN STEPHEN W</t>
  </si>
  <si>
    <t>ReubenStephen</t>
  </si>
  <si>
    <t>REUBEN STEPHEN DR.</t>
  </si>
  <si>
    <t>6142 MASPETH AVE STE 1</t>
  </si>
  <si>
    <t>E0223291</t>
  </si>
  <si>
    <t>DELUCA PETER SALVATORE     MD</t>
  </si>
  <si>
    <t>DeLucaPeter</t>
  </si>
  <si>
    <t>DELUCA PETER</t>
  </si>
  <si>
    <t>E0142096</t>
  </si>
  <si>
    <t>AMMIRATI MICHAEL MD</t>
  </si>
  <si>
    <t>AmmiratiMichael</t>
  </si>
  <si>
    <t>AMMIRATI MICHAEL</t>
  </si>
  <si>
    <t>205 E 76TH ST</t>
  </si>
  <si>
    <t>E0384790</t>
  </si>
  <si>
    <t>PEREZ ROXANE M</t>
  </si>
  <si>
    <t>PerezRoxane</t>
  </si>
  <si>
    <t>PEREZ ROXANE MISS</t>
  </si>
  <si>
    <t>E0365447</t>
  </si>
  <si>
    <t>ABUL-HUSN NOURA SERENE</t>
  </si>
  <si>
    <t>Abul-HusnNoura</t>
  </si>
  <si>
    <t>ABUL-HUSN NOURA DR.</t>
  </si>
  <si>
    <t>E0400665</t>
  </si>
  <si>
    <t>MCFARLAND DANIEL</t>
  </si>
  <si>
    <t>MCFARLAND DANIEL DR.</t>
  </si>
  <si>
    <t>MCFARLAND DANIEL C</t>
  </si>
  <si>
    <t>E0312051</t>
  </si>
  <si>
    <t>WALLACE JAU-YANG WANG</t>
  </si>
  <si>
    <t>WANG WALLACE DR.</t>
  </si>
  <si>
    <t>WANG WALLACE JAU-YANG</t>
  </si>
  <si>
    <t>E0326765</t>
  </si>
  <si>
    <t>SEMANISION KRISTEN</t>
  </si>
  <si>
    <t>SchefkindJaclyn</t>
  </si>
  <si>
    <t>SCHEFKIND JACLYN</t>
  </si>
  <si>
    <t>59 DEEPWATER CIR</t>
  </si>
  <si>
    <t>MANALAPAN</t>
  </si>
  <si>
    <t>E0312538</t>
  </si>
  <si>
    <t>FENIG  ARIELLE OCHOA MD</t>
  </si>
  <si>
    <t>FenigArielle</t>
  </si>
  <si>
    <t>FENIG ARIELLE</t>
  </si>
  <si>
    <t>FENIG  ARIELLE OCHOA</t>
  </si>
  <si>
    <t>E0354005</t>
  </si>
  <si>
    <t>BROHL ANDREW SCOTT</t>
  </si>
  <si>
    <t>BrohlAndrew</t>
  </si>
  <si>
    <t>BROHL ANDREW DR.</t>
  </si>
  <si>
    <t>E0324704</t>
  </si>
  <si>
    <t>JENNINGS VENA WENDY</t>
  </si>
  <si>
    <t>JenningsVena</t>
  </si>
  <si>
    <t>JENNINGS VENA</t>
  </si>
  <si>
    <t>GARRARD ROBERT DR.</t>
  </si>
  <si>
    <t>DEFANTI LUCY</t>
  </si>
  <si>
    <t>1924 ALCOA HWY, UTMCK - PATHOLOGY DEPARTMENT</t>
  </si>
  <si>
    <t>E0404252</t>
  </si>
  <si>
    <t>SHAH LESHA DILIP</t>
  </si>
  <si>
    <t>SHAH LESHA DR.</t>
  </si>
  <si>
    <t>E0256762</t>
  </si>
  <si>
    <t>KAMHI EDOUAR D             MD</t>
  </si>
  <si>
    <t>KamhiEdouard</t>
  </si>
  <si>
    <t>KAMHI EDOUARD</t>
  </si>
  <si>
    <t>KAMHI EDOUAR D    MD</t>
  </si>
  <si>
    <t>E0107499</t>
  </si>
  <si>
    <t>HOLSON DAVE A MD</t>
  </si>
  <si>
    <t>HOLSON DAVE</t>
  </si>
  <si>
    <t>E0145306</t>
  </si>
  <si>
    <t>SHERZOY ALI</t>
  </si>
  <si>
    <t>SherzoyAli</t>
  </si>
  <si>
    <t>SHERZOY ALI A</t>
  </si>
  <si>
    <t>E0247391</t>
  </si>
  <si>
    <t>FIORENTINO THOMAS C        MD</t>
  </si>
  <si>
    <t>FiorentinoThomas</t>
  </si>
  <si>
    <t>FIORENTINO THOMAS</t>
  </si>
  <si>
    <t>FIORENTINO THOMAS CHARLES</t>
  </si>
  <si>
    <t>E0123462</t>
  </si>
  <si>
    <t>PATEL TRUPTIBEN</t>
  </si>
  <si>
    <t>PatelTrupti</t>
  </si>
  <si>
    <t>3335 71ST ST</t>
  </si>
  <si>
    <t>E0127735</t>
  </si>
  <si>
    <t>BATRA KAMAL KUMAR MD</t>
  </si>
  <si>
    <t>BATRA KAMAL</t>
  </si>
  <si>
    <t>3175 23RD ST</t>
  </si>
  <si>
    <t>E0019226</t>
  </si>
  <si>
    <t>NAVID KATHY FARIMA MD</t>
  </si>
  <si>
    <t>NavidKathy</t>
  </si>
  <si>
    <t>NAVID KATHY</t>
  </si>
  <si>
    <t>E0026061</t>
  </si>
  <si>
    <t>SIGREST BARBARA MD</t>
  </si>
  <si>
    <t>SigrestBarbara</t>
  </si>
  <si>
    <t>SIGREST BARBARA DR.</t>
  </si>
  <si>
    <t>E0101680</t>
  </si>
  <si>
    <t>RIGGIO SILVANA MD</t>
  </si>
  <si>
    <t>RiggioSilvana</t>
  </si>
  <si>
    <t>RIGGIO SILVANA DR.</t>
  </si>
  <si>
    <t>SieverLarry</t>
  </si>
  <si>
    <t>SIEVER LARRY PROF.</t>
  </si>
  <si>
    <t>MOUNT SINAI SCHOOL OF MEDICINE, 1 GUSTAVE L. LEVY PLACE, BOX 1230</t>
  </si>
  <si>
    <t>E0367794</t>
  </si>
  <si>
    <t>WAGNER LAURA</t>
  </si>
  <si>
    <t>WagnerLaura</t>
  </si>
  <si>
    <t>WAGNER LAURA MS.</t>
  </si>
  <si>
    <t>E0362320</t>
  </si>
  <si>
    <t>KEONINH DELTA</t>
  </si>
  <si>
    <t>KeoninhDelta</t>
  </si>
  <si>
    <t>KEONINH DELTA MS.</t>
  </si>
  <si>
    <t>INGRAM ANGELA</t>
  </si>
  <si>
    <t>MONTES LUCRESIA</t>
  </si>
  <si>
    <t>E0035542</t>
  </si>
  <si>
    <t>CHIN EDWARD H MD</t>
  </si>
  <si>
    <t>ChinEdward</t>
  </si>
  <si>
    <t>CHIN EDWARD</t>
  </si>
  <si>
    <t>CHIN EDWARD H</t>
  </si>
  <si>
    <t>BukaRobert</t>
  </si>
  <si>
    <t>BUKA ROBERT DR.</t>
  </si>
  <si>
    <t>BOBBY BUKA M.D. PC, 220 FRONT STREET</t>
  </si>
  <si>
    <t>HormigoAdilia</t>
  </si>
  <si>
    <t>E0138193</t>
  </si>
  <si>
    <t>BIANCO ANGELA T MD</t>
  </si>
  <si>
    <t>BiancoAngela</t>
  </si>
  <si>
    <t>BIANCO ANGELA</t>
  </si>
  <si>
    <t>5 EAST 98TH ST/2ND FLOOR</t>
  </si>
  <si>
    <t>E0236231</t>
  </si>
  <si>
    <t>STELZER PAUL               MD</t>
  </si>
  <si>
    <t>STELZER PAUL</t>
  </si>
  <si>
    <t>LENOX HILL - 4THFL</t>
  </si>
  <si>
    <t>E0141011</t>
  </si>
  <si>
    <t>PACCIONE JEFFREY CHARLES MD</t>
  </si>
  <si>
    <t>PaccioneJeffrey</t>
  </si>
  <si>
    <t>PACCIONE JEFFREY</t>
  </si>
  <si>
    <t>E0372802</t>
  </si>
  <si>
    <t>EDGECOMB PAUL STEVEN</t>
  </si>
  <si>
    <t>EdgecombPaul</t>
  </si>
  <si>
    <t>EDGECOMB PAUL</t>
  </si>
  <si>
    <t>E0071343</t>
  </si>
  <si>
    <t>JERVIS RAMIRO MD</t>
  </si>
  <si>
    <t>JervisRamiro</t>
  </si>
  <si>
    <t>JERVIS RAMIRO</t>
  </si>
  <si>
    <t>E0112152</t>
  </si>
  <si>
    <t>SHEARER PETER L MD</t>
  </si>
  <si>
    <t>SHEARER PETER</t>
  </si>
  <si>
    <t>E0181939</t>
  </si>
  <si>
    <t>ROSEN ALAN JEFFREY DPM</t>
  </si>
  <si>
    <t>ALANROSEN</t>
  </si>
  <si>
    <t>ROSEN ALAN DR.</t>
  </si>
  <si>
    <t>ROSEN ALAN JEFFREY</t>
  </si>
  <si>
    <t>5402 FLATLANDS AVE</t>
  </si>
  <si>
    <t>E0264889</t>
  </si>
  <si>
    <t>MODI JAYAPRAKASH J PC      MD</t>
  </si>
  <si>
    <t>JAYAPRAKASHMODI</t>
  </si>
  <si>
    <t>MODI JAYAPRAKASH</t>
  </si>
  <si>
    <t>MODI JAYAPRAKASH J</t>
  </si>
  <si>
    <t>894 BARD AVE</t>
  </si>
  <si>
    <t>E0085762</t>
  </si>
  <si>
    <t>TAN MARIA LUISA SOTTO</t>
  </si>
  <si>
    <t>Tan-SottoMaria</t>
  </si>
  <si>
    <t>TAN MARIA LUISA</t>
  </si>
  <si>
    <t>ARSENIO MED PC STE 7</t>
  </si>
  <si>
    <t>E0337147</t>
  </si>
  <si>
    <t>LUNDE BRITT MARIE</t>
  </si>
  <si>
    <t>LundeBritt</t>
  </si>
  <si>
    <t>LUNDE BRITT DR.</t>
  </si>
  <si>
    <t>E0277771</t>
  </si>
  <si>
    <t>GREENSTEIN ADRIAN          MD</t>
  </si>
  <si>
    <t>GreensteinAdrian</t>
  </si>
  <si>
    <t>GREENSTEIN ADRIAN</t>
  </si>
  <si>
    <t>GREENSTEIN ADRIAN JOSEPH MD</t>
  </si>
  <si>
    <t>E0279683</t>
  </si>
  <si>
    <t>ARON ALAN M                MD</t>
  </si>
  <si>
    <t>AronAlan</t>
  </si>
  <si>
    <t>ARON ALAN</t>
  </si>
  <si>
    <t>ARON ALAN MILFORD</t>
  </si>
  <si>
    <t>E0032174</t>
  </si>
  <si>
    <t>TENG MARITA S MD</t>
  </si>
  <si>
    <t>TengMarita</t>
  </si>
  <si>
    <t>TENG MARITA DR.</t>
  </si>
  <si>
    <t>7901 BROADWAY RM A1 # 19</t>
  </si>
  <si>
    <t>E0203079</t>
  </si>
  <si>
    <t>RADZIK ANDREW              MD</t>
  </si>
  <si>
    <t>RadzikAndrew</t>
  </si>
  <si>
    <t>RADZIK ANDREW DR.</t>
  </si>
  <si>
    <t>RADZIK ANDREW</t>
  </si>
  <si>
    <t>59 SOUTHERN BOULEVARD</t>
  </si>
  <si>
    <t>E0191760</t>
  </si>
  <si>
    <t>GREENE PAUL E MD</t>
  </si>
  <si>
    <t>GreenePaul</t>
  </si>
  <si>
    <t>GREENE PAUL DR.</t>
  </si>
  <si>
    <t>E0008991</t>
  </si>
  <si>
    <t>NOSAL SARAH CATHERINE</t>
  </si>
  <si>
    <t>SARAHNOSAL</t>
  </si>
  <si>
    <t>NOSAL SARAH DR.</t>
  </si>
  <si>
    <t>MISSPATRICIAWHITSETT</t>
  </si>
  <si>
    <t>WHITSETT PATRICIA MS.</t>
  </si>
  <si>
    <t>281 1ST AVE, 11 DAZIAN CATH LAB</t>
  </si>
  <si>
    <t>MISSLINDANIYAZOV</t>
  </si>
  <si>
    <t>NIYAZOV LINDA MISS</t>
  </si>
  <si>
    <t>1ST AVENUE 16STREET, BETH ISRAEL MEDICAL CENTER</t>
  </si>
  <si>
    <t>MS.ELMAHYPPOLITE</t>
  </si>
  <si>
    <t>HYPPOLITE ELMA MS.</t>
  </si>
  <si>
    <t>494 DUMONT AVE</t>
  </si>
  <si>
    <t>E0345241</t>
  </si>
  <si>
    <t>ZASTER YULIA</t>
  </si>
  <si>
    <t>YULIAZASTER</t>
  </si>
  <si>
    <t>248 AVENUE P</t>
  </si>
  <si>
    <t>E0064140</t>
  </si>
  <si>
    <t>ORRIS MAXINE MD</t>
  </si>
  <si>
    <t>MAXINEORRIS</t>
  </si>
  <si>
    <t>ORRIS MAXINE</t>
  </si>
  <si>
    <t>97 AMITY ST FL 4</t>
  </si>
  <si>
    <t>E0202010</t>
  </si>
  <si>
    <t>IRAJ JASMIN MOSHIRPUR      MD</t>
  </si>
  <si>
    <t>MoshirpurJasmin</t>
  </si>
  <si>
    <t>MOSHIRPUR JASMIN</t>
  </si>
  <si>
    <t>NASSAUEXTENDEDCRFACILITYA</t>
  </si>
  <si>
    <t>E0129674</t>
  </si>
  <si>
    <t>NASSAU EXTENDED CR FACILITY A</t>
  </si>
  <si>
    <t>1 GREENWICH ST</t>
  </si>
  <si>
    <t>SONDRADANTZIC</t>
  </si>
  <si>
    <t>E0321997</t>
  </si>
  <si>
    <t>DANTZIC SONDRA B</t>
  </si>
  <si>
    <t>DANTZIC SONDRA</t>
  </si>
  <si>
    <t>ILADAYANANDA</t>
  </si>
  <si>
    <t>E0335449</t>
  </si>
  <si>
    <t>DAYANANDA ILA D</t>
  </si>
  <si>
    <t>DAYANANDA ILA DR.</t>
  </si>
  <si>
    <t>GILLIANDEAN</t>
  </si>
  <si>
    <t>E0056040</t>
  </si>
  <si>
    <t>DEAN GILLIAN MD</t>
  </si>
  <si>
    <t>DEAN GILLIAN DR.</t>
  </si>
  <si>
    <t>CARMELADELPLATO</t>
  </si>
  <si>
    <t>E0373136</t>
  </si>
  <si>
    <t>DELPLATO CARMELA MARIA</t>
  </si>
  <si>
    <t>DELPLATO CARMELA MRS.</t>
  </si>
  <si>
    <t>E0088854</t>
  </si>
  <si>
    <t>DONOVAN MARY PATRICIA</t>
  </si>
  <si>
    <t>JOHNSON MARY PATRICIA</t>
  </si>
  <si>
    <t>E0290532</t>
  </si>
  <si>
    <t>OBONAGA SHEILA</t>
  </si>
  <si>
    <t>OBONAGA SHEILA MRS.</t>
  </si>
  <si>
    <t>OBONAGA SHEILA MARIA</t>
  </si>
  <si>
    <t>E0345317</t>
  </si>
  <si>
    <t>BRAHA JACK</t>
  </si>
  <si>
    <t>BRAHA JACK DR.</t>
  </si>
  <si>
    <t>SHEN JODY</t>
  </si>
  <si>
    <t>300 PASTEUR DR, ROOM H1330, MAILCODE 5621</t>
  </si>
  <si>
    <t>DAVIS DANIELA DR.</t>
  </si>
  <si>
    <t>1 GUSTAVE L LEVY PL, BOX 1512</t>
  </si>
  <si>
    <t>KimEunjung</t>
  </si>
  <si>
    <t>KIM EUNJUNG DR.</t>
  </si>
  <si>
    <t>BHAVSAR SEJAL</t>
  </si>
  <si>
    <t>270 1ST ST APT 1D</t>
  </si>
  <si>
    <t>E0148758</t>
  </si>
  <si>
    <t>CORN BETH E MD</t>
  </si>
  <si>
    <t>CornBeth</t>
  </si>
  <si>
    <t>CORN BETH</t>
  </si>
  <si>
    <t>E0300569</t>
  </si>
  <si>
    <t>HOTCHKISS HILARY</t>
  </si>
  <si>
    <t>HotchkissHilary</t>
  </si>
  <si>
    <t>5 EAST 98TH ST/10TH FL</t>
  </si>
  <si>
    <t>ANNSMITH</t>
  </si>
  <si>
    <t>E0052697</t>
  </si>
  <si>
    <t>SMITH ANN S</t>
  </si>
  <si>
    <t>SMITH ANN</t>
  </si>
  <si>
    <t>SMITH ANN SCHICKHAUS</t>
  </si>
  <si>
    <t>26 BLEEKER ST</t>
  </si>
  <si>
    <t>AkbarianSchahram</t>
  </si>
  <si>
    <t>AKBARIAN SCHAHRAM</t>
  </si>
  <si>
    <t>UMMS-PSYCHIATRY BNR1, 303 BELMONT STREET</t>
  </si>
  <si>
    <t>E0006360</t>
  </si>
  <si>
    <t>ALVAREZ MARCY SHERA</t>
  </si>
  <si>
    <t>AlvarezMarcy</t>
  </si>
  <si>
    <t>ALVAREZ MARCY DR.</t>
  </si>
  <si>
    <t>ALVAREZ MARCY SHERA DO</t>
  </si>
  <si>
    <t>E0397902</t>
  </si>
  <si>
    <t>ARINSBURG-BROOKS SUZANNE</t>
  </si>
  <si>
    <t>ArinsburgSuzanne</t>
  </si>
  <si>
    <t>ARINSBURG SUZANNE</t>
  </si>
  <si>
    <t>ARINSBURG SUZANNE AMY</t>
  </si>
  <si>
    <t>E0281218</t>
  </si>
  <si>
    <t>AUFSES ARTHUR H MD         JR</t>
  </si>
  <si>
    <t>AufsesArthur</t>
  </si>
  <si>
    <t>AUFSES ARTHUR DR.</t>
  </si>
  <si>
    <t>BorreroCharin</t>
  </si>
  <si>
    <t>BrandtJillian</t>
  </si>
  <si>
    <t>BRANDT JILLIAN MS.</t>
  </si>
  <si>
    <t>E0002927</t>
  </si>
  <si>
    <t>BRAU NORBERT</t>
  </si>
  <si>
    <t>BrauNorbert</t>
  </si>
  <si>
    <t>BRAU NORBERT MR.</t>
  </si>
  <si>
    <t>130 W KINGSBRIDGE ROAD</t>
  </si>
  <si>
    <t>E0071206</t>
  </si>
  <si>
    <t>BRENNAN MARY MARGARET</t>
  </si>
  <si>
    <t>BrennanMary</t>
  </si>
  <si>
    <t>BRENNAN MARY DR.</t>
  </si>
  <si>
    <t>E0394540</t>
  </si>
  <si>
    <t>BRESLER PRISCILLA ANN</t>
  </si>
  <si>
    <t>BreslerPriscilla</t>
  </si>
  <si>
    <t>BRESLER PRISCILLA</t>
  </si>
  <si>
    <t>BrunnerKate</t>
  </si>
  <si>
    <t>BRUNNER KATHRYN MS.</t>
  </si>
  <si>
    <t>1 GUSTAVE L LEVY PL, KLINGENSTEIN CARE CENTER, FLOOR 2</t>
  </si>
  <si>
    <t>BrysonTodd</t>
  </si>
  <si>
    <t>BRYSON TODD</t>
  </si>
  <si>
    <t>1468 MADISON AVE, MC LEVEL ROOM 201</t>
  </si>
  <si>
    <t>LOVE ANGELA</t>
  </si>
  <si>
    <t>370A 6TH AVE, APT 2</t>
  </si>
  <si>
    <t>E0292675</t>
  </si>
  <si>
    <t>PECCORALO LAUREN ALISE MD</t>
  </si>
  <si>
    <t>PeccoraloLauren</t>
  </si>
  <si>
    <t>PECCORALO LAUREN DR.</t>
  </si>
  <si>
    <t>E0011178</t>
  </si>
  <si>
    <t>BUETTNER CHRISTOPH  MD</t>
  </si>
  <si>
    <t>BuettnerChristopher</t>
  </si>
  <si>
    <t>BUETTNER CHRISTOPH</t>
  </si>
  <si>
    <t>E0308712</t>
  </si>
  <si>
    <t>MARK HERVEY GILLESPIE</t>
  </si>
  <si>
    <t>GillespieMark</t>
  </si>
  <si>
    <t>GILLESPIE MARK MR.</t>
  </si>
  <si>
    <t>GILLESPIE MARK HERVEY</t>
  </si>
  <si>
    <t>E0328332</t>
  </si>
  <si>
    <t>SAFRO BRADLEY</t>
  </si>
  <si>
    <t>SAFRO BRADLEY DR.</t>
  </si>
  <si>
    <t>82-01 37TH AVE FL 5</t>
  </si>
  <si>
    <t>LinJinying</t>
  </si>
  <si>
    <t>LIN JINYING MRS.</t>
  </si>
  <si>
    <t>STRICKLER ALLEN DR.</t>
  </si>
  <si>
    <t>115 WOODBINE LN</t>
  </si>
  <si>
    <t>AfzalImtiaz</t>
  </si>
  <si>
    <t>AFZAL IMTIAZ MRS.</t>
  </si>
  <si>
    <t>10 UNION SQ E, SUITE 3B</t>
  </si>
  <si>
    <t>SHERMAN JINGJING DR.</t>
  </si>
  <si>
    <t>1245 PARK AVE, APT 2K</t>
  </si>
  <si>
    <t>E0361667</t>
  </si>
  <si>
    <t>PEREIRA ELENA B</t>
  </si>
  <si>
    <t>PEREIRA ELENA DR.</t>
  </si>
  <si>
    <t>CHATTERJEE SAURAV DR.</t>
  </si>
  <si>
    <t>124 W 60TH ST, APT 18H</t>
  </si>
  <si>
    <t>E0336611</t>
  </si>
  <si>
    <t>CHEN DARWIN</t>
  </si>
  <si>
    <t>ChenDarwin</t>
  </si>
  <si>
    <t>CHEN DARWIN DR.</t>
  </si>
  <si>
    <t>CHEN DARWIN D</t>
  </si>
  <si>
    <t>E0338320</t>
  </si>
  <si>
    <t>ASTILL NICOLE MARCEIL</t>
  </si>
  <si>
    <t>AstillNicole</t>
  </si>
  <si>
    <t>ASTILL NICOLE DR.</t>
  </si>
  <si>
    <t>RAO MADHURI DR.</t>
  </si>
  <si>
    <t>E0329273</t>
  </si>
  <si>
    <t>SIM ALAN J</t>
  </si>
  <si>
    <t>SimAlan</t>
  </si>
  <si>
    <t>SIM ALAN DR.</t>
  </si>
  <si>
    <t>E0355378</t>
  </si>
  <si>
    <t>CHUI PATRICIA C</t>
  </si>
  <si>
    <t>ChuiPatriciaChi-Yan</t>
  </si>
  <si>
    <t>CHUI PATRICIA DR.</t>
  </si>
  <si>
    <t>ALBAHRANI YASSER DR.</t>
  </si>
  <si>
    <t>5323 HARRY HINES BOULEVARD</t>
  </si>
  <si>
    <t>IBLER ERIN</t>
  </si>
  <si>
    <t>E0220728</t>
  </si>
  <si>
    <t>LEBWOHL MARK G             MD</t>
  </si>
  <si>
    <t>LebwohlMark</t>
  </si>
  <si>
    <t>LEBWOHL MARK DR.</t>
  </si>
  <si>
    <t>DERMATOLOGY MT SINAI</t>
  </si>
  <si>
    <t>E0169991</t>
  </si>
  <si>
    <t>DAVIES TERRY F MD</t>
  </si>
  <si>
    <t>DAVIES TERRY PROF.</t>
  </si>
  <si>
    <t>E0130957</t>
  </si>
  <si>
    <t>GLADSTONE JAMES NATHANIEL MD</t>
  </si>
  <si>
    <t>GLADSTONE JAMES DR.</t>
  </si>
  <si>
    <t>MT SINAI/ORTHO/9 FL</t>
  </si>
  <si>
    <t>E0028099</t>
  </si>
  <si>
    <t>KO JONATHAN MD</t>
  </si>
  <si>
    <t>KO JONATHAN</t>
  </si>
  <si>
    <t>KO JONATHAN YOUNG MD</t>
  </si>
  <si>
    <t>E0345857</t>
  </si>
  <si>
    <t>AMIN KWAME</t>
  </si>
  <si>
    <t>AminKwame</t>
  </si>
  <si>
    <t>GavrancicTatjana</t>
  </si>
  <si>
    <t>GAVRANCIC TATJANA</t>
  </si>
  <si>
    <t>ONE HOSPITAL PLAZA</t>
  </si>
  <si>
    <t>CHAO JENNIFER</t>
  </si>
  <si>
    <t>KathuriaRitu</t>
  </si>
  <si>
    <t>KATHURIA RITU</t>
  </si>
  <si>
    <t>HSU CHRISTINA</t>
  </si>
  <si>
    <t>E0271476</t>
  </si>
  <si>
    <t>DESNICK ROBERT J           MD</t>
  </si>
  <si>
    <t>DesnickRobert</t>
  </si>
  <si>
    <t>DESNICK ROBERT DR.</t>
  </si>
  <si>
    <t>E0059187</t>
  </si>
  <si>
    <t>CHAI EMILY MD</t>
  </si>
  <si>
    <t>ChaiEmily</t>
  </si>
  <si>
    <t>CHAI EMILY</t>
  </si>
  <si>
    <t>E0115110</t>
  </si>
  <si>
    <t>BARRICELLI FLORENCE</t>
  </si>
  <si>
    <t>E0346774</t>
  </si>
  <si>
    <t>CLEMMEY PHILIP</t>
  </si>
  <si>
    <t>ClemmeyPhilip</t>
  </si>
  <si>
    <t>LUNCHEON-HILLIMAN ANDREA MS.</t>
  </si>
  <si>
    <t>TROFIMOVSKY ELINA</t>
  </si>
  <si>
    <t>3180 MAIN ST, SUITE 105</t>
  </si>
  <si>
    <t>JoyNagelberg,MD,FAAP,FAEM</t>
  </si>
  <si>
    <t>E0202353</t>
  </si>
  <si>
    <t>NAGELBERG JOYS             MD</t>
  </si>
  <si>
    <t>NAGELBERG JOY</t>
  </si>
  <si>
    <t>MichaelRichter</t>
  </si>
  <si>
    <t>(718) 897-6223</t>
  </si>
  <si>
    <t>MRichterMD@hotmail.com</t>
  </si>
  <si>
    <t>MorganaToglia</t>
  </si>
  <si>
    <t>MridulaDogra</t>
  </si>
  <si>
    <t>E0216307</t>
  </si>
  <si>
    <t>DOGRA MRIDULA</t>
  </si>
  <si>
    <t>(718) 445-0455</t>
  </si>
  <si>
    <t>mriduladogramd@gmail.com</t>
  </si>
  <si>
    <t>4264 KISSENA BLVD</t>
  </si>
  <si>
    <t>MuntazMajeed</t>
  </si>
  <si>
    <t>E0094500</t>
  </si>
  <si>
    <t>MAJEED MUNTAZ AHMAD Z M MD</t>
  </si>
  <si>
    <t>TinaMerhai</t>
  </si>
  <si>
    <t>(347) 960-9428</t>
  </si>
  <si>
    <t>merhai@live.com</t>
  </si>
  <si>
    <t>MAJEED MUNTAZ DR.</t>
  </si>
  <si>
    <t>12616 LIBERTY AVE</t>
  </si>
  <si>
    <t>NormanKlein</t>
  </si>
  <si>
    <t>E0241283</t>
  </si>
  <si>
    <t>KLEIN NORMAN I             MD</t>
  </si>
  <si>
    <t>KLEIN NORMAN DR.</t>
  </si>
  <si>
    <t>KLEIN NORMAN I</t>
  </si>
  <si>
    <t>1648 E 14TH ST</t>
  </si>
  <si>
    <t>E0046995</t>
  </si>
  <si>
    <t>NAIR AJITH P MD</t>
  </si>
  <si>
    <t>NairAjith</t>
  </si>
  <si>
    <t>NAIR AJITH</t>
  </si>
  <si>
    <t>E0363316</t>
  </si>
  <si>
    <t>DESROSIERS LAUREPHILE</t>
  </si>
  <si>
    <t>1176 5TH AVE E  LEVEL</t>
  </si>
  <si>
    <t>GOPARAJU ANIRUDHA DR.</t>
  </si>
  <si>
    <t>8181 EL MUNDO ST, APT 1104</t>
  </si>
  <si>
    <t>GRUSSIE ERWIN</t>
  </si>
  <si>
    <t>LEVY KATHLEEN</t>
  </si>
  <si>
    <t>1000 10TH AVE, ST. LUKE'S-ROOSEVELT HOSPITAL CENTER</t>
  </si>
  <si>
    <t>RAMSOOK RYAN</t>
  </si>
  <si>
    <t>E0312194</t>
  </si>
  <si>
    <t>HALL KIMBERLY TERESE</t>
  </si>
  <si>
    <t>SouffrontKimberly</t>
  </si>
  <si>
    <t>SOUFFRONT KIMBERLY DR.</t>
  </si>
  <si>
    <t>E0209382</t>
  </si>
  <si>
    <t>SPERLING RHODA             MD</t>
  </si>
  <si>
    <t>SperlingRhoda</t>
  </si>
  <si>
    <t>SPERLING RHODA DR.</t>
  </si>
  <si>
    <t>E0340330</t>
  </si>
  <si>
    <t>PATEL RAHUL SIDARTHA</t>
  </si>
  <si>
    <t>PatelRahul</t>
  </si>
  <si>
    <t>PATEL RAHUL DR.</t>
  </si>
  <si>
    <t>DonnerShari</t>
  </si>
  <si>
    <t>COHEN SHARI MRS.</t>
  </si>
  <si>
    <t>1 GUSTAVE L LEVY PL, DEPARTMENT OF MEDICINE BOX 1118</t>
  </si>
  <si>
    <t>PHANGUREH VARINDER DR.</t>
  </si>
  <si>
    <t>E0412727</t>
  </si>
  <si>
    <t>SHAH SEEMA</t>
  </si>
  <si>
    <t>SHAH SEEMA D</t>
  </si>
  <si>
    <t>SADEGHI NEDA MS.</t>
  </si>
  <si>
    <t>12016 DAHOON DR</t>
  </si>
  <si>
    <t>E0392748</t>
  </si>
  <si>
    <t>HINES ELIZABETH QUAAL</t>
  </si>
  <si>
    <t>HINES ELIZABETH</t>
  </si>
  <si>
    <t>E0371348</t>
  </si>
  <si>
    <t>JACKSON-RABINOWITZ CLAIRE LOUISE</t>
  </si>
  <si>
    <t>JACKSON-RABINOWITZ CLAIRE DR.</t>
  </si>
  <si>
    <t>E0328162</t>
  </si>
  <si>
    <t>BATISTA SHARON</t>
  </si>
  <si>
    <t>BATISTA SHARON DR.</t>
  </si>
  <si>
    <t>BATISTA SHARON MICHELLE</t>
  </si>
  <si>
    <t>1900 2ND AVE FL 9</t>
  </si>
  <si>
    <t>E0100819</t>
  </si>
  <si>
    <t>HOWELL ELIZABETH ANNE MD</t>
  </si>
  <si>
    <t>HOWELL ELIZABETH DR.</t>
  </si>
  <si>
    <t>E0280644</t>
  </si>
  <si>
    <t>JACOBSON JULIUS H II MD</t>
  </si>
  <si>
    <t>JACOBSON JULIUS DR.</t>
  </si>
  <si>
    <t>E0033078</t>
  </si>
  <si>
    <t>PELLEGRINO LORI MD</t>
  </si>
  <si>
    <t>PELLEGRINO LORI DR.</t>
  </si>
  <si>
    <t>E0232301</t>
  </si>
  <si>
    <t>ROSE ERIC ALLEN            MD</t>
  </si>
  <si>
    <t>ROSE ERIC DR.</t>
  </si>
  <si>
    <t>E0268936</t>
  </si>
  <si>
    <t>SHERMAN EDWARD M          DDS</t>
  </si>
  <si>
    <t>SHERMAN EDWARD DR.</t>
  </si>
  <si>
    <t>SHERMAN EDWARD MICHAEL</t>
  </si>
  <si>
    <t>TALBI AMANDA DR.</t>
  </si>
  <si>
    <t>310 E 14TH ST, SUITE 219</t>
  </si>
  <si>
    <t>WEISFELD DANIELLE</t>
  </si>
  <si>
    <t>303 5TH AVE, SUITE 403</t>
  </si>
  <si>
    <t>E0309490</t>
  </si>
  <si>
    <t>MATTHEW BREMER</t>
  </si>
  <si>
    <t>BREMER MATTHEW MR.</t>
  </si>
  <si>
    <t>BREMER MATTHEW</t>
  </si>
  <si>
    <t>E0396005</t>
  </si>
  <si>
    <t>CHALKER DANA F</t>
  </si>
  <si>
    <t>CHALKER DANA</t>
  </si>
  <si>
    <t>E0392154</t>
  </si>
  <si>
    <t>HOLLINGER JESSICA</t>
  </si>
  <si>
    <t>ILYAYEV EITAN</t>
  </si>
  <si>
    <t>9819 64TH AVE APT 4G</t>
  </si>
  <si>
    <t>E0416137</t>
  </si>
  <si>
    <t>PIZARRO KRIS</t>
  </si>
  <si>
    <t>ElamRashiahT.</t>
  </si>
  <si>
    <t>CHORY FIONA DR.</t>
  </si>
  <si>
    <t>350 E 17TH ST, 16 BAIRD HALL</t>
  </si>
  <si>
    <t>YANG CHUN</t>
  </si>
  <si>
    <t>PARK LAURA DR.</t>
  </si>
  <si>
    <t>9300 CAMPUS POINT DR, MC 7651</t>
  </si>
  <si>
    <t>AbdrakhmanovaIrina</t>
  </si>
  <si>
    <t>ABDRAKHMANOVA IRINA</t>
  </si>
  <si>
    <t>1 GUSTAVE LEVY PLACE, MT.SINAI HOSPITAL,</t>
  </si>
  <si>
    <t>NEW-YORK</t>
  </si>
  <si>
    <t>EdwinGouldServicesforChildren&amp;Families</t>
  </si>
  <si>
    <t>SharronMadden</t>
  </si>
  <si>
    <t>(212) 437-3524</t>
  </si>
  <si>
    <t>smadden@egscf.org</t>
  </si>
  <si>
    <t>E0367079</t>
  </si>
  <si>
    <t>ASHLEY KIMBERLY N</t>
  </si>
  <si>
    <t>AshleyKimberly</t>
  </si>
  <si>
    <t>ASHLEY KIMBERLY MS.</t>
  </si>
  <si>
    <t>E0374017</t>
  </si>
  <si>
    <t>STONE LINDSAY ERIN</t>
  </si>
  <si>
    <t>PADIYEDATHU JULIA</t>
  </si>
  <si>
    <t>PADIYEDATHU JULIA MATHEW</t>
  </si>
  <si>
    <t>KAMISETTI SEEMA</t>
  </si>
  <si>
    <t>WalshMaureen</t>
  </si>
  <si>
    <t>WALSH MAUREEN</t>
  </si>
  <si>
    <t>10 UNION SQ E STE 3K</t>
  </si>
  <si>
    <t>LOCKE ROBERT DR.</t>
  </si>
  <si>
    <t>2200 BERGQUIST DR</t>
  </si>
  <si>
    <t>LACKLAND A F B</t>
  </si>
  <si>
    <t>AKMAL ALI</t>
  </si>
  <si>
    <t>11110 MEDICAL CAMPUS RD, SUITE 147</t>
  </si>
  <si>
    <t>HAGERSTOWN</t>
  </si>
  <si>
    <t>RoussosPanagiotis</t>
  </si>
  <si>
    <t>ROUSSOS PANAGIOTIS</t>
  </si>
  <si>
    <t>RubinJulie</t>
  </si>
  <si>
    <t>RUBIN JULIE MISS</t>
  </si>
  <si>
    <t>122 WEATHER VANE DR.</t>
  </si>
  <si>
    <t>E0390287</t>
  </si>
  <si>
    <t>SARNELLI CRISSARIS</t>
  </si>
  <si>
    <t>SarnelliCrissaris</t>
  </si>
  <si>
    <t>E0453191</t>
  </si>
  <si>
    <t>SCHIFF JENNIFER ELIZABETH</t>
  </si>
  <si>
    <t>SchiffJennifer</t>
  </si>
  <si>
    <t>SCHIFF JENNIFER</t>
  </si>
  <si>
    <t>SchnurJulie</t>
  </si>
  <si>
    <t>SCHNUR JULIE DR.</t>
  </si>
  <si>
    <t>1425 MADISON AVE # 1130, MOUNT SINAI SCHOOL OF MEDICINE, DEPT. ONCOLOGICAL. SCI.</t>
  </si>
  <si>
    <t>ScolaroTheresa</t>
  </si>
  <si>
    <t>SCOLARO THERESA</t>
  </si>
  <si>
    <t>40 LAUREL LN</t>
  </si>
  <si>
    <t>LOCUST VALLEY</t>
  </si>
  <si>
    <t>E0393667</t>
  </si>
  <si>
    <t>SHAPIRO CHALRES LOUIS</t>
  </si>
  <si>
    <t>ShapiroCharles</t>
  </si>
  <si>
    <t>SHAPIRO CHARLES</t>
  </si>
  <si>
    <t>SHAPIRO CHARLES LOUIS</t>
  </si>
  <si>
    <t>HERNANDEZ KRYSTLE</t>
  </si>
  <si>
    <t>11 CENTER ST</t>
  </si>
  <si>
    <t>CRESSKILL</t>
  </si>
  <si>
    <t>PENMASTA SWETHA MS.</t>
  </si>
  <si>
    <t>22640 BEAVERDAM DR</t>
  </si>
  <si>
    <t>ASHBURN</t>
  </si>
  <si>
    <t>E0422498</t>
  </si>
  <si>
    <t>KAPLAN RICHARD IAN</t>
  </si>
  <si>
    <t>E0066696</t>
  </si>
  <si>
    <t>KIM TONIA K.  MD</t>
  </si>
  <si>
    <t>KimTonia</t>
  </si>
  <si>
    <t>KIM TONIA</t>
  </si>
  <si>
    <t>YusupovaMarina</t>
  </si>
  <si>
    <t>YUSUPOVA MARINA</t>
  </si>
  <si>
    <t>E0318271</t>
  </si>
  <si>
    <t>GARCIA HAYDEE</t>
  </si>
  <si>
    <t>GarciaHaydee</t>
  </si>
  <si>
    <t>E0297281</t>
  </si>
  <si>
    <t>MUNJAL KEVIN</t>
  </si>
  <si>
    <t>MunjalKevin</t>
  </si>
  <si>
    <t>MUNJAL KEVIN DR.</t>
  </si>
  <si>
    <t>MUNJAL KEVIN MD</t>
  </si>
  <si>
    <t>MORRISON MAXWELL DR.</t>
  </si>
  <si>
    <t>SOLANKI KANISHK</t>
  </si>
  <si>
    <t>1486 LEXINGTON AVE, APT 4C</t>
  </si>
  <si>
    <t>E0363290</t>
  </si>
  <si>
    <t>CAMILON LYDIA</t>
  </si>
  <si>
    <t>CamilonLydia</t>
  </si>
  <si>
    <t>CAMILON LYDIA D</t>
  </si>
  <si>
    <t>E0020376</t>
  </si>
  <si>
    <t>FEISTMANN JONATHAN MD</t>
  </si>
  <si>
    <t>FEISTMANN JONATHAN</t>
  </si>
  <si>
    <t>KUDRICH CHRIS</t>
  </si>
  <si>
    <t>2367-69 SECOND AVE</t>
  </si>
  <si>
    <t>E0141920</t>
  </si>
  <si>
    <t>CACCIARELLI ARMAND GERALD MD</t>
  </si>
  <si>
    <t>CACCIARELLI ARMAND DR.</t>
  </si>
  <si>
    <t>314 W 14TH ST FL 6</t>
  </si>
  <si>
    <t>E0154485</t>
  </si>
  <si>
    <t>KLEIN OSCAR MD</t>
  </si>
  <si>
    <t>KleinOscar</t>
  </si>
  <si>
    <t>KLEIN OSCAR DR.</t>
  </si>
  <si>
    <t>MEDICAL ASSOC 3RD FL</t>
  </si>
  <si>
    <t>E0342652</t>
  </si>
  <si>
    <t>VIVONA CHERIE CHRISTINE</t>
  </si>
  <si>
    <t>VivonaCherie</t>
  </si>
  <si>
    <t>VIVONA CHERIE</t>
  </si>
  <si>
    <t>JohannsBarbaraB.</t>
  </si>
  <si>
    <t>JOHANNS BARBARA MS.</t>
  </si>
  <si>
    <t>1-9 NATHAN D. PERLMAN PLACE, 6 BERNSTEIN BETH ISRAEL MEDICAL CENTER</t>
  </si>
  <si>
    <t>E0076471</t>
  </si>
  <si>
    <t>SHALHOUB ROBERT FRANCIS MD</t>
  </si>
  <si>
    <t>ShalhoubRobert</t>
  </si>
  <si>
    <t>SHALHOUB ROBERT</t>
  </si>
  <si>
    <t>E0335407</t>
  </si>
  <si>
    <t>LUDLOW SARAH BETH</t>
  </si>
  <si>
    <t>LudlowSarahBeth</t>
  </si>
  <si>
    <t>LUDLOW SARAH</t>
  </si>
  <si>
    <t>E0017940</t>
  </si>
  <si>
    <t>GAYETSKAYA YELENA</t>
  </si>
  <si>
    <t>GayetskayaYelena</t>
  </si>
  <si>
    <t>E0187357</t>
  </si>
  <si>
    <t>JEFF D KOPELMAN M D F A C S L</t>
  </si>
  <si>
    <t>KopelmanJeff</t>
  </si>
  <si>
    <t>KOPELMAN JEFF</t>
  </si>
  <si>
    <t>KOPELMAN JEFF DAVID</t>
  </si>
  <si>
    <t>E0303527</t>
  </si>
  <si>
    <t>WOLNY PETER J</t>
  </si>
  <si>
    <t>WolnyPeterJ</t>
  </si>
  <si>
    <t>WOLNY PETER</t>
  </si>
  <si>
    <t>AlexisMichelleG.</t>
  </si>
  <si>
    <t>ALEXIS MICHELLE</t>
  </si>
  <si>
    <t>E0364955</t>
  </si>
  <si>
    <t>WAUGH JENDAYI RUTHIE</t>
  </si>
  <si>
    <t>WaughJendayi</t>
  </si>
  <si>
    <t>WAUGH JENDAYI</t>
  </si>
  <si>
    <t>E0314129</t>
  </si>
  <si>
    <t>BLATE MICHELLE</t>
  </si>
  <si>
    <t>BlateMichelle</t>
  </si>
  <si>
    <t>E0062627</t>
  </si>
  <si>
    <t>WEINGARTEN NACHUM RPA</t>
  </si>
  <si>
    <t>WeingartenNachum</t>
  </si>
  <si>
    <t>WEINGARTEN NACHUM MR.</t>
  </si>
  <si>
    <t>E0312631</t>
  </si>
  <si>
    <t>JONATHAN R STIEBER MD PLLC</t>
  </si>
  <si>
    <t>JONATHAN R. STIEBER, MD, PLLC</t>
  </si>
  <si>
    <t>E0372692</t>
  </si>
  <si>
    <t>LATVINSKY LANA</t>
  </si>
  <si>
    <t>LatvinskyLana</t>
  </si>
  <si>
    <t>LATVINSKY LANA MRS.</t>
  </si>
  <si>
    <t>E0326944</t>
  </si>
  <si>
    <t>MINARA RYAN</t>
  </si>
  <si>
    <t>MinaraRyan</t>
  </si>
  <si>
    <t>MINARA RYAN DR.</t>
  </si>
  <si>
    <t>YekaterinaHorlina</t>
  </si>
  <si>
    <t>PalmieroKristinMarie</t>
  </si>
  <si>
    <t>PALMIERO KRISTIN MS.</t>
  </si>
  <si>
    <t>1-9 NATHAN D. PERLEMAN PLACE</t>
  </si>
  <si>
    <t>E0313393</t>
  </si>
  <si>
    <t>PASHMENA AHMADI</t>
  </si>
  <si>
    <t>AhmadiPashmena</t>
  </si>
  <si>
    <t>AHMADI PASHMENA</t>
  </si>
  <si>
    <t>E0370390</t>
  </si>
  <si>
    <t>DIPRISCO JOVANA</t>
  </si>
  <si>
    <t>DiPriscoJovana</t>
  </si>
  <si>
    <t>DIPRISCO JOVANA MS.</t>
  </si>
  <si>
    <t>JENNIFERAMICO</t>
  </si>
  <si>
    <t>Kyu-HanKim,DO</t>
  </si>
  <si>
    <t>E0299128</t>
  </si>
  <si>
    <t>KIM KYU-HAN MD</t>
  </si>
  <si>
    <t>KIM KYU-HAN</t>
  </si>
  <si>
    <t>EuiKim,NP</t>
  </si>
  <si>
    <t>E0371299</t>
  </si>
  <si>
    <t>KIM EUI</t>
  </si>
  <si>
    <t>ClarkLopez,MD</t>
  </si>
  <si>
    <t>E0275417</t>
  </si>
  <si>
    <t>LOPEZ CLARK FAAFP          MD</t>
  </si>
  <si>
    <t>LOPEZ CLARK DR.</t>
  </si>
  <si>
    <t>LOPEZ CLARK ROBERT MD</t>
  </si>
  <si>
    <t>60 PLAZA ST E STE 1</t>
  </si>
  <si>
    <t>AbbottHouse</t>
  </si>
  <si>
    <t>StephenRiordan</t>
  </si>
  <si>
    <t>E0139253</t>
  </si>
  <si>
    <t>GREEN SHERYL MD</t>
  </si>
  <si>
    <t>GreenSheryl</t>
  </si>
  <si>
    <t>GREEN SHERYL</t>
  </si>
  <si>
    <t>E0146984</t>
  </si>
  <si>
    <t>MEHTA LAKSHMI MD</t>
  </si>
  <si>
    <t>MehtaLakshmi</t>
  </si>
  <si>
    <t>MEHTA LAKSHMI</t>
  </si>
  <si>
    <t>E0299836</t>
  </si>
  <si>
    <t>SHIN DEBORAH</t>
  </si>
  <si>
    <t>ShinDeborahJ.</t>
  </si>
  <si>
    <t>SHIN DEBORAH J MD</t>
  </si>
  <si>
    <t>13656 39TH AVE FL 2</t>
  </si>
  <si>
    <t>WagnerErinA.</t>
  </si>
  <si>
    <t>WAGNER ERIN</t>
  </si>
  <si>
    <t>450 CLARKSON AVE, BOX 1189</t>
  </si>
  <si>
    <t>E0325567</t>
  </si>
  <si>
    <t>STIER ALISON HUNTER</t>
  </si>
  <si>
    <t>StierAlison</t>
  </si>
  <si>
    <t>STIER ALISON MS.</t>
  </si>
  <si>
    <t>E0341462</t>
  </si>
  <si>
    <t>FREEDMAN BETH</t>
  </si>
  <si>
    <t>FreedmanBethC.</t>
  </si>
  <si>
    <t>FREEDMAN BETH C.</t>
  </si>
  <si>
    <t>1090 AMSTERDAM AVE STE 10A</t>
  </si>
  <si>
    <t>MARRON THOMAS DR.</t>
  </si>
  <si>
    <t>56 E 11TH ST, APT 5</t>
  </si>
  <si>
    <t>ThomasJim</t>
  </si>
  <si>
    <t>THOMAS JIM</t>
  </si>
  <si>
    <t>E0173845</t>
  </si>
  <si>
    <t>VITALE SALVATORE GIACOMO MD</t>
  </si>
  <si>
    <t>VitaleSalvatore</t>
  </si>
  <si>
    <t>VITALE SALVATORE</t>
  </si>
  <si>
    <t>E0064606</t>
  </si>
  <si>
    <t>VOLOKH VLADIMIR MD</t>
  </si>
  <si>
    <t>VolokhVladimir</t>
  </si>
  <si>
    <t>VOLOKH VLADIMIR</t>
  </si>
  <si>
    <t>35 SEACOAST TER APT 19N</t>
  </si>
  <si>
    <t>JCCA</t>
  </si>
  <si>
    <t>E0179492</t>
  </si>
  <si>
    <t>JEWISH CHILD CARE ASSOC MH</t>
  </si>
  <si>
    <t>RobertCizma</t>
  </si>
  <si>
    <t>(718) 859-4500</t>
  </si>
  <si>
    <t>cizmar@jccany.org</t>
  </si>
  <si>
    <t>JEWISH CHILD CARE ASSOCIATION OF NEW YORK</t>
  </si>
  <si>
    <t>858 EAST 29TH STREET</t>
  </si>
  <si>
    <t>E0119879</t>
  </si>
  <si>
    <t>TOMER YARON MD</t>
  </si>
  <si>
    <t>TOMER YARON DR.</t>
  </si>
  <si>
    <t>TOMER YARON</t>
  </si>
  <si>
    <t>E0447630</t>
  </si>
  <si>
    <t>ARISTILDE MARJORIE</t>
  </si>
  <si>
    <t>LITTLE MARY MRS.</t>
  </si>
  <si>
    <t>50 E 34TH ST, ROOM 2B</t>
  </si>
  <si>
    <t>MAPSON CHERE MR.</t>
  </si>
  <si>
    <t>587 EASTERN PKWY</t>
  </si>
  <si>
    <t>E0386988</t>
  </si>
  <si>
    <t>GERZ ERIKA ANTOINETTE</t>
  </si>
  <si>
    <t>GERZ ERIKA DR.</t>
  </si>
  <si>
    <t>16TH ST AND FIRST AVE</t>
  </si>
  <si>
    <t>E0057666</t>
  </si>
  <si>
    <t>FERNANDEZ JUAN RPA</t>
  </si>
  <si>
    <t>FERNANDEZ JUAN MR.</t>
  </si>
  <si>
    <t>1ST AVENUE @ 16TH ST</t>
  </si>
  <si>
    <t>E0286221</t>
  </si>
  <si>
    <t>ZHANG MENG</t>
  </si>
  <si>
    <t>ZhangMeng</t>
  </si>
  <si>
    <t>ZHANG MENG DR.</t>
  </si>
  <si>
    <t>ZHANG MENG MD</t>
  </si>
  <si>
    <t>E0357462</t>
  </si>
  <si>
    <t>SWARTZ TALIA H</t>
  </si>
  <si>
    <t>SWARTZ TALIA</t>
  </si>
  <si>
    <t>MuseJessica</t>
  </si>
  <si>
    <t>E0308269</t>
  </si>
  <si>
    <t>ERIKA S GUTTER</t>
  </si>
  <si>
    <t>GutterErika</t>
  </si>
  <si>
    <t>GUTTER ERIKA</t>
  </si>
  <si>
    <t>GUTTER ERIKA SUSAN</t>
  </si>
  <si>
    <t>E0372499</t>
  </si>
  <si>
    <t>CHEN ZIJIAN</t>
  </si>
  <si>
    <t>ChenZijian</t>
  </si>
  <si>
    <t>317 E 17TH ST FL 8</t>
  </si>
  <si>
    <t>E0405614</t>
  </si>
  <si>
    <t>LIM JAMES YOUNG HOON</t>
  </si>
  <si>
    <t>LIM JAMES DR.</t>
  </si>
  <si>
    <t>161 FORT WASHINGTON AVE FL 8</t>
  </si>
  <si>
    <t>E0089158</t>
  </si>
  <si>
    <t>GARCIA-FIGUEROA SYLVIA K MD</t>
  </si>
  <si>
    <t>GarciaSylvia</t>
  </si>
  <si>
    <t>GARCIA FIGUEROA SYLVIA DR.</t>
  </si>
  <si>
    <t>UNIV OF PGH PHYS</t>
  </si>
  <si>
    <t>RussoNora</t>
  </si>
  <si>
    <t>RUSSO NORA</t>
  </si>
  <si>
    <t>10 UNION SQ E, 10 UNION SQ E</t>
  </si>
  <si>
    <t>E0359369</t>
  </si>
  <si>
    <t>SALEEM SOPHIA MIRZA</t>
  </si>
  <si>
    <t>SaleemSophia</t>
  </si>
  <si>
    <t>SALEEM SOPHIA DR.</t>
  </si>
  <si>
    <t>E0348966</t>
  </si>
  <si>
    <t>AYBAR LUIS</t>
  </si>
  <si>
    <t>AybarLuisAndres</t>
  </si>
  <si>
    <t>AYBAR LUIS DR.</t>
  </si>
  <si>
    <t>E0284529</t>
  </si>
  <si>
    <t>CHAPMAN EUGENIA VALERIE</t>
  </si>
  <si>
    <t>ChapmanEugenia</t>
  </si>
  <si>
    <t>CHAPMAN EUGENIA</t>
  </si>
  <si>
    <t>E0416196</t>
  </si>
  <si>
    <t>SIKALAS NICHOLAS</t>
  </si>
  <si>
    <t>SIKALAS NICHOLAS DR.</t>
  </si>
  <si>
    <t>SPITZ JAMIE</t>
  </si>
  <si>
    <t>1241 N PAULINA ST, APT 3S</t>
  </si>
  <si>
    <t>ROTHMAN ADAM</t>
  </si>
  <si>
    <t>530 WATERFORD TOWERS</t>
  </si>
  <si>
    <t>EDGEWATER</t>
  </si>
  <si>
    <t>E0453020</t>
  </si>
  <si>
    <t>SMITH LACHERYL SHANTI</t>
  </si>
  <si>
    <t>SMITH LACHERYL</t>
  </si>
  <si>
    <t>E0426771</t>
  </si>
  <si>
    <t>SHAH MEERA</t>
  </si>
  <si>
    <t>356 W 18TH ST FL 6</t>
  </si>
  <si>
    <t>E0435245</t>
  </si>
  <si>
    <t>HILL BRYAN DOUGLAS</t>
  </si>
  <si>
    <t>HILL BRYAN</t>
  </si>
  <si>
    <t>E0431087</t>
  </si>
  <si>
    <t>ZAJAC LAUREN</t>
  </si>
  <si>
    <t>E0065035</t>
  </si>
  <si>
    <t>KINI ANNAPOORNA S MD</t>
  </si>
  <si>
    <t>KINI ANNAPOORNA DR.</t>
  </si>
  <si>
    <t>E0048886</t>
  </si>
  <si>
    <t>ALEKSANDROVICH VIKTORIYA MD</t>
  </si>
  <si>
    <t>ALEKSANDROVICH VIKTORIA</t>
  </si>
  <si>
    <t>3080 WEST 1ST STREET</t>
  </si>
  <si>
    <t>E0309016</t>
  </si>
  <si>
    <t>MESSENGER CHRISTIE LYNN</t>
  </si>
  <si>
    <t>CHRISTIEMESSENGER</t>
  </si>
  <si>
    <t>MESSENGER CHRISTIE DR.</t>
  </si>
  <si>
    <t>E0406161</t>
  </si>
  <si>
    <t>GHEITANI PEGAH</t>
  </si>
  <si>
    <t>MISSPEGAHGHEITANI</t>
  </si>
  <si>
    <t>GHEITANI PEGAH MISS</t>
  </si>
  <si>
    <t>MISSKATRINADELOSREYES</t>
  </si>
  <si>
    <t>DE LOS REYES KATRINA MISS</t>
  </si>
  <si>
    <t>4373 166TH ST</t>
  </si>
  <si>
    <t>E0376174</t>
  </si>
  <si>
    <t>WEINSTEIN-SHAMA CHERYL SUE</t>
  </si>
  <si>
    <t>MS.CHERYLWEINSTEIN-SHAMA</t>
  </si>
  <si>
    <t>WEINSTEIN-SHAMA CHERYL MS.</t>
  </si>
  <si>
    <t>MAIMONIDES MEDICAL CENTER-4802 10TH AVE</t>
  </si>
  <si>
    <t>E0213343</t>
  </si>
  <si>
    <t>LURIE SCOTT ROBERT DPM</t>
  </si>
  <si>
    <t>SCOTTLURIE</t>
  </si>
  <si>
    <t>LURIE SCOTT</t>
  </si>
  <si>
    <t>9958 66TH AVE</t>
  </si>
  <si>
    <t>E0182795</t>
  </si>
  <si>
    <t>BERLIN ARNOLD I        MD</t>
  </si>
  <si>
    <t>ARNOLDBERLIN</t>
  </si>
  <si>
    <t>BERLIN ARNOLD DR.</t>
  </si>
  <si>
    <t>BERLIN ARNOLD I MD</t>
  </si>
  <si>
    <t>794 UNION ST</t>
  </si>
  <si>
    <t>E0309769</t>
  </si>
  <si>
    <t>NELKEN ALEXANDER ZEV</t>
  </si>
  <si>
    <t>ALEXANDERNELKEN</t>
  </si>
  <si>
    <t>NELKEN ALEXANDER DR.</t>
  </si>
  <si>
    <t>CHRISTOPHERCHOW</t>
  </si>
  <si>
    <t>COX ROBERT DR.</t>
  </si>
  <si>
    <t>JamilUmer</t>
  </si>
  <si>
    <t>JAMIL UMER</t>
  </si>
  <si>
    <t>5601 LOCH RAVEN BLVD</t>
  </si>
  <si>
    <t>MentalHealthProvidersofWesternQueens,Inc.(WesternQueensConsultationCenter)</t>
  </si>
  <si>
    <t>JohnLavin,LCSW-R</t>
  </si>
  <si>
    <t>jlavin@mhpwq.org</t>
  </si>
  <si>
    <t>TheFloatingHospital,Inc</t>
  </si>
  <si>
    <t>ReginaldThompson</t>
  </si>
  <si>
    <t>rthompson@thefloatinghospital.org</t>
  </si>
  <si>
    <t>DinaLouie</t>
  </si>
  <si>
    <t>E0367755</t>
  </si>
  <si>
    <t>LOUIE DINA</t>
  </si>
  <si>
    <t>(212) 233-5033</t>
  </si>
  <si>
    <t>dlouie@henrystreet.org</t>
  </si>
  <si>
    <t>40 MONTGOMERY ST</t>
  </si>
  <si>
    <t>SajjadMohammad</t>
  </si>
  <si>
    <t>smohammad@gmail.com</t>
  </si>
  <si>
    <t>E0388644</t>
  </si>
  <si>
    <t>HOBSON STEVEN</t>
  </si>
  <si>
    <t>HobsonSteven</t>
  </si>
  <si>
    <t>HOBSON STEVEN JAMES</t>
  </si>
  <si>
    <t>SIKKA SHAWN DR.</t>
  </si>
  <si>
    <t>1000 W CARSON ST</t>
  </si>
  <si>
    <t>E0198132</t>
  </si>
  <si>
    <t>ROBBINS MICHAEL JONATHAN   MD</t>
  </si>
  <si>
    <t>RobbinsMichael</t>
  </si>
  <si>
    <t>ROBBINS MICHAEL</t>
  </si>
  <si>
    <t>STE G4</t>
  </si>
  <si>
    <t>SEIT VETANA DR.</t>
  </si>
  <si>
    <t>KOUROUNI ISMINI MISS</t>
  </si>
  <si>
    <t>E0395412</t>
  </si>
  <si>
    <t>DUVIVIER DIANE</t>
  </si>
  <si>
    <t>DuvivierDiana</t>
  </si>
  <si>
    <t>DUVIVIER DIANA</t>
  </si>
  <si>
    <t>E0448495</t>
  </si>
  <si>
    <t>STRACCIA HEATHER ANN</t>
  </si>
  <si>
    <t>STRACCIA HEATHER</t>
  </si>
  <si>
    <t>NEYMOTIN ARIE</t>
  </si>
  <si>
    <t>32 SYLVIA LN</t>
  </si>
  <si>
    <t>CHEN YUE</t>
  </si>
  <si>
    <t>E0424564</t>
  </si>
  <si>
    <t>BROSTOWITZ ANNA</t>
  </si>
  <si>
    <t>BROSTOWITZ ANNA DR.</t>
  </si>
  <si>
    <t>E0194180</t>
  </si>
  <si>
    <t>HURLET JENSEN ANNE M MD</t>
  </si>
  <si>
    <t>HURLET ANNE</t>
  </si>
  <si>
    <t>BABIES HOSP 112</t>
  </si>
  <si>
    <t>E0078777</t>
  </si>
  <si>
    <t>VELICKOVIC MIODRAG MD</t>
  </si>
  <si>
    <t>VelickovicMiodrag</t>
  </si>
  <si>
    <t>VELICKOVIC MIODRAG DR.</t>
  </si>
  <si>
    <t>E0032992</t>
  </si>
  <si>
    <t>JACKSON NORMA JEAN</t>
  </si>
  <si>
    <t>JacksonNorma</t>
  </si>
  <si>
    <t>JACKSON NORMA DR.</t>
  </si>
  <si>
    <t>E0276130</t>
  </si>
  <si>
    <t>SILVAY GEORGE              MD</t>
  </si>
  <si>
    <t>SilvayGeorge</t>
  </si>
  <si>
    <t>SILVAY GEORGE DR.</t>
  </si>
  <si>
    <t>E0108032</t>
  </si>
  <si>
    <t>SOHAL RANJEET MD</t>
  </si>
  <si>
    <t>SOHAL RANJEET DR.</t>
  </si>
  <si>
    <t>E0114767</t>
  </si>
  <si>
    <t>BRONSON MICHAEL MD</t>
  </si>
  <si>
    <t>BronsonMichael</t>
  </si>
  <si>
    <t>BRONSON MICHAEL DR.</t>
  </si>
  <si>
    <t>CHANG MELISSA</t>
  </si>
  <si>
    <t>KoduruSunaina</t>
  </si>
  <si>
    <t>KATHERINESTEINLE</t>
  </si>
  <si>
    <t>E0327472</t>
  </si>
  <si>
    <t>STEINLE KATHERINE HOEFFER</t>
  </si>
  <si>
    <t>STEINLE KATHERINE</t>
  </si>
  <si>
    <t>E0390415</t>
  </si>
  <si>
    <t>LATMORE MALIKAH</t>
  </si>
  <si>
    <t>LatmoreMalikah</t>
  </si>
  <si>
    <t>LATMORE MALIKAH DR.</t>
  </si>
  <si>
    <t>E0364134</t>
  </si>
  <si>
    <t>KimSooJung</t>
  </si>
  <si>
    <t>KIM SOO JUNG</t>
  </si>
  <si>
    <t>E0431475</t>
  </si>
  <si>
    <t>STRAUS FARBER REBECCA GABRIELLE</t>
  </si>
  <si>
    <t>STRAUS FARBER REBECCA MS.</t>
  </si>
  <si>
    <t>SKOVRLJ BRANKO</t>
  </si>
  <si>
    <t>HOLIFIELD KARINTHA DR.</t>
  </si>
  <si>
    <t>E0337899</t>
  </si>
  <si>
    <t>DANESH HOUMAN</t>
  </si>
  <si>
    <t>DaneshHouman</t>
  </si>
  <si>
    <t>DANESH HOUMAN DR.</t>
  </si>
  <si>
    <t>E0365128</t>
  </si>
  <si>
    <t>HEW LORNA MARIE</t>
  </si>
  <si>
    <t>Hew-HaynesLorna</t>
  </si>
  <si>
    <t>HEW LORNA</t>
  </si>
  <si>
    <t>E0324424</t>
  </si>
  <si>
    <t>BANDER JEFF</t>
  </si>
  <si>
    <t>BanderJeffrey</t>
  </si>
  <si>
    <t>BANDER JEFFREY</t>
  </si>
  <si>
    <t>E0338335</t>
  </si>
  <si>
    <t>YUEN JACQUELINE</t>
  </si>
  <si>
    <t>YuenJacqueline</t>
  </si>
  <si>
    <t>E0291159</t>
  </si>
  <si>
    <t>ZOU HONGYAN</t>
  </si>
  <si>
    <t>ZouHongyan</t>
  </si>
  <si>
    <t>ZOU HONGYAN DR.</t>
  </si>
  <si>
    <t>E0352698</t>
  </si>
  <si>
    <t>MATHEWS KUSUM</t>
  </si>
  <si>
    <t>MathewsKusum</t>
  </si>
  <si>
    <t>MATHEWS KUSUM DR.</t>
  </si>
  <si>
    <t>MATHEWS KUSUM SARA</t>
  </si>
  <si>
    <t>E0295624</t>
  </si>
  <si>
    <t>KREBS NADEZHDA</t>
  </si>
  <si>
    <t>KrebsNadezhda</t>
  </si>
  <si>
    <t>E0202109</t>
  </si>
  <si>
    <t>CRANE MICHAEL A            MD</t>
  </si>
  <si>
    <t>CRANE MICHAEL</t>
  </si>
  <si>
    <t>LACKEY WILLIAM DR.</t>
  </si>
  <si>
    <t>9020 5TH AVE</t>
  </si>
  <si>
    <t>DierEvelyn</t>
  </si>
  <si>
    <t>DIER EVELYN MRS.</t>
  </si>
  <si>
    <t>1000 10TH AVE, STE 10G / ROOSEVELT HOSPITAL</t>
  </si>
  <si>
    <t>JosephAbboud,MD</t>
  </si>
  <si>
    <t>E0002897</t>
  </si>
  <si>
    <t>ABBOUD JOSEPH</t>
  </si>
  <si>
    <t>ABBOUD JOSEPH  MD</t>
  </si>
  <si>
    <t>TerryBonnett</t>
  </si>
  <si>
    <t>E0101190</t>
  </si>
  <si>
    <t>BLACKETT-BONNETT TERRY MD</t>
  </si>
  <si>
    <t>(347) 404-6598</t>
  </si>
  <si>
    <t>BLACKETT-BONNETT TERRY-JAN DR.</t>
  </si>
  <si>
    <t>BERGEN COMM+FAM LIFE</t>
  </si>
  <si>
    <t>GerardLombardo</t>
  </si>
  <si>
    <t>E0188909</t>
  </si>
  <si>
    <t>LOMBARDO GERARD T MD</t>
  </si>
  <si>
    <t>(347) 610-4228</t>
  </si>
  <si>
    <t>LOMBARDO GERARD DR.</t>
  </si>
  <si>
    <t>7702 4TH AVE</t>
  </si>
  <si>
    <t>NirajanMittal</t>
  </si>
  <si>
    <t>E0208575</t>
  </si>
  <si>
    <t>MITTAL NIRANJAN KUMAR      MD</t>
  </si>
  <si>
    <t>(718) 439-5111</t>
  </si>
  <si>
    <t>MITTAL NIRANJAN MR.</t>
  </si>
  <si>
    <t>8906 135TH ST # 2T</t>
  </si>
  <si>
    <t>MuneerImam</t>
  </si>
  <si>
    <t>E0204773</t>
  </si>
  <si>
    <t>IMAM MUNEER</t>
  </si>
  <si>
    <t>(631) 878-0310</t>
  </si>
  <si>
    <t>drimam@aol.com</t>
  </si>
  <si>
    <t>IMAM MUNEER MR.</t>
  </si>
  <si>
    <t>2 UNION AVE</t>
  </si>
  <si>
    <t>E0208370</t>
  </si>
  <si>
    <t>VALAURI DAVID VAN         DDS</t>
  </si>
  <si>
    <t>VALAURI DAVID DR.</t>
  </si>
  <si>
    <t>E0367393</t>
  </si>
  <si>
    <t>SZEINUK JAIME</t>
  </si>
  <si>
    <t>SzeinukJaime</t>
  </si>
  <si>
    <t>SZEINUK JAIME DR.</t>
  </si>
  <si>
    <t>E0191773</t>
  </si>
  <si>
    <t>ALLIS BARBARA A MD</t>
  </si>
  <si>
    <t>AllisBarbara</t>
  </si>
  <si>
    <t>ALLIS BARBARA DR.</t>
  </si>
  <si>
    <t>E0060566</t>
  </si>
  <si>
    <t>LIN JENNY JEN-YI MD</t>
  </si>
  <si>
    <t>LinJenny</t>
  </si>
  <si>
    <t>LIN JENNY</t>
  </si>
  <si>
    <t>PATEL UJVAL DR.</t>
  </si>
  <si>
    <t>HEKMAT DIANA MISS</t>
  </si>
  <si>
    <t>ALI MUSTAFA</t>
  </si>
  <si>
    <t>E0412872</t>
  </si>
  <si>
    <t>HAKIMZADA AHMAD</t>
  </si>
  <si>
    <t>HAKIMZADA FOROUGH DR.</t>
  </si>
  <si>
    <t>HAKIMZADA AHMAD FOROGH</t>
  </si>
  <si>
    <t>32201 NE DIAL RD</t>
  </si>
  <si>
    <t>CAMAS</t>
  </si>
  <si>
    <t>E0456736</t>
  </si>
  <si>
    <t>AUGUSTE USCHI CHANTAL</t>
  </si>
  <si>
    <t>AUGUSTE USCHI</t>
  </si>
  <si>
    <t>E0359053</t>
  </si>
  <si>
    <t>SRIVASTAVA ANUPRIYA</t>
  </si>
  <si>
    <t>SCHNAPP ANUPRIYA</t>
  </si>
  <si>
    <t>NAHAR RICHA CHANDRAVADAN</t>
  </si>
  <si>
    <t>E0310882</t>
  </si>
  <si>
    <t>MEHANDRU SAURABH</t>
  </si>
  <si>
    <t>MehandruSaurabh</t>
  </si>
  <si>
    <t>MEHANDRU SAURABH DR.</t>
  </si>
  <si>
    <t>E0040776</t>
  </si>
  <si>
    <t>KRISHNAN PRAKASH MD</t>
  </si>
  <si>
    <t>KRISHNAN PRAKASH DR.</t>
  </si>
  <si>
    <t>E0050926</t>
  </si>
  <si>
    <t>TAOULI BACHIR MD</t>
  </si>
  <si>
    <t>TAOULI BACHIR DR.</t>
  </si>
  <si>
    <t>NYU RADIO ASSOC</t>
  </si>
  <si>
    <t>E0188383</t>
  </si>
  <si>
    <t>SATLIN LISA M MD</t>
  </si>
  <si>
    <t>SATLIN LISA</t>
  </si>
  <si>
    <t>KOLB JENNIFER</t>
  </si>
  <si>
    <t>MARJI MELISSA</t>
  </si>
  <si>
    <t>E0339608</t>
  </si>
  <si>
    <t>GINDE RANJAN</t>
  </si>
  <si>
    <t>GindeRanjan</t>
  </si>
  <si>
    <t>425 W 59TH ST # 8-A</t>
  </si>
  <si>
    <t>E0086098</t>
  </si>
  <si>
    <t>LUBLIN FRED DAVID MD</t>
  </si>
  <si>
    <t>LublinFred</t>
  </si>
  <si>
    <t>LUBLIN FRED DR.</t>
  </si>
  <si>
    <t>E0096136</t>
  </si>
  <si>
    <t>GALIZI MARLENE DENISE MD</t>
  </si>
  <si>
    <t>GaliziMarleneD.</t>
  </si>
  <si>
    <t>GALIZI MARLENE</t>
  </si>
  <si>
    <t>E0318287</t>
  </si>
  <si>
    <t>O'DEA DENISE GAYELLE</t>
  </si>
  <si>
    <t>O'DeaDenise</t>
  </si>
  <si>
    <t>O'DEA DENISE MRS.</t>
  </si>
  <si>
    <t>E0117538</t>
  </si>
  <si>
    <t>DE LA HOZ MERCADO RAFAEL E</t>
  </si>
  <si>
    <t>DeLaHozRafael</t>
  </si>
  <si>
    <t>DE LA HOZ RAFAEL</t>
  </si>
  <si>
    <t>BOX 4</t>
  </si>
  <si>
    <t>E0192615</t>
  </si>
  <si>
    <t>NEUSTEIN STEVEN MARK MD</t>
  </si>
  <si>
    <t>NeusteinSteven</t>
  </si>
  <si>
    <t>NEUSTEIN STEVEN</t>
  </si>
  <si>
    <t>NEUSTEIN STEVEN MARK</t>
  </si>
  <si>
    <t>E0079132</t>
  </si>
  <si>
    <t>LEPORE FRANK LOUIS   DPM</t>
  </si>
  <si>
    <t>LeporeFrank</t>
  </si>
  <si>
    <t>LEPORE FRANK LOUIS</t>
  </si>
  <si>
    <t>WYCKOFF HEIGHTS MED</t>
  </si>
  <si>
    <t>E0056769</t>
  </si>
  <si>
    <t>LEICHTER DANA</t>
  </si>
  <si>
    <t>NYU VASCULAR 6F</t>
  </si>
  <si>
    <t>E0393049</t>
  </si>
  <si>
    <t>RABINOVITZ ASAF</t>
  </si>
  <si>
    <t>RABINOVITZ ASAF DR.</t>
  </si>
  <si>
    <t>10 UNION SQUARE 2A</t>
  </si>
  <si>
    <t>E0058664</t>
  </si>
  <si>
    <t>SZPORN ARNOLD MD</t>
  </si>
  <si>
    <t>SZPORN ARNOLD</t>
  </si>
  <si>
    <t>E0218940</t>
  </si>
  <si>
    <t>OHNUMA TAKAO               MD</t>
  </si>
  <si>
    <t>OHNUMA TAKAO</t>
  </si>
  <si>
    <t>HansMenos</t>
  </si>
  <si>
    <t>MENOS HANS</t>
  </si>
  <si>
    <t>1567 LEXINGTON AVE, SUITE 22</t>
  </si>
  <si>
    <t>AdriaRodriguez</t>
  </si>
  <si>
    <t>MiguelRamosThomas</t>
  </si>
  <si>
    <t>NajadaVjeri</t>
  </si>
  <si>
    <t>StephanieWeeks</t>
  </si>
  <si>
    <t>AlanStuckey</t>
  </si>
  <si>
    <t>CentralAssistedLiving,LLCdbaCentralHomeCare</t>
  </si>
  <si>
    <t>EricMendel</t>
  </si>
  <si>
    <t>(718) 471-7700</t>
  </si>
  <si>
    <t>emendel@centralalp.com</t>
  </si>
  <si>
    <t>CENTRAL ASSISTED LIVING, LLC</t>
  </si>
  <si>
    <t>E0074687</t>
  </si>
  <si>
    <t>LINDSEY ABBE M MD</t>
  </si>
  <si>
    <t>LindseyAbbe</t>
  </si>
  <si>
    <t>LINDSEY ABBE DR.</t>
  </si>
  <si>
    <t>E0397550</t>
  </si>
  <si>
    <t>MERINO DAVID A</t>
  </si>
  <si>
    <t>MerinoDavid</t>
  </si>
  <si>
    <t>MERINO DAVID</t>
  </si>
  <si>
    <t>ReggioMichelle</t>
  </si>
  <si>
    <t>REGGIO MICHELLE MS.</t>
  </si>
  <si>
    <t>XIAOJUNYAN</t>
  </si>
  <si>
    <t>E0254773</t>
  </si>
  <si>
    <t>LICHTER STEPHEN M MD</t>
  </si>
  <si>
    <t>STEPHENLICHTER</t>
  </si>
  <si>
    <t>LICHTER STEPHEN DR.</t>
  </si>
  <si>
    <t>E0138670</t>
  </si>
  <si>
    <t>MAYER AMIR MD</t>
  </si>
  <si>
    <t>AMIRMAYER</t>
  </si>
  <si>
    <t>MAYER AMIR MR.</t>
  </si>
  <si>
    <t>1729 E 12TH ST FL 2</t>
  </si>
  <si>
    <t>JANEENLOPEZ</t>
  </si>
  <si>
    <t>SUZANNAMARKSTEIN</t>
  </si>
  <si>
    <t>E0325669</t>
  </si>
  <si>
    <t>MARKSTEIN SUZANNA ROONEY</t>
  </si>
  <si>
    <t>MARKSTEIN SUZANNA MS.</t>
  </si>
  <si>
    <t>RACHELMASCH</t>
  </si>
  <si>
    <t>LUCIAMCLENDON</t>
  </si>
  <si>
    <t>E0345749</t>
  </si>
  <si>
    <t>MCLENDON LUCIA COGSWELL</t>
  </si>
  <si>
    <t>MCLENDON LUCIA</t>
  </si>
  <si>
    <t>JESSICAMCWALTERS</t>
  </si>
  <si>
    <t>E0392490</t>
  </si>
  <si>
    <t>MCWALTERS JESSICA</t>
  </si>
  <si>
    <t>MCWALTERS JESSICA MARIE</t>
  </si>
  <si>
    <t>SARAHMILLER</t>
  </si>
  <si>
    <t>KATHLEENMORRELL</t>
  </si>
  <si>
    <t>E0310710</t>
  </si>
  <si>
    <t>MORRELL KATHLEEN</t>
  </si>
  <si>
    <t>MORRELL KATHLEEN DR.</t>
  </si>
  <si>
    <t>MORRELL KATHLEEN M</t>
  </si>
  <si>
    <t>E0271800</t>
  </si>
  <si>
    <t>JEWISH CHILD CARE ASSOC OF NY</t>
  </si>
  <si>
    <t>858 E 29TH ST</t>
  </si>
  <si>
    <t>E0408969</t>
  </si>
  <si>
    <t>LOWERY STEPHEN JAMES</t>
  </si>
  <si>
    <t>LOWERY STEPHEN DR.</t>
  </si>
  <si>
    <t>DAYAN ETAN DR.</t>
  </si>
  <si>
    <t>1 GUSTAVE L LEVY PL, B7B</t>
  </si>
  <si>
    <t>NASSAU OPERATING COMPANY LLC</t>
  </si>
  <si>
    <t>NASSAU EXTENDED CARE FACILITY</t>
  </si>
  <si>
    <t>UPPER MANHATTAN MENTAL HEALTH CENTER, INC.</t>
  </si>
  <si>
    <t>ASSOC ADMINISTRATOR</t>
  </si>
  <si>
    <t>E0140987</t>
  </si>
  <si>
    <t>SILVER LESTER MD</t>
  </si>
  <si>
    <t>SILVER LESTER DR.</t>
  </si>
  <si>
    <t>E0325620</t>
  </si>
  <si>
    <t>KARP SARA</t>
  </si>
  <si>
    <t>KARP SARA BETH</t>
  </si>
  <si>
    <t>16 EAST 16TH ST</t>
  </si>
  <si>
    <t>E0412864</t>
  </si>
  <si>
    <t>SWAIN GARY</t>
  </si>
  <si>
    <t>SWAIN GARY DR.</t>
  </si>
  <si>
    <t>SWAIN GARY WILLIAM JR</t>
  </si>
  <si>
    <t>E0305616</t>
  </si>
  <si>
    <t>FISCHMAN AARON MARC</t>
  </si>
  <si>
    <t>FischmanAaron</t>
  </si>
  <si>
    <t>FISCHMAN AARON DR.</t>
  </si>
  <si>
    <t>ColleenKelly</t>
  </si>
  <si>
    <t>E0363149</t>
  </si>
  <si>
    <t>KELLY COLLEEN B</t>
  </si>
  <si>
    <t>ChristopherLabbate</t>
  </si>
  <si>
    <t>E0238269</t>
  </si>
  <si>
    <t>MANCUSO JOHN DPM           PC</t>
  </si>
  <si>
    <t>MANCUSO JOHN DR.</t>
  </si>
  <si>
    <t>133 E 54TH ST</t>
  </si>
  <si>
    <t>E0214508</t>
  </si>
  <si>
    <t>HENSCHKE CLAUDIA I         MD</t>
  </si>
  <si>
    <t>HENSCHKE CLAUDIA</t>
  </si>
  <si>
    <t>HENSCHKE CLAUDIA INGRID</t>
  </si>
  <si>
    <t>37 W 69TH ST</t>
  </si>
  <si>
    <t>E0097025</t>
  </si>
  <si>
    <t>HIEN DENISE</t>
  </si>
  <si>
    <t>HienDeniseA.</t>
  </si>
  <si>
    <t>HIEN DENISE DR.</t>
  </si>
  <si>
    <t>E0030607</t>
  </si>
  <si>
    <t>WOLFE HANNAH X</t>
  </si>
  <si>
    <t>WolfeHannah</t>
  </si>
  <si>
    <t>WOLFE HANNAH</t>
  </si>
  <si>
    <t>E0409950</t>
  </si>
  <si>
    <t>MORRISON MATTHEW ELLIS</t>
  </si>
  <si>
    <t>MORRISON MATTHEW DR.</t>
  </si>
  <si>
    <t>PALLADIAINC</t>
  </si>
  <si>
    <t>VILLAGECARE REHAB &amp; NRS CTR</t>
  </si>
  <si>
    <t>121 W 20TH ST</t>
  </si>
  <si>
    <t>VILLAGE CARE ADHCP</t>
  </si>
  <si>
    <t>VILLAGECARE REHAB &amp; NRS CTR ADHCP</t>
  </si>
  <si>
    <t>1366 E 32ND ST</t>
  </si>
  <si>
    <t>E0083043</t>
  </si>
  <si>
    <t>JEWISH CHILD CARE ASSOC</t>
  </si>
  <si>
    <t>E0324037</t>
  </si>
  <si>
    <t>EDWIN GOULD SERVICES DAY/CH</t>
  </si>
  <si>
    <t>151 LAWRENCE ST</t>
  </si>
  <si>
    <t>WARHIT SCOTT</t>
  </si>
  <si>
    <t>30 SHELBURNE RD, DEPARTMENT OF MEDICINE</t>
  </si>
  <si>
    <t>GEMIGNANI ROBERT DR.</t>
  </si>
  <si>
    <t>GERONEMUS RACHEL</t>
  </si>
  <si>
    <t>129 LAFAYETTE ST, APT 3B</t>
  </si>
  <si>
    <t>ZELIG ARI</t>
  </si>
  <si>
    <t>7199 MCVAY MANOR CV</t>
  </si>
  <si>
    <t>E0380378</t>
  </si>
  <si>
    <t>DOW LINDSAY ALEXANDRA</t>
  </si>
  <si>
    <t>DowLindsay</t>
  </si>
  <si>
    <t>DOW LINDSAY DR.</t>
  </si>
  <si>
    <t>E0382723</t>
  </si>
  <si>
    <t>DAVYDOV OKSANA</t>
  </si>
  <si>
    <t>DavydovOksana</t>
  </si>
  <si>
    <t>DAVYDOV OKSANA DR.</t>
  </si>
  <si>
    <t>E0382789</t>
  </si>
  <si>
    <t>REISTER ROBIN</t>
  </si>
  <si>
    <t>ReisterRobin</t>
  </si>
  <si>
    <t>REISTER ROBIN DR.</t>
  </si>
  <si>
    <t>REISTER ROBIN LEIGH</t>
  </si>
  <si>
    <t>GUR HATICE DR.</t>
  </si>
  <si>
    <t>108 PETERBOROUGH ST, 4H</t>
  </si>
  <si>
    <t>BERGH ERIC DR.</t>
  </si>
  <si>
    <t>333 E 93RD ST, APARTMENT 1J</t>
  </si>
  <si>
    <t>E0431075</t>
  </si>
  <si>
    <t>KAPLAN-LEWIS EMMA RACHEL</t>
  </si>
  <si>
    <t>KAPLAN-LEWIS EMMA</t>
  </si>
  <si>
    <t>TANG NIKKI</t>
  </si>
  <si>
    <t>1090 AMSTERDAM AVE STE 11B</t>
  </si>
  <si>
    <t>E0420173</t>
  </si>
  <si>
    <t>HOU PATRICK CHANG</t>
  </si>
  <si>
    <t>HOU PATRICK</t>
  </si>
  <si>
    <t>E0439194</t>
  </si>
  <si>
    <t>RUISI MICHAEL</t>
  </si>
  <si>
    <t>E0311399</t>
  </si>
  <si>
    <t>HOLCOMBE RANDALL FRANK</t>
  </si>
  <si>
    <t>HOLCOMBE RANDALL DR.</t>
  </si>
  <si>
    <t>E0294782</t>
  </si>
  <si>
    <t>TANNEN BRADFORD LAURENCE MD</t>
  </si>
  <si>
    <t>TANNEN BRADFORD DR.</t>
  </si>
  <si>
    <t>E0101890</t>
  </si>
  <si>
    <t>FRIEDMAN LARRY D RPA</t>
  </si>
  <si>
    <t>FriedmanLarry</t>
  </si>
  <si>
    <t>FRIEDMAN LARRY</t>
  </si>
  <si>
    <t>CHOI JUNGWHAN DR.</t>
  </si>
  <si>
    <t>720 WESTVIEW DR SW</t>
  </si>
  <si>
    <t>SvyatkovskyViktor</t>
  </si>
  <si>
    <t>SVYATKOVSKY VIKTOR MR.</t>
  </si>
  <si>
    <t>10 UNION SQUARE EAST BETH ISRAEL MEDICAL CENTER, DEPARTMENT OF ORTHOPEDICS SUITE 3M</t>
  </si>
  <si>
    <t>SirotaIdo</t>
  </si>
  <si>
    <t>SIROTA IDO</t>
  </si>
  <si>
    <t>E0307544</t>
  </si>
  <si>
    <t>DARREN FITZPATRICK MD</t>
  </si>
  <si>
    <t>FitzpatrickDarren</t>
  </si>
  <si>
    <t>FITZPATRICK DARREN</t>
  </si>
  <si>
    <t>FITZPATIRICK DARREN MD</t>
  </si>
  <si>
    <t>PATEL BIRJU</t>
  </si>
  <si>
    <t>1650 W HARRISON ST, SUITE 466 ATRIUM</t>
  </si>
  <si>
    <t>KUNTE SIDDHARTH DR.</t>
  </si>
  <si>
    <t>515 W 59TH ST, 7F</t>
  </si>
  <si>
    <t>MENDEZ MARCELO</t>
  </si>
  <si>
    <t>431 YUHAS DR</t>
  </si>
  <si>
    <t>E0015112</t>
  </si>
  <si>
    <t>LIE JIMMY Y RPA</t>
  </si>
  <si>
    <t>LeeJimmy</t>
  </si>
  <si>
    <t>LEE JIMMY MR.</t>
  </si>
  <si>
    <t>LEE JIMMY YUEN HING RPA</t>
  </si>
  <si>
    <t>E0048416</t>
  </si>
  <si>
    <t>GAULT ALLISON TAMARA MD</t>
  </si>
  <si>
    <t>GaultAllison</t>
  </si>
  <si>
    <t>GAULT ALLISON</t>
  </si>
  <si>
    <t>E0131837</t>
  </si>
  <si>
    <t>WEINFELD STEVEN BENNETT</t>
  </si>
  <si>
    <t>WeinfeldSteven</t>
  </si>
  <si>
    <t>WEINFELD STEVEN DR.</t>
  </si>
  <si>
    <t>E0278940</t>
  </si>
  <si>
    <t>MELTZER MURRAY A           MD</t>
  </si>
  <si>
    <t>MeltzerMurray</t>
  </si>
  <si>
    <t>ONE G LEVY PLACE</t>
  </si>
  <si>
    <t>E0372230</t>
  </si>
  <si>
    <t>FELCONE MICHAEL F</t>
  </si>
  <si>
    <t>FelconeMichael</t>
  </si>
  <si>
    <t>FELCONE MICHAEL</t>
  </si>
  <si>
    <t>E0203359</t>
  </si>
  <si>
    <t>WIESENTHAL CARL M          MD</t>
  </si>
  <si>
    <t>WIESENTHAL CARL DR.</t>
  </si>
  <si>
    <t>WIESENTHAL CARL M</t>
  </si>
  <si>
    <t>ChiaDennis</t>
  </si>
  <si>
    <t>E0303984</t>
  </si>
  <si>
    <t>MOYLE HENRY</t>
  </si>
  <si>
    <t>MoyleHenry</t>
  </si>
  <si>
    <t>DavidsonKarina</t>
  </si>
  <si>
    <t>DAVIDSON KARINA DR.</t>
  </si>
  <si>
    <t>622 W 168TH ST PH 9 ROOM 941</t>
  </si>
  <si>
    <t>HIRSCH ALICIA DR.</t>
  </si>
  <si>
    <t>E0056828</t>
  </si>
  <si>
    <t>YELLA LAKSIHMI K MD</t>
  </si>
  <si>
    <t>YellaLakshmi</t>
  </si>
  <si>
    <t>YELLA LAKSHMI DR.</t>
  </si>
  <si>
    <t>TJH MEDICAL SVCS</t>
  </si>
  <si>
    <t>Sophia Bichotte-Ligonde</t>
  </si>
  <si>
    <t>E0020297</t>
  </si>
  <si>
    <t>BICHOTTE LIGONDE SOPHIA MD</t>
  </si>
  <si>
    <t>BICHOTTE-LIGONDE SOPHIA</t>
  </si>
  <si>
    <t>11218 SPRINGFIELD BLVD</t>
  </si>
  <si>
    <t>Vijay Shah</t>
  </si>
  <si>
    <t>E0135743</t>
  </si>
  <si>
    <t>SHAH VIJAY RATANLAL MD</t>
  </si>
  <si>
    <t>Patricia Nolan</t>
  </si>
  <si>
    <t>E0229211</t>
  </si>
  <si>
    <t>NOLAN PATRICIA MARY        MD</t>
  </si>
  <si>
    <t>NOLAN PATRICIA DR.</t>
  </si>
  <si>
    <t>Barbara Heath</t>
  </si>
  <si>
    <t>E0421732</t>
  </si>
  <si>
    <t>HEATH BARBARA</t>
  </si>
  <si>
    <t>Mila Gauvin</t>
  </si>
  <si>
    <t>E0041838</t>
  </si>
  <si>
    <t>GAUVIN MILA</t>
  </si>
  <si>
    <t>Christopher O'Connor</t>
  </si>
  <si>
    <t>E0411262</t>
  </si>
  <si>
    <t>OCONNOR CHRISTOPER J</t>
  </si>
  <si>
    <t>O'CONNOR CHRISTOPHER</t>
  </si>
  <si>
    <t xml:space="preserve">Anant Indaram  </t>
  </si>
  <si>
    <t>E0155216</t>
  </si>
  <si>
    <t>INDARAM ANANT V MD</t>
  </si>
  <si>
    <t>INDARAM ANANT DR.</t>
  </si>
  <si>
    <t>EMSA LTD PART/WYCKOF</t>
  </si>
  <si>
    <t>Phuong  Ho</t>
  </si>
  <si>
    <t>E0371847</t>
  </si>
  <si>
    <t>HO PHUONG TU</t>
  </si>
  <si>
    <t>HO PHUONG MISS</t>
  </si>
  <si>
    <t xml:space="preserve">Myoe Minn </t>
  </si>
  <si>
    <t>E0289288</t>
  </si>
  <si>
    <t>MINN MYOE</t>
  </si>
  <si>
    <t>Kera Thomas</t>
  </si>
  <si>
    <t>E0371778</t>
  </si>
  <si>
    <t>THOMAS KERA ANDREA</t>
  </si>
  <si>
    <t>THOMAS KERA</t>
  </si>
  <si>
    <t>Adeola Uthman</t>
  </si>
  <si>
    <t>E0015198</t>
  </si>
  <si>
    <t>UTHMAN ADEOLA RAFIHHI MD</t>
  </si>
  <si>
    <t>UTHMAN ADEOLA DR.</t>
  </si>
  <si>
    <t>225 PARKSIDE AVE APT 1D</t>
  </si>
  <si>
    <t>Ida Ismailer</t>
  </si>
  <si>
    <t>E0185504</t>
  </si>
  <si>
    <t>ISMAILER IDA MD</t>
  </si>
  <si>
    <t>ISMAILER IDA DR.</t>
  </si>
  <si>
    <t>Tiye Bhutia</t>
  </si>
  <si>
    <t>E0397778</t>
  </si>
  <si>
    <t>BHUTIA TIYE MERYT</t>
  </si>
  <si>
    <t>BHUTIA TIYE</t>
  </si>
  <si>
    <t>215 W 125TH ST FL 2</t>
  </si>
  <si>
    <t xml:space="preserve">Park Terrace Care Center </t>
  </si>
  <si>
    <t>E0267999</t>
  </si>
  <si>
    <t>PARK TERRACE CARE CTR SNF</t>
  </si>
  <si>
    <t>Eli Lieber</t>
  </si>
  <si>
    <t>(718) 592-9200</t>
  </si>
  <si>
    <t xml:space="preserve">elieber@park-terrace.com    </t>
  </si>
  <si>
    <t>PARK TERRACE CARE CENTER INC</t>
  </si>
  <si>
    <t>New Horizon Counseling Center, Inc./West Rockaway Clinic</t>
  </si>
  <si>
    <t>Center for Alternative Sentencing &amp; Employment Services</t>
  </si>
  <si>
    <t>Bradley Jacobs</t>
  </si>
  <si>
    <t>(212) 553-6778</t>
  </si>
  <si>
    <t>bjacobs@cases.org</t>
  </si>
  <si>
    <t>Empire Gate Medical, PC</t>
  </si>
  <si>
    <t>E0041645</t>
  </si>
  <si>
    <t>SUPRIN GREGORY MD</t>
  </si>
  <si>
    <t>Gregory Suprin</t>
  </si>
  <si>
    <t>SUPRIN GREGORY DR.</t>
  </si>
  <si>
    <t>E0352681</t>
  </si>
  <si>
    <t>GINELLI PAUL</t>
  </si>
  <si>
    <t>GinelliPaul</t>
  </si>
  <si>
    <t>GINELLI PAUL DR.</t>
  </si>
  <si>
    <t>GINELLI PAUL CHRISTOPHER</t>
  </si>
  <si>
    <t>TORRIJOS VANESSA DR.</t>
  </si>
  <si>
    <t>ShahAditi</t>
  </si>
  <si>
    <t>SHAH ADITI</t>
  </si>
  <si>
    <t>KUMAR AKASH DR.</t>
  </si>
  <si>
    <t>JACOBS SUSANNA DR.</t>
  </si>
  <si>
    <t>4961 S BEELER ST</t>
  </si>
  <si>
    <t>GREENWOOD VILLAGE</t>
  </si>
  <si>
    <t>E0298923</t>
  </si>
  <si>
    <t>ROSENSON ROBERT SIDNEY</t>
  </si>
  <si>
    <t>RosensonRobert</t>
  </si>
  <si>
    <t>ROSENSON ROBERT</t>
  </si>
  <si>
    <t>450 CLARKSON AVE STE A</t>
  </si>
  <si>
    <t>AMITASRIGOWRIMURTHY</t>
  </si>
  <si>
    <t>E0071658</t>
  </si>
  <si>
    <t>MURTHY AMITASRIGOWRI S MD</t>
  </si>
  <si>
    <t>MURTHY AMITASRIGOWRI DR.</t>
  </si>
  <si>
    <t>UNIV PITS PHYS</t>
  </si>
  <si>
    <t>RUPANATARAJAN</t>
  </si>
  <si>
    <t>E0362229</t>
  </si>
  <si>
    <t>NATARAJAN RUPA NARAYANI</t>
  </si>
  <si>
    <t>NATARAJAN RUPA DR.</t>
  </si>
  <si>
    <t>DINANOSWORTHY</t>
  </si>
  <si>
    <t>E0328443</t>
  </si>
  <si>
    <t>NOSWORTHY DINA MARIE</t>
  </si>
  <si>
    <t>NOSWORTHY DINA MS.</t>
  </si>
  <si>
    <t>RENEENOVELLO</t>
  </si>
  <si>
    <t>NOVELLO RENEE</t>
  </si>
  <si>
    <t>1 MEDICAL CENTER DR</t>
  </si>
  <si>
    <t>NANCYORTIZ-SEDA</t>
  </si>
  <si>
    <t>E0323014</t>
  </si>
  <si>
    <t>ORTIZ-SEDA NANCY</t>
  </si>
  <si>
    <t>JOQUETTAPAIGE</t>
  </si>
  <si>
    <t>E0030468</t>
  </si>
  <si>
    <t>PAIGE JOQUETTA DESHEA MD</t>
  </si>
  <si>
    <t>PAIGE JOQUETTA</t>
  </si>
  <si>
    <t>CARILLONNRSREHABCTRADHC</t>
  </si>
  <si>
    <t>NOORSAEED AHMED DR.</t>
  </si>
  <si>
    <t>BOYDSTON ELAINE</t>
  </si>
  <si>
    <t>SHAH MANAN MR.</t>
  </si>
  <si>
    <t>ALSHIEKH NASANY RUHAM DR.</t>
  </si>
  <si>
    <t>E0164358</t>
  </si>
  <si>
    <t>GROPPER CHARLES ARTHUR</t>
  </si>
  <si>
    <t>GropperCharles</t>
  </si>
  <si>
    <t>GROPPER CHARLES DR.</t>
  </si>
  <si>
    <t>E0311026</t>
  </si>
  <si>
    <t>MARSHALL ROY POSNER</t>
  </si>
  <si>
    <t>PosnerMarshall</t>
  </si>
  <si>
    <t>POSNER MARSHALL DR.</t>
  </si>
  <si>
    <t>POSNER MARSHALL ROY</t>
  </si>
  <si>
    <t>E0278302</t>
  </si>
  <si>
    <t>MINDEL JOEL S MD</t>
  </si>
  <si>
    <t>MindelJoel</t>
  </si>
  <si>
    <t>MINDEL JOEL</t>
  </si>
  <si>
    <t>MINDEL JOEL SIDNEY</t>
  </si>
  <si>
    <t>5 E 98TH ST # 1183</t>
  </si>
  <si>
    <t>E0065107</t>
  </si>
  <si>
    <t>ABRAMS LAUREN CNM</t>
  </si>
  <si>
    <t>AbramsLauren</t>
  </si>
  <si>
    <t>ABRAMS LAUREN</t>
  </si>
  <si>
    <t>E0115005</t>
  </si>
  <si>
    <t>FRIEDMAN SAMUEL</t>
  </si>
  <si>
    <t>FriedmanSamuel</t>
  </si>
  <si>
    <t>E0008704</t>
  </si>
  <si>
    <t>SZABO JANET ROSE MD</t>
  </si>
  <si>
    <t>SzaboJanet</t>
  </si>
  <si>
    <t>SZABO JANET DR.</t>
  </si>
  <si>
    <t>E0337803</t>
  </si>
  <si>
    <t>WANG LORI</t>
  </si>
  <si>
    <t>WangLori</t>
  </si>
  <si>
    <t>WANG LORI DR.</t>
  </si>
  <si>
    <t>KIM EILEEN</t>
  </si>
  <si>
    <t>3002 MURRAY ST</t>
  </si>
  <si>
    <t>E0361338</t>
  </si>
  <si>
    <t>JEWISH CHILD CARE ASSOCIATION OF NE</t>
  </si>
  <si>
    <t>PaulTorres</t>
  </si>
  <si>
    <t>(718) 742-8550</t>
  </si>
  <si>
    <t>torresp@jccany.org</t>
  </si>
  <si>
    <t>JEWISH CHILD CARE ASSOCIATION</t>
  </si>
  <si>
    <t>671 OSBORNE ST</t>
  </si>
  <si>
    <t>E0266330</t>
  </si>
  <si>
    <t>JCCA EDENWALD             INC</t>
  </si>
  <si>
    <t>MichaelSpindler</t>
  </si>
  <si>
    <t>(917) 808-4804</t>
  </si>
  <si>
    <t>spindlerm@jccany.org</t>
  </si>
  <si>
    <t>JEWISH CHILD CARE ASSOCIATION OF NEW YORK EDENWALD</t>
  </si>
  <si>
    <t>1075 BROADWAY POB 237</t>
  </si>
  <si>
    <t>E0362042</t>
  </si>
  <si>
    <t>DEPRIMA THOMAS J</t>
  </si>
  <si>
    <t>DEPRIMA THOMAS DR.</t>
  </si>
  <si>
    <t>E0406767</t>
  </si>
  <si>
    <t>WOODRELL CHRISTOPHER DAVID</t>
  </si>
  <si>
    <t>WOODRELL CHRISTOPHER</t>
  </si>
  <si>
    <t>E0079735</t>
  </si>
  <si>
    <t>MEAH YASMIN SULTANA MD</t>
  </si>
  <si>
    <t>MeahYasmin</t>
  </si>
  <si>
    <t>MEAH YASMIN</t>
  </si>
  <si>
    <t>E0366696</t>
  </si>
  <si>
    <t>ANDRUS JASON M</t>
  </si>
  <si>
    <t>AndrusJason</t>
  </si>
  <si>
    <t>ANDRUS JASON DR.</t>
  </si>
  <si>
    <t>6301 12TH AVE</t>
  </si>
  <si>
    <t>E0397058</t>
  </si>
  <si>
    <t>BANTHIN DAVID CLIFFORD</t>
  </si>
  <si>
    <t>BanthinDavid</t>
  </si>
  <si>
    <t>BANTHIN DAVID</t>
  </si>
  <si>
    <t>HaywoodDana</t>
  </si>
  <si>
    <t>HAYWOOD DANA DR.</t>
  </si>
  <si>
    <t>635 W 165TH ST FL 6</t>
  </si>
  <si>
    <t>MartindePorresGroupHomes</t>
  </si>
  <si>
    <t>Br.PhilipRofrano</t>
  </si>
  <si>
    <t>phiro@mdpgh.org</t>
  </si>
  <si>
    <t>ADENABARGAD</t>
  </si>
  <si>
    <t>E0235223</t>
  </si>
  <si>
    <t>DE GRANDPRE ARTHUR B</t>
  </si>
  <si>
    <t>107 COURT ST</t>
  </si>
  <si>
    <t>JESSICABLUE</t>
  </si>
  <si>
    <t>E0023524</t>
  </si>
  <si>
    <t>BLUE JESSICA</t>
  </si>
  <si>
    <t>BLUE JESSICA MS.</t>
  </si>
  <si>
    <t>560 SOUTHERN BLVD</t>
  </si>
  <si>
    <t>ADRIENNEBRUCCOLERI</t>
  </si>
  <si>
    <t>E0322963</t>
  </si>
  <si>
    <t>BRUCCOLERI ADRIENNE</t>
  </si>
  <si>
    <t>BRUCCOLERI ADRIENNE MRS.</t>
  </si>
  <si>
    <t>DOMINIQUECELESTIN</t>
  </si>
  <si>
    <t>E0373134</t>
  </si>
  <si>
    <t>CELESTIN DOMINIQUE</t>
  </si>
  <si>
    <t>CELESIN DOMINIQUE MS.</t>
  </si>
  <si>
    <t>Patrick Wu</t>
  </si>
  <si>
    <t>E0115988</t>
  </si>
  <si>
    <t>WU PATRICK</t>
  </si>
  <si>
    <t>Sabine Saint Vil</t>
  </si>
  <si>
    <t>E0306558</t>
  </si>
  <si>
    <t>SAINT VIL SABINE</t>
  </si>
  <si>
    <t>Ashley Cooper</t>
  </si>
  <si>
    <t>E0378469</t>
  </si>
  <si>
    <t>COOPER ASHLEY JOI</t>
  </si>
  <si>
    <t>COOPER ASHLEY</t>
  </si>
  <si>
    <t>Sarvarkhan Pathan</t>
  </si>
  <si>
    <t>PATHAN SARVARKHAN MR.</t>
  </si>
  <si>
    <t>5021 ELTHA DR, APT C</t>
  </si>
  <si>
    <t>WINSTON SALEM</t>
  </si>
  <si>
    <t xml:space="preserve">Marvin  Pollack </t>
  </si>
  <si>
    <t>E0277402</t>
  </si>
  <si>
    <t>POLLACK MARVIN             MD</t>
  </si>
  <si>
    <t>POLLACK MARVIN</t>
  </si>
  <si>
    <t>4701 15TH AVE</t>
  </si>
  <si>
    <t>Maganlal Mistry</t>
  </si>
  <si>
    <t>E0232183</t>
  </si>
  <si>
    <t>MISTRY MAGANLAL G          MD</t>
  </si>
  <si>
    <t>MISTRY MAGANLAL</t>
  </si>
  <si>
    <t>KINGS HWY MED GRP</t>
  </si>
  <si>
    <t>Alla Shteynman</t>
  </si>
  <si>
    <t>E0092314</t>
  </si>
  <si>
    <t>SHTEYNMAN ALLA MD</t>
  </si>
  <si>
    <t>SHTEYNMAN ALLA</t>
  </si>
  <si>
    <t>Arthur Lowy</t>
  </si>
  <si>
    <t>E0164068</t>
  </si>
  <si>
    <t>LOWY ARTHUR  MD</t>
  </si>
  <si>
    <t>LOWY ARTHUR</t>
  </si>
  <si>
    <t>226 CLINTON ST</t>
  </si>
  <si>
    <t>Dean Chasky</t>
  </si>
  <si>
    <t>E0225449</t>
  </si>
  <si>
    <t>CHASKY DEAN COLE           MD</t>
  </si>
  <si>
    <t>CHASKY DEAN DR.</t>
  </si>
  <si>
    <t>240 W 23RD ST</t>
  </si>
  <si>
    <t>Rajana  Meka</t>
  </si>
  <si>
    <t>E0008745</t>
  </si>
  <si>
    <t>MEKA RAJANA MD</t>
  </si>
  <si>
    <t>MEKA RAJANA DR.</t>
  </si>
  <si>
    <t>Irma Matos-Rivera</t>
  </si>
  <si>
    <t>E0127740</t>
  </si>
  <si>
    <t>MATOS IRMA RIVERA MD</t>
  </si>
  <si>
    <t>MATOS-RIVERA IRMA</t>
  </si>
  <si>
    <t xml:space="preserve">Lesly Kernisant </t>
  </si>
  <si>
    <t>E0271706</t>
  </si>
  <si>
    <t>KERNISANT LESLY            MD</t>
  </si>
  <si>
    <t>KERNISANT LESLY</t>
  </si>
  <si>
    <t>BROOKDALE HOS CTR</t>
  </si>
  <si>
    <t>Margaret Rajnic</t>
  </si>
  <si>
    <t>E0378361</t>
  </si>
  <si>
    <t>RAJNIC MARGARET</t>
  </si>
  <si>
    <t>RAJNIC MARGARET MARY</t>
  </si>
  <si>
    <t>Chandhini  Ramaiah</t>
  </si>
  <si>
    <t>E0105230</t>
  </si>
  <si>
    <t>RAMAIAH CHANDHINI MD</t>
  </si>
  <si>
    <t>RAMAIAH CHANDHINI</t>
  </si>
  <si>
    <t>8712 58TH AVE</t>
  </si>
  <si>
    <t>Mahesh Bhaskar</t>
  </si>
  <si>
    <t>E0042597</t>
  </si>
  <si>
    <t>BHASKAR MAHESH MD</t>
  </si>
  <si>
    <t>BHASKAR MAHESH</t>
  </si>
  <si>
    <t xml:space="preserve">Jean Schmidt </t>
  </si>
  <si>
    <t>E0204596</t>
  </si>
  <si>
    <t>SCHMIDT JEAN LESLY         MD</t>
  </si>
  <si>
    <t>SCHMIDT JEAN</t>
  </si>
  <si>
    <t>INTERFAITH MEDIC CTR</t>
  </si>
  <si>
    <t>Kristy Richard</t>
  </si>
  <si>
    <t>E0373215</t>
  </si>
  <si>
    <t>RICHARD KRISTY E</t>
  </si>
  <si>
    <t>RICHARD KRISTY MS.</t>
  </si>
  <si>
    <t>Nadia Qadri</t>
  </si>
  <si>
    <t>E0372927</t>
  </si>
  <si>
    <t>QADRI NADIA SYEDA</t>
  </si>
  <si>
    <t>QADRI NADIA</t>
  </si>
  <si>
    <t>195 MONTAGUE ST</t>
  </si>
  <si>
    <t>Eugene Arum</t>
  </si>
  <si>
    <t>E0257359</t>
  </si>
  <si>
    <t>ARUM EUGENE S MD</t>
  </si>
  <si>
    <t>ARUM EUGENE</t>
  </si>
  <si>
    <t>Yevgeniya Dynkevich</t>
  </si>
  <si>
    <t>E0293712</t>
  </si>
  <si>
    <t>YEVGENIYA DYNKEVICH</t>
  </si>
  <si>
    <t>DYNKEVICH YEVGENIYA DR.</t>
  </si>
  <si>
    <t>DYNKEVICH YEVGENIYA MD</t>
  </si>
  <si>
    <t>Kehinde Odedeyi</t>
  </si>
  <si>
    <t>E0386974</t>
  </si>
  <si>
    <t>ODEDEYI KEHINDE OLAMIDE</t>
  </si>
  <si>
    <t>ODEDEYI KEHINDE DR.</t>
  </si>
  <si>
    <t xml:space="preserve">Meredith Hudes-Lowder </t>
  </si>
  <si>
    <t>E0310623</t>
  </si>
  <si>
    <t>HUDES-LOWDER MEREDITH ANNE</t>
  </si>
  <si>
    <t>HUDES-LOWDER MEREDITH</t>
  </si>
  <si>
    <t>Serge Alerte</t>
  </si>
  <si>
    <t>E0127743</t>
  </si>
  <si>
    <t>ALERTE SERGE G MD</t>
  </si>
  <si>
    <t>ALERTE SERGE DR.</t>
  </si>
  <si>
    <t>E0127814</t>
  </si>
  <si>
    <t>BENCHIMOL CORINNE DO</t>
  </si>
  <si>
    <t>BenchimolCorinne</t>
  </si>
  <si>
    <t>BENCHIMOL CORINNE</t>
  </si>
  <si>
    <t>E0123079</t>
  </si>
  <si>
    <t>MICHAELS ILENE KARP MD</t>
  </si>
  <si>
    <t>MICHAELS ILENE DR.</t>
  </si>
  <si>
    <t>E0305508</t>
  </si>
  <si>
    <t>BRADLEY SHY MD</t>
  </si>
  <si>
    <t>SHY BRADLEY DR.</t>
  </si>
  <si>
    <t>SHY BRADLEY DONALD</t>
  </si>
  <si>
    <t>E0387426</t>
  </si>
  <si>
    <t>ROSE GABRIEL</t>
  </si>
  <si>
    <t>ROSE GABRIEL DR.</t>
  </si>
  <si>
    <t>E0443153</t>
  </si>
  <si>
    <t>RODRIGUEZ GLENNIS MERCEDES</t>
  </si>
  <si>
    <t>RODRIGUEZ GLENNIS MS.</t>
  </si>
  <si>
    <t>COVELLO PAUL DR.</t>
  </si>
  <si>
    <t>E0409871</t>
  </si>
  <si>
    <t>WOOD KATHERINE</t>
  </si>
  <si>
    <t>WOOD KATHERINE DELIA</t>
  </si>
  <si>
    <t>Garrett-HerryMargaret</t>
  </si>
  <si>
    <t>GARRETT-HERRY MARGARET MS.</t>
  </si>
  <si>
    <t>1184 5TH AVE, 2ND FLOOR</t>
  </si>
  <si>
    <t>HAMZAVI BRIAN DR.</t>
  </si>
  <si>
    <t>WESLEY SARAH DR.</t>
  </si>
  <si>
    <t>800 HOWARD AVE</t>
  </si>
  <si>
    <t>SrinivasKeshnakurthy</t>
  </si>
  <si>
    <t>E0026905</t>
  </si>
  <si>
    <t>KESANAKURTHY SRINIVAS MD</t>
  </si>
  <si>
    <t>KESANAKURTHY SRINIVAS DR.</t>
  </si>
  <si>
    <t>KESANAKURTHY SRINIVAS  MD</t>
  </si>
  <si>
    <t>SusanShi</t>
  </si>
  <si>
    <t>E0082608</t>
  </si>
  <si>
    <t>SHI SUSAN YOU MD</t>
  </si>
  <si>
    <t>SHI SUSAN DR.</t>
  </si>
  <si>
    <t>MEDWELL MED</t>
  </si>
  <si>
    <t>E0122286</t>
  </si>
  <si>
    <t>DIVINO CELIA M F MD</t>
  </si>
  <si>
    <t>DIVINO CELIA</t>
  </si>
  <si>
    <t>DIVINO CELIA MARIA FERIA</t>
  </si>
  <si>
    <t>5 E 98TH ST FL ASC-14TH</t>
  </si>
  <si>
    <t>E0099723</t>
  </si>
  <si>
    <t>MEROLA PAMELA RIOS MD</t>
  </si>
  <si>
    <t>MEROLA PAMELA</t>
  </si>
  <si>
    <t>E0135530</t>
  </si>
  <si>
    <t>WALDORF HEIDI ANN MD</t>
  </si>
  <si>
    <t>WALDORF HEIDI DR.</t>
  </si>
  <si>
    <t>57 N MIDDLETOWN RD</t>
  </si>
  <si>
    <t>E0192675</t>
  </si>
  <si>
    <t>CHIETERO MICHAEL</t>
  </si>
  <si>
    <t>CHIETERO MICHAEL DR.</t>
  </si>
  <si>
    <t>E0097973</t>
  </si>
  <si>
    <t>PHELPS ROBERT G  MD</t>
  </si>
  <si>
    <t>PHELPS ROBERT</t>
  </si>
  <si>
    <t>PHELPS ROBERT GEORGE</t>
  </si>
  <si>
    <t>1 GUSTAVE L LEVY PL # 1194</t>
  </si>
  <si>
    <t>E0206442</t>
  </si>
  <si>
    <t>ARPADI STEPHEN M           MD</t>
  </si>
  <si>
    <t>ArpadiStephenM.</t>
  </si>
  <si>
    <t>ARPADI STEPHEN</t>
  </si>
  <si>
    <t>DrChristopherKacin</t>
  </si>
  <si>
    <t>E0300452</t>
  </si>
  <si>
    <t>KACIN CHRISTOPHE</t>
  </si>
  <si>
    <t>KACIN CHRISTOPHER DR.</t>
  </si>
  <si>
    <t>KACIN CHRISTOPHER ANTHONY MD</t>
  </si>
  <si>
    <t>8008 3RD AVE</t>
  </si>
  <si>
    <t>DavidSchifter</t>
  </si>
  <si>
    <t>E0003397</t>
  </si>
  <si>
    <t>DAVID SCHIFTER MD PC</t>
  </si>
  <si>
    <t>108 PROSPECT PARK W</t>
  </si>
  <si>
    <t>EmilBaccash</t>
  </si>
  <si>
    <t>MarineVolson</t>
  </si>
  <si>
    <t>E0389626</t>
  </si>
  <si>
    <t>VOLFSON MARINA</t>
  </si>
  <si>
    <t>MohammadSidlque</t>
  </si>
  <si>
    <t>E0093998</t>
  </si>
  <si>
    <t>SIDDIQUE MOHAMMAD ABUBAKAR MD</t>
  </si>
  <si>
    <t>SIDDIQUE MOHAMMAD DR.</t>
  </si>
  <si>
    <t>SIDDIQUE MOHAMMAD ABUBAKAR</t>
  </si>
  <si>
    <t>79 CHURCH AVE</t>
  </si>
  <si>
    <t>NanjundaiahKumar</t>
  </si>
  <si>
    <t>E0099105</t>
  </si>
  <si>
    <t>KUMAR NANJUNDAIAH MD</t>
  </si>
  <si>
    <t>KUMAR NANJUNDAIAH</t>
  </si>
  <si>
    <t>ISLAND ALLERGY &amp; ASTHMA PC</t>
  </si>
  <si>
    <t>3506 73RD ST, CELLAR #2</t>
  </si>
  <si>
    <t>RizwanullaHameed</t>
  </si>
  <si>
    <t>E0141929</t>
  </si>
  <si>
    <t>HAMEED RIZWANULLAH MD</t>
  </si>
  <si>
    <t>HAMEED RIZWANULLAH</t>
  </si>
  <si>
    <t>DrSanjeevRajpal</t>
  </si>
  <si>
    <t>E0228576</t>
  </si>
  <si>
    <t>RAJPAL SANJEEV             MD</t>
  </si>
  <si>
    <t>RAJPAL SANJEEV DR.</t>
  </si>
  <si>
    <t>RAJPAL SANJEEV</t>
  </si>
  <si>
    <t>1663 REMSEN AVE</t>
  </si>
  <si>
    <t>DrSudheshSrivastava</t>
  </si>
  <si>
    <t>E0044186</t>
  </si>
  <si>
    <t>SRIVASTAVA SUDHESH KUMAR MD</t>
  </si>
  <si>
    <t>SRIVASTAVA SUDHESH DR.</t>
  </si>
  <si>
    <t>DrTeofilaMalanum</t>
  </si>
  <si>
    <t>E0274317</t>
  </si>
  <si>
    <t>MALANUM TEOFILA            MD</t>
  </si>
  <si>
    <t>MALANUM TEOFILA DR.</t>
  </si>
  <si>
    <t>DrTrinhNguyen</t>
  </si>
  <si>
    <t>E0390282</t>
  </si>
  <si>
    <t>NGUYEN TRINH T</t>
  </si>
  <si>
    <t>NGUYEN TRINH</t>
  </si>
  <si>
    <t>E0338859</t>
  </si>
  <si>
    <t>IM GENE</t>
  </si>
  <si>
    <t>ImGene</t>
  </si>
  <si>
    <t>IM GENE DR.</t>
  </si>
  <si>
    <t>E0073388</t>
  </si>
  <si>
    <t>QSAC HCBS 5</t>
  </si>
  <si>
    <t>FFA2631</t>
  </si>
  <si>
    <t>E0343930</t>
  </si>
  <si>
    <t>GOLDSTEIN LISSA KARY</t>
  </si>
  <si>
    <t>GoldsteinLissaK.</t>
  </si>
  <si>
    <t>GOLDSTEIN LISSA</t>
  </si>
  <si>
    <t>E0041660</t>
  </si>
  <si>
    <t>LEVITT JACOB OREN MD</t>
  </si>
  <si>
    <t>LEVITT JACOB DR.</t>
  </si>
  <si>
    <t>E0138578</t>
  </si>
  <si>
    <t>MCLAUGHLIN MARY ANN MD</t>
  </si>
  <si>
    <t>McLaughlinMaryAnn</t>
  </si>
  <si>
    <t>MCLAUGHLIN MARYANN</t>
  </si>
  <si>
    <t>E0261745</t>
  </si>
  <si>
    <t>SHINEMAN PAUL WANER        MD</t>
  </si>
  <si>
    <t>ShinemanPaul</t>
  </si>
  <si>
    <t>SHINEMAN PAUL</t>
  </si>
  <si>
    <t>SolimanEmad</t>
  </si>
  <si>
    <t>E0185056</t>
  </si>
  <si>
    <t>ITZKOWITZ STEVEN H MD</t>
  </si>
  <si>
    <t>ItzkowitzSteven</t>
  </si>
  <si>
    <t>ITZKOWITZ STEVEN</t>
  </si>
  <si>
    <t>LehrerSteven</t>
  </si>
  <si>
    <t>LEHRER STEVEN DR.</t>
  </si>
  <si>
    <t>30 W 60TH ST, 5M</t>
  </si>
  <si>
    <t>E0435088</t>
  </si>
  <si>
    <t>WETMORE DOUGLAS</t>
  </si>
  <si>
    <t>WETMORE DOUGLAS DR.</t>
  </si>
  <si>
    <t>WETMORE DOUGLAS SCOTT</t>
  </si>
  <si>
    <t>E0413705</t>
  </si>
  <si>
    <t>AKUAMOAH LATRICE AKOSUA</t>
  </si>
  <si>
    <t>AKUAMOAH LATRICE</t>
  </si>
  <si>
    <t>SIVARAMAKRISHNAN CHARANYA</t>
  </si>
  <si>
    <t>355 BARD AVE, RICHMOND UNIVERSITY MEDICAL CENTER</t>
  </si>
  <si>
    <t>E0417178</t>
  </si>
  <si>
    <t>SHAH NIDHI</t>
  </si>
  <si>
    <t>SHAH NIDHI YATIN</t>
  </si>
  <si>
    <t>10 UNION SQ E STE 4C</t>
  </si>
  <si>
    <t>E0412893</t>
  </si>
  <si>
    <t>GEIER JACQUELINE</t>
  </si>
  <si>
    <t>GEIER JACQUELINE DR.</t>
  </si>
  <si>
    <t>GEIER JACQUELINE ERIN</t>
  </si>
  <si>
    <t>E0431888</t>
  </si>
  <si>
    <t>LESLIE QUINN TARYN COBBS</t>
  </si>
  <si>
    <t>LESLIE QUINN</t>
  </si>
  <si>
    <t>HECHING MOSHE</t>
  </si>
  <si>
    <t>NowlinLouis</t>
  </si>
  <si>
    <t>NOWLIN LOUIS</t>
  </si>
  <si>
    <t>443 WEST 151 STREET, 4C</t>
  </si>
  <si>
    <t>PRICE JONATHAN DR.</t>
  </si>
  <si>
    <t>3114 35TH ST</t>
  </si>
  <si>
    <t>BasdeoDonald</t>
  </si>
  <si>
    <t>BASDEO DONALD</t>
  </si>
  <si>
    <t>SimonyanYuliya</t>
  </si>
  <si>
    <t>SIMONYAN YULIYA</t>
  </si>
  <si>
    <t>1 GUSTAVE L.LEVY PLACE</t>
  </si>
  <si>
    <t>E0229989</t>
  </si>
  <si>
    <t>KOSSOWAN ANNE C           DDS</t>
  </si>
  <si>
    <t>KOSSOWAN ANNE</t>
  </si>
  <si>
    <t>175 WOLFS LN</t>
  </si>
  <si>
    <t>E0363349</t>
  </si>
  <si>
    <t>KIM EUNJEONG</t>
  </si>
  <si>
    <t>KimEunJeong</t>
  </si>
  <si>
    <t>E0094763</t>
  </si>
  <si>
    <t>ISSA RICARDO FABIAN MD</t>
  </si>
  <si>
    <t>IssaRicardoF.</t>
  </si>
  <si>
    <t>ISSA RICARDO</t>
  </si>
  <si>
    <t>1141 SHORE PKWY</t>
  </si>
  <si>
    <t>E0024613</t>
  </si>
  <si>
    <t>MANUSIS KIRA MD</t>
  </si>
  <si>
    <t>ManusisKira</t>
  </si>
  <si>
    <t>MANUSIS KIRA DR.</t>
  </si>
  <si>
    <t>19 ROCKWELL PL FL 3</t>
  </si>
  <si>
    <t>CommunityAccessInc./Davidson</t>
  </si>
  <si>
    <t>CommunityAccessInc./Rev.JamesAPolite</t>
  </si>
  <si>
    <t>CommunityAccessInc./TintonAvenue</t>
  </si>
  <si>
    <t>CommunityAccessInc./EastBroadwayResidence</t>
  </si>
  <si>
    <t>E0117504</t>
  </si>
  <si>
    <t>SFORZA PAUL D JR MD</t>
  </si>
  <si>
    <t>SFORZA PAUL DR.</t>
  </si>
  <si>
    <t>1620 157TH ST</t>
  </si>
  <si>
    <t>VERONICALERNER</t>
  </si>
  <si>
    <t>E0008966</t>
  </si>
  <si>
    <t>LERNER VERONICA</t>
  </si>
  <si>
    <t>LERNER VERONICA  MD</t>
  </si>
  <si>
    <t>530 FIRST AVE SF</t>
  </si>
  <si>
    <t>NamMinjae</t>
  </si>
  <si>
    <t>NAM MINJAE</t>
  </si>
  <si>
    <t>1 GUSTAVE L LEVY PL, NEW YORK</t>
  </si>
  <si>
    <t>E0390866</t>
  </si>
  <si>
    <t>NICASTRI DANIEL GILBERT</t>
  </si>
  <si>
    <t>NicastriDaniel</t>
  </si>
  <si>
    <t>NICASTRI DANIEL DR.</t>
  </si>
  <si>
    <t>E0101679</t>
  </si>
  <si>
    <t>O'HARA MANDY A</t>
  </si>
  <si>
    <t>O'HaraMandy</t>
  </si>
  <si>
    <t>O'HARA MANDY DR.</t>
  </si>
  <si>
    <t>E0013886</t>
  </si>
  <si>
    <t>THAKER HARSHWARDH MONOHAR</t>
  </si>
  <si>
    <t>ThakerHarshwardhan</t>
  </si>
  <si>
    <t>THAKER HARSHWARDHAN DR.</t>
  </si>
  <si>
    <t>E0393801</t>
  </si>
  <si>
    <t>BLISSETT KECIA-ANN MAY</t>
  </si>
  <si>
    <t>BlissettKecia-Ann</t>
  </si>
  <si>
    <t>BLISSETT KECIA-ANN DR.</t>
  </si>
  <si>
    <t>James Chin</t>
  </si>
  <si>
    <t>E0197874</t>
  </si>
  <si>
    <t>CHIN JAMES                 MD</t>
  </si>
  <si>
    <t>CHIN JAMES</t>
  </si>
  <si>
    <t>Naomi Twersky</t>
  </si>
  <si>
    <t>E0268295</t>
  </si>
  <si>
    <t>TWERSKY NAOMI MD</t>
  </si>
  <si>
    <t>TWERSKY NAOMI</t>
  </si>
  <si>
    <t>1450 46TH ST</t>
  </si>
  <si>
    <t>Harry Karamitsos</t>
  </si>
  <si>
    <t>E0121117</t>
  </si>
  <si>
    <t>KARAMITSOS HARRY MD</t>
  </si>
  <si>
    <t>KARAMITSOS HARRY DR.</t>
  </si>
  <si>
    <t>Nina Lau</t>
  </si>
  <si>
    <t>E0127621</t>
  </si>
  <si>
    <t>LAU NINA LOUIE MD</t>
  </si>
  <si>
    <t>LAU NINA</t>
  </si>
  <si>
    <t>8806 55TH AVE</t>
  </si>
  <si>
    <t>Alford Smith</t>
  </si>
  <si>
    <t>E0216504</t>
  </si>
  <si>
    <t>SMITH ALFORD ALEXANDER MD</t>
  </si>
  <si>
    <t>SMITH ALFORD DR.</t>
  </si>
  <si>
    <t>Eric Blacher</t>
  </si>
  <si>
    <t>E0297062</t>
  </si>
  <si>
    <t>BLACHER ERIC DAVID MD</t>
  </si>
  <si>
    <t>BLACHER ERIC DR.</t>
  </si>
  <si>
    <t>Malgorzata Teklinski</t>
  </si>
  <si>
    <t>E0027262</t>
  </si>
  <si>
    <t>TEKLINSKI MALGORZATA MD</t>
  </si>
  <si>
    <t>BECKMAN MALGORZATA</t>
  </si>
  <si>
    <t>BECKMAN MALGORZATA MD</t>
  </si>
  <si>
    <t xml:space="preserve">Henry Chiu </t>
  </si>
  <si>
    <t>E0336484</t>
  </si>
  <si>
    <t>CHIU HENRY C</t>
  </si>
  <si>
    <t>CHIU HENRY DR.</t>
  </si>
  <si>
    <t>Jing Wa Wang</t>
  </si>
  <si>
    <t>E0353373</t>
  </si>
  <si>
    <t>WANG JING WA</t>
  </si>
  <si>
    <t>David Garzaniti</t>
  </si>
  <si>
    <t>GARZANITI DAVID MR.</t>
  </si>
  <si>
    <t xml:space="preserve">Jitendra Patel </t>
  </si>
  <si>
    <t>E0203842</t>
  </si>
  <si>
    <t>PATEL JITENDRA R           MD</t>
  </si>
  <si>
    <t>PATEL JITENDRA</t>
  </si>
  <si>
    <t>4771 HYLAN BLVD</t>
  </si>
  <si>
    <t>Nicole Thomas</t>
  </si>
  <si>
    <t>E0022327</t>
  </si>
  <si>
    <t>THOMAS NICOLE MD</t>
  </si>
  <si>
    <t>THOMAS NICOLE DR.</t>
  </si>
  <si>
    <t>70 E SUNRISE HWY</t>
  </si>
  <si>
    <t xml:space="preserve">Sejal Mair </t>
  </si>
  <si>
    <t>E0309212</t>
  </si>
  <si>
    <t>MAIR SEJAL DINESH</t>
  </si>
  <si>
    <t>MAIR SEJAL</t>
  </si>
  <si>
    <t>4344 KISSENA BLVD STE LA</t>
  </si>
  <si>
    <t>Mohsen Pahlavan</t>
  </si>
  <si>
    <t>E0042670</t>
  </si>
  <si>
    <t>PAHLAVAN MOHSEN MD</t>
  </si>
  <si>
    <t>PAHLAVAN MOHSEN</t>
  </si>
  <si>
    <t>200 OLD COUNTRY RD</t>
  </si>
  <si>
    <t>Irina Kolotinskaya</t>
  </si>
  <si>
    <t>E0287519</t>
  </si>
  <si>
    <t>KOLOTINSKAYA IRINA MD</t>
  </si>
  <si>
    <t>KOLOTINSKAYA IRINA</t>
  </si>
  <si>
    <t>260 W SUNRISE HWY STE 200</t>
  </si>
  <si>
    <t>Samuel Field Y, Community Advisory Program for the Elderly</t>
  </si>
  <si>
    <t>E0161692</t>
  </si>
  <si>
    <t>SAMUEL FIELD YM &amp; YWHA INC</t>
  </si>
  <si>
    <t>Michael Upston</t>
  </si>
  <si>
    <t>SAMUEL FIELD YM&amp;YWHA</t>
  </si>
  <si>
    <t xml:space="preserve">AABR, Inc. </t>
  </si>
  <si>
    <t>ACMH, Inc.</t>
  </si>
  <si>
    <t>Daniel K. Johansson</t>
  </si>
  <si>
    <t>American Dental Offices, PLLC</t>
  </si>
  <si>
    <t>Americare Certified Special Services, Inc.</t>
  </si>
  <si>
    <t>Alla Goldin</t>
  </si>
  <si>
    <t>(718) 535-3100</t>
  </si>
  <si>
    <t>AGoldin@americareny.com</t>
  </si>
  <si>
    <t xml:space="preserve">Amsterdam Nursing Home </t>
  </si>
  <si>
    <t>E0104229</t>
  </si>
  <si>
    <t>AMSTERDAM NURSING HOME ADHC</t>
  </si>
  <si>
    <t>James Davis</t>
  </si>
  <si>
    <t>(212) 316-7711</t>
  </si>
  <si>
    <t>jdavis@amsterdamnh.org</t>
  </si>
  <si>
    <t>AMSTERDAM NURSING HOME CORPORATION (1992)</t>
  </si>
  <si>
    <t>AMSTERDAM NURSING HOME CORP</t>
  </si>
  <si>
    <t>Argus Community, Inc. (ARU)</t>
  </si>
  <si>
    <t>Daniel Lowy, VP</t>
  </si>
  <si>
    <t>MehraKarishma</t>
  </si>
  <si>
    <t>MEHRA KARISHMA DR.</t>
  </si>
  <si>
    <t>333 CEDAR ST, ROOM WWW 211</t>
  </si>
  <si>
    <t>GaydaLacy</t>
  </si>
  <si>
    <t>REHE LACY</t>
  </si>
  <si>
    <t>E0364253</t>
  </si>
  <si>
    <t>HAINES GEORGE</t>
  </si>
  <si>
    <t>E0031281</t>
  </si>
  <si>
    <t>SKAMAGAS MARIA MD</t>
  </si>
  <si>
    <t>SkamagasMaria</t>
  </si>
  <si>
    <t>SKAMAGAS MARIA</t>
  </si>
  <si>
    <t>E0055653</t>
  </si>
  <si>
    <t>OVCHINSKY ALEXANDER MD</t>
  </si>
  <si>
    <t>OvchinskyAlexander</t>
  </si>
  <si>
    <t>OVCHINSKY ALEXANDER DR.</t>
  </si>
  <si>
    <t>E0162973</t>
  </si>
  <si>
    <t>MAW MYO  MD</t>
  </si>
  <si>
    <t>MAW MYO</t>
  </si>
  <si>
    <t>E0352230</t>
  </si>
  <si>
    <t>SHIN SUSAN CRYSTAL</t>
  </si>
  <si>
    <t>SHIN SUSAN DR.</t>
  </si>
  <si>
    <t>1468 MADISON AVE # 1052</t>
  </si>
  <si>
    <t>E0407520</t>
  </si>
  <si>
    <t>HERSCHER MICHAEL</t>
  </si>
  <si>
    <t>HERSCHER MICHAEL DR.</t>
  </si>
  <si>
    <t>HERSCHER MICHAEL LEIGH</t>
  </si>
  <si>
    <t>E0116259</t>
  </si>
  <si>
    <t>CARBONE JOSEPH R MD</t>
  </si>
  <si>
    <t>CARBONE JOSEPH DR.</t>
  </si>
  <si>
    <t>PSYCH ASOC BOX 1230</t>
  </si>
  <si>
    <t>E0284179</t>
  </si>
  <si>
    <t>PAHK PATRICIA</t>
  </si>
  <si>
    <t>E0077139</t>
  </si>
  <si>
    <t>AUTZ ARTHUR L</t>
  </si>
  <si>
    <t>AutzArthurL.</t>
  </si>
  <si>
    <t>AUTZ ARTHUR</t>
  </si>
  <si>
    <t>GoldaJohnson</t>
  </si>
  <si>
    <t>E0192172</t>
  </si>
  <si>
    <t>JOHNSON GOLDA O MD</t>
  </si>
  <si>
    <t>JOHNSON GOLDA DR.</t>
  </si>
  <si>
    <t>910 PARK PL APT 1B</t>
  </si>
  <si>
    <t>NormaVeridiano</t>
  </si>
  <si>
    <t>E0275587</t>
  </si>
  <si>
    <t>VERIDIANO NORMA P          MD</t>
  </si>
  <si>
    <t>VERIDIANO NORMA DR.</t>
  </si>
  <si>
    <t>VERIDIANO NORMA PEREZ</t>
  </si>
  <si>
    <t>W O G G</t>
  </si>
  <si>
    <t>BenzionSacolick</t>
  </si>
  <si>
    <t>E0439320</t>
  </si>
  <si>
    <t>TSIMOYIANIS CHRISTIE</t>
  </si>
  <si>
    <t>TSIMOYIANIS CHRISTIE DR.</t>
  </si>
  <si>
    <t>KLAUSNER ANNA DR.</t>
  </si>
  <si>
    <t>JAGGERS ELIZABETH</t>
  </si>
  <si>
    <t>35 COLLIER RD NW, SUITE 635</t>
  </si>
  <si>
    <t>E0387474</t>
  </si>
  <si>
    <t>SAUNDERS CONVARD ALICIA C</t>
  </si>
  <si>
    <t>SaundersAlicia</t>
  </si>
  <si>
    <t>SAUNDERS ALICIA</t>
  </si>
  <si>
    <t>SAUNDERS CONVARD ALICIA CARMEN</t>
  </si>
  <si>
    <t>1176 FITH AVE</t>
  </si>
  <si>
    <t>LI BO DR.</t>
  </si>
  <si>
    <t>CHAVEZ PATRICIA</t>
  </si>
  <si>
    <t>515 W 59TH ST, APT 20P</t>
  </si>
  <si>
    <t>E0371751</t>
  </si>
  <si>
    <t>MOURAD MOUSTAFA WALID</t>
  </si>
  <si>
    <t>MOURAD MOUSTAFA</t>
  </si>
  <si>
    <t>STEINBERGER JEREMY</t>
  </si>
  <si>
    <t>590 WINTHROP RD</t>
  </si>
  <si>
    <t>E0383563</t>
  </si>
  <si>
    <t>WHIPPLE CLARE</t>
  </si>
  <si>
    <t>WhippleClare</t>
  </si>
  <si>
    <t>WHIPPLE CLARE H</t>
  </si>
  <si>
    <t>E0369892</t>
  </si>
  <si>
    <t>BRADFORD COLETTE N</t>
  </si>
  <si>
    <t>BradfordColette</t>
  </si>
  <si>
    <t>BRADFORD COLETTE</t>
  </si>
  <si>
    <t>ALCANTARA SEAN</t>
  </si>
  <si>
    <t>1000 10TH AVE, GENERAL SURGERY SUITE 2H</t>
  </si>
  <si>
    <t>DENTICO-OLIN MARC DR.</t>
  </si>
  <si>
    <t>2649 STRANG BLVD, SUITE 202</t>
  </si>
  <si>
    <t>GEKHMAN DMITRIY</t>
  </si>
  <si>
    <t>BurroughsArielina</t>
  </si>
  <si>
    <t>BURROUGHS ARIELINA</t>
  </si>
  <si>
    <t>1 GUSTAVE LEVY L. PL</t>
  </si>
  <si>
    <t>MCGEE SHARON DR.</t>
  </si>
  <si>
    <t>ALMONTE SHAILYN</t>
  </si>
  <si>
    <t>16TH AND 1ST AVE</t>
  </si>
  <si>
    <t>TSAI JUSTIN</t>
  </si>
  <si>
    <t>E0406070</t>
  </si>
  <si>
    <t>PREVAL ANGENIE</t>
  </si>
  <si>
    <t>E0364195</t>
  </si>
  <si>
    <t>LEE KAREN MISS</t>
  </si>
  <si>
    <t>E0384787</t>
  </si>
  <si>
    <t>TIERNEY LAUREN C</t>
  </si>
  <si>
    <t>TierneyLauren</t>
  </si>
  <si>
    <t>TIERNEY LAUREN MRS.</t>
  </si>
  <si>
    <t>BaumSabra</t>
  </si>
  <si>
    <t>BAUM SABRA</t>
  </si>
  <si>
    <t>SUN JEAN</t>
  </si>
  <si>
    <t>E0009696</t>
  </si>
  <si>
    <t>PATI RITUPARNA</t>
  </si>
  <si>
    <t>PatiRituparna</t>
  </si>
  <si>
    <t>PATI RITUPARNA DR.</t>
  </si>
  <si>
    <t>E0100715</t>
  </si>
  <si>
    <t>TOLBA KHALED AHMED MD</t>
  </si>
  <si>
    <t>RimelIrina</t>
  </si>
  <si>
    <t>RIMEL IRINA MRS.</t>
  </si>
  <si>
    <t>245 CULVER RD APT 1</t>
  </si>
  <si>
    <t>E0326135</t>
  </si>
  <si>
    <t>VAN LEER PATRICIA ELIZABETH</t>
  </si>
  <si>
    <t>VanLeerPatriciaElizabeth</t>
  </si>
  <si>
    <t>VAN LEER PATRICIA DR.</t>
  </si>
  <si>
    <t>E0310748</t>
  </si>
  <si>
    <t>KEYZNER ALLA MD</t>
  </si>
  <si>
    <t>KEYZNER ALLA DR.</t>
  </si>
  <si>
    <t>E0297821</t>
  </si>
  <si>
    <t>SOKOLOVA EKATERINA</t>
  </si>
  <si>
    <t>E0322080</t>
  </si>
  <si>
    <t>KIRKHAM ELIZABETH</t>
  </si>
  <si>
    <t>E0337029</t>
  </si>
  <si>
    <t>GOODEN SHANTI LILA</t>
  </si>
  <si>
    <t>GoodenShanti</t>
  </si>
  <si>
    <t>GOODEN SHANTI</t>
  </si>
  <si>
    <t>E0295604</t>
  </si>
  <si>
    <t>ANDERSON MICHAEL RYAN</t>
  </si>
  <si>
    <t>AndersonMichael</t>
  </si>
  <si>
    <t>ANDERSON MICHAEL DR.</t>
  </si>
  <si>
    <t>E0290072</t>
  </si>
  <si>
    <t>VINAY NAIR</t>
  </si>
  <si>
    <t>NAIR VINAY</t>
  </si>
  <si>
    <t>LeeWon-Kyoung</t>
  </si>
  <si>
    <t>LEE WON-KYOUNG</t>
  </si>
  <si>
    <t>FIRST AVENUE AT 16TH STREET, DIVISION OF CARDIOLOGY</t>
  </si>
  <si>
    <t>E0321151</t>
  </si>
  <si>
    <t>SUAREZ VIVIAN</t>
  </si>
  <si>
    <t>SuarezVivianMarie</t>
  </si>
  <si>
    <t>SUAREZ VIVIAN DR.</t>
  </si>
  <si>
    <t>SUAREZ VIVIAN MARIE</t>
  </si>
  <si>
    <t>STEINMAN JONATHAN</t>
  </si>
  <si>
    <t>1155 BRICKELL BAY DR, APARTMENT 2003</t>
  </si>
  <si>
    <t>E0322693</t>
  </si>
  <si>
    <t>TAMI HEALY</t>
  </si>
  <si>
    <t>HealyTami</t>
  </si>
  <si>
    <t>HEALY TAMI</t>
  </si>
  <si>
    <t>E0313495</t>
  </si>
  <si>
    <t>BRUZZESE NICOLE JOSEPHINE</t>
  </si>
  <si>
    <t>BRUZZESE NICOLE</t>
  </si>
  <si>
    <t>GREEN ROSS</t>
  </si>
  <si>
    <t>JosephFerrara,MD</t>
  </si>
  <si>
    <t>E0169007</t>
  </si>
  <si>
    <t>FERRARA JOSEPH  MD</t>
  </si>
  <si>
    <t>FERRARA JOSEPH DR.</t>
  </si>
  <si>
    <t>FERRARA JOSEPH P</t>
  </si>
  <si>
    <t>PIERRECIUS REGINA</t>
  </si>
  <si>
    <t>177 E 87TH ST STE 502</t>
  </si>
  <si>
    <t>ARAD ARASH DR.</t>
  </si>
  <si>
    <t>1713 SMILEY RDG</t>
  </si>
  <si>
    <t>REDLANDS</t>
  </si>
  <si>
    <t>ROSSI KYLE DR.</t>
  </si>
  <si>
    <t>LIM GEORGE</t>
  </si>
  <si>
    <t>ONE GUSTAVE LEVY PLACE, BOX 1620</t>
  </si>
  <si>
    <t>E0376739</t>
  </si>
  <si>
    <t>CEFALI FRANK E</t>
  </si>
  <si>
    <t>CefaliFrank</t>
  </si>
  <si>
    <t>CEFALI FRANK</t>
  </si>
  <si>
    <t>ALTABET JAIME</t>
  </si>
  <si>
    <t>1ST AVENUE AT 16TH STREET, PETRIE CAMPUS DEPT OF RADIOLOGY</t>
  </si>
  <si>
    <t>E0432572</t>
  </si>
  <si>
    <t>POHJA ERVIN</t>
  </si>
  <si>
    <t>WangQizhi</t>
  </si>
  <si>
    <t>WANG QIZHI</t>
  </si>
  <si>
    <t>130 W KINGSBRIDGE RD, ROOM 7A-11</t>
  </si>
  <si>
    <t>HINCHCLIFFE NATALIE</t>
  </si>
  <si>
    <t>E0406019</t>
  </si>
  <si>
    <t>LEE STEVEN</t>
  </si>
  <si>
    <t>LEE STEVEN DR.</t>
  </si>
  <si>
    <t>E0454342</t>
  </si>
  <si>
    <t>TERAN MERINO FELIPE</t>
  </si>
  <si>
    <t>TERAN MERINO FELIPE DR.</t>
  </si>
  <si>
    <t>E0385613</t>
  </si>
  <si>
    <t>MCNAMARA SHANNON OHERN</t>
  </si>
  <si>
    <t>McNamaraShannon</t>
  </si>
  <si>
    <t>MCNAMARA SHANNON</t>
  </si>
  <si>
    <t>E0430398</t>
  </si>
  <si>
    <t>MASSEY TIMOTHY J</t>
  </si>
  <si>
    <t>MasseyTimothy</t>
  </si>
  <si>
    <t>MASSEY TIMOTHY</t>
  </si>
  <si>
    <t>MASSEY TIMOTHY JAMES</t>
  </si>
  <si>
    <t>DenenkampKristina</t>
  </si>
  <si>
    <t>DENENKAMP KRISTINA</t>
  </si>
  <si>
    <t>38 MANOR DR</t>
  </si>
  <si>
    <t>ChewKit-Ling</t>
  </si>
  <si>
    <t>CHEW KIT-LING MISS</t>
  </si>
  <si>
    <t>E0395486</t>
  </si>
  <si>
    <t>LIAO JANICE</t>
  </si>
  <si>
    <t>LiaoJanice</t>
  </si>
  <si>
    <t>LIAO JANICE DR.</t>
  </si>
  <si>
    <t>LIAO JANICE CLARA</t>
  </si>
  <si>
    <t>9020 5TH AVE FL 3</t>
  </si>
  <si>
    <t>E0080555</t>
  </si>
  <si>
    <t>TSAI JAMES CHING CHENG MD</t>
  </si>
  <si>
    <t>TsaiJames</t>
  </si>
  <si>
    <t>TSAI JAMES</t>
  </si>
  <si>
    <t>HARKNESS EYE INST</t>
  </si>
  <si>
    <t>LipskyRachel</t>
  </si>
  <si>
    <t>LIPSKY RACHEL</t>
  </si>
  <si>
    <t>E0392551</t>
  </si>
  <si>
    <t>JORDAN ADRIENNE CHRISTINE</t>
  </si>
  <si>
    <t>JordanAdrienne</t>
  </si>
  <si>
    <t>JORDAN ADRIENNE DR.</t>
  </si>
  <si>
    <t>E0391235</t>
  </si>
  <si>
    <t>HAVRYLIUK TATIANA</t>
  </si>
  <si>
    <t>HavryliukTatiana</t>
  </si>
  <si>
    <t>HAVRYLIUK TATIANA DR.</t>
  </si>
  <si>
    <t>E0392278</t>
  </si>
  <si>
    <t>MEDLEJ KAMAL</t>
  </si>
  <si>
    <t>MedlejKamal</t>
  </si>
  <si>
    <t>MEDLEJ KAMAL DR.</t>
  </si>
  <si>
    <t>E0298629</t>
  </si>
  <si>
    <t>ZAKARI HENRIK</t>
  </si>
  <si>
    <t>ZakariHenrik</t>
  </si>
  <si>
    <t>DESOUZA NEHA MS.</t>
  </si>
  <si>
    <t>10 AMSTERDAM AVE APT 1206</t>
  </si>
  <si>
    <t>AzharWaqas</t>
  </si>
  <si>
    <t>AZHAR WAQAS</t>
  </si>
  <si>
    <t>3225 JOHNSON AVE APT 3F</t>
  </si>
  <si>
    <t>AGRAWAL POOJA</t>
  </si>
  <si>
    <t>IBERTI COLIN DR.</t>
  </si>
  <si>
    <t>GONGORA CARLOS DR.</t>
  </si>
  <si>
    <t>SAIMAN YEDIDYA DR.</t>
  </si>
  <si>
    <t>1245 PARK AVE, APT 10G</t>
  </si>
  <si>
    <t>SANCHEZ-MITCHELL ASHLEY</t>
  </si>
  <si>
    <t>PRIMARY CARE INTERNAL MEDICINE, 263 FARMINGTON AVENUE</t>
  </si>
  <si>
    <t>DROZDOWICZ LINDA</t>
  </si>
  <si>
    <t>ONE GUSTAVE L. LEVY PLACE, DEPARTMENT OF PSYCHIATRY</t>
  </si>
  <si>
    <t>58 DAVENPORT AVE</t>
  </si>
  <si>
    <t>E0195845</t>
  </si>
  <si>
    <t>POLIS LAURIE J             MD</t>
  </si>
  <si>
    <t>PolisLaurie</t>
  </si>
  <si>
    <t>POLIS LAURIE DR.</t>
  </si>
  <si>
    <t>406 W 40 ST</t>
  </si>
  <si>
    <t>E0214751</t>
  </si>
  <si>
    <t>POULARD JEAN-BERNARD</t>
  </si>
  <si>
    <t>PoulardJeanBernard</t>
  </si>
  <si>
    <t>POULARD JEAN DR.</t>
  </si>
  <si>
    <t>FL 11</t>
  </si>
  <si>
    <t>E0394801</t>
  </si>
  <si>
    <t>RASAMNY LINLEY</t>
  </si>
  <si>
    <t>RasamnyLinley</t>
  </si>
  <si>
    <t>LEONE LINLEY</t>
  </si>
  <si>
    <t>LEONE LINLEY L</t>
  </si>
  <si>
    <t>E0419473</t>
  </si>
  <si>
    <t>ROEDAN SOCRATES</t>
  </si>
  <si>
    <t>RoedanSocrates</t>
  </si>
  <si>
    <t>395 FORT WASHINGTON AVE</t>
  </si>
  <si>
    <t>E0099347</t>
  </si>
  <si>
    <t>OMRDD/QSAC-LI</t>
  </si>
  <si>
    <t>E0106630</t>
  </si>
  <si>
    <t>WAITE EVA ANN MD</t>
  </si>
  <si>
    <t>WAITE EVA</t>
  </si>
  <si>
    <t>INT MED BX 1087</t>
  </si>
  <si>
    <t>E0014410</t>
  </si>
  <si>
    <t>PALMESE CHRISTINA A PHD</t>
  </si>
  <si>
    <t>PalmeseChristinaA</t>
  </si>
  <si>
    <t>PALMESE CHRISTINA DR.</t>
  </si>
  <si>
    <t>PALMESE CHRISTINA ANN</t>
  </si>
  <si>
    <t>10 UNION SQ E STE 5H</t>
  </si>
  <si>
    <t>E0129883</t>
  </si>
  <si>
    <t>NGUYEN KHANH HUU MD</t>
  </si>
  <si>
    <t>NGUYEN KHAN</t>
  </si>
  <si>
    <t>NGUYEN KHANH HUU</t>
  </si>
  <si>
    <t>E0175533</t>
  </si>
  <si>
    <t>BEILIN YAAKOV MD</t>
  </si>
  <si>
    <t>BEILIN YAAKOV DR.</t>
  </si>
  <si>
    <t>E0226607</t>
  </si>
  <si>
    <t>MENDELSON DAVID S          MD</t>
  </si>
  <si>
    <t>MENDELSON DAVID</t>
  </si>
  <si>
    <t>MENDELSON DAVID S    MD</t>
  </si>
  <si>
    <t>MT SINAI RAD ASSOC</t>
  </si>
  <si>
    <t>E0041644</t>
  </si>
  <si>
    <t>ABERG JUDITH</t>
  </si>
  <si>
    <t>ABERG JUDITH DR.</t>
  </si>
  <si>
    <t>ABERG JUDITH ANN</t>
  </si>
  <si>
    <t>SALZMAN BERNARD</t>
  </si>
  <si>
    <t>530 1ST AVE STE 7D</t>
  </si>
  <si>
    <t>E0379279</t>
  </si>
  <si>
    <t>FERNANDEZ JENNIFER</t>
  </si>
  <si>
    <t>FernandezJennifer</t>
  </si>
  <si>
    <t>E0109092</t>
  </si>
  <si>
    <t>SCHIANO THOMAS D MD</t>
  </si>
  <si>
    <t>SchianoThomas</t>
  </si>
  <si>
    <t>SCHIANO THOMAS</t>
  </si>
  <si>
    <t>E0143970</t>
  </si>
  <si>
    <t>KANNRY JOSEPH L MD</t>
  </si>
  <si>
    <t>KannryJoseph</t>
  </si>
  <si>
    <t>KANNRY JOSEPH</t>
  </si>
  <si>
    <t>Atlantis Rehabilitation and Residential Health Care Facility</t>
  </si>
  <si>
    <t xml:space="preserve">Melekhem Yakubov </t>
  </si>
  <si>
    <t>E0378344</t>
  </si>
  <si>
    <t>YAKUBOV MELEKHEM</t>
  </si>
  <si>
    <t>Jack Twersky</t>
  </si>
  <si>
    <t>E0277511</t>
  </si>
  <si>
    <t>TWERSKY JACK               MD</t>
  </si>
  <si>
    <t>TWERSKY JACK DR.</t>
  </si>
  <si>
    <t>TWERSKY JACK</t>
  </si>
  <si>
    <t xml:space="preserve">Loren  Harris </t>
  </si>
  <si>
    <t>E0134069</t>
  </si>
  <si>
    <t>HARRIS LOREN J MD</t>
  </si>
  <si>
    <t>HARRIS LOREN</t>
  </si>
  <si>
    <t xml:space="preserve">Steven  Shankman </t>
  </si>
  <si>
    <t>E0194793</t>
  </si>
  <si>
    <t>SHANKMAN STEVEN            MD</t>
  </si>
  <si>
    <t>SHANKMAN STEVEN</t>
  </si>
  <si>
    <t>SHANKMAN STEVEN MD</t>
  </si>
  <si>
    <t>HOSPT FOR JOINT DIS</t>
  </si>
  <si>
    <t>Damion Sanchez</t>
  </si>
  <si>
    <t>E0347225</t>
  </si>
  <si>
    <t>SANCHEZ DAMION P</t>
  </si>
  <si>
    <t>SANCHEZ DAMION DR.</t>
  </si>
  <si>
    <t>SANCHEZ DAMION PAUL</t>
  </si>
  <si>
    <t>Eva Ledezma</t>
  </si>
  <si>
    <t>LEDEZMA EVA</t>
  </si>
  <si>
    <t xml:space="preserve">Enas  Hanna </t>
  </si>
  <si>
    <t>E0015485</t>
  </si>
  <si>
    <t>ENAS ESTAFAN DO</t>
  </si>
  <si>
    <t>HANNA ENAS</t>
  </si>
  <si>
    <t>Christina Giuliano</t>
  </si>
  <si>
    <t>E0123992</t>
  </si>
  <si>
    <t>GIULIANO CHRISTINA THERESA MD</t>
  </si>
  <si>
    <t>GIULIANO CHRISTINA</t>
  </si>
  <si>
    <t>146 DUANE ST</t>
  </si>
  <si>
    <t>Edmond Sarkissian</t>
  </si>
  <si>
    <t>E0051094</t>
  </si>
  <si>
    <t>SARKISSIAN EDMOND MD</t>
  </si>
  <si>
    <t>SARKISSIAN EDMOND</t>
  </si>
  <si>
    <t>STE 520</t>
  </si>
  <si>
    <t xml:space="preserve">Suja Thomas </t>
  </si>
  <si>
    <t>E0013028</t>
  </si>
  <si>
    <t>THOMAS SUJA M</t>
  </si>
  <si>
    <t>THOMAS SUJA</t>
  </si>
  <si>
    <t>Alana Murphy</t>
  </si>
  <si>
    <t>E0411791</t>
  </si>
  <si>
    <t>MURPHY ALANA C</t>
  </si>
  <si>
    <t>MURPHY ALANA</t>
  </si>
  <si>
    <t>David  Pichkadze</t>
  </si>
  <si>
    <t>E0028525</t>
  </si>
  <si>
    <t>PICHKADZE DAVID  MD</t>
  </si>
  <si>
    <t>PICHKADZE DAVID</t>
  </si>
  <si>
    <t>Srilata Naidu</t>
  </si>
  <si>
    <t>E0066516</t>
  </si>
  <si>
    <t>NAIDU SRILATA S MD</t>
  </si>
  <si>
    <t>NAIDU SRILATA DR.</t>
  </si>
  <si>
    <t>877 STEWART AVE</t>
  </si>
  <si>
    <t xml:space="preserve">Georgia  Richardson </t>
  </si>
  <si>
    <t>RICHARDSON GEORGIA</t>
  </si>
  <si>
    <t>2832 LINDEN BOULEVARD</t>
  </si>
  <si>
    <t>Veronica Okoye</t>
  </si>
  <si>
    <t>E0318604</t>
  </si>
  <si>
    <t>OKOYE VERONICA IFEYINWA NP</t>
  </si>
  <si>
    <t>OKOYE VERONICA</t>
  </si>
  <si>
    <t>501 SEAVIEW AVE STE 200</t>
  </si>
  <si>
    <t>Sharila Krishnan</t>
  </si>
  <si>
    <t>E0076764</t>
  </si>
  <si>
    <t>KRISHNAN SHARILA</t>
  </si>
  <si>
    <t>Nancy Gadallah</t>
  </si>
  <si>
    <t>E0351079</t>
  </si>
  <si>
    <t>GADALLAH NANCY E</t>
  </si>
  <si>
    <t>GADALLAH NANCY DR.</t>
  </si>
  <si>
    <t>Lewis Genuth</t>
  </si>
  <si>
    <t>E0116104</t>
  </si>
  <si>
    <t>GENUTH LEWIS MD</t>
  </si>
  <si>
    <t>GENUTH LEWIS</t>
  </si>
  <si>
    <t>2832 LINDEN BLVD - LINDENWOOD CTR</t>
  </si>
  <si>
    <t>Kathleen O'Connor</t>
  </si>
  <si>
    <t>E0209580</t>
  </si>
  <si>
    <t>O'CONNOR KATHLEEN DOLORES</t>
  </si>
  <si>
    <t>O'CONNOR KATHLEEN DR.</t>
  </si>
  <si>
    <t xml:space="preserve">Nabil Alacha </t>
  </si>
  <si>
    <t>E0127680</t>
  </si>
  <si>
    <t>ALACHA NABIL MD</t>
  </si>
  <si>
    <t>ALACHA NABIL</t>
  </si>
  <si>
    <t>Noel Nusbacher</t>
  </si>
  <si>
    <t>E0242348</t>
  </si>
  <si>
    <t>NUSBACHER NOEL             MD</t>
  </si>
  <si>
    <t>NUSBACHER NOEL</t>
  </si>
  <si>
    <t>Daniel Husney</t>
  </si>
  <si>
    <t>E0373218</t>
  </si>
  <si>
    <t>HUSNEY DANIEL</t>
  </si>
  <si>
    <t xml:space="preserve">John  Pace </t>
  </si>
  <si>
    <t>E0196944</t>
  </si>
  <si>
    <t>PACE JOHN FRANCIS DPM</t>
  </si>
  <si>
    <t>PACE JOHN DR.</t>
  </si>
  <si>
    <t>Venkatesh Vaddigiri</t>
  </si>
  <si>
    <t>E0115993</t>
  </si>
  <si>
    <t>VADDIGIRI VENKATESH MD</t>
  </si>
  <si>
    <t>VADDIGIRI VENKATESH</t>
  </si>
  <si>
    <t>AMB CARE CTR</t>
  </si>
  <si>
    <t>Mairaj Din</t>
  </si>
  <si>
    <t>E0362055</t>
  </si>
  <si>
    <t>DIN MAIRAJ UD</t>
  </si>
  <si>
    <t>DIN MAIRAJ</t>
  </si>
  <si>
    <t>257-10 UNION TPKE</t>
  </si>
  <si>
    <t>E0372684</t>
  </si>
  <si>
    <t>ABRAHAM SHERLEY</t>
  </si>
  <si>
    <t>ABRAHAM SHERLEY DR.</t>
  </si>
  <si>
    <t>E0377616</t>
  </si>
  <si>
    <t>JULIANO COURTNEY ELIZABETH</t>
  </si>
  <si>
    <t>JulianoCourtney</t>
  </si>
  <si>
    <t>JULIANO COURTNEY DR.</t>
  </si>
  <si>
    <t>E0295105</t>
  </si>
  <si>
    <t>LYNN ABIGAIL</t>
  </si>
  <si>
    <t>ALLEN ABIGAIL DR.</t>
  </si>
  <si>
    <t>ALLEN ABIGAIL KINCAID</t>
  </si>
  <si>
    <t>E0017690</t>
  </si>
  <si>
    <t>MIKHAIL IMAD  MD</t>
  </si>
  <si>
    <t>MIKHAIL IMAD</t>
  </si>
  <si>
    <t>MIKHAIL IMAD HOSSAIN MD</t>
  </si>
  <si>
    <t>E0191874</t>
  </si>
  <si>
    <t>BROWER STEVEN T MD</t>
  </si>
  <si>
    <t>BrowerStevenT.</t>
  </si>
  <si>
    <t>BROWER STEVEN</t>
  </si>
  <si>
    <t>BROWER STEVEN TED</t>
  </si>
  <si>
    <t>E0325584</t>
  </si>
  <si>
    <t>GEHRIE ERIKA</t>
  </si>
  <si>
    <t>GEHRIE ERIKA ROBBINS</t>
  </si>
  <si>
    <t>E0334704</t>
  </si>
  <si>
    <t>HYMAN JAIME BERG</t>
  </si>
  <si>
    <t>HYMAN JAIME</t>
  </si>
  <si>
    <t>MerilyMcLaughlin</t>
  </si>
  <si>
    <t>SamuelMickens</t>
  </si>
  <si>
    <t>EverettMiller</t>
  </si>
  <si>
    <t>EdwardOlsen</t>
  </si>
  <si>
    <t>KOBAYASHI AKIHIRO</t>
  </si>
  <si>
    <t>353 E 17TH ST, GILMAN HALL APT5C</t>
  </si>
  <si>
    <t>E0283855</t>
  </si>
  <si>
    <t>MILLER ELIZABETH</t>
  </si>
  <si>
    <t>MILLER ELIZABETH DR.</t>
  </si>
  <si>
    <t>MILLER ELIZABETH ANNE</t>
  </si>
  <si>
    <t>E0311368</t>
  </si>
  <si>
    <t>SMITH CARDINALE B</t>
  </si>
  <si>
    <t>SMITH CARDINALE</t>
  </si>
  <si>
    <t>MOUNT SINAI HOSPITAL-RUTTENBERG TREATMEN</t>
  </si>
  <si>
    <t>E0197273</t>
  </si>
  <si>
    <t>SCHWARTZ MYRON E MD</t>
  </si>
  <si>
    <t>SchwartzMyron</t>
  </si>
  <si>
    <t>SCHWARTZ MYRON MR.</t>
  </si>
  <si>
    <t>5 E 98TH ST FL ASC/14TH,12TH</t>
  </si>
  <si>
    <t>E0056995</t>
  </si>
  <si>
    <t>ELLOZY SHARIF H MD</t>
  </si>
  <si>
    <t>EllozySharif</t>
  </si>
  <si>
    <t>ELLOZY SHARIF</t>
  </si>
  <si>
    <t>E0136471</t>
  </si>
  <si>
    <t>JAWAID MOHAMMAD MD</t>
  </si>
  <si>
    <t>JawaidMohammad</t>
  </si>
  <si>
    <t>JAWAID MOHAMMAD</t>
  </si>
  <si>
    <t>BroussardHubert</t>
  </si>
  <si>
    <t>BROUSSARD HUBERT MR.</t>
  </si>
  <si>
    <t>E0156947</t>
  </si>
  <si>
    <t>INGRAM DONNA MD</t>
  </si>
  <si>
    <t>IngramDonna</t>
  </si>
  <si>
    <t>INGRAM DONNA</t>
  </si>
  <si>
    <t>177 E 87TH ST # 507</t>
  </si>
  <si>
    <t>E0372163</t>
  </si>
  <si>
    <t>SUGAY JOSHUA L</t>
  </si>
  <si>
    <t>SugayJoshuaLusung</t>
  </si>
  <si>
    <t>SUGAY JOSHUA</t>
  </si>
  <si>
    <t>KOLBER MARCIN DR.</t>
  </si>
  <si>
    <t>E0377774</t>
  </si>
  <si>
    <t>RAMNANDAN JEANETTA</t>
  </si>
  <si>
    <t>YUAN JEANETTA D</t>
  </si>
  <si>
    <t>CARLTON DANIEL DR.</t>
  </si>
  <si>
    <t>Lower West Side Household Services Corporation</t>
  </si>
  <si>
    <t>E0133048</t>
  </si>
  <si>
    <t>LOWER WEST SIDE HSEHLD SRVCS</t>
  </si>
  <si>
    <t>FISCAL MANAGER</t>
  </si>
  <si>
    <t>E0277580</t>
  </si>
  <si>
    <t>KIRCHMAN ERNEST H          MD</t>
  </si>
  <si>
    <t>KirchmanErnest</t>
  </si>
  <si>
    <t>KIRCHMAN ERNEST</t>
  </si>
  <si>
    <t>E0100214</t>
  </si>
  <si>
    <t>OMRDD/EDWIN GOULD SVCS/CHILD</t>
  </si>
  <si>
    <t>EDWIN GOULD SVCS FOR CHILDREN &amp; FAM</t>
  </si>
  <si>
    <t>151 LAWRENCE ST FL 5</t>
  </si>
  <si>
    <t>E0264904</t>
  </si>
  <si>
    <t>EDWIN GOULD SVCS FOR CHILDREN</t>
  </si>
  <si>
    <t>EDWIN GOULD SERVICES FOR CHILDREN AND FAMILIES</t>
  </si>
  <si>
    <t>SUPERVISED IRA</t>
  </si>
  <si>
    <t>E0074429</t>
  </si>
  <si>
    <t>YOUNG ADULT INSTITUTE SPV</t>
  </si>
  <si>
    <t>Medicaid Service Coordination NY</t>
  </si>
  <si>
    <t>E0444617</t>
  </si>
  <si>
    <t>YOUNG ADULT INST-NY</t>
  </si>
  <si>
    <t>YAI FAMILY SUPPORT RESPITE</t>
  </si>
  <si>
    <t>E0040490</t>
  </si>
  <si>
    <t>YOUNG ADULT INSTITUTE RSP</t>
  </si>
  <si>
    <t>460 W 34TH ST 11TH F</t>
  </si>
  <si>
    <t>YAI FREE STANDING RESPITE (NYC)</t>
  </si>
  <si>
    <t>E0040142</t>
  </si>
  <si>
    <t>YOUNG ADULT INSTITUTE FSR 1</t>
  </si>
  <si>
    <t>WESTCHESTER SWAT</t>
  </si>
  <si>
    <t>E0083102</t>
  </si>
  <si>
    <t>YOUNG ADULT INSTITUTE INC SMP</t>
  </si>
  <si>
    <t>REGION-NYC</t>
  </si>
  <si>
    <t>QUEENS BLVD EXTENDED CARE ADC</t>
  </si>
  <si>
    <t>Job Path, Inc (ACA Member Agency)</t>
  </si>
  <si>
    <t>E0061434</t>
  </si>
  <si>
    <t>JOB PATH INC ND 1</t>
  </si>
  <si>
    <t>Fredda Rosen</t>
  </si>
  <si>
    <t>(212) 944-0564</t>
  </si>
  <si>
    <t>frosen@jobpathnyc.org</t>
  </si>
  <si>
    <t>JOB PATH INC SPV</t>
  </si>
  <si>
    <t>Program Development Services, Inc. (ACA Member Agency)</t>
  </si>
  <si>
    <t>E0074368</t>
  </si>
  <si>
    <t>PROGRAM DEVELOPMENT SVCS SPT</t>
  </si>
  <si>
    <t>Lynn Vairo</t>
  </si>
  <si>
    <t>(718) 236-2226</t>
  </si>
  <si>
    <t>LYNNPDS@AOL.COM</t>
  </si>
  <si>
    <t>E0124520</t>
  </si>
  <si>
    <t>DWECK MONICA MICHELE MD</t>
  </si>
  <si>
    <t>DWECK MONICA DR.</t>
  </si>
  <si>
    <t>HoFrank</t>
  </si>
  <si>
    <t>HO FRANK MR.</t>
  </si>
  <si>
    <t>5 E 98TH ST, 9TH FLOOR</t>
  </si>
  <si>
    <t>E0295013</t>
  </si>
  <si>
    <t>KHAITOV SERGEY</t>
  </si>
  <si>
    <t>E0001565</t>
  </si>
  <si>
    <t>TRACY MEGAN KATE MD</t>
  </si>
  <si>
    <t>TRACY MEGAN</t>
  </si>
  <si>
    <t>E0312207</t>
  </si>
  <si>
    <t>ALTMAN DEENA ROSE</t>
  </si>
  <si>
    <t>AltmanDeena</t>
  </si>
  <si>
    <t>ALTMAN DEENA</t>
  </si>
  <si>
    <t>E0444903</t>
  </si>
  <si>
    <t>CARPENTER TODD JARED</t>
  </si>
  <si>
    <t>CARPENTER TODD DR.</t>
  </si>
  <si>
    <t>E0357974</t>
  </si>
  <si>
    <t>LEIBU EVAN</t>
  </si>
  <si>
    <t>LeibuEvan</t>
  </si>
  <si>
    <t>LEIBU EVAN DR.</t>
  </si>
  <si>
    <t>1160 5TH AVE LOWR LEVEL</t>
  </si>
  <si>
    <t>E0405184</t>
  </si>
  <si>
    <t>COLANTONI MATTHEW S</t>
  </si>
  <si>
    <t>COLANTONI MATTHEW DR.</t>
  </si>
  <si>
    <t>COLANTONI MATTHEW STEVEN</t>
  </si>
  <si>
    <t>BERMAN TARA DR.</t>
  </si>
  <si>
    <t>1000 10TH AVE, ST. LUKE'S-ROOSEVELT HOSPITAL</t>
  </si>
  <si>
    <t>ESCASENA CARLOS</t>
  </si>
  <si>
    <t>2344 S DOUGLAS RD</t>
  </si>
  <si>
    <t>E0263522</t>
  </si>
  <si>
    <t>CATHOLIC GUARD SOC MANHTN PLZ</t>
  </si>
  <si>
    <t>400 W 43 ST (2H)</t>
  </si>
  <si>
    <t>E0263520</t>
  </si>
  <si>
    <t>CATHOLIC GUARD SOC PAYSON AVE</t>
  </si>
  <si>
    <t>PAYSON AVE ICF</t>
  </si>
  <si>
    <t>E0263467</t>
  </si>
  <si>
    <t>CATHOLIC GUARD SOC E 202 ST</t>
  </si>
  <si>
    <t>E 202ND ST ICF</t>
  </si>
  <si>
    <t>PARIKH ARPAN DR.</t>
  </si>
  <si>
    <t>NIGLIO SCOT</t>
  </si>
  <si>
    <t>1945 ROUTE 33, DEPARTMENT OF INTERNAL MEDICINE JSUMC</t>
  </si>
  <si>
    <t>NEPTUNE</t>
  </si>
  <si>
    <t>ReiterBruce</t>
  </si>
  <si>
    <t>REITER BRUCE</t>
  </si>
  <si>
    <t>E0341974</t>
  </si>
  <si>
    <t>TIOCZKOWSKI JOHN</t>
  </si>
  <si>
    <t>TloczkowskiJohn</t>
  </si>
  <si>
    <t>TLOCZKOWSKI JOHN DR.</t>
  </si>
  <si>
    <t>TLOCZKOWSKI JOHN</t>
  </si>
  <si>
    <t>E0386231</t>
  </si>
  <si>
    <t>AVITABLE NICHOLAS</t>
  </si>
  <si>
    <t>AvitabileNicholasChristopher</t>
  </si>
  <si>
    <t>E0347420</t>
  </si>
  <si>
    <t>BRAUN MAUREEN K</t>
  </si>
  <si>
    <t>BRAUN MAUREEN</t>
  </si>
  <si>
    <t>E0399207</t>
  </si>
  <si>
    <t>SKALINA NICOLE A</t>
  </si>
  <si>
    <t>SkalinaNicole</t>
  </si>
  <si>
    <t>SKALINA NICOLE</t>
  </si>
  <si>
    <t>CALENDA BRANDON MR.</t>
  </si>
  <si>
    <t>17 E 102ND ST FL 7 # 1087</t>
  </si>
  <si>
    <t>DELEON VINCENT</t>
  </si>
  <si>
    <t>E0157022</t>
  </si>
  <si>
    <t>SCIGLIANO EILEEN MD</t>
  </si>
  <si>
    <t>SCIGLIANO EILEEN</t>
  </si>
  <si>
    <t>MEDICIAL BILLING</t>
  </si>
  <si>
    <t>E0081112</t>
  </si>
  <si>
    <t>POSTGRADUATE CTR FOR MH  MH</t>
  </si>
  <si>
    <t>Dianna Musca, LCSW</t>
  </si>
  <si>
    <t>(212) 576-4166</t>
  </si>
  <si>
    <t>dmusca@pgcmh.org</t>
  </si>
  <si>
    <t>138 E 26TH ST FL 5</t>
  </si>
  <si>
    <t>Advance of Greater New York c/o QSAC Inc</t>
  </si>
  <si>
    <t>Cpolshansky@qsac.com</t>
  </si>
  <si>
    <t>Methodist Home for Nursing and Rehabilitation</t>
  </si>
  <si>
    <t>Maria Perez</t>
  </si>
  <si>
    <t>(718) 732-7110</t>
  </si>
  <si>
    <t>Weston United</t>
  </si>
  <si>
    <t>Karen Taylor</t>
  </si>
  <si>
    <t>(646) 492-5341</t>
  </si>
  <si>
    <t>ktaylor@westonunited.org</t>
  </si>
  <si>
    <t>E0000285</t>
  </si>
  <si>
    <t>ETHYLIN WANG JABS</t>
  </si>
  <si>
    <t>JabsEthylinWang</t>
  </si>
  <si>
    <t>JABS ETHYLIN</t>
  </si>
  <si>
    <t>JABS ETHYLIN WANG</t>
  </si>
  <si>
    <t>E0113723</t>
  </si>
  <si>
    <t>MESSINGER MERIDITH L MD</t>
  </si>
  <si>
    <t>MessingerMeridith</t>
  </si>
  <si>
    <t>MESSINGER MERIDITH</t>
  </si>
  <si>
    <t>MESSINGER MERIDITH L</t>
  </si>
  <si>
    <t>E0455123</t>
  </si>
  <si>
    <t>MCAFEE MARY KATHLEEN</t>
  </si>
  <si>
    <t>MCAFEE MARY</t>
  </si>
  <si>
    <t>GILL VEENU DR.</t>
  </si>
  <si>
    <t>5555 W. THUNDERBIRD, BANNER THUNDERBIRD MEDICAL CENTER</t>
  </si>
  <si>
    <t>GIRALDO TERESA</t>
  </si>
  <si>
    <t>1111 AMSTERDAM AVE, SUITE 7-523B</t>
  </si>
  <si>
    <t>ISHIKAWA GENTA</t>
  </si>
  <si>
    <t>E0394657</t>
  </si>
  <si>
    <t>NUNEZ YARENIS A</t>
  </si>
  <si>
    <t>NunezYarenis</t>
  </si>
  <si>
    <t>NUNEZ YARENIS MS.</t>
  </si>
  <si>
    <t>E0392122</t>
  </si>
  <si>
    <t>HARRISON KRISTIN A</t>
  </si>
  <si>
    <t>HarrisonKristin</t>
  </si>
  <si>
    <t>HARRISON KRISTIN DR.</t>
  </si>
  <si>
    <t>E0412497</t>
  </si>
  <si>
    <t>SEROVA SVETLANA A</t>
  </si>
  <si>
    <t>SerovaSvetlana</t>
  </si>
  <si>
    <t>SEROVA SVETLANA DR.</t>
  </si>
  <si>
    <t>1651 3RD AVE</t>
  </si>
  <si>
    <t>E0432939</t>
  </si>
  <si>
    <t>JOSSEN JACQUELINE MICHELLE</t>
  </si>
  <si>
    <t>JOSSEN JACQUELINE</t>
  </si>
  <si>
    <t>FONG CARMEN MS.</t>
  </si>
  <si>
    <t>353 E 17TH ST FL 2, BETH ISRAEL MEDICAL CENTER</t>
  </si>
  <si>
    <t>KELLY TIMOTHY DR.</t>
  </si>
  <si>
    <t>DE DIOS ANGEL</t>
  </si>
  <si>
    <t>WHISNANT ASHLEY DR.</t>
  </si>
  <si>
    <t>1510 ASHLEY DR</t>
  </si>
  <si>
    <t>KADAKIA TRISHA</t>
  </si>
  <si>
    <t>CHAN EMILIE</t>
  </si>
  <si>
    <t>E0255758</t>
  </si>
  <si>
    <t>REED ALLAN                 MD</t>
  </si>
  <si>
    <t>REED ALLAN DR.</t>
  </si>
  <si>
    <t>REED ALLAN PAUL</t>
  </si>
  <si>
    <t>E0198133</t>
  </si>
  <si>
    <t>RUBINSTEIN MARC G          MD</t>
  </si>
  <si>
    <t>RubinsteinMarc</t>
  </si>
  <si>
    <t>RUBINSTEIN MARC DR.</t>
  </si>
  <si>
    <t>115 E 64TH ST</t>
  </si>
  <si>
    <t>E0312028</t>
  </si>
  <si>
    <t>MEYER JOHN</t>
  </si>
  <si>
    <t>2500 NESCONSET HIGHW</t>
  </si>
  <si>
    <t>E0030547</t>
  </si>
  <si>
    <t>WOLFE RACHEL</t>
  </si>
  <si>
    <t>WolfeRachel</t>
  </si>
  <si>
    <t>WOLFE RACHEL DR.</t>
  </si>
  <si>
    <t>E0173572</t>
  </si>
  <si>
    <t>EBER COREY C  MD</t>
  </si>
  <si>
    <t>EBER COREY DR.</t>
  </si>
  <si>
    <t>EBER COREY D MD</t>
  </si>
  <si>
    <t>E0084710</t>
  </si>
  <si>
    <t>FESTA JOANNE PHD</t>
  </si>
  <si>
    <t>FestaJoanne</t>
  </si>
  <si>
    <t>FESTA JOANNE DR.</t>
  </si>
  <si>
    <t>FESTA JOANNE</t>
  </si>
  <si>
    <t>E0072280</t>
  </si>
  <si>
    <t>VICENCIO ALFIN G MD</t>
  </si>
  <si>
    <t>VICENCIO ALFIN</t>
  </si>
  <si>
    <t>E0331226</t>
  </si>
  <si>
    <t>SI QIUSHENG</t>
  </si>
  <si>
    <t>TARASTEIN</t>
  </si>
  <si>
    <t>RandyOutlaw</t>
  </si>
  <si>
    <t>JamesOwens</t>
  </si>
  <si>
    <t>AlkeshPatel</t>
  </si>
  <si>
    <t>SuhSeYoung</t>
  </si>
  <si>
    <t>SUH SE YOUNG</t>
  </si>
  <si>
    <t>PETTKE ERICA</t>
  </si>
  <si>
    <t>GRUFFI THOMAS DR.</t>
  </si>
  <si>
    <t>E0091261</t>
  </si>
  <si>
    <t>PATEL VAISHALI RAOJIOHAI MD</t>
  </si>
  <si>
    <t>PatelVaishali</t>
  </si>
  <si>
    <t>PATEL VAISHALI</t>
  </si>
  <si>
    <t>MSMC ER SVC</t>
  </si>
  <si>
    <t>E0038807</t>
  </si>
  <si>
    <t>BIRGE MIRIAM BENDER MD</t>
  </si>
  <si>
    <t>BirgeMiriam</t>
  </si>
  <si>
    <t>BIRGE MIRIAM</t>
  </si>
  <si>
    <t>E0020633</t>
  </si>
  <si>
    <t>GARCIA ROBERTO</t>
  </si>
  <si>
    <t>GarciaRoberto</t>
  </si>
  <si>
    <t>GARCIA ROBERTO ANTONIO MD</t>
  </si>
  <si>
    <t>E0271944</t>
  </si>
  <si>
    <t>EISENKRAFT JAMES           MD</t>
  </si>
  <si>
    <t>EisenkraftJames</t>
  </si>
  <si>
    <t>EISENKRAFT JAMES DR.</t>
  </si>
  <si>
    <t>E0209084</t>
  </si>
  <si>
    <t>WALSH KENNETH A            MD</t>
  </si>
  <si>
    <t>WalshKenneth</t>
  </si>
  <si>
    <t>WALSH KENNETH</t>
  </si>
  <si>
    <t>E0127496</t>
  </si>
  <si>
    <t>GREENBERG HOWARD J</t>
  </si>
  <si>
    <t>GreenbergHoward</t>
  </si>
  <si>
    <t>GREENBERG HOWARD DR.</t>
  </si>
  <si>
    <t>GREENBERG HOWARD J MD</t>
  </si>
  <si>
    <t>1125 PARK AVE</t>
  </si>
  <si>
    <t>E0083091</t>
  </si>
  <si>
    <t>STERN AARON SAUL MD</t>
  </si>
  <si>
    <t>SternAaron</t>
  </si>
  <si>
    <t>STERN AARON</t>
  </si>
  <si>
    <t>E0197747</t>
  </si>
  <si>
    <t>EPSTEIN LAWRENCE JAY    MD</t>
  </si>
  <si>
    <t>EpsteinLawrence</t>
  </si>
  <si>
    <t>EPSTEIN LAWRENCE</t>
  </si>
  <si>
    <t>WEST SQUARE MED CTR</t>
  </si>
  <si>
    <t>E0278418</t>
  </si>
  <si>
    <t>KRAKOFF LAWRENCE R         MD</t>
  </si>
  <si>
    <t>KrakoffLawrence</t>
  </si>
  <si>
    <t>KRAKOFF LAWRENCE DR.</t>
  </si>
  <si>
    <t>E0307414</t>
  </si>
  <si>
    <t>CHATTERJI MANJIL</t>
  </si>
  <si>
    <t>ChatterjiManjil</t>
  </si>
  <si>
    <t>ONE GUSTAVE L LEVY PL # 1234</t>
  </si>
  <si>
    <t>E0106434</t>
  </si>
  <si>
    <t>MIDULLA PETER S MD</t>
  </si>
  <si>
    <t>MidullaPeter</t>
  </si>
  <si>
    <t>MIDULLA PETER</t>
  </si>
  <si>
    <t>E0372860</t>
  </si>
  <si>
    <t>TOBIK SANDRA M</t>
  </si>
  <si>
    <t>TobikSandraM.</t>
  </si>
  <si>
    <t>TOBIK SANDRA</t>
  </si>
  <si>
    <t>E0365419</t>
  </si>
  <si>
    <t>VENESKEY ELIZABETH A</t>
  </si>
  <si>
    <t>VeneskeyElizabethA</t>
  </si>
  <si>
    <t>VENESKEY ELIZABETH</t>
  </si>
  <si>
    <t>E0058687</t>
  </si>
  <si>
    <t>MORGELLO SUSAN MD</t>
  </si>
  <si>
    <t>MORGELLO SUSAN</t>
  </si>
  <si>
    <t>E0218832</t>
  </si>
  <si>
    <t>HOLLAND JAMES F            MD</t>
  </si>
  <si>
    <t>HOLLAND JAMES</t>
  </si>
  <si>
    <t>E0089714</t>
  </si>
  <si>
    <t>AMES SCOTT ALAN</t>
  </si>
  <si>
    <t>AMES SCOTT DR.</t>
  </si>
  <si>
    <t>SHAIA KATHRYN</t>
  </si>
  <si>
    <t>1176 5TH AVE # 1170, ICAHN SCHOOL OF MEDICINE</t>
  </si>
  <si>
    <t>DESEDA JAIME MR.</t>
  </si>
  <si>
    <t>K7A CALLE BAMBOO DR, TORRIMAR ALTO</t>
  </si>
  <si>
    <t>CarolDeCosta</t>
  </si>
  <si>
    <t>(718) 852-6949</t>
  </si>
  <si>
    <t>drdsportsrehab@aol.com</t>
  </si>
  <si>
    <t>142JoralemonSt</t>
  </si>
  <si>
    <t>CharlesGordon</t>
  </si>
  <si>
    <t>E0215275</t>
  </si>
  <si>
    <t>GORDON CHARLES RICHARD     MD</t>
  </si>
  <si>
    <t>(212) 928-0555</t>
  </si>
  <si>
    <t>bizgirls@att.net</t>
  </si>
  <si>
    <t>GORDON CHARLES DR.</t>
  </si>
  <si>
    <t>OLORUNNISOMO VINCENT DR.</t>
  </si>
  <si>
    <t>202 W 84TH ST APT 5E</t>
  </si>
  <si>
    <t>E0165788</t>
  </si>
  <si>
    <t>SEGNA RUDY A  MD</t>
  </si>
  <si>
    <t>SegnaRudy</t>
  </si>
  <si>
    <t>SEGNA RUDY DR.</t>
  </si>
  <si>
    <t>OB/GYN PHYS</t>
  </si>
  <si>
    <t>E0388580</t>
  </si>
  <si>
    <t>PINTOVA SOFYA</t>
  </si>
  <si>
    <t>PintovaSofya</t>
  </si>
  <si>
    <t>PINTOVA SOFYA DR.</t>
  </si>
  <si>
    <t>SHIRALI JANHAVI</t>
  </si>
  <si>
    <t>1300 N HARRISON ST, APT. B-502</t>
  </si>
  <si>
    <t>PEREZ ENRIQUE MR.</t>
  </si>
  <si>
    <t>E0334239</t>
  </si>
  <si>
    <t>CROWLEY ALEXANDRA</t>
  </si>
  <si>
    <t>CrowleyAlexandra</t>
  </si>
  <si>
    <t>CROWLEY ALEXANDRA MS.</t>
  </si>
  <si>
    <t>E0213191</t>
  </si>
  <si>
    <t>GLUBO LES JAY DPM</t>
  </si>
  <si>
    <t>LESGLUBO</t>
  </si>
  <si>
    <t>GLUBO LES DR.</t>
  </si>
  <si>
    <t>EASTERN WOMENS CTR</t>
  </si>
  <si>
    <t>E0173247</t>
  </si>
  <si>
    <t>FRANK HOWARD H DPM</t>
  </si>
  <si>
    <t>DR.HOWARDFRANK</t>
  </si>
  <si>
    <t>FRANK HOWARD DR.</t>
  </si>
  <si>
    <t>FRANK HOWARD H</t>
  </si>
  <si>
    <t>1636 E 14TH ST STE 105</t>
  </si>
  <si>
    <t>E0197318</t>
  </si>
  <si>
    <t>GHATAN H ELIOT YEDIDIAH    MD</t>
  </si>
  <si>
    <t>H.ELIOTY.GHATAN</t>
  </si>
  <si>
    <t>GHATAN H. ELIOT Y.</t>
  </si>
  <si>
    <t>GHATAN H ELIOT YEDIDIAH</t>
  </si>
  <si>
    <t>1226 OCEAN PKWY</t>
  </si>
  <si>
    <t>E0007832</t>
  </si>
  <si>
    <t>ERBER JONATHAN ARI  MD</t>
  </si>
  <si>
    <t>JONATHANERBER</t>
  </si>
  <si>
    <t>ERBER JONATHAN DR.</t>
  </si>
  <si>
    <t>591 OCEAN PKWY</t>
  </si>
  <si>
    <t>MR.OTTONOUSANGA</t>
  </si>
  <si>
    <t>USANGA OTTONO MR.</t>
  </si>
  <si>
    <t>E0150579</t>
  </si>
  <si>
    <t>GRIFFIN JOYCE</t>
  </si>
  <si>
    <t>JOYCEGRIFFIN</t>
  </si>
  <si>
    <t>ARIANEAUBOURG</t>
  </si>
  <si>
    <t>E0172530</t>
  </si>
  <si>
    <t>KNOBEL JEFFREY M  DPM</t>
  </si>
  <si>
    <t>JEFFREYKNOBEL</t>
  </si>
  <si>
    <t>KNOBEL JEFFREY DR.</t>
  </si>
  <si>
    <t>KNOBEL JEFFREY M DPM</t>
  </si>
  <si>
    <t>E0141342</t>
  </si>
  <si>
    <t>COHEN PAUL</t>
  </si>
  <si>
    <t>PAULCOHEN</t>
  </si>
  <si>
    <t>COHEN PAUL DR.</t>
  </si>
  <si>
    <t>CLARKSON AVE</t>
  </si>
  <si>
    <t>E0303304</t>
  </si>
  <si>
    <t>SISSER RACHEL</t>
  </si>
  <si>
    <t>RACHELSISSER</t>
  </si>
  <si>
    <t>SISSER RACHEL DR.</t>
  </si>
  <si>
    <t>14-16 HEYWARD STREET</t>
  </si>
  <si>
    <t>E0320995</t>
  </si>
  <si>
    <t>PAEK CHANGHEE</t>
  </si>
  <si>
    <t>E0378659</t>
  </si>
  <si>
    <t>KOLKER VALENTINA</t>
  </si>
  <si>
    <t>225 BROADWAY STE 1012 FL 10</t>
  </si>
  <si>
    <t>YARUR EDUARDO</t>
  </si>
  <si>
    <t>309 W 23RD ST, 2ND FLOOR</t>
  </si>
  <si>
    <t>E0297080</t>
  </si>
  <si>
    <t>MYINT NINI</t>
  </si>
  <si>
    <t>E0249134</t>
  </si>
  <si>
    <t>POST KALMON D              MD</t>
  </si>
  <si>
    <t>PostKalmon</t>
  </si>
  <si>
    <t>POST KALMON DR.</t>
  </si>
  <si>
    <t>POST KALMON D</t>
  </si>
  <si>
    <t>HUSAIN FATIMA DR.</t>
  </si>
  <si>
    <t>1441 EASTLAKE AVE, SUITE 7416</t>
  </si>
  <si>
    <t>E0360790</t>
  </si>
  <si>
    <t>WU KATHY H</t>
  </si>
  <si>
    <t>WuKathy</t>
  </si>
  <si>
    <t>WU KATHY</t>
  </si>
  <si>
    <t>WU KATHY HUI</t>
  </si>
  <si>
    <t>PO BOX 27036</t>
  </si>
  <si>
    <t>SuhailMohammad</t>
  </si>
  <si>
    <t>SUHAIL MOHAMMAD FAIZUL</t>
  </si>
  <si>
    <t>SANCHEZ ESCOBAR JOSE</t>
  </si>
  <si>
    <t>HOLLIS JEFFREY</t>
  </si>
  <si>
    <t>353 E 17TH ST, SECOND FLOOR, ROOM 223</t>
  </si>
  <si>
    <t>E0116499</t>
  </si>
  <si>
    <t>LALIA MADELINE R MD</t>
  </si>
  <si>
    <t>LaliaMadeline</t>
  </si>
  <si>
    <t>LALIA MADELINE DR.</t>
  </si>
  <si>
    <t>E0212965</t>
  </si>
  <si>
    <t>VASAVADA BALENDU C         MD</t>
  </si>
  <si>
    <t>VasavadaBalendu</t>
  </si>
  <si>
    <t>VASAVADA BALENDU</t>
  </si>
  <si>
    <t>DIV OF CARDIOLOGY</t>
  </si>
  <si>
    <t>Long Island Association for AIDS Care</t>
  </si>
  <si>
    <t>E0125681</t>
  </si>
  <si>
    <t>L I ASSOC FOR AIDS CARE AI</t>
  </si>
  <si>
    <t>Harriet Gourdine-Adams</t>
  </si>
  <si>
    <t>(631) 385-2451</t>
  </si>
  <si>
    <t>hadams@liaac.org</t>
  </si>
  <si>
    <t>LONG ISLAND ASSOCIATION FOR AIDS CARE</t>
  </si>
  <si>
    <t>LI ASSOC FOR AIDS CARE AI</t>
  </si>
  <si>
    <t>60 ADAMS AVE</t>
  </si>
  <si>
    <t>Golden Gate Rehabilitation and Health Care Center</t>
  </si>
  <si>
    <t>E0267873</t>
  </si>
  <si>
    <t>GOLDEN GATE REH &amp; HLTH CR CTR</t>
  </si>
  <si>
    <t>Yehuda Hoffner</t>
  </si>
  <si>
    <t>yhoffner@goldengaterehab.com</t>
  </si>
  <si>
    <t>GOLDEN GATE REHABILITATION &amp; HEALTH CARE CENTER LLC</t>
  </si>
  <si>
    <t xml:space="preserve">Jewish Board of Family and Children's Services </t>
  </si>
  <si>
    <t>Ellen Josem</t>
  </si>
  <si>
    <t>ejosem@jbfcs.org</t>
  </si>
  <si>
    <t>BAMIRA DANIEL</t>
  </si>
  <si>
    <t>E0383555</t>
  </si>
  <si>
    <t>MERMELSTEIN JOSEPH</t>
  </si>
  <si>
    <t>MermelsteinJoseph</t>
  </si>
  <si>
    <t>MERMELSTEIN JOSEPH DR.</t>
  </si>
  <si>
    <t>MERMELSTEIN JOSEPH NATHAN</t>
  </si>
  <si>
    <t>E0018224</t>
  </si>
  <si>
    <t>THANIK-STEENBURGH ERIN</t>
  </si>
  <si>
    <t>STEENBURGH THANIK ERIN DR.</t>
  </si>
  <si>
    <t>THANIK ERIN STEENBURGH</t>
  </si>
  <si>
    <t>E0093588</t>
  </si>
  <si>
    <t>HAUSMAN LAURENCE M MD</t>
  </si>
  <si>
    <t>HausmanLaurence</t>
  </si>
  <si>
    <t>HAUSMAN LAURENCE DR.</t>
  </si>
  <si>
    <t>E0038726</t>
  </si>
  <si>
    <t>JAFFER SHABNAM  MD</t>
  </si>
  <si>
    <t>JafferShabnam</t>
  </si>
  <si>
    <t>JAFFER SHABNAM</t>
  </si>
  <si>
    <t>E0386355</t>
  </si>
  <si>
    <t>MOTIVALA SORIAYA</t>
  </si>
  <si>
    <t>MotivalaSoriaya</t>
  </si>
  <si>
    <t>MOTIVALA SORIAYA LIZETTE</t>
  </si>
  <si>
    <t>E0307150</t>
  </si>
  <si>
    <t>HU MICHAEL</t>
  </si>
  <si>
    <t>E0045118</t>
  </si>
  <si>
    <t>HAHN SIGRID A MD</t>
  </si>
  <si>
    <t>HAHN SIGRID</t>
  </si>
  <si>
    <t>JEUDY-COX JUNIE</t>
  </si>
  <si>
    <t>SEMOIN SABRINE DR.</t>
  </si>
  <si>
    <t>E0392355</t>
  </si>
  <si>
    <t>BHATTY SANAA T</t>
  </si>
  <si>
    <t>BHATTY SANAA MS.</t>
  </si>
  <si>
    <t>1400 PELHAM PKWY S BS33 BLDG 1</t>
  </si>
  <si>
    <t>BUMP CAITLIN</t>
  </si>
  <si>
    <t>127 ONEIDA VALLEY RD, SUITE 203</t>
  </si>
  <si>
    <t>BUTLER</t>
  </si>
  <si>
    <t>E0398686</t>
  </si>
  <si>
    <t>MCLAUGHLIN JONATHAN ANDREW</t>
  </si>
  <si>
    <t>McLaughlinJonathan</t>
  </si>
  <si>
    <t>MCLAUGHLIN JONATHAN MR.</t>
  </si>
  <si>
    <t>E0260955</t>
  </si>
  <si>
    <t>KURTZ ROBERT J             MD</t>
  </si>
  <si>
    <t>KurtzRobert</t>
  </si>
  <si>
    <t>KURTZ ROBERT</t>
  </si>
  <si>
    <t>E0331656</t>
  </si>
  <si>
    <t>LARIAN AMIR</t>
  </si>
  <si>
    <t>LarianAmir</t>
  </si>
  <si>
    <t>LeeSharon</t>
  </si>
  <si>
    <t>1468 MADISON AVE, ANNENBERG BUILDING, 3RD FLOOR</t>
  </si>
  <si>
    <t>LeibowitzBarbara</t>
  </si>
  <si>
    <t>LEIBOWITZ BARBARA DR.</t>
  </si>
  <si>
    <t>215 E 68TH ST, SUITE 1110</t>
  </si>
  <si>
    <t>LewisNicole</t>
  </si>
  <si>
    <t>LEWIS NICOLE</t>
  </si>
  <si>
    <t>1 GUSTAVE L LEVY PL, NEUROSURGERY BOX 1136</t>
  </si>
  <si>
    <t>LinehanNiamh</t>
  </si>
  <si>
    <t>LINEHAN NIAMH</t>
  </si>
  <si>
    <t>E0154057</t>
  </si>
  <si>
    <t>LYNCH GINA ADRIANA MD</t>
  </si>
  <si>
    <t>LynchGina</t>
  </si>
  <si>
    <t>LYNCH GINA</t>
  </si>
  <si>
    <t>LYNCH GINA ADRIANA</t>
  </si>
  <si>
    <t>TOMPKINS GENERAL HSP</t>
  </si>
  <si>
    <t>E0041197</t>
  </si>
  <si>
    <t>BYRNE MICHAEL R MD</t>
  </si>
  <si>
    <t>ByrneMichaelR.</t>
  </si>
  <si>
    <t>BYRNE MICHAEL DR.</t>
  </si>
  <si>
    <t>MAIMONIDES MED DPT</t>
  </si>
  <si>
    <t>E0080130</t>
  </si>
  <si>
    <t>AHMAD MEJOI MD</t>
  </si>
  <si>
    <t>AhmadMejdi</t>
  </si>
  <si>
    <t>AHMAD MEJDI</t>
  </si>
  <si>
    <t>E0004791</t>
  </si>
  <si>
    <t>CHAE PATRICK</t>
  </si>
  <si>
    <t>ChaePatrick</t>
  </si>
  <si>
    <t>CHAE PATRICK DR.</t>
  </si>
  <si>
    <t>CHAE PATRICK MOUNGJIN</t>
  </si>
  <si>
    <t>1130 PARK AVENUE</t>
  </si>
  <si>
    <t>E0320409</t>
  </si>
  <si>
    <t>BLANDO RUTH ANN</t>
  </si>
  <si>
    <t>BlandoRuthAnn</t>
  </si>
  <si>
    <t>E0283121</t>
  </si>
  <si>
    <t>JCCA FH DIVISION</t>
  </si>
  <si>
    <t>555 BERGEN AVE</t>
  </si>
  <si>
    <t>E0206082</t>
  </si>
  <si>
    <t>YANKELEVITZ DAVID          MD</t>
  </si>
  <si>
    <t>YankelevitzDavid</t>
  </si>
  <si>
    <t>YANKELEVITZ DAVID</t>
  </si>
  <si>
    <t>YANKELEVITZ DAVID FRED</t>
  </si>
  <si>
    <t>COMM HOSP OF BKLYN</t>
  </si>
  <si>
    <t>INGULSRUD ERIC DR.</t>
  </si>
  <si>
    <t>1431 SW 1ST AVENUE</t>
  </si>
  <si>
    <t>OCALA</t>
  </si>
  <si>
    <t>E0327208</t>
  </si>
  <si>
    <t>VASSAR JACK KEVIN</t>
  </si>
  <si>
    <t>VassarJack</t>
  </si>
  <si>
    <t>VASSAR JACK MR.</t>
  </si>
  <si>
    <t>202 ST NICHOLAS AVE</t>
  </si>
  <si>
    <t>EvaPiotrowska</t>
  </si>
  <si>
    <t>KelleyRehkugler</t>
  </si>
  <si>
    <t>GeniaRolon</t>
  </si>
  <si>
    <t>KathrynRyan</t>
  </si>
  <si>
    <t>JulianneSaitta</t>
  </si>
  <si>
    <t>KennethShaw</t>
  </si>
  <si>
    <t>KyriakiSkentzou</t>
  </si>
  <si>
    <t>JohannaSozio</t>
  </si>
  <si>
    <t>MelvinSpann</t>
  </si>
  <si>
    <t>KoichiTogawa</t>
  </si>
  <si>
    <t>DavidTurner</t>
  </si>
  <si>
    <t>E0291125</t>
  </si>
  <si>
    <t>VEDANTHAN RAJESH MD</t>
  </si>
  <si>
    <t>VEDANTHAN RAJESH</t>
  </si>
  <si>
    <t>E0182327</t>
  </si>
  <si>
    <t>SHIMONY RONY Y MD</t>
  </si>
  <si>
    <t>ShimonyRony</t>
  </si>
  <si>
    <t>SHIMONY RONY</t>
  </si>
  <si>
    <t>E0230611</t>
  </si>
  <si>
    <t>BERNSTEIN STUART MARK DPM</t>
  </si>
  <si>
    <t>STUARTBERNSTEIN</t>
  </si>
  <si>
    <t>BERNSTEIN STUART DR.</t>
  </si>
  <si>
    <t>STE 2G</t>
  </si>
  <si>
    <t>ARTHURHAMMER</t>
  </si>
  <si>
    <t>E0078553</t>
  </si>
  <si>
    <t>ABDELMALAK NABIL N MD</t>
  </si>
  <si>
    <t>NABILABDELMALAK</t>
  </si>
  <si>
    <t>ABDELMALAK NABIL</t>
  </si>
  <si>
    <t>E0175512</t>
  </si>
  <si>
    <t>BARKOFF MATTHEW W DPM</t>
  </si>
  <si>
    <t>MATTHEWBARKOFF</t>
  </si>
  <si>
    <t>BARKOFF MATTHEW DR.</t>
  </si>
  <si>
    <t>3491 BOSTON RD</t>
  </si>
  <si>
    <t>E0172494</t>
  </si>
  <si>
    <t>RUBENSTEIN SCOTT DPM</t>
  </si>
  <si>
    <t>SCOTTRUBENSTEIN</t>
  </si>
  <si>
    <t>RUBENSTEIN SCOTT DR.</t>
  </si>
  <si>
    <t>RUBENSTEIN SCOTT</t>
  </si>
  <si>
    <t>205 3RD AVE</t>
  </si>
  <si>
    <t>E0203444</t>
  </si>
  <si>
    <t>MAKOWER BRYAN L DPM</t>
  </si>
  <si>
    <t>MR.BRYANMAKOWER</t>
  </si>
  <si>
    <t>MAKOWER BRYAN MR.</t>
  </si>
  <si>
    <t>CHAIMBERNSTEIN</t>
  </si>
  <si>
    <t>E0154308</t>
  </si>
  <si>
    <t>PILLALAMARRI HARINATH MD</t>
  </si>
  <si>
    <t>HARINATHPILLALAMARRI</t>
  </si>
  <si>
    <t>PILLALAMARRI HARINATH</t>
  </si>
  <si>
    <t>E0314377</t>
  </si>
  <si>
    <t>VALDEZ ANNETTE</t>
  </si>
  <si>
    <t>MS.ANNETTEVALDEZ</t>
  </si>
  <si>
    <t>VALDEZ ANNETTE MS.</t>
  </si>
  <si>
    <t>E0194568</t>
  </si>
  <si>
    <t>ASKA GLENROY ANTHONY DPM</t>
  </si>
  <si>
    <t>GLENROYASKA</t>
  </si>
  <si>
    <t>ASKA GLENROY</t>
  </si>
  <si>
    <t>ASKA GLENROY ANTHONY</t>
  </si>
  <si>
    <t>E0137573</t>
  </si>
  <si>
    <t>ERHAN-SANGENITO HULYA MUNIBE</t>
  </si>
  <si>
    <t>HULYAERHAN</t>
  </si>
  <si>
    <t>ERHAN-SANGENITO HULYA</t>
  </si>
  <si>
    <t>FIRST AVE AT 16TH ST FL 10 RM 10B30</t>
  </si>
  <si>
    <t>E0213769</t>
  </si>
  <si>
    <t>ROSSMAN DAVID L DPM</t>
  </si>
  <si>
    <t>DAVIDROSSMAN</t>
  </si>
  <si>
    <t>ROSSMAN DAVID</t>
  </si>
  <si>
    <t>COMMUNITY MED OFFICE</t>
  </si>
  <si>
    <t>E0146779</t>
  </si>
  <si>
    <t>PARNES ELIEZER L MD</t>
  </si>
  <si>
    <t>ELIEZERPARNES</t>
  </si>
  <si>
    <t>PARNES ELIEZER DR.</t>
  </si>
  <si>
    <t>E0056117</t>
  </si>
  <si>
    <t>SHETYE SWAPNIL SHARAD MD</t>
  </si>
  <si>
    <t>SWAPNILSHETYE</t>
  </si>
  <si>
    <t>SHETYE SWAPNIL</t>
  </si>
  <si>
    <t>BETH ISRAEL MED</t>
  </si>
  <si>
    <t>E0241445</t>
  </si>
  <si>
    <t>ERBER WILLIAM F MD</t>
  </si>
  <si>
    <t>WILLIAMERBER</t>
  </si>
  <si>
    <t>ERBER WILLIAM DR.</t>
  </si>
  <si>
    <t>E0175521</t>
  </si>
  <si>
    <t>HAUSMAN LIONEL GLEN  DPM</t>
  </si>
  <si>
    <t>LIONELHAUSMAN</t>
  </si>
  <si>
    <t>HAUSMAN LIONEL DR.</t>
  </si>
  <si>
    <t>22655 77TH AVE</t>
  </si>
  <si>
    <t>PoddValentina</t>
  </si>
  <si>
    <t>THOMAS VALENTINA MS.</t>
  </si>
  <si>
    <t>E0088982</t>
  </si>
  <si>
    <t>JAVED SULEMAN MD PC</t>
  </si>
  <si>
    <t>SULEMAN JAVED</t>
  </si>
  <si>
    <t>SULEMAN JAVED MD PC</t>
  </si>
  <si>
    <t>E0002876</t>
  </si>
  <si>
    <t>GODOY WIGBERT</t>
  </si>
  <si>
    <t>GodoyWigbertS.</t>
  </si>
  <si>
    <t>GODOY WIGBERT DR.</t>
  </si>
  <si>
    <t>E0000393</t>
  </si>
  <si>
    <t>ABBOTT HOUSE B2H</t>
  </si>
  <si>
    <t>REICHMAN CYNTHIA DR.</t>
  </si>
  <si>
    <t>102 CENTRE BLVD</t>
  </si>
  <si>
    <t>MARLTON</t>
  </si>
  <si>
    <t>E0053969</t>
  </si>
  <si>
    <t>PRUSHIK KENNETH HOWARD MD</t>
  </si>
  <si>
    <t>PrushikKenneth</t>
  </si>
  <si>
    <t>PRUSHIK KENNETH</t>
  </si>
  <si>
    <t>E0293952</t>
  </si>
  <si>
    <t>AGARWAL SHRADHA</t>
  </si>
  <si>
    <t>AgarwalShradha</t>
  </si>
  <si>
    <t>AGARWAL SHRADHA DR.</t>
  </si>
  <si>
    <t>E0129286</t>
  </si>
  <si>
    <t>LEONARD KATHLEEN A</t>
  </si>
  <si>
    <t>LeonardKathleen</t>
  </si>
  <si>
    <t>LEONARD KATHLEEN DR.</t>
  </si>
  <si>
    <t>LEONARD KATHLEEN A MD</t>
  </si>
  <si>
    <t>E0414685</t>
  </si>
  <si>
    <t>ROMANO RICHARD DAVID</t>
  </si>
  <si>
    <t>ROMANO RICHARD DR.</t>
  </si>
  <si>
    <t>E0302344</t>
  </si>
  <si>
    <t>SPITZER MATTHEW</t>
  </si>
  <si>
    <t>SPITZER MATTHEW DR.</t>
  </si>
  <si>
    <t>610 WEST 158TH STREE</t>
  </si>
  <si>
    <t>E0220341</t>
  </si>
  <si>
    <t>BRODY SAMUEL A             MD</t>
  </si>
  <si>
    <t>BrodySamuel</t>
  </si>
  <si>
    <t>BRODY SAMUEL DR.</t>
  </si>
  <si>
    <t>E0137085</t>
  </si>
  <si>
    <t>WIN MYAT M MD</t>
  </si>
  <si>
    <t>WIN MYAT DR.</t>
  </si>
  <si>
    <t>EMER PHYS WYCKOFF</t>
  </si>
  <si>
    <t>E0325281</t>
  </si>
  <si>
    <t>LIANG ELIZABETH</t>
  </si>
  <si>
    <t>LiangElizabethQ.</t>
  </si>
  <si>
    <t>139 CENTRE ST STE 703</t>
  </si>
  <si>
    <t>E0278155</t>
  </si>
  <si>
    <t>FRIEDMAN ALAN H            MD</t>
  </si>
  <si>
    <t>FRIEDMAN ALAN</t>
  </si>
  <si>
    <t>888 PARK AVE</t>
  </si>
  <si>
    <t>E0203344</t>
  </si>
  <si>
    <t>REITER JOEL D              MD</t>
  </si>
  <si>
    <t>ReiterJoel</t>
  </si>
  <si>
    <t>REITER JOEL DR.</t>
  </si>
  <si>
    <t>369 EAST MAIN STREET</t>
  </si>
  <si>
    <t>E0115260</t>
  </si>
  <si>
    <t>CLEMENS CHRISTOPHER MD</t>
  </si>
  <si>
    <t>ClemensChristopher</t>
  </si>
  <si>
    <t>CLEMENS CHRISTOPHER</t>
  </si>
  <si>
    <t>201 E 80TH ST</t>
  </si>
  <si>
    <t>E0085208</t>
  </si>
  <si>
    <t>MICHAELS EMIL MD</t>
  </si>
  <si>
    <t>MichaelsEmil</t>
  </si>
  <si>
    <t>MICHAELS EMIL</t>
  </si>
  <si>
    <t>E0201719</t>
  </si>
  <si>
    <t>BOGUSKI-FILGUEIRA LISA F</t>
  </si>
  <si>
    <t>Boguski-FilgueiraLisa</t>
  </si>
  <si>
    <t>BOGUSKI-FILGUEIRA LISA</t>
  </si>
  <si>
    <t>E0367796</t>
  </si>
  <si>
    <t>MCDONOUGH DENA LYNN</t>
  </si>
  <si>
    <t>McDonoughDena</t>
  </si>
  <si>
    <t>MCDONOUGH DENA</t>
  </si>
  <si>
    <t>E0412934</t>
  </si>
  <si>
    <t>APOSTOL RADU</t>
  </si>
  <si>
    <t>ApostolRadu</t>
  </si>
  <si>
    <t>APOSTOL RADU COSMIN</t>
  </si>
  <si>
    <t>E0364519</t>
  </si>
  <si>
    <t>ANNETTE M KING</t>
  </si>
  <si>
    <t>KingAnnette</t>
  </si>
  <si>
    <t>KING ANNETTE MS.</t>
  </si>
  <si>
    <t>KING ANNETTE MARIE</t>
  </si>
  <si>
    <t>GUPTA DEEPALI DR.</t>
  </si>
  <si>
    <t>E0280201</t>
  </si>
  <si>
    <t>GOLINKO RICHARD J          MD</t>
  </si>
  <si>
    <t>GOLINKO RICHARD</t>
  </si>
  <si>
    <t>E0083573</t>
  </si>
  <si>
    <t>BLANCO-FRANCO OSCAR MD</t>
  </si>
  <si>
    <t>Blanco-FrancoOscar</t>
  </si>
  <si>
    <t>BLANCO-FRANCO OSCAR</t>
  </si>
  <si>
    <t>30 DAVIS AVE STE 101</t>
  </si>
  <si>
    <t>BRENNER GRANT</t>
  </si>
  <si>
    <t>841 BROADWAY, STE. 302</t>
  </si>
  <si>
    <t>CoreyPatrickSpencer</t>
  </si>
  <si>
    <t>E0163157</t>
  </si>
  <si>
    <t>KITSON KWAME ALTAMONT</t>
  </si>
  <si>
    <t>KITSON KWAME DR.</t>
  </si>
  <si>
    <t>E0122684</t>
  </si>
  <si>
    <t>STEEVER JOHN B MD</t>
  </si>
  <si>
    <t>SteeverJohn</t>
  </si>
  <si>
    <t>STEEVER JOHN DR.</t>
  </si>
  <si>
    <t>STEEVER JOHN BARRINGER</t>
  </si>
  <si>
    <t>E0107805</t>
  </si>
  <si>
    <t>WISNIVESKY JUAN P MD</t>
  </si>
  <si>
    <t>WISNIVESKY JUAN</t>
  </si>
  <si>
    <t>STE 505</t>
  </si>
  <si>
    <t>alexsajdak@yahoo.com</t>
  </si>
  <si>
    <t>Winnefred Francis</t>
  </si>
  <si>
    <t>E0147438</t>
  </si>
  <si>
    <t>BROOKLYN BUREAU OF COMM SRV</t>
  </si>
  <si>
    <t>Susan Buchanan</t>
  </si>
  <si>
    <t>BROOKLYN BUREAU OF COMMUNITY SERVICE</t>
  </si>
  <si>
    <t>BROOKLYN COMMUNITY SERVICES</t>
  </si>
  <si>
    <t>285 SCHERMERHORN ST # 239</t>
  </si>
  <si>
    <t>New Horizon Counseling Center, Inc./Case Management Program</t>
  </si>
  <si>
    <t>E0197400</t>
  </si>
  <si>
    <t>ST CHRISTOPHERS-OTTILIE JAMAI</t>
  </si>
  <si>
    <t>JAMAICA ICF</t>
  </si>
  <si>
    <t>ConnollyKatherine</t>
  </si>
  <si>
    <t>JANDL KATHERINE</t>
  </si>
  <si>
    <t>666 GREENWICH ST, APARTMENT 637</t>
  </si>
  <si>
    <t>BOLARINWA OLADAYO DR.</t>
  </si>
  <si>
    <t>E0379087</t>
  </si>
  <si>
    <t>KNIBBS NAKIYAH AISHA</t>
  </si>
  <si>
    <t>KNIBBS NAKIYAH DR.</t>
  </si>
  <si>
    <t>TRAN TRUNG</t>
  </si>
  <si>
    <t>3046 ALMOND DR</t>
  </si>
  <si>
    <t>SAN JOSE</t>
  </si>
  <si>
    <t>PARK JUNG YEON</t>
  </si>
  <si>
    <t>310 E 24TH ST, 1J</t>
  </si>
  <si>
    <t>LyuSukyung</t>
  </si>
  <si>
    <t>LYU SUKYUNG MISS</t>
  </si>
  <si>
    <t>NELSON ADAM</t>
  </si>
  <si>
    <t>E0091425</t>
  </si>
  <si>
    <t>MOTIRAM SAVITRI RAMDASS MD</t>
  </si>
  <si>
    <t>MotiramSavitri</t>
  </si>
  <si>
    <t>MOTIRAM SAVITRI DR.</t>
  </si>
  <si>
    <t>H PATEL MD PC</t>
  </si>
  <si>
    <t>DOMFEH JULIANA</t>
  </si>
  <si>
    <t>THIRD AVENUE AND 183RD STREET</t>
  </si>
  <si>
    <t>E0362151</t>
  </si>
  <si>
    <t>ALLISON MARGARET JACQUELINE</t>
  </si>
  <si>
    <t>ALLISON MARGARET MS.</t>
  </si>
  <si>
    <t>E0047183</t>
  </si>
  <si>
    <t>GADOR SUSAN ANABELLE D</t>
  </si>
  <si>
    <t>GADOR SUSAN ANABELLE</t>
  </si>
  <si>
    <t>MIRANDA KENDRA</t>
  </si>
  <si>
    <t>80 SEYMOUR ST, HARTFORD HOSPITAL SURGERY DEPT - CRITICAL CARE</t>
  </si>
  <si>
    <t>E0412508</t>
  </si>
  <si>
    <t>GUTHRIE CLAYTON</t>
  </si>
  <si>
    <t>GUTHRIE CLAYTON DR.</t>
  </si>
  <si>
    <t>GUTHRIE CLAYTON SIMS</t>
  </si>
  <si>
    <t>E0347276</t>
  </si>
  <si>
    <t>PEIMER MARTA SILVEE</t>
  </si>
  <si>
    <t>PEIMER MARTA</t>
  </si>
  <si>
    <t>E0310195</t>
  </si>
  <si>
    <t>KAREN ADAM KENNETH</t>
  </si>
  <si>
    <t>KAREN ADAM MR.</t>
  </si>
  <si>
    <t>Comprehensive Community of Hospice Parker Jewish Institute</t>
  </si>
  <si>
    <t>E0113513</t>
  </si>
  <si>
    <t>COMPREHENSIVE COM HOSPICE PJI</t>
  </si>
  <si>
    <t>Stuart Almer</t>
  </si>
  <si>
    <t>(718) 289-2352</t>
  </si>
  <si>
    <t>salmer@parkerinstitute.org</t>
  </si>
  <si>
    <t>PARKER JEWISH INSTITUTE FOR HEALTH CARE AND REHABILITAITON</t>
  </si>
  <si>
    <t>Lakeville Ambulete Transportation, LLC</t>
  </si>
  <si>
    <t>Christopher Lynch</t>
  </si>
  <si>
    <t>(718) 289-2275</t>
  </si>
  <si>
    <t>clynch@parkerinstitute.org</t>
  </si>
  <si>
    <t>LAKEVILLE AMBULETTE TRANSPORTATION LLC</t>
  </si>
  <si>
    <t xml:space="preserve"> UCP NYC CASTLTN 185 ST MK 1LM</t>
  </si>
  <si>
    <t>E0213837</t>
  </si>
  <si>
    <t>UCP NYC CASTLTN 185 ST MK 1LM</t>
  </si>
  <si>
    <t>(212) 683-6700</t>
  </si>
  <si>
    <t>UNITED CEREBRAL PALSY OF NEW YORK CITY, INC.</t>
  </si>
  <si>
    <t>CASTLTN PK ICF 1LM</t>
  </si>
  <si>
    <t xml:space="preserve"> UCP NYC CASTLTN 185 ST MK 2LM</t>
  </si>
  <si>
    <t>E0213836</t>
  </si>
  <si>
    <t>UCP NYC CASTLTN 185 ST MK 2LM</t>
  </si>
  <si>
    <t>(718) 727-8666</t>
  </si>
  <si>
    <t>CASTLTN PK ICF</t>
  </si>
  <si>
    <t xml:space="preserve"> UCP NYC DAY TRT ST ISLAND</t>
  </si>
  <si>
    <t>E0225234</t>
  </si>
  <si>
    <t>UCP NYC DAY TRT ST ISLAND</t>
  </si>
  <si>
    <t>(718) 683-6700</t>
  </si>
  <si>
    <t>UNITED CEREBRAL PALSY OF NEW YORK CITY INC</t>
  </si>
  <si>
    <t xml:space="preserve"> UCP NYC TANYA TOWERS ICF</t>
  </si>
  <si>
    <t>E0256582</t>
  </si>
  <si>
    <t>UCP NYC TANYA TOWERS ICF</t>
  </si>
  <si>
    <t>TANYA TOWERS ICF</t>
  </si>
  <si>
    <t xml:space="preserve"> UCP NYC WATERSIDE ICF</t>
  </si>
  <si>
    <t>E0222111</t>
  </si>
  <si>
    <t>UCP NYC WATERSIDE ICF</t>
  </si>
  <si>
    <t>WATERSIDE ICF</t>
  </si>
  <si>
    <t xml:space="preserve"> UCP OF NYC FSR 1</t>
  </si>
  <si>
    <t>E0039068</t>
  </si>
  <si>
    <t>UCP OF NYC FSR 1</t>
  </si>
  <si>
    <t xml:space="preserve"> UCP OF NYC INC SPT</t>
  </si>
  <si>
    <t>E0074554</t>
  </si>
  <si>
    <t>UCP OF NYC INC SPT</t>
  </si>
  <si>
    <t xml:space="preserve"> UCP OF NYC INC SPV</t>
  </si>
  <si>
    <t>E0074557</t>
  </si>
  <si>
    <t>UCP OF NYC INC SPV</t>
  </si>
  <si>
    <t xml:space="preserve"> UCP OF NYC RSP</t>
  </si>
  <si>
    <t>E0039088</t>
  </si>
  <si>
    <t>UCP OF NYC RSP</t>
  </si>
  <si>
    <t>80 MAIDEN LN</t>
  </si>
  <si>
    <t xml:space="preserve"> UNITED CEREBRAL PLSY NYC SMP</t>
  </si>
  <si>
    <t>E0083056</t>
  </si>
  <si>
    <t>UNITED CEREBRAL PLSY NYC SMP</t>
  </si>
  <si>
    <t xml:space="preserve"> ICL JOSELOW HOUSE INC SPV</t>
  </si>
  <si>
    <t>E0024882</t>
  </si>
  <si>
    <t>ICL JOSELOW HOUSE INC ND 1</t>
  </si>
  <si>
    <t>ICL JOSELOW HOUSE INC SPV</t>
  </si>
  <si>
    <t xml:space="preserve"> NEW ALTERNATIVES/CHILDREN INC B2H</t>
  </si>
  <si>
    <t>E0001986</t>
  </si>
  <si>
    <t>NEW ALTERNATIVES/CHILDREN INC B2H</t>
  </si>
  <si>
    <t xml:space="preserve"> NY FOUNDLING HOSPITAL FSR 1</t>
  </si>
  <si>
    <t>E0036857</t>
  </si>
  <si>
    <t>NY FOUNDLING HOSPITAL FSR 1</t>
  </si>
  <si>
    <t>(212) 727-6978</t>
  </si>
  <si>
    <t xml:space="preserve"> NY FOUNDLING HOSPITAL FSR 2</t>
  </si>
  <si>
    <t>E0036852</t>
  </si>
  <si>
    <t>NY FOUNDLING HOSPITAL FSR 2</t>
  </si>
  <si>
    <t xml:space="preserve"> BRIDGE,INC</t>
  </si>
  <si>
    <t>BRIDGE,INC</t>
  </si>
  <si>
    <t>BRIDGE CL&amp;CD PROGRAM</t>
  </si>
  <si>
    <t xml:space="preserve"> UNION SETTLEMENT ASSOC MH</t>
  </si>
  <si>
    <t>E0180368</t>
  </si>
  <si>
    <t>UNION SETTLEMENT ASSOC MH</t>
  </si>
  <si>
    <t>UNION SETTELMENT ASSOCIATION</t>
  </si>
  <si>
    <t>2089 3RD AVE</t>
  </si>
  <si>
    <t xml:space="preserve"> UNIVERSITY SETTLEMENT SOC MH</t>
  </si>
  <si>
    <t>E0157255</t>
  </si>
  <si>
    <t>UNIVERSITY SETTLEMENT SOC MH</t>
  </si>
  <si>
    <t>(212) 674-9120</t>
  </si>
  <si>
    <t xml:space="preserve"> PROJECT RENEWAL, INC</t>
  </si>
  <si>
    <t>E0273907</t>
  </si>
  <si>
    <t>PROJECT RENEWAL, INC</t>
  </si>
  <si>
    <t>(212) 620-0340</t>
  </si>
  <si>
    <t xml:space="preserve"> THE LIGHTHOUSE, INC.</t>
  </si>
  <si>
    <t>E0217090</t>
  </si>
  <si>
    <t>THE LIGHTHOUSE, INC.</t>
  </si>
  <si>
    <t>(212) 821-9398</t>
  </si>
  <si>
    <t>LIGHTHOUSE INTERNATIONAL</t>
  </si>
  <si>
    <t>42-09 28TH ST 18TH FL</t>
  </si>
  <si>
    <t>CL TRTMT DOH 13TH FL</t>
  </si>
  <si>
    <t xml:space="preserve"> BROOKLYN HOSPITAL CENTER</t>
  </si>
  <si>
    <t>(718) 270-1000</t>
  </si>
  <si>
    <t>Spring Creek Rehabilitation and Nursing Care Center</t>
  </si>
  <si>
    <t>E0083543</t>
  </si>
  <si>
    <t>WILLOUGHBY REH &amp; HLTH CR CTR</t>
  </si>
  <si>
    <t>Manny Kaufman</t>
  </si>
  <si>
    <t>(718) 669-7101</t>
  </si>
  <si>
    <t>mkaufman@springcreekrehab.com</t>
  </si>
  <si>
    <t>WILLOUGHBY REHABILITATION &amp; HEALTH CARE CENTER</t>
  </si>
  <si>
    <t>SPRING CREEK REHAB &amp; NRS CARE CENTE</t>
  </si>
  <si>
    <t>660 LOUISIANA AVE</t>
  </si>
  <si>
    <t>The New York Foundling Hospital-19 David Place - Day Habilitation</t>
  </si>
  <si>
    <t xml:space="preserve">The PAC Program of Brooklyn </t>
  </si>
  <si>
    <t>(718) 388-5950</t>
  </si>
  <si>
    <t>felicia@thepacprogram.com</t>
  </si>
  <si>
    <t>Diana Gagliano</t>
  </si>
  <si>
    <t>E0283903</t>
  </si>
  <si>
    <t>GAGLIANO DIANA</t>
  </si>
  <si>
    <t>Gracemon Kuriakose</t>
  </si>
  <si>
    <t>Vivian Hirshaut</t>
  </si>
  <si>
    <t>E0238474</t>
  </si>
  <si>
    <t>HIRSHAUT VIVIAN            MD</t>
  </si>
  <si>
    <t>HIRSHAUT VIVIAN</t>
  </si>
  <si>
    <t>MONTEFIORE HOSP MED</t>
  </si>
  <si>
    <t>Joel Greenspan</t>
  </si>
  <si>
    <t>E0200725</t>
  </si>
  <si>
    <t>GREENSPAN JOEL GARY MD</t>
  </si>
  <si>
    <t>GREENSPAN JOEL</t>
  </si>
  <si>
    <t>1841 BROADWAY RM 1011</t>
  </si>
  <si>
    <t>Michael Tarlowe</t>
  </si>
  <si>
    <t>E0000047</t>
  </si>
  <si>
    <t>TARLOWE MICHAEL HARRIS</t>
  </si>
  <si>
    <t>TARLOWE MICHAEL DR.</t>
  </si>
  <si>
    <t>TARLOWE MICHAEL HARRIS MD</t>
  </si>
  <si>
    <t>12 GREENRIDGE AVE</t>
  </si>
  <si>
    <t>Jessica Son</t>
  </si>
  <si>
    <t>SON JESSICA DR.</t>
  </si>
  <si>
    <t>2422 CENTRAL PARK AVE</t>
  </si>
  <si>
    <t>Saturnino Cruz Quevedo</t>
  </si>
  <si>
    <t>Diana Dejesus</t>
  </si>
  <si>
    <t>DE JESUS DIANA</t>
  </si>
  <si>
    <t>116 FIFTH AVE</t>
  </si>
  <si>
    <t>Rajeev Sindwhani</t>
  </si>
  <si>
    <t>Lisa Nason</t>
  </si>
  <si>
    <t>E0116064</t>
  </si>
  <si>
    <t>NASON LISA MD</t>
  </si>
  <si>
    <t>NASON LISA</t>
  </si>
  <si>
    <t>LOUISE DUNN</t>
  </si>
  <si>
    <t>Harvey Gorrin</t>
  </si>
  <si>
    <t>E0237618</t>
  </si>
  <si>
    <t>GORRIN HARVEY              MD</t>
  </si>
  <si>
    <t>GORRIN HARVEY</t>
  </si>
  <si>
    <t>OFC MANAGER</t>
  </si>
  <si>
    <t>David Mack</t>
  </si>
  <si>
    <t>E0193871</t>
  </si>
  <si>
    <t>MACK DAVID ABA MD</t>
  </si>
  <si>
    <t>MACK DAVID</t>
  </si>
  <si>
    <t>970 NO BROADWAY/STE 209</t>
  </si>
  <si>
    <t>Michael Gerdis</t>
  </si>
  <si>
    <t>E0153443</t>
  </si>
  <si>
    <t>GERDIS MICHAEL MD</t>
  </si>
  <si>
    <t>GERDIS MICHAEL</t>
  </si>
  <si>
    <t>NAE Edison LLC dba Edison Home Health Care</t>
  </si>
  <si>
    <t>946 McDonald Ave</t>
  </si>
  <si>
    <t>Elmhurst Care Center, Inc.</t>
  </si>
  <si>
    <t>E0089910</t>
  </si>
  <si>
    <t>ELMHURST CARE CENTER ADHC</t>
  </si>
  <si>
    <t>Yossi Kraus</t>
  </si>
  <si>
    <t>(718) 205-8100</t>
  </si>
  <si>
    <t>elmhurstcc@aol.com</t>
  </si>
  <si>
    <t>ELMHURST CARE CENTER INC</t>
  </si>
  <si>
    <t>100-17 23RD AVE</t>
  </si>
  <si>
    <t>The Epilepsy Institute</t>
  </si>
  <si>
    <t>E0351622</t>
  </si>
  <si>
    <t>THE EPILEPSY INSTITUTE</t>
  </si>
  <si>
    <t>Miriam Castro, LCSW</t>
  </si>
  <si>
    <t>(212) 677-8550</t>
  </si>
  <si>
    <t>mcastro@efmny.org</t>
  </si>
  <si>
    <t>65 BROADWAY FL 5 # A-1</t>
  </si>
  <si>
    <t>Teodore Maturo, LMSW</t>
  </si>
  <si>
    <t>MATURO THEODORE MR.</t>
  </si>
  <si>
    <t>65 BROADWAY, SUITE 505</t>
  </si>
  <si>
    <t>Dr. Marianne T Guscwhan, MD</t>
  </si>
  <si>
    <t>E0307943</t>
  </si>
  <si>
    <t>GUSCHWAN MARIANNE</t>
  </si>
  <si>
    <t>GUSCHWAN MARIANNE TERESE</t>
  </si>
  <si>
    <t>65 BROADWAY</t>
  </si>
  <si>
    <t>Miriam I Castro, LCSW</t>
  </si>
  <si>
    <t>E0309284</t>
  </si>
  <si>
    <t>CASTRO MIRIAM</t>
  </si>
  <si>
    <t>CASTRO MIRIAM MS.</t>
  </si>
  <si>
    <t>Dr. Megan K. Erion, PsyD</t>
  </si>
  <si>
    <t>E0368452</t>
  </si>
  <si>
    <t>ERION MEGAN K</t>
  </si>
  <si>
    <t>ERION MEGAN MRS.</t>
  </si>
  <si>
    <t>Joonhye Kook</t>
  </si>
  <si>
    <t>E0395051</t>
  </si>
  <si>
    <t>KOOK JOONHYE</t>
  </si>
  <si>
    <t>3765 Riverdale Ave./Ste. #7</t>
  </si>
  <si>
    <t>SHEEPSHEAD NURSING REHAB CTR</t>
  </si>
  <si>
    <t>2840 KNAPP ST</t>
  </si>
  <si>
    <t>HEALTHGUARD INC</t>
  </si>
  <si>
    <t>DR BARNETT ADM</t>
  </si>
  <si>
    <t>E0103944</t>
  </si>
  <si>
    <t>ASCHER-WALSH CHARLES J MD</t>
  </si>
  <si>
    <t>ASCHER-WALSH CHARLES</t>
  </si>
  <si>
    <t>3151 BROADWAY</t>
  </si>
  <si>
    <t>E0025210</t>
  </si>
  <si>
    <t>PHILLIPS COURTNEY KI MD</t>
  </si>
  <si>
    <t>PHILLIPS COURTNEY DR.</t>
  </si>
  <si>
    <t>E0047793</t>
  </si>
  <si>
    <t>NAGARSHETH NIMESH P MD</t>
  </si>
  <si>
    <t>NAGARSHETH NIMESH DR.</t>
  </si>
  <si>
    <t>Contemporary Guidance Services (ACA Member Agency)</t>
  </si>
  <si>
    <t>E0295666</t>
  </si>
  <si>
    <t>CONTEMPORARY GUIDENCE SVCS INC RSP</t>
  </si>
  <si>
    <t>52 BROADWAY FL 4</t>
  </si>
  <si>
    <t>Southren, David MD</t>
  </si>
  <si>
    <t>E0190109</t>
  </si>
  <si>
    <t>SOUTHREN DAVID B MD</t>
  </si>
  <si>
    <t>SOUTHREN DAVID DR.</t>
  </si>
  <si>
    <t>E0266347</t>
  </si>
  <si>
    <t>ST CHRISTOPHER-OTTILIE</t>
  </si>
  <si>
    <t>ST CHRISTOPHERS HOME</t>
  </si>
  <si>
    <t>SEA CLIFF</t>
  </si>
  <si>
    <t>Virani, Zahra, MD</t>
  </si>
  <si>
    <t>E0383324</t>
  </si>
  <si>
    <t>VIRANI ZAHRA</t>
  </si>
  <si>
    <t>Diane Hauser</t>
  </si>
  <si>
    <t>(212) 659-1406</t>
  </si>
  <si>
    <t>dhauser@institute2000.org</t>
  </si>
  <si>
    <t>VIRANI ZAHRA DR.</t>
  </si>
  <si>
    <t>VIRANI ZAHRA NOORULLAH</t>
  </si>
  <si>
    <t xml:space="preserve">Eisner, Yvonne,  FNP </t>
  </si>
  <si>
    <t>E0161201</t>
  </si>
  <si>
    <t>EISNER YVONNE</t>
  </si>
  <si>
    <t>EISNER YVONNE MISS</t>
  </si>
  <si>
    <t>EISNER YVONNE MARIE</t>
  </si>
  <si>
    <t>Schehr, Jaime, RD</t>
  </si>
  <si>
    <t>SCHEHR JAIME DR.</t>
  </si>
  <si>
    <t>3152 RANDALL AVE</t>
  </si>
  <si>
    <t>Holland, Sally, PA</t>
  </si>
  <si>
    <t>E0354603</t>
  </si>
  <si>
    <t>HOLLAND SALLY ANN</t>
  </si>
  <si>
    <t>HOLLAND SALLY MS.</t>
  </si>
  <si>
    <t>Serrano, Miriam CDE</t>
  </si>
  <si>
    <t>E0341820</t>
  </si>
  <si>
    <t>SERRANO MIRIAM</t>
  </si>
  <si>
    <t>SERRANO MIRIAM MRS.</t>
  </si>
  <si>
    <t>1727 AMSTERDAM AVE FL 4</t>
  </si>
  <si>
    <t xml:space="preserve">Arenstein, Toni, RN,CDE </t>
  </si>
  <si>
    <t>E0384619</t>
  </si>
  <si>
    <t>ARENSTEIN TONI I</t>
  </si>
  <si>
    <t>ARENSTEIN TONI</t>
  </si>
  <si>
    <t>DiMaio, Julianne, RD, CDE</t>
  </si>
  <si>
    <t>E0391986</t>
  </si>
  <si>
    <t>DIMAIO JULIANNE</t>
  </si>
  <si>
    <t>Mora, Paola, RD/CDE</t>
  </si>
  <si>
    <t>E0370500</t>
  </si>
  <si>
    <t>MORA PAOLA</t>
  </si>
  <si>
    <t>MORA PAOLA MISS</t>
  </si>
  <si>
    <t>Kondaveeti, Harika, MD</t>
  </si>
  <si>
    <t>E0389863</t>
  </si>
  <si>
    <t>KONDAVEETI HARIKA</t>
  </si>
  <si>
    <t>E0088114</t>
  </si>
  <si>
    <t>SUPPORTIVE IRA</t>
  </si>
  <si>
    <t>E0074428</t>
  </si>
  <si>
    <t>YOUNG ADULT INSTITUTE SPT</t>
  </si>
  <si>
    <t>YAI FREE STANDING RESPITE (QUEENS)</t>
  </si>
  <si>
    <t>E0040141</t>
  </si>
  <si>
    <t>YOUNG ADULT INSTITUTE FSR 2</t>
  </si>
  <si>
    <t>FSR 2</t>
  </si>
  <si>
    <t>Ajhezza Gonzalez</t>
  </si>
  <si>
    <t>(718) 794-3128</t>
  </si>
  <si>
    <t>ajgonzalez@AffinityPlan.org</t>
  </si>
  <si>
    <t>Desir, Mergie</t>
  </si>
  <si>
    <t>Olivera, Rosemarie Ricciardi</t>
  </si>
  <si>
    <t>Weiner, Holly H.</t>
  </si>
  <si>
    <t>Palinski, Suzanne Margarita</t>
  </si>
  <si>
    <t>E0296262</t>
  </si>
  <si>
    <t>PALINSKI SUZANNE</t>
  </si>
  <si>
    <t>PALINSKI SUZANNE MARGARITA</t>
  </si>
  <si>
    <t>Herman, Craig Preston</t>
  </si>
  <si>
    <t>Phillips, Erica G.</t>
  </si>
  <si>
    <t>E0061638</t>
  </si>
  <si>
    <t>PHILLIPS ERICA GWENDOLYN MD</t>
  </si>
  <si>
    <t>PHILLIPS ERICA DR.</t>
  </si>
  <si>
    <t>LONG ISLND CITY</t>
  </si>
  <si>
    <t>Addo-Wallace, Evelyn Adwoa</t>
  </si>
  <si>
    <t xml:space="preserve">Johnson, Sharon </t>
  </si>
  <si>
    <t>Christophe, Gladys</t>
  </si>
  <si>
    <t>McPherson, Christina Rebecca</t>
  </si>
  <si>
    <t>Duncan, Tamika Simone</t>
  </si>
  <si>
    <t>Young, Constance A.</t>
  </si>
  <si>
    <t>ST CHRISTOPHER-OTTILIE CR</t>
  </si>
  <si>
    <t>1958 FULTON ST</t>
  </si>
  <si>
    <t>SCO FAMILY OF SERVICES CR CHLD</t>
  </si>
  <si>
    <t>218-41 99TH AVE</t>
  </si>
  <si>
    <t>Jason Cheung, DDS (Director)</t>
  </si>
  <si>
    <t>Nikesha Marshall</t>
  </si>
  <si>
    <t>(718) 860-8440</t>
  </si>
  <si>
    <t>JACHEUNG@montefiore.org</t>
  </si>
  <si>
    <t>Carolann Furchi, PsyD.</t>
  </si>
  <si>
    <t>The New York Foundling Hospital-12 Duryea</t>
  </si>
  <si>
    <t>The New York Foundling Hospital-Ardsley</t>
  </si>
  <si>
    <t>The New York Foundling Hospital
-10 Duryea</t>
  </si>
  <si>
    <t>Jill Gentile</t>
  </si>
  <si>
    <t>Jill.Gentile@nyfoundling.org</t>
  </si>
  <si>
    <t xml:space="preserve">The PAC Program of the Bronx </t>
  </si>
  <si>
    <t>(718) 328-2605</t>
  </si>
  <si>
    <t>Throgs Neck Extended Care Facility</t>
  </si>
  <si>
    <t>E0154681</t>
  </si>
  <si>
    <t>THROGS NECK EXTENDED CARE FAC</t>
  </si>
  <si>
    <t>Jody Bonura</t>
  </si>
  <si>
    <t>(718) 430-0003</t>
  </si>
  <si>
    <t>jbtneck@aol.com</t>
  </si>
  <si>
    <t>THROGS NECK OPERATING CO LLC</t>
  </si>
  <si>
    <t xml:space="preserve">Townhouse Center for Rehabilitation and Nursing </t>
  </si>
  <si>
    <t>E0129856</t>
  </si>
  <si>
    <t>TOWNHOUSE CENTER REHAB &amp; NURSING</t>
  </si>
  <si>
    <t>Daniel Schaffer</t>
  </si>
  <si>
    <t>(516) 565-1900</t>
  </si>
  <si>
    <t>Dschaffer@townhouseecf.com</t>
  </si>
  <si>
    <t>TOWNHOUSE OPERATING COMPANY LLC</t>
  </si>
  <si>
    <t>Victory Internal Medicine, PC</t>
  </si>
  <si>
    <t>E0050905</t>
  </si>
  <si>
    <t>VICTORY INTERNAL MED PC</t>
  </si>
  <si>
    <t>David Wortman</t>
  </si>
  <si>
    <t>VICTORY INTERNAL MEDICINE, P.C.</t>
  </si>
  <si>
    <t>VICTORY INTERNAL MEDICINE P C</t>
  </si>
  <si>
    <t>Woodmere Rehabilitation and Health Care Center, INC.</t>
  </si>
  <si>
    <t>E0133039</t>
  </si>
  <si>
    <t>WOODMERE REHAB &amp; HCC INC</t>
  </si>
  <si>
    <t>Deborah Flack</t>
  </si>
  <si>
    <t>(516) 374-9300</t>
  </si>
  <si>
    <t>dflack@woodmererehab.com</t>
  </si>
  <si>
    <t>WOODMERE REHABILITATION - HEALTH CARE CENTER, INC.</t>
  </si>
  <si>
    <t>121 FRANKLIN PLACE</t>
  </si>
  <si>
    <t xml:space="preserve">4770 WHITE PLAINS RD </t>
  </si>
  <si>
    <t>Workmen's Circle Multi Care Center</t>
  </si>
  <si>
    <t>Laurence Abrams</t>
  </si>
  <si>
    <t>labrams@wcmcc.org</t>
  </si>
  <si>
    <t xml:space="preserve">3155 grace Ave </t>
  </si>
  <si>
    <t>Institute for Community Living</t>
  </si>
  <si>
    <t>ICL Central Access</t>
  </si>
  <si>
    <t>(888) 425-0501</t>
  </si>
  <si>
    <t>iclaccess@iclinc.net</t>
  </si>
  <si>
    <t>2643 Broadway</t>
  </si>
  <si>
    <t>19  David Place Staten Island, NY</t>
  </si>
  <si>
    <t>Staten Island</t>
  </si>
  <si>
    <t>E0263527</t>
  </si>
  <si>
    <t>A A B R 130 WATER ST ICF</t>
  </si>
  <si>
    <t>WATER ST ICF</t>
  </si>
  <si>
    <t>130 Water Street 4th Floor</t>
  </si>
  <si>
    <t>Vazquez, Claudio</t>
  </si>
  <si>
    <t>Addicts Rehabilitation Center Fund, Inc.</t>
  </si>
  <si>
    <t>Jenell Horton</t>
  </si>
  <si>
    <t>(646) 783-5331</t>
  </si>
  <si>
    <t>Jhorton@addictsrehabfund.org</t>
  </si>
  <si>
    <t>Alexandr Usorov</t>
  </si>
  <si>
    <t>E0313079</t>
  </si>
  <si>
    <t>USOROV ALEKSANDR</t>
  </si>
  <si>
    <t>USOROV ALEKSANDR DR.</t>
  </si>
  <si>
    <t>Jason Snyder</t>
  </si>
  <si>
    <t>E0343731</t>
  </si>
  <si>
    <t>SNYDER JASON CHARLES</t>
  </si>
  <si>
    <t>SNYDER JASON DR.</t>
  </si>
  <si>
    <t>Susanna Cronmiller</t>
  </si>
  <si>
    <t>E0330482</t>
  </si>
  <si>
    <t>CRONMILLER SUSANNA</t>
  </si>
  <si>
    <t>21 E 22ND ST</t>
  </si>
  <si>
    <t>Krempasky, Chance Nicholas</t>
  </si>
  <si>
    <t>Bussoletti, Natalee Marie</t>
  </si>
  <si>
    <t>Price, Lindsay Nicole</t>
  </si>
  <si>
    <t>Lowery, April</t>
  </si>
  <si>
    <t>E0285679</t>
  </si>
  <si>
    <t>LOWERY APRIL ALEXIS RPA</t>
  </si>
  <si>
    <t>LOWERY APRIL</t>
  </si>
  <si>
    <t>364 JUNIUS ST</t>
  </si>
  <si>
    <t xml:space="preserve">Padilla Hampton, Elisa </t>
  </si>
  <si>
    <t>Pekareva-Kochergina, Irina V.</t>
  </si>
  <si>
    <t>E0364225</t>
  </si>
  <si>
    <t>PEKAREVA-KOCHERGINA IRINA</t>
  </si>
  <si>
    <t>PEKAREVA-KOCHERGINA IRINA MRS.</t>
  </si>
  <si>
    <t>Rolston, Sandra</t>
  </si>
  <si>
    <t>Schepker, Elizabeth Erin</t>
  </si>
  <si>
    <t>E0352129</t>
  </si>
  <si>
    <t>SCHEPKER ELIZABETH ERIN</t>
  </si>
  <si>
    <t>SCHEPKER ELIZABETH DR.</t>
  </si>
  <si>
    <t>Kramer, Lawrence D</t>
  </si>
  <si>
    <t>Cloutier-Champagne, Laurence</t>
  </si>
  <si>
    <t>Schwartz-Moser, Laurie</t>
  </si>
  <si>
    <t>Dena, Hanna</t>
  </si>
  <si>
    <t>E0324930</t>
  </si>
  <si>
    <t>HANNA DENA SHERIF</t>
  </si>
  <si>
    <t>HANNA DENA</t>
  </si>
  <si>
    <t>68 DEAN ST</t>
  </si>
  <si>
    <t>Lee, Alan, RD</t>
  </si>
  <si>
    <t>E0378035</t>
  </si>
  <si>
    <t>LEE ALAN W</t>
  </si>
  <si>
    <t>LEE ALAN MR.</t>
  </si>
  <si>
    <t>1824 MADISON AVE FL 3</t>
  </si>
  <si>
    <t>Rider, Amanda, PA</t>
  </si>
  <si>
    <t>E0353488</t>
  </si>
  <si>
    <t>RIDER AMANDA MARIE</t>
  </si>
  <si>
    <t>RIDER AMANDA</t>
  </si>
  <si>
    <t>Hipkens, Sarah, MD</t>
  </si>
  <si>
    <t>E0395465</t>
  </si>
  <si>
    <t>HIPKENS SARAH</t>
  </si>
  <si>
    <t>Aliaga, Leticia, RD/CDE</t>
  </si>
  <si>
    <t>E0377821</t>
  </si>
  <si>
    <t>ALIAGA LETICIA</t>
  </si>
  <si>
    <t>ALIAGA LETICIA MISS</t>
  </si>
  <si>
    <t>Ciment, Avraham, DPM</t>
  </si>
  <si>
    <t>E0048307</t>
  </si>
  <si>
    <t>CIMENT AVRAHAM YITCHAK  DPM</t>
  </si>
  <si>
    <t>CIMENT AVRAHAM</t>
  </si>
  <si>
    <t>CIMENT AVRAHAM YITZCHAK</t>
  </si>
  <si>
    <t xml:space="preserve">Walsh, Margaret, FNP </t>
  </si>
  <si>
    <t>E0124686</t>
  </si>
  <si>
    <t>WALSH MARGARET MARY</t>
  </si>
  <si>
    <t>WALSH MARGARET</t>
  </si>
  <si>
    <t>Kramer, Arin, FNP</t>
  </si>
  <si>
    <t>E0290536</t>
  </si>
  <si>
    <t>KRAMER ARIN</t>
  </si>
  <si>
    <t xml:space="preserve">McGeough, Christina, RD, CDE </t>
  </si>
  <si>
    <t>E0372135</t>
  </si>
  <si>
    <t>MCGEOUGH CHRISTINA ANN</t>
  </si>
  <si>
    <t>MCGEOUGH CHRISTINA MS.</t>
  </si>
  <si>
    <t>Garay, Miryam, PA</t>
  </si>
  <si>
    <t>E0390696</t>
  </si>
  <si>
    <t>GARAY MIRYAM D</t>
  </si>
  <si>
    <t>GARAY MIRYAM</t>
  </si>
  <si>
    <t>497 WESTPORT AVE</t>
  </si>
  <si>
    <t>Watkins, Isheka S., FNP</t>
  </si>
  <si>
    <t>E0332858</t>
  </si>
  <si>
    <t>WATKINS ISHEKA S</t>
  </si>
  <si>
    <t>WATKINS ISHEKA</t>
  </si>
  <si>
    <t>David Emanuel</t>
  </si>
  <si>
    <t>515 Audubon Ave</t>
  </si>
  <si>
    <t>Lafayette Medical Approach, LLC</t>
  </si>
  <si>
    <t>E0371338</t>
  </si>
  <si>
    <t>LAFAYETTE MEDICAL APPROACH LLC</t>
  </si>
  <si>
    <t>Jennifer Hudson</t>
  </si>
  <si>
    <t>(212) 966-7193</t>
  </si>
  <si>
    <t>jhudson@lafayettemedical.org</t>
  </si>
  <si>
    <t>233 LAFAYETTE ST</t>
  </si>
  <si>
    <t>Joseph Evans</t>
  </si>
  <si>
    <t>(212) 431-6177</t>
  </si>
  <si>
    <t>EVANS JOSEPH</t>
  </si>
  <si>
    <t>101 W 128TH ST, 2C</t>
  </si>
  <si>
    <t>Miller, Karl W.</t>
  </si>
  <si>
    <t>E0421007</t>
  </si>
  <si>
    <t>MILLER KARL WAYNE</t>
  </si>
  <si>
    <t>Lolita Silva-Vazquez</t>
  </si>
  <si>
    <t>MILLER KARL MR.</t>
  </si>
  <si>
    <t>435 2ND AVE FL 3</t>
  </si>
  <si>
    <t>Junie Kernisan</t>
  </si>
  <si>
    <t>106 West Street</t>
  </si>
  <si>
    <t>Martin de Porres Group Homes</t>
  </si>
  <si>
    <t>Br. Philip Rofrano</t>
  </si>
  <si>
    <t>Mediquip, Inc.</t>
  </si>
  <si>
    <t>E0339659</t>
  </si>
  <si>
    <t>MEDIQUIP INC</t>
  </si>
  <si>
    <t>Sonia Carrero</t>
  </si>
  <si>
    <t>(516) 341-0433</t>
  </si>
  <si>
    <t>sonia@mediquiphomecare.com</t>
  </si>
  <si>
    <t>MEDIQUIP, INC</t>
  </si>
  <si>
    <t>280 BROADWAY STE D</t>
  </si>
  <si>
    <t>Mental Health Providers of Western Queens, Inc. (P.S. 111Q Satellite)</t>
  </si>
  <si>
    <t>John Lavin, LCSW-R</t>
  </si>
  <si>
    <t>37-15 13th Street, Room 313</t>
  </si>
  <si>
    <t>Long Island City</t>
  </si>
  <si>
    <t>Mental Health Providers of Western Queens, Inc. (Information Technology High School Satellite)</t>
  </si>
  <si>
    <t>21-16 44th Road, Room 103E</t>
  </si>
  <si>
    <t>Mental Health Providers of Western Queens, Inc. (P.S. 199 Satellite)</t>
  </si>
  <si>
    <t>39-20 48th Avenue, Room G3</t>
  </si>
  <si>
    <t>Sunnyside</t>
  </si>
  <si>
    <t>Mental Health Providers of Western Queens, Inc. (I.S. 5Q Satellite)</t>
  </si>
  <si>
    <t>50-49 Jacobus Street, Rooms B314 &amp; A408</t>
  </si>
  <si>
    <t>Elmhurst</t>
  </si>
  <si>
    <t>SUSANDUMMITT</t>
  </si>
  <si>
    <t>E0034302</t>
  </si>
  <si>
    <t>DUMMITT SUSAN</t>
  </si>
  <si>
    <t>DUMMITT SUSAN DR.</t>
  </si>
  <si>
    <t>80TH       ST &amp; 41ST</t>
  </si>
  <si>
    <t>ANNIEFEDER</t>
  </si>
  <si>
    <t>E0325357</t>
  </si>
  <si>
    <t>FEDER ANNIE F</t>
  </si>
  <si>
    <t>FEDER ANNIE</t>
  </si>
  <si>
    <t>MARJORIEGOLD</t>
  </si>
  <si>
    <t>HELENEGROSS</t>
  </si>
  <si>
    <t>E0084376</t>
  </si>
  <si>
    <t>GROSS HELENE L CNM</t>
  </si>
  <si>
    <t>GROSS HELENE</t>
  </si>
  <si>
    <t>GROSS HELENE LINDA CNM</t>
  </si>
  <si>
    <t>ADAMJACOBS</t>
  </si>
  <si>
    <t>E0117197</t>
  </si>
  <si>
    <t>JACOBS ADAM R MD</t>
  </si>
  <si>
    <t>JACOBS ADAM</t>
  </si>
  <si>
    <t>ELIZABETHKAHN</t>
  </si>
  <si>
    <t>E0039462</t>
  </si>
  <si>
    <t>KAHN ELIZABETH J</t>
  </si>
  <si>
    <t>KAHN ELIZABETH MS.</t>
  </si>
  <si>
    <t>KAHN ELIZABETH JOAN</t>
  </si>
  <si>
    <t>BERNADETTEKANE</t>
  </si>
  <si>
    <t>E0045424</t>
  </si>
  <si>
    <t>KANE BERNADETTE G</t>
  </si>
  <si>
    <t>KANE BERNADETTE MS.</t>
  </si>
  <si>
    <t>DENAKRANZBERG</t>
  </si>
  <si>
    <t>E0362819</t>
  </si>
  <si>
    <t>KRANZBERG DENA ROSE</t>
  </si>
  <si>
    <t>KRANZBERG DENA</t>
  </si>
  <si>
    <t>VANITAKUMAR</t>
  </si>
  <si>
    <t>E0156059</t>
  </si>
  <si>
    <t>GIDWANI UMESH K MD</t>
  </si>
  <si>
    <t>GIDWANI UMESH</t>
  </si>
  <si>
    <t>GIDWANI UMESH KHUBCHAND</t>
  </si>
  <si>
    <t>E0064241</t>
  </si>
  <si>
    <t>CHOUDHURY SOURAB PATRICK DO</t>
  </si>
  <si>
    <t>ChoudhurySourab</t>
  </si>
  <si>
    <t>CHOUDHURY SOURAB</t>
  </si>
  <si>
    <t>SPECIALIST PEDS/LICH</t>
  </si>
  <si>
    <t>E0030528</t>
  </si>
  <si>
    <t>HARPAZ NOAM   MD</t>
  </si>
  <si>
    <t>HarpazNoam</t>
  </si>
  <si>
    <t>HARPAZ NOAM</t>
  </si>
  <si>
    <t>1423 30 ADISON AVE ATRAN 6</t>
  </si>
  <si>
    <t>E0222113</t>
  </si>
  <si>
    <t>ZITNER DEBORAH             MD</t>
  </si>
  <si>
    <t>ZitnerDeborah</t>
  </si>
  <si>
    <t>ZITNER DEBORAH DR.</t>
  </si>
  <si>
    <t>NSMG PC</t>
  </si>
  <si>
    <t>Schorr-LesnickBeth</t>
  </si>
  <si>
    <t>E0088488</t>
  </si>
  <si>
    <t>LEE EDMUND MD</t>
  </si>
  <si>
    <t>LeeEdmund</t>
  </si>
  <si>
    <t>LEE EDMUND DR.</t>
  </si>
  <si>
    <t>E0045262</t>
  </si>
  <si>
    <t>RASTOGI SHOBIT MD</t>
  </si>
  <si>
    <t>RastogiShobit</t>
  </si>
  <si>
    <t>RASTOGI SHOBIT DR.</t>
  </si>
  <si>
    <t>RASTOGI SHOBIT</t>
  </si>
  <si>
    <t>304 FULLERTON AVE</t>
  </si>
  <si>
    <t>E0175396</t>
  </si>
  <si>
    <t>GELB BRUCE D MD</t>
  </si>
  <si>
    <t>GelbBruce</t>
  </si>
  <si>
    <t>GELB BRUCE</t>
  </si>
  <si>
    <t>E0382755</t>
  </si>
  <si>
    <t>CARABELLO BLASE</t>
  </si>
  <si>
    <t>CarabelloBlase</t>
  </si>
  <si>
    <t>CARABELLO BLASE DR.</t>
  </si>
  <si>
    <t>CARABELLO BLASE ANTHONY</t>
  </si>
  <si>
    <t>E0310254</t>
  </si>
  <si>
    <t>STROSTRUP ANN MARIE</t>
  </si>
  <si>
    <t>StroustrupAnnemarie</t>
  </si>
  <si>
    <t>STROUSTRUP ANNEMARIE</t>
  </si>
  <si>
    <t>STROUSTRUP SMITH  ANN MARIE</t>
  </si>
  <si>
    <t>E0371091</t>
  </si>
  <si>
    <t>LIN JUDITH C</t>
  </si>
  <si>
    <t>LinJudith</t>
  </si>
  <si>
    <t>LIN JUDITH</t>
  </si>
  <si>
    <t>E0323347</t>
  </si>
  <si>
    <t>REID PAULA</t>
  </si>
  <si>
    <t>ReidPaula</t>
  </si>
  <si>
    <t>E0079860</t>
  </si>
  <si>
    <t>DEGREGORIO PAOLA RPA</t>
  </si>
  <si>
    <t>DeGregorioPaola</t>
  </si>
  <si>
    <t>DEGREGORIO PAOLA MS.</t>
  </si>
  <si>
    <t>Karen Woodburn-Hourie</t>
  </si>
  <si>
    <t>E0127661</t>
  </si>
  <si>
    <t>WOODBURN-HOURIE KAREN MD</t>
  </si>
  <si>
    <t>WOODBURN-HOURIE KAREN</t>
  </si>
  <si>
    <t>2915 FAR ROCKAWAY BLVD</t>
  </si>
  <si>
    <t>Melinda Huang</t>
  </si>
  <si>
    <t>E0064303</t>
  </si>
  <si>
    <t>HUANG MELINDA MD</t>
  </si>
  <si>
    <t>HUANG MELINDA DR.</t>
  </si>
  <si>
    <t>Vikrant Khanderia</t>
  </si>
  <si>
    <t>E0048936</t>
  </si>
  <si>
    <t>KHANDERIA VIKR</t>
  </si>
  <si>
    <t>KHANDERIA VIKRANT</t>
  </si>
  <si>
    <t>Tolulope Ojeyemi</t>
  </si>
  <si>
    <t>E0299325</t>
  </si>
  <si>
    <t>OJEYEMI TOLULOPE DAMILOLA</t>
  </si>
  <si>
    <t>OJEYEMI TOLULOPE MS.</t>
  </si>
  <si>
    <t>Mental Health Providers of Western Queens, Inc. (The International H.S. &amp; Middle School Satellite)</t>
  </si>
  <si>
    <t>45-35 Van Dam Street, Rooms 106 &amp; 116C</t>
  </si>
  <si>
    <t>Mental Health Providers of Western Queens, Inc. (P.S. 151 Satellite)</t>
  </si>
  <si>
    <t>50-05 31st Avenue, Rooms 432 &amp; 351A</t>
  </si>
  <si>
    <t>Woodside</t>
  </si>
  <si>
    <t>Mental Health Providers of Western Queens, Inc. (P.S. 166 Satellite)</t>
  </si>
  <si>
    <t>33-09 35th Avenue, Room 219</t>
  </si>
  <si>
    <t>Mental Health Providers of Western Queens, Inc. (I.S. 162 Satellite)</t>
  </si>
  <si>
    <t>1390 Willoughby Avenue, Room 110B</t>
  </si>
  <si>
    <t>Mental Health Providers of Western Queens, Inc. (P.S./I.S. 102 Satellite)</t>
  </si>
  <si>
    <t>55-24 Van Horne Street, Room 227A</t>
  </si>
  <si>
    <t>Mental Health Providers of Western Queens, Inc.  (Western Queens Recovery Services)</t>
  </si>
  <si>
    <t>62-07 Woodside Avenue, 4th Floor</t>
  </si>
  <si>
    <t>New Alternatives for Children</t>
  </si>
  <si>
    <t>Ashley Golub</t>
  </si>
  <si>
    <t>agolub@nackidscan.org</t>
  </si>
  <si>
    <t>Timothy Giacchetta</t>
  </si>
  <si>
    <t>tgiacchetta@berkshirefarm.org</t>
  </si>
  <si>
    <t>April Harvin</t>
  </si>
  <si>
    <t>aharvin@nackidscan.org</t>
  </si>
  <si>
    <t>HARVIN APRIL</t>
  </si>
  <si>
    <t>37 W 26TH ST, 6TH FLOOR</t>
  </si>
  <si>
    <t>Porizkova, Anna Marie</t>
  </si>
  <si>
    <t>Canlas, Aurora Juliana</t>
  </si>
  <si>
    <t>E0342013</t>
  </si>
  <si>
    <t>CANLAS AURORA JULIANA</t>
  </si>
  <si>
    <t>POP AURORA DR.</t>
  </si>
  <si>
    <t>Educational Alliance, Inc.</t>
  </si>
  <si>
    <t>E0022922</t>
  </si>
  <si>
    <t>EDUCATIONAL ALLIANCE, INC</t>
  </si>
  <si>
    <t>Caroline Hood</t>
  </si>
  <si>
    <t>(646) 395-4384</t>
  </si>
  <si>
    <t>Caroline_Hood@edalliance.org</t>
  </si>
  <si>
    <t>THE EDUCATIONAL ALLIANCE, INC.</t>
  </si>
  <si>
    <t>371 E 10TH ST</t>
  </si>
  <si>
    <t>Flournoy Consultations, PLLC</t>
  </si>
  <si>
    <t>Sherri M. Flournoy, LCSWR</t>
  </si>
  <si>
    <t>FLOURNOY CONSULTATION</t>
  </si>
  <si>
    <t>87-86 188TH STREET, 1ST LEVEL</t>
  </si>
  <si>
    <t>Housing Works Lower Manhattan ADHCP</t>
  </si>
  <si>
    <t>E0136483</t>
  </si>
  <si>
    <t>HOUSING WORKS SVC II AADC</t>
  </si>
  <si>
    <t>HOUSING WORKS SERVICES II INC</t>
  </si>
  <si>
    <t>57 WILLOUGHBY ST</t>
  </si>
  <si>
    <t>Housing Works East 9th Street ADHCP</t>
  </si>
  <si>
    <t>E0124799</t>
  </si>
  <si>
    <t>HOUSING WORKS SER,INC AADC</t>
  </si>
  <si>
    <t>HOUSING WORKS SERVICES INC</t>
  </si>
  <si>
    <t>743-749 E 9TH ST</t>
  </si>
  <si>
    <t>New York Eye and Ear Infirmary</t>
  </si>
  <si>
    <t>E0274066</t>
  </si>
  <si>
    <t>N Y EYE AND EAR INFIRMARY</t>
  </si>
  <si>
    <t>All Other:: Case Management / Health Home:: Clinic:: Hospital:: Pharmacy</t>
  </si>
  <si>
    <t>NEW YORK EYE &amp; EAR INFIRMARY</t>
  </si>
  <si>
    <t>Queens Boulevard Extended Care Facility Management, LLC</t>
  </si>
  <si>
    <t>Jonathan Mawere, LNHA, DPT, MD</t>
  </si>
  <si>
    <t>(718) 205-0287</t>
  </si>
  <si>
    <t>Jmawere@QBECF.com</t>
  </si>
  <si>
    <t>QUEENS BLVD EXT CARE FACILITY MANAGEMENT LLC</t>
  </si>
  <si>
    <t>Samaritan Village, Inc.</t>
  </si>
  <si>
    <t>(212) 907-1500</t>
  </si>
  <si>
    <t>dsullivan@daytop.org</t>
  </si>
  <si>
    <t>500 8TH AVE, SUITE 300</t>
  </si>
  <si>
    <t>Ahmed Abdel Fadil</t>
  </si>
  <si>
    <t>E0100759</t>
  </si>
  <si>
    <t>ABDEL-FADIL AHMED ALY MD</t>
  </si>
  <si>
    <t>Ahmed  Abdel Fadil</t>
  </si>
  <si>
    <t>ABDELFADIL AHMED</t>
  </si>
  <si>
    <t>6565 FANNIN ST</t>
  </si>
  <si>
    <t>David Edelstein</t>
  </si>
  <si>
    <t>E0190086</t>
  </si>
  <si>
    <t>EDELSTEIN DAVID JOSEPH MD</t>
  </si>
  <si>
    <t>EDELSTEIN DAVID</t>
  </si>
  <si>
    <t>Sheila Natbony</t>
  </si>
  <si>
    <t>E0116165</t>
  </si>
  <si>
    <t>NATBONY SHEILA MD</t>
  </si>
  <si>
    <t>NATBONY SHEILA</t>
  </si>
  <si>
    <t>300 BAYSHORE ROAD</t>
  </si>
  <si>
    <t>NORTH BABYLO</t>
  </si>
  <si>
    <t>Tony Cheung</t>
  </si>
  <si>
    <t>E0196844</t>
  </si>
  <si>
    <t>CHEUNG TONY W              MD</t>
  </si>
  <si>
    <t>CHEUNG TONY</t>
  </si>
  <si>
    <t>26911 76TH AVE</t>
  </si>
  <si>
    <t xml:space="preserve">Emmanuelle  Gilles </t>
  </si>
  <si>
    <t>E0314078</t>
  </si>
  <si>
    <t>GILLES EMMANUELLE</t>
  </si>
  <si>
    <t xml:space="preserve">Alan  Egelman </t>
  </si>
  <si>
    <t>E0116152</t>
  </si>
  <si>
    <t>EGELMAN ALAN D MD</t>
  </si>
  <si>
    <t>EGELMAN ALAN</t>
  </si>
  <si>
    <t>Keith Dahl</t>
  </si>
  <si>
    <t>E0321077</t>
  </si>
  <si>
    <t>DAHL KEITH</t>
  </si>
  <si>
    <t>DAHL KEITH DR.</t>
  </si>
  <si>
    <t>DAHL KEITH J</t>
  </si>
  <si>
    <t>Diana Duvivier</t>
  </si>
  <si>
    <t>Forest Hills Medical Office</t>
  </si>
  <si>
    <t xml:space="preserve">Maria Pecora </t>
  </si>
  <si>
    <t>E0217131</t>
  </si>
  <si>
    <t>PECORA MARIA NANCY DPM</t>
  </si>
  <si>
    <t>PECORA MARIA DR.</t>
  </si>
  <si>
    <t>PECORA MARIA NANCY</t>
  </si>
  <si>
    <t>Michael Crismali</t>
  </si>
  <si>
    <t>E0213208</t>
  </si>
  <si>
    <t>CRISMALI MICHAEL C         MD</t>
  </si>
  <si>
    <t>CRISMALI MICHAEL</t>
  </si>
  <si>
    <t>PARK AVE MED GRP</t>
  </si>
  <si>
    <t>David Immanuel</t>
  </si>
  <si>
    <t>E0044876</t>
  </si>
  <si>
    <t>IMMANUEL DAVID MD</t>
  </si>
  <si>
    <t>IMMANUEL DAVID DR.</t>
  </si>
  <si>
    <t>183 BROADWAY</t>
  </si>
  <si>
    <t xml:space="preserve">Suchitra  Kamath </t>
  </si>
  <si>
    <t>E0007503</t>
  </si>
  <si>
    <t>KAMATH SUCHITRA</t>
  </si>
  <si>
    <t>KAMATH SUCHITRA MS.</t>
  </si>
  <si>
    <t>Ana Guerra</t>
  </si>
  <si>
    <t>E0287442</t>
  </si>
  <si>
    <t>GUERRA ANA</t>
  </si>
  <si>
    <t>GUERRA ANA CRISTINA MD</t>
  </si>
  <si>
    <t>Heidi Tastet</t>
  </si>
  <si>
    <t>E0390446</t>
  </si>
  <si>
    <t>TASTET HEIDI HOPE</t>
  </si>
  <si>
    <t>TASTET HEIDI</t>
  </si>
  <si>
    <t>Awilda Urena</t>
  </si>
  <si>
    <t>E0008369</t>
  </si>
  <si>
    <t>URENA AWILDA RPA</t>
  </si>
  <si>
    <t>URENA AWILDA</t>
  </si>
  <si>
    <t>Peter Wharton</t>
  </si>
  <si>
    <t>WHARTON PETER MR.</t>
  </si>
  <si>
    <t>Stephen Haug</t>
  </si>
  <si>
    <t>E0170406</t>
  </si>
  <si>
    <t>HAUG STEPHEN J MD</t>
  </si>
  <si>
    <t>HAUG STEPHEN</t>
  </si>
  <si>
    <t>HAUG STEPHEN JOHN MD</t>
  </si>
  <si>
    <t>Gregg Gordon</t>
  </si>
  <si>
    <t>E0180813</t>
  </si>
  <si>
    <t>GORDON GREGG E  MD</t>
  </si>
  <si>
    <t>GORDON GREGG DR.</t>
  </si>
  <si>
    <t xml:space="preserve">Sejal Kadam </t>
  </si>
  <si>
    <t>E0026712</t>
  </si>
  <si>
    <t>KADAM SEJAL MD</t>
  </si>
  <si>
    <t>KADAM SEJAL</t>
  </si>
  <si>
    <t>Irina Kissin</t>
  </si>
  <si>
    <t>E0295165</t>
  </si>
  <si>
    <t>IRINA KISSIN</t>
  </si>
  <si>
    <t>KISSIN IRINA</t>
  </si>
  <si>
    <t>Darshan Vairavamurthy</t>
  </si>
  <si>
    <t>E0387213</t>
  </si>
  <si>
    <t>VAIRAVAMURTHY DARSHAN</t>
  </si>
  <si>
    <t>VAIRAVAMURTHY DARSHAN DR.</t>
  </si>
  <si>
    <t>Scott Kerstetter</t>
  </si>
  <si>
    <t>E0113744</t>
  </si>
  <si>
    <t>KERSTETTER SCOTT D DO</t>
  </si>
  <si>
    <t>KERSTETTER SCOTT</t>
  </si>
  <si>
    <t>KERSTETTER SCOTT DAVID</t>
  </si>
  <si>
    <t xml:space="preserve">Maureen O'Neill </t>
  </si>
  <si>
    <t>E0014363</t>
  </si>
  <si>
    <t>O'NEILL MAUREEN ANN</t>
  </si>
  <si>
    <t>ONEILL MAUREEN</t>
  </si>
  <si>
    <t>ONEILL MAUREEN ANN</t>
  </si>
  <si>
    <t>Marc Brenner</t>
  </si>
  <si>
    <t>E0098789</t>
  </si>
  <si>
    <t>BRENNER MARC</t>
  </si>
  <si>
    <t>BRENNER MARC DR.</t>
  </si>
  <si>
    <t>Lise Vincent</t>
  </si>
  <si>
    <t>E0088337</t>
  </si>
  <si>
    <t>VINCENT LISE DPM</t>
  </si>
  <si>
    <t>VINCENT LISE DR.</t>
  </si>
  <si>
    <t>VINCENT LISE</t>
  </si>
  <si>
    <t>1685 GRAND AVE STE B</t>
  </si>
  <si>
    <t>E0066116</t>
  </si>
  <si>
    <t>PRASAD RAJIV MD</t>
  </si>
  <si>
    <t>PRASAD RAJIV DR.</t>
  </si>
  <si>
    <t>MSHQ EMERGENCY</t>
  </si>
  <si>
    <t>E0108005</t>
  </si>
  <si>
    <t>MOLOFSKY WALTER J MD</t>
  </si>
  <si>
    <t>MolofskyWalterJ.</t>
  </si>
  <si>
    <t>MOLOFSKY WALTER</t>
  </si>
  <si>
    <t>E0115111</t>
  </si>
  <si>
    <t>TACK KEVIN L</t>
  </si>
  <si>
    <t>TACK KEVIN</t>
  </si>
  <si>
    <t xml:space="preserve">Settlement Health </t>
  </si>
  <si>
    <t>E0263670</t>
  </si>
  <si>
    <t>Ana Amalia Trilla</t>
  </si>
  <si>
    <t>SETTLEMENT HEALTH AND MEDICAL SERVICES, INC.</t>
  </si>
  <si>
    <t>Sinergia, Inc.</t>
  </si>
  <si>
    <t>Donald A. Lash, Esq</t>
  </si>
  <si>
    <t>(212) 643-2840</t>
  </si>
  <si>
    <t>dlash@sinergiany.org</t>
  </si>
  <si>
    <t>SINERGIA, INC</t>
  </si>
  <si>
    <t>134 W 29TH ST FL 4</t>
  </si>
  <si>
    <t>Hamid Moaliem</t>
  </si>
  <si>
    <t>E0157686</t>
  </si>
  <si>
    <t>MOALLEM HAMID JACK</t>
  </si>
  <si>
    <t>(718) 270-1625</t>
  </si>
  <si>
    <t>MOALLEM HAMID JACK DR.</t>
  </si>
  <si>
    <t>HSC AT BROOKLYN</t>
  </si>
  <si>
    <t>Ernest L. Sink</t>
  </si>
  <si>
    <t>E0319416</t>
  </si>
  <si>
    <t>SINK ERNEST LOUMAINE</t>
  </si>
  <si>
    <t>SINK ERNEST</t>
  </si>
  <si>
    <t>SUNY College of Optometry - University Eye Center</t>
  </si>
  <si>
    <t>Richard Soden,OD</t>
  </si>
  <si>
    <t>rsoden@sunyopt.edu</t>
  </si>
  <si>
    <t>TBHC 61st Street Family Health Center</t>
  </si>
  <si>
    <t>E0053990</t>
  </si>
  <si>
    <t>CALEDONIAN COMM HLTH CTR INC</t>
  </si>
  <si>
    <t>CALEDONIAN HEALTH CENTER</t>
  </si>
  <si>
    <t>TBHC Amulatory Care Center</t>
  </si>
  <si>
    <t>E0322105</t>
  </si>
  <si>
    <t>TBHC PHYSICIAN SERVICES</t>
  </si>
  <si>
    <t>TBHC PHYSICIAN SERVICES PC</t>
  </si>
  <si>
    <t>TBHC Family Medicine Center</t>
  </si>
  <si>
    <t>E0090381</t>
  </si>
  <si>
    <t>TBHC MEDICAL SERVICES P C</t>
  </si>
  <si>
    <t>TBHC MEDICAL SERVICES, PC</t>
  </si>
  <si>
    <t>TBHC MEDICAL SERVICES PC</t>
  </si>
  <si>
    <t>TBHC Childrens Health Center</t>
  </si>
  <si>
    <t>E0297532</t>
  </si>
  <si>
    <t>TBHC PEDIATRIC SERVICES PC</t>
  </si>
  <si>
    <t>TBHC PEDIATRIC SERVICES</t>
  </si>
  <si>
    <t>E0226224</t>
  </si>
  <si>
    <t>UNION SETTLEMENT ASSO     INC</t>
  </si>
  <si>
    <t xml:space="preserve">Linda Embry </t>
  </si>
  <si>
    <t>(212) 828-6148</t>
  </si>
  <si>
    <t>lembry@unionsettlement.org</t>
  </si>
  <si>
    <t>UNION SETTLEMENT ASSOCIATION</t>
  </si>
  <si>
    <t>UNION SETTLEMENT ASSOC INC</t>
  </si>
  <si>
    <t>JOHNSON COUNS CL</t>
  </si>
  <si>
    <t>Michele Long</t>
  </si>
  <si>
    <t>mlong@nackidscan.org</t>
  </si>
  <si>
    <t>Carol Turner</t>
  </si>
  <si>
    <t>cturner@nackidscan.org</t>
  </si>
  <si>
    <t>E0306959</t>
  </si>
  <si>
    <t>PACIFICI AMY</t>
  </si>
  <si>
    <t>Amy Pacific</t>
  </si>
  <si>
    <t>apacifici@nackidscan.org</t>
  </si>
  <si>
    <t>37 WEST 26H STREET</t>
  </si>
  <si>
    <t>E0306907</t>
  </si>
  <si>
    <t>WOLFE LISA</t>
  </si>
  <si>
    <t>Lisa Wolfe</t>
  </si>
  <si>
    <t>Lwolfe@nackidscan.org</t>
  </si>
  <si>
    <t>Linda Peck</t>
  </si>
  <si>
    <t>lpeck@nackidscan.org</t>
  </si>
  <si>
    <t>PECK LINDA</t>
  </si>
  <si>
    <t>Suah Kim</t>
  </si>
  <si>
    <t>skim@nackidscan.org</t>
  </si>
  <si>
    <t>Lauren Passoff</t>
  </si>
  <si>
    <t>lpassoff@nackidscan.org</t>
  </si>
  <si>
    <t>PASSOFF LAUREN MS.</t>
  </si>
  <si>
    <t>Yadira Santillan</t>
  </si>
  <si>
    <t>ysantillan@nackidscan.org</t>
  </si>
  <si>
    <t>Nydia Mendez</t>
  </si>
  <si>
    <t>nmendez@nackidscan.org</t>
  </si>
  <si>
    <t>37 West 26th St.</t>
  </si>
  <si>
    <t>Allyson Cohen</t>
  </si>
  <si>
    <t>acohen@nackidscan.org</t>
  </si>
  <si>
    <t>COHEN ALYSON</t>
  </si>
  <si>
    <t>19 GREENRIDGE AVE</t>
  </si>
  <si>
    <t>Robin Einhorn</t>
  </si>
  <si>
    <t>reinhorn@nackidscan.org</t>
  </si>
  <si>
    <t>EINHORN ROBIN</t>
  </si>
  <si>
    <t>2586 36TH ST, 1F</t>
  </si>
  <si>
    <t>Dr. Ira Rothfield</t>
  </si>
  <si>
    <t>31-28 29th Street</t>
  </si>
  <si>
    <t>Dr. Nimesh Patel</t>
  </si>
  <si>
    <t xml:space="preserve">108-44 63 Drive </t>
  </si>
  <si>
    <t>ADENA BARGAD</t>
  </si>
  <si>
    <t>Mary Nordenberg</t>
  </si>
  <si>
    <t>26 BLEECKER STREET</t>
  </si>
  <si>
    <t>E0076569</t>
  </si>
  <si>
    <t>PUROHIT DUSHYANT P</t>
  </si>
  <si>
    <t>PUROHIT DUSHYANT DR.</t>
  </si>
  <si>
    <t>E0218077</t>
  </si>
  <si>
    <t>PLAITAKIS ANDREAS          MD</t>
  </si>
  <si>
    <t>PLAITAKIS ANDREAS</t>
  </si>
  <si>
    <t>LutheranSocialServicesofMetropolitanNewYork</t>
  </si>
  <si>
    <t>AnnFerguson</t>
  </si>
  <si>
    <t>aferguson@lssny.org</t>
  </si>
  <si>
    <t>Marcos Maltez</t>
  </si>
  <si>
    <t>(718) 980-2310</t>
  </si>
  <si>
    <t>mmaltez@phhc.com</t>
  </si>
  <si>
    <t>1369 North Railroad Ave</t>
  </si>
  <si>
    <t>E0172610</t>
  </si>
  <si>
    <t>ST CHRISTOPHERS OTTILIE KEW</t>
  </si>
  <si>
    <t>KEW GARDENS ICF</t>
  </si>
  <si>
    <t>The Mary Manning Walsh Nursing Home Company, Inc.</t>
  </si>
  <si>
    <t>E0267881</t>
  </si>
  <si>
    <t>MARY MANNING WALSH NURSING HO</t>
  </si>
  <si>
    <t>Mike Monahan</t>
  </si>
  <si>
    <t>mmonahan@archcare.org</t>
  </si>
  <si>
    <t>MARY MANNING WALSH NURSING HOME CO INC</t>
  </si>
  <si>
    <t>The New York Foundling Hospital-8 Duryea</t>
  </si>
  <si>
    <t>Shore View Acquistion 1, LLC d/b/a Shore View Nursing and Rehilitation Center</t>
  </si>
  <si>
    <t>Boro Park Center for Rehabilitation and Health Care</t>
  </si>
  <si>
    <t>Elderplan Inc.</t>
  </si>
  <si>
    <t xml:space="preserve">Family Home Health Care, Inc. </t>
  </si>
  <si>
    <t xml:space="preserve">Homefirst LHCSA, Inc. dba MJHS License Home Care Services Agency </t>
  </si>
  <si>
    <t>Nicole Anziani</t>
  </si>
  <si>
    <t>ANZIANI NICOLE</t>
  </si>
  <si>
    <t xml:space="preserve">Everick Ayala-Bustamante </t>
  </si>
  <si>
    <t>E0345270</t>
  </si>
  <si>
    <t>AYALA-BUSTAMANTE EVERICK</t>
  </si>
  <si>
    <t xml:space="preserve">Janet  Regan-Livingston </t>
  </si>
  <si>
    <t>E0080398</t>
  </si>
  <si>
    <t>REGAN-LIVINGSTON JANET LYNN</t>
  </si>
  <si>
    <t>REGAN-LIVINGSTON JANET</t>
  </si>
  <si>
    <t xml:space="preserve">Maryanne  Ruggiero-Delliturri </t>
  </si>
  <si>
    <t>E0129562</t>
  </si>
  <si>
    <t>RUGGIERO-DELLITURRI MARYANNE</t>
  </si>
  <si>
    <t>E0277296</t>
  </si>
  <si>
    <t>FUTTERMAN HENRY A          MD</t>
  </si>
  <si>
    <t>FUTTERMAN HENRY</t>
  </si>
  <si>
    <t>210 64TH ST</t>
  </si>
  <si>
    <t>E0293992</t>
  </si>
  <si>
    <t>FORMAN EDWIN</t>
  </si>
  <si>
    <t>FORMAN EDWIN N MD</t>
  </si>
  <si>
    <t>ONE GUSTAVE L. LEVY PLACE #1208</t>
  </si>
  <si>
    <t>FrancisDevito</t>
  </si>
  <si>
    <t>E0116061</t>
  </si>
  <si>
    <t>DEVITO FRANCIS</t>
  </si>
  <si>
    <t>BurhteynIlya</t>
  </si>
  <si>
    <t>E0100390</t>
  </si>
  <si>
    <t>BURSHTEYN ILYA YAKOV MD</t>
  </si>
  <si>
    <t>BURSHTEYN ILYA DR.</t>
  </si>
  <si>
    <t>105-25 64TH AVE</t>
  </si>
  <si>
    <t>JafferMobeen</t>
  </si>
  <si>
    <t>E0316001</t>
  </si>
  <si>
    <t>MOBEEN JAFFAR</t>
  </si>
  <si>
    <t>MOBEEN JAFFER</t>
  </si>
  <si>
    <t>LanceAusitn</t>
  </si>
  <si>
    <t>E0163283</t>
  </si>
  <si>
    <t>AUSTEIN LANCE</t>
  </si>
  <si>
    <t>AUSTEIN LANCE DR.</t>
  </si>
  <si>
    <t>AUSTEIN LANCE MD</t>
  </si>
  <si>
    <t>MohammadNiaz</t>
  </si>
  <si>
    <t>E0128657</t>
  </si>
  <si>
    <t>NIAZ MOHAMMAD KHALID MD</t>
  </si>
  <si>
    <t>NIAZ MOHAMMAD</t>
  </si>
  <si>
    <t>AmarjitSingh</t>
  </si>
  <si>
    <t>AslerRudowsky</t>
  </si>
  <si>
    <t>E0324469</t>
  </si>
  <si>
    <t>RUDOWSKY ASHER</t>
  </si>
  <si>
    <t>RUDOWSKY ASHER DR.</t>
  </si>
  <si>
    <t>E0359234</t>
  </si>
  <si>
    <t>DE CLARO DANILYNN</t>
  </si>
  <si>
    <t>DE CLARO DANILYNN DR.</t>
  </si>
  <si>
    <t>DE CLARO DANILYNN GONZALES</t>
  </si>
  <si>
    <t>75-59 263RD ST #74TH AVE</t>
  </si>
  <si>
    <t>E0392302</t>
  </si>
  <si>
    <t>MCKELVEY JENNIFER S</t>
  </si>
  <si>
    <t>McKelveyJennifer</t>
  </si>
  <si>
    <t>MCKELVEY JENNIFER</t>
  </si>
  <si>
    <t>MCKELVEY JENNIFER SU</t>
  </si>
  <si>
    <t>SaccenteErica</t>
  </si>
  <si>
    <t>RalatRyan</t>
  </si>
  <si>
    <t>RALAT RYAN</t>
  </si>
  <si>
    <t>1000 10TH AVENUE, SUITE 5G77</t>
  </si>
  <si>
    <t>ShapiroRachel</t>
  </si>
  <si>
    <t>SHAPIRO RACHEL</t>
  </si>
  <si>
    <t>625 MADISON AVE</t>
  </si>
  <si>
    <t>AbbeyLeland</t>
  </si>
  <si>
    <t>ABBEY LELAND DR.</t>
  </si>
  <si>
    <t>E0034320</t>
  </si>
  <si>
    <t>ABRAHAM BESSIE</t>
  </si>
  <si>
    <t>AbrahamBessie</t>
  </si>
  <si>
    <t>CityMedicaloftheUpperEastSidePLLC</t>
  </si>
  <si>
    <t>DanielRothman</t>
  </si>
  <si>
    <t>CliffsideNursingHomeInc</t>
  </si>
  <si>
    <t>E0268143</t>
  </si>
  <si>
    <t>CLIFFSIDE REH &amp; RES HLT CR CT</t>
  </si>
  <si>
    <t>(718) 793-3200</t>
  </si>
  <si>
    <t>CLIFFSIDE NURSING HOME INC</t>
  </si>
  <si>
    <t>Lissiamma Chacko</t>
  </si>
  <si>
    <t>E0274399</t>
  </si>
  <si>
    <t>CHACKO LISSIAMMA MD</t>
  </si>
  <si>
    <t>CHACKO LISSIAMMA</t>
  </si>
  <si>
    <t xml:space="preserve">Jaime Arnau </t>
  </si>
  <si>
    <t>E0390745</t>
  </si>
  <si>
    <t>ARNAU JAIME</t>
  </si>
  <si>
    <t>ARNAU JAIME MR.</t>
  </si>
  <si>
    <t>Moiz Manaqibwala</t>
  </si>
  <si>
    <t>E0390024</t>
  </si>
  <si>
    <t>MANAQIBWALA MOIZ</t>
  </si>
  <si>
    <t>Roy Harnett-Robinson</t>
  </si>
  <si>
    <t>E0217983</t>
  </si>
  <si>
    <t>HARNETT-ROBINSON ROY EDWARD</t>
  </si>
  <si>
    <t>HARNETT-ROBINSON ROY</t>
  </si>
  <si>
    <t>Omid Rofeim</t>
  </si>
  <si>
    <t>E0020912</t>
  </si>
  <si>
    <t>ROFEIM OMID</t>
  </si>
  <si>
    <t>ROFEIM OMID DR.</t>
  </si>
  <si>
    <t xml:space="preserve">Christine  Sticco </t>
  </si>
  <si>
    <t>E0009977</t>
  </si>
  <si>
    <t>STICCO CHRISTINE MICHELLE MD</t>
  </si>
  <si>
    <t>STICCO CHRISTINE DR.</t>
  </si>
  <si>
    <t>Ecaterina Moisa-Babii</t>
  </si>
  <si>
    <t>E0340261</t>
  </si>
  <si>
    <t>MOISA-BABII ECATERINA MONICA</t>
  </si>
  <si>
    <t>MOISA-BABII ECATERINA DR.</t>
  </si>
  <si>
    <t>Sharon Danoff</t>
  </si>
  <si>
    <t>E0005784</t>
  </si>
  <si>
    <t>DANOFF SHARON</t>
  </si>
  <si>
    <t>Louella Miranda</t>
  </si>
  <si>
    <t>E0127658</t>
  </si>
  <si>
    <t>MIRANDA LOUELLA MARIA MD</t>
  </si>
  <si>
    <t>MIRANDA LOUELLA</t>
  </si>
  <si>
    <t>Habeeb  Ahmad</t>
  </si>
  <si>
    <t>E0373206</t>
  </si>
  <si>
    <t>AHMAD HABEEB</t>
  </si>
  <si>
    <t>225 FROELICH FARM BO</t>
  </si>
  <si>
    <t>Ali Ameri</t>
  </si>
  <si>
    <t>E0287309</t>
  </si>
  <si>
    <t>AMERI ALI</t>
  </si>
  <si>
    <t>AMERI ALI DR.</t>
  </si>
  <si>
    <t>AMERI ALI MD</t>
  </si>
  <si>
    <t>Marie Percy</t>
  </si>
  <si>
    <t>E0127659</t>
  </si>
  <si>
    <t>PERCY MARIE MD</t>
  </si>
  <si>
    <t>PERCY MARIE</t>
  </si>
  <si>
    <t xml:space="preserve">Tracey  Sharpe </t>
  </si>
  <si>
    <t>SHARPE TRACY</t>
  </si>
  <si>
    <t>546 EASTERN PARKWAY, EMPIRE CENTER</t>
  </si>
  <si>
    <t>Vicken Pamoukian</t>
  </si>
  <si>
    <t>Adebukola Adebayo</t>
  </si>
  <si>
    <t>E0388828</t>
  </si>
  <si>
    <t>ADEBAYO ADEBUKOLA</t>
  </si>
  <si>
    <t>ADEBAYO ADEBUKOLA DR.</t>
  </si>
  <si>
    <t>ADEBAYO ADEBUKOLA O</t>
  </si>
  <si>
    <t>Rajen  Desai</t>
  </si>
  <si>
    <t>E0378676</t>
  </si>
  <si>
    <t>DESAI RAJEN UDAY</t>
  </si>
  <si>
    <t>DESAI RAJEN DR.</t>
  </si>
  <si>
    <t>Mamdouh Lozah</t>
  </si>
  <si>
    <t>E0048933</t>
  </si>
  <si>
    <t>LOZAH MAMDOUH SHAHATA MD</t>
  </si>
  <si>
    <t>LOZAH MAMDOUH</t>
  </si>
  <si>
    <t>DELAWARE VALLEY FAM</t>
  </si>
  <si>
    <t>Diane Gocs</t>
  </si>
  <si>
    <t>E0200131</t>
  </si>
  <si>
    <t>GOCS DIANE M MD</t>
  </si>
  <si>
    <t>GOCS DIANE</t>
  </si>
  <si>
    <t>66-07 102ND STREET</t>
  </si>
  <si>
    <t>Clara Rivera</t>
  </si>
  <si>
    <t>E0194367</t>
  </si>
  <si>
    <t>RIVERA CLARA MD</t>
  </si>
  <si>
    <t>RIVERA CLARA</t>
  </si>
  <si>
    <t>Cheryll Wanliss</t>
  </si>
  <si>
    <t>E0323922</t>
  </si>
  <si>
    <t>WANLISS CHERYLL</t>
  </si>
  <si>
    <t>WANLISS CHERYLL A</t>
  </si>
  <si>
    <t>Chona  Fernandez-Gulmatico</t>
  </si>
  <si>
    <t>E0127634</t>
  </si>
  <si>
    <t>FERNANDEZ-GULMATICO CHONA MD</t>
  </si>
  <si>
    <t>FERNANDEZ-GULMATICO CHONA DR.</t>
  </si>
  <si>
    <t>1005 E 29TH ST</t>
  </si>
  <si>
    <t>Augustus Valmond</t>
  </si>
  <si>
    <t>E0058890</t>
  </si>
  <si>
    <t>VALMOND AUGUSTUS MD</t>
  </si>
  <si>
    <t>VALMOND AUGUSTUS</t>
  </si>
  <si>
    <t>317 ATLANTIC AVE</t>
  </si>
  <si>
    <t>Metropolitan Jewish Home Care Inc. dba MJHS Home Care</t>
  </si>
  <si>
    <t>Metropolitan Jewish Home Care, Inc. (MJG Nursing Home Company LTHHCP ) d/b/a MJHS Long Term Care</t>
  </si>
  <si>
    <t>E0378395</t>
  </si>
  <si>
    <t>BHARDWAJ AARTI</t>
  </si>
  <si>
    <t>BhardwajAarti</t>
  </si>
  <si>
    <t>BHARDWAJ AARTI DR.</t>
  </si>
  <si>
    <t>E0075418</t>
  </si>
  <si>
    <t>EDWIN GOULD SVCS/CHILD SPV</t>
  </si>
  <si>
    <t>E0042386</t>
  </si>
  <si>
    <t>DARROW BRUCE JONATHAN MD</t>
  </si>
  <si>
    <t>DarrowBruce</t>
  </si>
  <si>
    <t>DARROW BRUCE DR.</t>
  </si>
  <si>
    <t>E0115038</t>
  </si>
  <si>
    <t>SETARUDDIN SAZIA LOQMAN MD</t>
  </si>
  <si>
    <t>SetaruddinSazia</t>
  </si>
  <si>
    <t>SETARUDDIN SAZIA</t>
  </si>
  <si>
    <t>SETARUDDIN SAZIA LOQMAN</t>
  </si>
  <si>
    <t>123 GRANT AVE</t>
  </si>
  <si>
    <t>EAST ROCKAWAY</t>
  </si>
  <si>
    <t>E0341811</t>
  </si>
  <si>
    <t>GOMEZ JORGE ENRIQUE</t>
  </si>
  <si>
    <t>GomezJorge</t>
  </si>
  <si>
    <t>Tia Davis</t>
  </si>
  <si>
    <t>(646) 492-5964</t>
  </si>
  <si>
    <t>tdavis@westonunited.org</t>
  </si>
  <si>
    <t>Susan Wiviott</t>
  </si>
  <si>
    <t>swiviott@thebridgeny.org</t>
  </si>
  <si>
    <t>406 East 117th Street</t>
  </si>
  <si>
    <t>Housing Works</t>
  </si>
  <si>
    <t>57 Willoughby St., 2nd Floor</t>
  </si>
  <si>
    <t>New  York Congregational Nursing Center, Certified Home Health Agency (CHHA)</t>
  </si>
  <si>
    <t>35 Linden Boulevard</t>
  </si>
  <si>
    <t>Northside Center for Child Development, Inc. - Home Based Crisis Intervention 1</t>
  </si>
  <si>
    <t>Jean Holland</t>
  </si>
  <si>
    <t>35 East 110th St.</t>
  </si>
  <si>
    <t>Ohel Childrens Home and Family Services  (ACA Member Agency)</t>
  </si>
  <si>
    <t>Asher Fogel</t>
  </si>
  <si>
    <t>(718) 435-5533</t>
  </si>
  <si>
    <t>asher_fogel@ohelfamily.org</t>
  </si>
  <si>
    <t>257 East Broadway</t>
  </si>
  <si>
    <t>730 Riverside Drive Apt. 1B</t>
  </si>
  <si>
    <t>253 West 35th Street, 16th Floor</t>
  </si>
  <si>
    <t>265 Wyckoff Avenue</t>
  </si>
  <si>
    <t>Community Care Management Partners, LLC (CCMP)</t>
  </si>
  <si>
    <t>1250 Broadway, 22nd Floor</t>
  </si>
  <si>
    <t>St. Luke's-Roosevelt Hospital Center (Roosevelt Division) - AINY (Smithers)</t>
  </si>
  <si>
    <t>MOUNT SINAI MEDICAL CENTER?</t>
  </si>
  <si>
    <t>MOUNT SINAI MEDICAL CENTER</t>
  </si>
  <si>
    <t>MT. SINAI MEDICAL CENTER?</t>
  </si>
  <si>
    <t>1 GUSTAVE L LEVY PL, BOX # 1495</t>
  </si>
  <si>
    <t>MOUNT SINAI HOSPITAL?</t>
  </si>
  <si>
    <t>1468 MADISON AVE, 15TH FLOOR, BOX 1194</t>
  </si>
  <si>
    <t>MT. SINAI SCHOOL OF MEDICINE?</t>
  </si>
  <si>
    <t>MT. SINAI SCHOOL OF MEDICINE</t>
  </si>
  <si>
    <t>1 GUSTAVE L LEVY PLACE, BOX 1048</t>
  </si>
  <si>
    <t>MT SINAI SERVICES AT QHC?</t>
  </si>
  <si>
    <t>MT SINAI SERVICES AT QHC</t>
  </si>
  <si>
    <t>Rivington House AIDS Adult Day Treatment</t>
  </si>
  <si>
    <t>E0142833</t>
  </si>
  <si>
    <t>RIVINGTON HS HLTH CR AADC</t>
  </si>
  <si>
    <t>RIVINGTON HOUSE DAY TREATMENT PROGRAM</t>
  </si>
  <si>
    <t>RIVINGTON HS NICHOLAS A RANGO HCF</t>
  </si>
  <si>
    <t>FRANK DIAZ ADM</t>
  </si>
  <si>
    <t>Rivington House RHCF</t>
  </si>
  <si>
    <t>E0144792</t>
  </si>
  <si>
    <t>RIVINGTON HS/NICHOLAS A RANGO</t>
  </si>
  <si>
    <t>RIVINGTON HOUSE HEALTH CARE FACILITY</t>
  </si>
  <si>
    <t>45 RIVINGTON ST</t>
  </si>
  <si>
    <t>Village Diagnostic and Treatment Center</t>
  </si>
  <si>
    <t>E0025833</t>
  </si>
  <si>
    <t>VILLAGE CARE HEALTH CLINIC</t>
  </si>
  <si>
    <t>VILLAGE DIAGNOSTIC AND TREATMENT CENTER</t>
  </si>
  <si>
    <t>The New York Foundling Hospital-4 Duryea</t>
  </si>
  <si>
    <t>Village Center for Care Home Care (currently inactive, but in attribution)</t>
  </si>
  <si>
    <t>E0177246</t>
  </si>
  <si>
    <t>VILLAGE CARE CHHA</t>
  </si>
  <si>
    <t>112 CHARLES ST # 2ND</t>
  </si>
  <si>
    <t>Village Center for Care Home Care dba VillageCare Home Care</t>
  </si>
  <si>
    <t>E0042258</t>
  </si>
  <si>
    <t>VILLAGE CTR FOR CARE LTHHCP</t>
  </si>
  <si>
    <t>VILLAGECARE HOME CARE</t>
  </si>
  <si>
    <t>154 CHRISTOPHER ST FL 2</t>
  </si>
  <si>
    <t xml:space="preserve">The PAC Program of Queens </t>
  </si>
  <si>
    <t>(718) 729-8686</t>
  </si>
  <si>
    <t>migdalia@thepacprogram.com</t>
  </si>
  <si>
    <t>Neil Pessin</t>
  </si>
  <si>
    <t>(212) 609-7770</t>
  </si>
  <si>
    <t>npessin@vnsny.org</t>
  </si>
  <si>
    <t>Visiting Nurse Service of New York Hospice and Palliative Care</t>
  </si>
  <si>
    <t>Queens Nassau Rehab &amp; Nursing Center</t>
  </si>
  <si>
    <t>E0268060</t>
  </si>
  <si>
    <t>QUEENS NASSAU REH &amp; NRS CENTE</t>
  </si>
  <si>
    <t>Yvette Williams</t>
  </si>
  <si>
    <t>(718) 471-7400</t>
  </si>
  <si>
    <t>ywilliams@queensnassaurehab.com</t>
  </si>
  <si>
    <t>QUEENS NASSAU REHABILITATION &amp; NURSING CENTER</t>
  </si>
  <si>
    <t>QUEENS NASSAU REHAB &amp; NRS CTR</t>
  </si>
  <si>
    <t>520 BEACH 19TH ST</t>
  </si>
  <si>
    <t>Premier Healthcare, Inc.</t>
  </si>
  <si>
    <t>E0124927</t>
  </si>
  <si>
    <t>PREMIER HEALTHCARE D &amp; T CTR</t>
  </si>
  <si>
    <t>Navneet Kathuria</t>
  </si>
  <si>
    <t>(212) 273-6381</t>
  </si>
  <si>
    <t>PREMIER HEALTHCARE, INC.</t>
  </si>
  <si>
    <t>Premier Healthcare Inc. (Article 16)</t>
  </si>
  <si>
    <t>E0299177</t>
  </si>
  <si>
    <t>PREMIER HEALTHCARE INC</t>
  </si>
  <si>
    <t>460 W 34TH ST FL 10</t>
  </si>
  <si>
    <t>E0299117</t>
  </si>
  <si>
    <t>ST CHRISTOPHER OTTILIE MH</t>
  </si>
  <si>
    <t>1 ALEXANDER PL</t>
  </si>
  <si>
    <t>Parker Jewish Institute for Health Care and Rehabilitation</t>
  </si>
  <si>
    <t>E0208546</t>
  </si>
  <si>
    <t>PARKER JEWISH GERI INST LTHHC</t>
  </si>
  <si>
    <t>PARKER JEWISH INSTITUTE FOR HEALTH CARE AND REHABILITATION</t>
  </si>
  <si>
    <t>PARKER JEWISH INST/H C &amp; R CHHA</t>
  </si>
  <si>
    <t>1 DELAWARE DR</t>
  </si>
  <si>
    <t>Marie Leon</t>
  </si>
  <si>
    <t>E0131741</t>
  </si>
  <si>
    <t>LEON MARIE LAURA</t>
  </si>
  <si>
    <t>LEON MARIE DR.</t>
  </si>
  <si>
    <t>Howard Finestone</t>
  </si>
  <si>
    <t>E0194997</t>
  </si>
  <si>
    <t>FINESTONE HOWARD           MD</t>
  </si>
  <si>
    <t>FINESTONE HOWARD</t>
  </si>
  <si>
    <t>Jeannine Laux</t>
  </si>
  <si>
    <t>E0371473</t>
  </si>
  <si>
    <t>LAUX JEANNINE</t>
  </si>
  <si>
    <t>590 5TH AVE</t>
  </si>
  <si>
    <t>Michael Weiner</t>
  </si>
  <si>
    <t>E0162769</t>
  </si>
  <si>
    <t>WEINER MICHAEL JEFFREY MD</t>
  </si>
  <si>
    <t>WEINER MICHAEL</t>
  </si>
  <si>
    <t>233 UNION AVE</t>
  </si>
  <si>
    <t>Carl Barberis</t>
  </si>
  <si>
    <t>E0127620</t>
  </si>
  <si>
    <t>BARBERIS CARL L MD</t>
  </si>
  <si>
    <t>BARBERIS CARL DR.</t>
  </si>
  <si>
    <t>BETH ISRAEL MEDICAL CENTER?</t>
  </si>
  <si>
    <t>BETH ISRAEL MEDICAL CENTER PSYCH</t>
  </si>
  <si>
    <t>ST. LUKES ROOSEVELT HOSPITAL - INN?</t>
  </si>
  <si>
    <t>ST. LUKES ROOSEVELT HOSPITAL - INN</t>
  </si>
  <si>
    <t>515 W, 59TH ST.,, APT 4A</t>
  </si>
  <si>
    <t>MT SINAI MEDICAL CENTER?</t>
  </si>
  <si>
    <t>MT SINAI MEDICAL CENTER</t>
  </si>
  <si>
    <t>1468 MADISON AVE, 3RD FLOOR</t>
  </si>
  <si>
    <t>ST LUKES ROOSEVELT HOSPITAL CENTER?</t>
  </si>
  <si>
    <t>All Other:: Case Management / Health Home:: Clinic:: Hospital:: Mental Health:: Pharmacy:: Practitioner - Primary Care Provider (PCP):: Substance Abuse</t>
  </si>
  <si>
    <t>BETH ISRAEL MEDICAL CENTER ACUTE</t>
  </si>
  <si>
    <t>Pharmascripts, LLC</t>
  </si>
  <si>
    <t>E0293714</t>
  </si>
  <si>
    <t>PHARMSCRIPT LLC</t>
  </si>
  <si>
    <t>(888) 319-1818</t>
  </si>
  <si>
    <t>PHARMSCRIPT</t>
  </si>
  <si>
    <t>150 PIERCE ST</t>
  </si>
  <si>
    <t>Regal Heights Rehabilitation and Health Care Center, Adult Day Health Care</t>
  </si>
  <si>
    <t>E0050989</t>
  </si>
  <si>
    <t>REGAL HEIGHTS REH HLTH CC ADH</t>
  </si>
  <si>
    <t>Caryl Paningsoro</t>
  </si>
  <si>
    <t>(718) 662-5100</t>
  </si>
  <si>
    <t>cpaningsoro@regalheightsrehab.com</t>
  </si>
  <si>
    <t>REGAL HEIGHTS REHAB &amp; HEALTH CARE CENTER ADULT DAY HEALTH CARE</t>
  </si>
  <si>
    <t>70-05 35TH AVE</t>
  </si>
  <si>
    <t>Stephanie DeJesus</t>
  </si>
  <si>
    <t>E0180208</t>
  </si>
  <si>
    <t>DEJESUS STEPHANIE  MD</t>
  </si>
  <si>
    <t>Stephanie De Jesus</t>
  </si>
  <si>
    <t>dr.d@regalheightsrehab.com</t>
  </si>
  <si>
    <t>DE JESUS STEPHANIE</t>
  </si>
  <si>
    <t>97 E. Church St</t>
  </si>
  <si>
    <t>1053 Saw Mill River Rd</t>
  </si>
  <si>
    <t>1396 Myrtle Ave</t>
  </si>
  <si>
    <t xml:space="preserve">Samantha  Jagger </t>
  </si>
  <si>
    <t>E0343992</t>
  </si>
  <si>
    <t>JAGGER SAMANTHA JANE</t>
  </si>
  <si>
    <t>JAGGER SAMANTHA DR.</t>
  </si>
  <si>
    <t xml:space="preserve">Youssef  Youssef </t>
  </si>
  <si>
    <t>E0303562</t>
  </si>
  <si>
    <t>YOUSSEF YOUSSEF MOHAMED</t>
  </si>
  <si>
    <t>YOUSSEF YOUSSEF</t>
  </si>
  <si>
    <t>Mark Friedman</t>
  </si>
  <si>
    <t>E0116086</t>
  </si>
  <si>
    <t>FRIEDMAN MARK MD</t>
  </si>
  <si>
    <t>FRIEDMAN MARK DR.</t>
  </si>
  <si>
    <t>Fong  Lee</t>
  </si>
  <si>
    <t>E0116141</t>
  </si>
  <si>
    <t>LEE FONG</t>
  </si>
  <si>
    <t>LEE FONG LEO</t>
  </si>
  <si>
    <t xml:space="preserve">Katherine Harris </t>
  </si>
  <si>
    <t>E0335031</t>
  </si>
  <si>
    <t>HARRIS KATHERINE FARRELL</t>
  </si>
  <si>
    <t>HARRIS KATHERINE MS.</t>
  </si>
  <si>
    <t>Stephanie Ortiz</t>
  </si>
  <si>
    <t>E0389707</t>
  </si>
  <si>
    <t>ORTIZ STEPHANIE</t>
  </si>
  <si>
    <t>ORTIZ STEPHANIE DR.</t>
  </si>
  <si>
    <t xml:space="preserve">Farahnaz Lukban </t>
  </si>
  <si>
    <t>E0029287</t>
  </si>
  <si>
    <t>LUKBAN FARAHNAZ JOACHIM MD</t>
  </si>
  <si>
    <t>LUKBAN FARAHNAZ</t>
  </si>
  <si>
    <t>85 HUDSON AVE APT 1B</t>
  </si>
  <si>
    <t xml:space="preserve">Rosalyn Grasparil </t>
  </si>
  <si>
    <t>GRASPARIL ROSALYN MS.</t>
  </si>
  <si>
    <t>260 MIDDLE COUNTRY RD BLDG 3 SUITE 9-A</t>
  </si>
  <si>
    <t>Esther  Cruz-Hannan</t>
  </si>
  <si>
    <t>E0102368</t>
  </si>
  <si>
    <t>HANNAN ESTHER PA</t>
  </si>
  <si>
    <t>CRUZ-HANNAN ESTHER MS.</t>
  </si>
  <si>
    <t>STATEN ISLAND EMERG</t>
  </si>
  <si>
    <t xml:space="preserve">Jack Skowron </t>
  </si>
  <si>
    <t>E0228007</t>
  </si>
  <si>
    <t>SKOWRON JACK MARTIN        MD</t>
  </si>
  <si>
    <t>SKOWRON JACK</t>
  </si>
  <si>
    <t>SI MEDICAL GROUP</t>
  </si>
  <si>
    <t>Thomas Walsh</t>
  </si>
  <si>
    <t>E0340959</t>
  </si>
  <si>
    <t>WALSH THOMAS</t>
  </si>
  <si>
    <t>Kristin Berntsen</t>
  </si>
  <si>
    <t>E0338157</t>
  </si>
  <si>
    <t>KENNY KRISTIN A</t>
  </si>
  <si>
    <t>BERNTSEN KRISTIN</t>
  </si>
  <si>
    <t>BERNTSEN KRISTIN A</t>
  </si>
  <si>
    <t>Rose Bristol</t>
  </si>
  <si>
    <t>BRISTOL ROSE</t>
  </si>
  <si>
    <t>339 HICKS ST, 3RD FLOOR FULLER</t>
  </si>
  <si>
    <t>Marcia Parris</t>
  </si>
  <si>
    <t>E0068264</t>
  </si>
  <si>
    <t>PARRIS MARCIA</t>
  </si>
  <si>
    <t>PARRIS MARCIA DR.</t>
  </si>
  <si>
    <t>Roger Wooden</t>
  </si>
  <si>
    <t>E0368820</t>
  </si>
  <si>
    <t>WOODEN ROGER ALAN</t>
  </si>
  <si>
    <t>WOODEN ROGER DR.</t>
  </si>
  <si>
    <t>Olega Opsha</t>
  </si>
  <si>
    <t>E0006788</t>
  </si>
  <si>
    <t>OLEG OPSHA</t>
  </si>
  <si>
    <t>OPSHA OLEG DR.</t>
  </si>
  <si>
    <t>OPSHA OLEG MD</t>
  </si>
  <si>
    <t>Akeem Atanda</t>
  </si>
  <si>
    <t>E0373620</t>
  </si>
  <si>
    <t>ATANDA AKEEM</t>
  </si>
  <si>
    <t>215 EAST 95TH STREET</t>
  </si>
  <si>
    <t>Bernard Istria</t>
  </si>
  <si>
    <t>E0087418</t>
  </si>
  <si>
    <t>ISTRIA BERNARD J M MD</t>
  </si>
  <si>
    <t>ISTRIA BERNARD DR.</t>
  </si>
  <si>
    <t>MMC RAD FAC 3RD FL</t>
  </si>
  <si>
    <t xml:space="preserve">Joo Kim </t>
  </si>
  <si>
    <t>E0267544</t>
  </si>
  <si>
    <t>KIM JOO S                  MD</t>
  </si>
  <si>
    <t>KIM JOO</t>
  </si>
  <si>
    <t>11903 JAMAICA AVE</t>
  </si>
  <si>
    <t>Dominic Fiorenza</t>
  </si>
  <si>
    <t>E0212838</t>
  </si>
  <si>
    <t>FIORENZA DOMINIC DPM</t>
  </si>
  <si>
    <t>FIORENZA DOMINIC</t>
  </si>
  <si>
    <t>Barbara Laboard</t>
  </si>
  <si>
    <t>E0127745</t>
  </si>
  <si>
    <t>LABOARD BARBARA A MD</t>
  </si>
  <si>
    <t>LABOARD BARBARA</t>
  </si>
  <si>
    <t>QUEENS L I MED</t>
  </si>
  <si>
    <t>Scott Sokol</t>
  </si>
  <si>
    <t>E0258416</t>
  </si>
  <si>
    <t>SOKOL SCOTT K MD</t>
  </si>
  <si>
    <t>SOKOL SCOTT DR.</t>
  </si>
  <si>
    <t>Donna Joyce Twiggs</t>
  </si>
  <si>
    <t>TWIGGS DONNA</t>
  </si>
  <si>
    <t xml:space="preserve">Akil Pascal </t>
  </si>
  <si>
    <t>E0344572</t>
  </si>
  <si>
    <t>PASCAL AAKIL JUMA</t>
  </si>
  <si>
    <t>PASCAL AKIL</t>
  </si>
  <si>
    <t>PASCAL AKIL JUMA</t>
  </si>
  <si>
    <t>Evan Stein</t>
  </si>
  <si>
    <t>E0313881</t>
  </si>
  <si>
    <t>EVAN STEIN</t>
  </si>
  <si>
    <t>STEIN EVAN DR.</t>
  </si>
  <si>
    <t>STEIN EVAN GARY</t>
  </si>
  <si>
    <t xml:space="preserve">Anna Derman </t>
  </si>
  <si>
    <t>E0320772</t>
  </si>
  <si>
    <t>DERMAN ANNA</t>
  </si>
  <si>
    <t>DERMAN ANNA DR.</t>
  </si>
  <si>
    <t>Jing Zhang</t>
  </si>
  <si>
    <t>E0111136</t>
  </si>
  <si>
    <t>ZHANG JING MD</t>
  </si>
  <si>
    <t>ZHANG JING</t>
  </si>
  <si>
    <t>J. Jason Bitter</t>
  </si>
  <si>
    <t>E0221772</t>
  </si>
  <si>
    <t>BITTER J JASON MD</t>
  </si>
  <si>
    <t>BITTER JASON DR.</t>
  </si>
  <si>
    <t>Sandra Forde</t>
  </si>
  <si>
    <t>E0028122</t>
  </si>
  <si>
    <t>FORDE SANDRA MD</t>
  </si>
  <si>
    <t>FORDE SANDRA DR.</t>
  </si>
  <si>
    <t>14015 SANFORD AVE</t>
  </si>
  <si>
    <t xml:space="preserve">Charmaine  Johnson </t>
  </si>
  <si>
    <t>E0033998</t>
  </si>
  <si>
    <t>JOHNSON CHARMAINE S MD</t>
  </si>
  <si>
    <t>JOHNSON CHARMAINE</t>
  </si>
  <si>
    <t>Howard Weintraub</t>
  </si>
  <si>
    <t>E0196435</t>
  </si>
  <si>
    <t>WEINTRAUB HOWARD           MD</t>
  </si>
  <si>
    <t>WEINTRAUB HOWARD DR.</t>
  </si>
  <si>
    <t>Julie Spencer</t>
  </si>
  <si>
    <t>E0392651</t>
  </si>
  <si>
    <t>SPENCER JULIE</t>
  </si>
  <si>
    <t>SPENCER JULIE ROSE</t>
  </si>
  <si>
    <t>E0314911</t>
  </si>
  <si>
    <t>SCO FAMILY OF SERVICES CMCM/TCM</t>
  </si>
  <si>
    <t>1221 BEDFORD AVE</t>
  </si>
  <si>
    <t>Queens Long Island Renal Institute</t>
  </si>
  <si>
    <t>E0311773</t>
  </si>
  <si>
    <t>QUEENS-LONG ISLAND RENAL INSTITUTE</t>
  </si>
  <si>
    <t>Georgienne Kenny</t>
  </si>
  <si>
    <t>(718) 289-2108</t>
  </si>
  <si>
    <t>gkenny@parkerinstitute.org</t>
  </si>
  <si>
    <t>QUEENS - LONG ISLAND RENAL INSTITUTE, INC.</t>
  </si>
  <si>
    <t>The New York Foundling Hospital-Pelham</t>
  </si>
  <si>
    <t>Interim Healthcare of Greater New York</t>
  </si>
  <si>
    <t>Coordinated Behavioral Care, Pathways to Wellness Health Home</t>
  </si>
  <si>
    <t>E0345855</t>
  </si>
  <si>
    <t>COORDINATED BEHAVIORAL CARE INC</t>
  </si>
  <si>
    <t>Danika Mills</t>
  </si>
  <si>
    <t>(212) 590-2407</t>
  </si>
  <si>
    <t>?DMills@cbcare.org</t>
  </si>
  <si>
    <t>COORDINATED BEHAVIORAL CARE, INC.</t>
  </si>
  <si>
    <t>304 PARK AVE S FL 11</t>
  </si>
  <si>
    <t>Sapna Shah</t>
  </si>
  <si>
    <t>E0283611</t>
  </si>
  <si>
    <t>SAPNA SHAH MD</t>
  </si>
  <si>
    <t>SHAH SAPNA DR.</t>
  </si>
  <si>
    <t>SHAH SAPNA MD</t>
  </si>
  <si>
    <t>125-06 101ST AVE</t>
  </si>
  <si>
    <t xml:space="preserve">Rose  Daniel </t>
  </si>
  <si>
    <t>E0304799</t>
  </si>
  <si>
    <t>DANIEL ROSE</t>
  </si>
  <si>
    <t>233 NOSTRAND AVE DBA PREFERRED HEALTH PA</t>
  </si>
  <si>
    <t>Clifford Tavroff</t>
  </si>
  <si>
    <t>E0152945</t>
  </si>
  <si>
    <t>TAVROFF CLIFFORD DOUGLAS DPM</t>
  </si>
  <si>
    <t>TAVROFF CLIFFORD DR.</t>
  </si>
  <si>
    <t>187 DUCKPOND DR N</t>
  </si>
  <si>
    <t>Patricia  Anthony-Yearwood</t>
  </si>
  <si>
    <t>E0303430</t>
  </si>
  <si>
    <t>ANTHONY-YEARWOOD PATRICIA</t>
  </si>
  <si>
    <t>ANTHONY YEARWOOD PATRICIA MS.</t>
  </si>
  <si>
    <t>Maria Staniloiu</t>
  </si>
  <si>
    <t>E0045489</t>
  </si>
  <si>
    <t>STANILOIU MARIA  MD</t>
  </si>
  <si>
    <t>STANILOIU MARIA</t>
  </si>
  <si>
    <t>Viswanathan Balachandar</t>
  </si>
  <si>
    <t>E0271568</t>
  </si>
  <si>
    <t>BALACHANDAR VISWANATHAN    MD</t>
  </si>
  <si>
    <t>BALACHANDAR VISWANATH</t>
  </si>
  <si>
    <t>Patricia Burns</t>
  </si>
  <si>
    <t>E0308443</t>
  </si>
  <si>
    <t>PATRICIA ANN BURNS</t>
  </si>
  <si>
    <t>BURNS PATRICIA DR.</t>
  </si>
  <si>
    <t>BURNS PATRICIA ANN</t>
  </si>
  <si>
    <t xml:space="preserve">Cathyann Corrado </t>
  </si>
  <si>
    <t>E0154575</t>
  </si>
  <si>
    <t>CORRADO CATHYANN</t>
  </si>
  <si>
    <t>CORRADO CATHYANN DR.</t>
  </si>
  <si>
    <t>900 LAMONT AVE</t>
  </si>
  <si>
    <t>Stephen Marra</t>
  </si>
  <si>
    <t>E0082656</t>
  </si>
  <si>
    <t>MARRA STEPHEN JAY MD</t>
  </si>
  <si>
    <t>MARRA STEPHEN DR.</t>
  </si>
  <si>
    <t>STE 9E</t>
  </si>
  <si>
    <t>Monica David</t>
  </si>
  <si>
    <t>E0290497</t>
  </si>
  <si>
    <t>DAVID MONICA</t>
  </si>
  <si>
    <t>DAVID MONICA DANA GABRIELA MD</t>
  </si>
  <si>
    <t>31-75 23RD ST</t>
  </si>
  <si>
    <t>Harold Moniz</t>
  </si>
  <si>
    <t>E0382700</t>
  </si>
  <si>
    <t>MONIZ HAROLD</t>
  </si>
  <si>
    <t>MONIZ HAROLD MR.</t>
  </si>
  <si>
    <t>Svetlana Matayev</t>
  </si>
  <si>
    <t>E0018392</t>
  </si>
  <si>
    <t>MATAYEV SVETLANA SIONOVA MD</t>
  </si>
  <si>
    <t>MATAYEV SVETLANA</t>
  </si>
  <si>
    <t>Ian Winkler</t>
  </si>
  <si>
    <t>E0127668</t>
  </si>
  <si>
    <t>WINKLER IAN MD</t>
  </si>
  <si>
    <t>WINKLER IAN</t>
  </si>
  <si>
    <t>Michelle Yao</t>
  </si>
  <si>
    <t>E0337565</t>
  </si>
  <si>
    <t>YAO MICHELLE</t>
  </si>
  <si>
    <t>1 CENTER LN</t>
  </si>
  <si>
    <t xml:space="preserve">Michael  Odinsky </t>
  </si>
  <si>
    <t>E0174430</t>
  </si>
  <si>
    <t>ODINSKY MICHAEL EDWARD DPM</t>
  </si>
  <si>
    <t>ODINSKY MICHAEL DR.</t>
  </si>
  <si>
    <t>ODINSKY MICHAEL EDWARD</t>
  </si>
  <si>
    <t>17315 73RD AVE</t>
  </si>
  <si>
    <t xml:space="preserve">Nigel Henry </t>
  </si>
  <si>
    <t>E0102911</t>
  </si>
  <si>
    <t>HENRY NIGEL IAN MD</t>
  </si>
  <si>
    <t>HENRY NIGEL</t>
  </si>
  <si>
    <t>Chun Wang</t>
  </si>
  <si>
    <t>E0306567</t>
  </si>
  <si>
    <t>CHUN WANG MD</t>
  </si>
  <si>
    <t>WANG CHUN DR.</t>
  </si>
  <si>
    <t>WANG CHUN MD</t>
  </si>
  <si>
    <t>Roy Rodrigues</t>
  </si>
  <si>
    <t>E0116113</t>
  </si>
  <si>
    <t>RODRIGUES ROY JOHN MD</t>
  </si>
  <si>
    <t>RODRIGUES ROY</t>
  </si>
  <si>
    <t>180-05 HILLSIDE AVE</t>
  </si>
  <si>
    <t>Paul Lui</t>
  </si>
  <si>
    <t>E0113735</t>
  </si>
  <si>
    <t>LUI PAUL MD</t>
  </si>
  <si>
    <t>LUI PAUL</t>
  </si>
  <si>
    <t>Sharon Johnson</t>
  </si>
  <si>
    <t>(212) 864-4128</t>
  </si>
  <si>
    <t>sharon.johnson@samaritanvillage.org</t>
  </si>
  <si>
    <t>55 West 125th Street, 11th fl.</t>
  </si>
  <si>
    <t xml:space="preserve">58-20 Little Neck Pkwy. </t>
  </si>
  <si>
    <t>Little Neck</t>
  </si>
  <si>
    <t>ALBIN, SCOTT</t>
  </si>
  <si>
    <t>85-70 148th St, Briarwood</t>
  </si>
  <si>
    <t>Seafield Center, Inc.</t>
  </si>
  <si>
    <t>E0144384</t>
  </si>
  <si>
    <t>SEAFIELD CENTER INC</t>
  </si>
  <si>
    <t>Mark Epley</t>
  </si>
  <si>
    <t>(631) 288-1122</t>
  </si>
  <si>
    <t>mepley@seafieldcenter.com</t>
  </si>
  <si>
    <t>SEAFIELD CENTER, INC.</t>
  </si>
  <si>
    <t>7 SEAFIELD LN</t>
  </si>
  <si>
    <t>St. Mark's Place Institute</t>
  </si>
  <si>
    <t>E0217412</t>
  </si>
  <si>
    <t>ST MARKS PLACE INSTITUTE</t>
  </si>
  <si>
    <t>Roman Pabis</t>
  </si>
  <si>
    <t>(212) 982-3470</t>
  </si>
  <si>
    <t>R.Pabis@Unitas-nyc.org</t>
  </si>
  <si>
    <t>ST. MARK'S PLACE INSTITUTE FOR MENTAL HEALTH, INC</t>
  </si>
  <si>
    <t>OMH/OAS CL 3FL</t>
  </si>
  <si>
    <t>New Lots Pharmacy</t>
  </si>
  <si>
    <t>Pevaz Shaikh</t>
  </si>
  <si>
    <t>404 New Lots Avenue</t>
  </si>
  <si>
    <t>Sunnyside Home Care Project, Inc</t>
  </si>
  <si>
    <t>Andrea Thomas</t>
  </si>
  <si>
    <t>(718) 784-6173</t>
  </si>
  <si>
    <t>athomas@scsny.org</t>
  </si>
  <si>
    <t>SUNNYSIDE HOME CARE PROJECT, INC.</t>
  </si>
  <si>
    <t>4331 39TH ST</t>
  </si>
  <si>
    <t>E0246729</t>
  </si>
  <si>
    <t>CHAPMAN MARK L             MD</t>
  </si>
  <si>
    <t>ChapmanMark</t>
  </si>
  <si>
    <t>CHAPMAN MARK DR.</t>
  </si>
  <si>
    <t>E0027224</t>
  </si>
  <si>
    <t>CAPLIVSKI DANIEL MD</t>
  </si>
  <si>
    <t>CaplivskiDaniel</t>
  </si>
  <si>
    <t>CAPLIVSKI DANIEL</t>
  </si>
  <si>
    <t>E0024360</t>
  </si>
  <si>
    <t>CHANG CHARISSA YUHUA MD</t>
  </si>
  <si>
    <t>ChangCharissa</t>
  </si>
  <si>
    <t>CHANG CHARISSA</t>
  </si>
  <si>
    <t>E0033608</t>
  </si>
  <si>
    <t>DONOVAN DIANA OLGA</t>
  </si>
  <si>
    <t>DonovanDiana</t>
  </si>
  <si>
    <t>DONOVAN DIANA</t>
  </si>
  <si>
    <t>E0295535</t>
  </si>
  <si>
    <t>HARVEY EUGENIUS JOHN MD</t>
  </si>
  <si>
    <t>HarveyE.John</t>
  </si>
  <si>
    <t>HARVEY EUGENIUS DR.</t>
  </si>
  <si>
    <t>E0296436</t>
  </si>
  <si>
    <t>JINDAL MONICA</t>
  </si>
  <si>
    <t>E0336767</t>
  </si>
  <si>
    <t>MALHOTRA ANUJ DR.</t>
  </si>
  <si>
    <t>E0335308</t>
  </si>
  <si>
    <t>HONIKMAN RAFAEL</t>
  </si>
  <si>
    <t>GIN GREG</t>
  </si>
  <si>
    <t>ALQATARI MAHFOOD</t>
  </si>
  <si>
    <t>GERSHNER KATHERINE MISS</t>
  </si>
  <si>
    <t>TangChristopher</t>
  </si>
  <si>
    <t>TANG CHRISTOPHER DR.</t>
  </si>
  <si>
    <t>280 W MACARTHUR BLVD</t>
  </si>
  <si>
    <t>SadrazodiKamran</t>
  </si>
  <si>
    <t>E0326775</t>
  </si>
  <si>
    <t>TAMDJI NATACHA</t>
  </si>
  <si>
    <t>TamdjiNatacha</t>
  </si>
  <si>
    <t>TAMDJI NATACHA DR.</t>
  </si>
  <si>
    <t>36-21ST STREET</t>
  </si>
  <si>
    <t>CHIN STEPHEN DR.</t>
  </si>
  <si>
    <t>9733 HEALTHWAY DR, AGH DEPARTMENT OF ANESTHESIOLOGY</t>
  </si>
  <si>
    <t>BERLIN</t>
  </si>
  <si>
    <t>MONTES-RIVERA JOSE DR.</t>
  </si>
  <si>
    <t>263 FARMINGTON AVE</t>
  </si>
  <si>
    <t>KraJoshua</t>
  </si>
  <si>
    <t>KRA JOSHUA</t>
  </si>
  <si>
    <t>E0373143</t>
  </si>
  <si>
    <t>KOENIGSBERG NOAM Y</t>
  </si>
  <si>
    <t>KoenigsbergNoam</t>
  </si>
  <si>
    <t>KOENIGSBERG NOAM DR.</t>
  </si>
  <si>
    <t>Michael Plakogiannis</t>
  </si>
  <si>
    <t>E0070066</t>
  </si>
  <si>
    <t>PLAKOGIANNIS MICHAEL MD</t>
  </si>
  <si>
    <t>PLAKOGIANNIS MICHAEL DR.</t>
  </si>
  <si>
    <t>Kate Lowenthal</t>
  </si>
  <si>
    <t>E0389603</t>
  </si>
  <si>
    <t>LOWENTHAL KATE ELISABETH</t>
  </si>
  <si>
    <t>LOWENTHAL KATE</t>
  </si>
  <si>
    <t>Maria Rodrigues</t>
  </si>
  <si>
    <t>E0176229</t>
  </si>
  <si>
    <t>RODRIGUES MARIA LOUELLA MD</t>
  </si>
  <si>
    <t>RODRIGUES MARIA</t>
  </si>
  <si>
    <t>Hwasun Lee</t>
  </si>
  <si>
    <t>E0204975</t>
  </si>
  <si>
    <t>LEE HWASUN</t>
  </si>
  <si>
    <t>3275 STEINWAY ST</t>
  </si>
  <si>
    <t xml:space="preserve">Jennifer Lincks </t>
  </si>
  <si>
    <t>E0328952</t>
  </si>
  <si>
    <t>LINCKS JENNIFER NP</t>
  </si>
  <si>
    <t>LINCKS JENNIFER MRS.</t>
  </si>
  <si>
    <t>Andrew Hunter</t>
  </si>
  <si>
    <t>E0355562</t>
  </si>
  <si>
    <t>HUNTER, II ANDREW</t>
  </si>
  <si>
    <t>HUNTER ANDREW DR.</t>
  </si>
  <si>
    <t>Peter Perdik</t>
  </si>
  <si>
    <t>E0127755</t>
  </si>
  <si>
    <t>PERDIK PETER</t>
  </si>
  <si>
    <t>PERDIK PETER DR.</t>
  </si>
  <si>
    <t>PERDIK PETER MD</t>
  </si>
  <si>
    <t>Andrea Gray</t>
  </si>
  <si>
    <t>E0304778</t>
  </si>
  <si>
    <t>GRAY ANDREA</t>
  </si>
  <si>
    <t>GRAY ANDREA H MD</t>
  </si>
  <si>
    <t>Beverly Sheppard</t>
  </si>
  <si>
    <t>E0216320</t>
  </si>
  <si>
    <t>SHEPPARD BEVERLY A         MD</t>
  </si>
  <si>
    <t>SHEPPARD BEVERLY</t>
  </si>
  <si>
    <t xml:space="preserve">Patricia  Deitz </t>
  </si>
  <si>
    <t>E0292978</t>
  </si>
  <si>
    <t>DEITZ PATRICIA</t>
  </si>
  <si>
    <t>DEITZ PATRICIA DR.</t>
  </si>
  <si>
    <t>Vikrum Malhotra</t>
  </si>
  <si>
    <t>E0395391</t>
  </si>
  <si>
    <t>MALHOTRA VIKRUM</t>
  </si>
  <si>
    <t>MALHOTRA VIKRUM DR.</t>
  </si>
  <si>
    <t>Sara   Yoon</t>
  </si>
  <si>
    <t>E0346408</t>
  </si>
  <si>
    <t>YOON SARA NMI</t>
  </si>
  <si>
    <t>YOON SARA DR.</t>
  </si>
  <si>
    <t>The New York Foundling Hospital-6 Duryea</t>
  </si>
  <si>
    <t xml:space="preserve">Episcopal Social Services of New York Inc. </t>
  </si>
  <si>
    <t>FEGS</t>
  </si>
  <si>
    <t>LEE RAMBEAU</t>
  </si>
  <si>
    <t>(212) 366-8021</t>
  </si>
  <si>
    <t>LRAMBEAU@FEGS.ORG</t>
  </si>
  <si>
    <t>Medical Arts Sanitarium, Inc. dba Cornerstone of Medical Arts Center</t>
  </si>
  <si>
    <t>Pcreary@Cornerstoneny.com</t>
  </si>
  <si>
    <t>John E. Canning</t>
  </si>
  <si>
    <t>johnc@blythedale.org</t>
  </si>
  <si>
    <t>Dorella Walters</t>
  </si>
  <si>
    <t>(212) 294-8123</t>
  </si>
  <si>
    <t>dwalters@glwd.org</t>
  </si>
  <si>
    <t xml:space="preserve">HealthPlus Amerigroup </t>
  </si>
  <si>
    <t>(212) 518-5212</t>
  </si>
  <si>
    <t>Justin.Frazer@amerigroup.com</t>
  </si>
  <si>
    <t>PARK JOSEPH</t>
  </si>
  <si>
    <t>1049 ROSEDALE RD</t>
  </si>
  <si>
    <t>SCHLICHTING NICOLETTE</t>
  </si>
  <si>
    <t>FERNANDEZ ISABEL</t>
  </si>
  <si>
    <t>4582 MANHATTAN COLLEGE PKWY, APT 4A</t>
  </si>
  <si>
    <t>160 WATER ST</t>
  </si>
  <si>
    <t>BETH ISRAEL MEDICAL CENTER, LONG ISLAND COLLEGE HOSPITAL?</t>
  </si>
  <si>
    <t>339 HICKS ST, DIVISION OF CARDIOLOGY AT LONG ISLAND COLLEGE HOSPITAL</t>
  </si>
  <si>
    <t>MOUNT SINAI SCHOOL OF MEDICINE, LABORATORY MEDICINE PHYSICIANS?</t>
  </si>
  <si>
    <t>1 GUSTAVE L LEVY PL, ICAHN BLDG., 8TH FLOOR</t>
  </si>
  <si>
    <t>ST. LUKE'S ROOSEVELT HOSPITAL?</t>
  </si>
  <si>
    <t>ST. LUKE'S ROOSEVELT HOSPITAL</t>
  </si>
  <si>
    <t>319 E 50TH ST, APARTMENT 9E</t>
  </si>
  <si>
    <t>MOUNT SINAI HOSPITAL PHARMACY?</t>
  </si>
  <si>
    <t>MOUNT SINAI HOSPITAL PHARMACY</t>
  </si>
  <si>
    <t>1 GUSTAVE L LEVY PL, BOX 1211</t>
  </si>
  <si>
    <t>ST LUKES HOSPITAL?</t>
  </si>
  <si>
    <t>BETH ISRAEL MED CTR ESRD 3RD AVE</t>
  </si>
  <si>
    <t>MOUNT SINAI SCHOOL OF MEDICINE?</t>
  </si>
  <si>
    <t>7901 BROADWAY, DEPARTMENT OF PEDIATRICS</t>
  </si>
  <si>
    <t>1 GUSTAVE L LEVY PL, BOX 1495</t>
  </si>
  <si>
    <t>MOUNT SINAI QUEENS?</t>
  </si>
  <si>
    <t>MOUNT SINAI QUEENS</t>
  </si>
  <si>
    <t>30-74 31ST STREET,</t>
  </si>
  <si>
    <t>E0286226</t>
  </si>
  <si>
    <t>KULA ELIZABETH</t>
  </si>
  <si>
    <t>ST. LUKE'S ROOSEVELT HOSPITAL CENTER?</t>
  </si>
  <si>
    <t>ST. LUKE'S ROOSEVELT HOSPITAL CENTER</t>
  </si>
  <si>
    <t>5 E 98TH ST, BOX 1188</t>
  </si>
  <si>
    <t>ST. LUKES - ROOSEVELT HOSPITAL?</t>
  </si>
  <si>
    <t>ST. LUKES - ROOSEVELT HOSPITAL</t>
  </si>
  <si>
    <t>MOUNT SINAI HOSPITAL QUEENS?</t>
  </si>
  <si>
    <t>MOUNT SINAI HOSPITAL QUEENS</t>
  </si>
  <si>
    <t>1 GUSTAVE L LEVY PL, BOX 1067</t>
  </si>
  <si>
    <t>ST LUKES ROOSEVELT?</t>
  </si>
  <si>
    <t>5 E 98TH ST, 5TH FLOOR</t>
  </si>
  <si>
    <t>345 E 102ND ST, SUITE 215</t>
  </si>
  <si>
    <t>5 EAST 95TH ST, 12TH FLOOR</t>
  </si>
  <si>
    <t>ONE GUSTAVE L. LEVY PLACE, BOX 1139</t>
  </si>
  <si>
    <t>132 W 125TH ST, 6TH FLOOR</t>
  </si>
  <si>
    <t>MOUNT SINAI?</t>
  </si>
  <si>
    <t>Henry Street Settlement</t>
  </si>
  <si>
    <t>E0015886</t>
  </si>
  <si>
    <t>HENRY ST SETTLEMENT HOUSE OMH</t>
  </si>
  <si>
    <t>Kristin Hertel</t>
  </si>
  <si>
    <t>HENRY STREET SETTLEMENT</t>
  </si>
  <si>
    <t>40 MONTOGOMERY STREET</t>
  </si>
  <si>
    <t>Housing Works East New York D&amp;TC</t>
  </si>
  <si>
    <t>E0117429</t>
  </si>
  <si>
    <t>HOUSING WORKS E NY HIV 3 AADC</t>
  </si>
  <si>
    <t>HOUSING WORKS HEALTH SERVICES III INC</t>
  </si>
  <si>
    <t>HOUSING WORKS HEALTH SERVICES III</t>
  </si>
  <si>
    <t>Riverdale Center for Nursing and Rehabilitation, LLC</t>
  </si>
  <si>
    <t>E0268242</t>
  </si>
  <si>
    <t>HUDSON POINTE RIVERDALE CT NR &amp; REH</t>
  </si>
  <si>
    <t>Eli Skoczylas</t>
  </si>
  <si>
    <t>(718) 514-2000</t>
  </si>
  <si>
    <t>eskoczylas@nathealthcare.com</t>
  </si>
  <si>
    <t>RIVERDALE CENTER FOR NURSING AND REHABILITATION, LLC</t>
  </si>
  <si>
    <t>RIVERDALE CTR FOR NURSING &amp; REHAB</t>
  </si>
  <si>
    <t>Integra Partners, LLC</t>
  </si>
  <si>
    <t>Scott Brennan</t>
  </si>
  <si>
    <t>(718) 715-1724</t>
  </si>
  <si>
    <t>sbrennan@accessintegra.com</t>
  </si>
  <si>
    <t>INTEGRA PARTNERS LLC</t>
  </si>
  <si>
    <t>100 WALL ST, SUITE 2502</t>
  </si>
  <si>
    <t>Isabella Care at Home, Inc.</t>
  </si>
  <si>
    <t>E0384387</t>
  </si>
  <si>
    <t>ISABELLA CARE AT HOME INC</t>
  </si>
  <si>
    <t>5073 BROADWAY</t>
  </si>
  <si>
    <t>Rockaway Care Center</t>
  </si>
  <si>
    <t>Mitchell Wechter</t>
  </si>
  <si>
    <t>(718) 471-5000</t>
  </si>
  <si>
    <t>mitchwechter@hotmail.com</t>
  </si>
  <si>
    <t>ROCKAWAY CARE CENTER LLC</t>
  </si>
  <si>
    <t>353 BEACH 48TH ST</t>
  </si>
  <si>
    <t>Isabella Home Care</t>
  </si>
  <si>
    <t>E0188365</t>
  </si>
  <si>
    <t>ISABELLA GERIATRIC CTR LTHHCP</t>
  </si>
  <si>
    <t>515 AUDUBON AVE # 525</t>
  </si>
  <si>
    <t>Sergei Lapinel</t>
  </si>
  <si>
    <t>E0116057</t>
  </si>
  <si>
    <t>LAPINEL SERGEI MD</t>
  </si>
  <si>
    <t>LAPINEL SERGEI</t>
  </si>
  <si>
    <t>8615 QUEENS BLVD</t>
  </si>
  <si>
    <t>Kenneth Higgins</t>
  </si>
  <si>
    <t>E0127649</t>
  </si>
  <si>
    <t>HIGGINS KENNETH J MD</t>
  </si>
  <si>
    <t>HIGGINS KENNETH</t>
  </si>
  <si>
    <t>Miriam Fuhrman</t>
  </si>
  <si>
    <t>E0012269</t>
  </si>
  <si>
    <t>FUHRMAN MIRIAM MD</t>
  </si>
  <si>
    <t>FUHRMAN MIRIAM DR.</t>
  </si>
  <si>
    <t>215 W 125TH ST</t>
  </si>
  <si>
    <t>Linda Tallaksen</t>
  </si>
  <si>
    <t>E0378705</t>
  </si>
  <si>
    <t>TALLAKSEN LINDA</t>
  </si>
  <si>
    <t>TALLAKSEN LINDA MRS.</t>
  </si>
  <si>
    <t>Melissa Wright</t>
  </si>
  <si>
    <t>E0386192</t>
  </si>
  <si>
    <t>WRIGHT MELISSA DENISE</t>
  </si>
  <si>
    <t>WRIGHT MELISSA MISS</t>
  </si>
  <si>
    <t>Meenakshi Bharara</t>
  </si>
  <si>
    <t>E0100359</t>
  </si>
  <si>
    <t>BHARARA MEENAKSHI MD</t>
  </si>
  <si>
    <t>BHARARA MEENAKSHI</t>
  </si>
  <si>
    <t>ST JOHN'S QUEENS</t>
  </si>
  <si>
    <t xml:space="preserve">Steven  Finkelstein </t>
  </si>
  <si>
    <t>E0031947</t>
  </si>
  <si>
    <t>FINKELSTEIN STEVEN PETER MD</t>
  </si>
  <si>
    <t>Kenneth Banner</t>
  </si>
  <si>
    <t>E0338359</t>
  </si>
  <si>
    <t>BANNER KENNETH</t>
  </si>
  <si>
    <t>BANNER KENNETH DR.</t>
  </si>
  <si>
    <t>Rajashree Patil</t>
  </si>
  <si>
    <t>E0307033</t>
  </si>
  <si>
    <t>PATIL RAJASHREE</t>
  </si>
  <si>
    <t>PATIL RAJASHREE SITARAM</t>
  </si>
  <si>
    <t>Sanjosh Singh</t>
  </si>
  <si>
    <t>E0401187</t>
  </si>
  <si>
    <t>SINGH SANJOSH</t>
  </si>
  <si>
    <t>Keith Tung</t>
  </si>
  <si>
    <t>E0001815</t>
  </si>
  <si>
    <t>TUNG KEITH</t>
  </si>
  <si>
    <t>TUNG KEITH H</t>
  </si>
  <si>
    <t>535 8TH AVE FL 6</t>
  </si>
  <si>
    <t>Uday Bhargava</t>
  </si>
  <si>
    <t>E0251712</t>
  </si>
  <si>
    <t>BHARGAVA UDAY              MD</t>
  </si>
  <si>
    <t>BHARGAVA UDAY</t>
  </si>
  <si>
    <t>MANHATTAN AVE MED CT</t>
  </si>
  <si>
    <t>Harold Grafstein</t>
  </si>
  <si>
    <t>E0152190</t>
  </si>
  <si>
    <t>GRAFSTEIN HAROLD M MD</t>
  </si>
  <si>
    <t>GRAFSTEIN HAROLD</t>
  </si>
  <si>
    <t>Rigmor Spang</t>
  </si>
  <si>
    <t>E0148793</t>
  </si>
  <si>
    <t>SPANG RIGMOR E MD</t>
  </si>
  <si>
    <t>SPANG RIGMOR DR.</t>
  </si>
  <si>
    <t>Kelly Eberhardt</t>
  </si>
  <si>
    <t>E0011467</t>
  </si>
  <si>
    <t>EBERHARDT KELLY JEAN MD</t>
  </si>
  <si>
    <t>EBERHARDT KELLY DR.</t>
  </si>
  <si>
    <t xml:space="preserve">Barry Wright </t>
  </si>
  <si>
    <t>E0002401</t>
  </si>
  <si>
    <t>WRIGHT BARRY N</t>
  </si>
  <si>
    <t>WRIGHT BARRY MR.</t>
  </si>
  <si>
    <t>Latonia Ward</t>
  </si>
  <si>
    <t>E0064258</t>
  </si>
  <si>
    <t>WARD LATONIA MARIA MD</t>
  </si>
  <si>
    <t>WARD LATONIA</t>
  </si>
  <si>
    <t>Bruce Denny</t>
  </si>
  <si>
    <t>E0155868</t>
  </si>
  <si>
    <t>DENNY BRUCE EARL MD</t>
  </si>
  <si>
    <t>DENNY BRUCE DR.</t>
  </si>
  <si>
    <t>Sanjiv Sharma</t>
  </si>
  <si>
    <t>E0116095</t>
  </si>
  <si>
    <t>SHARMA SANJIV MD</t>
  </si>
  <si>
    <t>SHARMA SANJIV</t>
  </si>
  <si>
    <t>300 BAY SHORE RD</t>
  </si>
  <si>
    <t xml:space="preserve">Oneca Heath-Phillip </t>
  </si>
  <si>
    <t>E0091242</t>
  </si>
  <si>
    <t>HEATH-PHILLIP ONECA S J MD</t>
  </si>
  <si>
    <t>HEATH-PHILLIP ONECA</t>
  </si>
  <si>
    <t>David Blaize</t>
  </si>
  <si>
    <t>E0396896</t>
  </si>
  <si>
    <t>BLAIZE DAVID</t>
  </si>
  <si>
    <t>BLAIZE DAVID MR.</t>
  </si>
  <si>
    <t>BLAIZE DAVID E</t>
  </si>
  <si>
    <t>Samah Jan</t>
  </si>
  <si>
    <t>E0326924</t>
  </si>
  <si>
    <t>JAN SAMAH</t>
  </si>
  <si>
    <t>Laura Tikijian</t>
  </si>
  <si>
    <t>E0330303</t>
  </si>
  <si>
    <t>TIKIJIAN LAURA ANN PA</t>
  </si>
  <si>
    <t>Inas Wassef</t>
  </si>
  <si>
    <t>E0362284</t>
  </si>
  <si>
    <t>WASSEF INAS LATIF SHAKER</t>
  </si>
  <si>
    <t>WASSEF INAS DR.</t>
  </si>
  <si>
    <t>Howard Friedman</t>
  </si>
  <si>
    <t>E0227722</t>
  </si>
  <si>
    <t>FRIEDMAN HOWARD M MD</t>
  </si>
  <si>
    <t>Julie Tomback</t>
  </si>
  <si>
    <t>E0293954</t>
  </si>
  <si>
    <t>TOMBACK JULIE</t>
  </si>
  <si>
    <t>TOMBACK JULIE DR.</t>
  </si>
  <si>
    <t>TOMBACK JULIE SAMANTHA</t>
  </si>
  <si>
    <t>215 EAST 95TH ST</t>
  </si>
  <si>
    <t xml:space="preserve">Rajen  Mehta </t>
  </si>
  <si>
    <t>E0313037</t>
  </si>
  <si>
    <t>MEHTA RAJEN</t>
  </si>
  <si>
    <t>MEHTA RAJEN DR.</t>
  </si>
  <si>
    <t>MEHTA RAJEN ANIL</t>
  </si>
  <si>
    <t xml:space="preserve">Jennifer  Reinhart </t>
  </si>
  <si>
    <t>E0338362</t>
  </si>
  <si>
    <t>REINHART JENNIFER GAIL</t>
  </si>
  <si>
    <t>REINHART JENNIFER MS.</t>
  </si>
  <si>
    <t>BETH ISRAEL MED CTR ESRD 16TH ST</t>
  </si>
  <si>
    <t>E0135271</t>
  </si>
  <si>
    <t>MARIN DEBORAH B MD</t>
  </si>
  <si>
    <t>MT SINAI PSYCH</t>
  </si>
  <si>
    <t>SAINT LUKES ROOSEVELT HOSPITAL LAB?</t>
  </si>
  <si>
    <t>SAINT LUKES ROOSEVELT HOSPITAL LAB</t>
  </si>
  <si>
    <t>ST. LUKES ROOSEVELT HOSPITAL MEDICAL CENTER?</t>
  </si>
  <si>
    <t>ST. LUKES ROOSEVELT HOSPITAL MEDICAL CENTER</t>
  </si>
  <si>
    <t>ST LUKES ROOSEVELT HSP CTR PSYCH UN</t>
  </si>
  <si>
    <t>MT SINAI HOSPITAL?</t>
  </si>
  <si>
    <t>E0064632</t>
  </si>
  <si>
    <t>COMAS CAROLE CHERUBIN</t>
  </si>
  <si>
    <t>NEIGHBORHOOD MED CR</t>
  </si>
  <si>
    <t>317 E 17TH ST, 11 FIERMAN HALL</t>
  </si>
  <si>
    <t>Sunnyside Citywide Home Care Services, Inc</t>
  </si>
  <si>
    <t>SUNNYSIDE CITYWIDE HOME CARE SERVICES, INC.</t>
  </si>
  <si>
    <t>43-31 39TH STREET</t>
  </si>
  <si>
    <t>Sunnyside Community Services</t>
  </si>
  <si>
    <t>SUNNYSIDE COMMUNITY SERVICES, INC.</t>
  </si>
  <si>
    <t>Pilz, Yasmine</t>
  </si>
  <si>
    <t>Sidney Contreras</t>
  </si>
  <si>
    <t>33 W 42nd Street</t>
  </si>
  <si>
    <t>Nixa Davila</t>
  </si>
  <si>
    <t>29-76 Northern Boulevard</t>
  </si>
  <si>
    <t>Denise Broadnax</t>
  </si>
  <si>
    <t>500 Linda Ave.</t>
  </si>
  <si>
    <t>Najara, Julia</t>
  </si>
  <si>
    <t>Natalie Ligonde</t>
  </si>
  <si>
    <t>2089 Third Ave</t>
  </si>
  <si>
    <t>Jon Michnovicz</t>
  </si>
  <si>
    <t>E0348628</t>
  </si>
  <si>
    <t>FABROS ERNEST RICHARD ASTRERO</t>
  </si>
  <si>
    <t xml:space="preserve">Michele Quigley </t>
  </si>
  <si>
    <t>mquigley@ucpnyc.org</t>
  </si>
  <si>
    <t>FABROS ERNEST</t>
  </si>
  <si>
    <t>314 E 30TH ST</t>
  </si>
  <si>
    <t>Loredana Ladogana</t>
  </si>
  <si>
    <t>E0225594</t>
  </si>
  <si>
    <t>LADOGANA LOREDANA E  MD</t>
  </si>
  <si>
    <t>LADOGANA LOREDANA</t>
  </si>
  <si>
    <t>47-03 QUEENS BLVD</t>
  </si>
  <si>
    <t>United Cerebral Palsy of New York City (UCP of NYC)</t>
  </si>
  <si>
    <t>E0273930</t>
  </si>
  <si>
    <t>UNITED CEREBRAL PALSY OF NYC</t>
  </si>
  <si>
    <t>Deruelyne Dessalints</t>
  </si>
  <si>
    <t>E0367368</t>
  </si>
  <si>
    <t>DESSALINES DERVELYNE</t>
  </si>
  <si>
    <t>71 METROPOLITAN OVAL FL 2</t>
  </si>
  <si>
    <t>Vincent Calamia, MD</t>
  </si>
  <si>
    <t>15 Metrotech Center</t>
  </si>
  <si>
    <t>Xincon Home-Healthcare Services</t>
  </si>
  <si>
    <t xml:space="preserve">ICF 35TH ST UNIT 3 </t>
  </si>
  <si>
    <t>E0146140</t>
  </si>
  <si>
    <t>YOUNG ADULT INST STE 3 ICF</t>
  </si>
  <si>
    <t>SUITE 3 ICF</t>
  </si>
  <si>
    <t>ICF 35TH ST UNIT 1</t>
  </si>
  <si>
    <t>E0146137</t>
  </si>
  <si>
    <t>YOUNG ADULT INST STE 1 ICF</t>
  </si>
  <si>
    <t>SUITE 1 ICF</t>
  </si>
  <si>
    <t xml:space="preserve">ICF AMES NORTH 16TH ST FRONT </t>
  </si>
  <si>
    <t>E0256778</t>
  </si>
  <si>
    <t>YOUNG ADULT INST 16 ST(FRONT)</t>
  </si>
  <si>
    <t>35TH ST ICF</t>
  </si>
  <si>
    <t xml:space="preserve">ICF LEVITTOWN </t>
  </si>
  <si>
    <t>E0185155</t>
  </si>
  <si>
    <t>YOUNG ADULT INST LEVITTOWN</t>
  </si>
  <si>
    <t>LEVITTOWN ICF</t>
  </si>
  <si>
    <t xml:space="preserve">ICF RIDGEWAY AVE </t>
  </si>
  <si>
    <t>E0089418</t>
  </si>
  <si>
    <t>YOUNG ADULT INST ICF</t>
  </si>
  <si>
    <t>101 RIDGEWAY AVE</t>
  </si>
  <si>
    <t>SETAUKET</t>
  </si>
  <si>
    <t>ICF US LEFRAK</t>
  </si>
  <si>
    <t>E0263532</t>
  </si>
  <si>
    <t>YOUNG ADULT INST U S LEFRAK</t>
  </si>
  <si>
    <t>U S LEFRAK ICF</t>
  </si>
  <si>
    <t xml:space="preserve">ICF 35TH ST UNIT 2 </t>
  </si>
  <si>
    <t>E0145157</t>
  </si>
  <si>
    <t>YOUNG ADULT INST STE 2 ICF</t>
  </si>
  <si>
    <t>SUITE 2 ICF</t>
  </si>
  <si>
    <t xml:space="preserve">ICF KEW GARDENS HILLS </t>
  </si>
  <si>
    <t>E0114651</t>
  </si>
  <si>
    <t>YOUNG ADULT INSTITUTE INC ICF</t>
  </si>
  <si>
    <t>135-39 UNION TURNPIKE</t>
  </si>
  <si>
    <t xml:space="preserve">ICF HULL AVE (METRO NORTH A) </t>
  </si>
  <si>
    <t>E0263489</t>
  </si>
  <si>
    <t>YOUNG ADULT INST METRO N (3L)</t>
  </si>
  <si>
    <t>METRO NORTH ICF 3L</t>
  </si>
  <si>
    <t xml:space="preserve">ICF MAMARONECK (BARRY AVE) </t>
  </si>
  <si>
    <t>E0241906</t>
  </si>
  <si>
    <t>YOUNG ADULT INST N BARRY AVE</t>
  </si>
  <si>
    <t>N BARRY AVE ICF</t>
  </si>
  <si>
    <t xml:space="preserve">ICF ROSE LANE (PENACHIO) </t>
  </si>
  <si>
    <t>E0247782</t>
  </si>
  <si>
    <t>YOUNG ADULT INST ROSE LANE</t>
  </si>
  <si>
    <t>ROSE LANE ICF</t>
  </si>
  <si>
    <t>Mary Beth Sivak, M.S.</t>
  </si>
  <si>
    <t xml:space="preserve">Matthew Sturiale </t>
  </si>
  <si>
    <t>211-11 Northern Blvd - 2nd Floor</t>
  </si>
  <si>
    <t xml:space="preserve">ICF FALMOUTH RD (LEWISBORO) </t>
  </si>
  <si>
    <t>E0217200</t>
  </si>
  <si>
    <t>YOUNG ADULT INST LEWISBORO</t>
  </si>
  <si>
    <t>177 FALMOUTH RD</t>
  </si>
  <si>
    <t xml:space="preserve">ICF OCEAN PARKWAY </t>
  </si>
  <si>
    <t>E0263521</t>
  </si>
  <si>
    <t>YOUNG ADULT INST OCEAN PARKWY</t>
  </si>
  <si>
    <t>OCEAN PARKWAY ICF</t>
  </si>
  <si>
    <t>Carol De Costa</t>
  </si>
  <si>
    <t>142 Joralemon St</t>
  </si>
  <si>
    <t>Bhanumathy Vinayagasundaram</t>
  </si>
  <si>
    <t>E0012211</t>
  </si>
  <si>
    <t>VINAYAGASUNDARAM BHANUMATHY  MD</t>
  </si>
  <si>
    <t>VINAYAGASUNDARAM BHANUMATHY DR.</t>
  </si>
  <si>
    <t>VINAYAGASUNDARAM BHANUMATHY MD</t>
  </si>
  <si>
    <t>Maria  DiSilvio-Larkin</t>
  </si>
  <si>
    <t>E0113741</t>
  </si>
  <si>
    <t>DISILVIO-LARKIN MARIA MD</t>
  </si>
  <si>
    <t>DISILVIO-LARKIN MARIA</t>
  </si>
  <si>
    <t>Binh Lam</t>
  </si>
  <si>
    <t>E0066781</t>
  </si>
  <si>
    <t>LAM BINH V MD</t>
  </si>
  <si>
    <t>LAM BINH DR.</t>
  </si>
  <si>
    <t xml:space="preserve">Eduard  Rozner </t>
  </si>
  <si>
    <t>E0326845</t>
  </si>
  <si>
    <t>ROZNER EDUARD</t>
  </si>
  <si>
    <t>ROZNER EDUARD ALEXANDER</t>
  </si>
  <si>
    <t xml:space="preserve">Rabeya  Rahman </t>
  </si>
  <si>
    <t>E0108014</t>
  </si>
  <si>
    <t>RAHMAN RABEYA MD</t>
  </si>
  <si>
    <t>RAHMAN RABEYA</t>
  </si>
  <si>
    <t>Joahd Toure</t>
  </si>
  <si>
    <t>E0376612</t>
  </si>
  <si>
    <t>TOURE JOAHD MALIK</t>
  </si>
  <si>
    <t>TOURE JOAHD DR.</t>
  </si>
  <si>
    <t>Randolph  Mapp</t>
  </si>
  <si>
    <t>E0127718</t>
  </si>
  <si>
    <t>MAPP RANDOLPH JULIAN</t>
  </si>
  <si>
    <t>MAPP RANDOLPH</t>
  </si>
  <si>
    <t>Amit Schwartz</t>
  </si>
  <si>
    <t>E0072269</t>
  </si>
  <si>
    <t>SCHWARTZ AMIT</t>
  </si>
  <si>
    <t>SCHWARTZ AMIT DR.</t>
  </si>
  <si>
    <t>Alexander Kogos</t>
  </si>
  <si>
    <t>E0022013</t>
  </si>
  <si>
    <t>KOGOS ALEXANDER MD</t>
  </si>
  <si>
    <t>KOGOS ALEXANDER</t>
  </si>
  <si>
    <t>Mohinder Guram</t>
  </si>
  <si>
    <t>E0164660</t>
  </si>
  <si>
    <t>GURAM MOHINDER K MD</t>
  </si>
  <si>
    <t>GURAM MOHINDER</t>
  </si>
  <si>
    <t xml:space="preserve">Jean-Etienne Thibaud </t>
  </si>
  <si>
    <t>E0063432</t>
  </si>
  <si>
    <t>THIBAUD JEAN-ETIENNE DO</t>
  </si>
  <si>
    <t>THIBAUD JEAN-ETIENNE DR.</t>
  </si>
  <si>
    <t>24108 NEWHALL AVE</t>
  </si>
  <si>
    <t>Joy Whittington</t>
  </si>
  <si>
    <t>E0296560</t>
  </si>
  <si>
    <t>JOY WHITTINGTON MD</t>
  </si>
  <si>
    <t>WHITTINGTON JOY DR.</t>
  </si>
  <si>
    <t>WHITTINGTON JOY MARIE MD</t>
  </si>
  <si>
    <t>Natalie Zelenko</t>
  </si>
  <si>
    <t>E0292676</t>
  </si>
  <si>
    <t>MARYANOVSKY-ZELENKO NATALIE</t>
  </si>
  <si>
    <t>ZELENKO NATALIE DR.</t>
  </si>
  <si>
    <t>MARYANOVSKY-ZELENKO NATALIE MD</t>
  </si>
  <si>
    <t>Reshma Friedman</t>
  </si>
  <si>
    <t>E0320708</t>
  </si>
  <si>
    <t>MATHEN RESHMA</t>
  </si>
  <si>
    <t>FRIEDMAN RESHMA DR.</t>
  </si>
  <si>
    <t>FRIEDMAN RESHMA MATHEN</t>
  </si>
  <si>
    <t>Amaka  Onianwa</t>
  </si>
  <si>
    <t>E0320058</t>
  </si>
  <si>
    <t>ONIANWA AMAKA LAURETA</t>
  </si>
  <si>
    <t>ONIANWA AMAKA</t>
  </si>
  <si>
    <t xml:space="preserve">David  Inslicht </t>
  </si>
  <si>
    <t>E0094766</t>
  </si>
  <si>
    <t>INSLICHT DAVID VICTOR MD</t>
  </si>
  <si>
    <t>INSLICHT DAVID</t>
  </si>
  <si>
    <t>7029 MAIN ST</t>
  </si>
  <si>
    <t>Marvin Witt</t>
  </si>
  <si>
    <t>E0127691</t>
  </si>
  <si>
    <t>WITT MARVIN III MD</t>
  </si>
  <si>
    <t>WITT MARVIN DR.</t>
  </si>
  <si>
    <t>New York Rehabilitation Care Management, LLC</t>
  </si>
  <si>
    <t>Nathan Brachfeld</t>
  </si>
  <si>
    <t>nzb1@aol.com</t>
  </si>
  <si>
    <t>E0183901</t>
  </si>
  <si>
    <t>JEWISH BD FAM CHILD WASHINGTN</t>
  </si>
  <si>
    <t>WASHINGTON HGTS ICF</t>
  </si>
  <si>
    <t>Jewish Home Lifecare, Adult Day Health Care</t>
  </si>
  <si>
    <t>E0182705</t>
  </si>
  <si>
    <t>JEWISH HM &amp; HOSP FOR AGED ADC</t>
  </si>
  <si>
    <t>Susan Holodak</t>
  </si>
  <si>
    <t>(914) 864-5806</t>
  </si>
  <si>
    <t>sholodak@jewishhome.org</t>
  </si>
  <si>
    <t>JEWISH HOME LIFECARE, MANHATTAN</t>
  </si>
  <si>
    <t>JEWISH HOME LIFECARE - MANHATTAN</t>
  </si>
  <si>
    <t>Jewish Home Lifecare, Bronx Adult Day Health Care</t>
  </si>
  <si>
    <t>E0267716</t>
  </si>
  <si>
    <t>JEWISH HOME LIFECARE - BRONX ADHC</t>
  </si>
  <si>
    <t>Jerold Cohen</t>
  </si>
  <si>
    <t>(212) 273-2569</t>
  </si>
  <si>
    <t>jscohen@jewishhome.org</t>
  </si>
  <si>
    <t>ICF NEW ROCHELLE (STRATTON RD)</t>
  </si>
  <si>
    <t>E0247781</t>
  </si>
  <si>
    <t>YOUNG ADULT INST PORTCHESTER</t>
  </si>
  <si>
    <t>PORCHESTER ICF</t>
  </si>
  <si>
    <t>Jewish Home Lifecare, Manhattan</t>
  </si>
  <si>
    <t>Judy Nicholson</t>
  </si>
  <si>
    <t>(212) 870-4900</t>
  </si>
  <si>
    <t>jnicholson@jewishhome.org</t>
  </si>
  <si>
    <t>Kingsboro Addiction Treatment Center</t>
  </si>
  <si>
    <t>E0165888</t>
  </si>
  <si>
    <t>KINGSBORO ADDICTION TRT CTR</t>
  </si>
  <si>
    <t>Teri Aliotta</t>
  </si>
  <si>
    <t>(718) 453-6747</t>
  </si>
  <si>
    <t>Teri.Aliotta@OASAS.ny.gov</t>
  </si>
  <si>
    <t>KINGSBORO ADDICTION TREATMENT CENTER</t>
  </si>
  <si>
    <t>754 LEXINGTON AVE # 56</t>
  </si>
  <si>
    <t>Lott Community Home Health Care Inc.</t>
  </si>
  <si>
    <t>E0374745</t>
  </si>
  <si>
    <t>LOTT COMMUNITY HOME HEALTH CARE INC</t>
  </si>
  <si>
    <t>James Janeski</t>
  </si>
  <si>
    <t>(212) 534-6464</t>
  </si>
  <si>
    <t>janeskij@aol.com</t>
  </si>
  <si>
    <t>LOTT COMMUNITY HOME HEALTH CARE INC.</t>
  </si>
  <si>
    <t>1261 5TH AVE FL 9</t>
  </si>
  <si>
    <t>Lott Assisted Living Operating Corp.</t>
  </si>
  <si>
    <t>James F. Janeski</t>
  </si>
  <si>
    <t>LOTT ASSISTED LIVING RESIDENCE</t>
  </si>
  <si>
    <t>1261 5TH AVE</t>
  </si>
  <si>
    <t>The Abraham &amp; Henrietta Malamut Community Health Center - Adult Day Care Program of Parker Jewish Institute</t>
  </si>
  <si>
    <t>E0229864</t>
  </si>
  <si>
    <t>PARKER JEWISH INSTITUTE HLTH</t>
  </si>
  <si>
    <t>CLOSED 07/01/02</t>
  </si>
  <si>
    <t>Nekeisha Sandy-Afful</t>
  </si>
  <si>
    <t>(718) 222-6626</t>
  </si>
  <si>
    <t>nsandy-afful@phoenixhouse.org</t>
  </si>
  <si>
    <t>Phoenix House Foundation, Inc.</t>
  </si>
  <si>
    <t>E0262066</t>
  </si>
  <si>
    <t>PHOENIX HOUSE FOUNDATION  INC</t>
  </si>
  <si>
    <t>PHOENIX HOUSE FOUNDATION, INC.</t>
  </si>
  <si>
    <t>1851 PHELAN PL</t>
  </si>
  <si>
    <t xml:space="preserve">HANAC, Inc. </t>
  </si>
  <si>
    <t>E0020278</t>
  </si>
  <si>
    <t>HANAC INC</t>
  </si>
  <si>
    <t>Judith Rosen LMSW, CASAC</t>
  </si>
  <si>
    <t>(718) 204-1200</t>
  </si>
  <si>
    <t>jrosen@hanac.org</t>
  </si>
  <si>
    <t>HANAC, INC.</t>
  </si>
  <si>
    <t>Extraordinary Home Care dba St. Mary's Home Care</t>
  </si>
  <si>
    <t>Jonah Cardillo</t>
  </si>
  <si>
    <t>(718) 281-8535</t>
  </si>
  <si>
    <t>jcardillo@stmaryskids.org</t>
  </si>
  <si>
    <t>St. Mary?s Community Care Professionals Corp</t>
  </si>
  <si>
    <t xml:space="preserve"> BIMC FACULTY PRACTICE</t>
  </si>
  <si>
    <t>E0303038</t>
  </si>
  <si>
    <t>BIMC FACULTY PRACTICE</t>
  </si>
  <si>
    <t>10 NATHAN D PERLMAN PL FL 7</t>
  </si>
  <si>
    <t>E0303530</t>
  </si>
  <si>
    <t>E0303741</t>
  </si>
  <si>
    <t>Mount Sinai Hospital Out Reach Labs</t>
  </si>
  <si>
    <t>Mount Sinai Hospital B1 dialysis</t>
  </si>
  <si>
    <t>LADERMAN TAMAR MRS.</t>
  </si>
  <si>
    <t>E0057995</t>
  </si>
  <si>
    <t>MOJICA JACQUELINE K</t>
  </si>
  <si>
    <t>MOJICA JACQUELINE MRS.</t>
  </si>
  <si>
    <t>E0422038</t>
  </si>
  <si>
    <t>DAVIS MONIFA A</t>
  </si>
  <si>
    <t>DAVIS MONIFA MS.</t>
  </si>
  <si>
    <t>E0010132</t>
  </si>
  <si>
    <t>ABENES GLORIA NICOLE</t>
  </si>
  <si>
    <t>ABENES GLORIA</t>
  </si>
  <si>
    <t xml:space="preserve">Mental Health Association of New York City </t>
  </si>
  <si>
    <t>(212) 964-5253</t>
  </si>
  <si>
    <t>Ksalisbury@mhaofnyc.org</t>
  </si>
  <si>
    <t>MZL Home Care Agency, LLC</t>
  </si>
  <si>
    <t>Roan Kane</t>
  </si>
  <si>
    <t>rkane@mzlhomecare.com</t>
  </si>
  <si>
    <t xml:space="preserve">Kameelah Phillips </t>
  </si>
  <si>
    <t>E0310891</t>
  </si>
  <si>
    <t>PHILLIPS KAMEELAH</t>
  </si>
  <si>
    <t>PHILLIPS KAMEELAH DR.</t>
  </si>
  <si>
    <t>Daphna-Raquel Barasch</t>
  </si>
  <si>
    <t>E0286152</t>
  </si>
  <si>
    <t>BARASCH DAPHNA</t>
  </si>
  <si>
    <t>BARASCH DAPHNA-RAQUEL</t>
  </si>
  <si>
    <t>BARASCH DAPHNA-RAQUEL DO</t>
  </si>
  <si>
    <t>John Bello</t>
  </si>
  <si>
    <t>E0312468</t>
  </si>
  <si>
    <t>BELLO JOHN MD</t>
  </si>
  <si>
    <t>BELLO JOHN DR.</t>
  </si>
  <si>
    <t>BELLO JOHN</t>
  </si>
  <si>
    <t>Placido Morano</t>
  </si>
  <si>
    <t>E0180717</t>
  </si>
  <si>
    <t>MORANO PLACIDO A   MD</t>
  </si>
  <si>
    <t>MORANO PLACIDO</t>
  </si>
  <si>
    <t>MORANO PLACIDO ANTHONY</t>
  </si>
  <si>
    <t>Thomas Moore</t>
  </si>
  <si>
    <t>E0223940</t>
  </si>
  <si>
    <t>MOORE THOMAS CARLISLE      MD</t>
  </si>
  <si>
    <t>MOORE THOMAS DR.</t>
  </si>
  <si>
    <t>Wisly Augustin</t>
  </si>
  <si>
    <t>E0016264</t>
  </si>
  <si>
    <t>AUGUSTIN WISLY GERALD MD</t>
  </si>
  <si>
    <t>AUGUSTIN WISLY</t>
  </si>
  <si>
    <t>Thomas Hoang</t>
  </si>
  <si>
    <t>E0389706</t>
  </si>
  <si>
    <t>HOANG THOMAS</t>
  </si>
  <si>
    <t>HOANG THOMAS DR.</t>
  </si>
  <si>
    <t>HOANG THOMAS WILLIAM</t>
  </si>
  <si>
    <t>Betty Frumkin</t>
  </si>
  <si>
    <t>FRUMKIN BETTY MS.</t>
  </si>
  <si>
    <t>1000 CHURCH AVE, FLATBUSH CENTER</t>
  </si>
  <si>
    <t>Stanley Newfield</t>
  </si>
  <si>
    <t>E0236542</t>
  </si>
  <si>
    <t>NEWFIELD STANLEY A         MD</t>
  </si>
  <si>
    <t>NEWFIELD STANLEY</t>
  </si>
  <si>
    <t>Nanda Ramsaroop</t>
  </si>
  <si>
    <t>E0111152</t>
  </si>
  <si>
    <t>RAMSAROOP NANDA D MD</t>
  </si>
  <si>
    <t>RAMSAROOP NANDA</t>
  </si>
  <si>
    <t>Daniel Buchen</t>
  </si>
  <si>
    <t>E0111138</t>
  </si>
  <si>
    <t>BUCHEN DANIEL MD</t>
  </si>
  <si>
    <t>BUCHEN DANIEL DR.</t>
  </si>
  <si>
    <t>George Malayil</t>
  </si>
  <si>
    <t>E0008974</t>
  </si>
  <si>
    <t>MALAYIL GEORGE</t>
  </si>
  <si>
    <t>MALAYIL GEORGE DR.</t>
  </si>
  <si>
    <t>MALAYIL GEORGE JUDE MD</t>
  </si>
  <si>
    <t>Sonya Dhar</t>
  </si>
  <si>
    <t>E0328367</t>
  </si>
  <si>
    <t>DHAR SONYA</t>
  </si>
  <si>
    <t>DHAR SONYA DR.</t>
  </si>
  <si>
    <t>260 E MIDDLE COUNTRY RD STE 201</t>
  </si>
  <si>
    <t xml:space="preserve">Kathleen Edouard </t>
  </si>
  <si>
    <t>E0171560</t>
  </si>
  <si>
    <t>EDOUARD KATHLEEN A  MD</t>
  </si>
  <si>
    <t>EDOUARD KATHLEEN</t>
  </si>
  <si>
    <t>Mark  Flyer</t>
  </si>
  <si>
    <t>E0132161</t>
  </si>
  <si>
    <t>FLYER MARK ALAN MD</t>
  </si>
  <si>
    <t>FLYER MARK</t>
  </si>
  <si>
    <t>UNIVERSITY IMAGING</t>
  </si>
  <si>
    <t>Getahun  Kifle</t>
  </si>
  <si>
    <t>E0109114</t>
  </si>
  <si>
    <t>KIFLE GETAHUN MD</t>
  </si>
  <si>
    <t>KIFLE GETAHUN DR.</t>
  </si>
  <si>
    <t>1370 FLATBUSH AVE</t>
  </si>
  <si>
    <t xml:space="preserve">Alison  Ullrich </t>
  </si>
  <si>
    <t>E0101788</t>
  </si>
  <si>
    <t>ULLRICH ALISON RPA</t>
  </si>
  <si>
    <t>ULLRICH ALLISON MS.</t>
  </si>
  <si>
    <t>SI EMERGENCY PHYS</t>
  </si>
  <si>
    <t>Lourdes Abrigo</t>
  </si>
  <si>
    <t>E0276238</t>
  </si>
  <si>
    <t>ABRIGO LOURDES C           MD</t>
  </si>
  <si>
    <t>ABRIGO LOURDES DR.</t>
  </si>
  <si>
    <t>ABRIGO LOURDES C</t>
  </si>
  <si>
    <t xml:space="preserve">Lisa  Calandra </t>
  </si>
  <si>
    <t>E0163629</t>
  </si>
  <si>
    <t>CALANDRA LISA  DPM</t>
  </si>
  <si>
    <t>CALANDRA LISA DR.</t>
  </si>
  <si>
    <t>26467 LANGSTON AVE</t>
  </si>
  <si>
    <t>Kristen Layne</t>
  </si>
  <si>
    <t>E0371775</t>
  </si>
  <si>
    <t>LAYNE KRISTEN JADEN</t>
  </si>
  <si>
    <t>LAYNE KRISTEN MISS</t>
  </si>
  <si>
    <t>Sheela Sheelawanti</t>
  </si>
  <si>
    <t>E0170720</t>
  </si>
  <si>
    <t>SHEELAWANTI MD</t>
  </si>
  <si>
    <t>SHEELAWANTI UNKNOWN</t>
  </si>
  <si>
    <t xml:space="preserve">Kerry Patrissi </t>
  </si>
  <si>
    <t>E0362119</t>
  </si>
  <si>
    <t>PATRISSI KERRY</t>
  </si>
  <si>
    <t>Maya Rayzman</t>
  </si>
  <si>
    <t>E0215625</t>
  </si>
  <si>
    <t>RAYZMAN MAYA MD</t>
  </si>
  <si>
    <t>RAYZMAN MAYA</t>
  </si>
  <si>
    <t>Seema Massand</t>
  </si>
  <si>
    <t>E0127742</t>
  </si>
  <si>
    <t>MASSAND SEEMA MD</t>
  </si>
  <si>
    <t>MASSAND SEEMA</t>
  </si>
  <si>
    <t>12506 101ST AVE</t>
  </si>
  <si>
    <t xml:space="preserve">Eva  Rubin </t>
  </si>
  <si>
    <t>E0344578</t>
  </si>
  <si>
    <t>RUBIN EVA</t>
  </si>
  <si>
    <t>Reyna Payero</t>
  </si>
  <si>
    <t>E0347123</t>
  </si>
  <si>
    <t>PAYERO REYNA E</t>
  </si>
  <si>
    <t>PAYERO REYNA</t>
  </si>
  <si>
    <t>PAYERO REYNA ELIZABETH</t>
  </si>
  <si>
    <t>Perfecto Saliga</t>
  </si>
  <si>
    <t>SALIGA PERFECTO MR.</t>
  </si>
  <si>
    <t>15179 25TH DR, 1ST FLOOR</t>
  </si>
  <si>
    <t xml:space="preserve">Javier Beltran </t>
  </si>
  <si>
    <t>E0172615</t>
  </si>
  <si>
    <t>BELTRAN JAVIER MD</t>
  </si>
  <si>
    <t>BELTRAN JAVIER</t>
  </si>
  <si>
    <t>Mark Panish</t>
  </si>
  <si>
    <t>E0127711</t>
  </si>
  <si>
    <t>PANISH MARK MD</t>
  </si>
  <si>
    <t>PANISH MARK</t>
  </si>
  <si>
    <t>MOUNT SINAI HOSPITAL CANCER CENTER?</t>
  </si>
  <si>
    <t>MOUNT SINAI HOSPITAL CANCER CENTER</t>
  </si>
  <si>
    <t>MOUNT SINAI BETH ISRAEL?</t>
  </si>
  <si>
    <t>MOUNT SINAI BETH ISRAEL</t>
  </si>
  <si>
    <t>317 E 17TH ST STE 2F05</t>
  </si>
  <si>
    <t>ST. LUKE'S HOSPITAL?</t>
  </si>
  <si>
    <t>ST. LUKE'S HOSPITAL</t>
  </si>
  <si>
    <t>ST LUKE'S HOSPITAL, 1111 AMSTERDAM AVE</t>
  </si>
  <si>
    <t>ST LUKE ROOSEVELT HOSPITAL?</t>
  </si>
  <si>
    <t>E0012949</t>
  </si>
  <si>
    <t>ALTIDOR SHERLY RPA</t>
  </si>
  <si>
    <t>ST LUKE ROOSEVELT HOSPITAL</t>
  </si>
  <si>
    <t>350 E 17TH STREET 18TH FLOOR, DEPARTMENT OF NEPHROLOGY</t>
  </si>
  <si>
    <t>327 E 17TH ST, 1ST AVENUE AT 16</t>
  </si>
  <si>
    <t>1468 MADISON AVE, BOX 1116</t>
  </si>
  <si>
    <t>777 FOSTER AVE, APT 5F</t>
  </si>
  <si>
    <t>BETH ISRAEL MEDICAL CENTER REHAB UN</t>
  </si>
  <si>
    <t>230 W 17TH ST, 8TH FLOOR</t>
  </si>
  <si>
    <t>MOUNT SINAI SCHOOL OF MEDICINE, MED ELMHURST DIALYSIS?</t>
  </si>
  <si>
    <t>79-01 BROADWAY, RM A1-9</t>
  </si>
  <si>
    <t>Mount Sinai Hospital DTC</t>
  </si>
  <si>
    <t>E0045090</t>
  </si>
  <si>
    <t>MOUNT SINAI D&amp;T CENTER</t>
  </si>
  <si>
    <t>MOUNT SINAI DIAGNOSTIC AND TREATMENT CENTER</t>
  </si>
  <si>
    <t>5 E 102ND ST</t>
  </si>
  <si>
    <t>BETH ISRAEL MEDICAL CENTER LAB</t>
  </si>
  <si>
    <t>1249 PARK AVE, APT. 3G</t>
  </si>
  <si>
    <t>1 GUSTAVE L LEVY PL, BOX 1179</t>
  </si>
  <si>
    <t>MOUNT SINAI HOSPITAL, SENIOR CARE CENTER MOUNT SINAI HOSPITAL OF QUEENS?</t>
  </si>
  <si>
    <t>MOUNT SINAI SCHOOL OF MEDICINE, MOUNT SINAI GENETIC TESTING LABORATORY?</t>
  </si>
  <si>
    <t>E0295886</t>
  </si>
  <si>
    <t>MOUNT SINAI GENETIC TESTING LABORAT</t>
  </si>
  <si>
    <t>1428 MADISON AVE FL 2</t>
  </si>
  <si>
    <t>1 BALLANTINE LANE</t>
  </si>
  <si>
    <t>MOUNT SINAI HOSPITAL EARLY INTERVENTION?</t>
  </si>
  <si>
    <t>E0312757</t>
  </si>
  <si>
    <t>MOUNT SINAI HOSPITAL EARLY INTERVEN</t>
  </si>
  <si>
    <t>MOUNT SINAI HOSPITAL EARLY INTERVENTION</t>
  </si>
  <si>
    <t>BETH ISRAEL MED CTR ESRD BROADWAY</t>
  </si>
  <si>
    <t>ST LUKES ROOSEVELT HOSPITAL?</t>
  </si>
  <si>
    <t>ST LUKES ROOSEVELT HOSPITAL</t>
  </si>
  <si>
    <t>BETH ISRAEL HOSPITAL?</t>
  </si>
  <si>
    <t>BETH ISRAEL HOSPITAL, 16TH STREET FIRST AVENUE</t>
  </si>
  <si>
    <t>Libi Galmer</t>
  </si>
  <si>
    <t>E0362984</t>
  </si>
  <si>
    <t>GALMER LIBI Z</t>
  </si>
  <si>
    <t>GALMER LIBI</t>
  </si>
  <si>
    <t>Naveen Kankanala</t>
  </si>
  <si>
    <t>E0323856</t>
  </si>
  <si>
    <t>KANKANALA NAVEEN</t>
  </si>
  <si>
    <t>KANKANALA NAVEEN DR.</t>
  </si>
  <si>
    <t>722 WEST 168TH ST R1 FL</t>
  </si>
  <si>
    <t>Cathy Ficalora</t>
  </si>
  <si>
    <t>FICALORA CATHY</t>
  </si>
  <si>
    <t>Sandra Nurse</t>
  </si>
  <si>
    <t>E0127676</t>
  </si>
  <si>
    <t>NURSE SANDRA RENEE MD</t>
  </si>
  <si>
    <t>NURSE SANDRA DR.</t>
  </si>
  <si>
    <t>Vinod Thukral</t>
  </si>
  <si>
    <t>E0108561</t>
  </si>
  <si>
    <t>THUKRAL VINOD K MD</t>
  </si>
  <si>
    <t>THUKRAL VINOD</t>
  </si>
  <si>
    <t>Michael Fitzgerald</t>
  </si>
  <si>
    <t>E0127623</t>
  </si>
  <si>
    <t>FITZGERALD MICHAEL PATRICK MD</t>
  </si>
  <si>
    <t>FITZGERALD MICHAEL DR.</t>
  </si>
  <si>
    <t>Lauren DeGaetano</t>
  </si>
  <si>
    <t>E0379628</t>
  </si>
  <si>
    <t>DEGAETANO LAUREN THERESA</t>
  </si>
  <si>
    <t>DEGAETANO LAUREN MRS.</t>
  </si>
  <si>
    <t>Manish Chadha</t>
  </si>
  <si>
    <t>E0286189</t>
  </si>
  <si>
    <t>CHADHA MANISH</t>
  </si>
  <si>
    <t>CHADHA MANISH DR.</t>
  </si>
  <si>
    <t>CHADHA MANISH MD</t>
  </si>
  <si>
    <t>Lalit Patel</t>
  </si>
  <si>
    <t>Beverly Slater</t>
  </si>
  <si>
    <t>86 East 49 Street, Suite D</t>
  </si>
  <si>
    <t>Emil Baccash</t>
  </si>
  <si>
    <t>Elliot Rayfield</t>
  </si>
  <si>
    <t>Joel Friedman</t>
  </si>
  <si>
    <t>joel@alternatestaffing.com</t>
  </si>
  <si>
    <t xml:space="preserve">ICF FOOTHILL </t>
  </si>
  <si>
    <t>E0103825</t>
  </si>
  <si>
    <t>YAI FOOTHILL TERRACE</t>
  </si>
  <si>
    <t>19155 FOOTHILL AVE</t>
  </si>
  <si>
    <t>Lorraine Breuer</t>
  </si>
  <si>
    <t>(718) 289-2102</t>
  </si>
  <si>
    <t>research@parkerinstitute.org</t>
  </si>
  <si>
    <t xml:space="preserve">REALITY HOUSE VETERANS COMMUNITY RESIDENCE part 819 </t>
  </si>
  <si>
    <t>E0294864</t>
  </si>
  <si>
    <t>REALITY HOUSE</t>
  </si>
  <si>
    <t>ONAJE MUID</t>
  </si>
  <si>
    <t>REALITY HOUSE INC</t>
  </si>
  <si>
    <t>8-13 ASTORIA BLVD</t>
  </si>
  <si>
    <t>Long Term Home Health Care Provider (LTHHC)</t>
  </si>
  <si>
    <t>E0010053</t>
  </si>
  <si>
    <t>NEW YORK CONG NUR CTR LTHHCP</t>
  </si>
  <si>
    <t>Cecelia Zuckerman</t>
  </si>
  <si>
    <t>(718) 576-7101</t>
  </si>
  <si>
    <t>czuckerman@nycnc.org</t>
  </si>
  <si>
    <t>NEW YORK CONGREGATIONAL CHHA</t>
  </si>
  <si>
    <t>SCO FAMILY OF SERVICED</t>
  </si>
  <si>
    <t>RTF OTTILIE HOME FOR CHILDREN</t>
  </si>
  <si>
    <t>85-70 148TH ST</t>
  </si>
  <si>
    <t>New  York Congregational Nursing Center</t>
  </si>
  <si>
    <t>RTF MADONNA HGHTS SERV COTTAGE</t>
  </si>
  <si>
    <t>151 BURRS LANE</t>
  </si>
  <si>
    <t xml:space="preserve">ICF HASTINGS </t>
  </si>
  <si>
    <t>E0247780</t>
  </si>
  <si>
    <t>YOUNG ADULT INST HASTINGS ICF</t>
  </si>
  <si>
    <t>HASTINGS ICF</t>
  </si>
  <si>
    <t>Queens Center?for Rehabilitation and Residential Health Care</t>
  </si>
  <si>
    <t>Jonathan Strauss</t>
  </si>
  <si>
    <t>(201) 214-8889</t>
  </si>
  <si>
    <t>jonathan@centersforcare.org</t>
  </si>
  <si>
    <t>E0184985</t>
  </si>
  <si>
    <t>PARKER JEWISH GERIATRIC D&amp;T</t>
  </si>
  <si>
    <t>PARKER JEWISH INSTITUTE FOR HEALTH CARE AND REHABLITATION</t>
  </si>
  <si>
    <t xml:space="preserve">ICF SPRUCEWOOD DRIVE </t>
  </si>
  <si>
    <t>E0171045</t>
  </si>
  <si>
    <t>YOUNG ADULT INST SPRUCEWOOD</t>
  </si>
  <si>
    <t>SPRUCEWOOD DR ICF</t>
  </si>
  <si>
    <t xml:space="preserve">Northern Manhattan Rehabilitation and Nursing Center </t>
  </si>
  <si>
    <t>E0137125</t>
  </si>
  <si>
    <t>NORTHERN MANHATTAN REH &amp; NRS</t>
  </si>
  <si>
    <t>Verna FitzPatrick</t>
  </si>
  <si>
    <t>(212) 426-1284</t>
  </si>
  <si>
    <t>vfitapatrick@nmrehab.org</t>
  </si>
  <si>
    <t>NORTHERN MANHATTAN NURSING HOME INC</t>
  </si>
  <si>
    <t>ST. LUKE'S-ROOSEVELT HOSPITAL CENTER, THE STOREFRONT?</t>
  </si>
  <si>
    <t>ST. LUKE'S-ROOSEVELT HOSPITAL CENTER</t>
  </si>
  <si>
    <t>350 A WEST 49TH STREET</t>
  </si>
  <si>
    <t>1000 10TH AVE, 3A-02</t>
  </si>
  <si>
    <t>526B SEAVIEW AVE</t>
  </si>
  <si>
    <t>1 GUSTAVE L LEVY PLACE, MOUNT SINAI MEDICAL CENTER</t>
  </si>
  <si>
    <t>BETH ISRAEL AMBULATORY CARE SERVICES CORP?</t>
  </si>
  <si>
    <t>E0133964</t>
  </si>
  <si>
    <t>BETH ISRAEL AMB SURG CTR B.D.</t>
  </si>
  <si>
    <t>BETH ISRAEL AMBULATORY CARE SERVICES CORP</t>
  </si>
  <si>
    <t>10 UNION SQ E, 2Q</t>
  </si>
  <si>
    <t>1 1ST AVE, SUITE 1</t>
  </si>
  <si>
    <t xml:space="preserve"> FACULTY PRACTICE ASSOCIATES</t>
  </si>
  <si>
    <t>E0331228</t>
  </si>
  <si>
    <t>E0337319</t>
  </si>
  <si>
    <t>E0348815</t>
  </si>
  <si>
    <t>E0343324</t>
  </si>
  <si>
    <t>E0348818</t>
  </si>
  <si>
    <t>E0348869</t>
  </si>
  <si>
    <t>E0350022</t>
  </si>
  <si>
    <t>E0351999</t>
  </si>
  <si>
    <t>E0357987</t>
  </si>
  <si>
    <t>E0364871</t>
  </si>
  <si>
    <t xml:space="preserve"> FACULTY PRACTICE ASSOCIATES MOUNT S</t>
  </si>
  <si>
    <t>E0332290</t>
  </si>
  <si>
    <t>E0338244</t>
  </si>
  <si>
    <t>1 GUSTAVE L LEVY PL BOX 3000</t>
  </si>
  <si>
    <t>E0343004</t>
  </si>
  <si>
    <t>E0343173</t>
  </si>
  <si>
    <t xml:space="preserve"> FPA URGENT CARE CENTER</t>
  </si>
  <si>
    <t>E0374686</t>
  </si>
  <si>
    <t>FPA URGENT CARE CENTER</t>
  </si>
  <si>
    <t>ICAHN SCHOOL OF MEDICINE MOUNT SINA</t>
  </si>
  <si>
    <t xml:space="preserve"> MOUNT SINAI GENETIC THERAPY</t>
  </si>
  <si>
    <t>E0163293</t>
  </si>
  <si>
    <t>MOUNT SINAI GENETIC THERAPY</t>
  </si>
  <si>
    <t>GUGGENHEIM PAV 2</t>
  </si>
  <si>
    <t xml:space="preserve"> MOUNT SINAI SCHOOL OF MEDICIN</t>
  </si>
  <si>
    <t>E0231211</t>
  </si>
  <si>
    <t>MOUNT SINAI SCHOOL OF MEDICIN</t>
  </si>
  <si>
    <t xml:space="preserve"> MOUNT SINAI SCHOOL OF MEDICINE</t>
  </si>
  <si>
    <t>E0007818</t>
  </si>
  <si>
    <t>E0305458</t>
  </si>
  <si>
    <t>E0307358</t>
  </si>
  <si>
    <t>E0307630</t>
  </si>
  <si>
    <t xml:space="preserve"> MOUNT SINAI SCHOOL OF MEDICINE/MOUN</t>
  </si>
  <si>
    <t>E0374717</t>
  </si>
  <si>
    <t>MOUNT SINAI SCHOOL OF MEDICINE/MOUN</t>
  </si>
  <si>
    <t>35 E 85TH ST STE 1&amp;2</t>
  </si>
  <si>
    <t xml:space="preserve"> MT SINAI OB GYN PHYSICIANS</t>
  </si>
  <si>
    <t>E0226533</t>
  </si>
  <si>
    <t>MT SINAI OB GYN PHYSICIANS</t>
  </si>
  <si>
    <t>MOUNT SINAI SCHOOL OF MEDICINE OF NEW YORK UNIVERSITY</t>
  </si>
  <si>
    <t xml:space="preserve"> MT SINAI SCHOOL OF MEDICINE</t>
  </si>
  <si>
    <t>E0136186</t>
  </si>
  <si>
    <t>MT SINAI SCHOOL OF MEDICINE</t>
  </si>
  <si>
    <t xml:space="preserve"> SLR DIAGNOSTIC RADIOLOGY   PC</t>
  </si>
  <si>
    <t>E0199597</t>
  </si>
  <si>
    <t>SLR DIAGNOSTIC RADIOLOGY   PC</t>
  </si>
  <si>
    <t>SLR DIAGNOSTIC RADIOLOGY, P.C.</t>
  </si>
  <si>
    <t>114TH ST AMSTERDAM</t>
  </si>
  <si>
    <t xml:space="preserve"> SLR OPHTHALMOLOGY PC</t>
  </si>
  <si>
    <t>E0039926</t>
  </si>
  <si>
    <t>SLR OPHTHALMOLOGY PC</t>
  </si>
  <si>
    <t>SLR OPHTHALMOLOGY ASSOCIATES, PC</t>
  </si>
  <si>
    <t xml:space="preserve"> SLRHC FACULTY PRACTICE</t>
  </si>
  <si>
    <t>E0303454</t>
  </si>
  <si>
    <t>SLRHC FACULTY PRACTICE</t>
  </si>
  <si>
    <t>E0303462</t>
  </si>
  <si>
    <t xml:space="preserve"> BETH ISRAEL MED CTR</t>
  </si>
  <si>
    <t>BERNSTEIN PAVILION</t>
  </si>
  <si>
    <t xml:space="preserve"> ST LUKES ROOSEVELT HSP</t>
  </si>
  <si>
    <t>E0134998</t>
  </si>
  <si>
    <t>ST LUKES ROOSEVELT HSP</t>
  </si>
  <si>
    <t>OMH CHILDREN WAIVER</t>
  </si>
  <si>
    <t xml:space="preserve"> PALLADIA INC</t>
  </si>
  <si>
    <t>Americare, Inc.</t>
  </si>
  <si>
    <t>Nancy Hahn</t>
  </si>
  <si>
    <t>(718) 434-5100</t>
  </si>
  <si>
    <t>NHahn@americareny.com</t>
  </si>
  <si>
    <t>AMERICARE, INC.</t>
  </si>
  <si>
    <t>2255 COLEMAN ST</t>
  </si>
  <si>
    <t>Qi (John) Ye, M.D.</t>
  </si>
  <si>
    <t>1060 Amsterdam Avenue</t>
  </si>
  <si>
    <t>Shuchita Sharma, MD</t>
  </si>
  <si>
    <t>1249 Fifth Avenue</t>
  </si>
  <si>
    <t>Jamal Kobeissi, MD</t>
  </si>
  <si>
    <t>Chaim Wanounou</t>
  </si>
  <si>
    <t xml:space="preserve">Ariella Ritvo </t>
  </si>
  <si>
    <t xml:space="preserve">100 Ross Street </t>
  </si>
  <si>
    <t xml:space="preserve">Brooklyn </t>
  </si>
  <si>
    <t>Bernhard R.Schiel</t>
  </si>
  <si>
    <t>60 Bay Street</t>
  </si>
  <si>
    <t>Koldayev, Roman</t>
  </si>
  <si>
    <t>1419 Noel Avenue</t>
  </si>
  <si>
    <t>Laurissa Hampton</t>
  </si>
  <si>
    <t>285 Schermerhorn St</t>
  </si>
  <si>
    <t>MUNN, CHARLES</t>
  </si>
  <si>
    <t>356 W 18th St.</t>
  </si>
  <si>
    <t>Ann-Marie Louison</t>
  </si>
  <si>
    <t>(121) 255-36779</t>
  </si>
  <si>
    <t>alouison@cases.org</t>
  </si>
  <si>
    <t>Andrea Dory</t>
  </si>
  <si>
    <t>20 Croyden St.</t>
  </si>
  <si>
    <t>New Hyde Park</t>
  </si>
  <si>
    <t>Dr.Joel Blass</t>
  </si>
  <si>
    <t>10 Clairmount Avenue</t>
  </si>
  <si>
    <t>Miguel Ramos Thomas</t>
  </si>
  <si>
    <t>Josefina Bastidas</t>
  </si>
  <si>
    <t>Najada Vjeri</t>
  </si>
  <si>
    <t>Adria Rodriguez</t>
  </si>
  <si>
    <t>Alan Stuckey</t>
  </si>
  <si>
    <t>Stephanie Weeks</t>
  </si>
  <si>
    <t>Margaret McEvoy</t>
  </si>
  <si>
    <t>City Health Works</t>
  </si>
  <si>
    <t xml:space="preserve">Manmeet Kaur </t>
  </si>
  <si>
    <t>(917) 842-5446</t>
  </si>
  <si>
    <t>mkaur@cityhealthworks.com</t>
  </si>
  <si>
    <t>HOY JAMILLAH</t>
  </si>
  <si>
    <t>280 HENRY ST, BETANCES HEALTH CENTER</t>
  </si>
  <si>
    <t>Amanda Ali</t>
  </si>
  <si>
    <t>975 Westchester Ave.</t>
  </si>
  <si>
    <t>Sacha Ferguson</t>
  </si>
  <si>
    <t>511 West 157th St.</t>
  </si>
  <si>
    <t>Elisa Hampton</t>
  </si>
  <si>
    <t>36-11 21st St.</t>
  </si>
  <si>
    <t>Sandra Rolston</t>
  </si>
  <si>
    <t>Beverly Mosquera, MS, MD</t>
  </si>
  <si>
    <t>(718) 617-6400</t>
  </si>
  <si>
    <t xml:space="preserve"> INSTITUTE FOR COMM LIVING SPV</t>
  </si>
  <si>
    <t>E0074444</t>
  </si>
  <si>
    <t>INSTITUTE FOR COMM LIVING SPV</t>
  </si>
  <si>
    <t xml:space="preserve"> INSTITUTE FOR COMMUNITY LIVING DAY</t>
  </si>
  <si>
    <t>E0290250</t>
  </si>
  <si>
    <t>INSTITUTE FOR COMMUNITY LIVING DAY</t>
  </si>
  <si>
    <t>40 RECTOR ST</t>
  </si>
  <si>
    <t xml:space="preserve"> OMRDD/INST FOR COMM LIVING</t>
  </si>
  <si>
    <t>E0099977</t>
  </si>
  <si>
    <t>INST FOR COMM LIVING</t>
  </si>
  <si>
    <t>125 BROAD ST</t>
  </si>
  <si>
    <t xml:space="preserve"> OMRDD/SERVICES FOR UNDERSRVD</t>
  </si>
  <si>
    <t>E0099521</t>
  </si>
  <si>
    <t>SERVICES FOR UNDERSRVD</t>
  </si>
  <si>
    <t>(212) 633-6900</t>
  </si>
  <si>
    <t>SERVICES FOR UNDERSRVED</t>
  </si>
  <si>
    <t>305 7TH AVE FL 10</t>
  </si>
  <si>
    <t xml:space="preserve"> OMRDD/UCP NEW YORK CITY</t>
  </si>
  <si>
    <t>E0099527</t>
  </si>
  <si>
    <t>OMRDD/UCP NEW YORK CITY</t>
  </si>
  <si>
    <t>UCP NEW YORK CITY</t>
  </si>
  <si>
    <t>80 MAIDEN LN FL 8</t>
  </si>
  <si>
    <t xml:space="preserve"> SERVICES F/ T UNDERSVRD SPT</t>
  </si>
  <si>
    <t>E0025026</t>
  </si>
  <si>
    <t>SERVICES F/ T UNDERSVRD ND 8</t>
  </si>
  <si>
    <t>SERVICES F/ T UNDERSVRD SPT</t>
  </si>
  <si>
    <t>50 NEW YORK AVE # 5B</t>
  </si>
  <si>
    <t xml:space="preserve"> SERVICES F/T UNDERSERVED RSP</t>
  </si>
  <si>
    <t>E0032110</t>
  </si>
  <si>
    <t>SERVICES F/T UNDERSERVED RSP</t>
  </si>
  <si>
    <t>16421 HILLSIDE AVE</t>
  </si>
  <si>
    <t xml:space="preserve"> SERVICES F/T UNDERSERVED-VERN</t>
  </si>
  <si>
    <t>E0198553</t>
  </si>
  <si>
    <t>SERVICES F/T UNDERSERVED-VERN</t>
  </si>
  <si>
    <t>(212) 279-0960</t>
  </si>
  <si>
    <t>SERVICES FOR THE UNDERSERVED</t>
  </si>
  <si>
    <t>VERNON AVE ICF</t>
  </si>
  <si>
    <t xml:space="preserve"> SERVICES FOR UNDERSERVED SPV</t>
  </si>
  <si>
    <t>E0075115</t>
  </si>
  <si>
    <t>SERVICES FOR UNDERSERVED SPV</t>
  </si>
  <si>
    <t xml:space="preserve"> SERVICES FOR UNDERSRVD DAY</t>
  </si>
  <si>
    <t>E0029732</t>
  </si>
  <si>
    <t>SERVICES FOR UNDERSRVD DAY</t>
  </si>
  <si>
    <t>SERVICES FOR UNDERSERVED DAY</t>
  </si>
  <si>
    <t xml:space="preserve"> UCP NYC CASTLTN 165 ST MK2A-B</t>
  </si>
  <si>
    <t>E0193489</t>
  </si>
  <si>
    <t>UCP NYC CASTLTN 165 ST MK2A-B</t>
  </si>
  <si>
    <t>CASTLETN PK ICF 2A-B</t>
  </si>
  <si>
    <t>E0016140</t>
  </si>
  <si>
    <t>DESCARTES-WALKER INGRID MD</t>
  </si>
  <si>
    <t>Walker-DescartesIngrid</t>
  </si>
  <si>
    <t>WALKER-DESCARTES INGRID</t>
  </si>
  <si>
    <t>WeissAllison</t>
  </si>
  <si>
    <t>WEISS ALLISON</t>
  </si>
  <si>
    <t>E0190163</t>
  </si>
  <si>
    <t>YOHAI DAVID MD</t>
  </si>
  <si>
    <t>YohaiDavid</t>
  </si>
  <si>
    <t>YOHAI DAVID</t>
  </si>
  <si>
    <t>LiKatie</t>
  </si>
  <si>
    <t>LI KATIE MRS.</t>
  </si>
  <si>
    <t>6123 136TH ST FL 1</t>
  </si>
  <si>
    <t>STEINHAGEN-GOLBIG EMILY DR.</t>
  </si>
  <si>
    <t>1245 PARK AVE, APARTMENT 6H</t>
  </si>
  <si>
    <t>E0278892</t>
  </si>
  <si>
    <t>ALEDORT LOUIS              MD</t>
  </si>
  <si>
    <t>ALEDORT LOUIS</t>
  </si>
  <si>
    <t>1190 5TH AVE GP1 CTR</t>
  </si>
  <si>
    <t>NOOR AMIR</t>
  </si>
  <si>
    <t>2 CARLISLE DR</t>
  </si>
  <si>
    <t>KAHN EUGENE</t>
  </si>
  <si>
    <t>MAIMON HADAS</t>
  </si>
  <si>
    <t>CHOW ANDREW DR.</t>
  </si>
  <si>
    <t>40 E 98TH ST APT 3C</t>
  </si>
  <si>
    <t>ARORA SHILPKUMAR</t>
  </si>
  <si>
    <t>1111 AMSERDAM AVE</t>
  </si>
  <si>
    <t>E0133076</t>
  </si>
  <si>
    <t>VOLKIN YAKOV MD</t>
  </si>
  <si>
    <t>VolkinYakov</t>
  </si>
  <si>
    <t>VOLKIN YAKOV</t>
  </si>
  <si>
    <t>E0100191</t>
  </si>
  <si>
    <t>FERGUS ICILMA VERONICA MD</t>
  </si>
  <si>
    <t>FergusIcilma</t>
  </si>
  <si>
    <t>FERGUS ICILMA</t>
  </si>
  <si>
    <t>Independent Living Association, Inc. (ACA Member Agency)</t>
  </si>
  <si>
    <t>Arthur Palevsky</t>
  </si>
  <si>
    <t>(718) 852-2000</t>
  </si>
  <si>
    <t>apalevsky@ilaonline.org</t>
  </si>
  <si>
    <t>317 WEST 48th STREET IRA</t>
  </si>
  <si>
    <t>Tenneill Williams</t>
  </si>
  <si>
    <t>(646) 214-1255</t>
  </si>
  <si>
    <t>twilliams@cgsnyc.org</t>
  </si>
  <si>
    <t>52 Broadway</t>
  </si>
  <si>
    <t>Hordines JR, Johc MD</t>
  </si>
  <si>
    <t>Betty Curtis</t>
  </si>
  <si>
    <t>9 Hudson Valley Professional Plaza</t>
  </si>
  <si>
    <t>Jonathan Nasser</t>
  </si>
  <si>
    <t>206 RTE 303</t>
  </si>
  <si>
    <t>Damian Family Care Centers</t>
  </si>
  <si>
    <t>Nicole Davis</t>
  </si>
  <si>
    <t>ndavis@damian.org</t>
  </si>
  <si>
    <t>Edward Gross</t>
  </si>
  <si>
    <t>E0369062</t>
  </si>
  <si>
    <t>GROSS EDWARD</t>
  </si>
  <si>
    <t>GROSS EDWARD DR.</t>
  </si>
  <si>
    <t>Dayan Naik</t>
  </si>
  <si>
    <t>E0244252</t>
  </si>
  <si>
    <t>NAIK DAYAN A</t>
  </si>
  <si>
    <t>NAIK DAYAN DR.</t>
  </si>
  <si>
    <t>Steven Hemmerdinger</t>
  </si>
  <si>
    <t>Vincci Ngan</t>
  </si>
  <si>
    <t>NGAN VINCCI</t>
  </si>
  <si>
    <t>Northside Center for Child Development, Inc. - Home Based Crisis Intervention 2</t>
  </si>
  <si>
    <t>E0274021</t>
  </si>
  <si>
    <t>NORTHSIDE CENTER FOR CHILD DE</t>
  </si>
  <si>
    <t>NORTHSIDE CENTER FOR CHILD DEVELOPMENT, INC.</t>
  </si>
  <si>
    <t>NORTHSIDE CTR CL</t>
  </si>
  <si>
    <t xml:space="preserve">Ohel Childrens Home and Family Services  </t>
  </si>
  <si>
    <t>E0025130</t>
  </si>
  <si>
    <t>OHEL CHILDRENS HM/FAM SPV</t>
  </si>
  <si>
    <t>Oxford Nursing Home</t>
  </si>
  <si>
    <t>E0268113</t>
  </si>
  <si>
    <t>OXFORD NURSING HOME INC</t>
  </si>
  <si>
    <t>Samuel Feuer</t>
  </si>
  <si>
    <t>(718) 638-0360</t>
  </si>
  <si>
    <t>sf@oxfordnh.com</t>
  </si>
  <si>
    <t>OXFORD NURSING HOME, INC</t>
  </si>
  <si>
    <t>OXFORD NURSING HOME</t>
  </si>
  <si>
    <t>144 S OXFORD ST</t>
  </si>
  <si>
    <t>Palladia, Inc.</t>
  </si>
  <si>
    <t>Mark Hurwitz</t>
  </si>
  <si>
    <t>mark.hurwitz@palladia.org</t>
  </si>
  <si>
    <t>PALLADIA WELLNESS CLINIC</t>
  </si>
  <si>
    <t>2250 3RD AVE</t>
  </si>
  <si>
    <t>Park Slope Center for Mental Health Inc.</t>
  </si>
  <si>
    <t>Susan Caputo</t>
  </si>
  <si>
    <t>348 13th Street</t>
  </si>
  <si>
    <t>Park Slope Child and Family Center</t>
  </si>
  <si>
    <t>257A 15th Street</t>
  </si>
  <si>
    <t>Planned Parenthood of New York City, Inc.</t>
  </si>
  <si>
    <t>E0273963</t>
  </si>
  <si>
    <t>MARGARET SANGER CTR</t>
  </si>
  <si>
    <t>Alice Berger</t>
  </si>
  <si>
    <t>(212) 274-7373</t>
  </si>
  <si>
    <t>alice.berger@ppnyc.org</t>
  </si>
  <si>
    <t>PLANNED PARENTHOOD OF NEW YORK CITY, INC</t>
  </si>
  <si>
    <t>Marcia B. Holman, LCSW</t>
  </si>
  <si>
    <t>Harold Moss, LMSW, MA</t>
  </si>
  <si>
    <t>hmoss@pgcmh.org</t>
  </si>
  <si>
    <t>Catherine Zhan</t>
  </si>
  <si>
    <t>(917) 243-6500</t>
  </si>
  <si>
    <t>czhan@phhc.com</t>
  </si>
  <si>
    <t>Program Development Services, Inc.</t>
  </si>
  <si>
    <t>E0074370</t>
  </si>
  <si>
    <t>PROGRAM DEVELOPMENT SVCS SPV</t>
  </si>
  <si>
    <t>Queens Coordinated Care Partners (QCCP)</t>
  </si>
  <si>
    <t>Realization Center, Inc.</t>
  </si>
  <si>
    <t>Resource Medical Services, PC dba ArcWell Medical</t>
  </si>
  <si>
    <t>Revival Home Health Care</t>
  </si>
  <si>
    <t>David Tavares</t>
  </si>
  <si>
    <t>(718) 629-1000</t>
  </si>
  <si>
    <t>dtavares@revivalhhc.org</t>
  </si>
  <si>
    <t>REVIVAL HOME HEALTH CARE</t>
  </si>
  <si>
    <t>5350 KINGS HWY</t>
  </si>
  <si>
    <t>Buena Vida Nursing Home &amp; Rehabilitation Center</t>
  </si>
  <si>
    <t>Barbara McFadden</t>
  </si>
  <si>
    <t>(718) 928-3500</t>
  </si>
  <si>
    <t>Road 2 Recovery</t>
  </si>
  <si>
    <t>Brocha (Barbara) Silverstein</t>
  </si>
  <si>
    <t>(917) 482-8080</t>
  </si>
  <si>
    <t>roadtorecover@yahoo.com</t>
  </si>
  <si>
    <t>SILVERSTEIN BARBARA</t>
  </si>
  <si>
    <t>1274 49TH ST STE 271</t>
  </si>
  <si>
    <t>HarrietTurner</t>
  </si>
  <si>
    <t>RandallWarner</t>
  </si>
  <si>
    <t>LarissaYossefi</t>
  </si>
  <si>
    <t>MOUNT SINAI FACULTY PRACTICE?</t>
  </si>
  <si>
    <t>MOUNT SINAI FACULTY PRACTICE</t>
  </si>
  <si>
    <t>16TH STREET FIRST AVENUE</t>
  </si>
  <si>
    <t>MOUNT SINAI OF QUEENS?</t>
  </si>
  <si>
    <t>MOUNT SINAI OF QUEENS</t>
  </si>
  <si>
    <t>695 EAST 68TH ST, HN307</t>
  </si>
  <si>
    <t>Bay Park Center for Nursing and Rehabilitation, LLC</t>
  </si>
  <si>
    <t>E0183960</t>
  </si>
  <si>
    <t>BAY PARK CTR NURSING &amp; REHAB ADHC</t>
  </si>
  <si>
    <t>Ingrid Scantlebury</t>
  </si>
  <si>
    <t>(718) 239-6660</t>
  </si>
  <si>
    <t>iscantlebury@bayparkcenter.com</t>
  </si>
  <si>
    <t>BAY PARK CENTER FOR NURSING AND REHABILITATION, LLC</t>
  </si>
  <si>
    <t>BAY PARK CENTER FOR NURSING &amp; REHAB</t>
  </si>
  <si>
    <t>801 CO-0P CITY BLVD</t>
  </si>
  <si>
    <t>The Komanoff Center for Geriatric and Rehabilitative Medicine</t>
  </si>
  <si>
    <t>Dennis H. Conway</t>
  </si>
  <si>
    <t>(516) 897-1220</t>
  </si>
  <si>
    <t>dconway@cassenacare.com</t>
  </si>
  <si>
    <t>Richmond Center for Rehabilitation and Specialty HealthCare</t>
  </si>
  <si>
    <t>E0337610</t>
  </si>
  <si>
    <t>RICHMOND CENTER REHAB &amp; SPEC HLTHCR</t>
  </si>
  <si>
    <t>SV OPERATING THREE LLC</t>
  </si>
  <si>
    <t>91 TOMPKINS AVE</t>
  </si>
  <si>
    <t>Crystal Run Healthcare LLP</t>
  </si>
  <si>
    <t>E0059157</t>
  </si>
  <si>
    <t>CRYSTAL RUN HEALTHCARE LLP</t>
  </si>
  <si>
    <t>Hal Teitelbaum, MD</t>
  </si>
  <si>
    <t>(845) 703-6107</t>
  </si>
  <si>
    <t>hteitelbaum@crystalrunhealthcare.com</t>
  </si>
  <si>
    <t>EAC, Inc.</t>
  </si>
  <si>
    <t>Angela Malone</t>
  </si>
  <si>
    <t>(516) 539-0150</t>
  </si>
  <si>
    <t>angela.malone@eacinc.org</t>
  </si>
  <si>
    <t xml:space="preserve">Eastchester Rehabilitation and Health Care Center </t>
  </si>
  <si>
    <t>E0268043</t>
  </si>
  <si>
    <t>EASTCHESTER REH &amp; HLTH CR CTR</t>
  </si>
  <si>
    <t>Ari Donowitz</t>
  </si>
  <si>
    <t>(718) 231-5550</t>
  </si>
  <si>
    <t>Adonowitz@eastchesterrehab.com</t>
  </si>
  <si>
    <t>EASTCHESTER REHABILITATION AND HEALTH CARE CENTER LLC</t>
  </si>
  <si>
    <t>2700 EASTCHESTER RD</t>
  </si>
  <si>
    <t>Pinegrove Manor II, LLC d/b/a Grace Plaza Nursing &amp; Rehabilitation Center</t>
  </si>
  <si>
    <t>E0268179</t>
  </si>
  <si>
    <t>GRACE PLAZA NRS &amp; REH CTR</t>
  </si>
  <si>
    <t>Moshe Kelman</t>
  </si>
  <si>
    <t>(516) 466-3001</t>
  </si>
  <si>
    <t>mkelman@graceplaza.com</t>
  </si>
  <si>
    <t>PINEGROVE MANOR II, LLC</t>
  </si>
  <si>
    <t>PINEGROVE MANOR II LLC</t>
  </si>
  <si>
    <t>15 SAINT PAULS PL</t>
  </si>
  <si>
    <t xml:space="preserve">Jewish Association for Services for the Aged (JASA) </t>
  </si>
  <si>
    <t xml:space="preserve">Danielle Palmisano </t>
  </si>
  <si>
    <t>(718) 365-4044</t>
  </si>
  <si>
    <t xml:space="preserve">Dpalmisano@jasa.org </t>
  </si>
  <si>
    <t>Jewish Home Lifecare, Home Assistance Personnel, Inc.</t>
  </si>
  <si>
    <t>Dennis Liavas</t>
  </si>
  <si>
    <t>(718) 329-8389</t>
  </si>
  <si>
    <t>dliavas@jewishhome.org</t>
  </si>
  <si>
    <t>Jewish Home Lifecare, Harry and Jeanette Weinberg Campus, Bronx</t>
  </si>
  <si>
    <t>Greg Poole-Dayan</t>
  </si>
  <si>
    <t>(718) 410-1681</t>
  </si>
  <si>
    <t>gpoole-dayan@jewishhome.org</t>
  </si>
  <si>
    <t xml:space="preserve">Long Island Consultation Center, Inc. </t>
  </si>
  <si>
    <t>Hempstead Park Nursing Home</t>
  </si>
  <si>
    <t>E0113983</t>
  </si>
  <si>
    <t>HEMPSTEAD PARK NURSING HOME</t>
  </si>
  <si>
    <t>Israel Melnicke</t>
  </si>
  <si>
    <t>(516) 705-9700</t>
  </si>
  <si>
    <t>imelnicke@hempsteadparknh.com</t>
  </si>
  <si>
    <t>SUNSHINE CARE CORP</t>
  </si>
  <si>
    <t>Bronx Community Home Care, Inc. d/b/a Neighbors Home Care</t>
  </si>
  <si>
    <t>Jordan Shames</t>
  </si>
  <si>
    <t>(718) 515-2200</t>
  </si>
  <si>
    <t>jshames@neighborshomecare.com</t>
  </si>
  <si>
    <t>BRONX COMMUNITY HOME CARE, INC.</t>
  </si>
  <si>
    <t>2532 BOSTON RD</t>
  </si>
  <si>
    <t>NEW FRONTIERS IN TBI</t>
  </si>
  <si>
    <t>E0093539</t>
  </si>
  <si>
    <t>Sean Lewis</t>
  </si>
  <si>
    <t>(716) 826-6245</t>
  </si>
  <si>
    <t>slewis@allwelcares.com</t>
  </si>
  <si>
    <t>506 ABBOTT RD</t>
  </si>
  <si>
    <t>Catholic Resources</t>
  </si>
  <si>
    <t>33 Irving Place</t>
  </si>
  <si>
    <t>ASIAN COMMUNITY CARE MANAGEMENT, INC.</t>
  </si>
  <si>
    <t>Marcia Morgan Parker</t>
  </si>
  <si>
    <t>(718) 353-6788</t>
  </si>
  <si>
    <t>marciam@xinconcare.com</t>
  </si>
  <si>
    <t>13208 SANFORD AVE</t>
  </si>
  <si>
    <t>BISHOP HENRY B HUCLES NURS HM</t>
  </si>
  <si>
    <t>E0268004</t>
  </si>
  <si>
    <t>Robert DeVito</t>
  </si>
  <si>
    <t>(718) 221-2626</t>
  </si>
  <si>
    <t>rdevito@brooklyngardens.com</t>
  </si>
  <si>
    <t>BISHOP HENRY B HUCLES EPISCOPAL NURSING HOME</t>
  </si>
  <si>
    <t>835 HERKIMER ST</t>
  </si>
  <si>
    <t>Wendy Stark</t>
  </si>
  <si>
    <t>(212) 271-7147</t>
  </si>
  <si>
    <t>wstark@callen-lorde.org</t>
  </si>
  <si>
    <t>Canaan Baptist Church of Christ</t>
  </si>
  <si>
    <t>Rudi Gathright</t>
  </si>
  <si>
    <t>(347) 280-4936</t>
  </si>
  <si>
    <t>rudigathright@aol.com</t>
  </si>
  <si>
    <t>132 West 116th Street</t>
  </si>
  <si>
    <t>David Collins</t>
  </si>
  <si>
    <t>dcollins@childrensvillage.org</t>
  </si>
  <si>
    <t>Carmen Plaja-Cordero</t>
  </si>
  <si>
    <t>(212) 545-6226</t>
  </si>
  <si>
    <t>cpcordero@chnnyc.org</t>
  </si>
  <si>
    <t>Matt Weissman</t>
  </si>
  <si>
    <t>(212) 545-2425</t>
  </si>
  <si>
    <t>mweissman@chnnyc.org</t>
  </si>
  <si>
    <t>COMPREHENSIVE MEDICAL CARE, PC</t>
  </si>
  <si>
    <t>E0201272</t>
  </si>
  <si>
    <t>COMPREHENSIVE WOMENS MEDICAL</t>
  </si>
  <si>
    <t>Carmine Asparro</t>
  </si>
  <si>
    <t>(718) 349-9101</t>
  </si>
  <si>
    <t>casparro@choicesmedical.com</t>
  </si>
  <si>
    <t>14732 JAMAICA AVE</t>
  </si>
  <si>
    <t>Christine Duffy</t>
  </si>
  <si>
    <t>(718) 281-8752</t>
  </si>
  <si>
    <t>cduffy@stmaryskids.org</t>
  </si>
  <si>
    <t>Eric Kalt</t>
  </si>
  <si>
    <t>ekalt@crowncares.com</t>
  </si>
  <si>
    <t>Heidi Fuentes</t>
  </si>
  <si>
    <t>DOC MEDICAL OFFICE OF BRONX PC</t>
  </si>
  <si>
    <t>(914) 879-7095</t>
  </si>
  <si>
    <t>sindhwani@aol.com</t>
  </si>
  <si>
    <t>Ester Moas</t>
  </si>
  <si>
    <t>(347) 860-2385</t>
  </si>
  <si>
    <t>emoas@archcare.org</t>
  </si>
  <si>
    <t>33 IRVING PL FL 11</t>
  </si>
  <si>
    <t>Ari Steinberg</t>
  </si>
  <si>
    <t>(718) 740-3500</t>
  </si>
  <si>
    <t>asteinberg@centershealthcare.org</t>
  </si>
  <si>
    <t>PARK NURSING HOME RHCF</t>
  </si>
  <si>
    <t>E0320768</t>
  </si>
  <si>
    <t>Alan Bash</t>
  </si>
  <si>
    <t>(718) 474-6400</t>
  </si>
  <si>
    <t>abash@parknh.com</t>
  </si>
  <si>
    <t>PARK NURSING HOME</t>
  </si>
  <si>
    <t>128 BEACH 115TH ST</t>
  </si>
  <si>
    <t>PERSONAL TOUCH HOME AIDES NY</t>
  </si>
  <si>
    <t>E0189111</t>
  </si>
  <si>
    <t>Patti Malm</t>
  </si>
  <si>
    <t>(718) 468-4747</t>
  </si>
  <si>
    <t>pmalm@pthomecare.com</t>
  </si>
  <si>
    <t>PERSONAL TOUCH HOME AIDES OF NEW YORK INC.</t>
  </si>
  <si>
    <t>3632 NOSTRAND AVE FL 4</t>
  </si>
  <si>
    <t>Laura Hymson</t>
  </si>
  <si>
    <t>(201) 674-4114</t>
  </si>
  <si>
    <t>lhymson@renaissancehomehc.com</t>
  </si>
  <si>
    <t>(718) 420-1525</t>
  </si>
  <si>
    <t>ESSEN MEDICAL URGICARE PLLC</t>
  </si>
  <si>
    <t>E0391763</t>
  </si>
  <si>
    <t>ESSEN MEDICAL URGICARE PLLC DBA MET</t>
  </si>
  <si>
    <t>ESSEN MEDICAL URGICARE, PLLC</t>
  </si>
  <si>
    <t>VIP HEALTH CARE SERVICES</t>
  </si>
  <si>
    <t>E0088213</t>
  </si>
  <si>
    <t>VIP HEALTH CARE SVCS</t>
  </si>
  <si>
    <t>Seff Nichols</t>
  </si>
  <si>
    <t>(718) 847-8900</t>
  </si>
  <si>
    <t>nicholss@viphealth.com</t>
  </si>
  <si>
    <t>116-08 MYRTLE AVE</t>
  </si>
  <si>
    <t>Marki Flannery</t>
  </si>
  <si>
    <t>(212) 609-7570</t>
  </si>
  <si>
    <t>marki.flannery@vnsny.org</t>
  </si>
  <si>
    <t>New York Legal Assistance Group</t>
  </si>
  <si>
    <t>7 Hanover Square 18th Floor</t>
  </si>
  <si>
    <t>Cardinal Health Partners IPA, LLC</t>
  </si>
  <si>
    <t>Joseph Pofit</t>
  </si>
  <si>
    <t>(518) 461-7346</t>
  </si>
  <si>
    <t>joseph.pofit@gmail.com</t>
  </si>
  <si>
    <t>115 Broadway</t>
  </si>
  <si>
    <t>Sherrifa Gallwey</t>
  </si>
  <si>
    <t>sgallwey@sco.org</t>
  </si>
  <si>
    <t>1 Alexander Place</t>
  </si>
  <si>
    <t>Glen Cove</t>
  </si>
  <si>
    <t>United Moravian Church</t>
  </si>
  <si>
    <t>Nigel Powell</t>
  </si>
  <si>
    <t>(347) 679-1141</t>
  </si>
  <si>
    <t>nigpow@gmail.com</t>
  </si>
  <si>
    <t>200 East 127th Street</t>
  </si>
  <si>
    <t>Arch Care</t>
  </si>
  <si>
    <t>205 Lexington Ave 3rd Floor</t>
  </si>
  <si>
    <t>Janes Mutton</t>
  </si>
  <si>
    <t>E0154978</t>
  </si>
  <si>
    <t>DENNELISSE CORP  AI</t>
  </si>
  <si>
    <t>Lekeisha Anderson</t>
  </si>
  <si>
    <t>(212) 246-2500</t>
  </si>
  <si>
    <t>landerson@dlhcsa.org</t>
  </si>
  <si>
    <t>16 E 40TH ST FL 12</t>
  </si>
  <si>
    <t>The Abyssinian Baptist Church</t>
  </si>
  <si>
    <t>Linda Thompson</t>
  </si>
  <si>
    <t>(917) 362-6800</t>
  </si>
  <si>
    <t>health@abyssinian.org</t>
  </si>
  <si>
    <t>New York City Department of Health and Mental Hygiene</t>
  </si>
  <si>
    <t xml:space="preserve">Amy Shah </t>
  </si>
  <si>
    <t>(347) 396-4090</t>
  </si>
  <si>
    <t xml:space="preserve">ashah7@health.nyc.gov </t>
  </si>
  <si>
    <t>The Family Center</t>
  </si>
  <si>
    <t>E0396100</t>
  </si>
  <si>
    <t>THE FAMILY CENTER INC</t>
  </si>
  <si>
    <t>Jan Hudis</t>
  </si>
  <si>
    <t>(718) 230-1379</t>
  </si>
  <si>
    <t>jhudis@thefamilycenter.org</t>
  </si>
  <si>
    <t>FAMILY CENTER INC</t>
  </si>
  <si>
    <t>493 NOSTRAND AVE FL 3</t>
  </si>
  <si>
    <t>CityDrug &amp; Surgical Inc.</t>
  </si>
  <si>
    <t>E0085624</t>
  </si>
  <si>
    <t>C &amp; C DRUG INC</t>
  </si>
  <si>
    <t>David F. Chan</t>
  </si>
  <si>
    <t>(917) 846-9164</t>
  </si>
  <si>
    <t>dfsc777@aol.com</t>
  </si>
  <si>
    <t>C&amp;C DRUG INC</t>
  </si>
  <si>
    <t>1-7 AUDUBON AVE</t>
  </si>
  <si>
    <t>Brooklyn Center for Psychotherapy, Inc.</t>
  </si>
  <si>
    <t>E0273962</t>
  </si>
  <si>
    <t>BROOKLYN CTR PSYCHOTHERAPY</t>
  </si>
  <si>
    <t>Carol Morrison</t>
  </si>
  <si>
    <t>(718) 398-0800</t>
  </si>
  <si>
    <t>cmorrison@newdirectionsclinic.com</t>
  </si>
  <si>
    <t>BROOKLYN CENTER FOR PSYCHOTHERAPY,INC.</t>
  </si>
  <si>
    <t>300 FLATBUSH AVE</t>
  </si>
  <si>
    <t>Woodcrest Nursing Home Inc.</t>
  </si>
  <si>
    <t>Jay Taub</t>
  </si>
  <si>
    <t>woodcnh@att.net</t>
  </si>
  <si>
    <t>AllMedical IPA</t>
  </si>
  <si>
    <t>Imran Hameed</t>
  </si>
  <si>
    <t>(347) 522-3513</t>
  </si>
  <si>
    <t>imranhameedny@hotmail.com</t>
  </si>
  <si>
    <t>ALL MEDICARE CARE</t>
  </si>
  <si>
    <t>15 RUMPLERT CT, ATTN: IMRAN HAMEED</t>
  </si>
  <si>
    <t>Union Square Urgent Medical Care</t>
  </si>
  <si>
    <t>E0344218</t>
  </si>
  <si>
    <t>UNION SQUARE URGENT MEDICAL CARE PC</t>
  </si>
  <si>
    <t>Mary Seneriz</t>
  </si>
  <si>
    <t>(718) 865-6604</t>
  </si>
  <si>
    <t>numcbilling@gmail.com</t>
  </si>
  <si>
    <t>110 W 14TH ST FL 1</t>
  </si>
  <si>
    <t>Hope Center Operations, LLC dba Hope Center for HIV &amp; Nursing Care</t>
  </si>
  <si>
    <t>Cipora Moskowitz</t>
  </si>
  <si>
    <t>(845) 598-6225</t>
  </si>
  <si>
    <t>cmoskowitz@centershealthcare.org</t>
  </si>
  <si>
    <t>Bridging Access to Care</t>
  </si>
  <si>
    <t>E0073395</t>
  </si>
  <si>
    <t>BROOKLYN AIDS TASK FORCE INC</t>
  </si>
  <si>
    <t>Nadine Akinyemi</t>
  </si>
  <si>
    <t>(347) 505-5115</t>
  </si>
  <si>
    <t>nakinyemi@bac-ny.org</t>
  </si>
  <si>
    <t>BRIDGING ACCESS TO CARE, INC.</t>
  </si>
  <si>
    <t>BRIDGING ACCESS TO CARE INC</t>
  </si>
  <si>
    <t>OAS CHEM DEP</t>
  </si>
  <si>
    <t>Venture House</t>
  </si>
  <si>
    <t>Juliet Douglas</t>
  </si>
  <si>
    <t>julietdouglas@venturehouse.org</t>
  </si>
  <si>
    <t>15010 HILLSIDE AVE</t>
  </si>
  <si>
    <t>Center Light - PACE Program</t>
  </si>
  <si>
    <t xml:space="preserve">Dfriedman@centerlight.org </t>
  </si>
  <si>
    <t>Margaret Tietz Nursing &amp; Rehabilitation Center</t>
  </si>
  <si>
    <t>Daughters of Jacob Nursing Home Company</t>
  </si>
  <si>
    <t>DAUGHTERS OF JACOB NURSING HOME COMPANY, INC.</t>
  </si>
  <si>
    <t xml:space="preserve"> Hamaspik Center for Human Services </t>
  </si>
  <si>
    <t>David Schatzkamer</t>
  </si>
  <si>
    <t>(718) 715-9402</t>
  </si>
  <si>
    <t>dschatzkamer@hamaspikkings.org</t>
  </si>
  <si>
    <t>HAMASPIK OF KINGS COUNTY, INC.</t>
  </si>
  <si>
    <t>69 S 9TH ST</t>
  </si>
  <si>
    <t>Federation of Organizations</t>
  </si>
  <si>
    <t>E0084563</t>
  </si>
  <si>
    <t>FEDERATION OF ORGANIZATION MH</t>
  </si>
  <si>
    <t>Elizabeth Galati</t>
  </si>
  <si>
    <t>FEDERATION OF ORGANIZATIONS FOR THE NEW YORK STATE MENTALLY DISABLED</t>
  </si>
  <si>
    <t>10501 101ST AVE</t>
  </si>
  <si>
    <t>PESACH TIKVAH HOPE DEVELOPMENT INC</t>
  </si>
  <si>
    <t>E0201166</t>
  </si>
  <si>
    <t>PESACH TIKVAH-HOPE DEV    INC</t>
  </si>
  <si>
    <t>Hindy Langer</t>
  </si>
  <si>
    <t>(718) 875-6900</t>
  </si>
  <si>
    <t>hindylanger@gmail.com</t>
  </si>
  <si>
    <t>PESACH TIKVAH-HOPE DEV INC</t>
  </si>
  <si>
    <t>18 MIDDLETON ST</t>
  </si>
  <si>
    <t xml:space="preserve">Caton Park Nursing Home </t>
  </si>
  <si>
    <t>(718) 614-3320</t>
  </si>
  <si>
    <t>CATON PARK REHABILITATION AND NURSING</t>
  </si>
  <si>
    <t>1312 CATON AVE</t>
  </si>
  <si>
    <t>The Collaborative for Children and Families, Inc.</t>
  </si>
  <si>
    <t>E0420100</t>
  </si>
  <si>
    <t>THE COLLABORATIVE FOR CHILDREN AND</t>
  </si>
  <si>
    <t>Jodi A. Saitowitz</t>
  </si>
  <si>
    <t>(917) 213-0130</t>
  </si>
  <si>
    <t>jsaitowitz@ccfhh.org</t>
  </si>
  <si>
    <t>THE COLLABORATIVE FOR CHILDREN AND FAMILIES</t>
  </si>
  <si>
    <t>305 7TH AVE FL 2</t>
  </si>
  <si>
    <t>Counseling Service of EDNY, Inc. (CSEDNY)</t>
  </si>
  <si>
    <t>Nicole Whitcroft</t>
  </si>
  <si>
    <t>(917) 972-8425</t>
  </si>
  <si>
    <t>nicole.whitcroft@csedny.org</t>
  </si>
  <si>
    <t>CSEDNY</t>
  </si>
  <si>
    <t>Medex Diagnostic &amp; Treatment Center, LLC</t>
  </si>
  <si>
    <t>E0090763</t>
  </si>
  <si>
    <t>MEDEX D &amp; T CTR</t>
  </si>
  <si>
    <t>Oleg Aronov</t>
  </si>
  <si>
    <t>(917) 273-5243</t>
  </si>
  <si>
    <t xml:space="preserve">monarch777@gmail.com </t>
  </si>
  <si>
    <t>MEDEX DIAGNOSTIC &amp; TREATMENT CENTER LLC</t>
  </si>
  <si>
    <t>Beach Garden Rehab &amp; Nursing Center</t>
  </si>
  <si>
    <t>E0415860</t>
  </si>
  <si>
    <t>HENDON GARDEN NURSING &amp; REHAB CTR</t>
  </si>
  <si>
    <t>Michael Biderman</t>
  </si>
  <si>
    <t>(718) 869-8033</t>
  </si>
  <si>
    <t>mbiderman@bgrehabcare.com</t>
  </si>
  <si>
    <t>HENDON GARDEN CENTER LLC</t>
  </si>
  <si>
    <t>17-11 BROOKHAVEN AVE</t>
  </si>
  <si>
    <t>United Jewish Council of the East Side</t>
  </si>
  <si>
    <t xml:space="preserve">David Sitzer </t>
  </si>
  <si>
    <t>dsitzer@ujchasc.org</t>
  </si>
  <si>
    <t>Choices Women's Medical Center</t>
  </si>
  <si>
    <t>E0273096</t>
  </si>
  <si>
    <t>CHOICES WOMENS MED CTR</t>
  </si>
  <si>
    <t>Deborah Brandel</t>
  </si>
  <si>
    <t>(914) 263-7968</t>
  </si>
  <si>
    <t>dbrandel@phsconsult.com</t>
  </si>
  <si>
    <t>CHOICES WOMEN'S MEDICAL CENTER, INC.</t>
  </si>
  <si>
    <t>147-32 JAMAICA AVE</t>
  </si>
  <si>
    <t>Fountain House, Inc.</t>
  </si>
  <si>
    <t>E0169566</t>
  </si>
  <si>
    <t>FOUNTAIN HOUSE,INC.</t>
  </si>
  <si>
    <t>Eldad Shepen</t>
  </si>
  <si>
    <t>(212) 582-0340</t>
  </si>
  <si>
    <t>eshepen@fountainhouse.org</t>
  </si>
  <si>
    <t>FOUNTAIN HOUSE, INC.</t>
  </si>
  <si>
    <t>A/6110433-FOUN.HSE</t>
  </si>
  <si>
    <t>Boriken Neighborhood Health Center</t>
  </si>
  <si>
    <t>E0273894</t>
  </si>
  <si>
    <t>EAST HARLEM COUNCIL HUM SERV</t>
  </si>
  <si>
    <t>Danielle Milano MD</t>
  </si>
  <si>
    <t>(917) 767-7271</t>
  </si>
  <si>
    <t>dmilano@boriken.org</t>
  </si>
  <si>
    <t>EAST HARLEM COUNCIL FOR HUMAN SERVICES INC</t>
  </si>
  <si>
    <t>2253 3RD AVE</t>
  </si>
  <si>
    <t>Compassionate Care Hospice of New York, LLC</t>
  </si>
  <si>
    <t>E0045029</t>
  </si>
  <si>
    <t>COMPASSIONATE CARE HOSPICE NY</t>
  </si>
  <si>
    <t>Robert Aberman</t>
  </si>
  <si>
    <t>(973) 997-3576</t>
  </si>
  <si>
    <t>robert.aberman@cchnet.net</t>
  </si>
  <si>
    <t>COMPASSIONATE CARE HOSPICE OF NEW YORK, LLC</t>
  </si>
  <si>
    <t>6661-6663 BROADWAY</t>
  </si>
  <si>
    <t>(718) 931-3197</t>
  </si>
  <si>
    <t>SAGE (Services and Advocacy for GLBT Elders)</t>
  </si>
  <si>
    <t>Diosdado Gica</t>
  </si>
  <si>
    <t>(212) 741-2247</t>
  </si>
  <si>
    <t>dgica@sageusa.org</t>
  </si>
  <si>
    <t xml:space="preserve">Metrocare Pharmacy </t>
  </si>
  <si>
    <t>E0029225</t>
  </si>
  <si>
    <t>METROCARE PHARMACY INC</t>
  </si>
  <si>
    <t>(917) 846-9163</t>
  </si>
  <si>
    <t>METROCARE PHARMACY, INC</t>
  </si>
  <si>
    <t>2112B 36TH AVE</t>
  </si>
  <si>
    <t>Quick Rx</t>
  </si>
  <si>
    <t>Elan Katz</t>
  </si>
  <si>
    <t>(917) 773-4301</t>
  </si>
  <si>
    <t xml:space="preserve">ekatz@cureurgentcare.com      </t>
  </si>
  <si>
    <t>2.a.i.</t>
  </si>
  <si>
    <t>2.b.iv.</t>
  </si>
  <si>
    <t>2.b.viii.</t>
  </si>
  <si>
    <t>2.c.i.</t>
  </si>
  <si>
    <t>3.a.i.</t>
  </si>
  <si>
    <t>3.a.iii.</t>
  </si>
  <si>
    <t>3.b.i.</t>
  </si>
  <si>
    <t>3.c.i.</t>
  </si>
  <si>
    <t>1st Tier Funds Flow Partner (from Funds Flow Partner Detail)</t>
  </si>
  <si>
    <t>2nd Tier Funds Flow Recipient Partner Information</t>
  </si>
  <si>
    <t>Partner Funds Flow Data</t>
  </si>
  <si>
    <t>Partner Project Participation</t>
  </si>
  <si>
    <t>NPI or MMIS ID</t>
  </si>
  <si>
    <t>Hub (Y/N)</t>
  </si>
  <si>
    <t>Partner Name</t>
  </si>
  <si>
    <t>DY2, Q4 Funds Flow  Update</t>
  </si>
  <si>
    <t>Prov Part 2.a.i</t>
  </si>
  <si>
    <t>Prov Part 2.a.iii</t>
  </si>
  <si>
    <t>Prov Part 2.a.iv</t>
  </si>
  <si>
    <t>Prov Part 2.b.iii</t>
  </si>
  <si>
    <t>Prov Part 3.a.i</t>
  </si>
  <si>
    <t>Prov Part 3.a.ii</t>
  </si>
  <si>
    <t>Prov Part 3.b.i</t>
  </si>
  <si>
    <t>Prov Part 3.d.iii</t>
  </si>
  <si>
    <t>Prov Part 4.b.i</t>
  </si>
  <si>
    <t>Prov Part 4.b.ii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</si>
</sst>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3" fillId="0" borderId="0" xfId="0" applyFont="1"/>
    <xf numFmtId="0" fontId="0" fillId="0" borderId="1" xfId="0" applyBorder="1"/>
    <xf numFmtId="0" fontId="3" fillId="0" borderId="1" xfId="0" applyFont="1" applyBorder="1"/>
    <xf numFmtId="0" fontId="2" fillId="2" borderId="1" xfId="0" applyFont="1" applyFill="1" applyBorder="1" applyAlignment="1">
      <alignment horizontal="center" wrapText="1"/>
    </xf>
    <xf numFmtId="44" fontId="0" fillId="0" borderId="1" xfId="1" applyFont="1" applyBorder="1"/>
    <xf numFmtId="9" fontId="0" fillId="0" borderId="1" xfId="2" applyFont="1" applyBorder="1"/>
    <xf numFmtId="44" fontId="3" fillId="0" borderId="1" xfId="1" applyFont="1" applyBorder="1"/>
    <xf numFmtId="9" fontId="3" fillId="0" borderId="1" xfId="2" applyFont="1" applyBorder="1"/>
    <xf numFmtId="0" fontId="0" fillId="3" borderId="1" xfId="0" applyFill="1" applyBorder="1" applyAlignment="1">
      <alignment horizontal="center" textRotation="90" wrapText="1"/>
    </xf>
    <xf numFmtId="0" fontId="0" fillId="3" borderId="1" xfId="0" applyFill="1" applyBorder="1"/>
    <xf numFmtId="0" fontId="2" fillId="2" borderId="1" xfId="0" applyFont="1" applyFill="1" applyBorder="1" applyAlignment="1">
      <alignment horizontal="center" wrapText="1"/>
    </xf>
    <xf numFmtId="0" fontId="0" fillId="0" borderId="1" xfId="0" applyNumberFormat="1" applyBorder="1"/>
    <xf numFmtId="0" fontId="0" fillId="0" borderId="0" xfId="0" applyAlignment="1">
      <alignment wrapText="1"/>
    </xf>
    <xf numFmtId="44" fontId="0" fillId="3" borderId="1" xfId="1" applyFont="1" applyFill="1" applyBorder="1"/>
    <xf numFmtId="0" fontId="2" fillId="4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4" borderId="4" xfId="0" applyFont="1" applyFill="1" applyBorder="1" applyAlignment="1">
      <alignment horizontal="center" wrapText="1"/>
    </xf>
    <xf numFmtId="0" fontId="0" fillId="4" borderId="1" xfId="0" applyFill="1" applyBorder="1"/>
    <xf numFmtId="0" fontId="0" fillId="4" borderId="0" xfId="0" applyFill="1"/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weber/Desktop/PAOP%202017/PPS%202nd%20Tier%20Funds%20Flow%20Reporting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tabSelected="1" workbookViewId="0">
      <selection activeCell="A5" sqref="A5"/>
    </sheetView>
  </sheetViews>
  <sheetFormatPr defaultRowHeight="15" x14ac:dyDescent="0.25"/>
  <cols>
    <col min="1" max="1" width="50.28515625" bestFit="1" customWidth="1"/>
    <col min="2" max="2" width="1.28515625" customWidth="1"/>
    <col min="3" max="5" width="13.42578125" customWidth="1"/>
    <col min="6" max="6" width="1.28515625" customWidth="1"/>
    <col min="7" max="9" width="13.42578125" customWidth="1"/>
  </cols>
  <sheetData>
    <row r="1" spans="1:9" x14ac:dyDescent="0.25">
      <c r="A1" s="1" t="s">
        <v>38</v>
      </c>
    </row>
    <row r="3" spans="1:9" x14ac:dyDescent="0.25">
      <c r="A3" s="24" t="s">
        <v>8</v>
      </c>
      <c r="B3" s="9"/>
      <c r="C3" s="23" t="s">
        <v>22</v>
      </c>
      <c r="D3" s="23"/>
      <c r="E3" s="23"/>
      <c r="F3" s="23"/>
      <c r="G3" s="23"/>
      <c r="H3" s="23"/>
      <c r="I3" s="23"/>
    </row>
    <row r="4" spans="1:9" ht="60" x14ac:dyDescent="0.25">
      <c r="A4" s="24"/>
      <c r="B4" s="9"/>
      <c r="C4" s="4" t="s">
        <v>0</v>
      </c>
      <c r="D4" s="4" t="s">
        <v>1</v>
      </c>
      <c r="E4" s="4" t="s">
        <v>2</v>
      </c>
      <c r="F4" s="9"/>
      <c r="G4" s="4" t="s">
        <v>23</v>
      </c>
      <c r="H4" s="4" t="s">
        <v>24</v>
      </c>
      <c r="I4" s="4" t="s">
        <v>25</v>
      </c>
    </row>
    <row r="5" spans="1:9" x14ac:dyDescent="0.25">
      <c r="A5" s="2" t="s">
        <v>4</v>
      </c>
      <c r="B5" s="9"/>
      <c r="C5" s="5">
        <f>'Funds Flow - Partner Detail'!H12</f>
        <v>816666.66666666651</v>
      </c>
      <c r="D5" s="5">
        <f>'Funds Flow - Partner Detail'!I12</f>
        <v>1516666.6666666667</v>
      </c>
      <c r="E5" s="5">
        <f>C5+D5</f>
        <v>2333333.333333333</v>
      </c>
      <c r="F5" s="9"/>
      <c r="G5" s="6">
        <f t="shared" ref="G5:G23" si="0">IF(C5&gt;0,C5/$C$24,0)</f>
        <v>0.24600105482300291</v>
      </c>
      <c r="H5" s="6">
        <f t="shared" ref="H5:H23" si="1">IF(D5&gt;0,D5/$D$24,0)</f>
        <v>0.24600105482300288</v>
      </c>
      <c r="I5" s="6">
        <f t="shared" ref="I5:I23" si="2">IF(E5&gt;0,E5/$E$24,0)</f>
        <v>0.24600105482300294</v>
      </c>
    </row>
    <row r="6" spans="1:9" x14ac:dyDescent="0.25">
      <c r="A6" s="2" t="s">
        <v>5</v>
      </c>
      <c r="B6" s="9"/>
      <c r="C6" s="5">
        <f>'Funds Flow - Partner Detail'!H20</f>
        <v>350000</v>
      </c>
      <c r="D6" s="5">
        <f>'Funds Flow - Partner Detail'!I20</f>
        <v>650000</v>
      </c>
      <c r="E6" s="5">
        <f t="shared" ref="E6:E23" si="3">C6+D6</f>
        <v>1000000</v>
      </c>
      <c r="F6" s="9"/>
      <c r="G6" s="6">
        <f t="shared" si="0"/>
        <v>0.10542902349557269</v>
      </c>
      <c r="H6" s="6">
        <f t="shared" si="1"/>
        <v>0.10542902349557266</v>
      </c>
      <c r="I6" s="6">
        <f t="shared" si="2"/>
        <v>0.1054290234955727</v>
      </c>
    </row>
    <row r="7" spans="1:9" x14ac:dyDescent="0.25">
      <c r="A7" s="2" t="s">
        <v>6</v>
      </c>
      <c r="B7" s="9"/>
      <c r="C7" s="5">
        <f>'Funds Flow - Partner Detail'!H28</f>
        <v>350000</v>
      </c>
      <c r="D7" s="5">
        <f>'Funds Flow - Partner Detail'!I28</f>
        <v>650000</v>
      </c>
      <c r="E7" s="5">
        <f t="shared" si="3"/>
        <v>1000000</v>
      </c>
      <c r="F7" s="9"/>
      <c r="G7" s="6">
        <f t="shared" si="0"/>
        <v>0.10542902349557269</v>
      </c>
      <c r="H7" s="6">
        <f t="shared" si="1"/>
        <v>0.10542902349557266</v>
      </c>
      <c r="I7" s="6">
        <f t="shared" si="2"/>
        <v>0.1054290234955727</v>
      </c>
    </row>
    <row r="8" spans="1:9" x14ac:dyDescent="0.25">
      <c r="A8" s="2" t="s">
        <v>7</v>
      </c>
      <c r="B8" s="9"/>
      <c r="C8" s="5">
        <f>'Funds Flow - Partner Detail'!H36</f>
        <v>350000</v>
      </c>
      <c r="D8" s="5">
        <f>'Funds Flow - Partner Detail'!I36</f>
        <v>650000</v>
      </c>
      <c r="E8" s="5">
        <f t="shared" si="3"/>
        <v>1000000</v>
      </c>
      <c r="F8" s="9"/>
      <c r="G8" s="6">
        <f t="shared" si="0"/>
        <v>0.10542902349557269</v>
      </c>
      <c r="H8" s="6">
        <f t="shared" si="1"/>
        <v>0.10542902349557266</v>
      </c>
      <c r="I8" s="6">
        <f t="shared" si="2"/>
        <v>0.1054290234955727</v>
      </c>
    </row>
    <row r="9" spans="1:9" x14ac:dyDescent="0.25">
      <c r="A9" s="2" t="s">
        <v>9</v>
      </c>
      <c r="B9" s="9"/>
      <c r="C9" s="5">
        <f>'Funds Flow - Partner Detail'!H44</f>
        <v>466666.66666666663</v>
      </c>
      <c r="D9" s="5">
        <f>'Funds Flow - Partner Detail'!I44</f>
        <v>866666.66666666663</v>
      </c>
      <c r="E9" s="5">
        <f t="shared" si="3"/>
        <v>1333333.3333333333</v>
      </c>
      <c r="F9" s="9"/>
      <c r="G9" s="6">
        <f t="shared" si="0"/>
        <v>0.14057203132743024</v>
      </c>
      <c r="H9" s="6">
        <f t="shared" si="1"/>
        <v>0.14057203132743021</v>
      </c>
      <c r="I9" s="6">
        <f t="shared" si="2"/>
        <v>0.14057203132743026</v>
      </c>
    </row>
    <row r="10" spans="1:9" x14ac:dyDescent="0.25">
      <c r="A10" s="2" t="s">
        <v>10</v>
      </c>
      <c r="B10" s="9"/>
      <c r="C10" s="5">
        <f>'Funds Flow - Partner Detail'!H52</f>
        <v>466666.66666666663</v>
      </c>
      <c r="D10" s="5">
        <f>'Funds Flow - Partner Detail'!I52</f>
        <v>866666.66666666663</v>
      </c>
      <c r="E10" s="5">
        <f t="shared" si="3"/>
        <v>1333333.3333333333</v>
      </c>
      <c r="F10" s="9"/>
      <c r="G10" s="6">
        <f t="shared" si="0"/>
        <v>0.14057203132743024</v>
      </c>
      <c r="H10" s="6">
        <f t="shared" si="1"/>
        <v>0.14057203132743021</v>
      </c>
      <c r="I10" s="6">
        <f t="shared" si="2"/>
        <v>0.14057203132743026</v>
      </c>
    </row>
    <row r="11" spans="1:9" x14ac:dyDescent="0.25">
      <c r="A11" s="2" t="s">
        <v>11</v>
      </c>
      <c r="B11" s="9"/>
      <c r="C11" s="5">
        <f>'Funds Flow - Partner Detail'!H60</f>
        <v>0</v>
      </c>
      <c r="D11" s="5">
        <f>'Funds Flow - Partner Detail'!I60</f>
        <v>0</v>
      </c>
      <c r="E11" s="5">
        <f t="shared" si="3"/>
        <v>0</v>
      </c>
      <c r="F11" s="9"/>
      <c r="G11" s="6">
        <f t="shared" si="0"/>
        <v>0</v>
      </c>
      <c r="H11" s="6">
        <f t="shared" si="1"/>
        <v>0</v>
      </c>
      <c r="I11" s="6">
        <f t="shared" si="2"/>
        <v>0</v>
      </c>
    </row>
    <row r="12" spans="1:9" x14ac:dyDescent="0.25">
      <c r="A12" s="2" t="s">
        <v>12</v>
      </c>
      <c r="B12" s="9"/>
      <c r="C12" s="5">
        <f>'Funds Flow - Partner Detail'!H68</f>
        <v>0</v>
      </c>
      <c r="D12" s="5">
        <f>'Funds Flow - Partner Detail'!I68</f>
        <v>0</v>
      </c>
      <c r="E12" s="5">
        <f t="shared" si="3"/>
        <v>0</v>
      </c>
      <c r="F12" s="9"/>
      <c r="G12" s="6">
        <f t="shared" si="0"/>
        <v>0</v>
      </c>
      <c r="H12" s="6">
        <f t="shared" si="1"/>
        <v>0</v>
      </c>
      <c r="I12" s="6">
        <f t="shared" si="2"/>
        <v>0</v>
      </c>
    </row>
    <row r="13" spans="1:9" x14ac:dyDescent="0.25">
      <c r="A13" s="2" t="s">
        <v>13</v>
      </c>
      <c r="B13" s="9"/>
      <c r="C13" s="5">
        <f>'Funds Flow - Partner Detail'!H76</f>
        <v>0</v>
      </c>
      <c r="D13" s="5">
        <f>'Funds Flow - Partner Detail'!I76</f>
        <v>0</v>
      </c>
      <c r="E13" s="5">
        <f t="shared" si="3"/>
        <v>0</v>
      </c>
      <c r="F13" s="9"/>
      <c r="G13" s="6">
        <f t="shared" si="0"/>
        <v>0</v>
      </c>
      <c r="H13" s="6">
        <f t="shared" si="1"/>
        <v>0</v>
      </c>
      <c r="I13" s="6">
        <f t="shared" si="2"/>
        <v>0</v>
      </c>
    </row>
    <row r="14" spans="1:9" x14ac:dyDescent="0.25">
      <c r="A14" s="2" t="s">
        <v>14</v>
      </c>
      <c r="B14" s="9"/>
      <c r="C14" s="5">
        <f>'Funds Flow - Partner Detail'!H84</f>
        <v>0</v>
      </c>
      <c r="D14" s="5">
        <f>'Funds Flow - Partner Detail'!I84</f>
        <v>0</v>
      </c>
      <c r="E14" s="5">
        <f t="shared" si="3"/>
        <v>0</v>
      </c>
      <c r="F14" s="9"/>
      <c r="G14" s="6">
        <f t="shared" si="0"/>
        <v>0</v>
      </c>
      <c r="H14" s="6">
        <f t="shared" si="1"/>
        <v>0</v>
      </c>
      <c r="I14" s="6">
        <f t="shared" si="2"/>
        <v>0</v>
      </c>
    </row>
    <row r="15" spans="1:9" x14ac:dyDescent="0.25">
      <c r="A15" s="2" t="s">
        <v>15</v>
      </c>
      <c r="B15" s="9"/>
      <c r="C15" s="5">
        <f>'Funds Flow - Partner Detail'!H92</f>
        <v>0</v>
      </c>
      <c r="D15" s="5">
        <f>'Funds Flow - Partner Detail'!I92</f>
        <v>0</v>
      </c>
      <c r="E15" s="5">
        <f t="shared" si="3"/>
        <v>0</v>
      </c>
      <c r="F15" s="9"/>
      <c r="G15" s="6">
        <f t="shared" si="0"/>
        <v>0</v>
      </c>
      <c r="H15" s="6">
        <f t="shared" si="1"/>
        <v>0</v>
      </c>
      <c r="I15" s="6">
        <f t="shared" si="2"/>
        <v>0</v>
      </c>
    </row>
    <row r="16" spans="1:9" x14ac:dyDescent="0.25">
      <c r="A16" s="2" t="s">
        <v>16</v>
      </c>
      <c r="B16" s="9"/>
      <c r="C16" s="5">
        <f>'Funds Flow - Partner Detail'!H100</f>
        <v>0</v>
      </c>
      <c r="D16" s="5">
        <f>'Funds Flow - Partner Detail'!I100</f>
        <v>0</v>
      </c>
      <c r="E16" s="5">
        <f t="shared" si="3"/>
        <v>0</v>
      </c>
      <c r="F16" s="9"/>
      <c r="G16" s="6">
        <f t="shared" si="0"/>
        <v>0</v>
      </c>
      <c r="H16" s="6">
        <f t="shared" si="1"/>
        <v>0</v>
      </c>
      <c r="I16" s="6">
        <f t="shared" si="2"/>
        <v>0</v>
      </c>
    </row>
    <row r="17" spans="1:9" x14ac:dyDescent="0.25">
      <c r="A17" s="2" t="s">
        <v>17</v>
      </c>
      <c r="B17" s="9"/>
      <c r="C17" s="5">
        <f>'Funds Flow - Partner Detail'!H108</f>
        <v>0</v>
      </c>
      <c r="D17" s="5">
        <f>'Funds Flow - Partner Detail'!I108</f>
        <v>0</v>
      </c>
      <c r="E17" s="5">
        <f t="shared" si="3"/>
        <v>0</v>
      </c>
      <c r="F17" s="9"/>
      <c r="G17" s="6">
        <f t="shared" si="0"/>
        <v>0</v>
      </c>
      <c r="H17" s="6">
        <f t="shared" si="1"/>
        <v>0</v>
      </c>
      <c r="I17" s="6">
        <f t="shared" si="2"/>
        <v>0</v>
      </c>
    </row>
    <row r="18" spans="1:9" x14ac:dyDescent="0.25">
      <c r="A18" s="2" t="s">
        <v>18</v>
      </c>
      <c r="B18" s="9"/>
      <c r="C18" s="5">
        <f>'Funds Flow - Partner Detail'!H116</f>
        <v>0</v>
      </c>
      <c r="D18" s="5">
        <f>'Funds Flow - Partner Detail'!I116</f>
        <v>0</v>
      </c>
      <c r="E18" s="5">
        <f t="shared" si="3"/>
        <v>0</v>
      </c>
      <c r="F18" s="9"/>
      <c r="G18" s="6">
        <f t="shared" si="0"/>
        <v>0</v>
      </c>
      <c r="H18" s="6">
        <f t="shared" si="1"/>
        <v>0</v>
      </c>
      <c r="I18" s="6">
        <f t="shared" si="2"/>
        <v>0</v>
      </c>
    </row>
    <row r="19" spans="1:9" x14ac:dyDescent="0.25">
      <c r="A19" s="2" t="s">
        <v>21</v>
      </c>
      <c r="B19" s="9"/>
      <c r="C19" s="5">
        <v>519768.96300000051</v>
      </c>
      <c r="D19" s="5">
        <v>965285.21700000099</v>
      </c>
      <c r="E19" s="5">
        <f t="shared" si="3"/>
        <v>1485054.1800000016</v>
      </c>
      <c r="F19" s="9"/>
      <c r="G19" s="6">
        <f t="shared" si="0"/>
        <v>0.15656781203541859</v>
      </c>
      <c r="H19" s="6">
        <f t="shared" si="1"/>
        <v>0.15656781203541856</v>
      </c>
      <c r="I19" s="6">
        <f t="shared" si="2"/>
        <v>0.15656781203541861</v>
      </c>
    </row>
    <row r="20" spans="1:9" x14ac:dyDescent="0.25">
      <c r="A20" s="2" t="s">
        <v>435</v>
      </c>
      <c r="B20" s="9"/>
      <c r="C20" s="5">
        <f>'Funds Flow - Partner Detail'!H124</f>
        <v>0</v>
      </c>
      <c r="D20" s="5">
        <f>'Funds Flow - Partner Detail'!I124</f>
        <v>0</v>
      </c>
      <c r="E20" s="5">
        <f t="shared" si="3"/>
        <v>0</v>
      </c>
      <c r="F20" s="9"/>
      <c r="G20" s="6">
        <f t="shared" si="0"/>
        <v>0</v>
      </c>
      <c r="H20" s="6">
        <f t="shared" si="1"/>
        <v>0</v>
      </c>
      <c r="I20" s="6">
        <f t="shared" si="2"/>
        <v>0</v>
      </c>
    </row>
    <row r="21" spans="1:9" x14ac:dyDescent="0.25">
      <c r="A21" s="2" t="s">
        <v>19</v>
      </c>
      <c r="B21" s="9"/>
      <c r="C21" s="5">
        <f>'Funds Flow - Partner Detail'!H132</f>
        <v>0</v>
      </c>
      <c r="D21" s="5">
        <f>'Funds Flow - Partner Detail'!I132</f>
        <v>0</v>
      </c>
      <c r="E21" s="5">
        <f t="shared" ref="E21" si="4">C21+D21</f>
        <v>0</v>
      </c>
      <c r="F21" s="9"/>
      <c r="G21" s="6">
        <f t="shared" si="0"/>
        <v>0</v>
      </c>
      <c r="H21" s="6">
        <f t="shared" si="1"/>
        <v>0</v>
      </c>
      <c r="I21" s="6">
        <f t="shared" si="2"/>
        <v>0</v>
      </c>
    </row>
    <row r="22" spans="1:9" x14ac:dyDescent="0.25">
      <c r="A22" s="2" t="s">
        <v>19</v>
      </c>
      <c r="B22" s="9"/>
      <c r="C22" s="5">
        <f>'Funds Flow - Partner Detail'!H140</f>
        <v>0</v>
      </c>
      <c r="D22" s="5">
        <f>'Funds Flow - Partner Detail'!I140</f>
        <v>0</v>
      </c>
      <c r="E22" s="5">
        <f t="shared" si="3"/>
        <v>0</v>
      </c>
      <c r="F22" s="9"/>
      <c r="G22" s="6">
        <f t="shared" si="0"/>
        <v>0</v>
      </c>
      <c r="H22" s="6">
        <f t="shared" si="1"/>
        <v>0</v>
      </c>
      <c r="I22" s="6">
        <f t="shared" si="2"/>
        <v>0</v>
      </c>
    </row>
    <row r="23" spans="1:9" x14ac:dyDescent="0.25">
      <c r="A23" s="2" t="s">
        <v>19</v>
      </c>
      <c r="B23" s="9"/>
      <c r="C23" s="5">
        <f>'Funds Flow - Partner Detail'!H148</f>
        <v>0</v>
      </c>
      <c r="D23" s="5">
        <f>'Funds Flow - Partner Detail'!I148</f>
        <v>0</v>
      </c>
      <c r="E23" s="5">
        <f t="shared" si="3"/>
        <v>0</v>
      </c>
      <c r="F23" s="9"/>
      <c r="G23" s="6">
        <f t="shared" si="0"/>
        <v>0</v>
      </c>
      <c r="H23" s="6">
        <f t="shared" si="1"/>
        <v>0</v>
      </c>
      <c r="I23" s="6">
        <f t="shared" si="2"/>
        <v>0</v>
      </c>
    </row>
    <row r="24" spans="1:9" x14ac:dyDescent="0.25">
      <c r="A24" s="3" t="s">
        <v>20</v>
      </c>
      <c r="B24" s="9"/>
      <c r="C24" s="7">
        <f>SUM(C5:C23)</f>
        <v>3319768.963</v>
      </c>
      <c r="D24" s="7">
        <f t="shared" ref="D24:E24" si="5">SUM(D5:D23)</f>
        <v>6165285.217000002</v>
      </c>
      <c r="E24" s="7">
        <f t="shared" si="5"/>
        <v>9485054.1799999997</v>
      </c>
      <c r="F24" s="9"/>
      <c r="G24" s="8">
        <f>SUM(G5:G23)</f>
        <v>1</v>
      </c>
      <c r="H24" s="8">
        <f t="shared" ref="H24:I24" si="6">SUM(H5:H23)</f>
        <v>0.99999999999999989</v>
      </c>
      <c r="I24" s="8">
        <f t="shared" si="6"/>
        <v>1.0000000000000002</v>
      </c>
    </row>
  </sheetData>
  <mergeCells count="2">
    <mergeCell ref="C3:I3"/>
    <mergeCell ref="A3:A4"/>
  </mergeCell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8"/>
  <sheetViews>
    <sheetView topLeftCell="A4" workbookViewId="0">
      <pane xSplit="1" ySplit="1" topLeftCell="B5" activePane="bottomRight" state="frozen"/>
      <selection activeCell="A4" sqref="A4"/>
      <selection pane="topRight" activeCell="B4" sqref="B4"/>
      <selection pane="bottomLeft" activeCell="A5" sqref="A5"/>
      <selection pane="bottomRight" activeCell="B4" sqref="B1:C1048576"/>
    </sheetView>
  </sheetViews>
  <sheetFormatPr defaultRowHeight="15" x14ac:dyDescent="0.25"/>
  <cols>
    <col min="1" max="1" width="31.85546875" bestFit="1" customWidth="1"/>
    <col min="2" max="3" width="13.42578125" hidden="1" customWidth="1"/>
    <col min="4" max="6" width="13.42578125" customWidth="1"/>
    <col min="7" max="7" width="1.28515625" customWidth="1"/>
    <col min="8" max="10" width="13.42578125" customWidth="1"/>
  </cols>
  <sheetData>
    <row r="1" spans="1:10" x14ac:dyDescent="0.25">
      <c r="A1" s="1" t="s">
        <v>39</v>
      </c>
    </row>
    <row r="3" spans="1:10" x14ac:dyDescent="0.25">
      <c r="A3" s="2"/>
      <c r="B3" s="26" t="s">
        <v>29</v>
      </c>
      <c r="C3" s="27"/>
      <c r="D3" s="27"/>
      <c r="E3" s="27"/>
      <c r="F3" s="28"/>
      <c r="G3" s="2"/>
      <c r="H3" s="26" t="s">
        <v>30</v>
      </c>
      <c r="I3" s="27"/>
      <c r="J3" s="28"/>
    </row>
    <row r="4" spans="1:10" ht="45" x14ac:dyDescent="0.25">
      <c r="A4" s="4"/>
      <c r="B4" s="4" t="s">
        <v>26</v>
      </c>
      <c r="C4" s="11" t="s">
        <v>44</v>
      </c>
      <c r="D4" s="4" t="s">
        <v>45223</v>
      </c>
      <c r="E4" s="4" t="s">
        <v>27</v>
      </c>
      <c r="F4" s="4" t="s">
        <v>28</v>
      </c>
      <c r="G4" s="2"/>
      <c r="H4" s="4" t="s">
        <v>0</v>
      </c>
      <c r="I4" s="4" t="s">
        <v>1</v>
      </c>
      <c r="J4" s="4" t="s">
        <v>2</v>
      </c>
    </row>
    <row r="5" spans="1:10" x14ac:dyDescent="0.25">
      <c r="A5" s="25" t="s">
        <v>4</v>
      </c>
      <c r="B5" s="2" t="str">
        <f>"1932103413"</f>
        <v>1932103413</v>
      </c>
      <c r="C5" s="2"/>
      <c r="D5" s="12" t="str">
        <f>_xlfn.IFNA(VLOOKUP($B5,'Sinai Perf Network 032017'!$A$2:$AI$11212,18,FALSE),"")</f>
        <v>MOUNT SINAI HOSPITAL</v>
      </c>
      <c r="E5" s="12" t="str">
        <f>_xlfn.IFNA(VLOOKUP($B5,'Sinai Perf Network 032017'!$A$2:$AI$11212,13,FALSE),"")</f>
        <v>Yes</v>
      </c>
      <c r="F5" s="12" t="str">
        <f>_xlfn.IFNA(VLOOKUP($B5,'Sinai Perf Network 032017'!$A$2:$AI$11212,12,FALSE),"")</f>
        <v>All Other:: Clinic:: Hospital:: Mental Health</v>
      </c>
      <c r="G5" s="2"/>
      <c r="H5" s="2">
        <v>218750</v>
      </c>
      <c r="I5" s="2">
        <v>406250</v>
      </c>
      <c r="J5" s="5">
        <f>H5+I5</f>
        <v>625000</v>
      </c>
    </row>
    <row r="6" spans="1:10" x14ac:dyDescent="0.25">
      <c r="A6" s="25"/>
      <c r="B6" s="12" t="str">
        <f>"1326046467"</f>
        <v>1326046467</v>
      </c>
      <c r="C6" s="2"/>
      <c r="D6" s="12" t="str">
        <f>_xlfn.IFNA(VLOOKUP($B6,'Sinai Perf Network 032017'!$A$2:$AI$11212,18,FALSE),"")</f>
        <v>THE BROOKLYN HOSPITAL CENTER</v>
      </c>
      <c r="E6" s="12" t="str">
        <f>_xlfn.IFNA(VLOOKUP($B6,'Sinai Perf Network 032017'!$A$2:$AI$11212,13,FALSE),"")</f>
        <v>Yes</v>
      </c>
      <c r="F6" s="12" t="str">
        <f>_xlfn.IFNA(VLOOKUP($B6,'Sinai Perf Network 032017'!$A$2:$AI$11212,12,FALSE),"")</f>
        <v>All Other:: Clinic:: Hospice:: Hospital:: Pharmacy:: Substance Abuse</v>
      </c>
      <c r="G6" s="2"/>
      <c r="H6" s="2">
        <v>131250</v>
      </c>
      <c r="I6" s="2">
        <v>243750</v>
      </c>
      <c r="J6" s="5">
        <f t="shared" ref="J6:J10" si="0">H6+I6</f>
        <v>375000</v>
      </c>
    </row>
    <row r="7" spans="1:10" x14ac:dyDescent="0.25">
      <c r="A7" s="25"/>
      <c r="B7" s="2" t="str">
        <f>"1851328199"</f>
        <v>1851328199</v>
      </c>
      <c r="C7" s="2"/>
      <c r="D7" s="12" t="str">
        <f>_xlfn.IFNA(VLOOKUP($B7,'Sinai Perf Network 032017'!$A$2:$AI$11212,18,FALSE),"")</f>
        <v>WILLIAM F RYAN COMMUNITY HEALTH CENTER INC</v>
      </c>
      <c r="E7" s="12" t="str">
        <f>_xlfn.IFNA(VLOOKUP($B7,'Sinai Perf Network 032017'!$A$2:$AI$11212,13,FALSE),"")</f>
        <v>Yes</v>
      </c>
      <c r="F7" s="12" t="str">
        <f>_xlfn.IFNA(VLOOKUP($B7,'Sinai Perf Network 032017'!$A$2:$AI$11212,12,FALSE),"")</f>
        <v>All Other:: Clinic:: Mental Health</v>
      </c>
      <c r="G7" s="2"/>
      <c r="H7" s="2">
        <v>116666.66666666666</v>
      </c>
      <c r="I7" s="2">
        <v>216666.66666666666</v>
      </c>
      <c r="J7" s="5">
        <f t="shared" si="0"/>
        <v>333333.33333333331</v>
      </c>
    </row>
    <row r="8" spans="1:10" x14ac:dyDescent="0.25">
      <c r="A8" s="25"/>
      <c r="B8" s="2" t="str">
        <f>"1295729408"</f>
        <v>1295729408</v>
      </c>
      <c r="C8" s="2"/>
      <c r="D8" s="12" t="str">
        <f>_xlfn.IFNA(VLOOKUP($B8,'Sinai Perf Network 032017'!$A$2:$AI$11212,18,FALSE),"")</f>
        <v>THE INSTITUTE FOR FAMILY HEALTH</v>
      </c>
      <c r="E8" s="12" t="str">
        <f>_xlfn.IFNA(VLOOKUP($B8,'Sinai Perf Network 032017'!$A$2:$AI$11212,13,FALSE),"")</f>
        <v>Yes</v>
      </c>
      <c r="F8" s="12" t="str">
        <f>_xlfn.IFNA(VLOOKUP($B8,'Sinai Perf Network 032017'!$A$2:$AI$11212,12,FALSE),"")</f>
        <v>All Other:: Case Management / Health Home:: Clinic:: Mental Health:: Practitioner - Primary Care Provider (PCP)</v>
      </c>
      <c r="G8" s="2"/>
      <c r="H8" s="2">
        <v>116666.66666666666</v>
      </c>
      <c r="I8" s="2">
        <v>216666.66666666666</v>
      </c>
      <c r="J8" s="5">
        <f t="shared" si="0"/>
        <v>333333.33333333331</v>
      </c>
    </row>
    <row r="9" spans="1:10" x14ac:dyDescent="0.25">
      <c r="A9" s="25"/>
      <c r="B9" s="2" t="str">
        <f>"1477764496"</f>
        <v>1477764496</v>
      </c>
      <c r="C9" s="2"/>
      <c r="D9" s="12" t="str">
        <f>_xlfn.IFNA(VLOOKUP($B9,'Sinai Perf Network 032017'!$A$2:$AI$11212,18,FALSE),"")</f>
        <v>COMMUNITY HEALTHCARE NETWORK, INC</v>
      </c>
      <c r="E9" s="12" t="str">
        <f>_xlfn.IFNA(VLOOKUP($B9,'Sinai Perf Network 032017'!$A$2:$AI$11212,13,FALSE),"")</f>
        <v>Yes</v>
      </c>
      <c r="F9" s="12" t="str">
        <f>_xlfn.IFNA(VLOOKUP($B9,'Sinai Perf Network 032017'!$A$2:$AI$11212,12,FALSE),"")</f>
        <v>All Other:: Clinic:: Mental Health</v>
      </c>
      <c r="G9" s="2"/>
      <c r="H9" s="2">
        <v>116666.66666666666</v>
      </c>
      <c r="I9" s="2">
        <v>216666.66666666666</v>
      </c>
      <c r="J9" s="5">
        <f t="shared" si="0"/>
        <v>333333.33333333331</v>
      </c>
    </row>
    <row r="10" spans="1:10" x14ac:dyDescent="0.25">
      <c r="A10" s="25"/>
      <c r="B10" s="2" t="str">
        <f>"1144250291"</f>
        <v>1144250291</v>
      </c>
      <c r="C10" s="2"/>
      <c r="D10" s="12" t="str">
        <f>_xlfn.IFNA(VLOOKUP($B10,'Sinai Perf Network 032017'!$A$2:$AI$11212,18,FALSE),"")</f>
        <v>SETTLEMENT HEALTH AND MEDICAL SERVICES, INC.</v>
      </c>
      <c r="E10" s="12" t="str">
        <f>_xlfn.IFNA(VLOOKUP($B10,'Sinai Perf Network 032017'!$A$2:$AI$11212,13,FALSE),"")</f>
        <v>Yes</v>
      </c>
      <c r="F10" s="12" t="str">
        <f>_xlfn.IFNA(VLOOKUP($B10,'Sinai Perf Network 032017'!$A$2:$AI$11212,12,FALSE),"")</f>
        <v>All Other:: Clinic</v>
      </c>
      <c r="G10" s="2"/>
      <c r="H10" s="2">
        <v>116666.66666666666</v>
      </c>
      <c r="I10" s="2">
        <v>216666.66666666666</v>
      </c>
      <c r="J10" s="5">
        <f t="shared" si="0"/>
        <v>333333.33333333331</v>
      </c>
    </row>
    <row r="11" spans="1:10" x14ac:dyDescent="0.25">
      <c r="A11" s="25"/>
      <c r="B11" s="26" t="s">
        <v>31</v>
      </c>
      <c r="C11" s="27"/>
      <c r="D11" s="27"/>
      <c r="E11" s="27"/>
      <c r="F11" s="27"/>
      <c r="G11" s="27"/>
      <c r="H11" s="27"/>
      <c r="I11" s="27"/>
      <c r="J11" s="27"/>
    </row>
    <row r="12" spans="1:10" x14ac:dyDescent="0.25">
      <c r="A12" s="9"/>
      <c r="B12" s="10"/>
      <c r="C12" s="10"/>
      <c r="D12" s="10"/>
      <c r="E12" s="10"/>
      <c r="F12" s="10"/>
      <c r="G12" s="10"/>
      <c r="H12" s="14">
        <f>SUM(H5:H10)</f>
        <v>816666.66666666651</v>
      </c>
      <c r="I12" s="14">
        <f t="shared" ref="I12:J12" si="1">SUM(I5:I10)</f>
        <v>1516666.6666666667</v>
      </c>
      <c r="J12" s="14">
        <f t="shared" si="1"/>
        <v>2333333.333333333</v>
      </c>
    </row>
    <row r="13" spans="1:10" ht="14.25" customHeight="1" x14ac:dyDescent="0.25">
      <c r="A13" s="25" t="s">
        <v>5</v>
      </c>
      <c r="B13" s="2" t="str">
        <f>"1932103413"</f>
        <v>1932103413</v>
      </c>
      <c r="C13" s="2"/>
      <c r="D13" s="12" t="str">
        <f>_xlfn.IFNA(VLOOKUP($B13,'Sinai Perf Network 032017'!$A$2:$AI$11212,18,FALSE),"")</f>
        <v>MOUNT SINAI HOSPITAL</v>
      </c>
      <c r="E13" s="12" t="str">
        <f>_xlfn.IFNA(VLOOKUP($B13,'Sinai Perf Network 032017'!$A$2:$AI$11212,13,FALSE),"")</f>
        <v>Yes</v>
      </c>
      <c r="F13" s="12" t="str">
        <f>_xlfn.IFNA(VLOOKUP($B13,'Sinai Perf Network 032017'!$A$2:$AI$11212,12,FALSE),"")</f>
        <v>All Other:: Clinic:: Hospital:: Mental Health</v>
      </c>
      <c r="G13" s="2"/>
      <c r="H13" s="2">
        <v>218750</v>
      </c>
      <c r="I13" s="2">
        <v>406250</v>
      </c>
      <c r="J13" s="5">
        <f>H13+I13</f>
        <v>625000</v>
      </c>
    </row>
    <row r="14" spans="1:10" x14ac:dyDescent="0.25">
      <c r="A14" s="25"/>
      <c r="B14" s="2" t="str">
        <f>"1326046467"</f>
        <v>1326046467</v>
      </c>
      <c r="C14" s="2"/>
      <c r="D14" s="12" t="str">
        <f>_xlfn.IFNA(VLOOKUP($B14,'Sinai Perf Network 032017'!$A$2:$AI$11212,18,FALSE),"")</f>
        <v>THE BROOKLYN HOSPITAL CENTER</v>
      </c>
      <c r="E14" s="12" t="str">
        <f>_xlfn.IFNA(VLOOKUP($B14,'Sinai Perf Network 032017'!$A$2:$AI$11212,13,FALSE),"")</f>
        <v>Yes</v>
      </c>
      <c r="F14" s="12" t="str">
        <f>_xlfn.IFNA(VLOOKUP($B14,'Sinai Perf Network 032017'!$A$2:$AI$11212,12,FALSE),"")</f>
        <v>All Other:: Clinic:: Hospice:: Hospital:: Pharmacy:: Substance Abuse</v>
      </c>
      <c r="G14" s="2"/>
      <c r="H14" s="2">
        <v>131250</v>
      </c>
      <c r="I14" s="2">
        <v>243750</v>
      </c>
      <c r="J14" s="5">
        <f t="shared" ref="J14:J18" si="2">H14+I14</f>
        <v>375000</v>
      </c>
    </row>
    <row r="15" spans="1:10" x14ac:dyDescent="0.25">
      <c r="A15" s="25"/>
      <c r="B15" s="2"/>
      <c r="C15" s="2"/>
      <c r="D15" s="12" t="str">
        <f>_xlfn.IFNA(VLOOKUP($B15,'Sinai Perf Network 032017'!$A$2:$AI$11212,18,FALSE),"")</f>
        <v/>
      </c>
      <c r="E15" s="12" t="str">
        <f>_xlfn.IFNA(VLOOKUP($B15,'Sinai Perf Network 032017'!$A$2:$AI$11212,13,FALSE),"")</f>
        <v/>
      </c>
      <c r="F15" s="12" t="str">
        <f>_xlfn.IFNA(VLOOKUP($B15,'Sinai Perf Network 032017'!$A$2:$AI$11212,12,FALSE),"")</f>
        <v/>
      </c>
      <c r="G15" s="2"/>
      <c r="H15" s="2"/>
      <c r="I15" s="2"/>
      <c r="J15" s="5">
        <f t="shared" si="2"/>
        <v>0</v>
      </c>
    </row>
    <row r="16" spans="1:10" x14ac:dyDescent="0.25">
      <c r="A16" s="25"/>
      <c r="B16" s="2"/>
      <c r="C16" s="2"/>
      <c r="D16" s="12" t="str">
        <f>_xlfn.IFNA(VLOOKUP($B16,'Sinai Perf Network 032017'!$A$2:$AI$11212,18,FALSE),"")</f>
        <v/>
      </c>
      <c r="E16" s="12" t="str">
        <f>_xlfn.IFNA(VLOOKUP($B16,'Sinai Perf Network 032017'!$A$2:$AI$11212,13,FALSE),"")</f>
        <v/>
      </c>
      <c r="F16" s="12" t="str">
        <f>_xlfn.IFNA(VLOOKUP($B16,'Sinai Perf Network 032017'!$A$2:$AI$11212,12,FALSE),"")</f>
        <v/>
      </c>
      <c r="G16" s="2"/>
      <c r="H16" s="2"/>
      <c r="I16" s="2"/>
      <c r="J16" s="5">
        <f t="shared" si="2"/>
        <v>0</v>
      </c>
    </row>
    <row r="17" spans="1:10" x14ac:dyDescent="0.25">
      <c r="A17" s="25"/>
      <c r="B17" s="2"/>
      <c r="C17" s="2"/>
      <c r="D17" s="12" t="str">
        <f>_xlfn.IFNA(VLOOKUP($B17,'Sinai Perf Network 032017'!$A$2:$AI$11212,18,FALSE),"")</f>
        <v/>
      </c>
      <c r="E17" s="12" t="str">
        <f>_xlfn.IFNA(VLOOKUP($B17,'Sinai Perf Network 032017'!$A$2:$AI$11212,13,FALSE),"")</f>
        <v/>
      </c>
      <c r="F17" s="12" t="str">
        <f>_xlfn.IFNA(VLOOKUP($B17,'Sinai Perf Network 032017'!$A$2:$AI$11212,12,FALSE),"")</f>
        <v/>
      </c>
      <c r="G17" s="2"/>
      <c r="H17" s="2"/>
      <c r="I17" s="2"/>
      <c r="J17" s="5">
        <f t="shared" si="2"/>
        <v>0</v>
      </c>
    </row>
    <row r="18" spans="1:10" x14ac:dyDescent="0.25">
      <c r="A18" s="25"/>
      <c r="B18" s="2"/>
      <c r="C18" s="2"/>
      <c r="D18" s="12" t="str">
        <f>_xlfn.IFNA(VLOOKUP($B18,'Sinai Perf Network 032017'!$A$2:$AI$11212,18,FALSE),"")</f>
        <v/>
      </c>
      <c r="E18" s="12" t="str">
        <f>_xlfn.IFNA(VLOOKUP($B18,'Sinai Perf Network 032017'!$A$2:$AI$11212,13,FALSE),"")</f>
        <v/>
      </c>
      <c r="F18" s="12" t="str">
        <f>_xlfn.IFNA(VLOOKUP($B18,'Sinai Perf Network 032017'!$A$2:$AI$11212,12,FALSE),"")</f>
        <v/>
      </c>
      <c r="G18" s="2"/>
      <c r="H18" s="2"/>
      <c r="I18" s="2"/>
      <c r="J18" s="5">
        <f t="shared" si="2"/>
        <v>0</v>
      </c>
    </row>
    <row r="19" spans="1:10" x14ac:dyDescent="0.25">
      <c r="A19" s="25"/>
      <c r="B19" s="26" t="s">
        <v>31</v>
      </c>
      <c r="C19" s="27"/>
      <c r="D19" s="27"/>
      <c r="E19" s="27"/>
      <c r="F19" s="27"/>
      <c r="G19" s="27"/>
      <c r="H19" s="27"/>
      <c r="I19" s="27"/>
      <c r="J19" s="27"/>
    </row>
    <row r="20" spans="1:10" x14ac:dyDescent="0.25">
      <c r="A20" s="9"/>
      <c r="B20" s="10"/>
      <c r="C20" s="10"/>
      <c r="D20" s="10"/>
      <c r="E20" s="10"/>
      <c r="F20" s="10"/>
      <c r="G20" s="10"/>
      <c r="H20" s="14">
        <f>SUM(H13:H18)</f>
        <v>350000</v>
      </c>
      <c r="I20" s="14">
        <f t="shared" ref="I20:J20" si="3">SUM(I13:I18)</f>
        <v>650000</v>
      </c>
      <c r="J20" s="14">
        <f t="shared" si="3"/>
        <v>1000000</v>
      </c>
    </row>
    <row r="21" spans="1:10" ht="14.25" customHeight="1" x14ac:dyDescent="0.25">
      <c r="A21" s="25" t="s">
        <v>6</v>
      </c>
      <c r="B21" s="2" t="str">
        <f>"1932103413"</f>
        <v>1932103413</v>
      </c>
      <c r="C21" s="2"/>
      <c r="D21" s="12" t="str">
        <f>_xlfn.IFNA(VLOOKUP($B21,'Sinai Perf Network 032017'!$A$2:$AI$11212,18,FALSE),"")</f>
        <v>MOUNT SINAI HOSPITAL</v>
      </c>
      <c r="E21" s="12" t="str">
        <f>_xlfn.IFNA(VLOOKUP($B21,'Sinai Perf Network 032017'!$A$2:$AI$11212,13,FALSE),"")</f>
        <v>Yes</v>
      </c>
      <c r="F21" s="12" t="str">
        <f>_xlfn.IFNA(VLOOKUP($B21,'Sinai Perf Network 032017'!$A$2:$AI$11212,12,FALSE),"")</f>
        <v>All Other:: Clinic:: Hospital:: Mental Health</v>
      </c>
      <c r="G21" s="2"/>
      <c r="H21" s="2">
        <v>218750</v>
      </c>
      <c r="I21" s="2">
        <v>406250</v>
      </c>
      <c r="J21" s="5">
        <f>H21+I21</f>
        <v>625000</v>
      </c>
    </row>
    <row r="22" spans="1:10" x14ac:dyDescent="0.25">
      <c r="A22" s="25"/>
      <c r="B22" s="2" t="str">
        <f>"1326046467"</f>
        <v>1326046467</v>
      </c>
      <c r="C22" s="2"/>
      <c r="D22" s="12" t="str">
        <f>_xlfn.IFNA(VLOOKUP($B22,'Sinai Perf Network 032017'!$A$2:$AI$11212,18,FALSE),"")</f>
        <v>THE BROOKLYN HOSPITAL CENTER</v>
      </c>
      <c r="E22" s="12" t="str">
        <f>_xlfn.IFNA(VLOOKUP($B22,'Sinai Perf Network 032017'!$A$2:$AI$11212,13,FALSE),"")</f>
        <v>Yes</v>
      </c>
      <c r="F22" s="12" t="str">
        <f>_xlfn.IFNA(VLOOKUP($B22,'Sinai Perf Network 032017'!$A$2:$AI$11212,12,FALSE),"")</f>
        <v>All Other:: Clinic:: Hospice:: Hospital:: Pharmacy:: Substance Abuse</v>
      </c>
      <c r="G22" s="2"/>
      <c r="H22" s="2">
        <v>131250</v>
      </c>
      <c r="I22" s="2">
        <v>243750</v>
      </c>
      <c r="J22" s="5">
        <f t="shared" ref="J22:J26" si="4">H22+I22</f>
        <v>375000</v>
      </c>
    </row>
    <row r="23" spans="1:10" x14ac:dyDescent="0.25">
      <c r="A23" s="25"/>
      <c r="B23" s="2"/>
      <c r="C23" s="2"/>
      <c r="D23" s="12" t="str">
        <f>_xlfn.IFNA(VLOOKUP($B23,'Sinai Perf Network 032017'!$A$2:$AI$11212,18,FALSE),"")</f>
        <v/>
      </c>
      <c r="E23" s="12" t="str">
        <f>_xlfn.IFNA(VLOOKUP($B23,'Sinai Perf Network 032017'!$A$2:$AI$11212,13,FALSE),"")</f>
        <v/>
      </c>
      <c r="F23" s="12" t="str">
        <f>_xlfn.IFNA(VLOOKUP($B23,'Sinai Perf Network 032017'!$A$2:$AI$11212,12,FALSE),"")</f>
        <v/>
      </c>
      <c r="G23" s="2"/>
      <c r="H23" s="2"/>
      <c r="I23" s="2"/>
      <c r="J23" s="5">
        <f t="shared" si="4"/>
        <v>0</v>
      </c>
    </row>
    <row r="24" spans="1:10" x14ac:dyDescent="0.25">
      <c r="A24" s="25"/>
      <c r="B24" s="2"/>
      <c r="C24" s="2"/>
      <c r="D24" s="12" t="str">
        <f>_xlfn.IFNA(VLOOKUP($B24,'Sinai Perf Network 032017'!$A$2:$AI$11212,18,FALSE),"")</f>
        <v/>
      </c>
      <c r="E24" s="12" t="str">
        <f>_xlfn.IFNA(VLOOKUP($B24,'Sinai Perf Network 032017'!$A$2:$AI$11212,13,FALSE),"")</f>
        <v/>
      </c>
      <c r="F24" s="12" t="str">
        <f>_xlfn.IFNA(VLOOKUP($B24,'Sinai Perf Network 032017'!$A$2:$AI$11212,12,FALSE),"")</f>
        <v/>
      </c>
      <c r="G24" s="2"/>
      <c r="H24" s="2"/>
      <c r="I24" s="2"/>
      <c r="J24" s="5">
        <f t="shared" si="4"/>
        <v>0</v>
      </c>
    </row>
    <row r="25" spans="1:10" x14ac:dyDescent="0.25">
      <c r="A25" s="25"/>
      <c r="B25" s="2"/>
      <c r="C25" s="2"/>
      <c r="D25" s="12" t="str">
        <f>_xlfn.IFNA(VLOOKUP($B25,'Sinai Perf Network 032017'!$A$2:$AI$11212,18,FALSE),"")</f>
        <v/>
      </c>
      <c r="E25" s="12" t="str">
        <f>_xlfn.IFNA(VLOOKUP($B25,'Sinai Perf Network 032017'!$A$2:$AI$11212,13,FALSE),"")</f>
        <v/>
      </c>
      <c r="F25" s="12" t="str">
        <f>_xlfn.IFNA(VLOOKUP($B25,'Sinai Perf Network 032017'!$A$2:$AI$11212,12,FALSE),"")</f>
        <v/>
      </c>
      <c r="G25" s="2"/>
      <c r="H25" s="2"/>
      <c r="I25" s="2"/>
      <c r="J25" s="5">
        <f t="shared" si="4"/>
        <v>0</v>
      </c>
    </row>
    <row r="26" spans="1:10" x14ac:dyDescent="0.25">
      <c r="A26" s="25"/>
      <c r="B26" s="2"/>
      <c r="C26" s="2"/>
      <c r="D26" s="12" t="str">
        <f>_xlfn.IFNA(VLOOKUP($B26,'Sinai Perf Network 032017'!$A$2:$AI$11212,18,FALSE),"")</f>
        <v/>
      </c>
      <c r="E26" s="12" t="str">
        <f>_xlfn.IFNA(VLOOKUP($B26,'Sinai Perf Network 032017'!$A$2:$AI$11212,13,FALSE),"")</f>
        <v/>
      </c>
      <c r="F26" s="12" t="str">
        <f>_xlfn.IFNA(VLOOKUP($B26,'Sinai Perf Network 032017'!$A$2:$AI$11212,12,FALSE),"")</f>
        <v/>
      </c>
      <c r="G26" s="2"/>
      <c r="H26" s="2"/>
      <c r="I26" s="2"/>
      <c r="J26" s="5">
        <f t="shared" si="4"/>
        <v>0</v>
      </c>
    </row>
    <row r="27" spans="1:10" x14ac:dyDescent="0.25">
      <c r="A27" s="25"/>
      <c r="B27" s="26" t="s">
        <v>31</v>
      </c>
      <c r="C27" s="27"/>
      <c r="D27" s="27"/>
      <c r="E27" s="27"/>
      <c r="F27" s="27"/>
      <c r="G27" s="27"/>
      <c r="H27" s="27"/>
      <c r="I27" s="27"/>
      <c r="J27" s="27"/>
    </row>
    <row r="28" spans="1:10" x14ac:dyDescent="0.25">
      <c r="A28" s="9"/>
      <c r="B28" s="10"/>
      <c r="C28" s="10"/>
      <c r="D28" s="10"/>
      <c r="E28" s="10"/>
      <c r="F28" s="10"/>
      <c r="G28" s="10"/>
      <c r="H28" s="14">
        <f>SUM(H21:H26)</f>
        <v>350000</v>
      </c>
      <c r="I28" s="14">
        <f t="shared" ref="I28:J28" si="5">SUM(I21:I26)</f>
        <v>650000</v>
      </c>
      <c r="J28" s="14">
        <f t="shared" si="5"/>
        <v>1000000</v>
      </c>
    </row>
    <row r="29" spans="1:10" ht="14.25" customHeight="1" x14ac:dyDescent="0.25">
      <c r="A29" s="25" t="s">
        <v>7</v>
      </c>
      <c r="B29" s="2" t="str">
        <f>"1932103413"</f>
        <v>1932103413</v>
      </c>
      <c r="C29" s="2"/>
      <c r="D29" s="12" t="str">
        <f>_xlfn.IFNA(VLOOKUP($B29,'Sinai Perf Network 032017'!$A$2:$AI$11212,18,FALSE),"")</f>
        <v>MOUNT SINAI HOSPITAL</v>
      </c>
      <c r="E29" s="12" t="str">
        <f>_xlfn.IFNA(VLOOKUP($B29,'Sinai Perf Network 032017'!$A$2:$AI$11212,13,FALSE),"")</f>
        <v>Yes</v>
      </c>
      <c r="F29" s="12" t="str">
        <f>_xlfn.IFNA(VLOOKUP($B29,'Sinai Perf Network 032017'!$A$2:$AI$11212,12,FALSE),"")</f>
        <v>All Other:: Clinic:: Hospital:: Mental Health</v>
      </c>
      <c r="G29" s="2"/>
      <c r="H29" s="2">
        <v>218750</v>
      </c>
      <c r="I29" s="2">
        <v>406250</v>
      </c>
      <c r="J29" s="5">
        <f>H29+I29</f>
        <v>625000</v>
      </c>
    </row>
    <row r="30" spans="1:10" x14ac:dyDescent="0.25">
      <c r="A30" s="25"/>
      <c r="B30" s="2" t="str">
        <f>"1326046467"</f>
        <v>1326046467</v>
      </c>
      <c r="C30" s="2"/>
      <c r="D30" s="12" t="str">
        <f>_xlfn.IFNA(VLOOKUP($B30,'Sinai Perf Network 032017'!$A$2:$AI$11212,18,FALSE),"")</f>
        <v>THE BROOKLYN HOSPITAL CENTER</v>
      </c>
      <c r="E30" s="12" t="str">
        <f>_xlfn.IFNA(VLOOKUP($B30,'Sinai Perf Network 032017'!$A$2:$AI$11212,13,FALSE),"")</f>
        <v>Yes</v>
      </c>
      <c r="F30" s="12" t="str">
        <f>_xlfn.IFNA(VLOOKUP($B30,'Sinai Perf Network 032017'!$A$2:$AI$11212,12,FALSE),"")</f>
        <v>All Other:: Clinic:: Hospice:: Hospital:: Pharmacy:: Substance Abuse</v>
      </c>
      <c r="G30" s="2"/>
      <c r="H30" s="2">
        <v>131250</v>
      </c>
      <c r="I30" s="2">
        <v>243750</v>
      </c>
      <c r="J30" s="5">
        <f t="shared" ref="J30:J34" si="6">H30+I30</f>
        <v>375000</v>
      </c>
    </row>
    <row r="31" spans="1:10" x14ac:dyDescent="0.25">
      <c r="A31" s="25"/>
      <c r="B31" s="2"/>
      <c r="C31" s="2"/>
      <c r="D31" s="12" t="str">
        <f>_xlfn.IFNA(VLOOKUP($B31,'Sinai Perf Network 032017'!$A$2:$AI$11212,18,FALSE),"")</f>
        <v/>
      </c>
      <c r="E31" s="12" t="str">
        <f>_xlfn.IFNA(VLOOKUP($B31,'Sinai Perf Network 032017'!$A$2:$AI$11212,13,FALSE),"")</f>
        <v/>
      </c>
      <c r="F31" s="12" t="str">
        <f>_xlfn.IFNA(VLOOKUP($B31,'Sinai Perf Network 032017'!$A$2:$AI$11212,12,FALSE),"")</f>
        <v/>
      </c>
      <c r="G31" s="2"/>
      <c r="H31" s="2"/>
      <c r="I31" s="2"/>
      <c r="J31" s="5">
        <f t="shared" si="6"/>
        <v>0</v>
      </c>
    </row>
    <row r="32" spans="1:10" x14ac:dyDescent="0.25">
      <c r="A32" s="25"/>
      <c r="B32" s="2"/>
      <c r="C32" s="2"/>
      <c r="D32" s="12" t="str">
        <f>_xlfn.IFNA(VLOOKUP($B32,'Sinai Perf Network 032017'!$A$2:$AI$11212,18,FALSE),"")</f>
        <v/>
      </c>
      <c r="E32" s="12" t="str">
        <f>_xlfn.IFNA(VLOOKUP($B32,'Sinai Perf Network 032017'!$A$2:$AI$11212,13,FALSE),"")</f>
        <v/>
      </c>
      <c r="F32" s="12" t="str">
        <f>_xlfn.IFNA(VLOOKUP($B32,'Sinai Perf Network 032017'!$A$2:$AI$11212,12,FALSE),"")</f>
        <v/>
      </c>
      <c r="G32" s="2"/>
      <c r="H32" s="2"/>
      <c r="I32" s="2"/>
      <c r="J32" s="5">
        <f t="shared" si="6"/>
        <v>0</v>
      </c>
    </row>
    <row r="33" spans="1:10" x14ac:dyDescent="0.25">
      <c r="A33" s="25"/>
      <c r="B33" s="2"/>
      <c r="C33" s="2"/>
      <c r="D33" s="12" t="str">
        <f>_xlfn.IFNA(VLOOKUP($B33,'Sinai Perf Network 032017'!$A$2:$AI$11212,18,FALSE),"")</f>
        <v/>
      </c>
      <c r="E33" s="12" t="str">
        <f>_xlfn.IFNA(VLOOKUP($B33,'Sinai Perf Network 032017'!$A$2:$AI$11212,13,FALSE),"")</f>
        <v/>
      </c>
      <c r="F33" s="12" t="str">
        <f>_xlfn.IFNA(VLOOKUP($B33,'Sinai Perf Network 032017'!$A$2:$AI$11212,12,FALSE),"")</f>
        <v/>
      </c>
      <c r="G33" s="2"/>
      <c r="H33" s="2"/>
      <c r="I33" s="2"/>
      <c r="J33" s="5">
        <f t="shared" si="6"/>
        <v>0</v>
      </c>
    </row>
    <row r="34" spans="1:10" x14ac:dyDescent="0.25">
      <c r="A34" s="25"/>
      <c r="B34" s="2"/>
      <c r="C34" s="2"/>
      <c r="D34" s="12" t="str">
        <f>_xlfn.IFNA(VLOOKUP($B34,'Sinai Perf Network 032017'!$A$2:$AI$11212,18,FALSE),"")</f>
        <v/>
      </c>
      <c r="E34" s="12" t="str">
        <f>_xlfn.IFNA(VLOOKUP($B34,'Sinai Perf Network 032017'!$A$2:$AI$11212,13,FALSE),"")</f>
        <v/>
      </c>
      <c r="F34" s="12" t="str">
        <f>_xlfn.IFNA(VLOOKUP($B34,'Sinai Perf Network 032017'!$A$2:$AI$11212,12,FALSE),"")</f>
        <v/>
      </c>
      <c r="G34" s="2"/>
      <c r="H34" s="2"/>
      <c r="I34" s="2"/>
      <c r="J34" s="5">
        <f t="shared" si="6"/>
        <v>0</v>
      </c>
    </row>
    <row r="35" spans="1:10" x14ac:dyDescent="0.25">
      <c r="A35" s="25"/>
      <c r="B35" s="26" t="s">
        <v>31</v>
      </c>
      <c r="C35" s="27"/>
      <c r="D35" s="27"/>
      <c r="E35" s="27"/>
      <c r="F35" s="27"/>
      <c r="G35" s="27"/>
      <c r="H35" s="27"/>
      <c r="I35" s="27"/>
      <c r="J35" s="27"/>
    </row>
    <row r="36" spans="1:10" x14ac:dyDescent="0.25">
      <c r="A36" s="9"/>
      <c r="B36" s="10"/>
      <c r="C36" s="10"/>
      <c r="D36" s="10"/>
      <c r="E36" s="10"/>
      <c r="F36" s="10"/>
      <c r="G36" s="10"/>
      <c r="H36" s="14">
        <f>SUM(H29:H34)</f>
        <v>350000</v>
      </c>
      <c r="I36" s="14">
        <f t="shared" ref="I36:J36" si="7">SUM(I29:I34)</f>
        <v>650000</v>
      </c>
      <c r="J36" s="14">
        <f t="shared" si="7"/>
        <v>1000000</v>
      </c>
    </row>
    <row r="37" spans="1:10" x14ac:dyDescent="0.25">
      <c r="A37" s="25" t="s">
        <v>9</v>
      </c>
      <c r="B37" s="2" t="str">
        <f>"1851328199"</f>
        <v>1851328199</v>
      </c>
      <c r="C37" s="2"/>
      <c r="D37" s="12" t="str">
        <f>_xlfn.IFNA(VLOOKUP($B37,'Sinai Perf Network 032017'!$A$2:$AI$11212,18,FALSE),"")</f>
        <v>WILLIAM F RYAN COMMUNITY HEALTH CENTER INC</v>
      </c>
      <c r="E37" s="12" t="str">
        <f>_xlfn.IFNA(VLOOKUP($B37,'Sinai Perf Network 032017'!$A$2:$AI$11212,13,FALSE),"")</f>
        <v>Yes</v>
      </c>
      <c r="F37" s="12" t="str">
        <f>_xlfn.IFNA(VLOOKUP($B37,'Sinai Perf Network 032017'!$A$2:$AI$11212,12,FALSE),"")</f>
        <v>All Other:: Clinic:: Mental Health</v>
      </c>
      <c r="G37" s="2"/>
      <c r="H37" s="2">
        <v>116666.66666666666</v>
      </c>
      <c r="I37" s="2">
        <v>216666.66666666666</v>
      </c>
      <c r="J37" s="5">
        <f>H37+I37</f>
        <v>333333.33333333331</v>
      </c>
    </row>
    <row r="38" spans="1:10" x14ac:dyDescent="0.25">
      <c r="A38" s="25"/>
      <c r="B38" s="2" t="str">
        <f>"1295729408"</f>
        <v>1295729408</v>
      </c>
      <c r="C38" s="2"/>
      <c r="D38" s="12" t="str">
        <f>_xlfn.IFNA(VLOOKUP($B38,'Sinai Perf Network 032017'!$A$2:$AI$11212,18,FALSE),"")</f>
        <v>THE INSTITUTE FOR FAMILY HEALTH</v>
      </c>
      <c r="E38" s="12" t="str">
        <f>_xlfn.IFNA(VLOOKUP($B38,'Sinai Perf Network 032017'!$A$2:$AI$11212,13,FALSE),"")</f>
        <v>Yes</v>
      </c>
      <c r="F38" s="12" t="str">
        <f>_xlfn.IFNA(VLOOKUP($B38,'Sinai Perf Network 032017'!$A$2:$AI$11212,12,FALSE),"")</f>
        <v>All Other:: Case Management / Health Home:: Clinic:: Mental Health:: Practitioner - Primary Care Provider (PCP)</v>
      </c>
      <c r="G38" s="2"/>
      <c r="H38" s="2">
        <v>116666.66666666666</v>
      </c>
      <c r="I38" s="2">
        <v>216666.66666666666</v>
      </c>
      <c r="J38" s="5">
        <f t="shared" ref="J38:J42" si="8">H38+I38</f>
        <v>333333.33333333331</v>
      </c>
    </row>
    <row r="39" spans="1:10" x14ac:dyDescent="0.25">
      <c r="A39" s="25"/>
      <c r="B39" s="2" t="str">
        <f>"1477764496"</f>
        <v>1477764496</v>
      </c>
      <c r="C39" s="2"/>
      <c r="D39" s="12" t="str">
        <f>_xlfn.IFNA(VLOOKUP($B39,'Sinai Perf Network 032017'!$A$2:$AI$11212,18,FALSE),"")</f>
        <v>COMMUNITY HEALTHCARE NETWORK, INC</v>
      </c>
      <c r="E39" s="12" t="str">
        <f>_xlfn.IFNA(VLOOKUP($B39,'Sinai Perf Network 032017'!$A$2:$AI$11212,13,FALSE),"")</f>
        <v>Yes</v>
      </c>
      <c r="F39" s="12" t="str">
        <f>_xlfn.IFNA(VLOOKUP($B39,'Sinai Perf Network 032017'!$A$2:$AI$11212,12,FALSE),"")</f>
        <v>All Other:: Clinic:: Mental Health</v>
      </c>
      <c r="G39" s="2"/>
      <c r="H39" s="2">
        <v>116666.66666666666</v>
      </c>
      <c r="I39" s="2">
        <v>216666.66666666666</v>
      </c>
      <c r="J39" s="5">
        <f t="shared" si="8"/>
        <v>333333.33333333331</v>
      </c>
    </row>
    <row r="40" spans="1:10" x14ac:dyDescent="0.25">
      <c r="A40" s="25"/>
      <c r="B40" s="2" t="str">
        <f>"1144250291"</f>
        <v>1144250291</v>
      </c>
      <c r="C40" s="2"/>
      <c r="D40" s="12" t="str">
        <f>_xlfn.IFNA(VLOOKUP($B40,'Sinai Perf Network 032017'!$A$2:$AI$11212,18,FALSE),"")</f>
        <v>SETTLEMENT HEALTH AND MEDICAL SERVICES, INC.</v>
      </c>
      <c r="E40" s="12" t="str">
        <f>_xlfn.IFNA(VLOOKUP($B40,'Sinai Perf Network 032017'!$A$2:$AI$11212,13,FALSE),"")</f>
        <v>Yes</v>
      </c>
      <c r="F40" s="12" t="str">
        <f>_xlfn.IFNA(VLOOKUP($B40,'Sinai Perf Network 032017'!$A$2:$AI$11212,12,FALSE),"")</f>
        <v>All Other:: Clinic</v>
      </c>
      <c r="G40" s="2"/>
      <c r="H40" s="2">
        <v>116666.66666666666</v>
      </c>
      <c r="I40" s="2">
        <v>216666.66666666666</v>
      </c>
      <c r="J40" s="5">
        <f t="shared" si="8"/>
        <v>333333.33333333331</v>
      </c>
    </row>
    <row r="41" spans="1:10" x14ac:dyDescent="0.25">
      <c r="A41" s="25"/>
      <c r="B41" s="2"/>
      <c r="C41" s="2"/>
      <c r="D41" s="12" t="str">
        <f>_xlfn.IFNA(VLOOKUP($B41,'Sinai Perf Network 032017'!$A$2:$AI$11212,18,FALSE),"")</f>
        <v/>
      </c>
      <c r="E41" s="12" t="str">
        <f>_xlfn.IFNA(VLOOKUP($B41,'Sinai Perf Network 032017'!$A$2:$AI$11212,13,FALSE),"")</f>
        <v/>
      </c>
      <c r="F41" s="12" t="str">
        <f>_xlfn.IFNA(VLOOKUP($B41,'Sinai Perf Network 032017'!$A$2:$AI$11212,12,FALSE),"")</f>
        <v/>
      </c>
      <c r="G41" s="2"/>
      <c r="H41" s="2"/>
      <c r="I41" s="2"/>
      <c r="J41" s="5">
        <f t="shared" si="8"/>
        <v>0</v>
      </c>
    </row>
    <row r="42" spans="1:10" x14ac:dyDescent="0.25">
      <c r="A42" s="25"/>
      <c r="B42" s="2"/>
      <c r="C42" s="2"/>
      <c r="D42" s="12" t="str">
        <f>_xlfn.IFNA(VLOOKUP($B42,'Sinai Perf Network 032017'!$A$2:$AI$11212,18,FALSE),"")</f>
        <v/>
      </c>
      <c r="E42" s="12" t="str">
        <f>_xlfn.IFNA(VLOOKUP($B42,'Sinai Perf Network 032017'!$A$2:$AI$11212,13,FALSE),"")</f>
        <v/>
      </c>
      <c r="F42" s="12" t="str">
        <f>_xlfn.IFNA(VLOOKUP($B42,'Sinai Perf Network 032017'!$A$2:$AI$11212,12,FALSE),"")</f>
        <v/>
      </c>
      <c r="G42" s="2"/>
      <c r="H42" s="2"/>
      <c r="I42" s="2"/>
      <c r="J42" s="5">
        <f t="shared" si="8"/>
        <v>0</v>
      </c>
    </row>
    <row r="43" spans="1:10" x14ac:dyDescent="0.25">
      <c r="A43" s="25"/>
      <c r="B43" s="26" t="s">
        <v>31</v>
      </c>
      <c r="C43" s="27"/>
      <c r="D43" s="27"/>
      <c r="E43" s="27"/>
      <c r="F43" s="27"/>
      <c r="G43" s="27"/>
      <c r="H43" s="27"/>
      <c r="I43" s="27"/>
      <c r="J43" s="27"/>
    </row>
    <row r="44" spans="1:10" x14ac:dyDescent="0.25">
      <c r="A44" s="9"/>
      <c r="B44" s="10"/>
      <c r="C44" s="10"/>
      <c r="D44" s="10"/>
      <c r="E44" s="10"/>
      <c r="F44" s="10"/>
      <c r="G44" s="10"/>
      <c r="H44" s="14">
        <f>SUM(H37:H42)</f>
        <v>466666.66666666663</v>
      </c>
      <c r="I44" s="14">
        <f t="shared" ref="I44:J44" si="9">SUM(I37:I42)</f>
        <v>866666.66666666663</v>
      </c>
      <c r="J44" s="14">
        <f t="shared" si="9"/>
        <v>1333333.3333333333</v>
      </c>
    </row>
    <row r="45" spans="1:10" x14ac:dyDescent="0.25">
      <c r="A45" s="25" t="s">
        <v>10</v>
      </c>
      <c r="B45" s="2" t="str">
        <f>"1851328199"</f>
        <v>1851328199</v>
      </c>
      <c r="C45" s="2"/>
      <c r="D45" s="12" t="str">
        <f>_xlfn.IFNA(VLOOKUP($B45,'Sinai Perf Network 032017'!$A$2:$AI$11212,18,FALSE),"")</f>
        <v>WILLIAM F RYAN COMMUNITY HEALTH CENTER INC</v>
      </c>
      <c r="E45" s="12" t="str">
        <f>_xlfn.IFNA(VLOOKUP($B45,'Sinai Perf Network 032017'!$A$2:$AI$11212,13,FALSE),"")</f>
        <v>Yes</v>
      </c>
      <c r="F45" s="12" t="str">
        <f>_xlfn.IFNA(VLOOKUP($B45,'Sinai Perf Network 032017'!$A$2:$AI$11212,12,FALSE),"")</f>
        <v>All Other:: Clinic:: Mental Health</v>
      </c>
      <c r="G45" s="2"/>
      <c r="H45" s="2">
        <v>116666.66666666666</v>
      </c>
      <c r="I45" s="2">
        <v>216666.66666666666</v>
      </c>
      <c r="J45" s="5">
        <f>H45+I45</f>
        <v>333333.33333333331</v>
      </c>
    </row>
    <row r="46" spans="1:10" x14ac:dyDescent="0.25">
      <c r="A46" s="25"/>
      <c r="B46" s="2" t="str">
        <f>"1295729408"</f>
        <v>1295729408</v>
      </c>
      <c r="C46" s="2"/>
      <c r="D46" s="12" t="str">
        <f>_xlfn.IFNA(VLOOKUP($B46,'Sinai Perf Network 032017'!$A$2:$AI$11212,18,FALSE),"")</f>
        <v>THE INSTITUTE FOR FAMILY HEALTH</v>
      </c>
      <c r="E46" s="12" t="str">
        <f>_xlfn.IFNA(VLOOKUP($B46,'Sinai Perf Network 032017'!$A$2:$AI$11212,13,FALSE),"")</f>
        <v>Yes</v>
      </c>
      <c r="F46" s="12" t="str">
        <f>_xlfn.IFNA(VLOOKUP($B46,'Sinai Perf Network 032017'!$A$2:$AI$11212,12,FALSE),"")</f>
        <v>All Other:: Case Management / Health Home:: Clinic:: Mental Health:: Practitioner - Primary Care Provider (PCP)</v>
      </c>
      <c r="G46" s="2"/>
      <c r="H46" s="2">
        <v>116666.66666666666</v>
      </c>
      <c r="I46" s="2">
        <v>216666.66666666666</v>
      </c>
      <c r="J46" s="5">
        <f t="shared" ref="J46:J50" si="10">H46+I46</f>
        <v>333333.33333333331</v>
      </c>
    </row>
    <row r="47" spans="1:10" x14ac:dyDescent="0.25">
      <c r="A47" s="25"/>
      <c r="B47" s="2" t="str">
        <f>"1477764496"</f>
        <v>1477764496</v>
      </c>
      <c r="C47" s="2"/>
      <c r="D47" s="12" t="str">
        <f>_xlfn.IFNA(VLOOKUP($B47,'Sinai Perf Network 032017'!$A$2:$AI$11212,18,FALSE),"")</f>
        <v>COMMUNITY HEALTHCARE NETWORK, INC</v>
      </c>
      <c r="E47" s="12" t="str">
        <f>_xlfn.IFNA(VLOOKUP($B47,'Sinai Perf Network 032017'!$A$2:$AI$11212,13,FALSE),"")</f>
        <v>Yes</v>
      </c>
      <c r="F47" s="12" t="str">
        <f>_xlfn.IFNA(VLOOKUP($B47,'Sinai Perf Network 032017'!$A$2:$AI$11212,12,FALSE),"")</f>
        <v>All Other:: Clinic:: Mental Health</v>
      </c>
      <c r="G47" s="2"/>
      <c r="H47" s="2">
        <v>116666.66666666666</v>
      </c>
      <c r="I47" s="2">
        <v>216666.66666666666</v>
      </c>
      <c r="J47" s="5">
        <f t="shared" si="10"/>
        <v>333333.33333333331</v>
      </c>
    </row>
    <row r="48" spans="1:10" x14ac:dyDescent="0.25">
      <c r="A48" s="25"/>
      <c r="B48" s="2" t="str">
        <f>"1144250291"</f>
        <v>1144250291</v>
      </c>
      <c r="C48" s="2"/>
      <c r="D48" s="12" t="str">
        <f>_xlfn.IFNA(VLOOKUP($B48,'Sinai Perf Network 032017'!$A$2:$AI$11212,18,FALSE),"")</f>
        <v>SETTLEMENT HEALTH AND MEDICAL SERVICES, INC.</v>
      </c>
      <c r="E48" s="12" t="str">
        <f>_xlfn.IFNA(VLOOKUP($B48,'Sinai Perf Network 032017'!$A$2:$AI$11212,13,FALSE),"")</f>
        <v>Yes</v>
      </c>
      <c r="F48" s="12" t="str">
        <f>_xlfn.IFNA(VLOOKUP($B48,'Sinai Perf Network 032017'!$A$2:$AI$11212,12,FALSE),"")</f>
        <v>All Other:: Clinic</v>
      </c>
      <c r="G48" s="2"/>
      <c r="H48" s="2">
        <v>116666.66666666666</v>
      </c>
      <c r="I48" s="2">
        <v>216666.66666666666</v>
      </c>
      <c r="J48" s="5">
        <f t="shared" si="10"/>
        <v>333333.33333333331</v>
      </c>
    </row>
    <row r="49" spans="1:10" x14ac:dyDescent="0.25">
      <c r="A49" s="25"/>
      <c r="B49" s="2"/>
      <c r="C49" s="2"/>
      <c r="D49" s="12" t="str">
        <f>_xlfn.IFNA(VLOOKUP($B49,'Sinai Perf Network 032017'!$A$2:$AI$11212,18,FALSE),"")</f>
        <v/>
      </c>
      <c r="E49" s="12" t="str">
        <f>_xlfn.IFNA(VLOOKUP($B49,'Sinai Perf Network 032017'!$A$2:$AI$11212,13,FALSE),"")</f>
        <v/>
      </c>
      <c r="F49" s="12" t="str">
        <f>_xlfn.IFNA(VLOOKUP($B49,'Sinai Perf Network 032017'!$A$2:$AI$11212,12,FALSE),"")</f>
        <v/>
      </c>
      <c r="G49" s="2"/>
      <c r="H49" s="2"/>
      <c r="I49" s="2"/>
      <c r="J49" s="5">
        <f t="shared" si="10"/>
        <v>0</v>
      </c>
    </row>
    <row r="50" spans="1:10" x14ac:dyDescent="0.25">
      <c r="A50" s="25"/>
      <c r="B50" s="2"/>
      <c r="C50" s="2"/>
      <c r="D50" s="12" t="str">
        <f>_xlfn.IFNA(VLOOKUP($B50,'Sinai Perf Network 032017'!$A$2:$AI$11212,18,FALSE),"")</f>
        <v/>
      </c>
      <c r="E50" s="12" t="str">
        <f>_xlfn.IFNA(VLOOKUP($B50,'Sinai Perf Network 032017'!$A$2:$AI$11212,13,FALSE),"")</f>
        <v/>
      </c>
      <c r="F50" s="12" t="str">
        <f>_xlfn.IFNA(VLOOKUP($B50,'Sinai Perf Network 032017'!$A$2:$AI$11212,12,FALSE),"")</f>
        <v/>
      </c>
      <c r="G50" s="2"/>
      <c r="H50" s="2"/>
      <c r="I50" s="2"/>
      <c r="J50" s="5">
        <f t="shared" si="10"/>
        <v>0</v>
      </c>
    </row>
    <row r="51" spans="1:10" x14ac:dyDescent="0.25">
      <c r="A51" s="25"/>
      <c r="B51" s="26" t="s">
        <v>31</v>
      </c>
      <c r="C51" s="27"/>
      <c r="D51" s="27"/>
      <c r="E51" s="27"/>
      <c r="F51" s="27"/>
      <c r="G51" s="27"/>
      <c r="H51" s="27"/>
      <c r="I51" s="27"/>
      <c r="J51" s="27"/>
    </row>
    <row r="52" spans="1:10" x14ac:dyDescent="0.25">
      <c r="A52" s="9"/>
      <c r="B52" s="10"/>
      <c r="C52" s="10"/>
      <c r="D52" s="10"/>
      <c r="E52" s="10"/>
      <c r="F52" s="10"/>
      <c r="G52" s="10"/>
      <c r="H52" s="14">
        <f>SUM(H45:H50)</f>
        <v>466666.66666666663</v>
      </c>
      <c r="I52" s="14">
        <f t="shared" ref="I52:J52" si="11">SUM(I45:I50)</f>
        <v>866666.66666666663</v>
      </c>
      <c r="J52" s="14">
        <f t="shared" si="11"/>
        <v>1333333.3333333333</v>
      </c>
    </row>
    <row r="53" spans="1:10" x14ac:dyDescent="0.25">
      <c r="A53" s="25" t="s">
        <v>11</v>
      </c>
      <c r="B53" s="2"/>
      <c r="C53" s="2"/>
      <c r="D53" s="12" t="str">
        <f>_xlfn.IFNA(VLOOKUP($B53,'Sinai Perf Network 032017'!$A$2:$AI$11212,18,FALSE),"")</f>
        <v/>
      </c>
      <c r="E53" s="12" t="str">
        <f>_xlfn.IFNA(VLOOKUP($B53,'Sinai Perf Network 032017'!$A$2:$AI$11212,13,FALSE),"")</f>
        <v/>
      </c>
      <c r="F53" s="12" t="str">
        <f>_xlfn.IFNA(VLOOKUP($B53,'Sinai Perf Network 032017'!$A$2:$AI$11212,12,FALSE),"")</f>
        <v/>
      </c>
      <c r="G53" s="2"/>
      <c r="H53" s="2"/>
      <c r="I53" s="2"/>
      <c r="J53" s="5">
        <f>H53+I53</f>
        <v>0</v>
      </c>
    </row>
    <row r="54" spans="1:10" x14ac:dyDescent="0.25">
      <c r="A54" s="25"/>
      <c r="B54" s="2"/>
      <c r="C54" s="2"/>
      <c r="D54" s="12" t="str">
        <f>_xlfn.IFNA(VLOOKUP($B54,'Sinai Perf Network 032017'!$A$2:$AI$11212,18,FALSE),"")</f>
        <v/>
      </c>
      <c r="E54" s="12" t="str">
        <f>_xlfn.IFNA(VLOOKUP($B54,'Sinai Perf Network 032017'!$A$2:$AI$11212,13,FALSE),"")</f>
        <v/>
      </c>
      <c r="F54" s="12" t="str">
        <f>_xlfn.IFNA(VLOOKUP($B54,'Sinai Perf Network 032017'!$A$2:$AI$11212,12,FALSE),"")</f>
        <v/>
      </c>
      <c r="G54" s="2"/>
      <c r="H54" s="2"/>
      <c r="I54" s="2"/>
      <c r="J54" s="5">
        <f t="shared" ref="J54:J58" si="12">H54+I54</f>
        <v>0</v>
      </c>
    </row>
    <row r="55" spans="1:10" x14ac:dyDescent="0.25">
      <c r="A55" s="25"/>
      <c r="B55" s="2"/>
      <c r="C55" s="2"/>
      <c r="D55" s="12" t="str">
        <f>_xlfn.IFNA(VLOOKUP($B55,'Sinai Perf Network 032017'!$A$2:$AI$11212,18,FALSE),"")</f>
        <v/>
      </c>
      <c r="E55" s="12" t="str">
        <f>_xlfn.IFNA(VLOOKUP($B55,'Sinai Perf Network 032017'!$A$2:$AI$11212,13,FALSE),"")</f>
        <v/>
      </c>
      <c r="F55" s="12" t="str">
        <f>_xlfn.IFNA(VLOOKUP($B55,'Sinai Perf Network 032017'!$A$2:$AI$11212,12,FALSE),"")</f>
        <v/>
      </c>
      <c r="G55" s="2"/>
      <c r="H55" s="2"/>
      <c r="I55" s="2"/>
      <c r="J55" s="5">
        <f t="shared" si="12"/>
        <v>0</v>
      </c>
    </row>
    <row r="56" spans="1:10" x14ac:dyDescent="0.25">
      <c r="A56" s="25"/>
      <c r="B56" s="2"/>
      <c r="C56" s="2"/>
      <c r="D56" s="12" t="str">
        <f>_xlfn.IFNA(VLOOKUP($B56,'Sinai Perf Network 032017'!$A$2:$AI$11212,18,FALSE),"")</f>
        <v/>
      </c>
      <c r="E56" s="12" t="str">
        <f>_xlfn.IFNA(VLOOKUP($B56,'Sinai Perf Network 032017'!$A$2:$AI$11212,13,FALSE),"")</f>
        <v/>
      </c>
      <c r="F56" s="12" t="str">
        <f>_xlfn.IFNA(VLOOKUP($B56,'Sinai Perf Network 032017'!$A$2:$AI$11212,12,FALSE),"")</f>
        <v/>
      </c>
      <c r="G56" s="2"/>
      <c r="H56" s="2"/>
      <c r="I56" s="2"/>
      <c r="J56" s="5">
        <f t="shared" si="12"/>
        <v>0</v>
      </c>
    </row>
    <row r="57" spans="1:10" x14ac:dyDescent="0.25">
      <c r="A57" s="25"/>
      <c r="B57" s="2"/>
      <c r="C57" s="2"/>
      <c r="D57" s="12" t="str">
        <f>_xlfn.IFNA(VLOOKUP($B57,'Sinai Perf Network 032017'!$A$2:$AI$11212,18,FALSE),"")</f>
        <v/>
      </c>
      <c r="E57" s="12" t="str">
        <f>_xlfn.IFNA(VLOOKUP($B57,'Sinai Perf Network 032017'!$A$2:$AI$11212,13,FALSE),"")</f>
        <v/>
      </c>
      <c r="F57" s="12" t="str">
        <f>_xlfn.IFNA(VLOOKUP($B57,'Sinai Perf Network 032017'!$A$2:$AI$11212,12,FALSE),"")</f>
        <v/>
      </c>
      <c r="G57" s="2"/>
      <c r="H57" s="2"/>
      <c r="I57" s="2"/>
      <c r="J57" s="5">
        <f t="shared" si="12"/>
        <v>0</v>
      </c>
    </row>
    <row r="58" spans="1:10" x14ac:dyDescent="0.25">
      <c r="A58" s="25"/>
      <c r="B58" s="2"/>
      <c r="C58" s="2"/>
      <c r="D58" s="12" t="str">
        <f>_xlfn.IFNA(VLOOKUP($B58,'Sinai Perf Network 032017'!$A$2:$AI$11212,18,FALSE),"")</f>
        <v/>
      </c>
      <c r="E58" s="12" t="str">
        <f>_xlfn.IFNA(VLOOKUP($B58,'Sinai Perf Network 032017'!$A$2:$AI$11212,13,FALSE),"")</f>
        <v/>
      </c>
      <c r="F58" s="12" t="str">
        <f>_xlfn.IFNA(VLOOKUP($B58,'Sinai Perf Network 032017'!$A$2:$AI$11212,12,FALSE),"")</f>
        <v/>
      </c>
      <c r="G58" s="2"/>
      <c r="H58" s="2"/>
      <c r="I58" s="2"/>
      <c r="J58" s="5">
        <f t="shared" si="12"/>
        <v>0</v>
      </c>
    </row>
    <row r="59" spans="1:10" x14ac:dyDescent="0.25">
      <c r="A59" s="25"/>
      <c r="B59" s="26" t="s">
        <v>31</v>
      </c>
      <c r="C59" s="27"/>
      <c r="D59" s="27"/>
      <c r="E59" s="27"/>
      <c r="F59" s="27"/>
      <c r="G59" s="27"/>
      <c r="H59" s="27"/>
      <c r="I59" s="27"/>
      <c r="J59" s="27"/>
    </row>
    <row r="60" spans="1:10" x14ac:dyDescent="0.25">
      <c r="A60" s="9"/>
      <c r="B60" s="10"/>
      <c r="C60" s="10"/>
      <c r="D60" s="10"/>
      <c r="E60" s="10"/>
      <c r="F60" s="10"/>
      <c r="G60" s="10"/>
      <c r="H60" s="14">
        <f>SUM(H53:H58)</f>
        <v>0</v>
      </c>
      <c r="I60" s="14">
        <f t="shared" ref="I60:J60" si="13">SUM(I53:I58)</f>
        <v>0</v>
      </c>
      <c r="J60" s="14">
        <f t="shared" si="13"/>
        <v>0</v>
      </c>
    </row>
    <row r="61" spans="1:10" x14ac:dyDescent="0.25">
      <c r="A61" s="25" t="s">
        <v>12</v>
      </c>
      <c r="B61" s="2"/>
      <c r="C61" s="2"/>
      <c r="D61" s="12" t="str">
        <f>_xlfn.IFNA(VLOOKUP($B61,'Sinai Perf Network 032017'!$A$2:$AI$11212,18,FALSE),"")</f>
        <v/>
      </c>
      <c r="E61" s="12" t="str">
        <f>_xlfn.IFNA(VLOOKUP($B61,'Sinai Perf Network 032017'!$A$2:$AI$11212,13,FALSE),"")</f>
        <v/>
      </c>
      <c r="F61" s="12" t="str">
        <f>_xlfn.IFNA(VLOOKUP($B61,'Sinai Perf Network 032017'!$A$2:$AI$11212,12,FALSE),"")</f>
        <v/>
      </c>
      <c r="G61" s="2"/>
      <c r="H61" s="2"/>
      <c r="I61" s="2"/>
      <c r="J61" s="5">
        <f>H61+I61</f>
        <v>0</v>
      </c>
    </row>
    <row r="62" spans="1:10" x14ac:dyDescent="0.25">
      <c r="A62" s="25"/>
      <c r="B62" s="2"/>
      <c r="C62" s="2"/>
      <c r="D62" s="12" t="str">
        <f>_xlfn.IFNA(VLOOKUP($B62,'Sinai Perf Network 032017'!$A$2:$AI$11212,18,FALSE),"")</f>
        <v/>
      </c>
      <c r="E62" s="12" t="str">
        <f>_xlfn.IFNA(VLOOKUP($B62,'Sinai Perf Network 032017'!$A$2:$AI$11212,13,FALSE),"")</f>
        <v/>
      </c>
      <c r="F62" s="12" t="str">
        <f>_xlfn.IFNA(VLOOKUP($B62,'Sinai Perf Network 032017'!$A$2:$AI$11212,12,FALSE),"")</f>
        <v/>
      </c>
      <c r="G62" s="2"/>
      <c r="H62" s="2"/>
      <c r="I62" s="2"/>
      <c r="J62" s="5">
        <f t="shared" ref="J62:J66" si="14">H62+I62</f>
        <v>0</v>
      </c>
    </row>
    <row r="63" spans="1:10" x14ac:dyDescent="0.25">
      <c r="A63" s="25"/>
      <c r="B63" s="2"/>
      <c r="C63" s="2"/>
      <c r="D63" s="12" t="str">
        <f>_xlfn.IFNA(VLOOKUP($B63,'Sinai Perf Network 032017'!$A$2:$AI$11212,18,FALSE),"")</f>
        <v/>
      </c>
      <c r="E63" s="12" t="str">
        <f>_xlfn.IFNA(VLOOKUP($B63,'Sinai Perf Network 032017'!$A$2:$AI$11212,13,FALSE),"")</f>
        <v/>
      </c>
      <c r="F63" s="12" t="str">
        <f>_xlfn.IFNA(VLOOKUP($B63,'Sinai Perf Network 032017'!$A$2:$AI$11212,12,FALSE),"")</f>
        <v/>
      </c>
      <c r="G63" s="2"/>
      <c r="H63" s="2"/>
      <c r="I63" s="2"/>
      <c r="J63" s="5">
        <f t="shared" si="14"/>
        <v>0</v>
      </c>
    </row>
    <row r="64" spans="1:10" x14ac:dyDescent="0.25">
      <c r="A64" s="25"/>
      <c r="B64" s="2"/>
      <c r="C64" s="2"/>
      <c r="D64" s="12" t="str">
        <f>_xlfn.IFNA(VLOOKUP($B64,'Sinai Perf Network 032017'!$A$2:$AI$11212,18,FALSE),"")</f>
        <v/>
      </c>
      <c r="E64" s="12" t="str">
        <f>_xlfn.IFNA(VLOOKUP($B64,'Sinai Perf Network 032017'!$A$2:$AI$11212,13,FALSE),"")</f>
        <v/>
      </c>
      <c r="F64" s="12" t="str">
        <f>_xlfn.IFNA(VLOOKUP($B64,'Sinai Perf Network 032017'!$A$2:$AI$11212,12,FALSE),"")</f>
        <v/>
      </c>
      <c r="G64" s="2"/>
      <c r="H64" s="2"/>
      <c r="I64" s="2"/>
      <c r="J64" s="5">
        <f t="shared" si="14"/>
        <v>0</v>
      </c>
    </row>
    <row r="65" spans="1:10" x14ac:dyDescent="0.25">
      <c r="A65" s="25"/>
      <c r="B65" s="2"/>
      <c r="C65" s="2"/>
      <c r="D65" s="12" t="str">
        <f>_xlfn.IFNA(VLOOKUP($B65,'Sinai Perf Network 032017'!$A$2:$AI$11212,18,FALSE),"")</f>
        <v/>
      </c>
      <c r="E65" s="12" t="str">
        <f>_xlfn.IFNA(VLOOKUP($B65,'Sinai Perf Network 032017'!$A$2:$AI$11212,13,FALSE),"")</f>
        <v/>
      </c>
      <c r="F65" s="12" t="str">
        <f>_xlfn.IFNA(VLOOKUP($B65,'Sinai Perf Network 032017'!$A$2:$AI$11212,12,FALSE),"")</f>
        <v/>
      </c>
      <c r="G65" s="2"/>
      <c r="H65" s="2"/>
      <c r="I65" s="2"/>
      <c r="J65" s="5">
        <f t="shared" si="14"/>
        <v>0</v>
      </c>
    </row>
    <row r="66" spans="1:10" x14ac:dyDescent="0.25">
      <c r="A66" s="25"/>
      <c r="B66" s="2"/>
      <c r="C66" s="2"/>
      <c r="D66" s="12" t="str">
        <f>_xlfn.IFNA(VLOOKUP($B66,'Sinai Perf Network 032017'!$A$2:$AI$11212,18,FALSE),"")</f>
        <v/>
      </c>
      <c r="E66" s="12" t="str">
        <f>_xlfn.IFNA(VLOOKUP($B66,'Sinai Perf Network 032017'!$A$2:$AI$11212,13,FALSE),"")</f>
        <v/>
      </c>
      <c r="F66" s="12" t="str">
        <f>_xlfn.IFNA(VLOOKUP($B66,'Sinai Perf Network 032017'!$A$2:$AI$11212,12,FALSE),"")</f>
        <v/>
      </c>
      <c r="G66" s="2"/>
      <c r="H66" s="2"/>
      <c r="I66" s="2"/>
      <c r="J66" s="5">
        <f t="shared" si="14"/>
        <v>0</v>
      </c>
    </row>
    <row r="67" spans="1:10" x14ac:dyDescent="0.25">
      <c r="A67" s="25"/>
      <c r="B67" s="26" t="s">
        <v>31</v>
      </c>
      <c r="C67" s="27"/>
      <c r="D67" s="27"/>
      <c r="E67" s="27"/>
      <c r="F67" s="27"/>
      <c r="G67" s="27"/>
      <c r="H67" s="27"/>
      <c r="I67" s="27"/>
      <c r="J67" s="27"/>
    </row>
    <row r="68" spans="1:10" x14ac:dyDescent="0.25">
      <c r="A68" s="9"/>
      <c r="B68" s="10"/>
      <c r="C68" s="10"/>
      <c r="D68" s="10"/>
      <c r="E68" s="10"/>
      <c r="F68" s="10"/>
      <c r="G68" s="10"/>
      <c r="H68" s="14">
        <f>SUM(H61:H66)</f>
        <v>0</v>
      </c>
      <c r="I68" s="14">
        <f t="shared" ref="I68:J68" si="15">SUM(I61:I66)</f>
        <v>0</v>
      </c>
      <c r="J68" s="14">
        <f t="shared" si="15"/>
        <v>0</v>
      </c>
    </row>
    <row r="69" spans="1:10" x14ac:dyDescent="0.25">
      <c r="A69" s="25" t="s">
        <v>13</v>
      </c>
      <c r="B69" s="2"/>
      <c r="C69" s="2"/>
      <c r="D69" s="12" t="str">
        <f>_xlfn.IFNA(VLOOKUP($B69,'Sinai Perf Network 032017'!$A$2:$AI$11212,18,FALSE),"")</f>
        <v/>
      </c>
      <c r="E69" s="12" t="str">
        <f>_xlfn.IFNA(VLOOKUP($B69,'Sinai Perf Network 032017'!$A$2:$AI$11212,13,FALSE),"")</f>
        <v/>
      </c>
      <c r="F69" s="12" t="str">
        <f>_xlfn.IFNA(VLOOKUP($B69,'Sinai Perf Network 032017'!$A$2:$AI$11212,12,FALSE),"")</f>
        <v/>
      </c>
      <c r="G69" s="2"/>
      <c r="H69" s="2"/>
      <c r="I69" s="2"/>
      <c r="J69" s="5">
        <f>H69+I69</f>
        <v>0</v>
      </c>
    </row>
    <row r="70" spans="1:10" x14ac:dyDescent="0.25">
      <c r="A70" s="25"/>
      <c r="B70" s="2"/>
      <c r="C70" s="2"/>
      <c r="D70" s="12" t="str">
        <f>_xlfn.IFNA(VLOOKUP($B70,'Sinai Perf Network 032017'!$A$2:$AI$11212,18,FALSE),"")</f>
        <v/>
      </c>
      <c r="E70" s="12" t="str">
        <f>_xlfn.IFNA(VLOOKUP($B70,'Sinai Perf Network 032017'!$A$2:$AI$11212,13,FALSE),"")</f>
        <v/>
      </c>
      <c r="F70" s="12" t="str">
        <f>_xlfn.IFNA(VLOOKUP($B70,'Sinai Perf Network 032017'!$A$2:$AI$11212,12,FALSE),"")</f>
        <v/>
      </c>
      <c r="G70" s="2"/>
      <c r="H70" s="2"/>
      <c r="I70" s="2"/>
      <c r="J70" s="5">
        <f t="shared" ref="J70:J74" si="16">H70+I70</f>
        <v>0</v>
      </c>
    </row>
    <row r="71" spans="1:10" x14ac:dyDescent="0.25">
      <c r="A71" s="25"/>
      <c r="B71" s="2"/>
      <c r="C71" s="2"/>
      <c r="D71" s="12" t="str">
        <f>_xlfn.IFNA(VLOOKUP($B71,'Sinai Perf Network 032017'!$A$2:$AI$11212,18,FALSE),"")</f>
        <v/>
      </c>
      <c r="E71" s="12" t="str">
        <f>_xlfn.IFNA(VLOOKUP($B71,'Sinai Perf Network 032017'!$A$2:$AI$11212,13,FALSE),"")</f>
        <v/>
      </c>
      <c r="F71" s="12" t="str">
        <f>_xlfn.IFNA(VLOOKUP($B71,'Sinai Perf Network 032017'!$A$2:$AI$11212,12,FALSE),"")</f>
        <v/>
      </c>
      <c r="G71" s="2"/>
      <c r="H71" s="2"/>
      <c r="I71" s="2"/>
      <c r="J71" s="5">
        <f t="shared" si="16"/>
        <v>0</v>
      </c>
    </row>
    <row r="72" spans="1:10" x14ac:dyDescent="0.25">
      <c r="A72" s="25"/>
      <c r="B72" s="2"/>
      <c r="C72" s="2"/>
      <c r="D72" s="12" t="str">
        <f>_xlfn.IFNA(VLOOKUP($B72,'Sinai Perf Network 032017'!$A$2:$AI$11212,18,FALSE),"")</f>
        <v/>
      </c>
      <c r="E72" s="12" t="str">
        <f>_xlfn.IFNA(VLOOKUP($B72,'Sinai Perf Network 032017'!$A$2:$AI$11212,13,FALSE),"")</f>
        <v/>
      </c>
      <c r="F72" s="12" t="str">
        <f>_xlfn.IFNA(VLOOKUP($B72,'Sinai Perf Network 032017'!$A$2:$AI$11212,12,FALSE),"")</f>
        <v/>
      </c>
      <c r="G72" s="2"/>
      <c r="H72" s="2"/>
      <c r="I72" s="2"/>
      <c r="J72" s="5">
        <f t="shared" si="16"/>
        <v>0</v>
      </c>
    </row>
    <row r="73" spans="1:10" x14ac:dyDescent="0.25">
      <c r="A73" s="25"/>
      <c r="B73" s="2"/>
      <c r="C73" s="2"/>
      <c r="D73" s="12" t="str">
        <f>_xlfn.IFNA(VLOOKUP($B73,'Sinai Perf Network 032017'!$A$2:$AI$11212,18,FALSE),"")</f>
        <v/>
      </c>
      <c r="E73" s="12" t="str">
        <f>_xlfn.IFNA(VLOOKUP($B73,'Sinai Perf Network 032017'!$A$2:$AI$11212,13,FALSE),"")</f>
        <v/>
      </c>
      <c r="F73" s="12" t="str">
        <f>_xlfn.IFNA(VLOOKUP($B73,'Sinai Perf Network 032017'!$A$2:$AI$11212,12,FALSE),"")</f>
        <v/>
      </c>
      <c r="G73" s="2"/>
      <c r="H73" s="2"/>
      <c r="I73" s="2"/>
      <c r="J73" s="5">
        <f t="shared" si="16"/>
        <v>0</v>
      </c>
    </row>
    <row r="74" spans="1:10" x14ac:dyDescent="0.25">
      <c r="A74" s="25"/>
      <c r="B74" s="2"/>
      <c r="C74" s="2"/>
      <c r="D74" s="12" t="str">
        <f>_xlfn.IFNA(VLOOKUP($B74,'Sinai Perf Network 032017'!$A$2:$AI$11212,18,FALSE),"")</f>
        <v/>
      </c>
      <c r="E74" s="12" t="str">
        <f>_xlfn.IFNA(VLOOKUP($B74,'Sinai Perf Network 032017'!$A$2:$AI$11212,13,FALSE),"")</f>
        <v/>
      </c>
      <c r="F74" s="12" t="str">
        <f>_xlfn.IFNA(VLOOKUP($B74,'Sinai Perf Network 032017'!$A$2:$AI$11212,12,FALSE),"")</f>
        <v/>
      </c>
      <c r="G74" s="2"/>
      <c r="H74" s="2"/>
      <c r="I74" s="2"/>
      <c r="J74" s="5">
        <f t="shared" si="16"/>
        <v>0</v>
      </c>
    </row>
    <row r="75" spans="1:10" x14ac:dyDescent="0.25">
      <c r="A75" s="25"/>
      <c r="B75" s="26" t="s">
        <v>31</v>
      </c>
      <c r="C75" s="27"/>
      <c r="D75" s="27"/>
      <c r="E75" s="27"/>
      <c r="F75" s="27"/>
      <c r="G75" s="27"/>
      <c r="H75" s="27"/>
      <c r="I75" s="27"/>
      <c r="J75" s="27"/>
    </row>
    <row r="76" spans="1:10" x14ac:dyDescent="0.25">
      <c r="A76" s="9"/>
      <c r="B76" s="10"/>
      <c r="C76" s="10"/>
      <c r="D76" s="10"/>
      <c r="E76" s="10"/>
      <c r="F76" s="10"/>
      <c r="G76" s="10"/>
      <c r="H76" s="14">
        <f>SUM(H69:H74)</f>
        <v>0</v>
      </c>
      <c r="I76" s="14">
        <f t="shared" ref="I76:J76" si="17">SUM(I69:I74)</f>
        <v>0</v>
      </c>
      <c r="J76" s="14">
        <f t="shared" si="17"/>
        <v>0</v>
      </c>
    </row>
    <row r="77" spans="1:10" x14ac:dyDescent="0.25">
      <c r="A77" s="25" t="s">
        <v>14</v>
      </c>
      <c r="B77" s="2"/>
      <c r="C77" s="2"/>
      <c r="D77" s="12"/>
      <c r="E77" s="12"/>
      <c r="F77" s="12"/>
      <c r="G77" s="2"/>
      <c r="H77" s="2"/>
      <c r="I77" s="2"/>
      <c r="J77" s="5">
        <f>H77+I77</f>
        <v>0</v>
      </c>
    </row>
    <row r="78" spans="1:10" x14ac:dyDescent="0.25">
      <c r="A78" s="25"/>
      <c r="B78" s="2"/>
      <c r="C78" s="2"/>
      <c r="D78" s="12"/>
      <c r="E78" s="12"/>
      <c r="F78" s="12"/>
      <c r="G78" s="2"/>
      <c r="H78" s="2"/>
      <c r="I78" s="2"/>
      <c r="J78" s="5">
        <f t="shared" ref="J78:J82" si="18">H78+I78</f>
        <v>0</v>
      </c>
    </row>
    <row r="79" spans="1:10" x14ac:dyDescent="0.25">
      <c r="A79" s="25"/>
      <c r="B79" s="2"/>
      <c r="C79" s="2"/>
      <c r="D79" s="12"/>
      <c r="E79" s="12"/>
      <c r="F79" s="12"/>
      <c r="G79" s="2"/>
      <c r="H79" s="2"/>
      <c r="I79" s="2"/>
      <c r="J79" s="5">
        <f t="shared" si="18"/>
        <v>0</v>
      </c>
    </row>
    <row r="80" spans="1:10" x14ac:dyDescent="0.25">
      <c r="A80" s="25"/>
      <c r="B80" s="2"/>
      <c r="C80" s="2"/>
      <c r="D80" s="12"/>
      <c r="E80" s="12"/>
      <c r="F80" s="12"/>
      <c r="G80" s="2"/>
      <c r="H80" s="2"/>
      <c r="I80" s="2"/>
      <c r="J80" s="5">
        <f t="shared" si="18"/>
        <v>0</v>
      </c>
    </row>
    <row r="81" spans="1:10" x14ac:dyDescent="0.25">
      <c r="A81" s="25"/>
      <c r="B81" s="2"/>
      <c r="C81" s="2"/>
      <c r="D81" s="12"/>
      <c r="E81" s="12"/>
      <c r="F81" s="12"/>
      <c r="G81" s="2"/>
      <c r="H81" s="2"/>
      <c r="I81" s="2"/>
      <c r="J81" s="5">
        <f t="shared" si="18"/>
        <v>0</v>
      </c>
    </row>
    <row r="82" spans="1:10" x14ac:dyDescent="0.25">
      <c r="A82" s="25"/>
      <c r="B82" s="2"/>
      <c r="C82" s="2"/>
      <c r="D82" s="12"/>
      <c r="E82" s="12"/>
      <c r="F82" s="12"/>
      <c r="G82" s="2"/>
      <c r="H82" s="2"/>
      <c r="I82" s="2"/>
      <c r="J82" s="5">
        <f t="shared" si="18"/>
        <v>0</v>
      </c>
    </row>
    <row r="83" spans="1:10" x14ac:dyDescent="0.25">
      <c r="A83" s="25"/>
      <c r="B83" s="26" t="s">
        <v>31</v>
      </c>
      <c r="C83" s="27"/>
      <c r="D83" s="27"/>
      <c r="E83" s="27"/>
      <c r="F83" s="27"/>
      <c r="G83" s="27"/>
      <c r="H83" s="27"/>
      <c r="I83" s="27"/>
      <c r="J83" s="27"/>
    </row>
    <row r="84" spans="1:10" x14ac:dyDescent="0.25">
      <c r="A84" s="9"/>
      <c r="B84" s="10"/>
      <c r="C84" s="10"/>
      <c r="D84" s="10"/>
      <c r="E84" s="10"/>
      <c r="F84" s="10"/>
      <c r="G84" s="10"/>
      <c r="H84" s="14">
        <f>SUM(H77:H82)</f>
        <v>0</v>
      </c>
      <c r="I84" s="14">
        <f t="shared" ref="I84:J84" si="19">SUM(I77:I82)</f>
        <v>0</v>
      </c>
      <c r="J84" s="14">
        <f t="shared" si="19"/>
        <v>0</v>
      </c>
    </row>
    <row r="85" spans="1:10" x14ac:dyDescent="0.25">
      <c r="A85" s="25" t="s">
        <v>15</v>
      </c>
      <c r="B85" s="2"/>
      <c r="C85" s="2"/>
      <c r="D85" s="12" t="str">
        <f>_xlfn.IFNA(VLOOKUP($B85,'Sinai Perf Network 032017'!$A$2:$AI$11212,18,FALSE),"")</f>
        <v/>
      </c>
      <c r="E85" s="12" t="str">
        <f>_xlfn.IFNA(VLOOKUP($B85,'Sinai Perf Network 032017'!$A$2:$AI$11212,13,FALSE),"")</f>
        <v/>
      </c>
      <c r="F85" s="12" t="str">
        <f>_xlfn.IFNA(VLOOKUP($B85,'Sinai Perf Network 032017'!$A$2:$AI$11212,12,FALSE),"")</f>
        <v/>
      </c>
      <c r="G85" s="2"/>
      <c r="H85" s="2"/>
      <c r="I85" s="2"/>
      <c r="J85" s="5">
        <f>H85+I85</f>
        <v>0</v>
      </c>
    </row>
    <row r="86" spans="1:10" x14ac:dyDescent="0.25">
      <c r="A86" s="25"/>
      <c r="B86" s="2"/>
      <c r="C86" s="2"/>
      <c r="D86" s="12" t="str">
        <f>_xlfn.IFNA(VLOOKUP($B86,'Sinai Perf Network 032017'!$A$2:$AI$11212,18,FALSE),"")</f>
        <v/>
      </c>
      <c r="E86" s="12" t="str">
        <f>_xlfn.IFNA(VLOOKUP($B86,'Sinai Perf Network 032017'!$A$2:$AI$11212,13,FALSE),"")</f>
        <v/>
      </c>
      <c r="F86" s="12" t="str">
        <f>_xlfn.IFNA(VLOOKUP($B86,'Sinai Perf Network 032017'!$A$2:$AI$11212,12,FALSE),"")</f>
        <v/>
      </c>
      <c r="G86" s="2"/>
      <c r="H86" s="2"/>
      <c r="I86" s="2"/>
      <c r="J86" s="5">
        <f t="shared" ref="J86:J90" si="20">H86+I86</f>
        <v>0</v>
      </c>
    </row>
    <row r="87" spans="1:10" x14ac:dyDescent="0.25">
      <c r="A87" s="25"/>
      <c r="B87" s="2"/>
      <c r="C87" s="2"/>
      <c r="D87" s="12" t="str">
        <f>_xlfn.IFNA(VLOOKUP($B87,'Sinai Perf Network 032017'!$A$2:$AI$11212,18,FALSE),"")</f>
        <v/>
      </c>
      <c r="E87" s="12" t="str">
        <f>_xlfn.IFNA(VLOOKUP($B87,'Sinai Perf Network 032017'!$A$2:$AI$11212,13,FALSE),"")</f>
        <v/>
      </c>
      <c r="F87" s="12" t="str">
        <f>_xlfn.IFNA(VLOOKUP($B87,'Sinai Perf Network 032017'!$A$2:$AI$11212,12,FALSE),"")</f>
        <v/>
      </c>
      <c r="G87" s="2"/>
      <c r="H87" s="2"/>
      <c r="I87" s="2"/>
      <c r="J87" s="5">
        <f t="shared" si="20"/>
        <v>0</v>
      </c>
    </row>
    <row r="88" spans="1:10" x14ac:dyDescent="0.25">
      <c r="A88" s="25"/>
      <c r="B88" s="2"/>
      <c r="C88" s="2"/>
      <c r="D88" s="12" t="str">
        <f>_xlfn.IFNA(VLOOKUP($B88,'Sinai Perf Network 032017'!$A$2:$AI$11212,18,FALSE),"")</f>
        <v/>
      </c>
      <c r="E88" s="12" t="str">
        <f>_xlfn.IFNA(VLOOKUP($B88,'Sinai Perf Network 032017'!$A$2:$AI$11212,13,FALSE),"")</f>
        <v/>
      </c>
      <c r="F88" s="12" t="str">
        <f>_xlfn.IFNA(VLOOKUP($B88,'Sinai Perf Network 032017'!$A$2:$AI$11212,12,FALSE),"")</f>
        <v/>
      </c>
      <c r="G88" s="2"/>
      <c r="H88" s="2"/>
      <c r="I88" s="2"/>
      <c r="J88" s="5">
        <f t="shared" si="20"/>
        <v>0</v>
      </c>
    </row>
    <row r="89" spans="1:10" x14ac:dyDescent="0.25">
      <c r="A89" s="25"/>
      <c r="B89" s="2"/>
      <c r="C89" s="2"/>
      <c r="D89" s="12" t="str">
        <f>_xlfn.IFNA(VLOOKUP($B89,'Sinai Perf Network 032017'!$A$2:$AI$11212,18,FALSE),"")</f>
        <v/>
      </c>
      <c r="E89" s="12" t="str">
        <f>_xlfn.IFNA(VLOOKUP($B89,'Sinai Perf Network 032017'!$A$2:$AI$11212,13,FALSE),"")</f>
        <v/>
      </c>
      <c r="F89" s="12" t="str">
        <f>_xlfn.IFNA(VLOOKUP($B89,'Sinai Perf Network 032017'!$A$2:$AI$11212,12,FALSE),"")</f>
        <v/>
      </c>
      <c r="G89" s="2"/>
      <c r="H89" s="2"/>
      <c r="I89" s="2"/>
      <c r="J89" s="5">
        <f t="shared" si="20"/>
        <v>0</v>
      </c>
    </row>
    <row r="90" spans="1:10" x14ac:dyDescent="0.25">
      <c r="A90" s="25"/>
      <c r="B90" s="2"/>
      <c r="C90" s="2"/>
      <c r="D90" s="12" t="str">
        <f>_xlfn.IFNA(VLOOKUP($B90,'Sinai Perf Network 032017'!$A$2:$AI$11212,18,FALSE),"")</f>
        <v/>
      </c>
      <c r="E90" s="12" t="str">
        <f>_xlfn.IFNA(VLOOKUP($B90,'Sinai Perf Network 032017'!$A$2:$AI$11212,13,FALSE),"")</f>
        <v/>
      </c>
      <c r="F90" s="12" t="str">
        <f>_xlfn.IFNA(VLOOKUP($B90,'Sinai Perf Network 032017'!$A$2:$AI$11212,12,FALSE),"")</f>
        <v/>
      </c>
      <c r="G90" s="2"/>
      <c r="H90" s="2"/>
      <c r="I90" s="2"/>
      <c r="J90" s="5">
        <f t="shared" si="20"/>
        <v>0</v>
      </c>
    </row>
    <row r="91" spans="1:10" x14ac:dyDescent="0.25">
      <c r="A91" s="25"/>
      <c r="B91" s="26" t="s">
        <v>31</v>
      </c>
      <c r="C91" s="27"/>
      <c r="D91" s="27"/>
      <c r="E91" s="27"/>
      <c r="F91" s="27"/>
      <c r="G91" s="27"/>
      <c r="H91" s="27"/>
      <c r="I91" s="27"/>
      <c r="J91" s="27"/>
    </row>
    <row r="92" spans="1:10" x14ac:dyDescent="0.25">
      <c r="A92" s="9"/>
      <c r="B92" s="10"/>
      <c r="C92" s="10"/>
      <c r="D92" s="10"/>
      <c r="E92" s="10"/>
      <c r="F92" s="10"/>
      <c r="G92" s="10"/>
      <c r="H92" s="14">
        <f>SUM(H85:H90)</f>
        <v>0</v>
      </c>
      <c r="I92" s="14">
        <f t="shared" ref="I92:J92" si="21">SUM(I85:I90)</f>
        <v>0</v>
      </c>
      <c r="J92" s="14">
        <f t="shared" si="21"/>
        <v>0</v>
      </c>
    </row>
    <row r="93" spans="1:10" x14ac:dyDescent="0.25">
      <c r="A93" s="25" t="s">
        <v>16</v>
      </c>
      <c r="B93" s="2"/>
      <c r="C93" s="2"/>
      <c r="D93" s="12" t="str">
        <f>_xlfn.IFNA(VLOOKUP($B93,'Sinai Perf Network 032017'!$A$2:$AI$11212,18,FALSE),"")</f>
        <v/>
      </c>
      <c r="E93" s="12" t="str">
        <f>_xlfn.IFNA(VLOOKUP($B93,'Sinai Perf Network 032017'!$A$2:$AI$11212,13,FALSE),"")</f>
        <v/>
      </c>
      <c r="F93" s="12" t="str">
        <f>_xlfn.IFNA(VLOOKUP($B93,'Sinai Perf Network 032017'!$A$2:$AI$11212,12,FALSE),"")</f>
        <v/>
      </c>
      <c r="G93" s="2"/>
      <c r="H93" s="2"/>
      <c r="I93" s="2"/>
      <c r="J93" s="5">
        <f>H93+I93</f>
        <v>0</v>
      </c>
    </row>
    <row r="94" spans="1:10" x14ac:dyDescent="0.25">
      <c r="A94" s="25"/>
      <c r="B94" s="2"/>
      <c r="C94" s="2"/>
      <c r="D94" s="12" t="str">
        <f>_xlfn.IFNA(VLOOKUP($B94,'Sinai Perf Network 032017'!$A$2:$AI$11212,18,FALSE),"")</f>
        <v/>
      </c>
      <c r="E94" s="12" t="str">
        <f>_xlfn.IFNA(VLOOKUP($B94,'Sinai Perf Network 032017'!$A$2:$AI$11212,13,FALSE),"")</f>
        <v/>
      </c>
      <c r="F94" s="12" t="str">
        <f>_xlfn.IFNA(VLOOKUP($B94,'Sinai Perf Network 032017'!$A$2:$AI$11212,12,FALSE),"")</f>
        <v/>
      </c>
      <c r="G94" s="2"/>
      <c r="H94" s="2"/>
      <c r="I94" s="2"/>
      <c r="J94" s="5">
        <f t="shared" ref="J94:J98" si="22">H94+I94</f>
        <v>0</v>
      </c>
    </row>
    <row r="95" spans="1:10" x14ac:dyDescent="0.25">
      <c r="A95" s="25"/>
      <c r="B95" s="2"/>
      <c r="C95" s="2"/>
      <c r="D95" s="12" t="str">
        <f>_xlfn.IFNA(VLOOKUP($B95,'Sinai Perf Network 032017'!$A$2:$AI$11212,18,FALSE),"")</f>
        <v/>
      </c>
      <c r="E95" s="12" t="str">
        <f>_xlfn.IFNA(VLOOKUP($B95,'Sinai Perf Network 032017'!$A$2:$AI$11212,13,FALSE),"")</f>
        <v/>
      </c>
      <c r="F95" s="12" t="str">
        <f>_xlfn.IFNA(VLOOKUP($B95,'Sinai Perf Network 032017'!$A$2:$AI$11212,12,FALSE),"")</f>
        <v/>
      </c>
      <c r="G95" s="2"/>
      <c r="H95" s="2"/>
      <c r="I95" s="2"/>
      <c r="J95" s="5">
        <f t="shared" si="22"/>
        <v>0</v>
      </c>
    </row>
    <row r="96" spans="1:10" x14ac:dyDescent="0.25">
      <c r="A96" s="25"/>
      <c r="B96" s="2"/>
      <c r="C96" s="2"/>
      <c r="D96" s="12" t="str">
        <f>_xlfn.IFNA(VLOOKUP($B96,'Sinai Perf Network 032017'!$A$2:$AI$11212,18,FALSE),"")</f>
        <v/>
      </c>
      <c r="E96" s="12" t="str">
        <f>_xlfn.IFNA(VLOOKUP($B96,'Sinai Perf Network 032017'!$A$2:$AI$11212,13,FALSE),"")</f>
        <v/>
      </c>
      <c r="F96" s="12" t="str">
        <f>_xlfn.IFNA(VLOOKUP($B96,'Sinai Perf Network 032017'!$A$2:$AI$11212,12,FALSE),"")</f>
        <v/>
      </c>
      <c r="G96" s="2"/>
      <c r="H96" s="2"/>
      <c r="I96" s="2"/>
      <c r="J96" s="5">
        <f t="shared" si="22"/>
        <v>0</v>
      </c>
    </row>
    <row r="97" spans="1:10" x14ac:dyDescent="0.25">
      <c r="A97" s="25"/>
      <c r="B97" s="2"/>
      <c r="C97" s="2"/>
      <c r="D97" s="12" t="str">
        <f>_xlfn.IFNA(VLOOKUP($B97,'Sinai Perf Network 032017'!$A$2:$AI$11212,18,FALSE),"")</f>
        <v/>
      </c>
      <c r="E97" s="12" t="str">
        <f>_xlfn.IFNA(VLOOKUP($B97,'Sinai Perf Network 032017'!$A$2:$AI$11212,13,FALSE),"")</f>
        <v/>
      </c>
      <c r="F97" s="12" t="str">
        <f>_xlfn.IFNA(VLOOKUP($B97,'Sinai Perf Network 032017'!$A$2:$AI$11212,12,FALSE),"")</f>
        <v/>
      </c>
      <c r="G97" s="2"/>
      <c r="H97" s="2"/>
      <c r="I97" s="2"/>
      <c r="J97" s="5">
        <f t="shared" si="22"/>
        <v>0</v>
      </c>
    </row>
    <row r="98" spans="1:10" x14ac:dyDescent="0.25">
      <c r="A98" s="25"/>
      <c r="B98" s="2"/>
      <c r="C98" s="2"/>
      <c r="D98" s="12" t="str">
        <f>_xlfn.IFNA(VLOOKUP($B98,'Sinai Perf Network 032017'!$A$2:$AI$11212,18,FALSE),"")</f>
        <v/>
      </c>
      <c r="E98" s="12" t="str">
        <f>_xlfn.IFNA(VLOOKUP($B98,'Sinai Perf Network 032017'!$A$2:$AI$11212,13,FALSE),"")</f>
        <v/>
      </c>
      <c r="F98" s="12" t="str">
        <f>_xlfn.IFNA(VLOOKUP($B98,'Sinai Perf Network 032017'!$A$2:$AI$11212,12,FALSE),"")</f>
        <v/>
      </c>
      <c r="G98" s="2"/>
      <c r="H98" s="2"/>
      <c r="I98" s="2"/>
      <c r="J98" s="5">
        <f t="shared" si="22"/>
        <v>0</v>
      </c>
    </row>
    <row r="99" spans="1:10" x14ac:dyDescent="0.25">
      <c r="A99" s="25"/>
      <c r="B99" s="26" t="s">
        <v>31</v>
      </c>
      <c r="C99" s="27"/>
      <c r="D99" s="27"/>
      <c r="E99" s="27"/>
      <c r="F99" s="27"/>
      <c r="G99" s="27"/>
      <c r="H99" s="27"/>
      <c r="I99" s="27"/>
      <c r="J99" s="27"/>
    </row>
    <row r="100" spans="1:10" x14ac:dyDescent="0.25">
      <c r="A100" s="9"/>
      <c r="B100" s="10"/>
      <c r="C100" s="10"/>
      <c r="D100" s="10"/>
      <c r="E100" s="10"/>
      <c r="F100" s="10"/>
      <c r="G100" s="10"/>
      <c r="H100" s="14">
        <f>SUM(H93:H98)</f>
        <v>0</v>
      </c>
      <c r="I100" s="14">
        <f t="shared" ref="I100:J100" si="23">SUM(I93:I98)</f>
        <v>0</v>
      </c>
      <c r="J100" s="14">
        <f t="shared" si="23"/>
        <v>0</v>
      </c>
    </row>
    <row r="101" spans="1:10" x14ac:dyDescent="0.25">
      <c r="A101" s="25" t="s">
        <v>17</v>
      </c>
      <c r="B101" s="2"/>
      <c r="C101" s="2"/>
      <c r="D101" s="12" t="str">
        <f>_xlfn.IFNA(VLOOKUP($B101,'Sinai Perf Network 032017'!$A$2:$AI$11212,18,FALSE),"")</f>
        <v/>
      </c>
      <c r="E101" s="12" t="str">
        <f>_xlfn.IFNA(VLOOKUP($B101,'Sinai Perf Network 032017'!$A$2:$AI$11212,13,FALSE),"")</f>
        <v/>
      </c>
      <c r="F101" s="12" t="str">
        <f>_xlfn.IFNA(VLOOKUP($B101,'Sinai Perf Network 032017'!$A$2:$AI$11212,12,FALSE),"")</f>
        <v/>
      </c>
      <c r="G101" s="2"/>
      <c r="H101" s="2"/>
      <c r="I101" s="2"/>
      <c r="J101" s="5">
        <f>H101+I101</f>
        <v>0</v>
      </c>
    </row>
    <row r="102" spans="1:10" x14ac:dyDescent="0.25">
      <c r="A102" s="25"/>
      <c r="B102" s="2"/>
      <c r="C102" s="2"/>
      <c r="D102" s="12" t="str">
        <f>_xlfn.IFNA(VLOOKUP($B102,'Sinai Perf Network 032017'!$A$2:$AI$11212,18,FALSE),"")</f>
        <v/>
      </c>
      <c r="E102" s="12" t="str">
        <f>_xlfn.IFNA(VLOOKUP($B102,'Sinai Perf Network 032017'!$A$2:$AI$11212,13,FALSE),"")</f>
        <v/>
      </c>
      <c r="F102" s="12" t="str">
        <f>_xlfn.IFNA(VLOOKUP($B102,'Sinai Perf Network 032017'!$A$2:$AI$11212,12,FALSE),"")</f>
        <v/>
      </c>
      <c r="G102" s="2"/>
      <c r="H102" s="2"/>
      <c r="I102" s="2"/>
      <c r="J102" s="5">
        <f t="shared" ref="J102:J106" si="24">H102+I102</f>
        <v>0</v>
      </c>
    </row>
    <row r="103" spans="1:10" x14ac:dyDescent="0.25">
      <c r="A103" s="25"/>
      <c r="B103" s="2"/>
      <c r="C103" s="2"/>
      <c r="D103" s="12" t="str">
        <f>_xlfn.IFNA(VLOOKUP($B103,'Sinai Perf Network 032017'!$A$2:$AI$11212,18,FALSE),"")</f>
        <v/>
      </c>
      <c r="E103" s="12" t="str">
        <f>_xlfn.IFNA(VLOOKUP($B103,'Sinai Perf Network 032017'!$A$2:$AI$11212,13,FALSE),"")</f>
        <v/>
      </c>
      <c r="F103" s="12" t="str">
        <f>_xlfn.IFNA(VLOOKUP($B103,'Sinai Perf Network 032017'!$A$2:$AI$11212,12,FALSE),"")</f>
        <v/>
      </c>
      <c r="G103" s="2"/>
      <c r="H103" s="2"/>
      <c r="I103" s="2"/>
      <c r="J103" s="5">
        <f t="shared" si="24"/>
        <v>0</v>
      </c>
    </row>
    <row r="104" spans="1:10" x14ac:dyDescent="0.25">
      <c r="A104" s="25"/>
      <c r="B104" s="2"/>
      <c r="C104" s="2"/>
      <c r="D104" s="12" t="str">
        <f>_xlfn.IFNA(VLOOKUP($B104,'Sinai Perf Network 032017'!$A$2:$AI$11212,18,FALSE),"")</f>
        <v/>
      </c>
      <c r="E104" s="12" t="str">
        <f>_xlfn.IFNA(VLOOKUP($B104,'Sinai Perf Network 032017'!$A$2:$AI$11212,13,FALSE),"")</f>
        <v/>
      </c>
      <c r="F104" s="12" t="str">
        <f>_xlfn.IFNA(VLOOKUP($B104,'Sinai Perf Network 032017'!$A$2:$AI$11212,12,FALSE),"")</f>
        <v/>
      </c>
      <c r="G104" s="2"/>
      <c r="H104" s="2"/>
      <c r="I104" s="2"/>
      <c r="J104" s="5">
        <f t="shared" si="24"/>
        <v>0</v>
      </c>
    </row>
    <row r="105" spans="1:10" x14ac:dyDescent="0.25">
      <c r="A105" s="25"/>
      <c r="B105" s="2"/>
      <c r="C105" s="2"/>
      <c r="D105" s="12" t="str">
        <f>_xlfn.IFNA(VLOOKUP($B105,'Sinai Perf Network 032017'!$A$2:$AI$11212,18,FALSE),"")</f>
        <v/>
      </c>
      <c r="E105" s="12" t="str">
        <f>_xlfn.IFNA(VLOOKUP($B105,'Sinai Perf Network 032017'!$A$2:$AI$11212,13,FALSE),"")</f>
        <v/>
      </c>
      <c r="F105" s="12" t="str">
        <f>_xlfn.IFNA(VLOOKUP($B105,'Sinai Perf Network 032017'!$A$2:$AI$11212,12,FALSE),"")</f>
        <v/>
      </c>
      <c r="G105" s="2"/>
      <c r="H105" s="2"/>
      <c r="I105" s="2"/>
      <c r="J105" s="5">
        <f t="shared" si="24"/>
        <v>0</v>
      </c>
    </row>
    <row r="106" spans="1:10" x14ac:dyDescent="0.25">
      <c r="A106" s="25"/>
      <c r="B106" s="2"/>
      <c r="C106" s="2"/>
      <c r="D106" s="12" t="str">
        <f>_xlfn.IFNA(VLOOKUP($B106,'Sinai Perf Network 032017'!$A$2:$AI$11212,18,FALSE),"")</f>
        <v/>
      </c>
      <c r="E106" s="12" t="str">
        <f>_xlfn.IFNA(VLOOKUP($B106,'Sinai Perf Network 032017'!$A$2:$AI$11212,13,FALSE),"")</f>
        <v/>
      </c>
      <c r="F106" s="12" t="str">
        <f>_xlfn.IFNA(VLOOKUP($B106,'Sinai Perf Network 032017'!$A$2:$AI$11212,12,FALSE),"")</f>
        <v/>
      </c>
      <c r="G106" s="2"/>
      <c r="H106" s="2"/>
      <c r="I106" s="2"/>
      <c r="J106" s="5">
        <f t="shared" si="24"/>
        <v>0</v>
      </c>
    </row>
    <row r="107" spans="1:10" x14ac:dyDescent="0.25">
      <c r="A107" s="25"/>
      <c r="B107" s="26" t="s">
        <v>31</v>
      </c>
      <c r="C107" s="27"/>
      <c r="D107" s="27"/>
      <c r="E107" s="27"/>
      <c r="F107" s="27"/>
      <c r="G107" s="27"/>
      <c r="H107" s="27"/>
      <c r="I107" s="27"/>
      <c r="J107" s="27"/>
    </row>
    <row r="108" spans="1:10" x14ac:dyDescent="0.25">
      <c r="A108" s="9"/>
      <c r="B108" s="10"/>
      <c r="C108" s="10"/>
      <c r="D108" s="10"/>
      <c r="E108" s="10"/>
      <c r="F108" s="10"/>
      <c r="G108" s="10"/>
      <c r="H108" s="14">
        <f>SUM(H101:H106)</f>
        <v>0</v>
      </c>
      <c r="I108" s="14">
        <f t="shared" ref="I108:J108" si="25">SUM(I101:I106)</f>
        <v>0</v>
      </c>
      <c r="J108" s="14">
        <f t="shared" si="25"/>
        <v>0</v>
      </c>
    </row>
    <row r="109" spans="1:10" x14ac:dyDescent="0.25">
      <c r="A109" s="25" t="s">
        <v>18</v>
      </c>
      <c r="B109" s="2"/>
      <c r="C109" s="2"/>
      <c r="D109" s="12" t="str">
        <f>_xlfn.IFNA(VLOOKUP($B109,'Sinai Perf Network 032017'!$A$2:$AI$11212,18,FALSE),"")</f>
        <v/>
      </c>
      <c r="E109" s="12" t="str">
        <f>_xlfn.IFNA(VLOOKUP($B109,'Sinai Perf Network 032017'!$A$2:$AI$11212,13,FALSE),"")</f>
        <v/>
      </c>
      <c r="F109" s="12" t="str">
        <f>_xlfn.IFNA(VLOOKUP($B109,'Sinai Perf Network 032017'!$A$2:$AI$11212,12,FALSE),"")</f>
        <v/>
      </c>
      <c r="G109" s="2"/>
      <c r="H109" s="2"/>
      <c r="I109" s="2"/>
      <c r="J109" s="5">
        <f>H109+I109</f>
        <v>0</v>
      </c>
    </row>
    <row r="110" spans="1:10" x14ac:dyDescent="0.25">
      <c r="A110" s="25"/>
      <c r="B110" s="2"/>
      <c r="C110" s="2"/>
      <c r="D110" s="12" t="str">
        <f>_xlfn.IFNA(VLOOKUP($B110,'Sinai Perf Network 032017'!$A$2:$AI$11212,18,FALSE),"")</f>
        <v/>
      </c>
      <c r="E110" s="12" t="str">
        <f>_xlfn.IFNA(VLOOKUP($B110,'Sinai Perf Network 032017'!$A$2:$AI$11212,13,FALSE),"")</f>
        <v/>
      </c>
      <c r="F110" s="12" t="str">
        <f>_xlfn.IFNA(VLOOKUP($B110,'Sinai Perf Network 032017'!$A$2:$AI$11212,12,FALSE),"")</f>
        <v/>
      </c>
      <c r="G110" s="2"/>
      <c r="H110" s="2"/>
      <c r="I110" s="2"/>
      <c r="J110" s="5">
        <f t="shared" ref="J110:J114" si="26">H110+I110</f>
        <v>0</v>
      </c>
    </row>
    <row r="111" spans="1:10" x14ac:dyDescent="0.25">
      <c r="A111" s="25"/>
      <c r="B111" s="2"/>
      <c r="C111" s="2"/>
      <c r="D111" s="12" t="str">
        <f>_xlfn.IFNA(VLOOKUP($B111,'Sinai Perf Network 032017'!$A$2:$AI$11212,18,FALSE),"")</f>
        <v/>
      </c>
      <c r="E111" s="12" t="str">
        <f>_xlfn.IFNA(VLOOKUP($B111,'Sinai Perf Network 032017'!$A$2:$AI$11212,13,FALSE),"")</f>
        <v/>
      </c>
      <c r="F111" s="12" t="str">
        <f>_xlfn.IFNA(VLOOKUP($B111,'Sinai Perf Network 032017'!$A$2:$AI$11212,12,FALSE),"")</f>
        <v/>
      </c>
      <c r="G111" s="2"/>
      <c r="H111" s="2"/>
      <c r="I111" s="2"/>
      <c r="J111" s="5">
        <f t="shared" si="26"/>
        <v>0</v>
      </c>
    </row>
    <row r="112" spans="1:10" x14ac:dyDescent="0.25">
      <c r="A112" s="25"/>
      <c r="B112" s="2"/>
      <c r="C112" s="2"/>
      <c r="D112" s="12" t="str">
        <f>_xlfn.IFNA(VLOOKUP($B112,'Sinai Perf Network 032017'!$A$2:$AI$11212,18,FALSE),"")</f>
        <v/>
      </c>
      <c r="E112" s="12" t="str">
        <f>_xlfn.IFNA(VLOOKUP($B112,'Sinai Perf Network 032017'!$A$2:$AI$11212,13,FALSE),"")</f>
        <v/>
      </c>
      <c r="F112" s="12" t="str">
        <f>_xlfn.IFNA(VLOOKUP($B112,'Sinai Perf Network 032017'!$A$2:$AI$11212,12,FALSE),"")</f>
        <v/>
      </c>
      <c r="G112" s="2"/>
      <c r="H112" s="2"/>
      <c r="I112" s="2"/>
      <c r="J112" s="5">
        <f t="shared" si="26"/>
        <v>0</v>
      </c>
    </row>
    <row r="113" spans="1:10" x14ac:dyDescent="0.25">
      <c r="A113" s="25"/>
      <c r="B113" s="2"/>
      <c r="C113" s="2"/>
      <c r="D113" s="12" t="str">
        <f>_xlfn.IFNA(VLOOKUP($B113,'Sinai Perf Network 032017'!$A$2:$AI$11212,18,FALSE),"")</f>
        <v/>
      </c>
      <c r="E113" s="12" t="str">
        <f>_xlfn.IFNA(VLOOKUP($B113,'Sinai Perf Network 032017'!$A$2:$AI$11212,13,FALSE),"")</f>
        <v/>
      </c>
      <c r="F113" s="12" t="str">
        <f>_xlfn.IFNA(VLOOKUP($B113,'Sinai Perf Network 032017'!$A$2:$AI$11212,12,FALSE),"")</f>
        <v/>
      </c>
      <c r="G113" s="2"/>
      <c r="H113" s="2"/>
      <c r="I113" s="2"/>
      <c r="J113" s="5">
        <f t="shared" si="26"/>
        <v>0</v>
      </c>
    </row>
    <row r="114" spans="1:10" x14ac:dyDescent="0.25">
      <c r="A114" s="25"/>
      <c r="B114" s="2"/>
      <c r="C114" s="2"/>
      <c r="D114" s="12" t="str">
        <f>_xlfn.IFNA(VLOOKUP($B114,'Sinai Perf Network 032017'!$A$2:$AI$11212,18,FALSE),"")</f>
        <v/>
      </c>
      <c r="E114" s="12" t="str">
        <f>_xlfn.IFNA(VLOOKUP($B114,'Sinai Perf Network 032017'!$A$2:$AI$11212,13,FALSE),"")</f>
        <v/>
      </c>
      <c r="F114" s="12" t="str">
        <f>_xlfn.IFNA(VLOOKUP($B114,'Sinai Perf Network 032017'!$A$2:$AI$11212,12,FALSE),"")</f>
        <v/>
      </c>
      <c r="G114" s="2"/>
      <c r="H114" s="2"/>
      <c r="I114" s="2"/>
      <c r="J114" s="5">
        <f t="shared" si="26"/>
        <v>0</v>
      </c>
    </row>
    <row r="115" spans="1:10" x14ac:dyDescent="0.25">
      <c r="A115" s="25"/>
      <c r="B115" s="26" t="s">
        <v>31</v>
      </c>
      <c r="C115" s="27"/>
      <c r="D115" s="27"/>
      <c r="E115" s="27"/>
      <c r="F115" s="27"/>
      <c r="G115" s="27"/>
      <c r="H115" s="27"/>
      <c r="I115" s="27"/>
      <c r="J115" s="27"/>
    </row>
    <row r="116" spans="1:10" x14ac:dyDescent="0.25">
      <c r="A116" s="9"/>
      <c r="B116" s="10"/>
      <c r="C116" s="10"/>
      <c r="D116" s="10"/>
      <c r="E116" s="10"/>
      <c r="F116" s="10"/>
      <c r="G116" s="10"/>
      <c r="H116" s="14">
        <f>SUM(H109:H114)</f>
        <v>0</v>
      </c>
      <c r="I116" s="14">
        <f t="shared" ref="I116:J116" si="27">SUM(I109:I114)</f>
        <v>0</v>
      </c>
      <c r="J116" s="14">
        <f t="shared" si="27"/>
        <v>0</v>
      </c>
    </row>
    <row r="117" spans="1:10" x14ac:dyDescent="0.25">
      <c r="A117" s="25" t="s">
        <v>435</v>
      </c>
      <c r="B117" s="2"/>
      <c r="C117" s="2"/>
      <c r="D117" s="12"/>
      <c r="E117" s="12"/>
      <c r="F117" s="12"/>
      <c r="G117" s="2"/>
      <c r="H117" s="2"/>
      <c r="I117" s="2"/>
      <c r="J117" s="5">
        <f>H117+I117</f>
        <v>0</v>
      </c>
    </row>
    <row r="118" spans="1:10" x14ac:dyDescent="0.25">
      <c r="A118" s="25"/>
      <c r="B118" s="2"/>
      <c r="C118" s="2"/>
      <c r="D118" s="12"/>
      <c r="E118" s="12"/>
      <c r="F118" s="12"/>
      <c r="G118" s="2"/>
      <c r="H118" s="2"/>
      <c r="I118" s="2"/>
      <c r="J118" s="5">
        <f t="shared" ref="J118:J122" si="28">H118+I118</f>
        <v>0</v>
      </c>
    </row>
    <row r="119" spans="1:10" x14ac:dyDescent="0.25">
      <c r="A119" s="25"/>
      <c r="B119" s="2"/>
      <c r="C119" s="2"/>
      <c r="D119" s="12"/>
      <c r="E119" s="12"/>
      <c r="F119" s="12"/>
      <c r="G119" s="2"/>
      <c r="H119" s="2"/>
      <c r="I119" s="2"/>
      <c r="J119" s="5">
        <f t="shared" si="28"/>
        <v>0</v>
      </c>
    </row>
    <row r="120" spans="1:10" x14ac:dyDescent="0.25">
      <c r="A120" s="25"/>
      <c r="B120" s="2"/>
      <c r="C120" s="2"/>
      <c r="D120" s="12"/>
      <c r="E120" s="12"/>
      <c r="F120" s="12"/>
      <c r="G120" s="2"/>
      <c r="H120" s="2"/>
      <c r="I120" s="2"/>
      <c r="J120" s="5">
        <f t="shared" si="28"/>
        <v>0</v>
      </c>
    </row>
    <row r="121" spans="1:10" x14ac:dyDescent="0.25">
      <c r="A121" s="25"/>
      <c r="B121" s="2"/>
      <c r="C121" s="2"/>
      <c r="D121" s="12"/>
      <c r="E121" s="12"/>
      <c r="F121" s="12"/>
      <c r="G121" s="2"/>
      <c r="H121" s="2"/>
      <c r="I121" s="2"/>
      <c r="J121" s="5">
        <f t="shared" si="28"/>
        <v>0</v>
      </c>
    </row>
    <row r="122" spans="1:10" x14ac:dyDescent="0.25">
      <c r="A122" s="25"/>
      <c r="B122" s="2"/>
      <c r="C122" s="2"/>
      <c r="D122" s="12"/>
      <c r="E122" s="12"/>
      <c r="F122" s="12"/>
      <c r="G122" s="2"/>
      <c r="H122" s="2"/>
      <c r="I122" s="2"/>
      <c r="J122" s="5">
        <f t="shared" si="28"/>
        <v>0</v>
      </c>
    </row>
    <row r="123" spans="1:10" x14ac:dyDescent="0.25">
      <c r="A123" s="25"/>
      <c r="B123" s="26" t="s">
        <v>31</v>
      </c>
      <c r="C123" s="27"/>
      <c r="D123" s="27"/>
      <c r="E123" s="27"/>
      <c r="F123" s="27"/>
      <c r="G123" s="27"/>
      <c r="H123" s="27"/>
      <c r="I123" s="27"/>
      <c r="J123" s="27"/>
    </row>
    <row r="124" spans="1:10" x14ac:dyDescent="0.25">
      <c r="A124" s="9"/>
      <c r="B124" s="10"/>
      <c r="C124" s="10"/>
      <c r="D124" s="10"/>
      <c r="E124" s="10"/>
      <c r="F124" s="10"/>
      <c r="G124" s="10"/>
      <c r="H124" s="14">
        <f>SUM(H117:H122)</f>
        <v>0</v>
      </c>
      <c r="I124" s="14">
        <f t="shared" ref="I124:J124" si="29">SUM(I117:I122)</f>
        <v>0</v>
      </c>
      <c r="J124" s="14">
        <f t="shared" si="29"/>
        <v>0</v>
      </c>
    </row>
    <row r="125" spans="1:10" x14ac:dyDescent="0.25">
      <c r="A125" s="25" t="s">
        <v>19</v>
      </c>
      <c r="B125" s="2"/>
      <c r="C125" s="2"/>
      <c r="D125" s="12" t="str">
        <f>_xlfn.IFNA(VLOOKUP($B125,'Sinai Perf Network 032017'!$A$2:$AI$11212,18,FALSE),"")</f>
        <v/>
      </c>
      <c r="E125" s="12" t="str">
        <f>_xlfn.IFNA(VLOOKUP($B125,'Sinai Perf Network 032017'!$A$2:$AI$11212,13,FALSE),"")</f>
        <v/>
      </c>
      <c r="F125" s="12" t="str">
        <f>_xlfn.IFNA(VLOOKUP($B125,'Sinai Perf Network 032017'!$A$2:$AI$11212,12,FALSE),"")</f>
        <v/>
      </c>
      <c r="G125" s="2"/>
      <c r="H125" s="2"/>
      <c r="I125" s="2"/>
      <c r="J125" s="5">
        <f>H125+I125</f>
        <v>0</v>
      </c>
    </row>
    <row r="126" spans="1:10" x14ac:dyDescent="0.25">
      <c r="A126" s="25"/>
      <c r="B126" s="2"/>
      <c r="C126" s="2"/>
      <c r="D126" s="12" t="str">
        <f>_xlfn.IFNA(VLOOKUP($B126,'Sinai Perf Network 032017'!$A$2:$AI$11212,18,FALSE),"")</f>
        <v/>
      </c>
      <c r="E126" s="12" t="str">
        <f>_xlfn.IFNA(VLOOKUP($B126,'Sinai Perf Network 032017'!$A$2:$AI$11212,13,FALSE),"")</f>
        <v/>
      </c>
      <c r="F126" s="12" t="str">
        <f>_xlfn.IFNA(VLOOKUP($B126,'Sinai Perf Network 032017'!$A$2:$AI$11212,12,FALSE),"")</f>
        <v/>
      </c>
      <c r="G126" s="2"/>
      <c r="H126" s="2"/>
      <c r="I126" s="2"/>
      <c r="J126" s="5">
        <f t="shared" ref="J126:J130" si="30">H126+I126</f>
        <v>0</v>
      </c>
    </row>
    <row r="127" spans="1:10" x14ac:dyDescent="0.25">
      <c r="A127" s="25"/>
      <c r="B127" s="2"/>
      <c r="C127" s="2"/>
      <c r="D127" s="12" t="str">
        <f>_xlfn.IFNA(VLOOKUP($B127,'Sinai Perf Network 032017'!$A$2:$AI$11212,18,FALSE),"")</f>
        <v/>
      </c>
      <c r="E127" s="12" t="str">
        <f>_xlfn.IFNA(VLOOKUP($B127,'Sinai Perf Network 032017'!$A$2:$AI$11212,13,FALSE),"")</f>
        <v/>
      </c>
      <c r="F127" s="12" t="str">
        <f>_xlfn.IFNA(VLOOKUP($B127,'Sinai Perf Network 032017'!$A$2:$AI$11212,12,FALSE),"")</f>
        <v/>
      </c>
      <c r="G127" s="2"/>
      <c r="H127" s="2"/>
      <c r="I127" s="2"/>
      <c r="J127" s="5">
        <f t="shared" si="30"/>
        <v>0</v>
      </c>
    </row>
    <row r="128" spans="1:10" x14ac:dyDescent="0.25">
      <c r="A128" s="25"/>
      <c r="B128" s="2"/>
      <c r="C128" s="2"/>
      <c r="D128" s="12" t="str">
        <f>_xlfn.IFNA(VLOOKUP($B128,'Sinai Perf Network 032017'!$A$2:$AI$11212,18,FALSE),"")</f>
        <v/>
      </c>
      <c r="E128" s="12" t="str">
        <f>_xlfn.IFNA(VLOOKUP($B128,'Sinai Perf Network 032017'!$A$2:$AI$11212,13,FALSE),"")</f>
        <v/>
      </c>
      <c r="F128" s="12" t="str">
        <f>_xlfn.IFNA(VLOOKUP($B128,'Sinai Perf Network 032017'!$A$2:$AI$11212,12,FALSE),"")</f>
        <v/>
      </c>
      <c r="G128" s="2"/>
      <c r="H128" s="2"/>
      <c r="I128" s="2"/>
      <c r="J128" s="5">
        <f t="shared" si="30"/>
        <v>0</v>
      </c>
    </row>
    <row r="129" spans="1:10" x14ac:dyDescent="0.25">
      <c r="A129" s="25"/>
      <c r="B129" s="2"/>
      <c r="C129" s="2"/>
      <c r="D129" s="12" t="str">
        <f>_xlfn.IFNA(VLOOKUP($B129,'Sinai Perf Network 032017'!$A$2:$AI$11212,18,FALSE),"")</f>
        <v/>
      </c>
      <c r="E129" s="12" t="str">
        <f>_xlfn.IFNA(VLOOKUP($B129,'Sinai Perf Network 032017'!$A$2:$AI$11212,13,FALSE),"")</f>
        <v/>
      </c>
      <c r="F129" s="12" t="str">
        <f>_xlfn.IFNA(VLOOKUP($B129,'Sinai Perf Network 032017'!$A$2:$AI$11212,12,FALSE),"")</f>
        <v/>
      </c>
      <c r="G129" s="2"/>
      <c r="H129" s="2"/>
      <c r="I129" s="2"/>
      <c r="J129" s="5">
        <f t="shared" si="30"/>
        <v>0</v>
      </c>
    </row>
    <row r="130" spans="1:10" x14ac:dyDescent="0.25">
      <c r="A130" s="25"/>
      <c r="B130" s="2"/>
      <c r="C130" s="2"/>
      <c r="D130" s="12" t="str">
        <f>_xlfn.IFNA(VLOOKUP($B130,'Sinai Perf Network 032017'!$A$2:$AI$11212,18,FALSE),"")</f>
        <v/>
      </c>
      <c r="E130" s="12" t="str">
        <f>_xlfn.IFNA(VLOOKUP($B130,'Sinai Perf Network 032017'!$A$2:$AI$11212,13,FALSE),"")</f>
        <v/>
      </c>
      <c r="F130" s="12" t="str">
        <f>_xlfn.IFNA(VLOOKUP($B130,'Sinai Perf Network 032017'!$A$2:$AI$11212,12,FALSE),"")</f>
        <v/>
      </c>
      <c r="G130" s="2"/>
      <c r="H130" s="2"/>
      <c r="I130" s="2"/>
      <c r="J130" s="5">
        <f t="shared" si="30"/>
        <v>0</v>
      </c>
    </row>
    <row r="131" spans="1:10" x14ac:dyDescent="0.25">
      <c r="A131" s="25"/>
      <c r="B131" s="26" t="s">
        <v>31</v>
      </c>
      <c r="C131" s="27"/>
      <c r="D131" s="27"/>
      <c r="E131" s="27"/>
      <c r="F131" s="27"/>
      <c r="G131" s="27"/>
      <c r="H131" s="27"/>
      <c r="I131" s="27"/>
      <c r="J131" s="27"/>
    </row>
    <row r="132" spans="1:10" x14ac:dyDescent="0.25">
      <c r="A132" s="9"/>
      <c r="B132" s="10"/>
      <c r="C132" s="10"/>
      <c r="D132" s="10"/>
      <c r="E132" s="10"/>
      <c r="F132" s="10"/>
      <c r="G132" s="10"/>
      <c r="H132" s="14">
        <f>SUM(H125:H130)</f>
        <v>0</v>
      </c>
      <c r="I132" s="14">
        <f t="shared" ref="I132:J132" si="31">SUM(I125:I130)</f>
        <v>0</v>
      </c>
      <c r="J132" s="14">
        <f t="shared" si="31"/>
        <v>0</v>
      </c>
    </row>
    <row r="133" spans="1:10" x14ac:dyDescent="0.25">
      <c r="A133" s="25" t="s">
        <v>19</v>
      </c>
      <c r="B133" s="2"/>
      <c r="C133" s="2"/>
      <c r="D133" s="12" t="str">
        <f>_xlfn.IFNA(VLOOKUP($B133,'Sinai Perf Network 032017'!$A$2:$AI$11212,18,FALSE),"")</f>
        <v/>
      </c>
      <c r="E133" s="12" t="str">
        <f>_xlfn.IFNA(VLOOKUP($B133,'Sinai Perf Network 032017'!$A$2:$AI$11212,13,FALSE),"")</f>
        <v/>
      </c>
      <c r="F133" s="12" t="str">
        <f>_xlfn.IFNA(VLOOKUP($B133,'Sinai Perf Network 032017'!$A$2:$AI$11212,12,FALSE),"")</f>
        <v/>
      </c>
      <c r="G133" s="2"/>
      <c r="H133" s="2"/>
      <c r="I133" s="2"/>
      <c r="J133" s="5">
        <f>H133+I133</f>
        <v>0</v>
      </c>
    </row>
    <row r="134" spans="1:10" x14ac:dyDescent="0.25">
      <c r="A134" s="25"/>
      <c r="B134" s="2"/>
      <c r="C134" s="2"/>
      <c r="D134" s="12" t="str">
        <f>_xlfn.IFNA(VLOOKUP($B134,'Sinai Perf Network 032017'!$A$2:$AI$11212,18,FALSE),"")</f>
        <v/>
      </c>
      <c r="E134" s="12" t="str">
        <f>_xlfn.IFNA(VLOOKUP($B134,'Sinai Perf Network 032017'!$A$2:$AI$11212,13,FALSE),"")</f>
        <v/>
      </c>
      <c r="F134" s="12" t="str">
        <f>_xlfn.IFNA(VLOOKUP($B134,'Sinai Perf Network 032017'!$A$2:$AI$11212,12,FALSE),"")</f>
        <v/>
      </c>
      <c r="G134" s="2"/>
      <c r="H134" s="2"/>
      <c r="I134" s="2"/>
      <c r="J134" s="5">
        <f t="shared" ref="J134:J138" si="32">H134+I134</f>
        <v>0</v>
      </c>
    </row>
    <row r="135" spans="1:10" x14ac:dyDescent="0.25">
      <c r="A135" s="25"/>
      <c r="B135" s="2"/>
      <c r="C135" s="2"/>
      <c r="D135" s="12" t="str">
        <f>_xlfn.IFNA(VLOOKUP($B135,'Sinai Perf Network 032017'!$A$2:$AI$11212,18,FALSE),"")</f>
        <v/>
      </c>
      <c r="E135" s="12" t="str">
        <f>_xlfn.IFNA(VLOOKUP($B135,'Sinai Perf Network 032017'!$A$2:$AI$11212,13,FALSE),"")</f>
        <v/>
      </c>
      <c r="F135" s="12" t="str">
        <f>_xlfn.IFNA(VLOOKUP($B135,'Sinai Perf Network 032017'!$A$2:$AI$11212,12,FALSE),"")</f>
        <v/>
      </c>
      <c r="G135" s="2"/>
      <c r="H135" s="2"/>
      <c r="I135" s="2"/>
      <c r="J135" s="5">
        <f t="shared" si="32"/>
        <v>0</v>
      </c>
    </row>
    <row r="136" spans="1:10" x14ac:dyDescent="0.25">
      <c r="A136" s="25"/>
      <c r="B136" s="2"/>
      <c r="C136" s="2"/>
      <c r="D136" s="12" t="str">
        <f>_xlfn.IFNA(VLOOKUP($B136,'Sinai Perf Network 032017'!$A$2:$AI$11212,18,FALSE),"")</f>
        <v/>
      </c>
      <c r="E136" s="12" t="str">
        <f>_xlfn.IFNA(VLOOKUP($B136,'Sinai Perf Network 032017'!$A$2:$AI$11212,13,FALSE),"")</f>
        <v/>
      </c>
      <c r="F136" s="12" t="str">
        <f>_xlfn.IFNA(VLOOKUP($B136,'Sinai Perf Network 032017'!$A$2:$AI$11212,12,FALSE),"")</f>
        <v/>
      </c>
      <c r="G136" s="2"/>
      <c r="H136" s="2"/>
      <c r="I136" s="2"/>
      <c r="J136" s="5">
        <f t="shared" si="32"/>
        <v>0</v>
      </c>
    </row>
    <row r="137" spans="1:10" x14ac:dyDescent="0.25">
      <c r="A137" s="25"/>
      <c r="B137" s="2"/>
      <c r="C137" s="2"/>
      <c r="D137" s="12" t="str">
        <f>_xlfn.IFNA(VLOOKUP($B137,'Sinai Perf Network 032017'!$A$2:$AI$11212,18,FALSE),"")</f>
        <v/>
      </c>
      <c r="E137" s="12" t="str">
        <f>_xlfn.IFNA(VLOOKUP($B137,'Sinai Perf Network 032017'!$A$2:$AI$11212,13,FALSE),"")</f>
        <v/>
      </c>
      <c r="F137" s="12" t="str">
        <f>_xlfn.IFNA(VLOOKUP($B137,'Sinai Perf Network 032017'!$A$2:$AI$11212,12,FALSE),"")</f>
        <v/>
      </c>
      <c r="G137" s="2"/>
      <c r="H137" s="2"/>
      <c r="I137" s="2"/>
      <c r="J137" s="5">
        <f t="shared" si="32"/>
        <v>0</v>
      </c>
    </row>
    <row r="138" spans="1:10" x14ac:dyDescent="0.25">
      <c r="A138" s="25"/>
      <c r="B138" s="2"/>
      <c r="C138" s="2"/>
      <c r="D138" s="12" t="str">
        <f>_xlfn.IFNA(VLOOKUP($B138,'Sinai Perf Network 032017'!$A$2:$AI$11212,18,FALSE),"")</f>
        <v/>
      </c>
      <c r="E138" s="12" t="str">
        <f>_xlfn.IFNA(VLOOKUP($B138,'Sinai Perf Network 032017'!$A$2:$AI$11212,13,FALSE),"")</f>
        <v/>
      </c>
      <c r="F138" s="12" t="str">
        <f>_xlfn.IFNA(VLOOKUP($B138,'Sinai Perf Network 032017'!$A$2:$AI$11212,12,FALSE),"")</f>
        <v/>
      </c>
      <c r="G138" s="2"/>
      <c r="H138" s="2"/>
      <c r="I138" s="2"/>
      <c r="J138" s="5">
        <f t="shared" si="32"/>
        <v>0</v>
      </c>
    </row>
    <row r="139" spans="1:10" x14ac:dyDescent="0.25">
      <c r="A139" s="25"/>
      <c r="B139" s="26" t="s">
        <v>31</v>
      </c>
      <c r="C139" s="27"/>
      <c r="D139" s="27"/>
      <c r="E139" s="27"/>
      <c r="F139" s="27"/>
      <c r="G139" s="27"/>
      <c r="H139" s="27"/>
      <c r="I139" s="27"/>
      <c r="J139" s="27"/>
    </row>
    <row r="140" spans="1:10" x14ac:dyDescent="0.25">
      <c r="A140" s="9"/>
      <c r="B140" s="10"/>
      <c r="C140" s="10"/>
      <c r="D140" s="10"/>
      <c r="E140" s="10"/>
      <c r="F140" s="10"/>
      <c r="G140" s="10"/>
      <c r="H140" s="14">
        <f>SUM(H133:H138)</f>
        <v>0</v>
      </c>
      <c r="I140" s="14">
        <f t="shared" ref="I140:J140" si="33">SUM(I133:I138)</f>
        <v>0</v>
      </c>
      <c r="J140" s="14">
        <f t="shared" si="33"/>
        <v>0</v>
      </c>
    </row>
    <row r="141" spans="1:10" x14ac:dyDescent="0.25">
      <c r="A141" s="25" t="s">
        <v>19</v>
      </c>
      <c r="B141" s="2"/>
      <c r="C141" s="2"/>
      <c r="D141" s="12" t="str">
        <f>_xlfn.IFNA(VLOOKUP($B141,'Sinai Perf Network 032017'!$A$2:$AI$11212,18,FALSE),"")</f>
        <v/>
      </c>
      <c r="E141" s="12" t="str">
        <f>_xlfn.IFNA(VLOOKUP($B141,'Sinai Perf Network 032017'!$A$2:$AI$11212,13,FALSE),"")</f>
        <v/>
      </c>
      <c r="F141" s="12" t="str">
        <f>_xlfn.IFNA(VLOOKUP($B141,'Sinai Perf Network 032017'!$A$2:$AI$11212,12,FALSE),"")</f>
        <v/>
      </c>
      <c r="G141" s="2"/>
      <c r="H141" s="2"/>
      <c r="I141" s="2"/>
      <c r="J141" s="5">
        <f>H141+I141</f>
        <v>0</v>
      </c>
    </row>
    <row r="142" spans="1:10" x14ac:dyDescent="0.25">
      <c r="A142" s="25"/>
      <c r="B142" s="2"/>
      <c r="C142" s="2"/>
      <c r="D142" s="12" t="str">
        <f>_xlfn.IFNA(VLOOKUP($B142,'Sinai Perf Network 032017'!$A$2:$AI$11212,18,FALSE),"")</f>
        <v/>
      </c>
      <c r="E142" s="12" t="str">
        <f>_xlfn.IFNA(VLOOKUP($B142,'Sinai Perf Network 032017'!$A$2:$AI$11212,13,FALSE),"")</f>
        <v/>
      </c>
      <c r="F142" s="12" t="str">
        <f>_xlfn.IFNA(VLOOKUP($B142,'Sinai Perf Network 032017'!$A$2:$AI$11212,12,FALSE),"")</f>
        <v/>
      </c>
      <c r="G142" s="2"/>
      <c r="H142" s="2"/>
      <c r="I142" s="2"/>
      <c r="J142" s="5">
        <f t="shared" ref="J142:J146" si="34">H142+I142</f>
        <v>0</v>
      </c>
    </row>
    <row r="143" spans="1:10" x14ac:dyDescent="0.25">
      <c r="A143" s="25"/>
      <c r="B143" s="2"/>
      <c r="C143" s="2"/>
      <c r="D143" s="12" t="str">
        <f>_xlfn.IFNA(VLOOKUP($B143,'Sinai Perf Network 032017'!$A$2:$AI$11212,18,FALSE),"")</f>
        <v/>
      </c>
      <c r="E143" s="12" t="str">
        <f>_xlfn.IFNA(VLOOKUP($B143,'Sinai Perf Network 032017'!$A$2:$AI$11212,13,FALSE),"")</f>
        <v/>
      </c>
      <c r="F143" s="12" t="str">
        <f>_xlfn.IFNA(VLOOKUP($B143,'Sinai Perf Network 032017'!$A$2:$AI$11212,12,FALSE),"")</f>
        <v/>
      </c>
      <c r="G143" s="2"/>
      <c r="H143" s="2"/>
      <c r="I143" s="2"/>
      <c r="J143" s="5">
        <f t="shared" si="34"/>
        <v>0</v>
      </c>
    </row>
    <row r="144" spans="1:10" x14ac:dyDescent="0.25">
      <c r="A144" s="25"/>
      <c r="B144" s="2"/>
      <c r="C144" s="2"/>
      <c r="D144" s="12" t="str">
        <f>_xlfn.IFNA(VLOOKUP($B144,'Sinai Perf Network 032017'!$A$2:$AI$11212,18,FALSE),"")</f>
        <v/>
      </c>
      <c r="E144" s="12" t="str">
        <f>_xlfn.IFNA(VLOOKUP($B144,'Sinai Perf Network 032017'!$A$2:$AI$11212,13,FALSE),"")</f>
        <v/>
      </c>
      <c r="F144" s="12" t="str">
        <f>_xlfn.IFNA(VLOOKUP($B144,'Sinai Perf Network 032017'!$A$2:$AI$11212,12,FALSE),"")</f>
        <v/>
      </c>
      <c r="G144" s="2"/>
      <c r="H144" s="2"/>
      <c r="I144" s="2"/>
      <c r="J144" s="5">
        <f t="shared" si="34"/>
        <v>0</v>
      </c>
    </row>
    <row r="145" spans="1:10" x14ac:dyDescent="0.25">
      <c r="A145" s="25"/>
      <c r="B145" s="2"/>
      <c r="C145" s="2"/>
      <c r="D145" s="12" t="str">
        <f>_xlfn.IFNA(VLOOKUP($B145,'Sinai Perf Network 032017'!$A$2:$AI$11212,18,FALSE),"")</f>
        <v/>
      </c>
      <c r="E145" s="12" t="str">
        <f>_xlfn.IFNA(VLOOKUP($B145,'Sinai Perf Network 032017'!$A$2:$AI$11212,13,FALSE),"")</f>
        <v/>
      </c>
      <c r="F145" s="12" t="str">
        <f>_xlfn.IFNA(VLOOKUP($B145,'Sinai Perf Network 032017'!$A$2:$AI$11212,12,FALSE),"")</f>
        <v/>
      </c>
      <c r="G145" s="2"/>
      <c r="H145" s="2"/>
      <c r="I145" s="2"/>
      <c r="J145" s="5">
        <f t="shared" si="34"/>
        <v>0</v>
      </c>
    </row>
    <row r="146" spans="1:10" x14ac:dyDescent="0.25">
      <c r="A146" s="25"/>
      <c r="B146" s="2"/>
      <c r="C146" s="2"/>
      <c r="D146" s="12" t="str">
        <f>_xlfn.IFNA(VLOOKUP($B146,'Sinai Perf Network 032017'!$A$2:$AI$11212,18,FALSE),"")</f>
        <v/>
      </c>
      <c r="E146" s="12" t="str">
        <f>_xlfn.IFNA(VLOOKUP($B146,'Sinai Perf Network 032017'!$A$2:$AI$11212,13,FALSE),"")</f>
        <v/>
      </c>
      <c r="F146" s="12" t="str">
        <f>_xlfn.IFNA(VLOOKUP($B146,'Sinai Perf Network 032017'!$A$2:$AI$11212,12,FALSE),"")</f>
        <v/>
      </c>
      <c r="G146" s="2"/>
      <c r="H146" s="2"/>
      <c r="I146" s="2"/>
      <c r="J146" s="5">
        <f t="shared" si="34"/>
        <v>0</v>
      </c>
    </row>
    <row r="147" spans="1:10" x14ac:dyDescent="0.25">
      <c r="A147" s="25"/>
      <c r="B147" s="26" t="s">
        <v>31</v>
      </c>
      <c r="C147" s="27"/>
      <c r="D147" s="27"/>
      <c r="E147" s="27"/>
      <c r="F147" s="27"/>
      <c r="G147" s="27"/>
      <c r="H147" s="27"/>
      <c r="I147" s="27"/>
      <c r="J147" s="27"/>
    </row>
    <row r="148" spans="1:10" x14ac:dyDescent="0.25">
      <c r="A148" s="9"/>
      <c r="B148" s="10"/>
      <c r="C148" s="10"/>
      <c r="D148" s="10"/>
      <c r="E148" s="10"/>
      <c r="F148" s="10"/>
      <c r="G148" s="10"/>
      <c r="H148" s="14">
        <f>SUM(H141:H146)</f>
        <v>0</v>
      </c>
      <c r="I148" s="14">
        <f t="shared" ref="I148:J148" si="35">SUM(I141:I146)</f>
        <v>0</v>
      </c>
      <c r="J148" s="14">
        <f t="shared" si="35"/>
        <v>0</v>
      </c>
    </row>
  </sheetData>
  <sheetProtection algorithmName="SHA-512" hashValue="bwKHXlbmqnU5fTQJZ3p/+yNG39k1vZBr9K7VHq7Lywk/jdkStOdAOq0W4MFp6pL6L5gpQIZBqJyNAX2OJdUtAg==" saltValue="5iUbGTpeRdQfPOnMDXbwbQ==" spinCount="100000" sheet="1" objects="1" scenarios="1"/>
  <mergeCells count="38">
    <mergeCell ref="B147:J147"/>
    <mergeCell ref="B91:J91"/>
    <mergeCell ref="B99:J99"/>
    <mergeCell ref="B107:J107"/>
    <mergeCell ref="B115:J115"/>
    <mergeCell ref="B123:J123"/>
    <mergeCell ref="B139:J139"/>
    <mergeCell ref="B131:J131"/>
    <mergeCell ref="B43:J43"/>
    <mergeCell ref="B51:J51"/>
    <mergeCell ref="B59:J59"/>
    <mergeCell ref="B67:J67"/>
    <mergeCell ref="B75:J75"/>
    <mergeCell ref="B83:J83"/>
    <mergeCell ref="A141:A147"/>
    <mergeCell ref="B3:F3"/>
    <mergeCell ref="H3:J3"/>
    <mergeCell ref="B11:J11"/>
    <mergeCell ref="B19:J19"/>
    <mergeCell ref="B27:J27"/>
    <mergeCell ref="B35:J35"/>
    <mergeCell ref="A93:A99"/>
    <mergeCell ref="A101:A107"/>
    <mergeCell ref="A109:A115"/>
    <mergeCell ref="A117:A123"/>
    <mergeCell ref="A125:A131"/>
    <mergeCell ref="A133:A139"/>
    <mergeCell ref="A45:A51"/>
    <mergeCell ref="A53:A59"/>
    <mergeCell ref="A61:A67"/>
    <mergeCell ref="A69:A75"/>
    <mergeCell ref="A77:A83"/>
    <mergeCell ref="A85:A91"/>
    <mergeCell ref="A5:A11"/>
    <mergeCell ref="A13:A19"/>
    <mergeCell ref="A21:A27"/>
    <mergeCell ref="A29:A35"/>
    <mergeCell ref="A37:A4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"/>
  <sheetViews>
    <sheetView zoomScaleNormal="100" workbookViewId="0">
      <selection sqref="A1:C1"/>
    </sheetView>
  </sheetViews>
  <sheetFormatPr defaultRowHeight="15" x14ac:dyDescent="0.25"/>
  <cols>
    <col min="1" max="1" width="10.85546875" style="2" customWidth="1"/>
    <col min="2" max="2" width="23.140625" style="2" bestFit="1" customWidth="1"/>
    <col min="3" max="3" width="23.140625" style="2" customWidth="1"/>
    <col min="4" max="4" width="2.85546875" style="21" customWidth="1"/>
    <col min="5" max="7" width="14.85546875" style="2" bestFit="1" customWidth="1"/>
    <col min="8" max="8" width="23.5703125" style="2" customWidth="1"/>
    <col min="9" max="9" width="2.85546875" style="21" customWidth="1"/>
    <col min="10" max="10" width="23.140625" style="2" customWidth="1"/>
    <col min="11" max="11" width="2.85546875" style="22" hidden="1" customWidth="1"/>
    <col min="12" max="12" width="11.85546875" hidden="1" customWidth="1"/>
    <col min="13" max="13" width="12.85546875" hidden="1" customWidth="1"/>
    <col min="14" max="14" width="12.7109375" hidden="1" customWidth="1"/>
    <col min="15" max="15" width="12.85546875" hidden="1" customWidth="1"/>
    <col min="16" max="16" width="11.85546875" hidden="1" customWidth="1"/>
    <col min="17" max="17" width="12.140625" hidden="1" customWidth="1"/>
    <col min="18" max="18" width="11.85546875" hidden="1" customWidth="1"/>
    <col min="19" max="19" width="12.85546875" hidden="1" customWidth="1"/>
    <col min="20" max="20" width="11.85546875" hidden="1" customWidth="1"/>
    <col min="21" max="21" width="12.28515625" hidden="1" customWidth="1"/>
    <col min="23" max="23" width="28.42578125" bestFit="1" customWidth="1"/>
    <col min="24" max="24" width="17.85546875" bestFit="1" customWidth="1"/>
    <col min="25" max="25" width="23.5703125" bestFit="1" customWidth="1"/>
  </cols>
  <sheetData>
    <row r="1" spans="1:21" x14ac:dyDescent="0.25">
      <c r="A1" s="29" t="s">
        <v>45217</v>
      </c>
      <c r="B1" s="30"/>
      <c r="C1" s="31"/>
      <c r="D1" s="15"/>
      <c r="E1" s="32" t="s">
        <v>45218</v>
      </c>
      <c r="F1" s="32"/>
      <c r="G1" s="32"/>
      <c r="H1" s="32"/>
      <c r="I1" s="15"/>
      <c r="J1" s="16" t="s">
        <v>45219</v>
      </c>
      <c r="K1" s="17"/>
      <c r="L1" s="32" t="s">
        <v>45220</v>
      </c>
      <c r="M1" s="32"/>
      <c r="N1" s="32"/>
      <c r="O1" s="32"/>
      <c r="P1" s="32"/>
      <c r="Q1" s="32"/>
      <c r="R1" s="32"/>
      <c r="S1" s="32"/>
      <c r="T1" s="32"/>
      <c r="U1" s="32"/>
    </row>
    <row r="2" spans="1:21" ht="30" x14ac:dyDescent="0.25">
      <c r="A2" s="18" t="s">
        <v>45221</v>
      </c>
      <c r="B2" s="18" t="s">
        <v>45223</v>
      </c>
      <c r="C2" s="18" t="s">
        <v>45222</v>
      </c>
      <c r="D2" s="19"/>
      <c r="E2" s="18" t="s">
        <v>8</v>
      </c>
      <c r="F2" s="18" t="s">
        <v>26</v>
      </c>
      <c r="G2" s="18" t="s">
        <v>44</v>
      </c>
      <c r="H2" s="18" t="s">
        <v>45223</v>
      </c>
      <c r="I2" s="19"/>
      <c r="J2" s="18" t="s">
        <v>45224</v>
      </c>
      <c r="K2" s="20"/>
      <c r="L2" s="18" t="s">
        <v>45225</v>
      </c>
      <c r="M2" s="18" t="s">
        <v>45226</v>
      </c>
      <c r="N2" s="18" t="s">
        <v>45227</v>
      </c>
      <c r="O2" s="18" t="s">
        <v>45228</v>
      </c>
      <c r="P2" s="18" t="s">
        <v>45229</v>
      </c>
      <c r="Q2" s="18" t="s">
        <v>45230</v>
      </c>
      <c r="R2" s="18" t="s">
        <v>45231</v>
      </c>
      <c r="S2" s="18" t="s">
        <v>45232</v>
      </c>
      <c r="T2" s="18" t="s">
        <v>45233</v>
      </c>
      <c r="U2" s="18" t="s">
        <v>45234</v>
      </c>
    </row>
  </sheetData>
  <mergeCells count="3">
    <mergeCell ref="A1:C1"/>
    <mergeCell ref="E1:H1"/>
    <mergeCell ref="L1:U1"/>
  </mergeCells>
  <pageMargins left="0.7" right="0.7" top="0.75" bottom="0.75" header="0.3" footer="0.3"/>
  <pageSetup scale="63" orientation="landscape" r:id="rId1"/>
  <colBreaks count="1" manualBreakCount="1">
    <brk id="11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'C:\Users\jweber\Desktop\PAOP 2017\[PPS 2nd Tier Funds Flow Reporting Template.xlsx]Sheet2'!#REF!</xm:f>
          </x14:formula1>
          <xm:sqref>E3:E1048576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4" sqref="C4"/>
    </sheetView>
  </sheetViews>
  <sheetFormatPr defaultRowHeight="15" x14ac:dyDescent="0.25"/>
  <cols>
    <col min="1" max="1" width="22" customWidth="1"/>
    <col min="2" max="2" width="10" customWidth="1"/>
    <col min="3" max="18" width="12" customWidth="1"/>
  </cols>
  <sheetData>
    <row r="1" spans="1:18" x14ac:dyDescent="0.25">
      <c r="A1" s="1" t="s">
        <v>158</v>
      </c>
    </row>
    <row r="3" spans="1:18" x14ac:dyDescent="0.25">
      <c r="A3" s="36" t="s">
        <v>3</v>
      </c>
      <c r="B3" s="37"/>
      <c r="C3" s="33" t="s">
        <v>45209</v>
      </c>
      <c r="D3" s="34"/>
      <c r="E3" s="33" t="s">
        <v>45210</v>
      </c>
      <c r="F3" s="34"/>
      <c r="G3" s="33" t="s">
        <v>45211</v>
      </c>
      <c r="H3" s="34"/>
      <c r="I3" s="33" t="s">
        <v>45212</v>
      </c>
      <c r="J3" s="34"/>
      <c r="K3" s="33" t="s">
        <v>45213</v>
      </c>
      <c r="L3" s="34"/>
      <c r="M3" s="33" t="s">
        <v>45214</v>
      </c>
      <c r="N3" s="34"/>
      <c r="O3" s="33" t="s">
        <v>45215</v>
      </c>
      <c r="P3" s="34"/>
      <c r="Q3" s="33" t="s">
        <v>45216</v>
      </c>
      <c r="R3" s="34"/>
    </row>
    <row r="4" spans="1:18" x14ac:dyDescent="0.25">
      <c r="A4" s="38"/>
      <c r="B4" s="39"/>
      <c r="C4" s="4" t="s">
        <v>32</v>
      </c>
      <c r="D4" s="4" t="s">
        <v>33</v>
      </c>
      <c r="E4" s="4" t="s">
        <v>32</v>
      </c>
      <c r="F4" s="4" t="s">
        <v>33</v>
      </c>
      <c r="G4" s="4" t="s">
        <v>32</v>
      </c>
      <c r="H4" s="4" t="s">
        <v>33</v>
      </c>
      <c r="I4" s="4" t="s">
        <v>32</v>
      </c>
      <c r="J4" s="4" t="s">
        <v>33</v>
      </c>
      <c r="K4" s="4" t="s">
        <v>32</v>
      </c>
      <c r="L4" s="4" t="s">
        <v>33</v>
      </c>
      <c r="M4" s="4" t="s">
        <v>32</v>
      </c>
      <c r="N4" s="4" t="s">
        <v>33</v>
      </c>
      <c r="O4" s="4" t="s">
        <v>32</v>
      </c>
      <c r="P4" s="4" t="s">
        <v>33</v>
      </c>
      <c r="Q4" s="4" t="s">
        <v>32</v>
      </c>
      <c r="R4" s="4" t="s">
        <v>33</v>
      </c>
    </row>
    <row r="5" spans="1:18" x14ac:dyDescent="0.25">
      <c r="A5" s="35" t="s">
        <v>4</v>
      </c>
      <c r="B5" s="3" t="s">
        <v>20</v>
      </c>
      <c r="C5" s="2">
        <v>1381</v>
      </c>
      <c r="D5" s="2">
        <v>1318</v>
      </c>
      <c r="E5" s="2">
        <v>690</v>
      </c>
      <c r="F5" s="2">
        <v>1086</v>
      </c>
      <c r="G5" s="2">
        <v>0</v>
      </c>
      <c r="H5" s="2">
        <v>1009</v>
      </c>
      <c r="I5" s="2">
        <v>0</v>
      </c>
      <c r="J5" s="2">
        <v>1053</v>
      </c>
      <c r="K5" s="2">
        <v>258</v>
      </c>
      <c r="L5" s="2">
        <v>1230</v>
      </c>
      <c r="M5" s="2">
        <v>0</v>
      </c>
      <c r="N5" s="2">
        <v>981</v>
      </c>
      <c r="O5" s="2">
        <v>1243</v>
      </c>
      <c r="P5" s="2">
        <v>1254</v>
      </c>
      <c r="Q5" s="2">
        <v>1243</v>
      </c>
      <c r="R5" s="2">
        <v>1249</v>
      </c>
    </row>
    <row r="6" spans="1:18" x14ac:dyDescent="0.25">
      <c r="A6" s="35"/>
      <c r="B6" s="3" t="s">
        <v>27</v>
      </c>
      <c r="C6" s="2">
        <v>763</v>
      </c>
      <c r="D6" s="2">
        <v>797</v>
      </c>
      <c r="E6" s="2">
        <v>381</v>
      </c>
      <c r="F6" s="2">
        <v>729</v>
      </c>
      <c r="G6" s="2">
        <v>381</v>
      </c>
      <c r="H6" s="2">
        <v>695</v>
      </c>
      <c r="I6" s="2">
        <v>0</v>
      </c>
      <c r="J6" s="2">
        <v>719</v>
      </c>
      <c r="K6" s="2">
        <v>156</v>
      </c>
      <c r="L6" s="2">
        <v>763</v>
      </c>
      <c r="M6" s="2">
        <v>218</v>
      </c>
      <c r="N6" s="2">
        <v>682</v>
      </c>
      <c r="O6" s="2">
        <v>687</v>
      </c>
      <c r="P6" s="2">
        <v>771</v>
      </c>
      <c r="Q6" s="2">
        <v>687</v>
      </c>
      <c r="R6" s="2">
        <v>771</v>
      </c>
    </row>
    <row r="7" spans="1:18" x14ac:dyDescent="0.25">
      <c r="A7" s="35" t="s">
        <v>5</v>
      </c>
      <c r="B7" s="3" t="s">
        <v>20</v>
      </c>
      <c r="C7" s="2">
        <v>5357</v>
      </c>
      <c r="D7" s="2">
        <v>4382</v>
      </c>
      <c r="E7" s="2">
        <v>1073</v>
      </c>
      <c r="F7" s="2">
        <v>4069</v>
      </c>
      <c r="G7" s="2">
        <v>0</v>
      </c>
      <c r="H7" s="2">
        <v>3946</v>
      </c>
      <c r="I7" s="2">
        <v>0</v>
      </c>
      <c r="J7" s="2">
        <v>3899</v>
      </c>
      <c r="K7" s="2">
        <v>191</v>
      </c>
      <c r="L7" s="2">
        <v>4013</v>
      </c>
      <c r="M7" s="2">
        <v>0</v>
      </c>
      <c r="N7" s="2">
        <v>3800</v>
      </c>
      <c r="O7" s="2">
        <v>1192</v>
      </c>
      <c r="P7" s="2">
        <v>3915</v>
      </c>
      <c r="Q7" s="2">
        <v>1192</v>
      </c>
      <c r="R7" s="2">
        <v>3999</v>
      </c>
    </row>
    <row r="8" spans="1:18" x14ac:dyDescent="0.25">
      <c r="A8" s="35"/>
      <c r="B8" s="3" t="s">
        <v>27</v>
      </c>
      <c r="C8" s="2">
        <v>2525</v>
      </c>
      <c r="D8" s="2">
        <v>2536</v>
      </c>
      <c r="E8" s="2">
        <v>505</v>
      </c>
      <c r="F8" s="2">
        <v>2472</v>
      </c>
      <c r="G8" s="2">
        <v>630</v>
      </c>
      <c r="H8" s="2">
        <v>2430</v>
      </c>
      <c r="I8" s="2">
        <v>0</v>
      </c>
      <c r="J8" s="2">
        <v>2439</v>
      </c>
      <c r="K8" s="2">
        <v>140</v>
      </c>
      <c r="L8" s="2">
        <v>2458</v>
      </c>
      <c r="M8" s="2">
        <v>66</v>
      </c>
      <c r="N8" s="2">
        <v>2414</v>
      </c>
      <c r="O8" s="2">
        <v>561</v>
      </c>
      <c r="P8" s="2">
        <v>2434</v>
      </c>
      <c r="Q8" s="2">
        <v>561</v>
      </c>
      <c r="R8" s="2">
        <v>2436</v>
      </c>
    </row>
    <row r="9" spans="1:18" x14ac:dyDescent="0.25">
      <c r="A9" s="35" t="s">
        <v>34</v>
      </c>
      <c r="B9" s="3" t="s">
        <v>20</v>
      </c>
      <c r="C9" s="2">
        <v>4</v>
      </c>
      <c r="D9" s="2">
        <v>6</v>
      </c>
      <c r="E9" s="2">
        <v>3</v>
      </c>
      <c r="F9" s="2">
        <v>6</v>
      </c>
      <c r="G9" s="2">
        <v>0</v>
      </c>
      <c r="H9" s="2">
        <v>6</v>
      </c>
      <c r="I9" s="2">
        <v>0</v>
      </c>
      <c r="J9" s="2">
        <v>6</v>
      </c>
      <c r="K9" s="2">
        <v>0</v>
      </c>
      <c r="L9" s="2">
        <v>5</v>
      </c>
      <c r="M9" s="2">
        <v>0</v>
      </c>
      <c r="N9" s="2">
        <v>5</v>
      </c>
      <c r="O9" s="2">
        <v>0</v>
      </c>
      <c r="P9" s="2">
        <v>5</v>
      </c>
      <c r="Q9" s="2">
        <v>0</v>
      </c>
      <c r="R9" s="2">
        <v>5</v>
      </c>
    </row>
    <row r="10" spans="1:18" x14ac:dyDescent="0.25">
      <c r="A10" s="35"/>
      <c r="B10" s="3" t="s">
        <v>27</v>
      </c>
      <c r="C10" s="2">
        <v>7</v>
      </c>
      <c r="D10" s="2">
        <v>6</v>
      </c>
      <c r="E10" s="2">
        <v>7</v>
      </c>
      <c r="F10" s="2">
        <v>6</v>
      </c>
      <c r="G10" s="2">
        <v>6</v>
      </c>
      <c r="H10" s="2">
        <v>6</v>
      </c>
      <c r="I10" s="2">
        <v>0</v>
      </c>
      <c r="J10" s="2">
        <v>6</v>
      </c>
      <c r="K10" s="2">
        <v>0</v>
      </c>
      <c r="L10" s="2">
        <v>5</v>
      </c>
      <c r="M10" s="2">
        <v>6</v>
      </c>
      <c r="N10" s="2">
        <v>5</v>
      </c>
      <c r="O10" s="2">
        <v>0</v>
      </c>
      <c r="P10" s="2">
        <v>5</v>
      </c>
      <c r="Q10" s="2">
        <v>0</v>
      </c>
      <c r="R10" s="2">
        <v>5</v>
      </c>
    </row>
    <row r="11" spans="1:18" x14ac:dyDescent="0.25">
      <c r="A11" s="35" t="s">
        <v>9</v>
      </c>
      <c r="B11" s="3" t="s">
        <v>20</v>
      </c>
      <c r="C11" s="2">
        <v>37</v>
      </c>
      <c r="D11" s="2">
        <v>37</v>
      </c>
      <c r="E11" s="2">
        <v>0</v>
      </c>
      <c r="F11" s="2">
        <v>19</v>
      </c>
      <c r="G11" s="2">
        <v>0</v>
      </c>
      <c r="H11" s="2">
        <v>15</v>
      </c>
      <c r="I11" s="2">
        <v>0</v>
      </c>
      <c r="J11" s="2">
        <v>18</v>
      </c>
      <c r="K11" s="2">
        <v>8</v>
      </c>
      <c r="L11" s="2">
        <v>27</v>
      </c>
      <c r="M11" s="2">
        <v>0</v>
      </c>
      <c r="N11" s="2">
        <v>15</v>
      </c>
      <c r="O11" s="2">
        <v>7</v>
      </c>
      <c r="P11" s="2">
        <v>18</v>
      </c>
      <c r="Q11" s="2">
        <v>7</v>
      </c>
      <c r="R11" s="2">
        <v>17</v>
      </c>
    </row>
    <row r="12" spans="1:18" x14ac:dyDescent="0.25">
      <c r="A12" s="35"/>
      <c r="B12" s="3" t="s">
        <v>27</v>
      </c>
      <c r="C12" s="2">
        <v>36</v>
      </c>
      <c r="D12" s="2">
        <v>33</v>
      </c>
      <c r="E12" s="2">
        <v>0</v>
      </c>
      <c r="F12" s="2">
        <v>17</v>
      </c>
      <c r="G12" s="2">
        <v>0</v>
      </c>
      <c r="H12" s="2">
        <v>15</v>
      </c>
      <c r="I12" s="2">
        <v>0</v>
      </c>
      <c r="J12" s="2">
        <v>17</v>
      </c>
      <c r="K12" s="2">
        <v>9</v>
      </c>
      <c r="L12" s="2">
        <v>26</v>
      </c>
      <c r="M12" s="2">
        <v>8</v>
      </c>
      <c r="N12" s="2">
        <v>15</v>
      </c>
      <c r="O12" s="2">
        <v>6</v>
      </c>
      <c r="P12" s="2">
        <v>17</v>
      </c>
      <c r="Q12" s="2">
        <v>6</v>
      </c>
      <c r="R12" s="2">
        <v>15</v>
      </c>
    </row>
    <row r="13" spans="1:18" x14ac:dyDescent="0.25">
      <c r="A13" s="35" t="s">
        <v>35</v>
      </c>
      <c r="B13" s="3" t="s">
        <v>20</v>
      </c>
      <c r="C13" s="2">
        <v>36</v>
      </c>
      <c r="D13" s="2">
        <v>33</v>
      </c>
      <c r="E13" s="2">
        <v>32</v>
      </c>
      <c r="F13" s="2">
        <v>22</v>
      </c>
      <c r="G13" s="2">
        <v>0</v>
      </c>
      <c r="H13" s="2">
        <v>11</v>
      </c>
      <c r="I13" s="2">
        <v>0</v>
      </c>
      <c r="J13" s="2">
        <v>20</v>
      </c>
      <c r="K13" s="2">
        <v>0</v>
      </c>
      <c r="L13" s="2">
        <v>21</v>
      </c>
      <c r="M13" s="2">
        <v>0</v>
      </c>
      <c r="N13" s="2">
        <v>16</v>
      </c>
      <c r="O13" s="2">
        <v>14</v>
      </c>
      <c r="P13" s="2">
        <v>11</v>
      </c>
      <c r="Q13" s="2">
        <v>14</v>
      </c>
      <c r="R13" s="2">
        <v>12</v>
      </c>
    </row>
    <row r="14" spans="1:18" x14ac:dyDescent="0.25">
      <c r="A14" s="35"/>
      <c r="B14" s="3" t="s">
        <v>27</v>
      </c>
      <c r="C14" s="2">
        <v>20</v>
      </c>
      <c r="D14" s="2">
        <v>18</v>
      </c>
      <c r="E14" s="2">
        <v>19</v>
      </c>
      <c r="F14" s="2">
        <v>10</v>
      </c>
      <c r="G14" s="2">
        <v>0</v>
      </c>
      <c r="H14" s="2">
        <v>6</v>
      </c>
      <c r="I14" s="2">
        <v>0</v>
      </c>
      <c r="J14" s="2">
        <v>10</v>
      </c>
      <c r="K14" s="2">
        <v>0</v>
      </c>
      <c r="L14" s="2">
        <v>12</v>
      </c>
      <c r="M14" s="2">
        <v>0</v>
      </c>
      <c r="N14" s="2">
        <v>8</v>
      </c>
      <c r="O14" s="2">
        <v>8</v>
      </c>
      <c r="P14" s="2">
        <v>4</v>
      </c>
      <c r="Q14" s="2">
        <v>8</v>
      </c>
      <c r="R14" s="2">
        <v>4</v>
      </c>
    </row>
    <row r="15" spans="1:18" x14ac:dyDescent="0.25">
      <c r="A15" s="35" t="s">
        <v>10</v>
      </c>
      <c r="B15" s="3" t="s">
        <v>20</v>
      </c>
      <c r="C15" s="2">
        <v>336</v>
      </c>
      <c r="D15" s="2">
        <v>49</v>
      </c>
      <c r="E15" s="2">
        <v>0</v>
      </c>
      <c r="F15" s="2">
        <v>26</v>
      </c>
      <c r="G15" s="2">
        <v>0</v>
      </c>
      <c r="H15" s="2">
        <v>10</v>
      </c>
      <c r="I15" s="2">
        <v>0</v>
      </c>
      <c r="J15" s="2">
        <v>23</v>
      </c>
      <c r="K15" s="2">
        <v>24</v>
      </c>
      <c r="L15" s="2">
        <v>37</v>
      </c>
      <c r="M15" s="2">
        <v>0</v>
      </c>
      <c r="N15" s="2">
        <v>24</v>
      </c>
      <c r="O15" s="2">
        <v>95</v>
      </c>
      <c r="P15" s="2">
        <v>12</v>
      </c>
      <c r="Q15" s="2">
        <v>166</v>
      </c>
      <c r="R15" s="2">
        <v>12</v>
      </c>
    </row>
    <row r="16" spans="1:18" x14ac:dyDescent="0.25">
      <c r="A16" s="35"/>
      <c r="B16" s="3" t="s">
        <v>27</v>
      </c>
      <c r="C16" s="2">
        <v>166</v>
      </c>
      <c r="D16" s="2">
        <v>41</v>
      </c>
      <c r="E16" s="2">
        <v>0</v>
      </c>
      <c r="F16" s="2">
        <v>20</v>
      </c>
      <c r="G16" s="2">
        <v>82</v>
      </c>
      <c r="H16" s="2">
        <v>9</v>
      </c>
      <c r="I16" s="2">
        <v>0</v>
      </c>
      <c r="J16" s="2">
        <v>18</v>
      </c>
      <c r="K16" s="2">
        <v>19</v>
      </c>
      <c r="L16" s="2">
        <v>29</v>
      </c>
      <c r="M16" s="2">
        <v>13</v>
      </c>
      <c r="N16" s="2">
        <v>19</v>
      </c>
      <c r="O16" s="2">
        <v>46</v>
      </c>
      <c r="P16" s="2">
        <v>11</v>
      </c>
      <c r="Q16" s="2">
        <v>81</v>
      </c>
      <c r="R16" s="2">
        <v>11</v>
      </c>
    </row>
    <row r="17" spans="1:18" x14ac:dyDescent="0.25">
      <c r="A17" s="35" t="s">
        <v>11</v>
      </c>
      <c r="B17" s="3" t="s">
        <v>20</v>
      </c>
      <c r="C17" s="2">
        <v>29</v>
      </c>
      <c r="D17" s="2">
        <v>31</v>
      </c>
      <c r="E17" s="2">
        <v>0</v>
      </c>
      <c r="F17" s="2">
        <v>12</v>
      </c>
      <c r="G17" s="2">
        <v>0</v>
      </c>
      <c r="H17" s="2">
        <v>7</v>
      </c>
      <c r="I17" s="2">
        <v>0</v>
      </c>
      <c r="J17" s="2">
        <v>12</v>
      </c>
      <c r="K17" s="2">
        <v>8</v>
      </c>
      <c r="L17" s="2">
        <v>21</v>
      </c>
      <c r="M17" s="2">
        <v>0</v>
      </c>
      <c r="N17" s="2">
        <v>15</v>
      </c>
      <c r="O17" s="2">
        <v>2</v>
      </c>
      <c r="P17" s="2">
        <v>7</v>
      </c>
      <c r="Q17" s="2">
        <v>8</v>
      </c>
      <c r="R17" s="2">
        <v>6</v>
      </c>
    </row>
    <row r="18" spans="1:18" x14ac:dyDescent="0.25">
      <c r="A18" s="35"/>
      <c r="B18" s="3" t="s">
        <v>27</v>
      </c>
      <c r="C18" s="2">
        <v>34</v>
      </c>
      <c r="D18" s="2">
        <v>30</v>
      </c>
      <c r="E18" s="2">
        <v>0</v>
      </c>
      <c r="F18" s="2">
        <v>11</v>
      </c>
      <c r="G18" s="2">
        <v>0</v>
      </c>
      <c r="H18" s="2">
        <v>7</v>
      </c>
      <c r="I18" s="2">
        <v>0</v>
      </c>
      <c r="J18" s="2">
        <v>11</v>
      </c>
      <c r="K18" s="2">
        <v>9</v>
      </c>
      <c r="L18" s="2">
        <v>20</v>
      </c>
      <c r="M18" s="2">
        <v>6</v>
      </c>
      <c r="N18" s="2">
        <v>14</v>
      </c>
      <c r="O18" s="2">
        <v>2</v>
      </c>
      <c r="P18" s="2">
        <v>7</v>
      </c>
      <c r="Q18" s="2">
        <v>9</v>
      </c>
      <c r="R18" s="2">
        <v>6</v>
      </c>
    </row>
    <row r="19" spans="1:18" x14ac:dyDescent="0.25">
      <c r="A19" s="35" t="s">
        <v>15</v>
      </c>
      <c r="B19" s="3" t="s">
        <v>20</v>
      </c>
      <c r="C19" s="2">
        <v>31</v>
      </c>
      <c r="D19" s="2">
        <v>28</v>
      </c>
      <c r="E19" s="2">
        <v>0</v>
      </c>
      <c r="F19" s="2">
        <v>24</v>
      </c>
      <c r="G19" s="2">
        <v>0</v>
      </c>
      <c r="H19" s="2">
        <v>7</v>
      </c>
      <c r="I19" s="2">
        <v>0</v>
      </c>
      <c r="J19" s="2">
        <v>6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9</v>
      </c>
      <c r="Q19" s="2">
        <v>0</v>
      </c>
      <c r="R19" s="2">
        <v>10</v>
      </c>
    </row>
    <row r="20" spans="1:18" x14ac:dyDescent="0.25">
      <c r="A20" s="35"/>
      <c r="B20" s="3" t="s">
        <v>27</v>
      </c>
      <c r="C20" s="2">
        <v>33</v>
      </c>
      <c r="D20" s="2">
        <v>28</v>
      </c>
      <c r="E20" s="2">
        <v>0</v>
      </c>
      <c r="F20" s="2">
        <v>24</v>
      </c>
      <c r="G20" s="2">
        <v>8</v>
      </c>
      <c r="H20" s="2">
        <v>7</v>
      </c>
      <c r="I20" s="2">
        <v>0</v>
      </c>
      <c r="J20" s="2">
        <v>6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9</v>
      </c>
      <c r="Q20" s="2">
        <v>0</v>
      </c>
      <c r="R20" s="2">
        <v>10</v>
      </c>
    </row>
    <row r="21" spans="1:18" x14ac:dyDescent="0.25">
      <c r="A21" s="35" t="s">
        <v>16</v>
      </c>
      <c r="B21" s="3" t="s">
        <v>20</v>
      </c>
      <c r="C21" s="2">
        <v>26</v>
      </c>
      <c r="D21" s="2">
        <v>8</v>
      </c>
      <c r="E21" s="2">
        <v>0</v>
      </c>
      <c r="F21" s="2">
        <v>5</v>
      </c>
      <c r="G21" s="2">
        <v>0</v>
      </c>
      <c r="H21" s="2">
        <v>5</v>
      </c>
      <c r="I21" s="2">
        <v>0</v>
      </c>
      <c r="J21" s="2">
        <v>4</v>
      </c>
      <c r="K21" s="2">
        <v>0</v>
      </c>
      <c r="L21" s="2">
        <v>4</v>
      </c>
      <c r="M21" s="2">
        <v>0</v>
      </c>
      <c r="N21" s="2">
        <v>8</v>
      </c>
      <c r="O21" s="2">
        <v>9</v>
      </c>
      <c r="P21" s="2">
        <v>5</v>
      </c>
      <c r="Q21" s="2">
        <v>14</v>
      </c>
      <c r="R21" s="2">
        <v>8</v>
      </c>
    </row>
    <row r="22" spans="1:18" x14ac:dyDescent="0.25">
      <c r="A22" s="35"/>
      <c r="B22" s="3" t="s">
        <v>27</v>
      </c>
      <c r="C22" s="2">
        <v>11</v>
      </c>
      <c r="D22" s="2">
        <v>7</v>
      </c>
      <c r="E22" s="2">
        <v>0</v>
      </c>
      <c r="F22" s="2">
        <v>4</v>
      </c>
      <c r="G22" s="2">
        <v>5</v>
      </c>
      <c r="H22" s="2">
        <v>4</v>
      </c>
      <c r="I22" s="2">
        <v>0</v>
      </c>
      <c r="J22" s="2">
        <v>4</v>
      </c>
      <c r="K22" s="2">
        <v>0</v>
      </c>
      <c r="L22" s="2">
        <v>4</v>
      </c>
      <c r="M22" s="2">
        <v>4</v>
      </c>
      <c r="N22" s="2">
        <v>7</v>
      </c>
      <c r="O22" s="2">
        <v>3</v>
      </c>
      <c r="P22" s="2">
        <v>4</v>
      </c>
      <c r="Q22" s="2">
        <v>5</v>
      </c>
      <c r="R22" s="2">
        <v>7</v>
      </c>
    </row>
    <row r="23" spans="1:18" x14ac:dyDescent="0.25">
      <c r="A23" s="35" t="s">
        <v>17</v>
      </c>
      <c r="B23" s="3" t="s">
        <v>20</v>
      </c>
      <c r="C23" s="2">
        <v>3</v>
      </c>
      <c r="D23" s="2">
        <v>6</v>
      </c>
      <c r="E23" s="2">
        <v>0</v>
      </c>
      <c r="F23" s="2">
        <v>5</v>
      </c>
      <c r="G23" s="2">
        <v>0</v>
      </c>
      <c r="H23" s="2">
        <v>5</v>
      </c>
      <c r="I23" s="2">
        <v>0</v>
      </c>
      <c r="J23" s="2">
        <v>5</v>
      </c>
      <c r="K23" s="2">
        <v>0</v>
      </c>
      <c r="L23" s="2">
        <v>1</v>
      </c>
      <c r="M23" s="2">
        <v>0</v>
      </c>
      <c r="N23" s="2">
        <v>1</v>
      </c>
      <c r="O23" s="2">
        <v>0</v>
      </c>
      <c r="P23" s="2">
        <v>2</v>
      </c>
      <c r="Q23" s="2">
        <v>0</v>
      </c>
      <c r="R23" s="2">
        <v>2</v>
      </c>
    </row>
    <row r="24" spans="1:18" x14ac:dyDescent="0.25">
      <c r="A24" s="35"/>
      <c r="B24" s="3" t="s">
        <v>27</v>
      </c>
      <c r="C24" s="2">
        <v>1</v>
      </c>
      <c r="D24" s="2">
        <v>5</v>
      </c>
      <c r="E24" s="2">
        <v>0</v>
      </c>
      <c r="F24" s="2">
        <v>4</v>
      </c>
      <c r="G24" s="2">
        <v>0</v>
      </c>
      <c r="H24" s="2">
        <v>4</v>
      </c>
      <c r="I24" s="2">
        <v>0</v>
      </c>
      <c r="J24" s="2">
        <v>4</v>
      </c>
      <c r="K24" s="2">
        <v>0</v>
      </c>
      <c r="L24" s="2">
        <v>1</v>
      </c>
      <c r="M24" s="2">
        <v>0</v>
      </c>
      <c r="N24" s="2">
        <v>1</v>
      </c>
      <c r="O24" s="2">
        <v>0</v>
      </c>
      <c r="P24" s="2">
        <v>2</v>
      </c>
      <c r="Q24" s="2">
        <v>0</v>
      </c>
      <c r="R24" s="2">
        <v>2</v>
      </c>
    </row>
    <row r="25" spans="1:18" x14ac:dyDescent="0.25">
      <c r="A25" s="35" t="s">
        <v>36</v>
      </c>
      <c r="B25" s="3" t="s">
        <v>20</v>
      </c>
      <c r="C25" s="2">
        <v>30</v>
      </c>
      <c r="D25" s="2">
        <v>35</v>
      </c>
      <c r="E25" s="2">
        <v>10</v>
      </c>
      <c r="F25" s="2">
        <v>14</v>
      </c>
      <c r="G25" s="2">
        <v>0</v>
      </c>
      <c r="H25" s="2">
        <v>9</v>
      </c>
      <c r="I25" s="2">
        <v>0</v>
      </c>
      <c r="J25" s="2">
        <v>9</v>
      </c>
      <c r="K25" s="2">
        <v>10</v>
      </c>
      <c r="L25" s="2">
        <v>10</v>
      </c>
      <c r="M25" s="2">
        <v>0</v>
      </c>
      <c r="N25" s="2">
        <v>18</v>
      </c>
      <c r="O25" s="2">
        <v>3</v>
      </c>
      <c r="P25" s="2">
        <v>8</v>
      </c>
      <c r="Q25" s="2">
        <v>3</v>
      </c>
      <c r="R25" s="2">
        <v>7</v>
      </c>
    </row>
    <row r="26" spans="1:18" x14ac:dyDescent="0.25">
      <c r="A26" s="35"/>
      <c r="B26" s="3" t="s">
        <v>27</v>
      </c>
      <c r="C26" s="2">
        <v>0</v>
      </c>
      <c r="D26" s="2">
        <v>1</v>
      </c>
      <c r="E26" s="2">
        <v>0</v>
      </c>
      <c r="F26" s="2">
        <v>1</v>
      </c>
      <c r="G26" s="2">
        <v>0</v>
      </c>
      <c r="H26" s="2">
        <v>1</v>
      </c>
      <c r="I26" s="2">
        <v>0</v>
      </c>
      <c r="J26" s="2">
        <v>1</v>
      </c>
      <c r="K26" s="2">
        <v>0</v>
      </c>
      <c r="L26" s="2">
        <v>1</v>
      </c>
      <c r="M26" s="2">
        <v>0</v>
      </c>
      <c r="N26" s="2">
        <v>1</v>
      </c>
      <c r="O26" s="2">
        <v>0</v>
      </c>
      <c r="P26" s="2">
        <v>1</v>
      </c>
      <c r="Q26" s="2">
        <v>0</v>
      </c>
      <c r="R26" s="2">
        <v>1</v>
      </c>
    </row>
    <row r="27" spans="1:18" x14ac:dyDescent="0.25">
      <c r="A27" s="35" t="s">
        <v>37</v>
      </c>
      <c r="B27" s="3" t="s">
        <v>20</v>
      </c>
      <c r="C27" s="2">
        <v>3296</v>
      </c>
      <c r="D27" s="2">
        <v>142</v>
      </c>
      <c r="E27" s="2">
        <v>824</v>
      </c>
      <c r="F27" s="2">
        <v>101</v>
      </c>
      <c r="G27" s="2">
        <v>0</v>
      </c>
      <c r="H27" s="2">
        <v>49</v>
      </c>
      <c r="I27" s="2">
        <v>0</v>
      </c>
      <c r="J27" s="2">
        <v>54</v>
      </c>
      <c r="K27" s="2">
        <v>6</v>
      </c>
      <c r="L27" s="2">
        <v>74</v>
      </c>
      <c r="M27" s="2">
        <v>0</v>
      </c>
      <c r="N27" s="2">
        <v>39</v>
      </c>
      <c r="O27" s="2">
        <v>329</v>
      </c>
      <c r="P27" s="2">
        <v>49</v>
      </c>
      <c r="Q27" s="2">
        <v>329</v>
      </c>
      <c r="R27" s="2">
        <v>65</v>
      </c>
    </row>
    <row r="28" spans="1:18" x14ac:dyDescent="0.25">
      <c r="A28" s="35"/>
      <c r="B28" s="3" t="s">
        <v>27</v>
      </c>
      <c r="C28" s="2">
        <v>1954</v>
      </c>
      <c r="D28" s="2">
        <v>100</v>
      </c>
      <c r="E28" s="2">
        <v>486</v>
      </c>
      <c r="F28" s="2">
        <v>66</v>
      </c>
      <c r="G28" s="2">
        <v>291</v>
      </c>
      <c r="H28" s="2">
        <v>38</v>
      </c>
      <c r="I28" s="2">
        <v>0</v>
      </c>
      <c r="J28" s="2">
        <v>42</v>
      </c>
      <c r="K28" s="2">
        <v>0</v>
      </c>
      <c r="L28" s="2">
        <v>48</v>
      </c>
      <c r="M28" s="2">
        <v>138</v>
      </c>
      <c r="N28" s="2">
        <v>30</v>
      </c>
      <c r="O28" s="2">
        <v>194</v>
      </c>
      <c r="P28" s="2">
        <v>39</v>
      </c>
      <c r="Q28" s="2">
        <v>194</v>
      </c>
      <c r="R28" s="2">
        <v>39</v>
      </c>
    </row>
  </sheetData>
  <mergeCells count="21">
    <mergeCell ref="A23:A24"/>
    <mergeCell ref="A25:A26"/>
    <mergeCell ref="A27:A28"/>
    <mergeCell ref="A3:B4"/>
    <mergeCell ref="A11:A12"/>
    <mergeCell ref="A13:A14"/>
    <mergeCell ref="A15:A16"/>
    <mergeCell ref="A17:A18"/>
    <mergeCell ref="A19:A20"/>
    <mergeCell ref="A21:A22"/>
    <mergeCell ref="A9:A10"/>
    <mergeCell ref="O3:P3"/>
    <mergeCell ref="Q3:R3"/>
    <mergeCell ref="A5:A6"/>
    <mergeCell ref="A7:A8"/>
    <mergeCell ref="C3:D3"/>
    <mergeCell ref="E3:F3"/>
    <mergeCell ref="G3:H3"/>
    <mergeCell ref="I3:J3"/>
    <mergeCell ref="K3:L3"/>
    <mergeCell ref="M3:N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1212"/>
  <sheetViews>
    <sheetView workbookViewId="0"/>
  </sheetViews>
  <sheetFormatPr defaultRowHeight="15" x14ac:dyDescent="0.25"/>
  <cols>
    <col min="1" max="1" width="20.140625" customWidth="1"/>
    <col min="11" max="11" width="15.28515625" customWidth="1"/>
  </cols>
  <sheetData>
    <row r="1" spans="1:35" x14ac:dyDescent="0.25">
      <c r="A1" t="s">
        <v>43</v>
      </c>
      <c r="B1" t="s">
        <v>44</v>
      </c>
      <c r="C1" t="s">
        <v>40</v>
      </c>
      <c r="D1" t="s">
        <v>41</v>
      </c>
      <c r="E1" t="s">
        <v>42</v>
      </c>
      <c r="F1" t="s">
        <v>45</v>
      </c>
      <c r="G1" t="s">
        <v>46</v>
      </c>
      <c r="H1" t="s">
        <v>47</v>
      </c>
      <c r="I1" t="s">
        <v>48</v>
      </c>
      <c r="J1" t="s">
        <v>49</v>
      </c>
      <c r="K1" t="s">
        <v>50</v>
      </c>
      <c r="L1" t="s">
        <v>51</v>
      </c>
      <c r="M1" t="s">
        <v>27</v>
      </c>
      <c r="N1" t="s">
        <v>52</v>
      </c>
      <c r="O1" t="s">
        <v>53</v>
      </c>
      <c r="P1" t="s">
        <v>54</v>
      </c>
      <c r="Q1" t="s">
        <v>55</v>
      </c>
      <c r="R1" t="s">
        <v>56</v>
      </c>
      <c r="S1" t="s">
        <v>57</v>
      </c>
      <c r="T1" t="s">
        <v>58</v>
      </c>
      <c r="U1" t="s">
        <v>59</v>
      </c>
      <c r="V1" t="s">
        <v>60</v>
      </c>
      <c r="W1" t="s">
        <v>61</v>
      </c>
      <c r="X1" t="s">
        <v>62</v>
      </c>
      <c r="Y1" t="s">
        <v>63</v>
      </c>
      <c r="Z1" t="s">
        <v>64</v>
      </c>
      <c r="AA1" t="s">
        <v>65</v>
      </c>
      <c r="AB1" t="s">
        <v>66</v>
      </c>
      <c r="AC1" t="s">
        <v>67</v>
      </c>
      <c r="AD1" t="s">
        <v>68</v>
      </c>
      <c r="AE1" t="s">
        <v>69</v>
      </c>
      <c r="AF1" t="s">
        <v>70</v>
      </c>
      <c r="AG1" t="s">
        <v>71</v>
      </c>
      <c r="AH1" t="s">
        <v>72</v>
      </c>
      <c r="AI1" t="s">
        <v>73</v>
      </c>
    </row>
    <row r="2" spans="1:35" x14ac:dyDescent="0.25">
      <c r="A2" t="str">
        <f>"1578544995"</f>
        <v>1578544995</v>
      </c>
      <c r="B2" t="str">
        <f>"02419845"</f>
        <v>02419845</v>
      </c>
      <c r="C2" t="s">
        <v>6271</v>
      </c>
      <c r="D2" t="s">
        <v>5768</v>
      </c>
      <c r="E2" t="s">
        <v>5769</v>
      </c>
      <c r="G2" t="s">
        <v>6272</v>
      </c>
      <c r="H2" t="s">
        <v>6273</v>
      </c>
      <c r="I2">
        <v>419</v>
      </c>
      <c r="J2" t="s">
        <v>6274</v>
      </c>
      <c r="L2" t="s">
        <v>83</v>
      </c>
      <c r="M2" t="s">
        <v>75</v>
      </c>
      <c r="R2" t="s">
        <v>5770</v>
      </c>
      <c r="W2" t="s">
        <v>5769</v>
      </c>
      <c r="X2" t="s">
        <v>5771</v>
      </c>
      <c r="Y2" t="s">
        <v>97</v>
      </c>
      <c r="Z2" t="s">
        <v>77</v>
      </c>
      <c r="AA2" t="str">
        <f>"10003-3314"</f>
        <v>10003-3314</v>
      </c>
      <c r="AB2" t="s">
        <v>78</v>
      </c>
      <c r="AC2" t="s">
        <v>79</v>
      </c>
      <c r="AD2" t="s">
        <v>75</v>
      </c>
      <c r="AE2" t="s">
        <v>80</v>
      </c>
      <c r="AG2" t="s">
        <v>81</v>
      </c>
    </row>
    <row r="3" spans="1:35" x14ac:dyDescent="0.25">
      <c r="A3" t="str">
        <f>"1356588420"</f>
        <v>1356588420</v>
      </c>
      <c r="B3" t="str">
        <f>"03233263"</f>
        <v>03233263</v>
      </c>
      <c r="C3" t="s">
        <v>6275</v>
      </c>
      <c r="D3" t="s">
        <v>6276</v>
      </c>
      <c r="E3" t="s">
        <v>6277</v>
      </c>
      <c r="G3" t="s">
        <v>6278</v>
      </c>
      <c r="H3" t="s">
        <v>6279</v>
      </c>
      <c r="J3" t="s">
        <v>6280</v>
      </c>
      <c r="L3" t="s">
        <v>83</v>
      </c>
      <c r="M3" t="s">
        <v>85</v>
      </c>
      <c r="R3" t="s">
        <v>6281</v>
      </c>
      <c r="W3" t="s">
        <v>6277</v>
      </c>
      <c r="X3" t="s">
        <v>181</v>
      </c>
      <c r="Y3" t="s">
        <v>97</v>
      </c>
      <c r="Z3" t="s">
        <v>77</v>
      </c>
      <c r="AA3" t="str">
        <f>"10025-1716"</f>
        <v>10025-1716</v>
      </c>
      <c r="AB3" t="s">
        <v>78</v>
      </c>
      <c r="AC3" t="s">
        <v>79</v>
      </c>
      <c r="AD3" t="s">
        <v>75</v>
      </c>
      <c r="AE3" t="s">
        <v>80</v>
      </c>
      <c r="AG3" t="s">
        <v>81</v>
      </c>
    </row>
    <row r="4" spans="1:35" x14ac:dyDescent="0.25">
      <c r="A4" t="str">
        <f>"1386051753"</f>
        <v>1386051753</v>
      </c>
      <c r="B4" t="str">
        <f>"03975679"</f>
        <v>03975679</v>
      </c>
      <c r="C4" t="s">
        <v>6282</v>
      </c>
      <c r="D4" t="s">
        <v>4917</v>
      </c>
      <c r="E4" t="s">
        <v>4918</v>
      </c>
      <c r="G4" t="s">
        <v>6283</v>
      </c>
      <c r="H4" t="s">
        <v>4075</v>
      </c>
      <c r="I4">
        <v>249</v>
      </c>
      <c r="J4" t="s">
        <v>4076</v>
      </c>
      <c r="L4" t="s">
        <v>102</v>
      </c>
      <c r="M4" t="s">
        <v>75</v>
      </c>
      <c r="R4" t="s">
        <v>4919</v>
      </c>
      <c r="W4" t="s">
        <v>4918</v>
      </c>
      <c r="X4" t="s">
        <v>4082</v>
      </c>
      <c r="Y4" t="s">
        <v>91</v>
      </c>
      <c r="Z4" t="s">
        <v>77</v>
      </c>
      <c r="AA4" t="str">
        <f>"11373-4400"</f>
        <v>11373-4400</v>
      </c>
      <c r="AB4" t="s">
        <v>82</v>
      </c>
      <c r="AC4" t="s">
        <v>79</v>
      </c>
      <c r="AD4" t="s">
        <v>75</v>
      </c>
      <c r="AE4" t="s">
        <v>80</v>
      </c>
      <c r="AG4" t="s">
        <v>81</v>
      </c>
    </row>
    <row r="5" spans="1:35" x14ac:dyDescent="0.25">
      <c r="A5" t="str">
        <f>"1134191562"</f>
        <v>1134191562</v>
      </c>
      <c r="B5" t="str">
        <f>"01182998"</f>
        <v>01182998</v>
      </c>
      <c r="C5" t="s">
        <v>6284</v>
      </c>
      <c r="D5" t="s">
        <v>6285</v>
      </c>
      <c r="E5" t="s">
        <v>6286</v>
      </c>
      <c r="G5" t="s">
        <v>6278</v>
      </c>
      <c r="H5" t="s">
        <v>6279</v>
      </c>
      <c r="J5" t="s">
        <v>6280</v>
      </c>
      <c r="L5" t="s">
        <v>105</v>
      </c>
      <c r="M5" t="s">
        <v>85</v>
      </c>
      <c r="R5" t="s">
        <v>6287</v>
      </c>
      <c r="W5" t="s">
        <v>6286</v>
      </c>
      <c r="X5" t="s">
        <v>6288</v>
      </c>
      <c r="Y5" t="s">
        <v>97</v>
      </c>
      <c r="Z5" t="s">
        <v>77</v>
      </c>
      <c r="AA5" t="str">
        <f>"10003-8960"</f>
        <v>10003-8960</v>
      </c>
      <c r="AB5" t="s">
        <v>78</v>
      </c>
      <c r="AC5" t="s">
        <v>79</v>
      </c>
      <c r="AD5" t="s">
        <v>75</v>
      </c>
      <c r="AE5" t="s">
        <v>80</v>
      </c>
      <c r="AG5" t="s">
        <v>81</v>
      </c>
    </row>
    <row r="6" spans="1:35" x14ac:dyDescent="0.25">
      <c r="A6" t="str">
        <f>"1922254275"</f>
        <v>1922254275</v>
      </c>
      <c r="B6" t="str">
        <f>"03139640"</f>
        <v>03139640</v>
      </c>
      <c r="C6" t="s">
        <v>6289</v>
      </c>
      <c r="D6" t="s">
        <v>6290</v>
      </c>
      <c r="E6" t="s">
        <v>6291</v>
      </c>
      <c r="G6" t="s">
        <v>6278</v>
      </c>
      <c r="H6" t="s">
        <v>6279</v>
      </c>
      <c r="J6" t="s">
        <v>6280</v>
      </c>
      <c r="L6" t="s">
        <v>83</v>
      </c>
      <c r="M6" t="s">
        <v>85</v>
      </c>
      <c r="R6" t="s">
        <v>6292</v>
      </c>
      <c r="W6" t="s">
        <v>6293</v>
      </c>
      <c r="X6" t="s">
        <v>6294</v>
      </c>
      <c r="Y6" t="s">
        <v>182</v>
      </c>
      <c r="Z6" t="s">
        <v>77</v>
      </c>
      <c r="AA6" t="str">
        <f>"11501-2333"</f>
        <v>11501-2333</v>
      </c>
      <c r="AB6" t="s">
        <v>78</v>
      </c>
      <c r="AC6" t="s">
        <v>79</v>
      </c>
      <c r="AD6" t="s">
        <v>75</v>
      </c>
      <c r="AE6" t="s">
        <v>80</v>
      </c>
      <c r="AG6" t="s">
        <v>81</v>
      </c>
    </row>
    <row r="7" spans="1:35" x14ac:dyDescent="0.25">
      <c r="A7" t="str">
        <f>"1639490618"</f>
        <v>1639490618</v>
      </c>
      <c r="B7" t="str">
        <f>"03916194"</f>
        <v>03916194</v>
      </c>
      <c r="C7" t="s">
        <v>6295</v>
      </c>
      <c r="D7" t="s">
        <v>3061</v>
      </c>
      <c r="E7" t="s">
        <v>3062</v>
      </c>
      <c r="H7" t="s">
        <v>626</v>
      </c>
      <c r="I7">
        <v>6213</v>
      </c>
      <c r="J7" t="s">
        <v>3063</v>
      </c>
      <c r="L7" t="s">
        <v>105</v>
      </c>
      <c r="M7" t="s">
        <v>75</v>
      </c>
      <c r="R7" t="s">
        <v>3062</v>
      </c>
      <c r="W7" t="s">
        <v>3062</v>
      </c>
      <c r="X7" t="s">
        <v>3064</v>
      </c>
      <c r="Y7" t="s">
        <v>87</v>
      </c>
      <c r="Z7" t="s">
        <v>77</v>
      </c>
      <c r="AA7" t="str">
        <f>"11216-3903"</f>
        <v>11216-3903</v>
      </c>
      <c r="AB7" t="s">
        <v>78</v>
      </c>
      <c r="AC7" t="s">
        <v>79</v>
      </c>
      <c r="AD7" t="s">
        <v>75</v>
      </c>
      <c r="AE7" t="s">
        <v>80</v>
      </c>
      <c r="AG7" t="s">
        <v>81</v>
      </c>
    </row>
    <row r="8" spans="1:35" x14ac:dyDescent="0.25">
      <c r="A8" t="str">
        <f>"1780094920"</f>
        <v>1780094920</v>
      </c>
      <c r="B8" t="str">
        <f>"03923888"</f>
        <v>03923888</v>
      </c>
      <c r="C8" t="s">
        <v>6296</v>
      </c>
      <c r="D8" t="s">
        <v>3321</v>
      </c>
      <c r="E8" t="s">
        <v>3322</v>
      </c>
      <c r="H8" t="s">
        <v>626</v>
      </c>
      <c r="I8">
        <v>3319</v>
      </c>
      <c r="J8" t="s">
        <v>3323</v>
      </c>
      <c r="L8" t="s">
        <v>74</v>
      </c>
      <c r="M8" t="s">
        <v>75</v>
      </c>
      <c r="R8" t="s">
        <v>3324</v>
      </c>
      <c r="W8" t="s">
        <v>3322</v>
      </c>
      <c r="X8" t="s">
        <v>3064</v>
      </c>
      <c r="Y8" t="s">
        <v>87</v>
      </c>
      <c r="Z8" t="s">
        <v>77</v>
      </c>
      <c r="AA8" t="str">
        <f>"11216-3903"</f>
        <v>11216-3903</v>
      </c>
      <c r="AB8" t="s">
        <v>78</v>
      </c>
      <c r="AC8" t="s">
        <v>79</v>
      </c>
      <c r="AD8" t="s">
        <v>75</v>
      </c>
      <c r="AE8" t="s">
        <v>80</v>
      </c>
      <c r="AG8" t="s">
        <v>81</v>
      </c>
    </row>
    <row r="9" spans="1:35" x14ac:dyDescent="0.25">
      <c r="A9" t="str">
        <f>"1316138159"</f>
        <v>1316138159</v>
      </c>
      <c r="B9" t="str">
        <f>"02953033"</f>
        <v>02953033</v>
      </c>
      <c r="C9" t="s">
        <v>6297</v>
      </c>
      <c r="D9" t="s">
        <v>6298</v>
      </c>
      <c r="E9" t="s">
        <v>2636</v>
      </c>
      <c r="G9" t="s">
        <v>6299</v>
      </c>
      <c r="H9" t="s">
        <v>6300</v>
      </c>
      <c r="L9" t="s">
        <v>16</v>
      </c>
      <c r="M9" t="s">
        <v>75</v>
      </c>
      <c r="R9" t="s">
        <v>2636</v>
      </c>
      <c r="W9" t="s">
        <v>2636</v>
      </c>
      <c r="X9" t="s">
        <v>6301</v>
      </c>
      <c r="Y9" t="s">
        <v>131</v>
      </c>
      <c r="Z9" t="s">
        <v>77</v>
      </c>
      <c r="AA9" t="str">
        <f>"10459-4001"</f>
        <v>10459-4001</v>
      </c>
      <c r="AB9" t="s">
        <v>132</v>
      </c>
      <c r="AC9" t="s">
        <v>79</v>
      </c>
      <c r="AD9" t="s">
        <v>75</v>
      </c>
      <c r="AE9" t="s">
        <v>80</v>
      </c>
      <c r="AG9" t="s">
        <v>81</v>
      </c>
    </row>
    <row r="10" spans="1:35" x14ac:dyDescent="0.25">
      <c r="A10" t="str">
        <f>"1497866503"</f>
        <v>1497866503</v>
      </c>
      <c r="B10" t="str">
        <f>"01876842"</f>
        <v>01876842</v>
      </c>
      <c r="C10" t="s">
        <v>6302</v>
      </c>
      <c r="D10" t="s">
        <v>6196</v>
      </c>
      <c r="E10" t="s">
        <v>6197</v>
      </c>
      <c r="H10" t="s">
        <v>6303</v>
      </c>
      <c r="L10" t="s">
        <v>16</v>
      </c>
      <c r="M10" t="s">
        <v>75</v>
      </c>
      <c r="R10" t="s">
        <v>6197</v>
      </c>
      <c r="W10" t="s">
        <v>6197</v>
      </c>
      <c r="X10" t="s">
        <v>5673</v>
      </c>
      <c r="Y10" t="s">
        <v>4962</v>
      </c>
      <c r="Z10" t="s">
        <v>77</v>
      </c>
      <c r="AA10" t="str">
        <f>"10977-7055"</f>
        <v>10977-7055</v>
      </c>
      <c r="AB10" t="s">
        <v>132</v>
      </c>
      <c r="AC10" t="s">
        <v>79</v>
      </c>
      <c r="AD10" t="s">
        <v>75</v>
      </c>
      <c r="AE10" t="s">
        <v>80</v>
      </c>
      <c r="AG10" t="s">
        <v>81</v>
      </c>
    </row>
    <row r="11" spans="1:35" x14ac:dyDescent="0.25">
      <c r="A11" t="str">
        <f>"1376802108"</f>
        <v>1376802108</v>
      </c>
      <c r="B11" t="str">
        <f>"03709139"</f>
        <v>03709139</v>
      </c>
      <c r="C11" t="s">
        <v>6304</v>
      </c>
      <c r="D11" t="s">
        <v>4269</v>
      </c>
      <c r="E11" t="s">
        <v>4270</v>
      </c>
      <c r="G11" t="s">
        <v>6283</v>
      </c>
      <c r="H11" t="s">
        <v>4075</v>
      </c>
      <c r="I11">
        <v>249</v>
      </c>
      <c r="J11" t="s">
        <v>4076</v>
      </c>
      <c r="L11" t="s">
        <v>74</v>
      </c>
      <c r="M11" t="s">
        <v>85</v>
      </c>
      <c r="R11" t="s">
        <v>4271</v>
      </c>
      <c r="W11" t="s">
        <v>4270</v>
      </c>
      <c r="X11" t="s">
        <v>4252</v>
      </c>
      <c r="Y11" t="s">
        <v>131</v>
      </c>
      <c r="Z11" t="s">
        <v>77</v>
      </c>
      <c r="AA11" t="str">
        <f>"10468-4648"</f>
        <v>10468-4648</v>
      </c>
      <c r="AB11" t="s">
        <v>82</v>
      </c>
      <c r="AC11" t="s">
        <v>79</v>
      </c>
      <c r="AD11" t="s">
        <v>75</v>
      </c>
      <c r="AE11" t="s">
        <v>80</v>
      </c>
      <c r="AG11" t="s">
        <v>81</v>
      </c>
    </row>
    <row r="12" spans="1:35" x14ac:dyDescent="0.25">
      <c r="A12" t="str">
        <f>"1548242415"</f>
        <v>1548242415</v>
      </c>
      <c r="B12" t="str">
        <f>"01714630"</f>
        <v>01714630</v>
      </c>
      <c r="C12" t="s">
        <v>6305</v>
      </c>
      <c r="D12" t="s">
        <v>5046</v>
      </c>
      <c r="E12" t="s">
        <v>5047</v>
      </c>
      <c r="G12" t="s">
        <v>6283</v>
      </c>
      <c r="H12" t="s">
        <v>4075</v>
      </c>
      <c r="I12">
        <v>249</v>
      </c>
      <c r="J12" t="s">
        <v>4076</v>
      </c>
      <c r="L12" t="s">
        <v>74</v>
      </c>
      <c r="M12" t="s">
        <v>85</v>
      </c>
      <c r="R12" t="s">
        <v>5048</v>
      </c>
      <c r="W12" t="s">
        <v>5047</v>
      </c>
      <c r="X12" t="s">
        <v>5049</v>
      </c>
      <c r="Y12" t="s">
        <v>87</v>
      </c>
      <c r="Z12" t="s">
        <v>77</v>
      </c>
      <c r="AA12" t="str">
        <f>"11210-2427"</f>
        <v>11210-2427</v>
      </c>
      <c r="AB12" t="s">
        <v>82</v>
      </c>
      <c r="AC12" t="s">
        <v>79</v>
      </c>
      <c r="AD12" t="s">
        <v>75</v>
      </c>
      <c r="AE12" t="s">
        <v>80</v>
      </c>
      <c r="AG12" t="s">
        <v>81</v>
      </c>
    </row>
    <row r="13" spans="1:35" x14ac:dyDescent="0.25">
      <c r="A13" t="str">
        <f>"1144328154"</f>
        <v>1144328154</v>
      </c>
      <c r="B13" t="str">
        <f>"01238480"</f>
        <v>01238480</v>
      </c>
      <c r="C13" t="s">
        <v>6306</v>
      </c>
      <c r="D13" t="s">
        <v>5064</v>
      </c>
      <c r="E13" t="s">
        <v>5065</v>
      </c>
      <c r="G13" t="s">
        <v>6283</v>
      </c>
      <c r="H13" t="s">
        <v>4075</v>
      </c>
      <c r="I13">
        <v>249</v>
      </c>
      <c r="J13" t="s">
        <v>4076</v>
      </c>
      <c r="L13" t="s">
        <v>74</v>
      </c>
      <c r="M13" t="s">
        <v>85</v>
      </c>
      <c r="R13" t="s">
        <v>5066</v>
      </c>
      <c r="W13" t="s">
        <v>5066</v>
      </c>
      <c r="X13" t="s">
        <v>4703</v>
      </c>
      <c r="Y13" t="s">
        <v>179</v>
      </c>
      <c r="Z13" t="s">
        <v>77</v>
      </c>
      <c r="AA13" t="str">
        <f>"11550-4549"</f>
        <v>11550-4549</v>
      </c>
      <c r="AB13" t="s">
        <v>82</v>
      </c>
      <c r="AC13" t="s">
        <v>79</v>
      </c>
      <c r="AD13" t="s">
        <v>75</v>
      </c>
      <c r="AE13" t="s">
        <v>80</v>
      </c>
      <c r="AG13" t="s">
        <v>81</v>
      </c>
    </row>
    <row r="14" spans="1:35" x14ac:dyDescent="0.25">
      <c r="A14" t="str">
        <f>"1417940677"</f>
        <v>1417940677</v>
      </c>
      <c r="B14" t="str">
        <f>"02128687"</f>
        <v>02128687</v>
      </c>
      <c r="C14" t="s">
        <v>6307</v>
      </c>
      <c r="D14" t="s">
        <v>4928</v>
      </c>
      <c r="E14" t="s">
        <v>4929</v>
      </c>
      <c r="G14" t="s">
        <v>6283</v>
      </c>
      <c r="H14" t="s">
        <v>4075</v>
      </c>
      <c r="I14">
        <v>249</v>
      </c>
      <c r="J14" t="s">
        <v>4076</v>
      </c>
      <c r="L14" t="s">
        <v>74</v>
      </c>
      <c r="M14" t="s">
        <v>85</v>
      </c>
      <c r="R14" t="s">
        <v>4930</v>
      </c>
      <c r="W14" t="s">
        <v>4929</v>
      </c>
      <c r="X14" t="s">
        <v>4931</v>
      </c>
      <c r="Y14" t="s">
        <v>155</v>
      </c>
      <c r="Z14" t="s">
        <v>77</v>
      </c>
      <c r="AA14" t="str">
        <f>"10314-1570"</f>
        <v>10314-1570</v>
      </c>
      <c r="AB14" t="s">
        <v>82</v>
      </c>
      <c r="AC14" t="s">
        <v>79</v>
      </c>
      <c r="AD14" t="s">
        <v>75</v>
      </c>
      <c r="AE14" t="s">
        <v>80</v>
      </c>
      <c r="AG14" t="s">
        <v>81</v>
      </c>
    </row>
    <row r="15" spans="1:35" x14ac:dyDescent="0.25">
      <c r="A15" t="str">
        <f>"1851513618"</f>
        <v>1851513618</v>
      </c>
      <c r="B15" t="str">
        <f>"00911422"</f>
        <v>00911422</v>
      </c>
      <c r="C15" t="s">
        <v>6308</v>
      </c>
      <c r="D15" t="s">
        <v>4276</v>
      </c>
      <c r="E15" t="s">
        <v>4277</v>
      </c>
      <c r="G15" t="s">
        <v>6283</v>
      </c>
      <c r="H15" t="s">
        <v>4075</v>
      </c>
      <c r="I15">
        <v>249</v>
      </c>
      <c r="J15" t="s">
        <v>4076</v>
      </c>
      <c r="L15" t="s">
        <v>74</v>
      </c>
      <c r="M15" t="s">
        <v>85</v>
      </c>
      <c r="R15" t="s">
        <v>4278</v>
      </c>
      <c r="W15" t="s">
        <v>4277</v>
      </c>
      <c r="X15" t="s">
        <v>4279</v>
      </c>
      <c r="Y15" t="s">
        <v>180</v>
      </c>
      <c r="Z15" t="s">
        <v>77</v>
      </c>
      <c r="AA15" t="str">
        <f>"10710-4803"</f>
        <v>10710-4803</v>
      </c>
      <c r="AB15" t="s">
        <v>82</v>
      </c>
      <c r="AC15" t="s">
        <v>79</v>
      </c>
      <c r="AD15" t="s">
        <v>75</v>
      </c>
      <c r="AE15" t="s">
        <v>80</v>
      </c>
      <c r="AG15" t="s">
        <v>81</v>
      </c>
    </row>
    <row r="16" spans="1:35" x14ac:dyDescent="0.25">
      <c r="A16" t="str">
        <f>"1982862850"</f>
        <v>1982862850</v>
      </c>
      <c r="B16" t="str">
        <f>"03178558"</f>
        <v>03178558</v>
      </c>
      <c r="C16" t="s">
        <v>6309</v>
      </c>
      <c r="D16" t="s">
        <v>4333</v>
      </c>
      <c r="E16" t="s">
        <v>4334</v>
      </c>
      <c r="G16" t="s">
        <v>6283</v>
      </c>
      <c r="H16" t="s">
        <v>4075</v>
      </c>
      <c r="I16">
        <v>249</v>
      </c>
      <c r="J16" t="s">
        <v>4076</v>
      </c>
      <c r="L16" t="s">
        <v>74</v>
      </c>
      <c r="M16" t="s">
        <v>85</v>
      </c>
      <c r="R16" t="s">
        <v>4335</v>
      </c>
      <c r="W16" t="s">
        <v>4334</v>
      </c>
      <c r="X16" t="s">
        <v>4082</v>
      </c>
      <c r="Y16" t="s">
        <v>91</v>
      </c>
      <c r="Z16" t="s">
        <v>77</v>
      </c>
      <c r="AA16" t="str">
        <f>"11373-4444"</f>
        <v>11373-4444</v>
      </c>
      <c r="AB16" t="s">
        <v>82</v>
      </c>
      <c r="AC16" t="s">
        <v>79</v>
      </c>
      <c r="AD16" t="s">
        <v>75</v>
      </c>
      <c r="AE16" t="s">
        <v>80</v>
      </c>
      <c r="AG16" t="s">
        <v>81</v>
      </c>
    </row>
    <row r="17" spans="1:33" x14ac:dyDescent="0.25">
      <c r="A17" t="str">
        <f>"1780864488"</f>
        <v>1780864488</v>
      </c>
      <c r="B17" t="str">
        <f>"02970890"</f>
        <v>02970890</v>
      </c>
      <c r="C17" t="s">
        <v>6310</v>
      </c>
      <c r="D17" t="s">
        <v>4984</v>
      </c>
      <c r="E17" t="s">
        <v>4985</v>
      </c>
      <c r="G17" t="s">
        <v>6283</v>
      </c>
      <c r="H17" t="s">
        <v>4075</v>
      </c>
      <c r="I17">
        <v>249</v>
      </c>
      <c r="J17" t="s">
        <v>4076</v>
      </c>
      <c r="L17" t="s">
        <v>74</v>
      </c>
      <c r="M17" t="s">
        <v>85</v>
      </c>
      <c r="R17" t="s">
        <v>4986</v>
      </c>
      <c r="W17" t="s">
        <v>4987</v>
      </c>
      <c r="X17" t="s">
        <v>4988</v>
      </c>
      <c r="Y17" t="s">
        <v>87</v>
      </c>
      <c r="Z17" t="s">
        <v>77</v>
      </c>
      <c r="AA17" t="str">
        <f>"11226-2584"</f>
        <v>11226-2584</v>
      </c>
      <c r="AB17" t="s">
        <v>82</v>
      </c>
      <c r="AC17" t="s">
        <v>79</v>
      </c>
      <c r="AD17" t="s">
        <v>75</v>
      </c>
      <c r="AE17" t="s">
        <v>80</v>
      </c>
      <c r="AG17" t="s">
        <v>81</v>
      </c>
    </row>
    <row r="18" spans="1:33" x14ac:dyDescent="0.25">
      <c r="A18" t="str">
        <f>"1972544054"</f>
        <v>1972544054</v>
      </c>
      <c r="B18" t="str">
        <f>"03190732"</f>
        <v>03190732</v>
      </c>
      <c r="C18" t="s">
        <v>6311</v>
      </c>
      <c r="D18" t="s">
        <v>5549</v>
      </c>
      <c r="E18" t="s">
        <v>5550</v>
      </c>
      <c r="H18" t="s">
        <v>6312</v>
      </c>
      <c r="L18" t="s">
        <v>83</v>
      </c>
      <c r="M18" t="s">
        <v>85</v>
      </c>
      <c r="R18" t="s">
        <v>5551</v>
      </c>
      <c r="W18" t="s">
        <v>5552</v>
      </c>
      <c r="X18" t="s">
        <v>223</v>
      </c>
      <c r="Y18" t="s">
        <v>131</v>
      </c>
      <c r="Z18" t="s">
        <v>77</v>
      </c>
      <c r="AA18" t="str">
        <f>"10467-2403"</f>
        <v>10467-2403</v>
      </c>
      <c r="AB18" t="s">
        <v>78</v>
      </c>
      <c r="AC18" t="s">
        <v>79</v>
      </c>
      <c r="AD18" t="s">
        <v>75</v>
      </c>
      <c r="AE18" t="s">
        <v>80</v>
      </c>
      <c r="AG18" t="s">
        <v>81</v>
      </c>
    </row>
    <row r="19" spans="1:33" x14ac:dyDescent="0.25">
      <c r="A19" t="str">
        <f>"1609088806"</f>
        <v>1609088806</v>
      </c>
      <c r="B19" t="str">
        <f>"02678357"</f>
        <v>02678357</v>
      </c>
      <c r="C19" t="s">
        <v>6313</v>
      </c>
      <c r="D19" t="s">
        <v>6314</v>
      </c>
      <c r="E19" t="s">
        <v>6315</v>
      </c>
      <c r="H19" t="s">
        <v>6312</v>
      </c>
      <c r="L19" t="s">
        <v>83</v>
      </c>
      <c r="M19" t="s">
        <v>85</v>
      </c>
      <c r="R19" t="s">
        <v>6316</v>
      </c>
      <c r="W19" t="s">
        <v>6315</v>
      </c>
      <c r="X19" t="s">
        <v>6317</v>
      </c>
      <c r="Y19" t="s">
        <v>97</v>
      </c>
      <c r="Z19" t="s">
        <v>77</v>
      </c>
      <c r="AA19" t="str">
        <f>"10128-1735"</f>
        <v>10128-1735</v>
      </c>
      <c r="AB19" t="s">
        <v>78</v>
      </c>
      <c r="AC19" t="s">
        <v>79</v>
      </c>
      <c r="AD19" t="s">
        <v>75</v>
      </c>
      <c r="AE19" t="s">
        <v>80</v>
      </c>
      <c r="AG19" t="s">
        <v>81</v>
      </c>
    </row>
    <row r="20" spans="1:33" x14ac:dyDescent="0.25">
      <c r="A20" t="str">
        <f>"1710115282"</f>
        <v>1710115282</v>
      </c>
      <c r="B20" t="str">
        <f>"03128636"</f>
        <v>03128636</v>
      </c>
      <c r="C20" t="s">
        <v>6318</v>
      </c>
      <c r="D20" t="s">
        <v>6319</v>
      </c>
      <c r="E20" t="s">
        <v>6320</v>
      </c>
      <c r="H20" t="s">
        <v>6321</v>
      </c>
      <c r="L20" t="s">
        <v>83</v>
      </c>
      <c r="M20" t="s">
        <v>75</v>
      </c>
      <c r="R20" t="s">
        <v>6320</v>
      </c>
      <c r="W20" t="s">
        <v>6320</v>
      </c>
      <c r="X20" t="s">
        <v>4358</v>
      </c>
      <c r="Y20" t="s">
        <v>97</v>
      </c>
      <c r="Z20" t="s">
        <v>77</v>
      </c>
      <c r="AA20" t="str">
        <f>"10065-4870"</f>
        <v>10065-4870</v>
      </c>
      <c r="AB20" t="s">
        <v>78</v>
      </c>
      <c r="AC20" t="s">
        <v>79</v>
      </c>
      <c r="AD20" t="s">
        <v>75</v>
      </c>
      <c r="AE20" t="s">
        <v>80</v>
      </c>
      <c r="AG20" t="s">
        <v>81</v>
      </c>
    </row>
    <row r="21" spans="1:33" x14ac:dyDescent="0.25">
      <c r="A21" t="str">
        <f>"1134370679"</f>
        <v>1134370679</v>
      </c>
      <c r="B21" t="str">
        <f>"03078228"</f>
        <v>03078228</v>
      </c>
      <c r="C21" t="s">
        <v>6322</v>
      </c>
      <c r="D21" t="s">
        <v>6323</v>
      </c>
      <c r="E21" t="s">
        <v>6324</v>
      </c>
      <c r="G21" t="s">
        <v>6278</v>
      </c>
      <c r="H21" t="s">
        <v>6279</v>
      </c>
      <c r="J21" t="s">
        <v>6280</v>
      </c>
      <c r="L21" t="s">
        <v>83</v>
      </c>
      <c r="M21" t="s">
        <v>85</v>
      </c>
      <c r="R21" t="s">
        <v>6325</v>
      </c>
      <c r="W21" t="s">
        <v>6324</v>
      </c>
      <c r="X21" t="s">
        <v>890</v>
      </c>
      <c r="Y21" t="s">
        <v>891</v>
      </c>
      <c r="Z21" t="s">
        <v>77</v>
      </c>
      <c r="AA21" t="str">
        <f>"10549-3417"</f>
        <v>10549-3417</v>
      </c>
      <c r="AB21" t="s">
        <v>78</v>
      </c>
      <c r="AC21" t="s">
        <v>79</v>
      </c>
      <c r="AD21" t="s">
        <v>75</v>
      </c>
      <c r="AE21" t="s">
        <v>80</v>
      </c>
      <c r="AG21" t="s">
        <v>81</v>
      </c>
    </row>
    <row r="22" spans="1:33" x14ac:dyDescent="0.25">
      <c r="A22" t="str">
        <f>"1801830625"</f>
        <v>1801830625</v>
      </c>
      <c r="B22" t="str">
        <f>"02286193"</f>
        <v>02286193</v>
      </c>
      <c r="C22" t="s">
        <v>6326</v>
      </c>
      <c r="D22" t="s">
        <v>6327</v>
      </c>
      <c r="E22" t="s">
        <v>6328</v>
      </c>
      <c r="G22" t="s">
        <v>6278</v>
      </c>
      <c r="H22" t="s">
        <v>6279</v>
      </c>
      <c r="J22" t="s">
        <v>6280</v>
      </c>
      <c r="L22" t="s">
        <v>74</v>
      </c>
      <c r="M22" t="s">
        <v>85</v>
      </c>
      <c r="R22" t="s">
        <v>6329</v>
      </c>
      <c r="W22" t="s">
        <v>6328</v>
      </c>
      <c r="X22" t="s">
        <v>4284</v>
      </c>
      <c r="Y22" t="s">
        <v>3087</v>
      </c>
      <c r="Z22" t="s">
        <v>77</v>
      </c>
      <c r="AA22" t="str">
        <f>"10591-1020"</f>
        <v>10591-1020</v>
      </c>
      <c r="AB22" t="s">
        <v>78</v>
      </c>
      <c r="AC22" t="s">
        <v>79</v>
      </c>
      <c r="AD22" t="s">
        <v>75</v>
      </c>
      <c r="AE22" t="s">
        <v>80</v>
      </c>
      <c r="AG22" t="s">
        <v>81</v>
      </c>
    </row>
    <row r="23" spans="1:33" x14ac:dyDescent="0.25">
      <c r="A23" t="str">
        <f>"1578624391"</f>
        <v>1578624391</v>
      </c>
      <c r="B23" t="str">
        <f>"02415621"</f>
        <v>02415621</v>
      </c>
      <c r="C23" t="s">
        <v>6330</v>
      </c>
      <c r="D23" t="s">
        <v>6331</v>
      </c>
      <c r="E23" t="s">
        <v>6332</v>
      </c>
      <c r="G23" t="s">
        <v>6333</v>
      </c>
      <c r="H23" t="s">
        <v>6334</v>
      </c>
      <c r="L23" t="s">
        <v>16</v>
      </c>
      <c r="M23" t="s">
        <v>75</v>
      </c>
      <c r="R23" t="s">
        <v>6335</v>
      </c>
      <c r="W23" t="s">
        <v>6332</v>
      </c>
      <c r="X23" t="s">
        <v>6336</v>
      </c>
      <c r="Y23" t="s">
        <v>97</v>
      </c>
      <c r="Z23" t="s">
        <v>77</v>
      </c>
      <c r="AA23" t="str">
        <f>"10025-7458"</f>
        <v>10025-7458</v>
      </c>
      <c r="AB23" t="s">
        <v>132</v>
      </c>
      <c r="AC23" t="s">
        <v>79</v>
      </c>
      <c r="AD23" t="s">
        <v>75</v>
      </c>
      <c r="AE23" t="s">
        <v>80</v>
      </c>
      <c r="AG23" t="s">
        <v>81</v>
      </c>
    </row>
    <row r="24" spans="1:33" x14ac:dyDescent="0.25">
      <c r="A24" t="str">
        <f>"1033253588"</f>
        <v>1033253588</v>
      </c>
      <c r="B24" t="str">
        <f>"02312747"</f>
        <v>02312747</v>
      </c>
      <c r="C24" t="s">
        <v>6337</v>
      </c>
      <c r="D24" t="s">
        <v>6338</v>
      </c>
      <c r="E24" t="s">
        <v>6339</v>
      </c>
      <c r="G24" t="s">
        <v>6340</v>
      </c>
      <c r="H24" t="s">
        <v>6341</v>
      </c>
      <c r="L24" t="s">
        <v>16</v>
      </c>
      <c r="M24" t="s">
        <v>85</v>
      </c>
      <c r="R24" t="s">
        <v>6342</v>
      </c>
      <c r="W24" t="s">
        <v>6339</v>
      </c>
      <c r="X24" t="s">
        <v>6343</v>
      </c>
      <c r="Y24" t="s">
        <v>131</v>
      </c>
      <c r="Z24" t="s">
        <v>77</v>
      </c>
      <c r="AA24" t="str">
        <f>"10461"</f>
        <v>10461</v>
      </c>
      <c r="AB24" t="s">
        <v>132</v>
      </c>
      <c r="AC24" t="s">
        <v>79</v>
      </c>
      <c r="AD24" t="s">
        <v>75</v>
      </c>
      <c r="AE24" t="s">
        <v>80</v>
      </c>
      <c r="AG24" t="s">
        <v>81</v>
      </c>
    </row>
    <row r="25" spans="1:33" x14ac:dyDescent="0.25">
      <c r="A25" t="str">
        <f>"1477568079"</f>
        <v>1477568079</v>
      </c>
      <c r="B25" t="str">
        <f>"02238728"</f>
        <v>02238728</v>
      </c>
      <c r="C25" t="s">
        <v>6344</v>
      </c>
      <c r="D25" t="s">
        <v>6345</v>
      </c>
      <c r="E25" t="s">
        <v>6346</v>
      </c>
      <c r="G25" t="s">
        <v>6347</v>
      </c>
      <c r="H25" t="s">
        <v>6348</v>
      </c>
      <c r="L25" t="s">
        <v>16</v>
      </c>
      <c r="M25" t="s">
        <v>85</v>
      </c>
      <c r="R25" t="s">
        <v>6349</v>
      </c>
      <c r="W25" t="s">
        <v>6346</v>
      </c>
      <c r="X25" t="s">
        <v>6350</v>
      </c>
      <c r="Y25" t="s">
        <v>97</v>
      </c>
      <c r="Z25" t="s">
        <v>77</v>
      </c>
      <c r="AA25" t="str">
        <f>"10037-2534"</f>
        <v>10037-2534</v>
      </c>
      <c r="AB25" t="s">
        <v>132</v>
      </c>
      <c r="AC25" t="s">
        <v>79</v>
      </c>
      <c r="AD25" t="s">
        <v>75</v>
      </c>
      <c r="AE25" t="s">
        <v>80</v>
      </c>
      <c r="AG25" t="s">
        <v>81</v>
      </c>
    </row>
    <row r="26" spans="1:33" x14ac:dyDescent="0.25">
      <c r="A26" t="str">
        <f>"1669524237"</f>
        <v>1669524237</v>
      </c>
      <c r="B26" t="str">
        <f>"00766683"</f>
        <v>00766683</v>
      </c>
      <c r="C26" t="s">
        <v>6351</v>
      </c>
      <c r="D26" t="s">
        <v>6352</v>
      </c>
      <c r="E26" t="s">
        <v>6353</v>
      </c>
      <c r="G26" t="s">
        <v>6278</v>
      </c>
      <c r="H26" t="s">
        <v>6279</v>
      </c>
      <c r="J26" t="s">
        <v>6280</v>
      </c>
      <c r="L26" t="s">
        <v>84</v>
      </c>
      <c r="M26" t="s">
        <v>85</v>
      </c>
      <c r="R26" t="s">
        <v>6354</v>
      </c>
      <c r="W26" t="s">
        <v>6353</v>
      </c>
      <c r="X26" t="s">
        <v>6355</v>
      </c>
      <c r="Y26" t="s">
        <v>97</v>
      </c>
      <c r="Z26" t="s">
        <v>77</v>
      </c>
      <c r="AA26" t="str">
        <f>"10065-6040"</f>
        <v>10065-6040</v>
      </c>
      <c r="AB26" t="s">
        <v>78</v>
      </c>
      <c r="AC26" t="s">
        <v>79</v>
      </c>
      <c r="AD26" t="s">
        <v>75</v>
      </c>
      <c r="AE26" t="s">
        <v>80</v>
      </c>
      <c r="AG26" t="s">
        <v>81</v>
      </c>
    </row>
    <row r="27" spans="1:33" x14ac:dyDescent="0.25">
      <c r="A27" t="str">
        <f>"1982781068"</f>
        <v>1982781068</v>
      </c>
      <c r="B27" t="str">
        <f>"01825410"</f>
        <v>01825410</v>
      </c>
      <c r="C27" t="s">
        <v>6356</v>
      </c>
      <c r="D27" t="s">
        <v>3580</v>
      </c>
      <c r="E27" t="s">
        <v>3581</v>
      </c>
      <c r="G27" t="s">
        <v>6357</v>
      </c>
      <c r="H27" t="s">
        <v>6358</v>
      </c>
      <c r="J27" t="s">
        <v>3428</v>
      </c>
      <c r="L27" t="s">
        <v>84</v>
      </c>
      <c r="M27" t="s">
        <v>75</v>
      </c>
      <c r="R27" t="s">
        <v>3582</v>
      </c>
      <c r="W27" t="s">
        <v>3581</v>
      </c>
      <c r="Y27" t="s">
        <v>139</v>
      </c>
      <c r="Z27" t="s">
        <v>77</v>
      </c>
      <c r="AA27" t="str">
        <f>"11373-4998"</f>
        <v>11373-4998</v>
      </c>
      <c r="AB27" t="s">
        <v>78</v>
      </c>
      <c r="AC27" t="s">
        <v>79</v>
      </c>
      <c r="AD27" t="s">
        <v>75</v>
      </c>
      <c r="AE27" t="s">
        <v>80</v>
      </c>
      <c r="AG27" t="s">
        <v>81</v>
      </c>
    </row>
    <row r="28" spans="1:33" x14ac:dyDescent="0.25">
      <c r="A28" t="str">
        <f>"1306865696"</f>
        <v>1306865696</v>
      </c>
      <c r="B28" t="str">
        <f>"02441409"</f>
        <v>02441409</v>
      </c>
      <c r="C28" t="s">
        <v>6359</v>
      </c>
      <c r="D28" t="s">
        <v>3426</v>
      </c>
      <c r="E28" t="s">
        <v>3427</v>
      </c>
      <c r="G28" t="s">
        <v>6357</v>
      </c>
      <c r="H28" t="s">
        <v>6358</v>
      </c>
      <c r="J28" t="s">
        <v>3428</v>
      </c>
      <c r="L28" t="s">
        <v>84</v>
      </c>
      <c r="M28" t="s">
        <v>85</v>
      </c>
      <c r="R28" t="s">
        <v>3427</v>
      </c>
      <c r="W28" t="s">
        <v>3429</v>
      </c>
      <c r="X28" t="s">
        <v>2992</v>
      </c>
      <c r="Y28" t="s">
        <v>97</v>
      </c>
      <c r="Z28" t="s">
        <v>77</v>
      </c>
      <c r="AA28" t="str">
        <f>"10013-3698"</f>
        <v>10013-3698</v>
      </c>
      <c r="AB28" t="s">
        <v>78</v>
      </c>
      <c r="AC28" t="s">
        <v>79</v>
      </c>
      <c r="AD28" t="s">
        <v>75</v>
      </c>
      <c r="AE28" t="s">
        <v>80</v>
      </c>
      <c r="AG28" t="s">
        <v>81</v>
      </c>
    </row>
    <row r="29" spans="1:33" x14ac:dyDescent="0.25">
      <c r="A29" t="str">
        <f>"1659583151"</f>
        <v>1659583151</v>
      </c>
      <c r="B29" t="str">
        <f>"01553135"</f>
        <v>01553135</v>
      </c>
      <c r="C29" t="s">
        <v>6360</v>
      </c>
      <c r="D29" t="s">
        <v>4978</v>
      </c>
      <c r="E29" t="s">
        <v>4979</v>
      </c>
      <c r="G29" t="s">
        <v>6283</v>
      </c>
      <c r="H29" t="s">
        <v>4075</v>
      </c>
      <c r="I29">
        <v>249</v>
      </c>
      <c r="J29" t="s">
        <v>4076</v>
      </c>
      <c r="L29" t="s">
        <v>74</v>
      </c>
      <c r="M29" t="s">
        <v>75</v>
      </c>
      <c r="R29" t="s">
        <v>4980</v>
      </c>
      <c r="W29" t="s">
        <v>4979</v>
      </c>
      <c r="X29" t="s">
        <v>4703</v>
      </c>
      <c r="Y29" t="s">
        <v>179</v>
      </c>
      <c r="Z29" t="s">
        <v>77</v>
      </c>
      <c r="AA29" t="str">
        <f>"11550-4549"</f>
        <v>11550-4549</v>
      </c>
      <c r="AB29" t="s">
        <v>82</v>
      </c>
      <c r="AC29" t="s">
        <v>79</v>
      </c>
      <c r="AD29" t="s">
        <v>75</v>
      </c>
      <c r="AE29" t="s">
        <v>80</v>
      </c>
      <c r="AG29" t="s">
        <v>81</v>
      </c>
    </row>
    <row r="30" spans="1:33" x14ac:dyDescent="0.25">
      <c r="A30" t="str">
        <f>"1649524794"</f>
        <v>1649524794</v>
      </c>
      <c r="B30" t="str">
        <f>"03623470"</f>
        <v>03623470</v>
      </c>
      <c r="C30" t="s">
        <v>6361</v>
      </c>
      <c r="D30" t="s">
        <v>4975</v>
      </c>
      <c r="E30" t="s">
        <v>4976</v>
      </c>
      <c r="G30" t="s">
        <v>6283</v>
      </c>
      <c r="H30" t="s">
        <v>4075</v>
      </c>
      <c r="I30">
        <v>249</v>
      </c>
      <c r="J30" t="s">
        <v>4076</v>
      </c>
      <c r="L30" t="s">
        <v>74</v>
      </c>
      <c r="M30" t="s">
        <v>85</v>
      </c>
      <c r="R30" t="s">
        <v>4977</v>
      </c>
      <c r="W30" t="s">
        <v>4976</v>
      </c>
      <c r="X30" t="s">
        <v>4703</v>
      </c>
      <c r="Y30" t="s">
        <v>179</v>
      </c>
      <c r="Z30" t="s">
        <v>77</v>
      </c>
      <c r="AA30" t="str">
        <f>"11550-4549"</f>
        <v>11550-4549</v>
      </c>
      <c r="AB30" t="s">
        <v>82</v>
      </c>
      <c r="AC30" t="s">
        <v>79</v>
      </c>
      <c r="AD30" t="s">
        <v>75</v>
      </c>
      <c r="AE30" t="s">
        <v>80</v>
      </c>
      <c r="AG30" t="s">
        <v>81</v>
      </c>
    </row>
    <row r="31" spans="1:33" x14ac:dyDescent="0.25">
      <c r="A31" t="str">
        <f>"1073720181"</f>
        <v>1073720181</v>
      </c>
      <c r="B31" t="str">
        <f>"01337324"</f>
        <v>01337324</v>
      </c>
      <c r="C31" t="s">
        <v>6362</v>
      </c>
      <c r="D31" t="s">
        <v>5120</v>
      </c>
      <c r="E31" t="s">
        <v>5121</v>
      </c>
      <c r="G31" t="s">
        <v>6283</v>
      </c>
      <c r="H31" t="s">
        <v>4075</v>
      </c>
      <c r="I31">
        <v>249</v>
      </c>
      <c r="J31" t="s">
        <v>4076</v>
      </c>
      <c r="L31" t="s">
        <v>74</v>
      </c>
      <c r="M31" t="s">
        <v>85</v>
      </c>
      <c r="R31" t="s">
        <v>5122</v>
      </c>
      <c r="W31" t="s">
        <v>5121</v>
      </c>
      <c r="X31" t="s">
        <v>5123</v>
      </c>
      <c r="Y31" t="s">
        <v>155</v>
      </c>
      <c r="Z31" t="s">
        <v>77</v>
      </c>
      <c r="AA31" t="str">
        <f>"10305-4901"</f>
        <v>10305-4901</v>
      </c>
      <c r="AB31" t="s">
        <v>82</v>
      </c>
      <c r="AC31" t="s">
        <v>79</v>
      </c>
      <c r="AD31" t="s">
        <v>75</v>
      </c>
      <c r="AE31" t="s">
        <v>80</v>
      </c>
      <c r="AG31" t="s">
        <v>81</v>
      </c>
    </row>
    <row r="32" spans="1:33" x14ac:dyDescent="0.25">
      <c r="A32" t="str">
        <f>"1437123015"</f>
        <v>1437123015</v>
      </c>
      <c r="B32" t="str">
        <f>"02339480"</f>
        <v>02339480</v>
      </c>
      <c r="C32" t="s">
        <v>6363</v>
      </c>
      <c r="D32" t="s">
        <v>4265</v>
      </c>
      <c r="E32" t="s">
        <v>4266</v>
      </c>
      <c r="G32" t="s">
        <v>6283</v>
      </c>
      <c r="H32" t="s">
        <v>4075</v>
      </c>
      <c r="I32">
        <v>249</v>
      </c>
      <c r="J32" t="s">
        <v>4076</v>
      </c>
      <c r="L32" t="s">
        <v>74</v>
      </c>
      <c r="M32" t="s">
        <v>85</v>
      </c>
      <c r="R32" t="s">
        <v>4267</v>
      </c>
      <c r="W32" t="s">
        <v>4266</v>
      </c>
      <c r="X32" t="s">
        <v>4268</v>
      </c>
      <c r="Y32" t="s">
        <v>131</v>
      </c>
      <c r="Z32" t="s">
        <v>77</v>
      </c>
      <c r="AA32" t="str">
        <f>"10458-8001"</f>
        <v>10458-8001</v>
      </c>
      <c r="AB32" t="s">
        <v>82</v>
      </c>
      <c r="AC32" t="s">
        <v>79</v>
      </c>
      <c r="AD32" t="s">
        <v>75</v>
      </c>
      <c r="AE32" t="s">
        <v>80</v>
      </c>
      <c r="AG32" t="s">
        <v>81</v>
      </c>
    </row>
    <row r="33" spans="1:33" x14ac:dyDescent="0.25">
      <c r="A33" t="str">
        <f>"1609080761"</f>
        <v>1609080761</v>
      </c>
      <c r="B33" t="str">
        <f>"03639347"</f>
        <v>03639347</v>
      </c>
      <c r="C33" t="s">
        <v>6364</v>
      </c>
      <c r="D33" t="s">
        <v>6365</v>
      </c>
      <c r="E33" t="s">
        <v>6366</v>
      </c>
      <c r="G33" t="s">
        <v>6367</v>
      </c>
      <c r="H33" t="s">
        <v>4625</v>
      </c>
      <c r="J33" t="s">
        <v>6368</v>
      </c>
      <c r="L33" t="s">
        <v>74</v>
      </c>
      <c r="M33" t="s">
        <v>85</v>
      </c>
      <c r="R33" t="s">
        <v>6369</v>
      </c>
      <c r="W33" t="s">
        <v>6366</v>
      </c>
      <c r="X33" t="s">
        <v>1822</v>
      </c>
      <c r="Y33" t="s">
        <v>1823</v>
      </c>
      <c r="Z33" t="s">
        <v>77</v>
      </c>
      <c r="AA33" t="str">
        <f>"10941-4028"</f>
        <v>10941-4028</v>
      </c>
      <c r="AB33" t="s">
        <v>78</v>
      </c>
      <c r="AC33" t="s">
        <v>79</v>
      </c>
      <c r="AD33" t="s">
        <v>75</v>
      </c>
      <c r="AE33" t="s">
        <v>80</v>
      </c>
      <c r="AG33" t="s">
        <v>81</v>
      </c>
    </row>
    <row r="34" spans="1:33" x14ac:dyDescent="0.25">
      <c r="A34" t="str">
        <f>"1881684058"</f>
        <v>1881684058</v>
      </c>
      <c r="B34" t="str">
        <f>"01649178"</f>
        <v>01649178</v>
      </c>
      <c r="C34" t="s">
        <v>6370</v>
      </c>
      <c r="D34" t="s">
        <v>5174</v>
      </c>
      <c r="E34" t="s">
        <v>5175</v>
      </c>
      <c r="G34" t="s">
        <v>6283</v>
      </c>
      <c r="H34" t="s">
        <v>4075</v>
      </c>
      <c r="I34">
        <v>249</v>
      </c>
      <c r="J34" t="s">
        <v>4076</v>
      </c>
      <c r="L34" t="s">
        <v>74</v>
      </c>
      <c r="M34" t="s">
        <v>85</v>
      </c>
      <c r="R34" t="s">
        <v>5176</v>
      </c>
      <c r="W34" t="s">
        <v>5175</v>
      </c>
      <c r="X34" t="s">
        <v>4931</v>
      </c>
      <c r="Y34" t="s">
        <v>155</v>
      </c>
      <c r="Z34" t="s">
        <v>77</v>
      </c>
      <c r="AA34" t="str">
        <f>"10314-1570"</f>
        <v>10314-1570</v>
      </c>
      <c r="AB34" t="s">
        <v>82</v>
      </c>
      <c r="AC34" t="s">
        <v>79</v>
      </c>
      <c r="AD34" t="s">
        <v>75</v>
      </c>
      <c r="AE34" t="s">
        <v>80</v>
      </c>
      <c r="AG34" t="s">
        <v>81</v>
      </c>
    </row>
    <row r="35" spans="1:33" x14ac:dyDescent="0.25">
      <c r="A35" t="str">
        <f>"1861576225"</f>
        <v>1861576225</v>
      </c>
      <c r="B35" t="str">
        <f>"01755962"</f>
        <v>01755962</v>
      </c>
      <c r="C35" t="s">
        <v>6371</v>
      </c>
      <c r="D35" t="s">
        <v>6372</v>
      </c>
      <c r="E35" t="s">
        <v>6373</v>
      </c>
      <c r="G35" t="s">
        <v>6278</v>
      </c>
      <c r="H35" t="s">
        <v>6279</v>
      </c>
      <c r="J35" t="s">
        <v>6280</v>
      </c>
      <c r="L35" t="s">
        <v>105</v>
      </c>
      <c r="M35" t="s">
        <v>85</v>
      </c>
      <c r="R35" t="s">
        <v>6374</v>
      </c>
      <c r="W35" t="s">
        <v>6373</v>
      </c>
      <c r="X35" t="s">
        <v>6375</v>
      </c>
      <c r="Y35" t="s">
        <v>97</v>
      </c>
      <c r="Z35" t="s">
        <v>77</v>
      </c>
      <c r="AA35" t="str">
        <f>"10003"</f>
        <v>10003</v>
      </c>
      <c r="AB35" t="s">
        <v>78</v>
      </c>
      <c r="AC35" t="s">
        <v>79</v>
      </c>
      <c r="AD35" t="s">
        <v>75</v>
      </c>
      <c r="AE35" t="s">
        <v>80</v>
      </c>
      <c r="AG35" t="s">
        <v>81</v>
      </c>
    </row>
    <row r="36" spans="1:33" x14ac:dyDescent="0.25">
      <c r="A36" t="str">
        <f>"1922083179"</f>
        <v>1922083179</v>
      </c>
      <c r="B36" t="str">
        <f>"02107757"</f>
        <v>02107757</v>
      </c>
      <c r="C36" t="s">
        <v>6376</v>
      </c>
      <c r="D36" t="s">
        <v>3011</v>
      </c>
      <c r="E36" t="s">
        <v>3012</v>
      </c>
      <c r="G36" t="s">
        <v>6278</v>
      </c>
      <c r="H36" t="s">
        <v>6279</v>
      </c>
      <c r="J36" t="s">
        <v>6280</v>
      </c>
      <c r="L36" t="s">
        <v>83</v>
      </c>
      <c r="M36" t="s">
        <v>85</v>
      </c>
      <c r="R36" t="s">
        <v>3013</v>
      </c>
      <c r="W36" t="s">
        <v>3012</v>
      </c>
      <c r="X36" t="s">
        <v>3014</v>
      </c>
      <c r="Y36" t="s">
        <v>87</v>
      </c>
      <c r="Z36" t="s">
        <v>77</v>
      </c>
      <c r="AA36" t="str">
        <f>"11219-2922"</f>
        <v>11219-2922</v>
      </c>
      <c r="AB36" t="s">
        <v>78</v>
      </c>
      <c r="AC36" t="s">
        <v>79</v>
      </c>
      <c r="AD36" t="s">
        <v>75</v>
      </c>
      <c r="AE36" t="s">
        <v>80</v>
      </c>
      <c r="AG36" t="s">
        <v>81</v>
      </c>
    </row>
    <row r="37" spans="1:33" x14ac:dyDescent="0.25">
      <c r="A37" t="str">
        <f>"1184611840"</f>
        <v>1184611840</v>
      </c>
      <c r="B37" t="str">
        <f>"02472957"</f>
        <v>02472957</v>
      </c>
      <c r="C37" t="s">
        <v>6377</v>
      </c>
      <c r="D37" t="s">
        <v>6378</v>
      </c>
      <c r="E37" t="s">
        <v>6379</v>
      </c>
      <c r="G37" t="s">
        <v>6380</v>
      </c>
      <c r="H37" t="s">
        <v>4625</v>
      </c>
      <c r="J37" t="s">
        <v>6381</v>
      </c>
      <c r="L37" t="s">
        <v>84</v>
      </c>
      <c r="M37" t="s">
        <v>85</v>
      </c>
      <c r="R37" t="s">
        <v>6382</v>
      </c>
      <c r="W37" t="s">
        <v>6379</v>
      </c>
      <c r="X37" t="s">
        <v>6383</v>
      </c>
      <c r="Y37" t="s">
        <v>1823</v>
      </c>
      <c r="Z37" t="s">
        <v>77</v>
      </c>
      <c r="AA37" t="str">
        <f>"10941-4057"</f>
        <v>10941-4057</v>
      </c>
      <c r="AB37" t="s">
        <v>78</v>
      </c>
      <c r="AC37" t="s">
        <v>79</v>
      </c>
      <c r="AD37" t="s">
        <v>75</v>
      </c>
      <c r="AE37" t="s">
        <v>80</v>
      </c>
      <c r="AG37" t="s">
        <v>81</v>
      </c>
    </row>
    <row r="38" spans="1:33" x14ac:dyDescent="0.25">
      <c r="A38" t="str">
        <f>"1992771596"</f>
        <v>1992771596</v>
      </c>
      <c r="B38" t="str">
        <f>"01679969"</f>
        <v>01679969</v>
      </c>
      <c r="C38" t="s">
        <v>6384</v>
      </c>
      <c r="D38" t="s">
        <v>6385</v>
      </c>
      <c r="E38" t="s">
        <v>6386</v>
      </c>
      <c r="G38" t="s">
        <v>6367</v>
      </c>
      <c r="H38" t="s">
        <v>4625</v>
      </c>
      <c r="J38" t="s">
        <v>6368</v>
      </c>
      <c r="L38" t="s">
        <v>83</v>
      </c>
      <c r="M38" t="s">
        <v>75</v>
      </c>
      <c r="R38" t="s">
        <v>6387</v>
      </c>
      <c r="W38" t="s">
        <v>6386</v>
      </c>
      <c r="X38" t="s">
        <v>6388</v>
      </c>
      <c r="Y38" t="s">
        <v>2903</v>
      </c>
      <c r="Z38" t="s">
        <v>77</v>
      </c>
      <c r="AA38" t="str">
        <f>"12775-6049"</f>
        <v>12775-6049</v>
      </c>
      <c r="AB38" t="s">
        <v>78</v>
      </c>
      <c r="AC38" t="s">
        <v>79</v>
      </c>
      <c r="AD38" t="s">
        <v>75</v>
      </c>
      <c r="AE38" t="s">
        <v>80</v>
      </c>
      <c r="AG38" t="s">
        <v>81</v>
      </c>
    </row>
    <row r="39" spans="1:33" x14ac:dyDescent="0.25">
      <c r="A39" t="str">
        <f>"1942318084"</f>
        <v>1942318084</v>
      </c>
      <c r="B39" t="str">
        <f>"00780621"</f>
        <v>00780621</v>
      </c>
      <c r="C39" t="s">
        <v>6389</v>
      </c>
      <c r="D39" t="s">
        <v>6390</v>
      </c>
      <c r="E39" t="s">
        <v>6391</v>
      </c>
      <c r="G39" t="s">
        <v>6278</v>
      </c>
      <c r="H39" t="s">
        <v>6279</v>
      </c>
      <c r="J39" t="s">
        <v>6280</v>
      </c>
      <c r="L39" t="s">
        <v>74</v>
      </c>
      <c r="M39" t="s">
        <v>85</v>
      </c>
      <c r="R39" t="s">
        <v>6392</v>
      </c>
      <c r="W39" t="s">
        <v>6391</v>
      </c>
      <c r="X39" t="s">
        <v>6393</v>
      </c>
      <c r="Y39" t="s">
        <v>97</v>
      </c>
      <c r="Z39" t="s">
        <v>77</v>
      </c>
      <c r="AA39" t="str">
        <f>"10013-5003"</f>
        <v>10013-5003</v>
      </c>
      <c r="AB39" t="s">
        <v>78</v>
      </c>
      <c r="AC39" t="s">
        <v>79</v>
      </c>
      <c r="AD39" t="s">
        <v>75</v>
      </c>
      <c r="AE39" t="s">
        <v>80</v>
      </c>
      <c r="AG39" t="s">
        <v>81</v>
      </c>
    </row>
    <row r="40" spans="1:33" x14ac:dyDescent="0.25">
      <c r="A40" t="str">
        <f>"1841210598"</f>
        <v>1841210598</v>
      </c>
      <c r="B40" t="str">
        <f>"00370594"</f>
        <v>00370594</v>
      </c>
      <c r="C40" t="s">
        <v>6394</v>
      </c>
      <c r="D40" t="s">
        <v>4948</v>
      </c>
      <c r="E40" t="s">
        <v>4949</v>
      </c>
      <c r="G40" t="s">
        <v>6283</v>
      </c>
      <c r="H40" t="s">
        <v>4075</v>
      </c>
      <c r="I40">
        <v>249</v>
      </c>
      <c r="J40" t="s">
        <v>4076</v>
      </c>
      <c r="L40" t="s">
        <v>74</v>
      </c>
      <c r="M40" t="s">
        <v>85</v>
      </c>
      <c r="R40" t="s">
        <v>4950</v>
      </c>
      <c r="W40" t="s">
        <v>4949</v>
      </c>
      <c r="X40" t="s">
        <v>4951</v>
      </c>
      <c r="Y40" t="s">
        <v>4952</v>
      </c>
      <c r="Z40" t="s">
        <v>77</v>
      </c>
      <c r="AA40" t="str">
        <f>"11577-1732"</f>
        <v>11577-1732</v>
      </c>
      <c r="AB40" t="s">
        <v>82</v>
      </c>
      <c r="AC40" t="s">
        <v>79</v>
      </c>
      <c r="AD40" t="s">
        <v>75</v>
      </c>
      <c r="AE40" t="s">
        <v>80</v>
      </c>
      <c r="AG40" t="s">
        <v>81</v>
      </c>
    </row>
    <row r="41" spans="1:33" x14ac:dyDescent="0.25">
      <c r="C41" t="s">
        <v>6395</v>
      </c>
      <c r="G41" t="s">
        <v>6396</v>
      </c>
      <c r="H41" t="s">
        <v>3150</v>
      </c>
      <c r="I41">
        <v>3118</v>
      </c>
      <c r="J41" t="s">
        <v>6397</v>
      </c>
      <c r="K41" t="s">
        <v>99</v>
      </c>
      <c r="L41" t="s">
        <v>100</v>
      </c>
      <c r="M41" t="s">
        <v>75</v>
      </c>
      <c r="N41" t="s">
        <v>6398</v>
      </c>
      <c r="O41" t="s">
        <v>5150</v>
      </c>
      <c r="P41" t="s">
        <v>77</v>
      </c>
      <c r="Q41" t="str">
        <f>"10533"</f>
        <v>10533</v>
      </c>
      <c r="AC41" t="s">
        <v>79</v>
      </c>
      <c r="AD41" t="s">
        <v>75</v>
      </c>
      <c r="AE41" t="s">
        <v>101</v>
      </c>
      <c r="AG41" t="s">
        <v>81</v>
      </c>
    </row>
    <row r="42" spans="1:33" x14ac:dyDescent="0.25">
      <c r="A42" t="str">
        <f>"1689892713"</f>
        <v>1689892713</v>
      </c>
      <c r="C42" t="s">
        <v>6399</v>
      </c>
      <c r="G42" t="s">
        <v>6400</v>
      </c>
      <c r="H42" t="s">
        <v>6401</v>
      </c>
      <c r="I42">
        <v>202</v>
      </c>
      <c r="J42" t="s">
        <v>6402</v>
      </c>
      <c r="K42" t="s">
        <v>99</v>
      </c>
      <c r="L42" t="s">
        <v>102</v>
      </c>
      <c r="M42" t="s">
        <v>75</v>
      </c>
      <c r="R42" t="s">
        <v>6403</v>
      </c>
      <c r="S42" t="s">
        <v>6404</v>
      </c>
      <c r="T42" t="s">
        <v>97</v>
      </c>
      <c r="U42" t="s">
        <v>77</v>
      </c>
      <c r="V42" t="str">
        <f>"100311001"</f>
        <v>100311001</v>
      </c>
      <c r="AC42" t="s">
        <v>79</v>
      </c>
      <c r="AD42" t="s">
        <v>75</v>
      </c>
      <c r="AE42" t="s">
        <v>103</v>
      </c>
      <c r="AG42" t="s">
        <v>81</v>
      </c>
    </row>
    <row r="43" spans="1:33" x14ac:dyDescent="0.25">
      <c r="C43" t="s">
        <v>6405</v>
      </c>
      <c r="G43" t="s">
        <v>6406</v>
      </c>
      <c r="H43" t="s">
        <v>6407</v>
      </c>
      <c r="J43" t="s">
        <v>6408</v>
      </c>
      <c r="K43" t="s">
        <v>99</v>
      </c>
      <c r="L43" t="s">
        <v>100</v>
      </c>
      <c r="M43" t="s">
        <v>75</v>
      </c>
      <c r="N43" t="s">
        <v>6409</v>
      </c>
      <c r="O43" t="s">
        <v>296</v>
      </c>
      <c r="P43" t="s">
        <v>6410</v>
      </c>
      <c r="Q43" t="str">
        <f>"10455"</f>
        <v>10455</v>
      </c>
      <c r="AC43" t="s">
        <v>79</v>
      </c>
      <c r="AD43" t="s">
        <v>75</v>
      </c>
      <c r="AE43" t="s">
        <v>101</v>
      </c>
      <c r="AG43" t="s">
        <v>81</v>
      </c>
    </row>
    <row r="44" spans="1:33" x14ac:dyDescent="0.25">
      <c r="C44" t="s">
        <v>6411</v>
      </c>
      <c r="G44" t="s">
        <v>6406</v>
      </c>
      <c r="H44" t="s">
        <v>6407</v>
      </c>
      <c r="J44" t="s">
        <v>6408</v>
      </c>
      <c r="K44" t="s">
        <v>99</v>
      </c>
      <c r="L44" t="s">
        <v>100</v>
      </c>
      <c r="M44" t="s">
        <v>75</v>
      </c>
      <c r="N44" t="s">
        <v>6409</v>
      </c>
      <c r="O44" t="s">
        <v>296</v>
      </c>
      <c r="P44" t="s">
        <v>6410</v>
      </c>
      <c r="Q44" t="str">
        <f>"10455"</f>
        <v>10455</v>
      </c>
      <c r="AC44" t="s">
        <v>79</v>
      </c>
      <c r="AD44" t="s">
        <v>75</v>
      </c>
      <c r="AE44" t="s">
        <v>101</v>
      </c>
      <c r="AG44" t="s">
        <v>81</v>
      </c>
    </row>
    <row r="45" spans="1:33" x14ac:dyDescent="0.25">
      <c r="C45" t="s">
        <v>6412</v>
      </c>
      <c r="G45" t="s">
        <v>6406</v>
      </c>
      <c r="H45" t="s">
        <v>6407</v>
      </c>
      <c r="J45" t="s">
        <v>6408</v>
      </c>
      <c r="K45" t="s">
        <v>99</v>
      </c>
      <c r="L45" t="s">
        <v>100</v>
      </c>
      <c r="M45" t="s">
        <v>75</v>
      </c>
      <c r="N45" t="s">
        <v>6409</v>
      </c>
      <c r="O45" t="s">
        <v>296</v>
      </c>
      <c r="P45" t="s">
        <v>6410</v>
      </c>
      <c r="Q45" t="str">
        <f>"10455"</f>
        <v>10455</v>
      </c>
      <c r="AC45" t="s">
        <v>79</v>
      </c>
      <c r="AD45" t="s">
        <v>75</v>
      </c>
      <c r="AE45" t="s">
        <v>101</v>
      </c>
      <c r="AG45" t="s">
        <v>81</v>
      </c>
    </row>
    <row r="46" spans="1:33" x14ac:dyDescent="0.25">
      <c r="C46" t="s">
        <v>6413</v>
      </c>
      <c r="G46" t="s">
        <v>6414</v>
      </c>
      <c r="H46" t="s">
        <v>3150</v>
      </c>
      <c r="I46">
        <v>3118</v>
      </c>
      <c r="J46" t="s">
        <v>6415</v>
      </c>
      <c r="K46" t="s">
        <v>99</v>
      </c>
      <c r="L46" t="s">
        <v>100</v>
      </c>
      <c r="M46" t="s">
        <v>75</v>
      </c>
      <c r="N46" t="s">
        <v>6398</v>
      </c>
      <c r="O46" t="s">
        <v>5150</v>
      </c>
      <c r="P46" t="s">
        <v>77</v>
      </c>
      <c r="Q46" t="str">
        <f>"10533"</f>
        <v>10533</v>
      </c>
      <c r="AC46" t="s">
        <v>79</v>
      </c>
      <c r="AD46" t="s">
        <v>75</v>
      </c>
      <c r="AE46" t="s">
        <v>101</v>
      </c>
      <c r="AG46" t="s">
        <v>81</v>
      </c>
    </row>
    <row r="47" spans="1:33" x14ac:dyDescent="0.25">
      <c r="C47" t="s">
        <v>6416</v>
      </c>
      <c r="G47" t="s">
        <v>6417</v>
      </c>
      <c r="H47" t="s">
        <v>3150</v>
      </c>
      <c r="I47">
        <v>3118</v>
      </c>
      <c r="J47" t="s">
        <v>6418</v>
      </c>
      <c r="K47" t="s">
        <v>99</v>
      </c>
      <c r="L47" t="s">
        <v>100</v>
      </c>
      <c r="M47" t="s">
        <v>75</v>
      </c>
      <c r="N47" t="s">
        <v>6398</v>
      </c>
      <c r="O47" t="s">
        <v>5150</v>
      </c>
      <c r="P47" t="s">
        <v>77</v>
      </c>
      <c r="Q47" t="str">
        <f>"10533"</f>
        <v>10533</v>
      </c>
      <c r="AC47" t="s">
        <v>79</v>
      </c>
      <c r="AD47" t="s">
        <v>75</v>
      </c>
      <c r="AE47" t="s">
        <v>101</v>
      </c>
      <c r="AG47" t="s">
        <v>81</v>
      </c>
    </row>
    <row r="48" spans="1:33" x14ac:dyDescent="0.25">
      <c r="A48" t="str">
        <f>"1568429843"</f>
        <v>1568429843</v>
      </c>
      <c r="B48" t="str">
        <f>"00908452"</f>
        <v>00908452</v>
      </c>
      <c r="C48" t="s">
        <v>6419</v>
      </c>
      <c r="D48" t="s">
        <v>6420</v>
      </c>
      <c r="E48" t="s">
        <v>6421</v>
      </c>
      <c r="G48" t="s">
        <v>6380</v>
      </c>
      <c r="H48" t="s">
        <v>4625</v>
      </c>
      <c r="J48" t="s">
        <v>6381</v>
      </c>
      <c r="L48" t="s">
        <v>83</v>
      </c>
      <c r="M48" t="s">
        <v>75</v>
      </c>
      <c r="R48" t="s">
        <v>6422</v>
      </c>
      <c r="W48" t="s">
        <v>6421</v>
      </c>
      <c r="X48" t="s">
        <v>6423</v>
      </c>
      <c r="Y48" t="s">
        <v>2220</v>
      </c>
      <c r="Z48" t="s">
        <v>77</v>
      </c>
      <c r="AA48" t="str">
        <f>"10924"</f>
        <v>10924</v>
      </c>
      <c r="AB48" t="s">
        <v>78</v>
      </c>
      <c r="AC48" t="s">
        <v>79</v>
      </c>
      <c r="AD48" t="s">
        <v>75</v>
      </c>
      <c r="AE48" t="s">
        <v>80</v>
      </c>
      <c r="AG48" t="s">
        <v>81</v>
      </c>
    </row>
    <row r="49" spans="1:33" x14ac:dyDescent="0.25">
      <c r="C49" t="s">
        <v>6424</v>
      </c>
      <c r="G49" t="s">
        <v>6425</v>
      </c>
      <c r="H49" t="s">
        <v>6426</v>
      </c>
      <c r="K49" t="s">
        <v>206</v>
      </c>
      <c r="L49" t="s">
        <v>100</v>
      </c>
      <c r="M49" t="s">
        <v>75</v>
      </c>
      <c r="N49" t="s">
        <v>6427</v>
      </c>
      <c r="O49" t="s">
        <v>296</v>
      </c>
      <c r="P49" t="s">
        <v>77</v>
      </c>
      <c r="AC49" t="s">
        <v>79</v>
      </c>
      <c r="AD49" t="s">
        <v>75</v>
      </c>
      <c r="AE49" t="s">
        <v>101</v>
      </c>
      <c r="AG49" t="s">
        <v>81</v>
      </c>
    </row>
    <row r="50" spans="1:33" x14ac:dyDescent="0.25">
      <c r="C50" t="s">
        <v>6428</v>
      </c>
      <c r="G50" t="s">
        <v>6425</v>
      </c>
      <c r="H50" t="s">
        <v>3557</v>
      </c>
      <c r="K50" t="s">
        <v>206</v>
      </c>
      <c r="L50" t="s">
        <v>100</v>
      </c>
      <c r="M50" t="s">
        <v>75</v>
      </c>
      <c r="N50" t="s">
        <v>6429</v>
      </c>
      <c r="O50" t="s">
        <v>296</v>
      </c>
      <c r="P50" t="s">
        <v>77</v>
      </c>
      <c r="AC50" t="s">
        <v>79</v>
      </c>
      <c r="AD50" t="s">
        <v>75</v>
      </c>
      <c r="AE50" t="s">
        <v>101</v>
      </c>
      <c r="AG50" t="s">
        <v>81</v>
      </c>
    </row>
    <row r="51" spans="1:33" x14ac:dyDescent="0.25">
      <c r="C51" t="s">
        <v>6430</v>
      </c>
      <c r="H51" t="s">
        <v>6431</v>
      </c>
      <c r="K51" t="s">
        <v>99</v>
      </c>
      <c r="L51" t="s">
        <v>100</v>
      </c>
      <c r="M51" t="s">
        <v>75</v>
      </c>
      <c r="N51" t="s">
        <v>6432</v>
      </c>
      <c r="O51" t="s">
        <v>296</v>
      </c>
      <c r="P51" t="s">
        <v>77</v>
      </c>
      <c r="Q51" t="str">
        <f>"10457"</f>
        <v>10457</v>
      </c>
      <c r="AC51" t="s">
        <v>79</v>
      </c>
      <c r="AD51" t="s">
        <v>75</v>
      </c>
      <c r="AE51" t="s">
        <v>101</v>
      </c>
      <c r="AG51" t="s">
        <v>81</v>
      </c>
    </row>
    <row r="52" spans="1:33" x14ac:dyDescent="0.25">
      <c r="A52" t="str">
        <f>"1710944301"</f>
        <v>1710944301</v>
      </c>
      <c r="B52" t="str">
        <f>"00480855"</f>
        <v>00480855</v>
      </c>
      <c r="C52" t="s">
        <v>6433</v>
      </c>
      <c r="D52" t="s">
        <v>6434</v>
      </c>
      <c r="E52" t="s">
        <v>6435</v>
      </c>
      <c r="H52" t="s">
        <v>6436</v>
      </c>
      <c r="L52" t="s">
        <v>83</v>
      </c>
      <c r="M52" t="s">
        <v>75</v>
      </c>
      <c r="R52" t="s">
        <v>6437</v>
      </c>
      <c r="W52" t="s">
        <v>6435</v>
      </c>
      <c r="X52" t="s">
        <v>228</v>
      </c>
      <c r="Y52" t="s">
        <v>91</v>
      </c>
      <c r="Z52" t="s">
        <v>77</v>
      </c>
      <c r="AA52" t="str">
        <f>"11373-1329"</f>
        <v>11373-1329</v>
      </c>
      <c r="AB52" t="s">
        <v>78</v>
      </c>
      <c r="AC52" t="s">
        <v>79</v>
      </c>
      <c r="AD52" t="s">
        <v>75</v>
      </c>
      <c r="AE52" t="s">
        <v>80</v>
      </c>
      <c r="AG52" t="s">
        <v>81</v>
      </c>
    </row>
    <row r="53" spans="1:33" x14ac:dyDescent="0.25">
      <c r="A53" t="str">
        <f>"1053573576"</f>
        <v>1053573576</v>
      </c>
      <c r="B53" t="str">
        <f>"03473801"</f>
        <v>03473801</v>
      </c>
      <c r="C53" t="s">
        <v>6438</v>
      </c>
      <c r="D53" t="s">
        <v>5445</v>
      </c>
      <c r="E53" t="s">
        <v>5446</v>
      </c>
      <c r="H53" t="s">
        <v>6439</v>
      </c>
      <c r="L53" t="s">
        <v>83</v>
      </c>
      <c r="M53" t="s">
        <v>75</v>
      </c>
      <c r="R53" t="s">
        <v>5447</v>
      </c>
      <c r="W53" t="s">
        <v>5446</v>
      </c>
      <c r="X53" t="s">
        <v>258</v>
      </c>
      <c r="Y53" t="s">
        <v>131</v>
      </c>
      <c r="Z53" t="s">
        <v>77</v>
      </c>
      <c r="AA53" t="str">
        <f>"10467-2401"</f>
        <v>10467-2401</v>
      </c>
      <c r="AB53" t="s">
        <v>78</v>
      </c>
      <c r="AC53" t="s">
        <v>79</v>
      </c>
      <c r="AD53" t="s">
        <v>75</v>
      </c>
      <c r="AE53" t="s">
        <v>80</v>
      </c>
      <c r="AG53" t="s">
        <v>81</v>
      </c>
    </row>
    <row r="54" spans="1:33" x14ac:dyDescent="0.25">
      <c r="A54" t="str">
        <f>"1932337169"</f>
        <v>1932337169</v>
      </c>
      <c r="B54" t="str">
        <f>"03652297"</f>
        <v>03652297</v>
      </c>
      <c r="C54" t="s">
        <v>6440</v>
      </c>
      <c r="D54" t="s">
        <v>6441</v>
      </c>
      <c r="E54" t="s">
        <v>6442</v>
      </c>
      <c r="G54" t="s">
        <v>6367</v>
      </c>
      <c r="H54" t="s">
        <v>4625</v>
      </c>
      <c r="J54" t="s">
        <v>6368</v>
      </c>
      <c r="L54" t="s">
        <v>94</v>
      </c>
      <c r="M54" t="s">
        <v>85</v>
      </c>
      <c r="R54" t="s">
        <v>6442</v>
      </c>
      <c r="W54" t="s">
        <v>6442</v>
      </c>
      <c r="X54" t="s">
        <v>6443</v>
      </c>
      <c r="Y54" t="s">
        <v>6444</v>
      </c>
      <c r="Z54" t="s">
        <v>156</v>
      </c>
      <c r="AA54" t="str">
        <f>"07094"</f>
        <v>07094</v>
      </c>
      <c r="AB54" t="s">
        <v>78</v>
      </c>
      <c r="AC54" t="s">
        <v>79</v>
      </c>
      <c r="AD54" t="s">
        <v>75</v>
      </c>
      <c r="AE54" t="s">
        <v>80</v>
      </c>
      <c r="AG54" t="s">
        <v>81</v>
      </c>
    </row>
    <row r="55" spans="1:33" x14ac:dyDescent="0.25">
      <c r="A55" t="str">
        <f>"1932126992"</f>
        <v>1932126992</v>
      </c>
      <c r="B55" t="str">
        <f>"00913713"</f>
        <v>00913713</v>
      </c>
      <c r="C55" t="s">
        <v>6445</v>
      </c>
      <c r="D55" t="s">
        <v>6446</v>
      </c>
      <c r="E55" t="s">
        <v>6447</v>
      </c>
      <c r="G55" t="s">
        <v>6367</v>
      </c>
      <c r="H55" t="s">
        <v>4625</v>
      </c>
      <c r="J55" t="s">
        <v>6368</v>
      </c>
      <c r="L55" t="s">
        <v>83</v>
      </c>
      <c r="M55" t="s">
        <v>85</v>
      </c>
      <c r="R55" t="s">
        <v>6448</v>
      </c>
      <c r="W55" t="s">
        <v>6449</v>
      </c>
      <c r="Y55" t="s">
        <v>2220</v>
      </c>
      <c r="Z55" t="s">
        <v>77</v>
      </c>
      <c r="AA55" t="str">
        <f>"10924-2499"</f>
        <v>10924-2499</v>
      </c>
      <c r="AB55" t="s">
        <v>78</v>
      </c>
      <c r="AC55" t="s">
        <v>79</v>
      </c>
      <c r="AD55" t="s">
        <v>75</v>
      </c>
      <c r="AE55" t="s">
        <v>80</v>
      </c>
      <c r="AG55" t="s">
        <v>81</v>
      </c>
    </row>
    <row r="56" spans="1:33" x14ac:dyDescent="0.25">
      <c r="A56" t="str">
        <f>"1821069741"</f>
        <v>1821069741</v>
      </c>
      <c r="B56" t="str">
        <f>"01913735"</f>
        <v>01913735</v>
      </c>
      <c r="C56" t="s">
        <v>6450</v>
      </c>
      <c r="D56" t="s">
        <v>6451</v>
      </c>
      <c r="E56" t="s">
        <v>6452</v>
      </c>
      <c r="G56" t="s">
        <v>6278</v>
      </c>
      <c r="H56" t="s">
        <v>6279</v>
      </c>
      <c r="J56" t="s">
        <v>6280</v>
      </c>
      <c r="L56" t="s">
        <v>83</v>
      </c>
      <c r="M56" t="s">
        <v>75</v>
      </c>
      <c r="R56" t="s">
        <v>6453</v>
      </c>
      <c r="W56" t="s">
        <v>6452</v>
      </c>
      <c r="X56" t="s">
        <v>6454</v>
      </c>
      <c r="Y56" t="s">
        <v>87</v>
      </c>
      <c r="Z56" t="s">
        <v>77</v>
      </c>
      <c r="AA56" t="str">
        <f>"11212-5045"</f>
        <v>11212-5045</v>
      </c>
      <c r="AB56" t="s">
        <v>78</v>
      </c>
      <c r="AC56" t="s">
        <v>79</v>
      </c>
      <c r="AD56" t="s">
        <v>75</v>
      </c>
      <c r="AE56" t="s">
        <v>80</v>
      </c>
      <c r="AG56" t="s">
        <v>81</v>
      </c>
    </row>
    <row r="57" spans="1:33" x14ac:dyDescent="0.25">
      <c r="A57" t="str">
        <f>"1023116746"</f>
        <v>1023116746</v>
      </c>
      <c r="B57" t="str">
        <f>"02738085"</f>
        <v>02738085</v>
      </c>
      <c r="C57" t="s">
        <v>6455</v>
      </c>
      <c r="D57" t="s">
        <v>6015</v>
      </c>
      <c r="E57" t="s">
        <v>6016</v>
      </c>
      <c r="G57" t="s">
        <v>6367</v>
      </c>
      <c r="H57" t="s">
        <v>4625</v>
      </c>
      <c r="J57" t="s">
        <v>6368</v>
      </c>
      <c r="L57" t="s">
        <v>83</v>
      </c>
      <c r="M57" t="s">
        <v>85</v>
      </c>
      <c r="R57" t="s">
        <v>6017</v>
      </c>
      <c r="W57" t="s">
        <v>6018</v>
      </c>
      <c r="X57" t="s">
        <v>323</v>
      </c>
      <c r="Y57" t="s">
        <v>87</v>
      </c>
      <c r="Z57" t="s">
        <v>77</v>
      </c>
      <c r="AA57" t="str">
        <f>"11201-5509"</f>
        <v>11201-5509</v>
      </c>
      <c r="AB57" t="s">
        <v>78</v>
      </c>
      <c r="AC57" t="s">
        <v>79</v>
      </c>
      <c r="AD57" t="s">
        <v>75</v>
      </c>
      <c r="AE57" t="s">
        <v>80</v>
      </c>
      <c r="AG57" t="s">
        <v>81</v>
      </c>
    </row>
    <row r="58" spans="1:33" x14ac:dyDescent="0.25">
      <c r="A58" t="str">
        <f>"1245432590"</f>
        <v>1245432590</v>
      </c>
      <c r="B58" t="str">
        <f>"02427058"</f>
        <v>02427058</v>
      </c>
      <c r="C58" t="s">
        <v>6456</v>
      </c>
      <c r="D58" t="s">
        <v>4249</v>
      </c>
      <c r="E58" t="s">
        <v>4250</v>
      </c>
      <c r="G58" t="s">
        <v>6283</v>
      </c>
      <c r="H58" t="s">
        <v>4075</v>
      </c>
      <c r="I58">
        <v>249</v>
      </c>
      <c r="J58" t="s">
        <v>4076</v>
      </c>
      <c r="L58" t="s">
        <v>74</v>
      </c>
      <c r="M58" t="s">
        <v>85</v>
      </c>
      <c r="R58" t="s">
        <v>4251</v>
      </c>
      <c r="W58" t="s">
        <v>4250</v>
      </c>
      <c r="X58" t="s">
        <v>4252</v>
      </c>
      <c r="Y58" t="s">
        <v>131</v>
      </c>
      <c r="Z58" t="s">
        <v>77</v>
      </c>
      <c r="AA58" t="str">
        <f>"10468-4648"</f>
        <v>10468-4648</v>
      </c>
      <c r="AB58" t="s">
        <v>82</v>
      </c>
      <c r="AC58" t="s">
        <v>79</v>
      </c>
      <c r="AD58" t="s">
        <v>75</v>
      </c>
      <c r="AE58" t="s">
        <v>80</v>
      </c>
      <c r="AG58" t="s">
        <v>81</v>
      </c>
    </row>
    <row r="59" spans="1:33" x14ac:dyDescent="0.25">
      <c r="C59" t="s">
        <v>6457</v>
      </c>
      <c r="G59" t="s">
        <v>6457</v>
      </c>
      <c r="H59" t="s">
        <v>6458</v>
      </c>
      <c r="J59" t="s">
        <v>6459</v>
      </c>
      <c r="K59" t="s">
        <v>99</v>
      </c>
      <c r="L59" t="s">
        <v>100</v>
      </c>
      <c r="M59" t="s">
        <v>75</v>
      </c>
      <c r="N59" t="s">
        <v>6460</v>
      </c>
      <c r="O59" t="s">
        <v>77</v>
      </c>
      <c r="P59" t="s">
        <v>6461</v>
      </c>
      <c r="Q59" t="str">
        <f>"10025"</f>
        <v>10025</v>
      </c>
      <c r="AC59" t="s">
        <v>79</v>
      </c>
      <c r="AD59" t="s">
        <v>75</v>
      </c>
      <c r="AE59" t="s">
        <v>101</v>
      </c>
      <c r="AG59" t="s">
        <v>81</v>
      </c>
    </row>
    <row r="60" spans="1:33" x14ac:dyDescent="0.25">
      <c r="C60" t="s">
        <v>6462</v>
      </c>
      <c r="G60" t="s">
        <v>6462</v>
      </c>
      <c r="H60" t="s">
        <v>6463</v>
      </c>
      <c r="I60">
        <v>2047</v>
      </c>
      <c r="J60" t="s">
        <v>6464</v>
      </c>
      <c r="K60" t="s">
        <v>99</v>
      </c>
      <c r="L60" t="s">
        <v>100</v>
      </c>
      <c r="M60" t="s">
        <v>75</v>
      </c>
      <c r="N60" t="s">
        <v>6465</v>
      </c>
      <c r="O60" t="s">
        <v>77</v>
      </c>
      <c r="P60" t="s">
        <v>6461</v>
      </c>
      <c r="Q60" t="str">
        <f>"10025"</f>
        <v>10025</v>
      </c>
      <c r="AC60" t="s">
        <v>79</v>
      </c>
      <c r="AD60" t="s">
        <v>75</v>
      </c>
      <c r="AE60" t="s">
        <v>101</v>
      </c>
      <c r="AG60" t="s">
        <v>81</v>
      </c>
    </row>
    <row r="61" spans="1:33" x14ac:dyDescent="0.25">
      <c r="A61" t="str">
        <f>"1679662415"</f>
        <v>1679662415</v>
      </c>
      <c r="B61" t="str">
        <f>"02821158"</f>
        <v>02821158</v>
      </c>
      <c r="C61" t="s">
        <v>6466</v>
      </c>
      <c r="D61" t="s">
        <v>6467</v>
      </c>
      <c r="E61" t="s">
        <v>6468</v>
      </c>
      <c r="G61" t="s">
        <v>6466</v>
      </c>
      <c r="H61" t="s">
        <v>6469</v>
      </c>
      <c r="J61" t="s">
        <v>6470</v>
      </c>
      <c r="L61" t="s">
        <v>84</v>
      </c>
      <c r="M61" t="s">
        <v>85</v>
      </c>
      <c r="R61" t="s">
        <v>6471</v>
      </c>
      <c r="W61" t="s">
        <v>6468</v>
      </c>
      <c r="X61" t="s">
        <v>6472</v>
      </c>
      <c r="Y61" t="s">
        <v>87</v>
      </c>
      <c r="Z61" t="s">
        <v>77</v>
      </c>
      <c r="AA61" t="str">
        <f>"11212-4751"</f>
        <v>11212-4751</v>
      </c>
      <c r="AB61" t="s">
        <v>78</v>
      </c>
      <c r="AC61" t="s">
        <v>79</v>
      </c>
      <c r="AD61" t="s">
        <v>75</v>
      </c>
      <c r="AE61" t="s">
        <v>80</v>
      </c>
      <c r="AG61" t="s">
        <v>81</v>
      </c>
    </row>
    <row r="62" spans="1:33" x14ac:dyDescent="0.25">
      <c r="A62" t="str">
        <f>"1932124831"</f>
        <v>1932124831</v>
      </c>
      <c r="B62" t="str">
        <f>"00442360"</f>
        <v>00442360</v>
      </c>
      <c r="C62" t="s">
        <v>6473</v>
      </c>
      <c r="D62" t="s">
        <v>5116</v>
      </c>
      <c r="E62" t="s">
        <v>5117</v>
      </c>
      <c r="G62" t="s">
        <v>6474</v>
      </c>
      <c r="H62" t="s">
        <v>252</v>
      </c>
      <c r="J62" t="s">
        <v>628</v>
      </c>
      <c r="L62" t="s">
        <v>74</v>
      </c>
      <c r="M62" t="s">
        <v>85</v>
      </c>
      <c r="W62" t="s">
        <v>5117</v>
      </c>
      <c r="X62" t="s">
        <v>5118</v>
      </c>
      <c r="Y62" t="s">
        <v>97</v>
      </c>
      <c r="Z62" t="s">
        <v>77</v>
      </c>
      <c r="AA62" t="str">
        <f>"10010-4616"</f>
        <v>10010-4616</v>
      </c>
      <c r="AB62" t="s">
        <v>78</v>
      </c>
      <c r="AC62" t="s">
        <v>79</v>
      </c>
      <c r="AD62" t="s">
        <v>75</v>
      </c>
      <c r="AE62" t="s">
        <v>80</v>
      </c>
      <c r="AG62" t="s">
        <v>81</v>
      </c>
    </row>
    <row r="63" spans="1:33" x14ac:dyDescent="0.25">
      <c r="A63" t="str">
        <f>"1679644264"</f>
        <v>1679644264</v>
      </c>
      <c r="B63" t="str">
        <f>"00842911"</f>
        <v>00842911</v>
      </c>
      <c r="C63" t="s">
        <v>6475</v>
      </c>
      <c r="D63" t="s">
        <v>3294</v>
      </c>
      <c r="E63" t="s">
        <v>3295</v>
      </c>
      <c r="G63" t="s">
        <v>6474</v>
      </c>
      <c r="H63" t="s">
        <v>252</v>
      </c>
      <c r="J63" t="s">
        <v>628</v>
      </c>
      <c r="L63" t="s">
        <v>94</v>
      </c>
      <c r="M63" t="s">
        <v>85</v>
      </c>
      <c r="R63" t="s">
        <v>3296</v>
      </c>
      <c r="W63" t="s">
        <v>3295</v>
      </c>
      <c r="X63" t="s">
        <v>1801</v>
      </c>
      <c r="Y63" t="s">
        <v>87</v>
      </c>
      <c r="Z63" t="s">
        <v>77</v>
      </c>
      <c r="AA63" t="str">
        <f>"11201-1093"</f>
        <v>11201-1093</v>
      </c>
      <c r="AB63" t="s">
        <v>78</v>
      </c>
      <c r="AC63" t="s">
        <v>79</v>
      </c>
      <c r="AD63" t="s">
        <v>75</v>
      </c>
      <c r="AE63" t="s">
        <v>80</v>
      </c>
      <c r="AG63" t="s">
        <v>81</v>
      </c>
    </row>
    <row r="64" spans="1:33" x14ac:dyDescent="0.25">
      <c r="A64" t="str">
        <f>"1790777894"</f>
        <v>1790777894</v>
      </c>
      <c r="B64" t="str">
        <f>"01443796"</f>
        <v>01443796</v>
      </c>
      <c r="C64" t="s">
        <v>6476</v>
      </c>
      <c r="D64" t="s">
        <v>256</v>
      </c>
      <c r="E64" t="s">
        <v>257</v>
      </c>
      <c r="G64" t="s">
        <v>6474</v>
      </c>
      <c r="H64" t="s">
        <v>252</v>
      </c>
      <c r="J64" t="s">
        <v>628</v>
      </c>
      <c r="L64" t="s">
        <v>83</v>
      </c>
      <c r="M64" t="s">
        <v>85</v>
      </c>
      <c r="R64" t="s">
        <v>255</v>
      </c>
      <c r="W64" t="s">
        <v>257</v>
      </c>
      <c r="Y64" t="s">
        <v>131</v>
      </c>
      <c r="Z64" t="s">
        <v>77</v>
      </c>
      <c r="AA64" t="str">
        <f>"10458-5394"</f>
        <v>10458-5394</v>
      </c>
      <c r="AB64" t="s">
        <v>78</v>
      </c>
      <c r="AC64" t="s">
        <v>79</v>
      </c>
      <c r="AD64" t="s">
        <v>75</v>
      </c>
      <c r="AE64" t="s">
        <v>80</v>
      </c>
      <c r="AG64" t="s">
        <v>81</v>
      </c>
    </row>
    <row r="65" spans="1:33" x14ac:dyDescent="0.25">
      <c r="A65" t="str">
        <f>"1811054612"</f>
        <v>1811054612</v>
      </c>
      <c r="B65" t="str">
        <f>"01135120"</f>
        <v>01135120</v>
      </c>
      <c r="C65" t="s">
        <v>6477</v>
      </c>
      <c r="D65" t="s">
        <v>5892</v>
      </c>
      <c r="E65" t="s">
        <v>5893</v>
      </c>
      <c r="G65" t="s">
        <v>6478</v>
      </c>
      <c r="H65" t="s">
        <v>6479</v>
      </c>
      <c r="J65" t="s">
        <v>6480</v>
      </c>
      <c r="L65" t="s">
        <v>105</v>
      </c>
      <c r="M65" t="s">
        <v>75</v>
      </c>
      <c r="R65" t="s">
        <v>5894</v>
      </c>
      <c r="W65" t="s">
        <v>5893</v>
      </c>
      <c r="X65" t="s">
        <v>269</v>
      </c>
      <c r="Y65" t="s">
        <v>165</v>
      </c>
      <c r="Z65" t="s">
        <v>77</v>
      </c>
      <c r="AA65" t="str">
        <f>"11004-1150"</f>
        <v>11004-1150</v>
      </c>
      <c r="AB65" t="s">
        <v>78</v>
      </c>
      <c r="AC65" t="s">
        <v>79</v>
      </c>
      <c r="AD65" t="s">
        <v>75</v>
      </c>
      <c r="AE65" t="s">
        <v>80</v>
      </c>
      <c r="AG65" t="s">
        <v>81</v>
      </c>
    </row>
    <row r="66" spans="1:33" x14ac:dyDescent="0.25">
      <c r="A66" t="str">
        <f>"1275781452"</f>
        <v>1275781452</v>
      </c>
      <c r="B66" t="str">
        <f>"03022039"</f>
        <v>03022039</v>
      </c>
      <c r="C66" t="s">
        <v>6481</v>
      </c>
      <c r="D66" t="s">
        <v>6482</v>
      </c>
      <c r="E66" t="s">
        <v>6483</v>
      </c>
      <c r="G66" t="s">
        <v>6484</v>
      </c>
      <c r="H66" t="s">
        <v>6485</v>
      </c>
      <c r="J66" t="s">
        <v>6486</v>
      </c>
      <c r="L66" t="s">
        <v>105</v>
      </c>
      <c r="M66" t="s">
        <v>75</v>
      </c>
      <c r="R66" t="s">
        <v>6483</v>
      </c>
      <c r="W66" t="s">
        <v>6487</v>
      </c>
      <c r="X66" t="s">
        <v>5450</v>
      </c>
      <c r="Y66" t="s">
        <v>97</v>
      </c>
      <c r="Z66" t="s">
        <v>77</v>
      </c>
      <c r="AA66" t="str">
        <f>"10011-3601"</f>
        <v>10011-3601</v>
      </c>
      <c r="AB66" t="s">
        <v>78</v>
      </c>
      <c r="AC66" t="s">
        <v>79</v>
      </c>
      <c r="AD66" t="s">
        <v>75</v>
      </c>
      <c r="AE66" t="s">
        <v>80</v>
      </c>
      <c r="AG66" t="s">
        <v>81</v>
      </c>
    </row>
    <row r="67" spans="1:33" x14ac:dyDescent="0.25">
      <c r="A67" t="str">
        <f>"1033379540"</f>
        <v>1033379540</v>
      </c>
      <c r="B67" t="str">
        <f>"03084613"</f>
        <v>03084613</v>
      </c>
      <c r="C67" t="s">
        <v>6488</v>
      </c>
      <c r="D67" t="s">
        <v>3780</v>
      </c>
      <c r="E67" t="s">
        <v>3781</v>
      </c>
      <c r="G67" t="s">
        <v>6486</v>
      </c>
      <c r="J67" t="s">
        <v>6489</v>
      </c>
      <c r="L67" t="s">
        <v>84</v>
      </c>
      <c r="M67" t="s">
        <v>85</v>
      </c>
      <c r="R67" t="s">
        <v>3782</v>
      </c>
      <c r="W67" t="s">
        <v>3783</v>
      </c>
      <c r="X67" t="s">
        <v>3784</v>
      </c>
      <c r="Y67" t="s">
        <v>97</v>
      </c>
      <c r="Z67" t="s">
        <v>77</v>
      </c>
      <c r="AA67" t="str">
        <f>"10029-6500"</f>
        <v>10029-6500</v>
      </c>
      <c r="AB67" t="s">
        <v>78</v>
      </c>
      <c r="AC67" t="s">
        <v>79</v>
      </c>
      <c r="AD67" t="s">
        <v>75</v>
      </c>
      <c r="AE67" t="s">
        <v>80</v>
      </c>
      <c r="AG67" t="s">
        <v>81</v>
      </c>
    </row>
    <row r="68" spans="1:33" x14ac:dyDescent="0.25">
      <c r="A68" t="str">
        <f>"1891010286"</f>
        <v>1891010286</v>
      </c>
      <c r="B68" t="str">
        <f>"03776712"</f>
        <v>03776712</v>
      </c>
      <c r="C68" t="s">
        <v>6490</v>
      </c>
      <c r="D68" t="s">
        <v>2975</v>
      </c>
      <c r="E68" t="s">
        <v>2976</v>
      </c>
      <c r="G68" t="s">
        <v>6474</v>
      </c>
      <c r="H68" t="s">
        <v>252</v>
      </c>
      <c r="J68" t="s">
        <v>628</v>
      </c>
      <c r="L68" t="s">
        <v>84</v>
      </c>
      <c r="M68" t="s">
        <v>85</v>
      </c>
      <c r="R68" t="s">
        <v>2977</v>
      </c>
      <c r="W68" t="s">
        <v>2976</v>
      </c>
      <c r="X68" t="s">
        <v>2978</v>
      </c>
      <c r="Y68" t="s">
        <v>97</v>
      </c>
      <c r="Z68" t="s">
        <v>77</v>
      </c>
      <c r="AA68" t="str">
        <f>"10013-4615"</f>
        <v>10013-4615</v>
      </c>
      <c r="AB68" t="s">
        <v>78</v>
      </c>
      <c r="AC68" t="s">
        <v>79</v>
      </c>
      <c r="AD68" t="s">
        <v>75</v>
      </c>
      <c r="AE68" t="s">
        <v>80</v>
      </c>
      <c r="AG68" t="s">
        <v>81</v>
      </c>
    </row>
    <row r="69" spans="1:33" x14ac:dyDescent="0.25">
      <c r="A69" t="str">
        <f>"1801901061"</f>
        <v>1801901061</v>
      </c>
      <c r="B69" t="str">
        <f>"02605925"</f>
        <v>02605925</v>
      </c>
      <c r="C69" t="s">
        <v>6491</v>
      </c>
      <c r="D69" t="s">
        <v>6492</v>
      </c>
      <c r="E69" t="s">
        <v>6493</v>
      </c>
      <c r="G69" t="s">
        <v>6494</v>
      </c>
      <c r="H69" t="s">
        <v>6495</v>
      </c>
      <c r="J69" t="s">
        <v>6496</v>
      </c>
      <c r="L69" t="s">
        <v>74</v>
      </c>
      <c r="M69" t="s">
        <v>85</v>
      </c>
      <c r="R69" t="s">
        <v>6493</v>
      </c>
      <c r="W69" t="s">
        <v>6493</v>
      </c>
      <c r="X69" t="s">
        <v>2808</v>
      </c>
      <c r="Y69" t="s">
        <v>97</v>
      </c>
      <c r="Z69" t="s">
        <v>77</v>
      </c>
      <c r="AA69" t="str">
        <f>"10025-6450"</f>
        <v>10025-6450</v>
      </c>
      <c r="AB69" t="s">
        <v>82</v>
      </c>
      <c r="AC69" t="s">
        <v>79</v>
      </c>
      <c r="AD69" t="s">
        <v>75</v>
      </c>
      <c r="AE69" t="s">
        <v>80</v>
      </c>
      <c r="AG69" t="s">
        <v>81</v>
      </c>
    </row>
    <row r="70" spans="1:33" x14ac:dyDescent="0.25">
      <c r="A70" t="str">
        <f>"1811102239"</f>
        <v>1811102239</v>
      </c>
      <c r="B70" t="str">
        <f>"03193482"</f>
        <v>03193482</v>
      </c>
      <c r="C70" t="s">
        <v>6497</v>
      </c>
      <c r="D70" t="s">
        <v>4997</v>
      </c>
      <c r="E70" t="s">
        <v>4998</v>
      </c>
      <c r="G70" t="s">
        <v>6283</v>
      </c>
      <c r="H70" t="s">
        <v>4075</v>
      </c>
      <c r="I70">
        <v>249</v>
      </c>
      <c r="J70" t="s">
        <v>4076</v>
      </c>
      <c r="L70" t="s">
        <v>74</v>
      </c>
      <c r="M70" t="s">
        <v>85</v>
      </c>
      <c r="R70" t="s">
        <v>4999</v>
      </c>
      <c r="W70" t="s">
        <v>4998</v>
      </c>
      <c r="X70" t="s">
        <v>5000</v>
      </c>
      <c r="Y70" t="s">
        <v>1797</v>
      </c>
      <c r="Z70" t="s">
        <v>77</v>
      </c>
      <c r="AA70" t="str">
        <f>"12550-5414"</f>
        <v>12550-5414</v>
      </c>
      <c r="AB70" t="s">
        <v>82</v>
      </c>
      <c r="AC70" t="s">
        <v>79</v>
      </c>
      <c r="AD70" t="s">
        <v>75</v>
      </c>
      <c r="AE70" t="s">
        <v>80</v>
      </c>
      <c r="AG70" t="s">
        <v>81</v>
      </c>
    </row>
    <row r="71" spans="1:33" x14ac:dyDescent="0.25">
      <c r="A71" t="str">
        <f>"1134404882"</f>
        <v>1134404882</v>
      </c>
      <c r="B71" t="str">
        <f>"03397624"</f>
        <v>03397624</v>
      </c>
      <c r="C71" t="s">
        <v>6498</v>
      </c>
      <c r="D71" t="s">
        <v>6499</v>
      </c>
      <c r="E71" t="s">
        <v>6500</v>
      </c>
      <c r="G71" t="s">
        <v>6367</v>
      </c>
      <c r="H71" t="s">
        <v>4625</v>
      </c>
      <c r="J71" t="s">
        <v>6368</v>
      </c>
      <c r="L71" t="s">
        <v>83</v>
      </c>
      <c r="M71" t="s">
        <v>85</v>
      </c>
      <c r="R71" t="s">
        <v>6501</v>
      </c>
      <c r="W71" t="s">
        <v>6502</v>
      </c>
      <c r="X71" t="s">
        <v>6503</v>
      </c>
      <c r="Y71" t="s">
        <v>1823</v>
      </c>
      <c r="Z71" t="s">
        <v>77</v>
      </c>
      <c r="AA71" t="str">
        <f>"10941-7001"</f>
        <v>10941-7001</v>
      </c>
      <c r="AB71" t="s">
        <v>78</v>
      </c>
      <c r="AC71" t="s">
        <v>79</v>
      </c>
      <c r="AD71" t="s">
        <v>75</v>
      </c>
      <c r="AE71" t="s">
        <v>80</v>
      </c>
      <c r="AG71" t="s">
        <v>81</v>
      </c>
    </row>
    <row r="72" spans="1:33" x14ac:dyDescent="0.25">
      <c r="A72" t="str">
        <f>"1023160124"</f>
        <v>1023160124</v>
      </c>
      <c r="B72" t="str">
        <f>"00989253"</f>
        <v>00989253</v>
      </c>
      <c r="C72" t="s">
        <v>6504</v>
      </c>
      <c r="D72" t="s">
        <v>4253</v>
      </c>
      <c r="E72" t="s">
        <v>4254</v>
      </c>
      <c r="G72" t="s">
        <v>6283</v>
      </c>
      <c r="H72" t="s">
        <v>4075</v>
      </c>
      <c r="I72">
        <v>249</v>
      </c>
      <c r="J72" t="s">
        <v>4076</v>
      </c>
      <c r="L72" t="s">
        <v>74</v>
      </c>
      <c r="M72" t="s">
        <v>85</v>
      </c>
      <c r="R72" t="s">
        <v>4255</v>
      </c>
      <c r="W72" t="s">
        <v>4256</v>
      </c>
      <c r="X72" t="s">
        <v>4257</v>
      </c>
      <c r="Y72" t="s">
        <v>166</v>
      </c>
      <c r="Z72" t="s">
        <v>77</v>
      </c>
      <c r="AA72" t="str">
        <f>"11590-6428"</f>
        <v>11590-6428</v>
      </c>
      <c r="AB72" t="s">
        <v>82</v>
      </c>
      <c r="AC72" t="s">
        <v>79</v>
      </c>
      <c r="AD72" t="s">
        <v>75</v>
      </c>
      <c r="AE72" t="s">
        <v>80</v>
      </c>
      <c r="AG72" t="s">
        <v>81</v>
      </c>
    </row>
    <row r="73" spans="1:33" x14ac:dyDescent="0.25">
      <c r="A73" t="str">
        <f>"1528168283"</f>
        <v>1528168283</v>
      </c>
      <c r="B73" t="str">
        <f>"00285878"</f>
        <v>00285878</v>
      </c>
      <c r="C73" t="s">
        <v>6505</v>
      </c>
      <c r="D73" t="s">
        <v>5038</v>
      </c>
      <c r="E73" t="s">
        <v>5039</v>
      </c>
      <c r="G73" t="s">
        <v>6283</v>
      </c>
      <c r="H73" t="s">
        <v>4075</v>
      </c>
      <c r="I73">
        <v>249</v>
      </c>
      <c r="J73" t="s">
        <v>4076</v>
      </c>
      <c r="L73" t="s">
        <v>74</v>
      </c>
      <c r="M73" t="s">
        <v>85</v>
      </c>
      <c r="R73" t="s">
        <v>5040</v>
      </c>
      <c r="W73" t="s">
        <v>5041</v>
      </c>
      <c r="X73" t="s">
        <v>5042</v>
      </c>
      <c r="Y73" t="s">
        <v>97</v>
      </c>
      <c r="Z73" t="s">
        <v>77</v>
      </c>
      <c r="AA73" t="str">
        <f>"10010-4020"</f>
        <v>10010-4020</v>
      </c>
      <c r="AB73" t="s">
        <v>82</v>
      </c>
      <c r="AC73" t="s">
        <v>79</v>
      </c>
      <c r="AD73" t="s">
        <v>75</v>
      </c>
      <c r="AE73" t="s">
        <v>80</v>
      </c>
      <c r="AG73" t="s">
        <v>81</v>
      </c>
    </row>
    <row r="74" spans="1:33" x14ac:dyDescent="0.25">
      <c r="A74" t="str">
        <f>"1275891830"</f>
        <v>1275891830</v>
      </c>
      <c r="B74" t="str">
        <f>"03760749"</f>
        <v>03760749</v>
      </c>
      <c r="C74" t="s">
        <v>6506</v>
      </c>
      <c r="D74" t="s">
        <v>5067</v>
      </c>
      <c r="E74" t="s">
        <v>5068</v>
      </c>
      <c r="G74" t="s">
        <v>6283</v>
      </c>
      <c r="H74" t="s">
        <v>4075</v>
      </c>
      <c r="I74">
        <v>249</v>
      </c>
      <c r="J74" t="s">
        <v>4076</v>
      </c>
      <c r="L74" t="s">
        <v>74</v>
      </c>
      <c r="M74" t="s">
        <v>85</v>
      </c>
      <c r="R74" t="s">
        <v>5069</v>
      </c>
      <c r="W74" t="s">
        <v>5068</v>
      </c>
      <c r="X74" t="s">
        <v>5070</v>
      </c>
      <c r="Y74" t="s">
        <v>97</v>
      </c>
      <c r="Z74" t="s">
        <v>77</v>
      </c>
      <c r="AA74" t="str">
        <f>"10017-9245"</f>
        <v>10017-9245</v>
      </c>
      <c r="AB74" t="s">
        <v>82</v>
      </c>
      <c r="AC74" t="s">
        <v>79</v>
      </c>
      <c r="AD74" t="s">
        <v>75</v>
      </c>
      <c r="AE74" t="s">
        <v>80</v>
      </c>
      <c r="AG74" t="s">
        <v>81</v>
      </c>
    </row>
    <row r="75" spans="1:33" x14ac:dyDescent="0.25">
      <c r="A75" t="str">
        <f>"1548463425"</f>
        <v>1548463425</v>
      </c>
      <c r="B75" t="str">
        <f>"01653158"</f>
        <v>01653158</v>
      </c>
      <c r="C75" t="s">
        <v>6507</v>
      </c>
      <c r="D75" t="s">
        <v>4338</v>
      </c>
      <c r="E75" t="s">
        <v>4339</v>
      </c>
      <c r="G75" t="s">
        <v>6283</v>
      </c>
      <c r="H75" t="s">
        <v>4075</v>
      </c>
      <c r="I75">
        <v>249</v>
      </c>
      <c r="J75" t="s">
        <v>4076</v>
      </c>
      <c r="L75" t="s">
        <v>74</v>
      </c>
      <c r="M75" t="s">
        <v>85</v>
      </c>
      <c r="R75" t="s">
        <v>4340</v>
      </c>
      <c r="W75" t="s">
        <v>4339</v>
      </c>
      <c r="X75" t="s">
        <v>4341</v>
      </c>
      <c r="Y75" t="s">
        <v>214</v>
      </c>
      <c r="Z75" t="s">
        <v>77</v>
      </c>
      <c r="AA75" t="str">
        <f>"11801-4284"</f>
        <v>11801-4284</v>
      </c>
      <c r="AB75" t="s">
        <v>82</v>
      </c>
      <c r="AC75" t="s">
        <v>79</v>
      </c>
      <c r="AD75" t="s">
        <v>75</v>
      </c>
      <c r="AE75" t="s">
        <v>80</v>
      </c>
      <c r="AG75" t="s">
        <v>81</v>
      </c>
    </row>
    <row r="76" spans="1:33" x14ac:dyDescent="0.25">
      <c r="A76" t="str">
        <f>"1932141280"</f>
        <v>1932141280</v>
      </c>
      <c r="B76" t="str">
        <f>"02423641"</f>
        <v>02423641</v>
      </c>
      <c r="C76" t="s">
        <v>6508</v>
      </c>
      <c r="D76" t="s">
        <v>6509</v>
      </c>
      <c r="E76" t="s">
        <v>6510</v>
      </c>
      <c r="L76" t="s">
        <v>84</v>
      </c>
      <c r="M76" t="s">
        <v>85</v>
      </c>
      <c r="R76" t="s">
        <v>6511</v>
      </c>
      <c r="W76" t="s">
        <v>6510</v>
      </c>
      <c r="X76" t="s">
        <v>311</v>
      </c>
      <c r="Y76" t="s">
        <v>87</v>
      </c>
      <c r="Z76" t="s">
        <v>77</v>
      </c>
      <c r="AA76" t="str">
        <f>"11220-2559"</f>
        <v>11220-2559</v>
      </c>
      <c r="AB76" t="s">
        <v>78</v>
      </c>
      <c r="AC76" t="s">
        <v>79</v>
      </c>
      <c r="AD76" t="s">
        <v>75</v>
      </c>
      <c r="AE76" t="s">
        <v>80</v>
      </c>
      <c r="AG76" t="s">
        <v>81</v>
      </c>
    </row>
    <row r="77" spans="1:33" x14ac:dyDescent="0.25">
      <c r="A77" t="str">
        <f>"1538135660"</f>
        <v>1538135660</v>
      </c>
      <c r="B77" t="str">
        <f>"02714881"</f>
        <v>02714881</v>
      </c>
      <c r="C77" t="s">
        <v>6512</v>
      </c>
      <c r="D77" t="s">
        <v>4317</v>
      </c>
      <c r="E77" t="s">
        <v>4318</v>
      </c>
      <c r="G77" t="s">
        <v>6513</v>
      </c>
      <c r="H77" t="s">
        <v>6514</v>
      </c>
      <c r="J77" t="s">
        <v>6515</v>
      </c>
      <c r="L77" t="s">
        <v>83</v>
      </c>
      <c r="M77" t="s">
        <v>75</v>
      </c>
      <c r="R77" t="s">
        <v>4319</v>
      </c>
      <c r="W77" t="s">
        <v>4318</v>
      </c>
      <c r="X77" t="s">
        <v>4320</v>
      </c>
      <c r="Y77" t="s">
        <v>205</v>
      </c>
      <c r="Z77" t="s">
        <v>77</v>
      </c>
      <c r="AA77" t="str">
        <f>"10977-1006"</f>
        <v>10977-1006</v>
      </c>
      <c r="AB77" t="s">
        <v>128</v>
      </c>
      <c r="AC77" t="s">
        <v>79</v>
      </c>
      <c r="AD77" t="s">
        <v>75</v>
      </c>
      <c r="AE77" t="s">
        <v>80</v>
      </c>
      <c r="AG77" t="s">
        <v>81</v>
      </c>
    </row>
    <row r="78" spans="1:33" x14ac:dyDescent="0.25">
      <c r="A78" t="str">
        <f>"1346389780"</f>
        <v>1346389780</v>
      </c>
      <c r="B78" t="str">
        <f>"02772443"</f>
        <v>02772443</v>
      </c>
      <c r="C78" t="s">
        <v>6516</v>
      </c>
      <c r="D78" t="s">
        <v>6517</v>
      </c>
      <c r="E78" t="s">
        <v>6518</v>
      </c>
      <c r="G78" t="s">
        <v>6513</v>
      </c>
      <c r="H78" t="s">
        <v>6514</v>
      </c>
      <c r="J78" t="s">
        <v>6515</v>
      </c>
      <c r="L78" t="s">
        <v>83</v>
      </c>
      <c r="M78" t="s">
        <v>85</v>
      </c>
      <c r="R78" t="s">
        <v>6519</v>
      </c>
      <c r="W78" t="s">
        <v>6518</v>
      </c>
      <c r="X78" t="s">
        <v>6520</v>
      </c>
      <c r="Y78" t="s">
        <v>97</v>
      </c>
      <c r="Z78" t="s">
        <v>77</v>
      </c>
      <c r="AA78" t="str">
        <f>"10029-6810"</f>
        <v>10029-6810</v>
      </c>
      <c r="AB78" t="s">
        <v>78</v>
      </c>
      <c r="AC78" t="s">
        <v>79</v>
      </c>
      <c r="AD78" t="s">
        <v>75</v>
      </c>
      <c r="AE78" t="s">
        <v>80</v>
      </c>
      <c r="AG78" t="s">
        <v>81</v>
      </c>
    </row>
    <row r="79" spans="1:33" x14ac:dyDescent="0.25">
      <c r="A79" t="str">
        <f>"1528286358"</f>
        <v>1528286358</v>
      </c>
      <c r="B79" t="str">
        <f>"03644557"</f>
        <v>03644557</v>
      </c>
      <c r="C79" t="s">
        <v>6521</v>
      </c>
      <c r="D79" t="s">
        <v>6522</v>
      </c>
      <c r="E79" t="s">
        <v>6523</v>
      </c>
      <c r="G79" t="s">
        <v>6524</v>
      </c>
      <c r="H79" t="s">
        <v>6525</v>
      </c>
      <c r="J79" t="s">
        <v>6526</v>
      </c>
      <c r="L79" t="s">
        <v>74</v>
      </c>
      <c r="M79" t="s">
        <v>75</v>
      </c>
      <c r="R79" t="s">
        <v>6527</v>
      </c>
      <c r="W79" t="s">
        <v>6523</v>
      </c>
      <c r="X79" t="s">
        <v>6528</v>
      </c>
      <c r="Y79" t="s">
        <v>97</v>
      </c>
      <c r="Z79" t="s">
        <v>77</v>
      </c>
      <c r="AA79" t="str">
        <f>"10035-3523"</f>
        <v>10035-3523</v>
      </c>
      <c r="AB79" t="s">
        <v>78</v>
      </c>
      <c r="AC79" t="s">
        <v>79</v>
      </c>
      <c r="AD79" t="s">
        <v>75</v>
      </c>
      <c r="AE79" t="s">
        <v>80</v>
      </c>
      <c r="AG79" t="s">
        <v>81</v>
      </c>
    </row>
    <row r="80" spans="1:33" x14ac:dyDescent="0.25">
      <c r="A80" t="str">
        <f>"1942456314"</f>
        <v>1942456314</v>
      </c>
      <c r="B80" t="str">
        <f>"03644566"</f>
        <v>03644566</v>
      </c>
      <c r="C80" t="s">
        <v>6529</v>
      </c>
      <c r="D80" t="s">
        <v>6530</v>
      </c>
      <c r="E80" t="s">
        <v>6531</v>
      </c>
      <c r="G80" t="s">
        <v>6524</v>
      </c>
      <c r="H80" t="s">
        <v>6525</v>
      </c>
      <c r="J80" t="s">
        <v>6526</v>
      </c>
      <c r="L80" t="s">
        <v>102</v>
      </c>
      <c r="M80" t="s">
        <v>75</v>
      </c>
      <c r="R80" t="s">
        <v>6531</v>
      </c>
      <c r="W80" t="s">
        <v>6531</v>
      </c>
      <c r="X80" t="s">
        <v>6528</v>
      </c>
      <c r="Y80" t="s">
        <v>97</v>
      </c>
      <c r="Z80" t="s">
        <v>77</v>
      </c>
      <c r="AA80" t="str">
        <f>"10035-3523"</f>
        <v>10035-3523</v>
      </c>
      <c r="AB80" t="s">
        <v>78</v>
      </c>
      <c r="AC80" t="s">
        <v>79</v>
      </c>
      <c r="AD80" t="s">
        <v>75</v>
      </c>
      <c r="AE80" t="s">
        <v>80</v>
      </c>
      <c r="AG80" t="s">
        <v>81</v>
      </c>
    </row>
    <row r="81" spans="1:33" x14ac:dyDescent="0.25">
      <c r="A81" t="str">
        <f>"1568414746"</f>
        <v>1568414746</v>
      </c>
      <c r="B81" t="str">
        <f>"00325580"</f>
        <v>00325580</v>
      </c>
      <c r="C81" t="s">
        <v>6532</v>
      </c>
      <c r="D81" t="s">
        <v>2881</v>
      </c>
      <c r="E81" t="s">
        <v>2882</v>
      </c>
      <c r="G81" t="s">
        <v>6533</v>
      </c>
      <c r="H81" t="s">
        <v>4802</v>
      </c>
      <c r="I81">
        <v>71332</v>
      </c>
      <c r="J81" t="s">
        <v>4803</v>
      </c>
      <c r="L81" t="s">
        <v>83</v>
      </c>
      <c r="M81" t="s">
        <v>85</v>
      </c>
      <c r="R81" t="s">
        <v>2883</v>
      </c>
      <c r="W81" t="s">
        <v>2884</v>
      </c>
      <c r="X81" t="s">
        <v>2885</v>
      </c>
      <c r="Y81" t="s">
        <v>146</v>
      </c>
      <c r="Z81" t="s">
        <v>77</v>
      </c>
      <c r="AA81" t="str">
        <f>"10595-1637"</f>
        <v>10595-1637</v>
      </c>
      <c r="AB81" t="s">
        <v>78</v>
      </c>
      <c r="AC81" t="s">
        <v>79</v>
      </c>
      <c r="AD81" t="s">
        <v>75</v>
      </c>
      <c r="AE81" t="s">
        <v>80</v>
      </c>
      <c r="AG81" t="s">
        <v>81</v>
      </c>
    </row>
    <row r="82" spans="1:33" x14ac:dyDescent="0.25">
      <c r="A82" t="str">
        <f>"1811072119"</f>
        <v>1811072119</v>
      </c>
      <c r="B82" t="str">
        <f>"00342383"</f>
        <v>00342383</v>
      </c>
      <c r="C82" t="s">
        <v>6534</v>
      </c>
      <c r="D82" t="s">
        <v>6042</v>
      </c>
      <c r="E82" t="s">
        <v>6043</v>
      </c>
      <c r="G82" t="s">
        <v>6533</v>
      </c>
      <c r="H82" t="s">
        <v>4802</v>
      </c>
      <c r="I82">
        <v>71332</v>
      </c>
      <c r="J82" t="s">
        <v>4803</v>
      </c>
      <c r="L82" t="s">
        <v>74</v>
      </c>
      <c r="M82" t="s">
        <v>85</v>
      </c>
      <c r="R82" t="s">
        <v>6044</v>
      </c>
      <c r="W82" t="s">
        <v>6043</v>
      </c>
      <c r="X82" t="s">
        <v>4669</v>
      </c>
      <c r="Y82" t="s">
        <v>131</v>
      </c>
      <c r="Z82" t="s">
        <v>77</v>
      </c>
      <c r="AA82" t="str">
        <f>"10467-2490"</f>
        <v>10467-2490</v>
      </c>
      <c r="AB82" t="s">
        <v>78</v>
      </c>
      <c r="AC82" t="s">
        <v>79</v>
      </c>
      <c r="AD82" t="s">
        <v>75</v>
      </c>
      <c r="AE82" t="s">
        <v>80</v>
      </c>
      <c r="AG82" t="s">
        <v>81</v>
      </c>
    </row>
    <row r="83" spans="1:33" x14ac:dyDescent="0.25">
      <c r="A83" t="str">
        <f>"1831316348"</f>
        <v>1831316348</v>
      </c>
      <c r="B83" t="str">
        <f>"00545006"</f>
        <v>00545006</v>
      </c>
      <c r="C83" t="s">
        <v>6535</v>
      </c>
      <c r="D83" t="s">
        <v>5269</v>
      </c>
      <c r="E83" t="s">
        <v>5270</v>
      </c>
      <c r="G83" t="s">
        <v>6533</v>
      </c>
      <c r="H83" t="s">
        <v>4802</v>
      </c>
      <c r="I83">
        <v>71332</v>
      </c>
      <c r="J83" t="s">
        <v>4803</v>
      </c>
      <c r="L83" t="s">
        <v>105</v>
      </c>
      <c r="M83" t="s">
        <v>75</v>
      </c>
      <c r="R83" t="s">
        <v>5271</v>
      </c>
      <c r="W83" t="s">
        <v>5272</v>
      </c>
      <c r="X83" t="s">
        <v>2885</v>
      </c>
      <c r="Y83" t="s">
        <v>146</v>
      </c>
      <c r="Z83" t="s">
        <v>77</v>
      </c>
      <c r="AA83" t="str">
        <f>"10595-1637"</f>
        <v>10595-1637</v>
      </c>
      <c r="AB83" t="s">
        <v>78</v>
      </c>
      <c r="AC83" t="s">
        <v>79</v>
      </c>
      <c r="AD83" t="s">
        <v>75</v>
      </c>
      <c r="AE83" t="s">
        <v>80</v>
      </c>
      <c r="AG83" t="s">
        <v>81</v>
      </c>
    </row>
    <row r="84" spans="1:33" x14ac:dyDescent="0.25">
      <c r="A84" t="str">
        <f>"1629290408"</f>
        <v>1629290408</v>
      </c>
      <c r="B84" t="str">
        <f>"00961766"</f>
        <v>00961766</v>
      </c>
      <c r="C84" t="s">
        <v>6536</v>
      </c>
      <c r="D84" t="s">
        <v>5196</v>
      </c>
      <c r="E84" t="s">
        <v>5197</v>
      </c>
      <c r="G84" t="s">
        <v>6533</v>
      </c>
      <c r="H84" t="s">
        <v>4802</v>
      </c>
      <c r="I84">
        <v>71332</v>
      </c>
      <c r="J84" t="s">
        <v>4803</v>
      </c>
      <c r="L84" t="s">
        <v>74</v>
      </c>
      <c r="M84" t="s">
        <v>75</v>
      </c>
      <c r="R84" t="s">
        <v>5198</v>
      </c>
      <c r="W84" t="s">
        <v>5197</v>
      </c>
      <c r="X84" t="s">
        <v>2885</v>
      </c>
      <c r="Y84" t="s">
        <v>146</v>
      </c>
      <c r="Z84" t="s">
        <v>77</v>
      </c>
      <c r="AA84" t="str">
        <f>"10595-1637"</f>
        <v>10595-1637</v>
      </c>
      <c r="AB84" t="s">
        <v>78</v>
      </c>
      <c r="AC84" t="s">
        <v>79</v>
      </c>
      <c r="AD84" t="s">
        <v>75</v>
      </c>
      <c r="AE84" t="s">
        <v>80</v>
      </c>
      <c r="AG84" t="s">
        <v>81</v>
      </c>
    </row>
    <row r="85" spans="1:33" x14ac:dyDescent="0.25">
      <c r="A85" t="str">
        <f>"1285856054"</f>
        <v>1285856054</v>
      </c>
      <c r="B85" t="str">
        <f>"01027509"</f>
        <v>01027509</v>
      </c>
      <c r="C85" t="s">
        <v>6537</v>
      </c>
      <c r="D85" t="s">
        <v>4805</v>
      </c>
      <c r="E85" t="s">
        <v>4806</v>
      </c>
      <c r="G85" t="s">
        <v>6533</v>
      </c>
      <c r="H85" t="s">
        <v>4802</v>
      </c>
      <c r="I85">
        <v>71332</v>
      </c>
      <c r="J85" t="s">
        <v>4803</v>
      </c>
      <c r="L85" t="s">
        <v>74</v>
      </c>
      <c r="M85" t="s">
        <v>75</v>
      </c>
      <c r="R85" t="s">
        <v>4807</v>
      </c>
      <c r="W85" t="s">
        <v>4808</v>
      </c>
      <c r="X85" t="s">
        <v>2384</v>
      </c>
      <c r="Y85" t="s">
        <v>146</v>
      </c>
      <c r="Z85" t="s">
        <v>77</v>
      </c>
      <c r="AA85" t="str">
        <f>"10595-1637"</f>
        <v>10595-1637</v>
      </c>
      <c r="AB85" t="s">
        <v>78</v>
      </c>
      <c r="AC85" t="s">
        <v>79</v>
      </c>
      <c r="AD85" t="s">
        <v>75</v>
      </c>
      <c r="AE85" t="s">
        <v>80</v>
      </c>
      <c r="AG85" t="s">
        <v>81</v>
      </c>
    </row>
    <row r="86" spans="1:33" x14ac:dyDescent="0.25">
      <c r="A86" t="str">
        <f>"1821086737"</f>
        <v>1821086737</v>
      </c>
      <c r="B86" t="str">
        <f>"01579060"</f>
        <v>01579060</v>
      </c>
      <c r="C86" t="s">
        <v>6538</v>
      </c>
      <c r="D86" t="s">
        <v>5265</v>
      </c>
      <c r="E86" t="s">
        <v>5266</v>
      </c>
      <c r="G86" t="s">
        <v>6533</v>
      </c>
      <c r="H86" t="s">
        <v>4802</v>
      </c>
      <c r="I86">
        <v>71332</v>
      </c>
      <c r="J86" t="s">
        <v>4803</v>
      </c>
      <c r="L86" t="s">
        <v>83</v>
      </c>
      <c r="M86" t="s">
        <v>85</v>
      </c>
      <c r="R86" t="s">
        <v>5267</v>
      </c>
      <c r="W86" t="s">
        <v>5266</v>
      </c>
      <c r="X86" t="s">
        <v>5268</v>
      </c>
      <c r="Y86" t="s">
        <v>1779</v>
      </c>
      <c r="Z86" t="s">
        <v>77</v>
      </c>
      <c r="AA86" t="str">
        <f>"11572"</f>
        <v>11572</v>
      </c>
      <c r="AB86" t="s">
        <v>78</v>
      </c>
      <c r="AC86" t="s">
        <v>79</v>
      </c>
      <c r="AD86" t="s">
        <v>75</v>
      </c>
      <c r="AE86" t="s">
        <v>80</v>
      </c>
      <c r="AG86" t="s">
        <v>81</v>
      </c>
    </row>
    <row r="87" spans="1:33" x14ac:dyDescent="0.25">
      <c r="A87" t="str">
        <f>"1316960560"</f>
        <v>1316960560</v>
      </c>
      <c r="B87" t="str">
        <f>"01824964"</f>
        <v>01824964</v>
      </c>
      <c r="C87" t="s">
        <v>6539</v>
      </c>
      <c r="D87" t="s">
        <v>4816</v>
      </c>
      <c r="E87" t="s">
        <v>4817</v>
      </c>
      <c r="G87" t="s">
        <v>6533</v>
      </c>
      <c r="H87" t="s">
        <v>4802</v>
      </c>
      <c r="I87">
        <v>71332</v>
      </c>
      <c r="J87" t="s">
        <v>4803</v>
      </c>
      <c r="L87" t="s">
        <v>83</v>
      </c>
      <c r="M87" t="s">
        <v>75</v>
      </c>
      <c r="R87" t="s">
        <v>4818</v>
      </c>
      <c r="W87" t="s">
        <v>4819</v>
      </c>
      <c r="X87" t="s">
        <v>4820</v>
      </c>
      <c r="Y87" t="s">
        <v>97</v>
      </c>
      <c r="Z87" t="s">
        <v>77</v>
      </c>
      <c r="AA87" t="str">
        <f>"10032-3722"</f>
        <v>10032-3722</v>
      </c>
      <c r="AB87" t="s">
        <v>78</v>
      </c>
      <c r="AC87" t="s">
        <v>79</v>
      </c>
      <c r="AD87" t="s">
        <v>75</v>
      </c>
      <c r="AE87" t="s">
        <v>80</v>
      </c>
      <c r="AG87" t="s">
        <v>81</v>
      </c>
    </row>
    <row r="88" spans="1:33" x14ac:dyDescent="0.25">
      <c r="A88" t="str">
        <f>"1609861681"</f>
        <v>1609861681</v>
      </c>
      <c r="B88" t="str">
        <f>"01955128"</f>
        <v>01955128</v>
      </c>
      <c r="C88" t="s">
        <v>6540</v>
      </c>
      <c r="D88" t="s">
        <v>5193</v>
      </c>
      <c r="E88" t="s">
        <v>5194</v>
      </c>
      <c r="G88" t="s">
        <v>6533</v>
      </c>
      <c r="H88" t="s">
        <v>4802</v>
      </c>
      <c r="I88">
        <v>71332</v>
      </c>
      <c r="J88" t="s">
        <v>4803</v>
      </c>
      <c r="L88" t="s">
        <v>74</v>
      </c>
      <c r="M88" t="s">
        <v>75</v>
      </c>
      <c r="R88" t="s">
        <v>5195</v>
      </c>
      <c r="W88" t="s">
        <v>5194</v>
      </c>
      <c r="X88" t="s">
        <v>173</v>
      </c>
      <c r="Y88" t="s">
        <v>87</v>
      </c>
      <c r="Z88" t="s">
        <v>77</v>
      </c>
      <c r="AA88" t="str">
        <f>"11219-2916"</f>
        <v>11219-2916</v>
      </c>
      <c r="AB88" t="s">
        <v>78</v>
      </c>
      <c r="AC88" t="s">
        <v>79</v>
      </c>
      <c r="AD88" t="s">
        <v>75</v>
      </c>
      <c r="AE88" t="s">
        <v>80</v>
      </c>
      <c r="AG88" t="s">
        <v>81</v>
      </c>
    </row>
    <row r="89" spans="1:33" x14ac:dyDescent="0.25">
      <c r="A89" t="str">
        <f>"1962613802"</f>
        <v>1962613802</v>
      </c>
      <c r="B89" t="str">
        <f>"02122296"</f>
        <v>02122296</v>
      </c>
      <c r="C89" t="s">
        <v>6541</v>
      </c>
      <c r="D89" t="s">
        <v>5275</v>
      </c>
      <c r="E89" t="s">
        <v>5276</v>
      </c>
      <c r="G89" t="s">
        <v>6533</v>
      </c>
      <c r="H89" t="s">
        <v>4802</v>
      </c>
      <c r="I89">
        <v>71332</v>
      </c>
      <c r="J89" t="s">
        <v>4803</v>
      </c>
      <c r="L89" t="s">
        <v>74</v>
      </c>
      <c r="M89" t="s">
        <v>75</v>
      </c>
      <c r="R89" t="s">
        <v>5277</v>
      </c>
      <c r="W89" t="s">
        <v>5276</v>
      </c>
      <c r="X89" t="s">
        <v>2885</v>
      </c>
      <c r="Y89" t="s">
        <v>146</v>
      </c>
      <c r="Z89" t="s">
        <v>77</v>
      </c>
      <c r="AA89" t="str">
        <f>"10595-1637"</f>
        <v>10595-1637</v>
      </c>
      <c r="AB89" t="s">
        <v>78</v>
      </c>
      <c r="AC89" t="s">
        <v>79</v>
      </c>
      <c r="AD89" t="s">
        <v>75</v>
      </c>
      <c r="AE89" t="s">
        <v>80</v>
      </c>
      <c r="AG89" t="s">
        <v>81</v>
      </c>
    </row>
    <row r="90" spans="1:33" x14ac:dyDescent="0.25">
      <c r="A90" t="str">
        <f>"1720001753"</f>
        <v>1720001753</v>
      </c>
      <c r="B90" t="str">
        <f>"02208579"</f>
        <v>02208579</v>
      </c>
      <c r="C90" t="s">
        <v>6542</v>
      </c>
      <c r="D90" t="s">
        <v>5209</v>
      </c>
      <c r="E90" t="s">
        <v>5210</v>
      </c>
      <c r="G90" t="s">
        <v>6533</v>
      </c>
      <c r="H90" t="s">
        <v>4802</v>
      </c>
      <c r="I90">
        <v>71332</v>
      </c>
      <c r="J90" t="s">
        <v>4803</v>
      </c>
      <c r="L90" t="s">
        <v>94</v>
      </c>
      <c r="M90" t="s">
        <v>75</v>
      </c>
      <c r="R90" t="s">
        <v>5211</v>
      </c>
      <c r="W90" t="s">
        <v>5210</v>
      </c>
      <c r="X90" t="s">
        <v>3391</v>
      </c>
      <c r="Y90" t="s">
        <v>97</v>
      </c>
      <c r="Z90" t="s">
        <v>77</v>
      </c>
      <c r="AA90" t="str">
        <f>"10037-1802"</f>
        <v>10037-1802</v>
      </c>
      <c r="AB90" t="s">
        <v>78</v>
      </c>
      <c r="AC90" t="s">
        <v>79</v>
      </c>
      <c r="AD90" t="s">
        <v>75</v>
      </c>
      <c r="AE90" t="s">
        <v>80</v>
      </c>
      <c r="AG90" t="s">
        <v>81</v>
      </c>
    </row>
    <row r="91" spans="1:33" x14ac:dyDescent="0.25">
      <c r="A91" t="str">
        <f>"1902176050"</f>
        <v>1902176050</v>
      </c>
      <c r="B91" t="str">
        <f>"03445241"</f>
        <v>03445241</v>
      </c>
      <c r="C91" t="s">
        <v>6543</v>
      </c>
      <c r="D91" t="s">
        <v>5273</v>
      </c>
      <c r="E91" t="s">
        <v>5274</v>
      </c>
      <c r="G91" t="s">
        <v>6533</v>
      </c>
      <c r="H91" t="s">
        <v>4802</v>
      </c>
      <c r="I91">
        <v>71332</v>
      </c>
      <c r="J91" t="s">
        <v>4803</v>
      </c>
      <c r="L91" t="s">
        <v>102</v>
      </c>
      <c r="M91" t="s">
        <v>75</v>
      </c>
      <c r="R91" t="s">
        <v>4712</v>
      </c>
      <c r="W91" t="s">
        <v>5274</v>
      </c>
      <c r="X91" t="s">
        <v>2885</v>
      </c>
      <c r="Y91" t="s">
        <v>146</v>
      </c>
      <c r="Z91" t="s">
        <v>77</v>
      </c>
      <c r="AA91" t="str">
        <f>"10595-1637"</f>
        <v>10595-1637</v>
      </c>
      <c r="AB91" t="s">
        <v>127</v>
      </c>
      <c r="AC91" t="s">
        <v>79</v>
      </c>
      <c r="AD91" t="s">
        <v>75</v>
      </c>
      <c r="AE91" t="s">
        <v>80</v>
      </c>
      <c r="AG91" t="s">
        <v>81</v>
      </c>
    </row>
    <row r="92" spans="1:33" x14ac:dyDescent="0.25">
      <c r="A92" t="str">
        <f>"1477767820"</f>
        <v>1477767820</v>
      </c>
      <c r="B92" t="str">
        <f>"02473201"</f>
        <v>02473201</v>
      </c>
      <c r="C92" t="s">
        <v>6544</v>
      </c>
      <c r="D92" t="s">
        <v>4821</v>
      </c>
      <c r="E92" t="s">
        <v>4822</v>
      </c>
      <c r="G92" t="s">
        <v>6533</v>
      </c>
      <c r="H92" t="s">
        <v>4802</v>
      </c>
      <c r="I92">
        <v>71332</v>
      </c>
      <c r="J92" t="s">
        <v>4803</v>
      </c>
      <c r="L92" t="s">
        <v>83</v>
      </c>
      <c r="M92" t="s">
        <v>75</v>
      </c>
      <c r="R92" t="s">
        <v>4823</v>
      </c>
      <c r="W92" t="s">
        <v>4824</v>
      </c>
      <c r="X92" t="s">
        <v>2885</v>
      </c>
      <c r="Y92" t="s">
        <v>146</v>
      </c>
      <c r="Z92" t="s">
        <v>77</v>
      </c>
      <c r="AA92" t="str">
        <f>"10595-1637"</f>
        <v>10595-1637</v>
      </c>
      <c r="AB92" t="s">
        <v>78</v>
      </c>
      <c r="AC92" t="s">
        <v>79</v>
      </c>
      <c r="AD92" t="s">
        <v>75</v>
      </c>
      <c r="AE92" t="s">
        <v>80</v>
      </c>
      <c r="AG92" t="s">
        <v>81</v>
      </c>
    </row>
    <row r="93" spans="1:33" x14ac:dyDescent="0.25">
      <c r="A93" t="str">
        <f>"1225139801"</f>
        <v>1225139801</v>
      </c>
      <c r="B93" t="str">
        <f>"02604846"</f>
        <v>02604846</v>
      </c>
      <c r="C93" t="s">
        <v>6545</v>
      </c>
      <c r="D93" t="s">
        <v>4800</v>
      </c>
      <c r="E93" t="s">
        <v>4801</v>
      </c>
      <c r="G93" t="s">
        <v>6533</v>
      </c>
      <c r="H93" t="s">
        <v>4802</v>
      </c>
      <c r="I93">
        <v>71332</v>
      </c>
      <c r="J93" t="s">
        <v>4803</v>
      </c>
      <c r="L93" t="s">
        <v>74</v>
      </c>
      <c r="M93" t="s">
        <v>75</v>
      </c>
      <c r="R93" t="s">
        <v>4801</v>
      </c>
      <c r="W93" t="s">
        <v>4801</v>
      </c>
      <c r="X93" t="s">
        <v>4804</v>
      </c>
      <c r="Y93" t="s">
        <v>2187</v>
      </c>
      <c r="Z93" t="s">
        <v>77</v>
      </c>
      <c r="AA93" t="str">
        <f>"10520-1343"</f>
        <v>10520-1343</v>
      </c>
      <c r="AB93" t="s">
        <v>78</v>
      </c>
      <c r="AC93" t="s">
        <v>79</v>
      </c>
      <c r="AD93" t="s">
        <v>75</v>
      </c>
      <c r="AE93" t="s">
        <v>80</v>
      </c>
      <c r="AG93" t="s">
        <v>81</v>
      </c>
    </row>
    <row r="94" spans="1:33" x14ac:dyDescent="0.25">
      <c r="A94" t="str">
        <f>"1700817640"</f>
        <v>1700817640</v>
      </c>
      <c r="B94" t="str">
        <f>"02782176"</f>
        <v>02782176</v>
      </c>
      <c r="C94" t="s">
        <v>6546</v>
      </c>
      <c r="D94" t="s">
        <v>5205</v>
      </c>
      <c r="E94" t="s">
        <v>5206</v>
      </c>
      <c r="G94" t="s">
        <v>6533</v>
      </c>
      <c r="H94" t="s">
        <v>4802</v>
      </c>
      <c r="I94">
        <v>71332</v>
      </c>
      <c r="J94" t="s">
        <v>4803</v>
      </c>
      <c r="L94" t="s">
        <v>83</v>
      </c>
      <c r="M94" t="s">
        <v>75</v>
      </c>
      <c r="R94" t="s">
        <v>5207</v>
      </c>
      <c r="W94" t="s">
        <v>5206</v>
      </c>
      <c r="X94" t="s">
        <v>5208</v>
      </c>
      <c r="Y94" t="s">
        <v>2317</v>
      </c>
      <c r="Z94" t="s">
        <v>77</v>
      </c>
      <c r="AA94" t="str">
        <f>"11757-2598"</f>
        <v>11757-2598</v>
      </c>
      <c r="AB94" t="s">
        <v>78</v>
      </c>
      <c r="AC94" t="s">
        <v>79</v>
      </c>
      <c r="AD94" t="s">
        <v>75</v>
      </c>
      <c r="AE94" t="s">
        <v>80</v>
      </c>
      <c r="AG94" t="s">
        <v>81</v>
      </c>
    </row>
    <row r="95" spans="1:33" x14ac:dyDescent="0.25">
      <c r="A95" t="str">
        <f>"1639375587"</f>
        <v>1639375587</v>
      </c>
      <c r="B95" t="str">
        <f>"02952376"</f>
        <v>02952376</v>
      </c>
      <c r="C95" t="s">
        <v>6547</v>
      </c>
      <c r="D95" t="s">
        <v>5199</v>
      </c>
      <c r="E95" t="s">
        <v>5200</v>
      </c>
      <c r="G95" t="s">
        <v>6533</v>
      </c>
      <c r="H95" t="s">
        <v>4802</v>
      </c>
      <c r="I95">
        <v>71332</v>
      </c>
      <c r="J95" t="s">
        <v>4803</v>
      </c>
      <c r="L95" t="s">
        <v>74</v>
      </c>
      <c r="M95" t="s">
        <v>75</v>
      </c>
      <c r="R95" t="s">
        <v>5201</v>
      </c>
      <c r="W95" t="s">
        <v>5202</v>
      </c>
      <c r="X95" t="s">
        <v>5203</v>
      </c>
      <c r="Y95" t="s">
        <v>5204</v>
      </c>
      <c r="Z95" t="s">
        <v>77</v>
      </c>
      <c r="AA95" t="str">
        <f>"10954-1601"</f>
        <v>10954-1601</v>
      </c>
      <c r="AB95" t="s">
        <v>78</v>
      </c>
      <c r="AC95" t="s">
        <v>79</v>
      </c>
      <c r="AD95" t="s">
        <v>75</v>
      </c>
      <c r="AE95" t="s">
        <v>80</v>
      </c>
      <c r="AG95" t="s">
        <v>81</v>
      </c>
    </row>
    <row r="96" spans="1:33" x14ac:dyDescent="0.25">
      <c r="A96" t="str">
        <f>"1336272616"</f>
        <v>1336272616</v>
      </c>
      <c r="B96" t="str">
        <f>"02232997"</f>
        <v>02232997</v>
      </c>
      <c r="C96" t="s">
        <v>6548</v>
      </c>
      <c r="D96" t="s">
        <v>6549</v>
      </c>
      <c r="E96" t="s">
        <v>6550</v>
      </c>
      <c r="G96" t="s">
        <v>6551</v>
      </c>
      <c r="H96" t="s">
        <v>6552</v>
      </c>
      <c r="J96" t="s">
        <v>6553</v>
      </c>
      <c r="L96" t="s">
        <v>74</v>
      </c>
      <c r="M96" t="s">
        <v>75</v>
      </c>
      <c r="R96" t="s">
        <v>6554</v>
      </c>
      <c r="W96" t="s">
        <v>6550</v>
      </c>
      <c r="X96" t="s">
        <v>6555</v>
      </c>
      <c r="Y96" t="s">
        <v>97</v>
      </c>
      <c r="Z96" t="s">
        <v>77</v>
      </c>
      <c r="AA96" t="str">
        <f>"10001-7207"</f>
        <v>10001-7207</v>
      </c>
      <c r="AB96" t="s">
        <v>78</v>
      </c>
      <c r="AC96" t="s">
        <v>79</v>
      </c>
      <c r="AD96" t="s">
        <v>75</v>
      </c>
      <c r="AE96" t="s">
        <v>80</v>
      </c>
      <c r="AG96" t="s">
        <v>81</v>
      </c>
    </row>
    <row r="97" spans="1:33" x14ac:dyDescent="0.25">
      <c r="A97" t="str">
        <f>"1427138080"</f>
        <v>1427138080</v>
      </c>
      <c r="B97" t="str">
        <f>"01598365"</f>
        <v>01598365</v>
      </c>
      <c r="C97" t="s">
        <v>6556</v>
      </c>
      <c r="D97" t="s">
        <v>6557</v>
      </c>
      <c r="E97" t="s">
        <v>6558</v>
      </c>
      <c r="G97" t="s">
        <v>6272</v>
      </c>
      <c r="H97" t="s">
        <v>6273</v>
      </c>
      <c r="I97">
        <v>419</v>
      </c>
      <c r="J97" t="s">
        <v>6274</v>
      </c>
      <c r="L97" t="s">
        <v>83</v>
      </c>
      <c r="M97" t="s">
        <v>85</v>
      </c>
      <c r="R97" t="s">
        <v>6559</v>
      </c>
      <c r="W97" t="s">
        <v>6558</v>
      </c>
      <c r="X97" t="s">
        <v>258</v>
      </c>
      <c r="Y97" t="s">
        <v>131</v>
      </c>
      <c r="Z97" t="s">
        <v>77</v>
      </c>
      <c r="AA97" t="str">
        <f>"10467-2401"</f>
        <v>10467-2401</v>
      </c>
      <c r="AB97" t="s">
        <v>78</v>
      </c>
      <c r="AC97" t="s">
        <v>79</v>
      </c>
      <c r="AD97" t="s">
        <v>75</v>
      </c>
      <c r="AE97" t="s">
        <v>80</v>
      </c>
      <c r="AG97" t="s">
        <v>81</v>
      </c>
    </row>
    <row r="98" spans="1:33" x14ac:dyDescent="0.25">
      <c r="A98" t="str">
        <f>"1659445427"</f>
        <v>1659445427</v>
      </c>
      <c r="B98" t="str">
        <f>"01013432"</f>
        <v>01013432</v>
      </c>
      <c r="C98" t="s">
        <v>6560</v>
      </c>
      <c r="D98" t="s">
        <v>6561</v>
      </c>
      <c r="E98" t="s">
        <v>6562</v>
      </c>
      <c r="G98" t="s">
        <v>6272</v>
      </c>
      <c r="H98" t="s">
        <v>6273</v>
      </c>
      <c r="I98">
        <v>419</v>
      </c>
      <c r="J98" t="s">
        <v>6274</v>
      </c>
      <c r="L98" t="s">
        <v>83</v>
      </c>
      <c r="M98" t="s">
        <v>75</v>
      </c>
      <c r="R98" t="s">
        <v>6563</v>
      </c>
      <c r="W98" t="s">
        <v>6562</v>
      </c>
      <c r="X98" t="s">
        <v>6564</v>
      </c>
      <c r="Y98" t="s">
        <v>87</v>
      </c>
      <c r="Z98" t="s">
        <v>77</v>
      </c>
      <c r="AA98" t="str">
        <f>"11223-5940"</f>
        <v>11223-5940</v>
      </c>
      <c r="AB98" t="s">
        <v>78</v>
      </c>
      <c r="AC98" t="s">
        <v>79</v>
      </c>
      <c r="AD98" t="s">
        <v>75</v>
      </c>
      <c r="AE98" t="s">
        <v>80</v>
      </c>
      <c r="AG98" t="s">
        <v>81</v>
      </c>
    </row>
    <row r="99" spans="1:33" x14ac:dyDescent="0.25">
      <c r="A99" t="str">
        <f>"1508851783"</f>
        <v>1508851783</v>
      </c>
      <c r="B99" t="str">
        <f>"00804559"</f>
        <v>00804559</v>
      </c>
      <c r="C99" t="s">
        <v>6565</v>
      </c>
      <c r="D99" t="s">
        <v>6566</v>
      </c>
      <c r="E99" t="s">
        <v>6567</v>
      </c>
      <c r="G99" t="s">
        <v>6367</v>
      </c>
      <c r="H99" t="s">
        <v>4625</v>
      </c>
      <c r="J99" t="s">
        <v>6368</v>
      </c>
      <c r="L99" t="s">
        <v>83</v>
      </c>
      <c r="M99" t="s">
        <v>85</v>
      </c>
      <c r="R99" t="s">
        <v>6568</v>
      </c>
      <c r="W99" t="s">
        <v>6567</v>
      </c>
      <c r="X99" t="s">
        <v>6028</v>
      </c>
      <c r="Y99" t="s">
        <v>1823</v>
      </c>
      <c r="Z99" t="s">
        <v>77</v>
      </c>
      <c r="AA99" t="str">
        <f>"10941-4019"</f>
        <v>10941-4019</v>
      </c>
      <c r="AB99" t="s">
        <v>78</v>
      </c>
      <c r="AC99" t="s">
        <v>79</v>
      </c>
      <c r="AD99" t="s">
        <v>75</v>
      </c>
      <c r="AE99" t="s">
        <v>80</v>
      </c>
      <c r="AG99" t="s">
        <v>81</v>
      </c>
    </row>
    <row r="100" spans="1:33" x14ac:dyDescent="0.25">
      <c r="A100" t="str">
        <f>"1184639239"</f>
        <v>1184639239</v>
      </c>
      <c r="B100" t="str">
        <f>"02079918"</f>
        <v>02079918</v>
      </c>
      <c r="C100" t="s">
        <v>6569</v>
      </c>
      <c r="D100" t="s">
        <v>6570</v>
      </c>
      <c r="E100" t="s">
        <v>6571</v>
      </c>
      <c r="G100" t="s">
        <v>6572</v>
      </c>
      <c r="H100" t="s">
        <v>6573</v>
      </c>
      <c r="L100" t="s">
        <v>16</v>
      </c>
      <c r="M100" t="s">
        <v>75</v>
      </c>
      <c r="R100" t="s">
        <v>1803</v>
      </c>
      <c r="W100" t="s">
        <v>6574</v>
      </c>
      <c r="X100" t="s">
        <v>6575</v>
      </c>
      <c r="Y100" t="s">
        <v>3130</v>
      </c>
      <c r="Z100" t="s">
        <v>77</v>
      </c>
      <c r="AA100" t="str">
        <f>"11413-1923"</f>
        <v>11413-1923</v>
      </c>
      <c r="AB100" t="s">
        <v>132</v>
      </c>
      <c r="AC100" t="s">
        <v>79</v>
      </c>
      <c r="AD100" t="s">
        <v>75</v>
      </c>
      <c r="AE100" t="s">
        <v>80</v>
      </c>
      <c r="AG100" t="s">
        <v>81</v>
      </c>
    </row>
    <row r="101" spans="1:33" x14ac:dyDescent="0.25">
      <c r="A101" t="str">
        <f>"1548351182"</f>
        <v>1548351182</v>
      </c>
      <c r="B101" t="str">
        <f>"02249287"</f>
        <v>02249287</v>
      </c>
      <c r="C101" t="s">
        <v>6576</v>
      </c>
      <c r="D101" t="s">
        <v>6577</v>
      </c>
      <c r="E101" t="s">
        <v>6578</v>
      </c>
      <c r="G101" t="s">
        <v>6579</v>
      </c>
      <c r="H101" t="s">
        <v>6580</v>
      </c>
      <c r="L101" t="s">
        <v>16</v>
      </c>
      <c r="M101" t="s">
        <v>75</v>
      </c>
      <c r="R101" t="s">
        <v>6581</v>
      </c>
      <c r="W101" t="s">
        <v>6578</v>
      </c>
      <c r="X101" t="s">
        <v>6582</v>
      </c>
      <c r="Y101" t="s">
        <v>131</v>
      </c>
      <c r="Z101" t="s">
        <v>77</v>
      </c>
      <c r="AA101" t="str">
        <f>"10456-2605"</f>
        <v>10456-2605</v>
      </c>
      <c r="AB101" t="s">
        <v>132</v>
      </c>
      <c r="AC101" t="s">
        <v>79</v>
      </c>
      <c r="AD101" t="s">
        <v>75</v>
      </c>
      <c r="AE101" t="s">
        <v>80</v>
      </c>
      <c r="AG101" t="s">
        <v>81</v>
      </c>
    </row>
    <row r="102" spans="1:33" x14ac:dyDescent="0.25">
      <c r="A102" t="str">
        <f>"1740346626"</f>
        <v>1740346626</v>
      </c>
      <c r="B102" t="str">
        <f>"01164483"</f>
        <v>01164483</v>
      </c>
      <c r="C102" t="s">
        <v>6583</v>
      </c>
      <c r="D102" t="s">
        <v>6584</v>
      </c>
      <c r="E102" t="s">
        <v>6585</v>
      </c>
      <c r="G102" t="s">
        <v>6586</v>
      </c>
      <c r="H102" t="s">
        <v>6587</v>
      </c>
      <c r="L102" t="s">
        <v>16</v>
      </c>
      <c r="M102" t="s">
        <v>85</v>
      </c>
      <c r="R102" t="s">
        <v>6585</v>
      </c>
      <c r="W102" t="s">
        <v>6585</v>
      </c>
      <c r="X102" t="s">
        <v>3876</v>
      </c>
      <c r="Y102" t="s">
        <v>131</v>
      </c>
      <c r="Z102" t="s">
        <v>77</v>
      </c>
      <c r="AA102" t="str">
        <f>"10473-2631"</f>
        <v>10473-2631</v>
      </c>
      <c r="AB102" t="s">
        <v>132</v>
      </c>
      <c r="AC102" t="s">
        <v>79</v>
      </c>
      <c r="AD102" t="s">
        <v>75</v>
      </c>
      <c r="AE102" t="s">
        <v>80</v>
      </c>
      <c r="AG102" t="s">
        <v>81</v>
      </c>
    </row>
    <row r="103" spans="1:33" x14ac:dyDescent="0.25">
      <c r="A103" t="str">
        <f>"1619171386"</f>
        <v>1619171386</v>
      </c>
      <c r="B103" t="str">
        <f>"01649150"</f>
        <v>01649150</v>
      </c>
      <c r="C103" t="s">
        <v>6588</v>
      </c>
      <c r="D103" t="s">
        <v>4079</v>
      </c>
      <c r="E103" t="s">
        <v>4080</v>
      </c>
      <c r="G103" t="s">
        <v>6283</v>
      </c>
      <c r="H103" t="s">
        <v>4075</v>
      </c>
      <c r="I103">
        <v>249</v>
      </c>
      <c r="J103" t="s">
        <v>4076</v>
      </c>
      <c r="L103" t="s">
        <v>74</v>
      </c>
      <c r="M103" t="s">
        <v>85</v>
      </c>
      <c r="R103" t="s">
        <v>4081</v>
      </c>
      <c r="W103" t="s">
        <v>4080</v>
      </c>
      <c r="X103" t="s">
        <v>4082</v>
      </c>
      <c r="Y103" t="s">
        <v>91</v>
      </c>
      <c r="Z103" t="s">
        <v>77</v>
      </c>
      <c r="AA103" t="str">
        <f>"11373-4444"</f>
        <v>11373-4444</v>
      </c>
      <c r="AB103" t="s">
        <v>82</v>
      </c>
      <c r="AC103" t="s">
        <v>79</v>
      </c>
      <c r="AD103" t="s">
        <v>75</v>
      </c>
      <c r="AE103" t="s">
        <v>80</v>
      </c>
      <c r="AG103" t="s">
        <v>81</v>
      </c>
    </row>
    <row r="104" spans="1:33" x14ac:dyDescent="0.25">
      <c r="A104" t="str">
        <f>"1134353675"</f>
        <v>1134353675</v>
      </c>
      <c r="B104" t="str">
        <f>"03491027"</f>
        <v>03491027</v>
      </c>
      <c r="C104" t="s">
        <v>6589</v>
      </c>
      <c r="D104" t="s">
        <v>6590</v>
      </c>
      <c r="E104" t="s">
        <v>6591</v>
      </c>
      <c r="G104" t="s">
        <v>6278</v>
      </c>
      <c r="H104" t="s">
        <v>6279</v>
      </c>
      <c r="J104" t="s">
        <v>6280</v>
      </c>
      <c r="L104" t="s">
        <v>83</v>
      </c>
      <c r="M104" t="s">
        <v>75</v>
      </c>
      <c r="R104" t="s">
        <v>6592</v>
      </c>
      <c r="W104" t="s">
        <v>6591</v>
      </c>
      <c r="X104" t="s">
        <v>4799</v>
      </c>
      <c r="Y104" t="s">
        <v>87</v>
      </c>
      <c r="Z104" t="s">
        <v>77</v>
      </c>
      <c r="AA104" t="str">
        <f>"11234-2625"</f>
        <v>11234-2625</v>
      </c>
      <c r="AB104" t="s">
        <v>78</v>
      </c>
      <c r="AC104" t="s">
        <v>79</v>
      </c>
      <c r="AD104" t="s">
        <v>75</v>
      </c>
      <c r="AE104" t="s">
        <v>80</v>
      </c>
      <c r="AG104" t="s">
        <v>81</v>
      </c>
    </row>
    <row r="105" spans="1:33" x14ac:dyDescent="0.25">
      <c r="A105" t="str">
        <f>"1932236064"</f>
        <v>1932236064</v>
      </c>
      <c r="B105" t="str">
        <f>"00223863"</f>
        <v>00223863</v>
      </c>
      <c r="C105" t="s">
        <v>6593</v>
      </c>
      <c r="D105" t="s">
        <v>6594</v>
      </c>
      <c r="E105" t="s">
        <v>6595</v>
      </c>
      <c r="G105" t="s">
        <v>6596</v>
      </c>
      <c r="H105" t="s">
        <v>3319</v>
      </c>
      <c r="I105">
        <v>312</v>
      </c>
      <c r="J105" t="s">
        <v>3320</v>
      </c>
      <c r="L105" t="s">
        <v>105</v>
      </c>
      <c r="M105" t="s">
        <v>85</v>
      </c>
      <c r="R105" t="s">
        <v>6597</v>
      </c>
      <c r="W105" t="s">
        <v>6598</v>
      </c>
      <c r="X105" t="s">
        <v>6599</v>
      </c>
      <c r="Y105" t="s">
        <v>131</v>
      </c>
      <c r="Z105" t="s">
        <v>77</v>
      </c>
      <c r="AA105" t="str">
        <f>"10457-6222"</f>
        <v>10457-6222</v>
      </c>
      <c r="AB105" t="s">
        <v>78</v>
      </c>
      <c r="AC105" t="s">
        <v>79</v>
      </c>
      <c r="AD105" t="s">
        <v>75</v>
      </c>
      <c r="AE105" t="s">
        <v>80</v>
      </c>
      <c r="AG105" t="s">
        <v>81</v>
      </c>
    </row>
    <row r="106" spans="1:33" x14ac:dyDescent="0.25">
      <c r="A106" t="str">
        <f>"1992732234"</f>
        <v>1992732234</v>
      </c>
      <c r="B106" t="str">
        <f>"02075501"</f>
        <v>02075501</v>
      </c>
      <c r="C106" t="s">
        <v>6600</v>
      </c>
      <c r="D106" t="s">
        <v>6601</v>
      </c>
      <c r="E106" t="s">
        <v>6602</v>
      </c>
      <c r="G106" t="s">
        <v>6278</v>
      </c>
      <c r="H106" t="s">
        <v>6279</v>
      </c>
      <c r="J106" t="s">
        <v>6280</v>
      </c>
      <c r="L106" t="s">
        <v>83</v>
      </c>
      <c r="M106" t="s">
        <v>75</v>
      </c>
      <c r="R106" t="s">
        <v>6603</v>
      </c>
      <c r="W106" t="s">
        <v>6602</v>
      </c>
      <c r="X106" t="s">
        <v>6604</v>
      </c>
      <c r="Y106" t="s">
        <v>87</v>
      </c>
      <c r="Z106" t="s">
        <v>77</v>
      </c>
      <c r="AA106" t="str">
        <f>"11220-4742"</f>
        <v>11220-4742</v>
      </c>
      <c r="AB106" t="s">
        <v>78</v>
      </c>
      <c r="AC106" t="s">
        <v>79</v>
      </c>
      <c r="AD106" t="s">
        <v>75</v>
      </c>
      <c r="AE106" t="s">
        <v>80</v>
      </c>
      <c r="AG106" t="s">
        <v>81</v>
      </c>
    </row>
    <row r="107" spans="1:33" x14ac:dyDescent="0.25">
      <c r="A107" t="str">
        <f>"1851300826"</f>
        <v>1851300826</v>
      </c>
      <c r="B107" t="str">
        <f>"01707120"</f>
        <v>01707120</v>
      </c>
      <c r="C107" t="s">
        <v>6605</v>
      </c>
      <c r="D107" t="s">
        <v>6606</v>
      </c>
      <c r="E107" t="s">
        <v>6607</v>
      </c>
      <c r="G107" t="s">
        <v>6278</v>
      </c>
      <c r="H107" t="s">
        <v>6279</v>
      </c>
      <c r="J107" t="s">
        <v>6280</v>
      </c>
      <c r="L107" t="s">
        <v>83</v>
      </c>
      <c r="M107" t="s">
        <v>85</v>
      </c>
      <c r="R107" t="s">
        <v>6608</v>
      </c>
      <c r="W107" t="s">
        <v>6607</v>
      </c>
      <c r="X107" t="s">
        <v>6609</v>
      </c>
      <c r="Y107" t="s">
        <v>87</v>
      </c>
      <c r="Z107" t="s">
        <v>77</v>
      </c>
      <c r="AA107" t="str">
        <f>"11235-1194"</f>
        <v>11235-1194</v>
      </c>
      <c r="AB107" t="s">
        <v>78</v>
      </c>
      <c r="AC107" t="s">
        <v>79</v>
      </c>
      <c r="AD107" t="s">
        <v>75</v>
      </c>
      <c r="AE107" t="s">
        <v>80</v>
      </c>
      <c r="AG107" t="s">
        <v>81</v>
      </c>
    </row>
    <row r="108" spans="1:33" x14ac:dyDescent="0.25">
      <c r="A108" t="str">
        <f>"1811979735"</f>
        <v>1811979735</v>
      </c>
      <c r="B108" t="str">
        <f>"01356849"</f>
        <v>01356849</v>
      </c>
      <c r="C108" t="s">
        <v>6610</v>
      </c>
      <c r="D108" t="s">
        <v>6611</v>
      </c>
      <c r="E108" t="s">
        <v>6612</v>
      </c>
      <c r="G108" t="s">
        <v>6278</v>
      </c>
      <c r="H108" t="s">
        <v>6279</v>
      </c>
      <c r="J108" t="s">
        <v>6280</v>
      </c>
      <c r="L108" t="s">
        <v>83</v>
      </c>
      <c r="M108" t="s">
        <v>75</v>
      </c>
      <c r="R108" t="s">
        <v>6613</v>
      </c>
      <c r="W108" t="s">
        <v>6614</v>
      </c>
      <c r="X108" t="s">
        <v>3014</v>
      </c>
      <c r="Y108" t="s">
        <v>87</v>
      </c>
      <c r="Z108" t="s">
        <v>77</v>
      </c>
      <c r="AA108" t="str">
        <f>"11219-2922"</f>
        <v>11219-2922</v>
      </c>
      <c r="AB108" t="s">
        <v>78</v>
      </c>
      <c r="AC108" t="s">
        <v>79</v>
      </c>
      <c r="AD108" t="s">
        <v>75</v>
      </c>
      <c r="AE108" t="s">
        <v>80</v>
      </c>
      <c r="AG108" t="s">
        <v>81</v>
      </c>
    </row>
    <row r="109" spans="1:33" x14ac:dyDescent="0.25">
      <c r="A109" t="str">
        <f>"1386734655"</f>
        <v>1386734655</v>
      </c>
      <c r="B109" t="str">
        <f>"01802684"</f>
        <v>01802684</v>
      </c>
      <c r="C109" t="s">
        <v>6615</v>
      </c>
      <c r="D109" t="s">
        <v>6616</v>
      </c>
      <c r="E109" t="s">
        <v>6617</v>
      </c>
      <c r="G109" t="s">
        <v>6618</v>
      </c>
      <c r="H109" t="s">
        <v>6619</v>
      </c>
      <c r="L109" t="s">
        <v>16</v>
      </c>
      <c r="M109" t="s">
        <v>85</v>
      </c>
      <c r="R109" t="s">
        <v>6617</v>
      </c>
      <c r="W109" t="s">
        <v>6617</v>
      </c>
      <c r="X109" t="s">
        <v>6620</v>
      </c>
      <c r="Y109" t="s">
        <v>131</v>
      </c>
      <c r="Z109" t="s">
        <v>77</v>
      </c>
      <c r="AA109" t="str">
        <f>"10454-1011"</f>
        <v>10454-1011</v>
      </c>
      <c r="AB109" t="s">
        <v>132</v>
      </c>
      <c r="AC109" t="s">
        <v>79</v>
      </c>
      <c r="AD109" t="s">
        <v>75</v>
      </c>
      <c r="AE109" t="s">
        <v>80</v>
      </c>
      <c r="AG109" t="s">
        <v>81</v>
      </c>
    </row>
    <row r="110" spans="1:33" x14ac:dyDescent="0.25">
      <c r="A110" t="str">
        <f>"1326053778"</f>
        <v>1326053778</v>
      </c>
      <c r="B110" t="str">
        <f>"01463143"</f>
        <v>01463143</v>
      </c>
      <c r="C110" t="s">
        <v>6621</v>
      </c>
      <c r="D110" t="s">
        <v>6622</v>
      </c>
      <c r="E110" t="s">
        <v>6623</v>
      </c>
      <c r="G110" t="s">
        <v>6624</v>
      </c>
      <c r="H110" t="s">
        <v>6625</v>
      </c>
      <c r="L110" t="s">
        <v>16</v>
      </c>
      <c r="M110" t="s">
        <v>85</v>
      </c>
      <c r="R110" t="s">
        <v>6623</v>
      </c>
      <c r="W110" t="s">
        <v>6623</v>
      </c>
      <c r="X110" t="s">
        <v>6626</v>
      </c>
      <c r="Y110" t="s">
        <v>97</v>
      </c>
      <c r="Z110" t="s">
        <v>77</v>
      </c>
      <c r="AA110" t="str">
        <f>"10031-1716"</f>
        <v>10031-1716</v>
      </c>
      <c r="AB110" t="s">
        <v>132</v>
      </c>
      <c r="AC110" t="s">
        <v>79</v>
      </c>
      <c r="AD110" t="s">
        <v>75</v>
      </c>
      <c r="AE110" t="s">
        <v>80</v>
      </c>
      <c r="AG110" t="s">
        <v>81</v>
      </c>
    </row>
    <row r="111" spans="1:33" x14ac:dyDescent="0.25">
      <c r="A111" t="str">
        <f>"1790896595"</f>
        <v>1790896595</v>
      </c>
      <c r="B111" t="str">
        <f>"01879721"</f>
        <v>01879721</v>
      </c>
      <c r="C111" t="s">
        <v>6627</v>
      </c>
      <c r="D111" t="s">
        <v>6628</v>
      </c>
      <c r="E111" t="s">
        <v>6629</v>
      </c>
      <c r="G111" t="s">
        <v>6630</v>
      </c>
      <c r="H111" t="s">
        <v>6631</v>
      </c>
      <c r="L111" t="s">
        <v>16</v>
      </c>
      <c r="M111" t="s">
        <v>75</v>
      </c>
      <c r="R111" t="s">
        <v>6632</v>
      </c>
      <c r="W111" t="s">
        <v>6629</v>
      </c>
      <c r="X111" t="s">
        <v>6633</v>
      </c>
      <c r="Y111" t="s">
        <v>97</v>
      </c>
      <c r="Z111" t="s">
        <v>77</v>
      </c>
      <c r="AA111" t="str">
        <f>"10029-6335"</f>
        <v>10029-6335</v>
      </c>
      <c r="AB111" t="s">
        <v>132</v>
      </c>
      <c r="AC111" t="s">
        <v>79</v>
      </c>
      <c r="AD111" t="s">
        <v>75</v>
      </c>
      <c r="AE111" t="s">
        <v>80</v>
      </c>
      <c r="AG111" t="s">
        <v>81</v>
      </c>
    </row>
    <row r="112" spans="1:33" x14ac:dyDescent="0.25">
      <c r="A112" t="str">
        <f>"1073810396"</f>
        <v>1073810396</v>
      </c>
      <c r="B112" t="str">
        <f>"03308445"</f>
        <v>03308445</v>
      </c>
      <c r="C112" t="s">
        <v>6634</v>
      </c>
      <c r="D112" t="s">
        <v>6635</v>
      </c>
      <c r="E112" t="s">
        <v>6636</v>
      </c>
      <c r="G112" t="s">
        <v>6637</v>
      </c>
      <c r="H112" t="s">
        <v>6638</v>
      </c>
      <c r="L112" t="s">
        <v>16</v>
      </c>
      <c r="M112" t="s">
        <v>75</v>
      </c>
      <c r="R112" t="s">
        <v>1803</v>
      </c>
      <c r="W112" t="s">
        <v>6639</v>
      </c>
      <c r="X112" t="s">
        <v>6640</v>
      </c>
      <c r="Y112" t="s">
        <v>131</v>
      </c>
      <c r="Z112" t="s">
        <v>77</v>
      </c>
      <c r="AA112" t="str">
        <f>"10451-5018"</f>
        <v>10451-5018</v>
      </c>
      <c r="AB112" t="s">
        <v>132</v>
      </c>
      <c r="AC112" t="s">
        <v>79</v>
      </c>
      <c r="AD112" t="s">
        <v>75</v>
      </c>
      <c r="AE112" t="s">
        <v>80</v>
      </c>
      <c r="AG112" t="s">
        <v>81</v>
      </c>
    </row>
    <row r="113" spans="1:33" x14ac:dyDescent="0.25">
      <c r="A113" t="str">
        <f>"1972652113"</f>
        <v>1972652113</v>
      </c>
      <c r="B113" t="str">
        <f>"02478628"</f>
        <v>02478628</v>
      </c>
      <c r="C113" t="s">
        <v>6641</v>
      </c>
      <c r="D113" t="s">
        <v>6642</v>
      </c>
      <c r="E113" t="s">
        <v>6643</v>
      </c>
      <c r="G113" t="s">
        <v>6644</v>
      </c>
      <c r="H113" t="s">
        <v>6645</v>
      </c>
      <c r="L113" t="s">
        <v>16</v>
      </c>
      <c r="M113" t="s">
        <v>85</v>
      </c>
      <c r="R113" t="s">
        <v>6643</v>
      </c>
      <c r="W113" t="s">
        <v>6643</v>
      </c>
      <c r="X113" t="s">
        <v>6646</v>
      </c>
      <c r="Y113" t="s">
        <v>97</v>
      </c>
      <c r="Z113" t="s">
        <v>77</v>
      </c>
      <c r="AA113" t="str">
        <f>"10026-3375"</f>
        <v>10026-3375</v>
      </c>
      <c r="AB113" t="s">
        <v>132</v>
      </c>
      <c r="AC113" t="s">
        <v>79</v>
      </c>
      <c r="AD113" t="s">
        <v>75</v>
      </c>
      <c r="AE113" t="s">
        <v>80</v>
      </c>
      <c r="AG113" t="s">
        <v>81</v>
      </c>
    </row>
    <row r="114" spans="1:33" x14ac:dyDescent="0.25">
      <c r="A114" t="str">
        <f>"1740367564"</f>
        <v>1740367564</v>
      </c>
      <c r="B114" t="str">
        <f>"00259045"</f>
        <v>00259045</v>
      </c>
      <c r="C114" t="s">
        <v>6647</v>
      </c>
      <c r="D114" t="s">
        <v>6648</v>
      </c>
      <c r="E114" t="s">
        <v>6649</v>
      </c>
      <c r="G114" t="s">
        <v>6650</v>
      </c>
      <c r="H114" t="s">
        <v>6651</v>
      </c>
      <c r="L114" t="s">
        <v>16</v>
      </c>
      <c r="M114" t="s">
        <v>75</v>
      </c>
      <c r="R114" t="s">
        <v>6652</v>
      </c>
      <c r="W114" t="s">
        <v>6649</v>
      </c>
      <c r="X114" t="s">
        <v>6653</v>
      </c>
      <c r="Y114" t="s">
        <v>97</v>
      </c>
      <c r="Z114" t="s">
        <v>77</v>
      </c>
      <c r="AA114" t="str">
        <f>"10011-1646"</f>
        <v>10011-1646</v>
      </c>
      <c r="AB114" t="s">
        <v>132</v>
      </c>
      <c r="AC114" t="s">
        <v>79</v>
      </c>
      <c r="AD114" t="s">
        <v>75</v>
      </c>
      <c r="AE114" t="s">
        <v>80</v>
      </c>
      <c r="AG114" t="s">
        <v>81</v>
      </c>
    </row>
    <row r="115" spans="1:33" x14ac:dyDescent="0.25">
      <c r="A115" t="str">
        <f>"1720155393"</f>
        <v>1720155393</v>
      </c>
      <c r="B115" t="str">
        <f>"02238035"</f>
        <v>02238035</v>
      </c>
      <c r="C115" t="s">
        <v>6654</v>
      </c>
      <c r="D115" t="s">
        <v>6655</v>
      </c>
      <c r="E115" t="s">
        <v>6656</v>
      </c>
      <c r="G115" t="s">
        <v>6657</v>
      </c>
      <c r="H115" t="s">
        <v>6658</v>
      </c>
      <c r="L115" t="s">
        <v>16</v>
      </c>
      <c r="M115" t="s">
        <v>75</v>
      </c>
      <c r="R115" t="s">
        <v>6656</v>
      </c>
      <c r="W115" t="s">
        <v>6656</v>
      </c>
      <c r="X115" t="s">
        <v>6659</v>
      </c>
      <c r="Y115" t="s">
        <v>807</v>
      </c>
      <c r="Z115" t="s">
        <v>77</v>
      </c>
      <c r="AA115" t="str">
        <f>"11421-1902"</f>
        <v>11421-1902</v>
      </c>
      <c r="AB115" t="s">
        <v>132</v>
      </c>
      <c r="AC115" t="s">
        <v>79</v>
      </c>
      <c r="AD115" t="s">
        <v>75</v>
      </c>
      <c r="AE115" t="s">
        <v>80</v>
      </c>
      <c r="AG115" t="s">
        <v>81</v>
      </c>
    </row>
    <row r="116" spans="1:33" x14ac:dyDescent="0.25">
      <c r="A116" t="str">
        <f>"1144249541"</f>
        <v>1144249541</v>
      </c>
      <c r="B116" t="str">
        <f>"02086175"</f>
        <v>02086175</v>
      </c>
      <c r="C116" t="s">
        <v>6660</v>
      </c>
      <c r="D116" t="s">
        <v>6661</v>
      </c>
      <c r="E116" t="s">
        <v>6662</v>
      </c>
      <c r="H116" t="s">
        <v>6663</v>
      </c>
      <c r="L116" t="s">
        <v>83</v>
      </c>
      <c r="M116" t="s">
        <v>75</v>
      </c>
      <c r="R116" t="s">
        <v>6664</v>
      </c>
      <c r="W116" t="s">
        <v>6665</v>
      </c>
      <c r="X116" t="s">
        <v>4766</v>
      </c>
      <c r="Y116" t="s">
        <v>97</v>
      </c>
      <c r="Z116" t="s">
        <v>77</v>
      </c>
      <c r="AA116" t="str">
        <f>"10021-4823"</f>
        <v>10021-4823</v>
      </c>
      <c r="AB116" t="s">
        <v>78</v>
      </c>
      <c r="AC116" t="s">
        <v>79</v>
      </c>
      <c r="AD116" t="s">
        <v>75</v>
      </c>
      <c r="AE116" t="s">
        <v>80</v>
      </c>
      <c r="AG116" t="s">
        <v>81</v>
      </c>
    </row>
    <row r="117" spans="1:33" x14ac:dyDescent="0.25">
      <c r="A117" t="str">
        <f>"1023105111"</f>
        <v>1023105111</v>
      </c>
      <c r="B117" t="str">
        <f>"00249078"</f>
        <v>00249078</v>
      </c>
      <c r="C117" t="s">
        <v>6666</v>
      </c>
      <c r="D117" t="s">
        <v>5340</v>
      </c>
      <c r="E117" t="s">
        <v>5341</v>
      </c>
      <c r="H117" t="s">
        <v>6667</v>
      </c>
      <c r="L117" t="s">
        <v>83</v>
      </c>
      <c r="M117" t="s">
        <v>85</v>
      </c>
      <c r="R117" t="s">
        <v>5342</v>
      </c>
      <c r="W117" t="s">
        <v>5343</v>
      </c>
      <c r="X117" t="s">
        <v>5344</v>
      </c>
      <c r="Y117" t="s">
        <v>97</v>
      </c>
      <c r="Z117" t="s">
        <v>77</v>
      </c>
      <c r="AA117" t="str">
        <f>"10065-4870"</f>
        <v>10065-4870</v>
      </c>
      <c r="AB117" t="s">
        <v>78</v>
      </c>
      <c r="AC117" t="s">
        <v>79</v>
      </c>
      <c r="AD117" t="s">
        <v>75</v>
      </c>
      <c r="AE117" t="s">
        <v>80</v>
      </c>
      <c r="AG117" t="s">
        <v>81</v>
      </c>
    </row>
    <row r="118" spans="1:33" x14ac:dyDescent="0.25">
      <c r="A118" t="str">
        <f>"1124198643"</f>
        <v>1124198643</v>
      </c>
      <c r="B118" t="str">
        <f>"00204146"</f>
        <v>00204146</v>
      </c>
      <c r="C118" t="s">
        <v>6668</v>
      </c>
      <c r="D118" t="s">
        <v>4327</v>
      </c>
      <c r="E118" t="s">
        <v>4328</v>
      </c>
      <c r="H118" t="s">
        <v>626</v>
      </c>
      <c r="I118">
        <v>2112</v>
      </c>
      <c r="J118" t="s">
        <v>4329</v>
      </c>
      <c r="L118" t="s">
        <v>84</v>
      </c>
      <c r="M118" t="s">
        <v>85</v>
      </c>
      <c r="R118" t="s">
        <v>4330</v>
      </c>
      <c r="W118" t="s">
        <v>4331</v>
      </c>
      <c r="X118" t="s">
        <v>4332</v>
      </c>
      <c r="Y118" t="s">
        <v>131</v>
      </c>
      <c r="Z118" t="s">
        <v>77</v>
      </c>
      <c r="AA118" t="str">
        <f>"10452-4050"</f>
        <v>10452-4050</v>
      </c>
      <c r="AB118" t="s">
        <v>78</v>
      </c>
      <c r="AC118" t="s">
        <v>79</v>
      </c>
      <c r="AD118" t="s">
        <v>75</v>
      </c>
      <c r="AE118" t="s">
        <v>80</v>
      </c>
      <c r="AG118" t="s">
        <v>81</v>
      </c>
    </row>
    <row r="119" spans="1:33" x14ac:dyDescent="0.25">
      <c r="A119" t="str">
        <f>"1437282605"</f>
        <v>1437282605</v>
      </c>
      <c r="B119" t="str">
        <f>"01183206"</f>
        <v>01183206</v>
      </c>
      <c r="C119" t="s">
        <v>6669</v>
      </c>
      <c r="D119" t="s">
        <v>3026</v>
      </c>
      <c r="E119" t="s">
        <v>3027</v>
      </c>
      <c r="H119" t="s">
        <v>626</v>
      </c>
      <c r="I119">
        <v>2120</v>
      </c>
      <c r="J119" t="s">
        <v>3028</v>
      </c>
      <c r="L119" t="s">
        <v>84</v>
      </c>
      <c r="M119" t="s">
        <v>75</v>
      </c>
      <c r="R119" t="s">
        <v>3029</v>
      </c>
      <c r="W119" t="s">
        <v>3027</v>
      </c>
      <c r="Y119" t="s">
        <v>97</v>
      </c>
      <c r="Z119" t="s">
        <v>77</v>
      </c>
      <c r="AA119" t="str">
        <f>"10011-8305"</f>
        <v>10011-8305</v>
      </c>
      <c r="AB119" t="s">
        <v>78</v>
      </c>
      <c r="AC119" t="s">
        <v>79</v>
      </c>
      <c r="AD119" t="s">
        <v>75</v>
      </c>
      <c r="AE119" t="s">
        <v>80</v>
      </c>
      <c r="AG119" t="s">
        <v>81</v>
      </c>
    </row>
    <row r="120" spans="1:33" x14ac:dyDescent="0.25">
      <c r="A120" t="str">
        <f>"1770848038"</f>
        <v>1770848038</v>
      </c>
      <c r="B120" t="str">
        <f>"03481752"</f>
        <v>03481752</v>
      </c>
      <c r="C120" t="s">
        <v>6670</v>
      </c>
      <c r="D120" t="s">
        <v>3545</v>
      </c>
      <c r="E120" t="s">
        <v>3546</v>
      </c>
      <c r="H120" t="s">
        <v>626</v>
      </c>
      <c r="I120">
        <v>3450</v>
      </c>
      <c r="J120" t="s">
        <v>3547</v>
      </c>
      <c r="L120" t="s">
        <v>143</v>
      </c>
      <c r="M120" t="s">
        <v>75</v>
      </c>
      <c r="R120" t="s">
        <v>3548</v>
      </c>
      <c r="W120" t="s">
        <v>3546</v>
      </c>
      <c r="X120" t="s">
        <v>3549</v>
      </c>
      <c r="Y120" t="s">
        <v>124</v>
      </c>
      <c r="Z120" t="s">
        <v>77</v>
      </c>
      <c r="AA120" t="str">
        <f>"14607-4000"</f>
        <v>14607-4000</v>
      </c>
      <c r="AB120" t="s">
        <v>78</v>
      </c>
      <c r="AC120" t="s">
        <v>79</v>
      </c>
      <c r="AD120" t="s">
        <v>75</v>
      </c>
      <c r="AE120" t="s">
        <v>80</v>
      </c>
      <c r="AG120" t="s">
        <v>81</v>
      </c>
    </row>
    <row r="121" spans="1:33" x14ac:dyDescent="0.25">
      <c r="A121" t="str">
        <f>"1891701223"</f>
        <v>1891701223</v>
      </c>
      <c r="B121" t="str">
        <f>"02634893"</f>
        <v>02634893</v>
      </c>
      <c r="C121" t="s">
        <v>6671</v>
      </c>
      <c r="D121" t="s">
        <v>3368</v>
      </c>
      <c r="E121" t="s">
        <v>3369</v>
      </c>
      <c r="H121" t="s">
        <v>626</v>
      </c>
      <c r="I121">
        <v>6284</v>
      </c>
      <c r="J121" t="s">
        <v>3370</v>
      </c>
      <c r="L121" t="s">
        <v>84</v>
      </c>
      <c r="M121" t="s">
        <v>75</v>
      </c>
      <c r="R121" t="s">
        <v>3371</v>
      </c>
      <c r="W121" t="s">
        <v>3372</v>
      </c>
      <c r="X121" t="s">
        <v>3373</v>
      </c>
      <c r="Y121" t="s">
        <v>97</v>
      </c>
      <c r="Z121" t="s">
        <v>77</v>
      </c>
      <c r="AA121" t="str">
        <f>"10001-2320"</f>
        <v>10001-2320</v>
      </c>
      <c r="AB121" t="s">
        <v>78</v>
      </c>
      <c r="AC121" t="s">
        <v>79</v>
      </c>
      <c r="AD121" t="s">
        <v>75</v>
      </c>
      <c r="AE121" t="s">
        <v>80</v>
      </c>
      <c r="AG121" t="s">
        <v>81</v>
      </c>
    </row>
    <row r="122" spans="1:33" x14ac:dyDescent="0.25">
      <c r="A122" t="str">
        <f>"1043223738"</f>
        <v>1043223738</v>
      </c>
      <c r="B122" t="str">
        <f>"02751251"</f>
        <v>02751251</v>
      </c>
      <c r="C122" t="s">
        <v>6672</v>
      </c>
      <c r="D122" t="s">
        <v>6673</v>
      </c>
      <c r="E122" t="s">
        <v>6674</v>
      </c>
      <c r="G122" t="s">
        <v>6278</v>
      </c>
      <c r="H122" t="s">
        <v>6279</v>
      </c>
      <c r="J122" t="s">
        <v>6280</v>
      </c>
      <c r="L122" t="s">
        <v>74</v>
      </c>
      <c r="M122" t="s">
        <v>75</v>
      </c>
      <c r="R122" t="s">
        <v>6675</v>
      </c>
      <c r="W122" t="s">
        <v>6674</v>
      </c>
      <c r="X122" t="s">
        <v>1342</v>
      </c>
      <c r="Y122" t="s">
        <v>131</v>
      </c>
      <c r="Z122" t="s">
        <v>77</v>
      </c>
      <c r="AA122" t="str">
        <f>"10456-3402"</f>
        <v>10456-3402</v>
      </c>
      <c r="AB122" t="s">
        <v>78</v>
      </c>
      <c r="AC122" t="s">
        <v>79</v>
      </c>
      <c r="AD122" t="s">
        <v>75</v>
      </c>
      <c r="AE122" t="s">
        <v>80</v>
      </c>
      <c r="AG122" t="s">
        <v>81</v>
      </c>
    </row>
    <row r="123" spans="1:33" x14ac:dyDescent="0.25">
      <c r="A123" t="str">
        <f>"1538190210"</f>
        <v>1538190210</v>
      </c>
      <c r="B123" t="str">
        <f>"00156703"</f>
        <v>00156703</v>
      </c>
      <c r="C123" t="s">
        <v>6676</v>
      </c>
      <c r="D123" t="s">
        <v>6677</v>
      </c>
      <c r="E123" t="s">
        <v>6678</v>
      </c>
      <c r="G123" t="s">
        <v>6278</v>
      </c>
      <c r="H123" t="s">
        <v>6279</v>
      </c>
      <c r="J123" t="s">
        <v>6280</v>
      </c>
      <c r="L123" t="s">
        <v>83</v>
      </c>
      <c r="M123" t="s">
        <v>85</v>
      </c>
      <c r="R123" t="s">
        <v>6679</v>
      </c>
      <c r="W123" t="s">
        <v>6680</v>
      </c>
      <c r="X123" t="s">
        <v>6681</v>
      </c>
      <c r="Y123" t="s">
        <v>97</v>
      </c>
      <c r="Z123" t="s">
        <v>77</v>
      </c>
      <c r="AA123" t="str">
        <f>"10025-1737"</f>
        <v>10025-1737</v>
      </c>
      <c r="AB123" t="s">
        <v>78</v>
      </c>
      <c r="AC123" t="s">
        <v>79</v>
      </c>
      <c r="AD123" t="s">
        <v>75</v>
      </c>
      <c r="AE123" t="s">
        <v>80</v>
      </c>
      <c r="AG123" t="s">
        <v>81</v>
      </c>
    </row>
    <row r="124" spans="1:33" x14ac:dyDescent="0.25">
      <c r="A124" t="str">
        <f>"1306884408"</f>
        <v>1306884408</v>
      </c>
      <c r="B124" t="str">
        <f>"01605458"</f>
        <v>01605458</v>
      </c>
      <c r="C124" t="s">
        <v>6682</v>
      </c>
      <c r="D124" t="s">
        <v>6683</v>
      </c>
      <c r="E124" t="s">
        <v>6684</v>
      </c>
      <c r="G124" t="s">
        <v>6278</v>
      </c>
      <c r="H124" t="s">
        <v>6279</v>
      </c>
      <c r="J124" t="s">
        <v>6280</v>
      </c>
      <c r="L124" t="s">
        <v>84</v>
      </c>
      <c r="M124" t="s">
        <v>85</v>
      </c>
      <c r="R124" t="s">
        <v>6685</v>
      </c>
      <c r="W124" t="s">
        <v>6684</v>
      </c>
      <c r="X124" t="s">
        <v>6686</v>
      </c>
      <c r="Y124" t="s">
        <v>87</v>
      </c>
      <c r="Z124" t="s">
        <v>77</v>
      </c>
      <c r="AA124" t="str">
        <f>"11222-3286"</f>
        <v>11222-3286</v>
      </c>
      <c r="AB124" t="s">
        <v>78</v>
      </c>
      <c r="AC124" t="s">
        <v>79</v>
      </c>
      <c r="AD124" t="s">
        <v>75</v>
      </c>
      <c r="AE124" t="s">
        <v>80</v>
      </c>
      <c r="AG124" t="s">
        <v>81</v>
      </c>
    </row>
    <row r="125" spans="1:33" x14ac:dyDescent="0.25">
      <c r="A125" t="str">
        <f>"1902186802"</f>
        <v>1902186802</v>
      </c>
      <c r="B125" t="str">
        <f>"03509868"</f>
        <v>03509868</v>
      </c>
      <c r="C125" t="s">
        <v>6687</v>
      </c>
      <c r="D125" t="s">
        <v>3987</v>
      </c>
      <c r="E125" t="s">
        <v>3988</v>
      </c>
      <c r="G125" t="s">
        <v>6278</v>
      </c>
      <c r="H125" t="s">
        <v>6279</v>
      </c>
      <c r="J125" t="s">
        <v>6280</v>
      </c>
      <c r="L125" t="s">
        <v>83</v>
      </c>
      <c r="M125" t="s">
        <v>75</v>
      </c>
      <c r="R125" t="s">
        <v>3989</v>
      </c>
      <c r="W125" t="s">
        <v>3988</v>
      </c>
      <c r="X125" t="s">
        <v>3990</v>
      </c>
      <c r="Y125" t="s">
        <v>87</v>
      </c>
      <c r="Z125" t="s">
        <v>77</v>
      </c>
      <c r="AA125" t="str">
        <f>"11229-5305"</f>
        <v>11229-5305</v>
      </c>
      <c r="AB125" t="s">
        <v>78</v>
      </c>
      <c r="AC125" t="s">
        <v>79</v>
      </c>
      <c r="AD125" t="s">
        <v>75</v>
      </c>
      <c r="AE125" t="s">
        <v>80</v>
      </c>
      <c r="AG125" t="s">
        <v>81</v>
      </c>
    </row>
    <row r="126" spans="1:33" x14ac:dyDescent="0.25">
      <c r="A126" t="str">
        <f>"1982605614"</f>
        <v>1982605614</v>
      </c>
      <c r="B126" t="str">
        <f>"02579188"</f>
        <v>02579188</v>
      </c>
      <c r="C126" t="s">
        <v>6688</v>
      </c>
      <c r="D126" t="s">
        <v>6689</v>
      </c>
      <c r="E126" t="s">
        <v>6690</v>
      </c>
      <c r="G126" t="s">
        <v>6367</v>
      </c>
      <c r="H126" t="s">
        <v>4625</v>
      </c>
      <c r="J126" t="s">
        <v>6368</v>
      </c>
      <c r="L126" t="s">
        <v>83</v>
      </c>
      <c r="M126" t="s">
        <v>85</v>
      </c>
      <c r="R126" t="s">
        <v>6691</v>
      </c>
      <c r="W126" t="s">
        <v>6690</v>
      </c>
      <c r="X126" t="s">
        <v>1822</v>
      </c>
      <c r="Y126" t="s">
        <v>1823</v>
      </c>
      <c r="Z126" t="s">
        <v>77</v>
      </c>
      <c r="AA126" t="str">
        <f>"10941-4028"</f>
        <v>10941-4028</v>
      </c>
      <c r="AB126" t="s">
        <v>78</v>
      </c>
      <c r="AC126" t="s">
        <v>79</v>
      </c>
      <c r="AD126" t="s">
        <v>75</v>
      </c>
      <c r="AE126" t="s">
        <v>80</v>
      </c>
      <c r="AG126" t="s">
        <v>81</v>
      </c>
    </row>
    <row r="127" spans="1:33" x14ac:dyDescent="0.25">
      <c r="A127" t="str">
        <f>"1477726156"</f>
        <v>1477726156</v>
      </c>
      <c r="B127" t="str">
        <f>"02985468"</f>
        <v>02985468</v>
      </c>
      <c r="C127" t="s">
        <v>6692</v>
      </c>
      <c r="D127" t="s">
        <v>6693</v>
      </c>
      <c r="E127" t="s">
        <v>6694</v>
      </c>
      <c r="G127" t="s">
        <v>6278</v>
      </c>
      <c r="H127" t="s">
        <v>6279</v>
      </c>
      <c r="J127" t="s">
        <v>6280</v>
      </c>
      <c r="L127" t="s">
        <v>83</v>
      </c>
      <c r="M127" t="s">
        <v>85</v>
      </c>
      <c r="R127" t="s">
        <v>6695</v>
      </c>
      <c r="W127" t="s">
        <v>6694</v>
      </c>
      <c r="X127" t="s">
        <v>6696</v>
      </c>
      <c r="Y127" t="s">
        <v>97</v>
      </c>
      <c r="Z127" t="s">
        <v>77</v>
      </c>
      <c r="AA127" t="str">
        <f>"10003"</f>
        <v>10003</v>
      </c>
      <c r="AB127" t="s">
        <v>78</v>
      </c>
      <c r="AC127" t="s">
        <v>79</v>
      </c>
      <c r="AD127" t="s">
        <v>75</v>
      </c>
      <c r="AE127" t="s">
        <v>80</v>
      </c>
      <c r="AG127" t="s">
        <v>81</v>
      </c>
    </row>
    <row r="128" spans="1:33" x14ac:dyDescent="0.25">
      <c r="A128" t="str">
        <f>"1841623337"</f>
        <v>1841623337</v>
      </c>
      <c r="B128" t="str">
        <f>"03743340"</f>
        <v>03743340</v>
      </c>
      <c r="C128" t="s">
        <v>6697</v>
      </c>
      <c r="D128" t="s">
        <v>6698</v>
      </c>
      <c r="E128" t="s">
        <v>6699</v>
      </c>
      <c r="G128" t="s">
        <v>6380</v>
      </c>
      <c r="H128" t="s">
        <v>4625</v>
      </c>
      <c r="J128" t="s">
        <v>6381</v>
      </c>
      <c r="L128" t="s">
        <v>74</v>
      </c>
      <c r="M128" t="s">
        <v>85</v>
      </c>
      <c r="R128" t="s">
        <v>6700</v>
      </c>
      <c r="W128" t="s">
        <v>6699</v>
      </c>
      <c r="X128" t="s">
        <v>1822</v>
      </c>
      <c r="Y128" t="s">
        <v>1823</v>
      </c>
      <c r="Z128" t="s">
        <v>77</v>
      </c>
      <c r="AA128" t="str">
        <f>"10941-4028"</f>
        <v>10941-4028</v>
      </c>
      <c r="AB128" t="s">
        <v>78</v>
      </c>
      <c r="AC128" t="s">
        <v>79</v>
      </c>
      <c r="AD128" t="s">
        <v>75</v>
      </c>
      <c r="AE128" t="s">
        <v>80</v>
      </c>
      <c r="AG128" t="s">
        <v>81</v>
      </c>
    </row>
    <row r="129" spans="1:33" x14ac:dyDescent="0.25">
      <c r="A129" t="str">
        <f>"1609070358"</f>
        <v>1609070358</v>
      </c>
      <c r="B129" t="str">
        <f>"01922729"</f>
        <v>01922729</v>
      </c>
      <c r="C129" t="s">
        <v>6701</v>
      </c>
      <c r="D129" t="s">
        <v>4967</v>
      </c>
      <c r="E129" t="s">
        <v>4968</v>
      </c>
      <c r="G129" t="s">
        <v>6283</v>
      </c>
      <c r="H129" t="s">
        <v>4075</v>
      </c>
      <c r="I129">
        <v>249</v>
      </c>
      <c r="J129" t="s">
        <v>4076</v>
      </c>
      <c r="L129" t="s">
        <v>74</v>
      </c>
      <c r="M129" t="s">
        <v>85</v>
      </c>
      <c r="R129" t="s">
        <v>4969</v>
      </c>
      <c r="W129" t="s">
        <v>4969</v>
      </c>
      <c r="X129" t="s">
        <v>4082</v>
      </c>
      <c r="Y129" t="s">
        <v>91</v>
      </c>
      <c r="Z129" t="s">
        <v>77</v>
      </c>
      <c r="AA129" t="str">
        <f>"11373-4444"</f>
        <v>11373-4444</v>
      </c>
      <c r="AB129" t="s">
        <v>82</v>
      </c>
      <c r="AC129" t="s">
        <v>79</v>
      </c>
      <c r="AD129" t="s">
        <v>75</v>
      </c>
      <c r="AE129" t="s">
        <v>80</v>
      </c>
      <c r="AG129" t="s">
        <v>81</v>
      </c>
    </row>
    <row r="130" spans="1:33" x14ac:dyDescent="0.25">
      <c r="C130" t="s">
        <v>6702</v>
      </c>
      <c r="G130" t="s">
        <v>6425</v>
      </c>
      <c r="H130" t="s">
        <v>6703</v>
      </c>
      <c r="K130" t="s">
        <v>206</v>
      </c>
      <c r="L130" t="s">
        <v>100</v>
      </c>
      <c r="M130" t="s">
        <v>75</v>
      </c>
      <c r="N130" t="s">
        <v>6704</v>
      </c>
      <c r="O130" t="s">
        <v>296</v>
      </c>
      <c r="P130" t="s">
        <v>77</v>
      </c>
      <c r="AC130" t="s">
        <v>79</v>
      </c>
      <c r="AD130" t="s">
        <v>75</v>
      </c>
      <c r="AE130" t="s">
        <v>101</v>
      </c>
      <c r="AG130" t="s">
        <v>81</v>
      </c>
    </row>
    <row r="131" spans="1:33" x14ac:dyDescent="0.25">
      <c r="C131" t="s">
        <v>6705</v>
      </c>
      <c r="G131" t="s">
        <v>6425</v>
      </c>
      <c r="H131" t="s">
        <v>6706</v>
      </c>
      <c r="K131" t="s">
        <v>206</v>
      </c>
      <c r="L131" t="s">
        <v>100</v>
      </c>
      <c r="M131" t="s">
        <v>75</v>
      </c>
      <c r="N131" t="s">
        <v>6707</v>
      </c>
      <c r="O131" t="s">
        <v>296</v>
      </c>
      <c r="P131" t="s">
        <v>77</v>
      </c>
      <c r="AC131" t="s">
        <v>79</v>
      </c>
      <c r="AD131" t="s">
        <v>75</v>
      </c>
      <c r="AE131" t="s">
        <v>101</v>
      </c>
      <c r="AG131" t="s">
        <v>81</v>
      </c>
    </row>
    <row r="132" spans="1:33" x14ac:dyDescent="0.25">
      <c r="C132" t="s">
        <v>6708</v>
      </c>
      <c r="G132" t="s">
        <v>6425</v>
      </c>
      <c r="H132" t="s">
        <v>6709</v>
      </c>
      <c r="K132" t="s">
        <v>206</v>
      </c>
      <c r="L132" t="s">
        <v>100</v>
      </c>
      <c r="M132" t="s">
        <v>75</v>
      </c>
      <c r="N132" t="s">
        <v>6710</v>
      </c>
      <c r="O132" t="s">
        <v>296</v>
      </c>
      <c r="P132" t="s">
        <v>77</v>
      </c>
      <c r="AC132" t="s">
        <v>79</v>
      </c>
      <c r="AD132" t="s">
        <v>75</v>
      </c>
      <c r="AE132" t="s">
        <v>101</v>
      </c>
      <c r="AG132" t="s">
        <v>81</v>
      </c>
    </row>
    <row r="133" spans="1:33" x14ac:dyDescent="0.25">
      <c r="C133" t="s">
        <v>6711</v>
      </c>
      <c r="G133" t="s">
        <v>6425</v>
      </c>
      <c r="H133" t="s">
        <v>6712</v>
      </c>
      <c r="K133" t="s">
        <v>206</v>
      </c>
      <c r="L133" t="s">
        <v>100</v>
      </c>
      <c r="M133" t="s">
        <v>75</v>
      </c>
      <c r="N133" t="s">
        <v>6713</v>
      </c>
      <c r="O133" t="s">
        <v>296</v>
      </c>
      <c r="P133" t="s">
        <v>77</v>
      </c>
      <c r="AC133" t="s">
        <v>79</v>
      </c>
      <c r="AD133" t="s">
        <v>75</v>
      </c>
      <c r="AE133" t="s">
        <v>101</v>
      </c>
      <c r="AG133" t="s">
        <v>81</v>
      </c>
    </row>
    <row r="134" spans="1:33" x14ac:dyDescent="0.25">
      <c r="C134" t="s">
        <v>6714</v>
      </c>
      <c r="G134" t="s">
        <v>6425</v>
      </c>
      <c r="H134" t="s">
        <v>6703</v>
      </c>
      <c r="K134" t="s">
        <v>206</v>
      </c>
      <c r="L134" t="s">
        <v>100</v>
      </c>
      <c r="M134" t="s">
        <v>75</v>
      </c>
      <c r="N134" t="s">
        <v>6704</v>
      </c>
      <c r="O134" t="s">
        <v>296</v>
      </c>
      <c r="P134" t="s">
        <v>77</v>
      </c>
      <c r="AC134" t="s">
        <v>79</v>
      </c>
      <c r="AD134" t="s">
        <v>75</v>
      </c>
      <c r="AE134" t="s">
        <v>101</v>
      </c>
      <c r="AG134" t="s">
        <v>81</v>
      </c>
    </row>
    <row r="135" spans="1:33" x14ac:dyDescent="0.25">
      <c r="A135" t="str">
        <f>"1134410236"</f>
        <v>1134410236</v>
      </c>
      <c r="B135" t="str">
        <f>"03491036"</f>
        <v>03491036</v>
      </c>
      <c r="C135" t="s">
        <v>6715</v>
      </c>
      <c r="D135" t="s">
        <v>6716</v>
      </c>
      <c r="E135" t="s">
        <v>6717</v>
      </c>
      <c r="G135" t="s">
        <v>6278</v>
      </c>
      <c r="H135" t="s">
        <v>6279</v>
      </c>
      <c r="J135" t="s">
        <v>6280</v>
      </c>
      <c r="L135" t="s">
        <v>83</v>
      </c>
      <c r="M135" t="s">
        <v>75</v>
      </c>
      <c r="R135" t="s">
        <v>6718</v>
      </c>
      <c r="W135" t="s">
        <v>6717</v>
      </c>
      <c r="X135" t="s">
        <v>4799</v>
      </c>
      <c r="Y135" t="s">
        <v>87</v>
      </c>
      <c r="Z135" t="s">
        <v>77</v>
      </c>
      <c r="AA135" t="str">
        <f>"11234-2625"</f>
        <v>11234-2625</v>
      </c>
      <c r="AB135" t="s">
        <v>78</v>
      </c>
      <c r="AC135" t="s">
        <v>79</v>
      </c>
      <c r="AD135" t="s">
        <v>75</v>
      </c>
      <c r="AE135" t="s">
        <v>80</v>
      </c>
      <c r="AG135" t="s">
        <v>81</v>
      </c>
    </row>
    <row r="136" spans="1:33" x14ac:dyDescent="0.25">
      <c r="A136" t="str">
        <f>"1417280835"</f>
        <v>1417280835</v>
      </c>
      <c r="B136" t="str">
        <f>"03631867"</f>
        <v>03631867</v>
      </c>
      <c r="C136" t="s">
        <v>6719</v>
      </c>
      <c r="D136" t="s">
        <v>6720</v>
      </c>
      <c r="E136" t="s">
        <v>6721</v>
      </c>
      <c r="G136" t="s">
        <v>6367</v>
      </c>
      <c r="H136" t="s">
        <v>4625</v>
      </c>
      <c r="J136" t="s">
        <v>6368</v>
      </c>
      <c r="L136" t="s">
        <v>83</v>
      </c>
      <c r="M136" t="s">
        <v>75</v>
      </c>
      <c r="R136" t="s">
        <v>6721</v>
      </c>
      <c r="W136" t="s">
        <v>6721</v>
      </c>
      <c r="X136" t="s">
        <v>1822</v>
      </c>
      <c r="Y136" t="s">
        <v>1823</v>
      </c>
      <c r="Z136" t="s">
        <v>77</v>
      </c>
      <c r="AA136" t="str">
        <f>"10941-4028"</f>
        <v>10941-4028</v>
      </c>
      <c r="AB136" t="s">
        <v>78</v>
      </c>
      <c r="AC136" t="s">
        <v>79</v>
      </c>
      <c r="AD136" t="s">
        <v>75</v>
      </c>
      <c r="AE136" t="s">
        <v>80</v>
      </c>
      <c r="AG136" t="s">
        <v>81</v>
      </c>
    </row>
    <row r="137" spans="1:33" x14ac:dyDescent="0.25">
      <c r="A137" t="str">
        <f>"1285768143"</f>
        <v>1285768143</v>
      </c>
      <c r="B137" t="str">
        <f>"01118698"</f>
        <v>01118698</v>
      </c>
      <c r="C137" t="s">
        <v>6722</v>
      </c>
      <c r="D137" t="s">
        <v>6723</v>
      </c>
      <c r="E137" t="s">
        <v>6724</v>
      </c>
      <c r="G137" t="s">
        <v>6380</v>
      </c>
      <c r="H137" t="s">
        <v>4625</v>
      </c>
      <c r="J137" t="s">
        <v>6381</v>
      </c>
      <c r="L137" t="s">
        <v>84</v>
      </c>
      <c r="M137" t="s">
        <v>85</v>
      </c>
      <c r="R137" t="s">
        <v>6725</v>
      </c>
      <c r="W137" t="s">
        <v>6724</v>
      </c>
      <c r="X137" t="s">
        <v>6726</v>
      </c>
      <c r="Y137" t="s">
        <v>1823</v>
      </c>
      <c r="Z137" t="s">
        <v>77</v>
      </c>
      <c r="AA137" t="str">
        <f>"10940-3224"</f>
        <v>10940-3224</v>
      </c>
      <c r="AB137" t="s">
        <v>78</v>
      </c>
      <c r="AC137" t="s">
        <v>79</v>
      </c>
      <c r="AD137" t="s">
        <v>75</v>
      </c>
      <c r="AE137" t="s">
        <v>80</v>
      </c>
      <c r="AG137" t="s">
        <v>81</v>
      </c>
    </row>
    <row r="138" spans="1:33" x14ac:dyDescent="0.25">
      <c r="A138" t="str">
        <f>"1861797193"</f>
        <v>1861797193</v>
      </c>
      <c r="B138" t="str">
        <f>"03917282"</f>
        <v>03917282</v>
      </c>
      <c r="C138" t="s">
        <v>6727</v>
      </c>
      <c r="D138" t="s">
        <v>6728</v>
      </c>
      <c r="E138" t="s">
        <v>6729</v>
      </c>
      <c r="G138" t="s">
        <v>6380</v>
      </c>
      <c r="H138" t="s">
        <v>4625</v>
      </c>
      <c r="J138" t="s">
        <v>6381</v>
      </c>
      <c r="L138" t="s">
        <v>83</v>
      </c>
      <c r="M138" t="s">
        <v>75</v>
      </c>
      <c r="R138" t="s">
        <v>6730</v>
      </c>
      <c r="W138" t="s">
        <v>6731</v>
      </c>
      <c r="X138" t="s">
        <v>6503</v>
      </c>
      <c r="Y138" t="s">
        <v>1823</v>
      </c>
      <c r="Z138" t="s">
        <v>77</v>
      </c>
      <c r="AA138" t="str">
        <f>"10941-7001"</f>
        <v>10941-7001</v>
      </c>
      <c r="AB138" t="s">
        <v>78</v>
      </c>
      <c r="AC138" t="s">
        <v>79</v>
      </c>
      <c r="AD138" t="s">
        <v>75</v>
      </c>
      <c r="AE138" t="s">
        <v>80</v>
      </c>
      <c r="AG138" t="s">
        <v>81</v>
      </c>
    </row>
    <row r="139" spans="1:33" x14ac:dyDescent="0.25">
      <c r="A139" t="str">
        <f>"1871996116"</f>
        <v>1871996116</v>
      </c>
      <c r="B139" t="str">
        <f>"04003641"</f>
        <v>04003641</v>
      </c>
      <c r="C139" t="s">
        <v>6732</v>
      </c>
      <c r="D139" t="s">
        <v>6733</v>
      </c>
      <c r="E139" t="s">
        <v>6734</v>
      </c>
      <c r="G139" t="s">
        <v>6380</v>
      </c>
      <c r="H139" t="s">
        <v>4625</v>
      </c>
      <c r="J139" t="s">
        <v>6381</v>
      </c>
      <c r="L139" t="s">
        <v>74</v>
      </c>
      <c r="M139" t="s">
        <v>75</v>
      </c>
      <c r="R139" t="s">
        <v>6735</v>
      </c>
      <c r="W139" t="s">
        <v>6734</v>
      </c>
      <c r="X139" t="s">
        <v>6503</v>
      </c>
      <c r="Y139" t="s">
        <v>1823</v>
      </c>
      <c r="Z139" t="s">
        <v>77</v>
      </c>
      <c r="AA139" t="str">
        <f>"10941-7001"</f>
        <v>10941-7001</v>
      </c>
      <c r="AB139" t="s">
        <v>78</v>
      </c>
      <c r="AC139" t="s">
        <v>79</v>
      </c>
      <c r="AD139" t="s">
        <v>75</v>
      </c>
      <c r="AE139" t="s">
        <v>80</v>
      </c>
      <c r="AG139" t="s">
        <v>81</v>
      </c>
    </row>
    <row r="140" spans="1:33" x14ac:dyDescent="0.25">
      <c r="A140" t="str">
        <f>"1912161498"</f>
        <v>1912161498</v>
      </c>
      <c r="B140" t="str">
        <f>"03917122"</f>
        <v>03917122</v>
      </c>
      <c r="C140" t="s">
        <v>6736</v>
      </c>
      <c r="D140" t="s">
        <v>6737</v>
      </c>
      <c r="E140" t="s">
        <v>6738</v>
      </c>
      <c r="G140" t="s">
        <v>6380</v>
      </c>
      <c r="H140" t="s">
        <v>4625</v>
      </c>
      <c r="J140" t="s">
        <v>6381</v>
      </c>
      <c r="L140" t="s">
        <v>83</v>
      </c>
      <c r="M140" t="s">
        <v>75</v>
      </c>
      <c r="R140" t="s">
        <v>6739</v>
      </c>
      <c r="W140" t="s">
        <v>6738</v>
      </c>
      <c r="X140" t="s">
        <v>6503</v>
      </c>
      <c r="Y140" t="s">
        <v>1823</v>
      </c>
      <c r="Z140" t="s">
        <v>77</v>
      </c>
      <c r="AA140" t="str">
        <f>"10941-7001"</f>
        <v>10941-7001</v>
      </c>
      <c r="AB140" t="s">
        <v>78</v>
      </c>
      <c r="AC140" t="s">
        <v>79</v>
      </c>
      <c r="AD140" t="s">
        <v>75</v>
      </c>
      <c r="AE140" t="s">
        <v>80</v>
      </c>
      <c r="AG140" t="s">
        <v>81</v>
      </c>
    </row>
    <row r="141" spans="1:33" x14ac:dyDescent="0.25">
      <c r="A141" t="str">
        <f>"1609864339"</f>
        <v>1609864339</v>
      </c>
      <c r="B141" t="str">
        <f>"01523468"</f>
        <v>01523468</v>
      </c>
      <c r="C141" t="s">
        <v>6740</v>
      </c>
      <c r="D141" t="s">
        <v>6741</v>
      </c>
      <c r="E141" t="s">
        <v>6742</v>
      </c>
      <c r="G141" t="s">
        <v>6743</v>
      </c>
      <c r="H141" t="s">
        <v>6744</v>
      </c>
      <c r="J141" t="s">
        <v>6745</v>
      </c>
      <c r="L141" t="s">
        <v>84</v>
      </c>
      <c r="M141" t="s">
        <v>75</v>
      </c>
      <c r="R141" t="s">
        <v>6746</v>
      </c>
      <c r="W141" t="s">
        <v>6742</v>
      </c>
      <c r="X141" t="s">
        <v>6747</v>
      </c>
      <c r="Y141" t="s">
        <v>155</v>
      </c>
      <c r="Z141" t="s">
        <v>77</v>
      </c>
      <c r="AA141" t="str">
        <f>"10306-3034"</f>
        <v>10306-3034</v>
      </c>
      <c r="AB141" t="s">
        <v>78</v>
      </c>
      <c r="AC141" t="s">
        <v>79</v>
      </c>
      <c r="AD141" t="s">
        <v>75</v>
      </c>
      <c r="AE141" t="s">
        <v>80</v>
      </c>
      <c r="AG141" t="s">
        <v>81</v>
      </c>
    </row>
    <row r="142" spans="1:33" x14ac:dyDescent="0.25">
      <c r="A142" t="str">
        <f>"1558430124"</f>
        <v>1558430124</v>
      </c>
      <c r="B142" t="str">
        <f>"02792785"</f>
        <v>02792785</v>
      </c>
      <c r="C142" t="s">
        <v>6748</v>
      </c>
      <c r="D142" t="s">
        <v>6749</v>
      </c>
      <c r="E142" t="s">
        <v>6750</v>
      </c>
      <c r="G142" t="s">
        <v>6278</v>
      </c>
      <c r="H142" t="s">
        <v>6279</v>
      </c>
      <c r="J142" t="s">
        <v>6280</v>
      </c>
      <c r="L142" t="s">
        <v>83</v>
      </c>
      <c r="M142" t="s">
        <v>75</v>
      </c>
      <c r="R142" t="s">
        <v>6751</v>
      </c>
      <c r="W142" t="s">
        <v>6751</v>
      </c>
      <c r="X142" t="s">
        <v>6752</v>
      </c>
      <c r="Y142" t="s">
        <v>171</v>
      </c>
      <c r="Z142" t="s">
        <v>77</v>
      </c>
      <c r="AA142" t="str">
        <f>"11432-4917"</f>
        <v>11432-4917</v>
      </c>
      <c r="AB142" t="s">
        <v>78</v>
      </c>
      <c r="AC142" t="s">
        <v>79</v>
      </c>
      <c r="AD142" t="s">
        <v>75</v>
      </c>
      <c r="AE142" t="s">
        <v>80</v>
      </c>
      <c r="AG142" t="s">
        <v>81</v>
      </c>
    </row>
    <row r="143" spans="1:33" x14ac:dyDescent="0.25">
      <c r="A143" t="str">
        <f>"1255367678"</f>
        <v>1255367678</v>
      </c>
      <c r="B143" t="str">
        <f>"00851501"</f>
        <v>00851501</v>
      </c>
      <c r="C143" t="s">
        <v>6753</v>
      </c>
      <c r="D143" t="s">
        <v>6754</v>
      </c>
      <c r="E143" t="s">
        <v>6755</v>
      </c>
      <c r="G143" t="s">
        <v>6278</v>
      </c>
      <c r="H143" t="s">
        <v>6279</v>
      </c>
      <c r="J143" t="s">
        <v>6280</v>
      </c>
      <c r="L143" t="s">
        <v>83</v>
      </c>
      <c r="M143" t="s">
        <v>75</v>
      </c>
      <c r="R143" t="s">
        <v>6756</v>
      </c>
      <c r="W143" t="s">
        <v>6755</v>
      </c>
      <c r="X143" t="s">
        <v>6757</v>
      </c>
      <c r="Y143" t="s">
        <v>87</v>
      </c>
      <c r="Z143" t="s">
        <v>77</v>
      </c>
      <c r="AA143" t="str">
        <f>"11222-3160"</f>
        <v>11222-3160</v>
      </c>
      <c r="AB143" t="s">
        <v>78</v>
      </c>
      <c r="AC143" t="s">
        <v>79</v>
      </c>
      <c r="AD143" t="s">
        <v>75</v>
      </c>
      <c r="AE143" t="s">
        <v>80</v>
      </c>
      <c r="AG143" t="s">
        <v>81</v>
      </c>
    </row>
    <row r="144" spans="1:33" x14ac:dyDescent="0.25">
      <c r="A144" t="str">
        <f>"1689668071"</f>
        <v>1689668071</v>
      </c>
      <c r="B144" t="str">
        <f>"00904861"</f>
        <v>00904861</v>
      </c>
      <c r="C144" t="s">
        <v>6758</v>
      </c>
      <c r="D144" t="s">
        <v>6759</v>
      </c>
      <c r="E144" t="s">
        <v>6760</v>
      </c>
      <c r="G144" t="s">
        <v>6367</v>
      </c>
      <c r="H144" t="s">
        <v>4625</v>
      </c>
      <c r="J144" t="s">
        <v>6368</v>
      </c>
      <c r="L144" t="s">
        <v>83</v>
      </c>
      <c r="M144" t="s">
        <v>85</v>
      </c>
      <c r="R144" t="s">
        <v>6761</v>
      </c>
      <c r="W144" t="s">
        <v>6760</v>
      </c>
      <c r="X144" t="s">
        <v>1781</v>
      </c>
      <c r="Y144" t="s">
        <v>1797</v>
      </c>
      <c r="Z144" t="s">
        <v>77</v>
      </c>
      <c r="AA144" t="str">
        <f>"12550-8300"</f>
        <v>12550-8300</v>
      </c>
      <c r="AB144" t="s">
        <v>78</v>
      </c>
      <c r="AC144" t="s">
        <v>79</v>
      </c>
      <c r="AD144" t="s">
        <v>75</v>
      </c>
      <c r="AE144" t="s">
        <v>80</v>
      </c>
      <c r="AG144" t="s">
        <v>81</v>
      </c>
    </row>
    <row r="145" spans="1:33" x14ac:dyDescent="0.25">
      <c r="A145" t="str">
        <f>"1790855815"</f>
        <v>1790855815</v>
      </c>
      <c r="B145" t="str">
        <f>"02865227"</f>
        <v>02865227</v>
      </c>
      <c r="C145" t="s">
        <v>6762</v>
      </c>
      <c r="D145" t="s">
        <v>6763</v>
      </c>
      <c r="E145" t="s">
        <v>6764</v>
      </c>
      <c r="G145" t="s">
        <v>6278</v>
      </c>
      <c r="H145" t="s">
        <v>6279</v>
      </c>
      <c r="J145" t="s">
        <v>6280</v>
      </c>
      <c r="L145" t="s">
        <v>74</v>
      </c>
      <c r="M145" t="s">
        <v>85</v>
      </c>
      <c r="R145" t="s">
        <v>6765</v>
      </c>
      <c r="W145" t="s">
        <v>6764</v>
      </c>
      <c r="X145" t="s">
        <v>4847</v>
      </c>
      <c r="Y145" t="s">
        <v>131</v>
      </c>
      <c r="Z145" t="s">
        <v>77</v>
      </c>
      <c r="AA145" t="str">
        <f>"10461-2653"</f>
        <v>10461-2653</v>
      </c>
      <c r="AB145" t="s">
        <v>78</v>
      </c>
      <c r="AC145" t="s">
        <v>79</v>
      </c>
      <c r="AD145" t="s">
        <v>75</v>
      </c>
      <c r="AE145" t="s">
        <v>80</v>
      </c>
      <c r="AG145" t="s">
        <v>81</v>
      </c>
    </row>
    <row r="146" spans="1:33" x14ac:dyDescent="0.25">
      <c r="A146" t="str">
        <f>"1720353725"</f>
        <v>1720353725</v>
      </c>
      <c r="B146" t="str">
        <f>"03990489"</f>
        <v>03990489</v>
      </c>
      <c r="C146" t="s">
        <v>6766</v>
      </c>
      <c r="D146" t="s">
        <v>6767</v>
      </c>
      <c r="E146" t="s">
        <v>6768</v>
      </c>
      <c r="G146" t="s">
        <v>6278</v>
      </c>
      <c r="H146" t="s">
        <v>6279</v>
      </c>
      <c r="J146" t="s">
        <v>6280</v>
      </c>
      <c r="L146" t="s">
        <v>74</v>
      </c>
      <c r="M146" t="s">
        <v>75</v>
      </c>
      <c r="R146" t="s">
        <v>6769</v>
      </c>
      <c r="W146" t="s">
        <v>6768</v>
      </c>
      <c r="X146" t="s">
        <v>6770</v>
      </c>
      <c r="Y146" t="s">
        <v>6771</v>
      </c>
      <c r="Z146" t="s">
        <v>156</v>
      </c>
      <c r="AA146" t="str">
        <f>"07078-3131"</f>
        <v>07078-3131</v>
      </c>
      <c r="AB146" t="s">
        <v>78</v>
      </c>
      <c r="AC146" t="s">
        <v>79</v>
      </c>
      <c r="AD146" t="s">
        <v>75</v>
      </c>
      <c r="AE146" t="s">
        <v>80</v>
      </c>
      <c r="AG146" t="s">
        <v>81</v>
      </c>
    </row>
    <row r="147" spans="1:33" x14ac:dyDescent="0.25">
      <c r="A147" t="str">
        <f>"1497889232"</f>
        <v>1497889232</v>
      </c>
      <c r="B147" t="str">
        <f>"00563800"</f>
        <v>00563800</v>
      </c>
      <c r="C147" t="s">
        <v>6772</v>
      </c>
      <c r="D147" t="s">
        <v>6773</v>
      </c>
      <c r="E147" t="s">
        <v>6774</v>
      </c>
      <c r="G147" t="s">
        <v>6367</v>
      </c>
      <c r="H147" t="s">
        <v>4625</v>
      </c>
      <c r="J147" t="s">
        <v>6368</v>
      </c>
      <c r="L147" t="s">
        <v>84</v>
      </c>
      <c r="M147" t="s">
        <v>85</v>
      </c>
      <c r="R147" t="s">
        <v>6775</v>
      </c>
      <c r="W147" t="s">
        <v>6776</v>
      </c>
      <c r="X147" t="s">
        <v>6726</v>
      </c>
      <c r="Y147" t="s">
        <v>1823</v>
      </c>
      <c r="Z147" t="s">
        <v>77</v>
      </c>
      <c r="AA147" t="str">
        <f>"10940-3224"</f>
        <v>10940-3224</v>
      </c>
      <c r="AB147" t="s">
        <v>78</v>
      </c>
      <c r="AC147" t="s">
        <v>79</v>
      </c>
      <c r="AD147" t="s">
        <v>75</v>
      </c>
      <c r="AE147" t="s">
        <v>80</v>
      </c>
      <c r="AG147" t="s">
        <v>81</v>
      </c>
    </row>
    <row r="148" spans="1:33" x14ac:dyDescent="0.25">
      <c r="C148" t="s">
        <v>6777</v>
      </c>
      <c r="G148" t="s">
        <v>6425</v>
      </c>
      <c r="H148" t="s">
        <v>2879</v>
      </c>
      <c r="K148" t="s">
        <v>206</v>
      </c>
      <c r="L148" t="s">
        <v>100</v>
      </c>
      <c r="M148" t="s">
        <v>75</v>
      </c>
      <c r="N148" t="s">
        <v>6778</v>
      </c>
      <c r="O148" t="s">
        <v>296</v>
      </c>
      <c r="P148" t="s">
        <v>77</v>
      </c>
      <c r="AC148" t="s">
        <v>79</v>
      </c>
      <c r="AD148" t="s">
        <v>75</v>
      </c>
      <c r="AE148" t="s">
        <v>101</v>
      </c>
      <c r="AG148" t="s">
        <v>81</v>
      </c>
    </row>
    <row r="149" spans="1:33" x14ac:dyDescent="0.25">
      <c r="C149" t="s">
        <v>6779</v>
      </c>
      <c r="G149" t="s">
        <v>6425</v>
      </c>
      <c r="H149" t="s">
        <v>6780</v>
      </c>
      <c r="K149" t="s">
        <v>206</v>
      </c>
      <c r="L149" t="s">
        <v>100</v>
      </c>
      <c r="M149" t="s">
        <v>75</v>
      </c>
      <c r="N149" t="s">
        <v>6781</v>
      </c>
      <c r="O149" t="s">
        <v>296</v>
      </c>
      <c r="P149" t="s">
        <v>77</v>
      </c>
      <c r="AC149" t="s">
        <v>79</v>
      </c>
      <c r="AD149" t="s">
        <v>75</v>
      </c>
      <c r="AE149" t="s">
        <v>101</v>
      </c>
      <c r="AG149" t="s">
        <v>81</v>
      </c>
    </row>
    <row r="150" spans="1:33" x14ac:dyDescent="0.25">
      <c r="C150" t="s">
        <v>6782</v>
      </c>
      <c r="G150" t="s">
        <v>6425</v>
      </c>
      <c r="H150" t="s">
        <v>6783</v>
      </c>
      <c r="K150" t="s">
        <v>206</v>
      </c>
      <c r="L150" t="s">
        <v>100</v>
      </c>
      <c r="M150" t="s">
        <v>75</v>
      </c>
      <c r="N150" t="s">
        <v>6784</v>
      </c>
      <c r="O150" t="s">
        <v>296</v>
      </c>
      <c r="P150" t="s">
        <v>77</v>
      </c>
      <c r="AC150" t="s">
        <v>79</v>
      </c>
      <c r="AD150" t="s">
        <v>75</v>
      </c>
      <c r="AE150" t="s">
        <v>101</v>
      </c>
      <c r="AG150" t="s">
        <v>81</v>
      </c>
    </row>
    <row r="151" spans="1:33" x14ac:dyDescent="0.25">
      <c r="A151" t="str">
        <f>"1316233521"</f>
        <v>1316233521</v>
      </c>
      <c r="B151" t="str">
        <f>"04404606"</f>
        <v>04404606</v>
      </c>
      <c r="C151" t="s">
        <v>6785</v>
      </c>
      <c r="D151" t="s">
        <v>6786</v>
      </c>
      <c r="E151" t="s">
        <v>6787</v>
      </c>
      <c r="G151" t="s">
        <v>6272</v>
      </c>
      <c r="H151" t="s">
        <v>6273</v>
      </c>
      <c r="I151">
        <v>419</v>
      </c>
      <c r="J151" t="s">
        <v>6274</v>
      </c>
      <c r="L151" t="s">
        <v>74</v>
      </c>
      <c r="M151" t="s">
        <v>75</v>
      </c>
      <c r="R151" t="s">
        <v>6788</v>
      </c>
      <c r="W151" t="s">
        <v>6787</v>
      </c>
      <c r="X151" t="s">
        <v>6789</v>
      </c>
      <c r="Y151" t="s">
        <v>1135</v>
      </c>
      <c r="Z151" t="s">
        <v>77</v>
      </c>
      <c r="AA151" t="str">
        <f>"10709-5545"</f>
        <v>10709-5545</v>
      </c>
      <c r="AB151" t="s">
        <v>78</v>
      </c>
      <c r="AC151" t="s">
        <v>79</v>
      </c>
      <c r="AD151" t="s">
        <v>75</v>
      </c>
      <c r="AE151" t="s">
        <v>80</v>
      </c>
      <c r="AG151" t="s">
        <v>81</v>
      </c>
    </row>
    <row r="152" spans="1:33" x14ac:dyDescent="0.25">
      <c r="A152" t="str">
        <f>"1982765467"</f>
        <v>1982765467</v>
      </c>
      <c r="B152" t="str">
        <f>"00646906"</f>
        <v>00646906</v>
      </c>
      <c r="C152" t="s">
        <v>6790</v>
      </c>
      <c r="D152" t="s">
        <v>6791</v>
      </c>
      <c r="E152" t="s">
        <v>6792</v>
      </c>
      <c r="G152" t="s">
        <v>6278</v>
      </c>
      <c r="H152" t="s">
        <v>6279</v>
      </c>
      <c r="J152" t="s">
        <v>6280</v>
      </c>
      <c r="L152" t="s">
        <v>83</v>
      </c>
      <c r="M152" t="s">
        <v>85</v>
      </c>
      <c r="R152" t="s">
        <v>6793</v>
      </c>
      <c r="W152" t="s">
        <v>6792</v>
      </c>
      <c r="X152" t="s">
        <v>6794</v>
      </c>
      <c r="Y152" t="s">
        <v>97</v>
      </c>
      <c r="Z152" t="s">
        <v>77</v>
      </c>
      <c r="AA152" t="str">
        <f>"10003"</f>
        <v>10003</v>
      </c>
      <c r="AB152" t="s">
        <v>78</v>
      </c>
      <c r="AC152" t="s">
        <v>79</v>
      </c>
      <c r="AD152" t="s">
        <v>75</v>
      </c>
      <c r="AE152" t="s">
        <v>80</v>
      </c>
      <c r="AG152" t="s">
        <v>81</v>
      </c>
    </row>
    <row r="153" spans="1:33" x14ac:dyDescent="0.25">
      <c r="A153" t="str">
        <f>"1790919322"</f>
        <v>1790919322</v>
      </c>
      <c r="B153" t="str">
        <f>"03749539"</f>
        <v>03749539</v>
      </c>
      <c r="C153" t="s">
        <v>6795</v>
      </c>
      <c r="D153" t="s">
        <v>4989</v>
      </c>
      <c r="E153" t="s">
        <v>4990</v>
      </c>
      <c r="G153" t="s">
        <v>6283</v>
      </c>
      <c r="H153" t="s">
        <v>4075</v>
      </c>
      <c r="I153">
        <v>249</v>
      </c>
      <c r="J153" t="s">
        <v>4076</v>
      </c>
      <c r="L153" t="s">
        <v>74</v>
      </c>
      <c r="M153" t="s">
        <v>85</v>
      </c>
      <c r="R153" t="s">
        <v>4991</v>
      </c>
      <c r="W153" t="s">
        <v>4990</v>
      </c>
      <c r="X153" t="s">
        <v>4992</v>
      </c>
      <c r="Y153" t="s">
        <v>87</v>
      </c>
      <c r="Z153" t="s">
        <v>77</v>
      </c>
      <c r="AA153" t="str">
        <f>"11229-1189"</f>
        <v>11229-1189</v>
      </c>
      <c r="AB153" t="s">
        <v>82</v>
      </c>
      <c r="AC153" t="s">
        <v>79</v>
      </c>
      <c r="AD153" t="s">
        <v>75</v>
      </c>
      <c r="AE153" t="s">
        <v>80</v>
      </c>
      <c r="AG153" t="s">
        <v>81</v>
      </c>
    </row>
    <row r="154" spans="1:33" x14ac:dyDescent="0.25">
      <c r="A154" t="str">
        <f>"1396976486"</f>
        <v>1396976486</v>
      </c>
      <c r="B154" t="str">
        <f>"03142490"</f>
        <v>03142490</v>
      </c>
      <c r="C154" t="s">
        <v>6796</v>
      </c>
      <c r="D154" t="s">
        <v>4920</v>
      </c>
      <c r="E154" t="s">
        <v>4921</v>
      </c>
      <c r="G154" t="s">
        <v>6283</v>
      </c>
      <c r="H154" t="s">
        <v>4075</v>
      </c>
      <c r="I154">
        <v>249</v>
      </c>
      <c r="J154" t="s">
        <v>4076</v>
      </c>
      <c r="L154" t="s">
        <v>74</v>
      </c>
      <c r="M154" t="s">
        <v>85</v>
      </c>
      <c r="R154" t="s">
        <v>4922</v>
      </c>
      <c r="W154" t="s">
        <v>4923</v>
      </c>
      <c r="X154" t="s">
        <v>4924</v>
      </c>
      <c r="Y154" t="s">
        <v>179</v>
      </c>
      <c r="Z154" t="s">
        <v>77</v>
      </c>
      <c r="AA154" t="str">
        <f>"11550-3901"</f>
        <v>11550-3901</v>
      </c>
      <c r="AB154" t="s">
        <v>82</v>
      </c>
      <c r="AC154" t="s">
        <v>79</v>
      </c>
      <c r="AD154" t="s">
        <v>75</v>
      </c>
      <c r="AE154" t="s">
        <v>80</v>
      </c>
      <c r="AG154" t="s">
        <v>81</v>
      </c>
    </row>
    <row r="155" spans="1:33" x14ac:dyDescent="0.25">
      <c r="A155" t="str">
        <f>"1326052994"</f>
        <v>1326052994</v>
      </c>
      <c r="B155" t="str">
        <f>"02186189"</f>
        <v>02186189</v>
      </c>
      <c r="C155" t="s">
        <v>6797</v>
      </c>
      <c r="D155" t="s">
        <v>6798</v>
      </c>
      <c r="E155" t="s">
        <v>6799</v>
      </c>
      <c r="G155" t="s">
        <v>6800</v>
      </c>
      <c r="H155" t="s">
        <v>6801</v>
      </c>
      <c r="I155">
        <v>6381</v>
      </c>
      <c r="J155" t="s">
        <v>6802</v>
      </c>
      <c r="L155" t="s">
        <v>74</v>
      </c>
      <c r="M155" t="s">
        <v>85</v>
      </c>
      <c r="R155" t="s">
        <v>6803</v>
      </c>
      <c r="W155" t="s">
        <v>6799</v>
      </c>
      <c r="X155" t="s">
        <v>6804</v>
      </c>
      <c r="Y155" t="s">
        <v>97</v>
      </c>
      <c r="Z155" t="s">
        <v>77</v>
      </c>
      <c r="AA155" t="str">
        <f>"10003-3314"</f>
        <v>10003-3314</v>
      </c>
      <c r="AB155" t="s">
        <v>78</v>
      </c>
      <c r="AC155" t="s">
        <v>79</v>
      </c>
      <c r="AD155" t="s">
        <v>75</v>
      </c>
      <c r="AE155" t="s">
        <v>80</v>
      </c>
      <c r="AG155" t="s">
        <v>81</v>
      </c>
    </row>
    <row r="156" spans="1:33" x14ac:dyDescent="0.25">
      <c r="A156" t="str">
        <f>"1073711271"</f>
        <v>1073711271</v>
      </c>
      <c r="B156" t="str">
        <f>"02891436"</f>
        <v>02891436</v>
      </c>
      <c r="C156" t="s">
        <v>6805</v>
      </c>
      <c r="D156" t="s">
        <v>4258</v>
      </c>
      <c r="E156" t="s">
        <v>4259</v>
      </c>
      <c r="G156" t="s">
        <v>6283</v>
      </c>
      <c r="H156" t="s">
        <v>4075</v>
      </c>
      <c r="I156">
        <v>249</v>
      </c>
      <c r="J156" t="s">
        <v>4076</v>
      </c>
      <c r="L156" t="s">
        <v>74</v>
      </c>
      <c r="M156" t="s">
        <v>85</v>
      </c>
      <c r="R156" t="s">
        <v>4260</v>
      </c>
      <c r="W156" t="s">
        <v>4259</v>
      </c>
      <c r="X156" t="s">
        <v>4078</v>
      </c>
      <c r="Y156" t="s">
        <v>97</v>
      </c>
      <c r="Z156" t="s">
        <v>77</v>
      </c>
      <c r="AA156" t="str">
        <f>"10001-2823"</f>
        <v>10001-2823</v>
      </c>
      <c r="AB156" t="s">
        <v>82</v>
      </c>
      <c r="AC156" t="s">
        <v>79</v>
      </c>
      <c r="AD156" t="s">
        <v>75</v>
      </c>
      <c r="AE156" t="s">
        <v>80</v>
      </c>
      <c r="AG156" t="s">
        <v>81</v>
      </c>
    </row>
    <row r="157" spans="1:33" x14ac:dyDescent="0.25">
      <c r="A157" t="str">
        <f>"1598199176"</f>
        <v>1598199176</v>
      </c>
      <c r="B157" t="str">
        <f>"03753582"</f>
        <v>03753582</v>
      </c>
      <c r="C157" t="s">
        <v>6806</v>
      </c>
      <c r="D157" t="s">
        <v>6807</v>
      </c>
      <c r="E157" t="s">
        <v>6808</v>
      </c>
      <c r="G157" t="s">
        <v>6367</v>
      </c>
      <c r="H157" t="s">
        <v>4625</v>
      </c>
      <c r="J157" t="s">
        <v>6368</v>
      </c>
      <c r="L157" t="s">
        <v>74</v>
      </c>
      <c r="M157" t="s">
        <v>85</v>
      </c>
      <c r="R157" t="s">
        <v>6808</v>
      </c>
      <c r="W157" t="s">
        <v>6808</v>
      </c>
      <c r="X157" t="s">
        <v>6503</v>
      </c>
      <c r="Y157" t="s">
        <v>1823</v>
      </c>
      <c r="Z157" t="s">
        <v>77</v>
      </c>
      <c r="AA157" t="str">
        <f>"10941-7001"</f>
        <v>10941-7001</v>
      </c>
      <c r="AB157" t="s">
        <v>78</v>
      </c>
      <c r="AC157" t="s">
        <v>79</v>
      </c>
      <c r="AD157" t="s">
        <v>75</v>
      </c>
      <c r="AE157" t="s">
        <v>80</v>
      </c>
      <c r="AG157" t="s">
        <v>81</v>
      </c>
    </row>
    <row r="158" spans="1:33" x14ac:dyDescent="0.25">
      <c r="A158" t="str">
        <f>"1841424124"</f>
        <v>1841424124</v>
      </c>
      <c r="B158" t="str">
        <f>"03589402"</f>
        <v>03589402</v>
      </c>
      <c r="C158" t="s">
        <v>6809</v>
      </c>
      <c r="D158" t="s">
        <v>6810</v>
      </c>
      <c r="E158" t="s">
        <v>6811</v>
      </c>
      <c r="G158" t="s">
        <v>6278</v>
      </c>
      <c r="H158" t="s">
        <v>6279</v>
      </c>
      <c r="J158" t="s">
        <v>6280</v>
      </c>
      <c r="L158" t="s">
        <v>84</v>
      </c>
      <c r="M158" t="s">
        <v>85</v>
      </c>
      <c r="R158" t="s">
        <v>6812</v>
      </c>
      <c r="W158" t="s">
        <v>6811</v>
      </c>
      <c r="X158" t="s">
        <v>1010</v>
      </c>
      <c r="Y158" t="s">
        <v>97</v>
      </c>
      <c r="Z158" t="s">
        <v>77</v>
      </c>
      <c r="AA158" t="str">
        <f>"10035-3832"</f>
        <v>10035-3832</v>
      </c>
      <c r="AB158" t="s">
        <v>78</v>
      </c>
      <c r="AC158" t="s">
        <v>79</v>
      </c>
      <c r="AD158" t="s">
        <v>75</v>
      </c>
      <c r="AE158" t="s">
        <v>80</v>
      </c>
      <c r="AG158" t="s">
        <v>81</v>
      </c>
    </row>
    <row r="159" spans="1:33" x14ac:dyDescent="0.25">
      <c r="A159" t="str">
        <f>"1942219548"</f>
        <v>1942219548</v>
      </c>
      <c r="B159" t="str">
        <f>"01913088"</f>
        <v>01913088</v>
      </c>
      <c r="C159" t="s">
        <v>6813</v>
      </c>
      <c r="D159" t="s">
        <v>6814</v>
      </c>
      <c r="E159" t="s">
        <v>6815</v>
      </c>
      <c r="G159" t="s">
        <v>6278</v>
      </c>
      <c r="H159" t="s">
        <v>6279</v>
      </c>
      <c r="J159" t="s">
        <v>6280</v>
      </c>
      <c r="L159" t="s">
        <v>74</v>
      </c>
      <c r="M159" t="s">
        <v>85</v>
      </c>
      <c r="R159" t="s">
        <v>6816</v>
      </c>
      <c r="W159" t="s">
        <v>6815</v>
      </c>
      <c r="X159" t="s">
        <v>6817</v>
      </c>
      <c r="Y159" t="s">
        <v>227</v>
      </c>
      <c r="Z159" t="s">
        <v>77</v>
      </c>
      <c r="AA159" t="str">
        <f>"10601-1712"</f>
        <v>10601-1712</v>
      </c>
      <c r="AB159" t="s">
        <v>78</v>
      </c>
      <c r="AC159" t="s">
        <v>79</v>
      </c>
      <c r="AD159" t="s">
        <v>75</v>
      </c>
      <c r="AE159" t="s">
        <v>80</v>
      </c>
      <c r="AG159" t="s">
        <v>81</v>
      </c>
    </row>
    <row r="160" spans="1:33" x14ac:dyDescent="0.25">
      <c r="C160" t="s">
        <v>6818</v>
      </c>
      <c r="G160" t="s">
        <v>6425</v>
      </c>
      <c r="H160" t="s">
        <v>6819</v>
      </c>
      <c r="K160" t="s">
        <v>206</v>
      </c>
      <c r="L160" t="s">
        <v>100</v>
      </c>
      <c r="M160" t="s">
        <v>75</v>
      </c>
      <c r="N160" t="s">
        <v>6820</v>
      </c>
      <c r="O160" t="s">
        <v>296</v>
      </c>
      <c r="P160" t="s">
        <v>77</v>
      </c>
      <c r="AC160" t="s">
        <v>79</v>
      </c>
      <c r="AD160" t="s">
        <v>75</v>
      </c>
      <c r="AE160" t="s">
        <v>101</v>
      </c>
      <c r="AG160" t="s">
        <v>81</v>
      </c>
    </row>
    <row r="161" spans="1:33" x14ac:dyDescent="0.25">
      <c r="C161" t="s">
        <v>6821</v>
      </c>
      <c r="G161" t="s">
        <v>6425</v>
      </c>
      <c r="H161" t="s">
        <v>820</v>
      </c>
      <c r="K161" t="s">
        <v>206</v>
      </c>
      <c r="L161" t="s">
        <v>100</v>
      </c>
      <c r="M161" t="s">
        <v>75</v>
      </c>
      <c r="N161" t="s">
        <v>6822</v>
      </c>
      <c r="O161" t="s">
        <v>296</v>
      </c>
      <c r="P161" t="s">
        <v>77</v>
      </c>
      <c r="AC161" t="s">
        <v>79</v>
      </c>
      <c r="AD161" t="s">
        <v>75</v>
      </c>
      <c r="AE161" t="s">
        <v>101</v>
      </c>
      <c r="AG161" t="s">
        <v>81</v>
      </c>
    </row>
    <row r="162" spans="1:33" x14ac:dyDescent="0.25">
      <c r="A162" t="str">
        <f>"1861661704"</f>
        <v>1861661704</v>
      </c>
      <c r="B162" t="str">
        <f>"03099956"</f>
        <v>03099956</v>
      </c>
      <c r="C162" t="s">
        <v>6823</v>
      </c>
      <c r="D162" t="s">
        <v>6824</v>
      </c>
      <c r="E162" t="s">
        <v>6825</v>
      </c>
      <c r="G162" t="s">
        <v>6278</v>
      </c>
      <c r="H162" t="s">
        <v>6279</v>
      </c>
      <c r="J162" t="s">
        <v>6280</v>
      </c>
      <c r="L162" t="s">
        <v>74</v>
      </c>
      <c r="M162" t="s">
        <v>75</v>
      </c>
      <c r="R162" t="s">
        <v>6826</v>
      </c>
      <c r="W162" t="s">
        <v>6825</v>
      </c>
      <c r="X162" t="s">
        <v>86</v>
      </c>
      <c r="Y162" t="s">
        <v>87</v>
      </c>
      <c r="Z162" t="s">
        <v>77</v>
      </c>
      <c r="AA162" t="str">
        <f>"11220-2559"</f>
        <v>11220-2559</v>
      </c>
      <c r="AB162" t="s">
        <v>78</v>
      </c>
      <c r="AC162" t="s">
        <v>79</v>
      </c>
      <c r="AD162" t="s">
        <v>75</v>
      </c>
      <c r="AE162" t="s">
        <v>80</v>
      </c>
      <c r="AG162" t="s">
        <v>81</v>
      </c>
    </row>
    <row r="163" spans="1:33" x14ac:dyDescent="0.25">
      <c r="A163" t="str">
        <f>"1801023395"</f>
        <v>1801023395</v>
      </c>
      <c r="B163" t="str">
        <f>"03368985"</f>
        <v>03368985</v>
      </c>
      <c r="C163" t="s">
        <v>6827</v>
      </c>
      <c r="D163" t="s">
        <v>4336</v>
      </c>
      <c r="E163" t="s">
        <v>4337</v>
      </c>
      <c r="G163" t="s">
        <v>6283</v>
      </c>
      <c r="H163" t="s">
        <v>4075</v>
      </c>
      <c r="I163">
        <v>249</v>
      </c>
      <c r="J163" t="s">
        <v>4076</v>
      </c>
      <c r="L163" t="s">
        <v>74</v>
      </c>
      <c r="M163" t="s">
        <v>85</v>
      </c>
      <c r="R163" t="s">
        <v>4337</v>
      </c>
      <c r="W163" t="s">
        <v>4337</v>
      </c>
      <c r="X163" t="s">
        <v>4078</v>
      </c>
      <c r="Y163" t="s">
        <v>97</v>
      </c>
      <c r="Z163" t="s">
        <v>77</v>
      </c>
      <c r="AA163" t="str">
        <f>"10001-2823"</f>
        <v>10001-2823</v>
      </c>
      <c r="AB163" t="s">
        <v>82</v>
      </c>
      <c r="AC163" t="s">
        <v>79</v>
      </c>
      <c r="AD163" t="s">
        <v>75</v>
      </c>
      <c r="AE163" t="s">
        <v>80</v>
      </c>
      <c r="AG163" t="s">
        <v>81</v>
      </c>
    </row>
    <row r="164" spans="1:33" x14ac:dyDescent="0.25">
      <c r="A164" t="str">
        <f>"1962492181"</f>
        <v>1962492181</v>
      </c>
      <c r="B164" t="str">
        <f>"02558221"</f>
        <v>02558221</v>
      </c>
      <c r="C164" t="s">
        <v>6828</v>
      </c>
      <c r="D164" t="s">
        <v>5876</v>
      </c>
      <c r="E164" t="s">
        <v>5877</v>
      </c>
      <c r="G164" t="s">
        <v>6829</v>
      </c>
      <c r="H164" t="s">
        <v>6830</v>
      </c>
      <c r="J164" t="s">
        <v>6831</v>
      </c>
      <c r="L164" t="s">
        <v>74</v>
      </c>
      <c r="M164" t="s">
        <v>75</v>
      </c>
      <c r="R164" t="s">
        <v>5878</v>
      </c>
      <c r="W164" t="s">
        <v>5877</v>
      </c>
      <c r="X164" t="s">
        <v>5879</v>
      </c>
      <c r="Y164" t="s">
        <v>131</v>
      </c>
      <c r="Z164" t="s">
        <v>77</v>
      </c>
      <c r="AA164" t="str">
        <f>"10467-2836"</f>
        <v>10467-2836</v>
      </c>
      <c r="AB164" t="s">
        <v>82</v>
      </c>
      <c r="AC164" t="s">
        <v>79</v>
      </c>
      <c r="AD164" t="s">
        <v>75</v>
      </c>
      <c r="AE164" t="s">
        <v>80</v>
      </c>
      <c r="AG164" t="s">
        <v>81</v>
      </c>
    </row>
    <row r="165" spans="1:33" x14ac:dyDescent="0.25">
      <c r="A165" t="str">
        <f>"1730229584"</f>
        <v>1730229584</v>
      </c>
      <c r="B165" t="str">
        <f>"00822931"</f>
        <v>00822931</v>
      </c>
      <c r="C165" t="s">
        <v>6832</v>
      </c>
      <c r="D165" t="s">
        <v>6833</v>
      </c>
      <c r="E165" t="s">
        <v>6834</v>
      </c>
      <c r="G165" t="s">
        <v>6278</v>
      </c>
      <c r="H165" t="s">
        <v>6279</v>
      </c>
      <c r="J165" t="s">
        <v>6280</v>
      </c>
      <c r="L165" t="s">
        <v>84</v>
      </c>
      <c r="M165" t="s">
        <v>75</v>
      </c>
      <c r="R165" t="s">
        <v>2654</v>
      </c>
      <c r="W165" t="s">
        <v>6834</v>
      </c>
      <c r="Y165" t="s">
        <v>97</v>
      </c>
      <c r="Z165" t="s">
        <v>77</v>
      </c>
      <c r="AA165" t="str">
        <f>"10029-6500"</f>
        <v>10029-6500</v>
      </c>
      <c r="AB165" t="s">
        <v>78</v>
      </c>
      <c r="AC165" t="s">
        <v>79</v>
      </c>
      <c r="AD165" t="s">
        <v>75</v>
      </c>
      <c r="AE165" t="s">
        <v>80</v>
      </c>
      <c r="AG165" t="s">
        <v>81</v>
      </c>
    </row>
    <row r="166" spans="1:33" x14ac:dyDescent="0.25">
      <c r="A166" t="str">
        <f>"1881702272"</f>
        <v>1881702272</v>
      </c>
      <c r="B166" t="str">
        <f>"00873538"</f>
        <v>00873538</v>
      </c>
      <c r="C166" t="s">
        <v>6835</v>
      </c>
      <c r="D166" t="s">
        <v>6836</v>
      </c>
      <c r="E166" t="s">
        <v>6837</v>
      </c>
      <c r="G166" t="s">
        <v>6278</v>
      </c>
      <c r="H166" t="s">
        <v>6279</v>
      </c>
      <c r="J166" t="s">
        <v>6280</v>
      </c>
      <c r="L166" t="s">
        <v>83</v>
      </c>
      <c r="M166" t="s">
        <v>75</v>
      </c>
      <c r="R166" t="s">
        <v>6838</v>
      </c>
      <c r="W166" t="s">
        <v>6839</v>
      </c>
      <c r="X166" t="s">
        <v>6840</v>
      </c>
      <c r="Y166" t="s">
        <v>87</v>
      </c>
      <c r="Z166" t="s">
        <v>77</v>
      </c>
      <c r="AA166" t="str">
        <f>"11220-2897"</f>
        <v>11220-2897</v>
      </c>
      <c r="AB166" t="s">
        <v>78</v>
      </c>
      <c r="AC166" t="s">
        <v>79</v>
      </c>
      <c r="AD166" t="s">
        <v>75</v>
      </c>
      <c r="AE166" t="s">
        <v>80</v>
      </c>
      <c r="AG166" t="s">
        <v>81</v>
      </c>
    </row>
    <row r="167" spans="1:33" x14ac:dyDescent="0.25">
      <c r="A167" t="str">
        <f>"1174698906"</f>
        <v>1174698906</v>
      </c>
      <c r="B167" t="str">
        <f>"00497690"</f>
        <v>00497690</v>
      </c>
      <c r="C167" t="s">
        <v>6841</v>
      </c>
      <c r="D167" t="s">
        <v>6842</v>
      </c>
      <c r="E167" t="s">
        <v>6843</v>
      </c>
      <c r="G167" t="s">
        <v>6380</v>
      </c>
      <c r="H167" t="s">
        <v>4625</v>
      </c>
      <c r="J167" t="s">
        <v>6381</v>
      </c>
      <c r="L167" t="s">
        <v>84</v>
      </c>
      <c r="M167" t="s">
        <v>75</v>
      </c>
      <c r="R167" t="s">
        <v>6844</v>
      </c>
      <c r="W167" t="s">
        <v>6845</v>
      </c>
      <c r="X167" t="s">
        <v>6846</v>
      </c>
      <c r="Y167" t="s">
        <v>97</v>
      </c>
      <c r="Z167" t="s">
        <v>77</v>
      </c>
      <c r="AA167" t="str">
        <f>"10021-5119"</f>
        <v>10021-5119</v>
      </c>
      <c r="AB167" t="s">
        <v>78</v>
      </c>
      <c r="AC167" t="s">
        <v>79</v>
      </c>
      <c r="AD167" t="s">
        <v>75</v>
      </c>
      <c r="AE167" t="s">
        <v>80</v>
      </c>
      <c r="AG167" t="s">
        <v>81</v>
      </c>
    </row>
    <row r="168" spans="1:33" x14ac:dyDescent="0.25">
      <c r="A168" t="str">
        <f>"1336163997"</f>
        <v>1336163997</v>
      </c>
      <c r="B168" t="str">
        <f>"00778116"</f>
        <v>00778116</v>
      </c>
      <c r="C168" t="s">
        <v>6847</v>
      </c>
      <c r="D168" t="s">
        <v>4900</v>
      </c>
      <c r="E168" t="s">
        <v>4901</v>
      </c>
      <c r="G168" t="s">
        <v>6283</v>
      </c>
      <c r="H168" t="s">
        <v>4075</v>
      </c>
      <c r="I168">
        <v>249</v>
      </c>
      <c r="J168" t="s">
        <v>4076</v>
      </c>
      <c r="L168" t="s">
        <v>74</v>
      </c>
      <c r="M168" t="s">
        <v>85</v>
      </c>
      <c r="R168" t="s">
        <v>4902</v>
      </c>
      <c r="W168" t="s">
        <v>4903</v>
      </c>
      <c r="X168" t="s">
        <v>4086</v>
      </c>
      <c r="Y168" t="s">
        <v>2068</v>
      </c>
      <c r="Z168" t="s">
        <v>77</v>
      </c>
      <c r="AA168" t="str">
        <f>"11725-2813"</f>
        <v>11725-2813</v>
      </c>
      <c r="AB168" t="s">
        <v>82</v>
      </c>
      <c r="AC168" t="s">
        <v>79</v>
      </c>
      <c r="AD168" t="s">
        <v>75</v>
      </c>
      <c r="AE168" t="s">
        <v>80</v>
      </c>
      <c r="AG168" t="s">
        <v>81</v>
      </c>
    </row>
    <row r="169" spans="1:33" x14ac:dyDescent="0.25">
      <c r="A169" t="str">
        <f>"1376533125"</f>
        <v>1376533125</v>
      </c>
      <c r="B169" t="str">
        <f>"01433632"</f>
        <v>01433632</v>
      </c>
      <c r="C169" t="s">
        <v>6848</v>
      </c>
      <c r="D169" t="s">
        <v>4904</v>
      </c>
      <c r="E169" t="s">
        <v>4905</v>
      </c>
      <c r="G169" t="s">
        <v>6283</v>
      </c>
      <c r="H169" t="s">
        <v>4075</v>
      </c>
      <c r="I169">
        <v>249</v>
      </c>
      <c r="J169" t="s">
        <v>4076</v>
      </c>
      <c r="L169" t="s">
        <v>74</v>
      </c>
      <c r="M169" t="s">
        <v>85</v>
      </c>
      <c r="R169" t="s">
        <v>4906</v>
      </c>
      <c r="W169" t="s">
        <v>4905</v>
      </c>
      <c r="X169" t="s">
        <v>4907</v>
      </c>
      <c r="Y169" t="s">
        <v>2187</v>
      </c>
      <c r="Z169" t="s">
        <v>77</v>
      </c>
      <c r="AA169" t="str">
        <f>"10520-1169"</f>
        <v>10520-1169</v>
      </c>
      <c r="AB169" t="s">
        <v>82</v>
      </c>
      <c r="AC169" t="s">
        <v>79</v>
      </c>
      <c r="AD169" t="s">
        <v>75</v>
      </c>
      <c r="AE169" t="s">
        <v>80</v>
      </c>
      <c r="AG169" t="s">
        <v>81</v>
      </c>
    </row>
    <row r="170" spans="1:33" x14ac:dyDescent="0.25">
      <c r="A170" t="str">
        <f>"1083972111"</f>
        <v>1083972111</v>
      </c>
      <c r="B170" t="str">
        <f>"03961988"</f>
        <v>03961988</v>
      </c>
      <c r="C170" t="s">
        <v>6849</v>
      </c>
      <c r="D170" t="s">
        <v>5056</v>
      </c>
      <c r="E170" t="s">
        <v>5057</v>
      </c>
      <c r="G170" t="s">
        <v>6283</v>
      </c>
      <c r="H170" t="s">
        <v>4075</v>
      </c>
      <c r="I170">
        <v>249</v>
      </c>
      <c r="J170" t="s">
        <v>4076</v>
      </c>
      <c r="L170" t="s">
        <v>74</v>
      </c>
      <c r="M170" t="s">
        <v>75</v>
      </c>
      <c r="R170" t="s">
        <v>5058</v>
      </c>
      <c r="W170" t="s">
        <v>5057</v>
      </c>
      <c r="X170" t="s">
        <v>5059</v>
      </c>
      <c r="Y170" t="s">
        <v>214</v>
      </c>
      <c r="Z170" t="s">
        <v>77</v>
      </c>
      <c r="AA170" t="str">
        <f>"11801-4230"</f>
        <v>11801-4230</v>
      </c>
      <c r="AB170" t="s">
        <v>82</v>
      </c>
      <c r="AC170" t="s">
        <v>79</v>
      </c>
      <c r="AD170" t="s">
        <v>75</v>
      </c>
      <c r="AE170" t="s">
        <v>80</v>
      </c>
      <c r="AG170" t="s">
        <v>81</v>
      </c>
    </row>
    <row r="171" spans="1:33" x14ac:dyDescent="0.25">
      <c r="A171" t="str">
        <f>"1801949078"</f>
        <v>1801949078</v>
      </c>
      <c r="B171" t="str">
        <f>"01205467"</f>
        <v>01205467</v>
      </c>
      <c r="C171" t="s">
        <v>6850</v>
      </c>
      <c r="D171" t="s">
        <v>4993</v>
      </c>
      <c r="E171" t="s">
        <v>4994</v>
      </c>
      <c r="G171" t="s">
        <v>6283</v>
      </c>
      <c r="H171" t="s">
        <v>4075</v>
      </c>
      <c r="I171">
        <v>249</v>
      </c>
      <c r="J171" t="s">
        <v>4076</v>
      </c>
      <c r="L171" t="s">
        <v>74</v>
      </c>
      <c r="M171" t="s">
        <v>85</v>
      </c>
      <c r="R171" t="s">
        <v>4995</v>
      </c>
      <c r="W171" t="s">
        <v>4994</v>
      </c>
      <c r="X171" t="s">
        <v>4996</v>
      </c>
      <c r="Y171" t="s">
        <v>236</v>
      </c>
      <c r="Z171" t="s">
        <v>77</v>
      </c>
      <c r="AA171" t="str">
        <f>"11103"</f>
        <v>11103</v>
      </c>
      <c r="AB171" t="s">
        <v>82</v>
      </c>
      <c r="AC171" t="s">
        <v>79</v>
      </c>
      <c r="AD171" t="s">
        <v>75</v>
      </c>
      <c r="AE171" t="s">
        <v>80</v>
      </c>
      <c r="AG171" t="s">
        <v>81</v>
      </c>
    </row>
    <row r="172" spans="1:33" x14ac:dyDescent="0.25">
      <c r="A172" t="str">
        <f>"1811990120"</f>
        <v>1811990120</v>
      </c>
      <c r="B172" t="str">
        <f>"01957928"</f>
        <v>01957928</v>
      </c>
      <c r="C172" t="s">
        <v>6851</v>
      </c>
      <c r="D172" t="s">
        <v>6852</v>
      </c>
      <c r="E172" t="s">
        <v>6853</v>
      </c>
      <c r="G172" t="s">
        <v>6278</v>
      </c>
      <c r="H172" t="s">
        <v>6279</v>
      </c>
      <c r="J172" t="s">
        <v>6280</v>
      </c>
      <c r="L172" t="s">
        <v>74</v>
      </c>
      <c r="M172" t="s">
        <v>75</v>
      </c>
      <c r="R172" t="s">
        <v>6854</v>
      </c>
      <c r="W172" t="s">
        <v>6853</v>
      </c>
      <c r="X172" t="s">
        <v>1107</v>
      </c>
      <c r="Y172" t="s">
        <v>97</v>
      </c>
      <c r="Z172" t="s">
        <v>77</v>
      </c>
      <c r="AA172" t="str">
        <f>"10011-4612"</f>
        <v>10011-4612</v>
      </c>
      <c r="AB172" t="s">
        <v>78</v>
      </c>
      <c r="AC172" t="s">
        <v>79</v>
      </c>
      <c r="AD172" t="s">
        <v>75</v>
      </c>
      <c r="AE172" t="s">
        <v>80</v>
      </c>
      <c r="AG172" t="s">
        <v>81</v>
      </c>
    </row>
    <row r="173" spans="1:33" x14ac:dyDescent="0.25">
      <c r="A173" t="str">
        <f>"1801900428"</f>
        <v>1801900428</v>
      </c>
      <c r="B173" t="str">
        <f>"02534572"</f>
        <v>02534572</v>
      </c>
      <c r="C173" t="s">
        <v>6855</v>
      </c>
      <c r="D173" t="s">
        <v>4068</v>
      </c>
      <c r="E173" t="s">
        <v>4069</v>
      </c>
      <c r="H173" t="s">
        <v>626</v>
      </c>
      <c r="I173">
        <v>2188</v>
      </c>
      <c r="J173" t="s">
        <v>4070</v>
      </c>
      <c r="L173" t="s">
        <v>105</v>
      </c>
      <c r="M173" t="s">
        <v>75</v>
      </c>
      <c r="R173" t="s">
        <v>4071</v>
      </c>
      <c r="W173" t="s">
        <v>4069</v>
      </c>
      <c r="X173" t="s">
        <v>3158</v>
      </c>
      <c r="Y173" t="s">
        <v>131</v>
      </c>
      <c r="Z173" t="s">
        <v>77</v>
      </c>
      <c r="AA173" t="str">
        <f>"10452-2001"</f>
        <v>10452-2001</v>
      </c>
      <c r="AB173" t="s">
        <v>78</v>
      </c>
      <c r="AC173" t="s">
        <v>79</v>
      </c>
      <c r="AD173" t="s">
        <v>75</v>
      </c>
      <c r="AE173" t="s">
        <v>80</v>
      </c>
      <c r="AG173" t="s">
        <v>81</v>
      </c>
    </row>
    <row r="174" spans="1:33" x14ac:dyDescent="0.25">
      <c r="A174" t="str">
        <f>"1154486082"</f>
        <v>1154486082</v>
      </c>
      <c r="B174" t="str">
        <f>"02591055"</f>
        <v>02591055</v>
      </c>
      <c r="C174" t="s">
        <v>6856</v>
      </c>
      <c r="D174" t="s">
        <v>3328</v>
      </c>
      <c r="E174" t="s">
        <v>3329</v>
      </c>
      <c r="G174" t="s">
        <v>6856</v>
      </c>
      <c r="H174" t="s">
        <v>626</v>
      </c>
      <c r="I174">
        <v>6210</v>
      </c>
      <c r="J174" t="s">
        <v>3330</v>
      </c>
      <c r="L174" t="s">
        <v>84</v>
      </c>
      <c r="M174" t="s">
        <v>85</v>
      </c>
      <c r="R174" t="s">
        <v>3331</v>
      </c>
      <c r="W174" t="s">
        <v>3329</v>
      </c>
      <c r="X174" t="s">
        <v>3332</v>
      </c>
      <c r="Y174" t="s">
        <v>180</v>
      </c>
      <c r="Z174" t="s">
        <v>77</v>
      </c>
      <c r="AA174" t="str">
        <f>"10701-1311"</f>
        <v>10701-1311</v>
      </c>
      <c r="AB174" t="s">
        <v>78</v>
      </c>
      <c r="AC174" t="s">
        <v>79</v>
      </c>
      <c r="AD174" t="s">
        <v>75</v>
      </c>
      <c r="AE174" t="s">
        <v>80</v>
      </c>
      <c r="AG174" t="s">
        <v>81</v>
      </c>
    </row>
    <row r="175" spans="1:33" x14ac:dyDescent="0.25">
      <c r="A175" t="str">
        <f>"1295134013"</f>
        <v>1295134013</v>
      </c>
      <c r="B175" t="str">
        <f>"03917466"</f>
        <v>03917466</v>
      </c>
      <c r="C175" t="s">
        <v>6857</v>
      </c>
      <c r="D175" t="s">
        <v>6858</v>
      </c>
      <c r="E175" t="s">
        <v>6859</v>
      </c>
      <c r="G175" t="s">
        <v>6380</v>
      </c>
      <c r="H175" t="s">
        <v>4625</v>
      </c>
      <c r="J175" t="s">
        <v>6381</v>
      </c>
      <c r="L175" t="s">
        <v>83</v>
      </c>
      <c r="M175" t="s">
        <v>75</v>
      </c>
      <c r="R175" t="s">
        <v>6860</v>
      </c>
      <c r="W175" t="s">
        <v>6859</v>
      </c>
      <c r="X175" t="s">
        <v>2902</v>
      </c>
      <c r="Y175" t="s">
        <v>2903</v>
      </c>
      <c r="Z175" t="s">
        <v>77</v>
      </c>
      <c r="AA175" t="str">
        <f>"12775-6049"</f>
        <v>12775-6049</v>
      </c>
      <c r="AB175" t="s">
        <v>78</v>
      </c>
      <c r="AC175" t="s">
        <v>79</v>
      </c>
      <c r="AD175" t="s">
        <v>75</v>
      </c>
      <c r="AE175" t="s">
        <v>80</v>
      </c>
      <c r="AG175" t="s">
        <v>81</v>
      </c>
    </row>
    <row r="176" spans="1:33" x14ac:dyDescent="0.25">
      <c r="A176" t="str">
        <f>"1306163514"</f>
        <v>1306163514</v>
      </c>
      <c r="B176" t="str">
        <f>"03917484"</f>
        <v>03917484</v>
      </c>
      <c r="C176" t="s">
        <v>6861</v>
      </c>
      <c r="D176" t="s">
        <v>6862</v>
      </c>
      <c r="E176" t="s">
        <v>6863</v>
      </c>
      <c r="G176" t="s">
        <v>6380</v>
      </c>
      <c r="H176" t="s">
        <v>4625</v>
      </c>
      <c r="J176" t="s">
        <v>6381</v>
      </c>
      <c r="L176" t="s">
        <v>83</v>
      </c>
      <c r="M176" t="s">
        <v>75</v>
      </c>
      <c r="R176" t="s">
        <v>6863</v>
      </c>
      <c r="W176" t="s">
        <v>6864</v>
      </c>
      <c r="X176" t="s">
        <v>1822</v>
      </c>
      <c r="Y176" t="s">
        <v>1823</v>
      </c>
      <c r="Z176" t="s">
        <v>77</v>
      </c>
      <c r="AA176" t="str">
        <f>"10941-4028"</f>
        <v>10941-4028</v>
      </c>
      <c r="AB176" t="s">
        <v>78</v>
      </c>
      <c r="AC176" t="s">
        <v>79</v>
      </c>
      <c r="AD176" t="s">
        <v>75</v>
      </c>
      <c r="AE176" t="s">
        <v>80</v>
      </c>
      <c r="AG176" t="s">
        <v>81</v>
      </c>
    </row>
    <row r="177" spans="1:33" x14ac:dyDescent="0.25">
      <c r="A177" t="str">
        <f>"1376639088"</f>
        <v>1376639088</v>
      </c>
      <c r="B177" t="str">
        <f>"03917411"</f>
        <v>03917411</v>
      </c>
      <c r="C177" t="s">
        <v>6865</v>
      </c>
      <c r="D177" t="s">
        <v>6866</v>
      </c>
      <c r="E177" t="s">
        <v>6867</v>
      </c>
      <c r="G177" t="s">
        <v>6380</v>
      </c>
      <c r="H177" t="s">
        <v>4625</v>
      </c>
      <c r="J177" t="s">
        <v>6381</v>
      </c>
      <c r="L177" t="s">
        <v>83</v>
      </c>
      <c r="M177" t="s">
        <v>75</v>
      </c>
      <c r="R177" t="s">
        <v>6867</v>
      </c>
      <c r="W177" t="s">
        <v>6868</v>
      </c>
      <c r="X177" t="s">
        <v>6503</v>
      </c>
      <c r="Y177" t="s">
        <v>1823</v>
      </c>
      <c r="Z177" t="s">
        <v>77</v>
      </c>
      <c r="AA177" t="str">
        <f>"10941-7001"</f>
        <v>10941-7001</v>
      </c>
      <c r="AB177" t="s">
        <v>78</v>
      </c>
      <c r="AC177" t="s">
        <v>79</v>
      </c>
      <c r="AD177" t="s">
        <v>75</v>
      </c>
      <c r="AE177" t="s">
        <v>80</v>
      </c>
      <c r="AG177" t="s">
        <v>81</v>
      </c>
    </row>
    <row r="178" spans="1:33" x14ac:dyDescent="0.25">
      <c r="A178" t="str">
        <f>"1548599533"</f>
        <v>1548599533</v>
      </c>
      <c r="B178" t="str">
        <f>"03917388"</f>
        <v>03917388</v>
      </c>
      <c r="C178" t="s">
        <v>6869</v>
      </c>
      <c r="D178" t="s">
        <v>6870</v>
      </c>
      <c r="E178" t="s">
        <v>6871</v>
      </c>
      <c r="G178" t="s">
        <v>6380</v>
      </c>
      <c r="H178" t="s">
        <v>4625</v>
      </c>
      <c r="J178" t="s">
        <v>6381</v>
      </c>
      <c r="L178" t="s">
        <v>83</v>
      </c>
      <c r="M178" t="s">
        <v>75</v>
      </c>
      <c r="R178" t="s">
        <v>6871</v>
      </c>
      <c r="W178" t="s">
        <v>6871</v>
      </c>
      <c r="X178" t="s">
        <v>6503</v>
      </c>
      <c r="Y178" t="s">
        <v>1823</v>
      </c>
      <c r="Z178" t="s">
        <v>77</v>
      </c>
      <c r="AA178" t="str">
        <f>"10941-7001"</f>
        <v>10941-7001</v>
      </c>
      <c r="AB178" t="s">
        <v>78</v>
      </c>
      <c r="AC178" t="s">
        <v>79</v>
      </c>
      <c r="AD178" t="s">
        <v>75</v>
      </c>
      <c r="AE178" t="s">
        <v>80</v>
      </c>
      <c r="AG178" t="s">
        <v>81</v>
      </c>
    </row>
    <row r="179" spans="1:33" x14ac:dyDescent="0.25">
      <c r="A179" t="str">
        <f>"1578970349"</f>
        <v>1578970349</v>
      </c>
      <c r="B179" t="str">
        <f>"03917291"</f>
        <v>03917291</v>
      </c>
      <c r="C179" t="s">
        <v>6872</v>
      </c>
      <c r="D179" t="s">
        <v>6873</v>
      </c>
      <c r="E179" t="s">
        <v>6874</v>
      </c>
      <c r="G179" t="s">
        <v>6380</v>
      </c>
      <c r="H179" t="s">
        <v>4625</v>
      </c>
      <c r="J179" t="s">
        <v>6381</v>
      </c>
      <c r="L179" t="s">
        <v>74</v>
      </c>
      <c r="M179" t="s">
        <v>75</v>
      </c>
      <c r="R179" t="s">
        <v>6875</v>
      </c>
      <c r="W179" t="s">
        <v>6874</v>
      </c>
      <c r="X179" t="s">
        <v>1822</v>
      </c>
      <c r="Y179" t="s">
        <v>1823</v>
      </c>
      <c r="Z179" t="s">
        <v>77</v>
      </c>
      <c r="AA179" t="str">
        <f>"10941-4028"</f>
        <v>10941-4028</v>
      </c>
      <c r="AB179" t="s">
        <v>78</v>
      </c>
      <c r="AC179" t="s">
        <v>79</v>
      </c>
      <c r="AD179" t="s">
        <v>75</v>
      </c>
      <c r="AE179" t="s">
        <v>80</v>
      </c>
      <c r="AG179" t="s">
        <v>81</v>
      </c>
    </row>
    <row r="180" spans="1:33" x14ac:dyDescent="0.25">
      <c r="A180" t="str">
        <f>"1194932731"</f>
        <v>1194932731</v>
      </c>
      <c r="B180" t="str">
        <f>"03734278"</f>
        <v>03734278</v>
      </c>
      <c r="C180" t="s">
        <v>6876</v>
      </c>
      <c r="D180" t="s">
        <v>6877</v>
      </c>
      <c r="E180" t="s">
        <v>6878</v>
      </c>
      <c r="G180" t="s">
        <v>6367</v>
      </c>
      <c r="H180" t="s">
        <v>4625</v>
      </c>
      <c r="J180" t="s">
        <v>6368</v>
      </c>
      <c r="L180" t="s">
        <v>83</v>
      </c>
      <c r="M180" t="s">
        <v>85</v>
      </c>
      <c r="R180" t="s">
        <v>6878</v>
      </c>
      <c r="W180" t="s">
        <v>6878</v>
      </c>
      <c r="X180" t="s">
        <v>6879</v>
      </c>
      <c r="Y180" t="s">
        <v>4642</v>
      </c>
      <c r="Z180" t="s">
        <v>77</v>
      </c>
      <c r="AA180" t="str">
        <f>"10990-0001"</f>
        <v>10990-0001</v>
      </c>
      <c r="AB180" t="s">
        <v>78</v>
      </c>
      <c r="AC180" t="s">
        <v>79</v>
      </c>
      <c r="AD180" t="s">
        <v>75</v>
      </c>
      <c r="AE180" t="s">
        <v>80</v>
      </c>
      <c r="AG180" t="s">
        <v>81</v>
      </c>
    </row>
    <row r="181" spans="1:33" x14ac:dyDescent="0.25">
      <c r="A181" t="str">
        <f>"1639287907"</f>
        <v>1639287907</v>
      </c>
      <c r="B181" t="str">
        <f>"00492306"</f>
        <v>00492306</v>
      </c>
      <c r="C181" t="s">
        <v>6880</v>
      </c>
      <c r="D181" t="s">
        <v>6881</v>
      </c>
      <c r="E181" t="s">
        <v>6882</v>
      </c>
      <c r="G181" t="s">
        <v>6380</v>
      </c>
      <c r="H181" t="s">
        <v>4625</v>
      </c>
      <c r="J181" t="s">
        <v>6381</v>
      </c>
      <c r="L181" t="s">
        <v>84</v>
      </c>
      <c r="M181" t="s">
        <v>75</v>
      </c>
      <c r="R181" t="s">
        <v>6883</v>
      </c>
      <c r="W181" t="s">
        <v>6882</v>
      </c>
      <c r="X181" t="s">
        <v>6884</v>
      </c>
      <c r="Y181" t="s">
        <v>5386</v>
      </c>
      <c r="Z181" t="s">
        <v>77</v>
      </c>
      <c r="AA181" t="str">
        <f>"10992-1212"</f>
        <v>10992-1212</v>
      </c>
      <c r="AB181" t="s">
        <v>78</v>
      </c>
      <c r="AC181" t="s">
        <v>79</v>
      </c>
      <c r="AD181" t="s">
        <v>75</v>
      </c>
      <c r="AE181" t="s">
        <v>80</v>
      </c>
      <c r="AG181" t="s">
        <v>81</v>
      </c>
    </row>
    <row r="182" spans="1:33" x14ac:dyDescent="0.25">
      <c r="A182" t="str">
        <f>"1578655098"</f>
        <v>1578655098</v>
      </c>
      <c r="B182" t="str">
        <f>"02461076"</f>
        <v>02461076</v>
      </c>
      <c r="C182" t="s">
        <v>6885</v>
      </c>
      <c r="D182" t="s">
        <v>6886</v>
      </c>
      <c r="E182" t="s">
        <v>6887</v>
      </c>
      <c r="G182" t="s">
        <v>6380</v>
      </c>
      <c r="H182" t="s">
        <v>4625</v>
      </c>
      <c r="J182" t="s">
        <v>6381</v>
      </c>
      <c r="L182" t="s">
        <v>83</v>
      </c>
      <c r="M182" t="s">
        <v>85</v>
      </c>
      <c r="R182" t="s">
        <v>6888</v>
      </c>
      <c r="W182" t="s">
        <v>6887</v>
      </c>
      <c r="X182" t="s">
        <v>270</v>
      </c>
      <c r="Y182" t="s">
        <v>87</v>
      </c>
      <c r="Z182" t="s">
        <v>77</v>
      </c>
      <c r="AA182" t="str">
        <f>"11213-1122"</f>
        <v>11213-1122</v>
      </c>
      <c r="AB182" t="s">
        <v>78</v>
      </c>
      <c r="AC182" t="s">
        <v>79</v>
      </c>
      <c r="AD182" t="s">
        <v>75</v>
      </c>
      <c r="AE182" t="s">
        <v>80</v>
      </c>
      <c r="AG182" t="s">
        <v>81</v>
      </c>
    </row>
    <row r="183" spans="1:33" x14ac:dyDescent="0.25">
      <c r="A183" t="str">
        <f>"1164523023"</f>
        <v>1164523023</v>
      </c>
      <c r="B183" t="str">
        <f>"01605536"</f>
        <v>01605536</v>
      </c>
      <c r="C183" t="s">
        <v>6889</v>
      </c>
      <c r="D183" t="s">
        <v>6890</v>
      </c>
      <c r="E183" t="s">
        <v>6891</v>
      </c>
      <c r="G183" t="s">
        <v>6278</v>
      </c>
      <c r="H183" t="s">
        <v>6279</v>
      </c>
      <c r="J183" t="s">
        <v>6280</v>
      </c>
      <c r="L183" t="s">
        <v>74</v>
      </c>
      <c r="M183" t="s">
        <v>85</v>
      </c>
      <c r="R183" t="s">
        <v>6892</v>
      </c>
      <c r="W183" t="s">
        <v>6891</v>
      </c>
      <c r="X183" t="s">
        <v>191</v>
      </c>
      <c r="Y183" t="s">
        <v>97</v>
      </c>
      <c r="Z183" t="s">
        <v>77</v>
      </c>
      <c r="AA183" t="str">
        <f>"10019-1147"</f>
        <v>10019-1147</v>
      </c>
      <c r="AB183" t="s">
        <v>78</v>
      </c>
      <c r="AC183" t="s">
        <v>79</v>
      </c>
      <c r="AD183" t="s">
        <v>75</v>
      </c>
      <c r="AE183" t="s">
        <v>80</v>
      </c>
      <c r="AG183" t="s">
        <v>81</v>
      </c>
    </row>
    <row r="184" spans="1:33" x14ac:dyDescent="0.25">
      <c r="A184" t="str">
        <f>"1346436094"</f>
        <v>1346436094</v>
      </c>
      <c r="B184" t="str">
        <f>"03111011"</f>
        <v>03111011</v>
      </c>
      <c r="C184" t="s">
        <v>6893</v>
      </c>
      <c r="D184" t="s">
        <v>6894</v>
      </c>
      <c r="E184" t="s">
        <v>6895</v>
      </c>
      <c r="G184" t="s">
        <v>6367</v>
      </c>
      <c r="H184" t="s">
        <v>4625</v>
      </c>
      <c r="J184" t="s">
        <v>6368</v>
      </c>
      <c r="L184" t="s">
        <v>83</v>
      </c>
      <c r="M184" t="s">
        <v>85</v>
      </c>
      <c r="R184" t="s">
        <v>6896</v>
      </c>
      <c r="W184" t="s">
        <v>6897</v>
      </c>
      <c r="X184" t="s">
        <v>1822</v>
      </c>
      <c r="Y184" t="s">
        <v>1823</v>
      </c>
      <c r="Z184" t="s">
        <v>77</v>
      </c>
      <c r="AA184" t="str">
        <f>"10941-4028"</f>
        <v>10941-4028</v>
      </c>
      <c r="AB184" t="s">
        <v>78</v>
      </c>
      <c r="AC184" t="s">
        <v>79</v>
      </c>
      <c r="AD184" t="s">
        <v>75</v>
      </c>
      <c r="AE184" t="s">
        <v>80</v>
      </c>
      <c r="AG184" t="s">
        <v>81</v>
      </c>
    </row>
    <row r="185" spans="1:33" x14ac:dyDescent="0.25">
      <c r="A185" t="str">
        <f>"1407105158"</f>
        <v>1407105158</v>
      </c>
      <c r="B185" t="str">
        <f>"03917604"</f>
        <v>03917604</v>
      </c>
      <c r="C185" t="s">
        <v>6898</v>
      </c>
      <c r="D185" t="s">
        <v>6899</v>
      </c>
      <c r="E185" t="s">
        <v>6900</v>
      </c>
      <c r="G185" t="s">
        <v>6367</v>
      </c>
      <c r="H185" t="s">
        <v>4625</v>
      </c>
      <c r="J185" t="s">
        <v>6368</v>
      </c>
      <c r="L185" t="s">
        <v>74</v>
      </c>
      <c r="M185" t="s">
        <v>85</v>
      </c>
      <c r="R185" t="s">
        <v>6900</v>
      </c>
      <c r="W185" t="s">
        <v>6900</v>
      </c>
      <c r="X185" t="s">
        <v>1822</v>
      </c>
      <c r="Y185" t="s">
        <v>1823</v>
      </c>
      <c r="Z185" t="s">
        <v>77</v>
      </c>
      <c r="AA185" t="str">
        <f>"10941-4028"</f>
        <v>10941-4028</v>
      </c>
      <c r="AB185" t="s">
        <v>78</v>
      </c>
      <c r="AC185" t="s">
        <v>79</v>
      </c>
      <c r="AD185" t="s">
        <v>75</v>
      </c>
      <c r="AE185" t="s">
        <v>80</v>
      </c>
      <c r="AG185" t="s">
        <v>81</v>
      </c>
    </row>
    <row r="186" spans="1:33" x14ac:dyDescent="0.25">
      <c r="A186" t="str">
        <f>"1851398697"</f>
        <v>1851398697</v>
      </c>
      <c r="B186" t="str">
        <f>"02409350"</f>
        <v>02409350</v>
      </c>
      <c r="C186" t="s">
        <v>6901</v>
      </c>
      <c r="D186" t="s">
        <v>6902</v>
      </c>
      <c r="E186" t="s">
        <v>6903</v>
      </c>
      <c r="G186" t="s">
        <v>6367</v>
      </c>
      <c r="H186" t="s">
        <v>4625</v>
      </c>
      <c r="J186" t="s">
        <v>6368</v>
      </c>
      <c r="L186" t="s">
        <v>83</v>
      </c>
      <c r="M186" t="s">
        <v>85</v>
      </c>
      <c r="R186" t="s">
        <v>6904</v>
      </c>
      <c r="W186" t="s">
        <v>6903</v>
      </c>
      <c r="X186" t="s">
        <v>4466</v>
      </c>
      <c r="Y186" t="s">
        <v>670</v>
      </c>
      <c r="Z186" t="s">
        <v>77</v>
      </c>
      <c r="AA186" t="str">
        <f>"14843-1933"</f>
        <v>14843-1933</v>
      </c>
      <c r="AB186" t="s">
        <v>78</v>
      </c>
      <c r="AC186" t="s">
        <v>79</v>
      </c>
      <c r="AD186" t="s">
        <v>75</v>
      </c>
      <c r="AE186" t="s">
        <v>80</v>
      </c>
      <c r="AG186" t="s">
        <v>81</v>
      </c>
    </row>
    <row r="187" spans="1:33" x14ac:dyDescent="0.25">
      <c r="A187" t="str">
        <f>"1336113414"</f>
        <v>1336113414</v>
      </c>
      <c r="B187" t="str">
        <f>"02105833"</f>
        <v>02105833</v>
      </c>
      <c r="C187" t="s">
        <v>6905</v>
      </c>
      <c r="D187" t="s">
        <v>6906</v>
      </c>
      <c r="E187" t="s">
        <v>6907</v>
      </c>
      <c r="G187" t="s">
        <v>6367</v>
      </c>
      <c r="H187" t="s">
        <v>4625</v>
      </c>
      <c r="J187" t="s">
        <v>6368</v>
      </c>
      <c r="L187" t="s">
        <v>83</v>
      </c>
      <c r="M187" t="s">
        <v>75</v>
      </c>
      <c r="R187" t="s">
        <v>6908</v>
      </c>
      <c r="W187" t="s">
        <v>6907</v>
      </c>
      <c r="X187" t="s">
        <v>1843</v>
      </c>
      <c r="Y187" t="s">
        <v>153</v>
      </c>
      <c r="Z187" t="s">
        <v>77</v>
      </c>
      <c r="AA187" t="str">
        <f>"12601-1154"</f>
        <v>12601-1154</v>
      </c>
      <c r="AB187" t="s">
        <v>78</v>
      </c>
      <c r="AC187" t="s">
        <v>79</v>
      </c>
      <c r="AD187" t="s">
        <v>75</v>
      </c>
      <c r="AE187" t="s">
        <v>80</v>
      </c>
      <c r="AG187" t="s">
        <v>81</v>
      </c>
    </row>
    <row r="188" spans="1:33" x14ac:dyDescent="0.25">
      <c r="A188" t="str">
        <f>"1902993090"</f>
        <v>1902993090</v>
      </c>
      <c r="B188" t="str">
        <f>"01749435"</f>
        <v>01749435</v>
      </c>
      <c r="C188" t="s">
        <v>6909</v>
      </c>
      <c r="D188" t="s">
        <v>6910</v>
      </c>
      <c r="E188" t="s">
        <v>6911</v>
      </c>
      <c r="G188" t="s">
        <v>6278</v>
      </c>
      <c r="H188" t="s">
        <v>6279</v>
      </c>
      <c r="J188" t="s">
        <v>6280</v>
      </c>
      <c r="L188" t="s">
        <v>84</v>
      </c>
      <c r="M188" t="s">
        <v>85</v>
      </c>
      <c r="R188" t="s">
        <v>6912</v>
      </c>
      <c r="W188" t="s">
        <v>6911</v>
      </c>
      <c r="X188" t="s">
        <v>2828</v>
      </c>
      <c r="Y188" t="s">
        <v>190</v>
      </c>
      <c r="Z188" t="s">
        <v>77</v>
      </c>
      <c r="AA188" t="str">
        <f>"11106-4705"</f>
        <v>11106-4705</v>
      </c>
      <c r="AB188" t="s">
        <v>78</v>
      </c>
      <c r="AC188" t="s">
        <v>79</v>
      </c>
      <c r="AD188" t="s">
        <v>75</v>
      </c>
      <c r="AE188" t="s">
        <v>80</v>
      </c>
      <c r="AG188" t="s">
        <v>81</v>
      </c>
    </row>
    <row r="189" spans="1:33" x14ac:dyDescent="0.25">
      <c r="A189" t="str">
        <f>"1275602096"</f>
        <v>1275602096</v>
      </c>
      <c r="B189" t="str">
        <f>"01776883"</f>
        <v>01776883</v>
      </c>
      <c r="C189" t="s">
        <v>6913</v>
      </c>
      <c r="D189" t="s">
        <v>6914</v>
      </c>
      <c r="E189" t="s">
        <v>6915</v>
      </c>
      <c r="G189" t="s">
        <v>6278</v>
      </c>
      <c r="H189" t="s">
        <v>6279</v>
      </c>
      <c r="J189" t="s">
        <v>6280</v>
      </c>
      <c r="L189" t="s">
        <v>94</v>
      </c>
      <c r="M189" t="s">
        <v>85</v>
      </c>
      <c r="R189" t="s">
        <v>6916</v>
      </c>
      <c r="W189" t="s">
        <v>6915</v>
      </c>
      <c r="X189" t="s">
        <v>6917</v>
      </c>
      <c r="Y189" t="s">
        <v>97</v>
      </c>
      <c r="Z189" t="s">
        <v>77</v>
      </c>
      <c r="AA189" t="str">
        <f>"10027-4511"</f>
        <v>10027-4511</v>
      </c>
      <c r="AB189" t="s">
        <v>78</v>
      </c>
      <c r="AC189" t="s">
        <v>79</v>
      </c>
      <c r="AD189" t="s">
        <v>75</v>
      </c>
      <c r="AE189" t="s">
        <v>80</v>
      </c>
      <c r="AG189" t="s">
        <v>81</v>
      </c>
    </row>
    <row r="190" spans="1:33" x14ac:dyDescent="0.25">
      <c r="A190" t="str">
        <f>"1588643241"</f>
        <v>1588643241</v>
      </c>
      <c r="B190" t="str">
        <f>"00682004"</f>
        <v>00682004</v>
      </c>
      <c r="C190" t="s">
        <v>6918</v>
      </c>
      <c r="D190" t="s">
        <v>6919</v>
      </c>
      <c r="E190" t="s">
        <v>6920</v>
      </c>
      <c r="G190" t="s">
        <v>6278</v>
      </c>
      <c r="H190" t="s">
        <v>6279</v>
      </c>
      <c r="J190" t="s">
        <v>6280</v>
      </c>
      <c r="L190" t="s">
        <v>83</v>
      </c>
      <c r="M190" t="s">
        <v>85</v>
      </c>
      <c r="R190" t="s">
        <v>6921</v>
      </c>
      <c r="W190" t="s">
        <v>6920</v>
      </c>
      <c r="X190" t="s">
        <v>6922</v>
      </c>
      <c r="Y190" t="s">
        <v>97</v>
      </c>
      <c r="Z190" t="s">
        <v>77</v>
      </c>
      <c r="AA190" t="str">
        <f>"10003-0000"</f>
        <v>10003-0000</v>
      </c>
      <c r="AB190" t="s">
        <v>78</v>
      </c>
      <c r="AC190" t="s">
        <v>79</v>
      </c>
      <c r="AD190" t="s">
        <v>75</v>
      </c>
      <c r="AE190" t="s">
        <v>80</v>
      </c>
      <c r="AG190" t="s">
        <v>81</v>
      </c>
    </row>
    <row r="191" spans="1:33" x14ac:dyDescent="0.25">
      <c r="A191" t="str">
        <f>"1447214630"</f>
        <v>1447214630</v>
      </c>
      <c r="B191" t="str">
        <f>"00904825"</f>
        <v>00904825</v>
      </c>
      <c r="C191" t="s">
        <v>6923</v>
      </c>
      <c r="D191" t="s">
        <v>6924</v>
      </c>
      <c r="E191" t="s">
        <v>6925</v>
      </c>
      <c r="G191" t="s">
        <v>6278</v>
      </c>
      <c r="H191" t="s">
        <v>6279</v>
      </c>
      <c r="J191" t="s">
        <v>6280</v>
      </c>
      <c r="L191" t="s">
        <v>74</v>
      </c>
      <c r="M191" t="s">
        <v>85</v>
      </c>
      <c r="R191" t="s">
        <v>6926</v>
      </c>
      <c r="W191" t="s">
        <v>6927</v>
      </c>
      <c r="X191" t="s">
        <v>6928</v>
      </c>
      <c r="Y191" t="s">
        <v>87</v>
      </c>
      <c r="Z191" t="s">
        <v>77</v>
      </c>
      <c r="AA191" t="str">
        <f>"11203-1989"</f>
        <v>11203-1989</v>
      </c>
      <c r="AB191" t="s">
        <v>78</v>
      </c>
      <c r="AC191" t="s">
        <v>79</v>
      </c>
      <c r="AD191" t="s">
        <v>75</v>
      </c>
      <c r="AE191" t="s">
        <v>80</v>
      </c>
      <c r="AG191" t="s">
        <v>81</v>
      </c>
    </row>
    <row r="192" spans="1:33" x14ac:dyDescent="0.25">
      <c r="C192" t="s">
        <v>6929</v>
      </c>
      <c r="G192" t="s">
        <v>6930</v>
      </c>
      <c r="H192" t="s">
        <v>6931</v>
      </c>
      <c r="J192" t="s">
        <v>6932</v>
      </c>
      <c r="K192" t="s">
        <v>99</v>
      </c>
      <c r="L192" t="s">
        <v>100</v>
      </c>
      <c r="M192" t="s">
        <v>75</v>
      </c>
      <c r="N192" t="s">
        <v>6933</v>
      </c>
      <c r="O192" t="s">
        <v>6410</v>
      </c>
      <c r="P192" t="s">
        <v>77</v>
      </c>
      <c r="Q192" t="str">
        <f>"10036"</f>
        <v>10036</v>
      </c>
      <c r="AC192" t="s">
        <v>79</v>
      </c>
      <c r="AD192" t="s">
        <v>75</v>
      </c>
      <c r="AE192" t="s">
        <v>101</v>
      </c>
      <c r="AG192" t="s">
        <v>81</v>
      </c>
    </row>
    <row r="193" spans="1:33" x14ac:dyDescent="0.25">
      <c r="A193" t="str">
        <f>"1447444104"</f>
        <v>1447444104</v>
      </c>
      <c r="B193" t="str">
        <f>"03722694"</f>
        <v>03722694</v>
      </c>
      <c r="C193" t="s">
        <v>6934</v>
      </c>
      <c r="D193" t="s">
        <v>6935</v>
      </c>
      <c r="E193" t="s">
        <v>6936</v>
      </c>
      <c r="G193" t="s">
        <v>6367</v>
      </c>
      <c r="H193" t="s">
        <v>4625</v>
      </c>
      <c r="J193" t="s">
        <v>6368</v>
      </c>
      <c r="L193" t="s">
        <v>83</v>
      </c>
      <c r="M193" t="s">
        <v>85</v>
      </c>
      <c r="R193" t="s">
        <v>6937</v>
      </c>
      <c r="W193" t="s">
        <v>6936</v>
      </c>
      <c r="X193" t="s">
        <v>6187</v>
      </c>
      <c r="Y193" t="s">
        <v>1823</v>
      </c>
      <c r="Z193" t="s">
        <v>77</v>
      </c>
      <c r="AA193" t="str">
        <f>"10941-4069"</f>
        <v>10941-4069</v>
      </c>
      <c r="AB193" t="s">
        <v>78</v>
      </c>
      <c r="AC193" t="s">
        <v>79</v>
      </c>
      <c r="AD193" t="s">
        <v>75</v>
      </c>
      <c r="AE193" t="s">
        <v>80</v>
      </c>
      <c r="AG193" t="s">
        <v>81</v>
      </c>
    </row>
    <row r="194" spans="1:33" x14ac:dyDescent="0.25">
      <c r="A194" t="str">
        <f>"1790858678"</f>
        <v>1790858678</v>
      </c>
      <c r="B194" t="str">
        <f>"01776907"</f>
        <v>01776907</v>
      </c>
      <c r="C194" t="s">
        <v>6938</v>
      </c>
      <c r="D194" t="s">
        <v>2889</v>
      </c>
      <c r="E194" t="s">
        <v>2890</v>
      </c>
      <c r="H194" t="s">
        <v>626</v>
      </c>
      <c r="I194">
        <v>3429</v>
      </c>
      <c r="J194" t="s">
        <v>2891</v>
      </c>
      <c r="L194" t="s">
        <v>143</v>
      </c>
      <c r="M194" t="s">
        <v>85</v>
      </c>
      <c r="R194" t="s">
        <v>2892</v>
      </c>
      <c r="W194" t="s">
        <v>2890</v>
      </c>
      <c r="X194" t="s">
        <v>863</v>
      </c>
      <c r="Y194" t="s">
        <v>131</v>
      </c>
      <c r="Z194" t="s">
        <v>77</v>
      </c>
      <c r="AA194" t="str">
        <f>"10461-1138"</f>
        <v>10461-1138</v>
      </c>
      <c r="AB194" t="s">
        <v>78</v>
      </c>
      <c r="AC194" t="s">
        <v>79</v>
      </c>
      <c r="AD194" t="s">
        <v>75</v>
      </c>
      <c r="AE194" t="s">
        <v>80</v>
      </c>
      <c r="AG194" t="s">
        <v>81</v>
      </c>
    </row>
    <row r="195" spans="1:33" x14ac:dyDescent="0.25">
      <c r="A195" t="str">
        <f>"1770531873"</f>
        <v>1770531873</v>
      </c>
      <c r="B195" t="str">
        <f>"02184370"</f>
        <v>02184370</v>
      </c>
      <c r="C195" t="s">
        <v>6939</v>
      </c>
      <c r="D195" t="s">
        <v>2897</v>
      </c>
      <c r="E195" t="s">
        <v>2898</v>
      </c>
      <c r="H195" t="s">
        <v>626</v>
      </c>
      <c r="I195">
        <v>3532</v>
      </c>
      <c r="J195" t="s">
        <v>2899</v>
      </c>
      <c r="L195" t="s">
        <v>84</v>
      </c>
      <c r="M195" t="s">
        <v>75</v>
      </c>
      <c r="R195" t="s">
        <v>2900</v>
      </c>
      <c r="W195" t="s">
        <v>2898</v>
      </c>
      <c r="X195" t="s">
        <v>2901</v>
      </c>
      <c r="Y195" t="s">
        <v>87</v>
      </c>
      <c r="Z195" t="s">
        <v>77</v>
      </c>
      <c r="AA195" t="str">
        <f>"11216-2522"</f>
        <v>11216-2522</v>
      </c>
      <c r="AB195" t="s">
        <v>78</v>
      </c>
      <c r="AC195" t="s">
        <v>79</v>
      </c>
      <c r="AD195" t="s">
        <v>75</v>
      </c>
      <c r="AE195" t="s">
        <v>80</v>
      </c>
      <c r="AG195" t="s">
        <v>81</v>
      </c>
    </row>
    <row r="196" spans="1:33" x14ac:dyDescent="0.25">
      <c r="A196" t="str">
        <f>"1740394204"</f>
        <v>1740394204</v>
      </c>
      <c r="B196" t="str">
        <f>"02208515"</f>
        <v>02208515</v>
      </c>
      <c r="C196" t="s">
        <v>6940</v>
      </c>
      <c r="D196" t="s">
        <v>3206</v>
      </c>
      <c r="E196" t="s">
        <v>3207</v>
      </c>
      <c r="H196" t="s">
        <v>626</v>
      </c>
      <c r="I196">
        <v>5322</v>
      </c>
      <c r="J196" t="s">
        <v>3208</v>
      </c>
      <c r="L196" t="s">
        <v>84</v>
      </c>
      <c r="M196" t="s">
        <v>85</v>
      </c>
      <c r="R196" t="s">
        <v>3207</v>
      </c>
      <c r="W196" t="s">
        <v>3207</v>
      </c>
      <c r="X196" t="s">
        <v>3209</v>
      </c>
      <c r="Y196" t="s">
        <v>171</v>
      </c>
      <c r="Z196" t="s">
        <v>77</v>
      </c>
      <c r="AA196" t="str">
        <f>"11435-5022"</f>
        <v>11435-5022</v>
      </c>
      <c r="AB196" t="s">
        <v>78</v>
      </c>
      <c r="AC196" t="s">
        <v>79</v>
      </c>
      <c r="AD196" t="s">
        <v>75</v>
      </c>
      <c r="AE196" t="s">
        <v>80</v>
      </c>
      <c r="AG196" t="s">
        <v>81</v>
      </c>
    </row>
    <row r="197" spans="1:33" x14ac:dyDescent="0.25">
      <c r="A197" t="str">
        <f>"1972580215"</f>
        <v>1972580215</v>
      </c>
      <c r="B197" t="str">
        <f>"02956889"</f>
        <v>02956889</v>
      </c>
      <c r="C197" t="s">
        <v>6941</v>
      </c>
      <c r="D197" t="s">
        <v>6942</v>
      </c>
      <c r="E197" t="s">
        <v>6943</v>
      </c>
      <c r="G197" t="s">
        <v>6278</v>
      </c>
      <c r="H197" t="s">
        <v>6279</v>
      </c>
      <c r="J197" t="s">
        <v>6280</v>
      </c>
      <c r="L197" t="s">
        <v>84</v>
      </c>
      <c r="M197" t="s">
        <v>75</v>
      </c>
      <c r="R197" t="s">
        <v>6943</v>
      </c>
      <c r="W197" t="s">
        <v>6943</v>
      </c>
      <c r="X197" t="s">
        <v>6944</v>
      </c>
      <c r="Y197" t="s">
        <v>190</v>
      </c>
      <c r="Z197" t="s">
        <v>77</v>
      </c>
      <c r="AA197" t="str">
        <f>"11102-1874"</f>
        <v>11102-1874</v>
      </c>
      <c r="AB197" t="s">
        <v>78</v>
      </c>
      <c r="AC197" t="s">
        <v>79</v>
      </c>
      <c r="AD197" t="s">
        <v>75</v>
      </c>
      <c r="AE197" t="s">
        <v>80</v>
      </c>
      <c r="AG197" t="s">
        <v>81</v>
      </c>
    </row>
    <row r="198" spans="1:33" x14ac:dyDescent="0.25">
      <c r="A198" t="str">
        <f>"1922086578"</f>
        <v>1922086578</v>
      </c>
      <c r="B198" t="str">
        <f>"01814231"</f>
        <v>01814231</v>
      </c>
      <c r="C198" t="s">
        <v>6945</v>
      </c>
      <c r="D198" t="s">
        <v>824</v>
      </c>
      <c r="E198" t="s">
        <v>825</v>
      </c>
      <c r="H198" t="s">
        <v>6946</v>
      </c>
      <c r="L198" t="s">
        <v>83</v>
      </c>
      <c r="M198" t="s">
        <v>85</v>
      </c>
      <c r="R198" t="s">
        <v>826</v>
      </c>
      <c r="W198" t="s">
        <v>825</v>
      </c>
      <c r="Y198" t="s">
        <v>131</v>
      </c>
      <c r="Z198" t="s">
        <v>77</v>
      </c>
      <c r="AA198" t="str">
        <f>"10451-5589"</f>
        <v>10451-5589</v>
      </c>
      <c r="AB198" t="s">
        <v>78</v>
      </c>
      <c r="AC198" t="s">
        <v>79</v>
      </c>
      <c r="AD198" t="s">
        <v>75</v>
      </c>
      <c r="AE198" t="s">
        <v>80</v>
      </c>
      <c r="AG198" t="s">
        <v>81</v>
      </c>
    </row>
    <row r="199" spans="1:33" x14ac:dyDescent="0.25">
      <c r="A199" t="str">
        <f>"1659331932"</f>
        <v>1659331932</v>
      </c>
      <c r="B199" t="str">
        <f>"01798094"</f>
        <v>01798094</v>
      </c>
      <c r="C199" t="s">
        <v>6947</v>
      </c>
      <c r="D199" t="s">
        <v>6948</v>
      </c>
      <c r="E199" t="s">
        <v>6949</v>
      </c>
      <c r="H199" t="s">
        <v>6946</v>
      </c>
      <c r="L199" t="s">
        <v>83</v>
      </c>
      <c r="M199" t="s">
        <v>85</v>
      </c>
      <c r="R199" t="s">
        <v>6950</v>
      </c>
      <c r="W199" t="s">
        <v>6949</v>
      </c>
      <c r="X199" t="s">
        <v>4666</v>
      </c>
      <c r="Y199" t="s">
        <v>97</v>
      </c>
      <c r="Z199" t="s">
        <v>77</v>
      </c>
      <c r="AA199" t="str">
        <f>"10003-3314"</f>
        <v>10003-3314</v>
      </c>
      <c r="AB199" t="s">
        <v>78</v>
      </c>
      <c r="AC199" t="s">
        <v>79</v>
      </c>
      <c r="AD199" t="s">
        <v>75</v>
      </c>
      <c r="AE199" t="s">
        <v>80</v>
      </c>
      <c r="AG199" t="s">
        <v>81</v>
      </c>
    </row>
    <row r="200" spans="1:33" x14ac:dyDescent="0.25">
      <c r="A200" t="str">
        <f>"1326307653"</f>
        <v>1326307653</v>
      </c>
      <c r="C200" t="s">
        <v>6951</v>
      </c>
      <c r="H200" t="s">
        <v>6952</v>
      </c>
      <c r="K200" t="s">
        <v>99</v>
      </c>
      <c r="L200" t="s">
        <v>102</v>
      </c>
      <c r="M200" t="s">
        <v>75</v>
      </c>
      <c r="R200" t="s">
        <v>6953</v>
      </c>
      <c r="S200" t="s">
        <v>6954</v>
      </c>
      <c r="T200" t="s">
        <v>97</v>
      </c>
      <c r="U200" t="s">
        <v>77</v>
      </c>
      <c r="V200" t="str">
        <f>"100112741"</f>
        <v>100112741</v>
      </c>
      <c r="AC200" t="s">
        <v>79</v>
      </c>
      <c r="AD200" t="s">
        <v>75</v>
      </c>
      <c r="AE200" t="s">
        <v>103</v>
      </c>
      <c r="AG200" t="s">
        <v>81</v>
      </c>
    </row>
    <row r="201" spans="1:33" x14ac:dyDescent="0.25">
      <c r="A201" t="str">
        <f>"1598173684"</f>
        <v>1598173684</v>
      </c>
      <c r="B201" t="str">
        <f>"03917379"</f>
        <v>03917379</v>
      </c>
      <c r="C201" t="s">
        <v>6955</v>
      </c>
      <c r="D201" t="s">
        <v>6956</v>
      </c>
      <c r="E201" t="s">
        <v>6957</v>
      </c>
      <c r="G201" t="s">
        <v>6380</v>
      </c>
      <c r="H201" t="s">
        <v>4625</v>
      </c>
      <c r="J201" t="s">
        <v>6381</v>
      </c>
      <c r="L201" t="s">
        <v>74</v>
      </c>
      <c r="M201" t="s">
        <v>75</v>
      </c>
      <c r="R201" t="s">
        <v>6957</v>
      </c>
      <c r="W201" t="s">
        <v>6957</v>
      </c>
      <c r="X201" t="s">
        <v>1822</v>
      </c>
      <c r="Y201" t="s">
        <v>1823</v>
      </c>
      <c r="Z201" t="s">
        <v>77</v>
      </c>
      <c r="AA201" t="str">
        <f>"10941-4028"</f>
        <v>10941-4028</v>
      </c>
      <c r="AB201" t="s">
        <v>78</v>
      </c>
      <c r="AC201" t="s">
        <v>79</v>
      </c>
      <c r="AD201" t="s">
        <v>75</v>
      </c>
      <c r="AE201" t="s">
        <v>80</v>
      </c>
      <c r="AG201" t="s">
        <v>81</v>
      </c>
    </row>
    <row r="202" spans="1:33" x14ac:dyDescent="0.25">
      <c r="A202" t="str">
        <f>"1598999484"</f>
        <v>1598999484</v>
      </c>
      <c r="B202" t="str">
        <f>"03917700"</f>
        <v>03917700</v>
      </c>
      <c r="C202" t="s">
        <v>6958</v>
      </c>
      <c r="D202" t="s">
        <v>6959</v>
      </c>
      <c r="E202" t="s">
        <v>6960</v>
      </c>
      <c r="G202" t="s">
        <v>6380</v>
      </c>
      <c r="H202" t="s">
        <v>4625</v>
      </c>
      <c r="J202" t="s">
        <v>6381</v>
      </c>
      <c r="L202" t="s">
        <v>83</v>
      </c>
      <c r="M202" t="s">
        <v>75</v>
      </c>
      <c r="R202" t="s">
        <v>6960</v>
      </c>
      <c r="W202" t="s">
        <v>6960</v>
      </c>
      <c r="X202" t="s">
        <v>6961</v>
      </c>
      <c r="Y202" t="s">
        <v>2220</v>
      </c>
      <c r="Z202" t="s">
        <v>77</v>
      </c>
      <c r="AA202" t="str">
        <f>"10924-6757"</f>
        <v>10924-6757</v>
      </c>
      <c r="AB202" t="s">
        <v>78</v>
      </c>
      <c r="AC202" t="s">
        <v>79</v>
      </c>
      <c r="AD202" t="s">
        <v>75</v>
      </c>
      <c r="AE202" t="s">
        <v>80</v>
      </c>
      <c r="AG202" t="s">
        <v>81</v>
      </c>
    </row>
    <row r="203" spans="1:33" x14ac:dyDescent="0.25">
      <c r="A203" t="str">
        <f>"1639578073"</f>
        <v>1639578073</v>
      </c>
      <c r="B203" t="str">
        <f>"03921982"</f>
        <v>03921982</v>
      </c>
      <c r="C203" t="s">
        <v>6962</v>
      </c>
      <c r="D203" t="s">
        <v>6963</v>
      </c>
      <c r="E203" t="s">
        <v>6964</v>
      </c>
      <c r="G203" t="s">
        <v>6380</v>
      </c>
      <c r="H203" t="s">
        <v>4625</v>
      </c>
      <c r="J203" t="s">
        <v>6381</v>
      </c>
      <c r="L203" t="s">
        <v>84</v>
      </c>
      <c r="M203" t="s">
        <v>75</v>
      </c>
      <c r="R203" t="s">
        <v>6964</v>
      </c>
      <c r="W203" t="s">
        <v>6965</v>
      </c>
      <c r="X203" t="s">
        <v>1822</v>
      </c>
      <c r="Y203" t="s">
        <v>1823</v>
      </c>
      <c r="Z203" t="s">
        <v>77</v>
      </c>
      <c r="AA203" t="str">
        <f>"10941-4028"</f>
        <v>10941-4028</v>
      </c>
      <c r="AB203" t="s">
        <v>78</v>
      </c>
      <c r="AC203" t="s">
        <v>79</v>
      </c>
      <c r="AD203" t="s">
        <v>75</v>
      </c>
      <c r="AE203" t="s">
        <v>80</v>
      </c>
      <c r="AG203" t="s">
        <v>81</v>
      </c>
    </row>
    <row r="204" spans="1:33" x14ac:dyDescent="0.25">
      <c r="A204" t="str">
        <f>"1669404216"</f>
        <v>1669404216</v>
      </c>
      <c r="B204" t="str">
        <f>"03853752"</f>
        <v>03853752</v>
      </c>
      <c r="C204" t="s">
        <v>6966</v>
      </c>
      <c r="D204" t="s">
        <v>6967</v>
      </c>
      <c r="E204" t="s">
        <v>6968</v>
      </c>
      <c r="G204" t="s">
        <v>6380</v>
      </c>
      <c r="H204" t="s">
        <v>4625</v>
      </c>
      <c r="J204" t="s">
        <v>6381</v>
      </c>
      <c r="L204" t="s">
        <v>83</v>
      </c>
      <c r="M204" t="s">
        <v>85</v>
      </c>
      <c r="R204" t="s">
        <v>6968</v>
      </c>
      <c r="W204" t="s">
        <v>6969</v>
      </c>
      <c r="X204" t="s">
        <v>6503</v>
      </c>
      <c r="Y204" t="s">
        <v>1823</v>
      </c>
      <c r="Z204" t="s">
        <v>77</v>
      </c>
      <c r="AA204" t="str">
        <f>"10941-7001"</f>
        <v>10941-7001</v>
      </c>
      <c r="AB204" t="s">
        <v>78</v>
      </c>
      <c r="AC204" t="s">
        <v>79</v>
      </c>
      <c r="AD204" t="s">
        <v>75</v>
      </c>
      <c r="AE204" t="s">
        <v>80</v>
      </c>
      <c r="AG204" t="s">
        <v>81</v>
      </c>
    </row>
    <row r="205" spans="1:33" x14ac:dyDescent="0.25">
      <c r="A205" t="str">
        <f>"1740625631"</f>
        <v>1740625631</v>
      </c>
      <c r="B205" t="str">
        <f>"03917599"</f>
        <v>03917599</v>
      </c>
      <c r="C205" t="s">
        <v>6970</v>
      </c>
      <c r="D205" t="s">
        <v>6971</v>
      </c>
      <c r="E205" t="s">
        <v>6972</v>
      </c>
      <c r="G205" t="s">
        <v>6380</v>
      </c>
      <c r="H205" t="s">
        <v>4625</v>
      </c>
      <c r="J205" t="s">
        <v>6381</v>
      </c>
      <c r="L205" t="s">
        <v>84</v>
      </c>
      <c r="M205" t="s">
        <v>75</v>
      </c>
      <c r="R205" t="s">
        <v>6973</v>
      </c>
      <c r="W205" t="s">
        <v>6974</v>
      </c>
      <c r="X205" t="s">
        <v>6975</v>
      </c>
      <c r="Y205" t="s">
        <v>4845</v>
      </c>
      <c r="Z205" t="s">
        <v>77</v>
      </c>
      <c r="AA205" t="str">
        <f>"10994-1966"</f>
        <v>10994-1966</v>
      </c>
      <c r="AB205" t="s">
        <v>78</v>
      </c>
      <c r="AC205" t="s">
        <v>79</v>
      </c>
      <c r="AD205" t="s">
        <v>75</v>
      </c>
      <c r="AE205" t="s">
        <v>80</v>
      </c>
      <c r="AG205" t="s">
        <v>81</v>
      </c>
    </row>
    <row r="206" spans="1:33" x14ac:dyDescent="0.25">
      <c r="A206" t="str">
        <f>"1811217714"</f>
        <v>1811217714</v>
      </c>
      <c r="B206" t="str">
        <f>"03917526"</f>
        <v>03917526</v>
      </c>
      <c r="C206" t="s">
        <v>6976</v>
      </c>
      <c r="D206" t="s">
        <v>6977</v>
      </c>
      <c r="E206" t="s">
        <v>6978</v>
      </c>
      <c r="G206" t="s">
        <v>6380</v>
      </c>
      <c r="H206" t="s">
        <v>4625</v>
      </c>
      <c r="J206" t="s">
        <v>6381</v>
      </c>
      <c r="L206" t="s">
        <v>74</v>
      </c>
      <c r="M206" t="s">
        <v>75</v>
      </c>
      <c r="R206" t="s">
        <v>6978</v>
      </c>
      <c r="W206" t="s">
        <v>6978</v>
      </c>
      <c r="X206" t="s">
        <v>6979</v>
      </c>
      <c r="Y206" t="s">
        <v>1823</v>
      </c>
      <c r="Z206" t="s">
        <v>77</v>
      </c>
      <c r="AA206" t="str">
        <f>"10940-6020"</f>
        <v>10940-6020</v>
      </c>
      <c r="AB206" t="s">
        <v>78</v>
      </c>
      <c r="AC206" t="s">
        <v>79</v>
      </c>
      <c r="AD206" t="s">
        <v>75</v>
      </c>
      <c r="AE206" t="s">
        <v>80</v>
      </c>
      <c r="AG206" t="s">
        <v>81</v>
      </c>
    </row>
    <row r="207" spans="1:33" x14ac:dyDescent="0.25">
      <c r="A207" t="str">
        <f>"1811296288"</f>
        <v>1811296288</v>
      </c>
      <c r="B207" t="str">
        <f>"03917571"</f>
        <v>03917571</v>
      </c>
      <c r="C207" t="s">
        <v>6980</v>
      </c>
      <c r="D207" t="s">
        <v>6981</v>
      </c>
      <c r="E207" t="s">
        <v>6982</v>
      </c>
      <c r="G207" t="s">
        <v>6380</v>
      </c>
      <c r="H207" t="s">
        <v>4625</v>
      </c>
      <c r="J207" t="s">
        <v>6381</v>
      </c>
      <c r="L207" t="s">
        <v>94</v>
      </c>
      <c r="M207" t="s">
        <v>75</v>
      </c>
      <c r="R207" t="s">
        <v>6982</v>
      </c>
      <c r="W207" t="s">
        <v>6983</v>
      </c>
      <c r="X207" t="s">
        <v>1822</v>
      </c>
      <c r="Y207" t="s">
        <v>1823</v>
      </c>
      <c r="Z207" t="s">
        <v>77</v>
      </c>
      <c r="AA207" t="str">
        <f>"10941-4028"</f>
        <v>10941-4028</v>
      </c>
      <c r="AB207" t="s">
        <v>78</v>
      </c>
      <c r="AC207" t="s">
        <v>79</v>
      </c>
      <c r="AD207" t="s">
        <v>75</v>
      </c>
      <c r="AE207" t="s">
        <v>80</v>
      </c>
      <c r="AG207" t="s">
        <v>81</v>
      </c>
    </row>
    <row r="208" spans="1:33" x14ac:dyDescent="0.25">
      <c r="A208" t="str">
        <f>"1851736854"</f>
        <v>1851736854</v>
      </c>
      <c r="B208" t="str">
        <f>"03917342"</f>
        <v>03917342</v>
      </c>
      <c r="C208" t="s">
        <v>6984</v>
      </c>
      <c r="D208" t="s">
        <v>6985</v>
      </c>
      <c r="E208" t="s">
        <v>6986</v>
      </c>
      <c r="G208" t="s">
        <v>6380</v>
      </c>
      <c r="H208" t="s">
        <v>4625</v>
      </c>
      <c r="J208" t="s">
        <v>6381</v>
      </c>
      <c r="L208" t="s">
        <v>84</v>
      </c>
      <c r="M208" t="s">
        <v>75</v>
      </c>
      <c r="R208" t="s">
        <v>6987</v>
      </c>
      <c r="W208" t="s">
        <v>6988</v>
      </c>
      <c r="X208" t="s">
        <v>6989</v>
      </c>
      <c r="Y208" t="s">
        <v>4845</v>
      </c>
      <c r="Z208" t="s">
        <v>77</v>
      </c>
      <c r="AA208" t="str">
        <f>"10994-1965"</f>
        <v>10994-1965</v>
      </c>
      <c r="AB208" t="s">
        <v>78</v>
      </c>
      <c r="AC208" t="s">
        <v>79</v>
      </c>
      <c r="AD208" t="s">
        <v>75</v>
      </c>
      <c r="AE208" t="s">
        <v>80</v>
      </c>
      <c r="AG208" t="s">
        <v>81</v>
      </c>
    </row>
    <row r="209" spans="1:33" x14ac:dyDescent="0.25">
      <c r="C209" t="s">
        <v>6990</v>
      </c>
      <c r="G209" t="s">
        <v>6425</v>
      </c>
      <c r="H209" t="s">
        <v>6991</v>
      </c>
      <c r="K209" t="s">
        <v>206</v>
      </c>
      <c r="L209" t="s">
        <v>100</v>
      </c>
      <c r="M209" t="s">
        <v>75</v>
      </c>
      <c r="N209" t="s">
        <v>6992</v>
      </c>
      <c r="O209" t="s">
        <v>296</v>
      </c>
      <c r="P209" t="s">
        <v>77</v>
      </c>
      <c r="AC209" t="s">
        <v>79</v>
      </c>
      <c r="AD209" t="s">
        <v>75</v>
      </c>
      <c r="AE209" t="s">
        <v>101</v>
      </c>
      <c r="AG209" t="s">
        <v>81</v>
      </c>
    </row>
    <row r="210" spans="1:33" x14ac:dyDescent="0.25">
      <c r="C210" t="s">
        <v>6993</v>
      </c>
      <c r="G210" t="s">
        <v>6425</v>
      </c>
      <c r="H210" t="s">
        <v>6994</v>
      </c>
      <c r="K210" t="s">
        <v>206</v>
      </c>
      <c r="L210" t="s">
        <v>100</v>
      </c>
      <c r="M210" t="s">
        <v>75</v>
      </c>
      <c r="N210" t="s">
        <v>6995</v>
      </c>
      <c r="O210" t="s">
        <v>296</v>
      </c>
      <c r="P210" t="s">
        <v>77</v>
      </c>
      <c r="AC210" t="s">
        <v>79</v>
      </c>
      <c r="AD210" t="s">
        <v>75</v>
      </c>
      <c r="AE210" t="s">
        <v>101</v>
      </c>
      <c r="AG210" t="s">
        <v>81</v>
      </c>
    </row>
    <row r="211" spans="1:33" x14ac:dyDescent="0.25">
      <c r="C211" t="s">
        <v>6996</v>
      </c>
      <c r="G211" t="s">
        <v>6425</v>
      </c>
      <c r="H211" t="s">
        <v>6997</v>
      </c>
      <c r="K211" t="s">
        <v>206</v>
      </c>
      <c r="L211" t="s">
        <v>100</v>
      </c>
      <c r="M211" t="s">
        <v>75</v>
      </c>
      <c r="N211" t="s">
        <v>6998</v>
      </c>
      <c r="O211" t="s">
        <v>296</v>
      </c>
      <c r="P211" t="s">
        <v>77</v>
      </c>
      <c r="AC211" t="s">
        <v>79</v>
      </c>
      <c r="AD211" t="s">
        <v>75</v>
      </c>
      <c r="AE211" t="s">
        <v>101</v>
      </c>
      <c r="AG211" t="s">
        <v>81</v>
      </c>
    </row>
    <row r="212" spans="1:33" x14ac:dyDescent="0.25">
      <c r="C212" t="s">
        <v>6999</v>
      </c>
      <c r="G212" t="s">
        <v>6425</v>
      </c>
      <c r="H212" t="s">
        <v>7000</v>
      </c>
      <c r="I212">
        <v>2265</v>
      </c>
      <c r="K212" t="s">
        <v>206</v>
      </c>
      <c r="L212" t="s">
        <v>100</v>
      </c>
      <c r="M212" t="s">
        <v>75</v>
      </c>
      <c r="N212" t="s">
        <v>7001</v>
      </c>
      <c r="O212" t="s">
        <v>296</v>
      </c>
      <c r="P212" t="s">
        <v>77</v>
      </c>
      <c r="AC212" t="s">
        <v>79</v>
      </c>
      <c r="AD212" t="s">
        <v>75</v>
      </c>
      <c r="AE212" t="s">
        <v>101</v>
      </c>
      <c r="AG212" t="s">
        <v>81</v>
      </c>
    </row>
    <row r="213" spans="1:33" x14ac:dyDescent="0.25">
      <c r="C213" t="s">
        <v>7002</v>
      </c>
      <c r="G213" t="s">
        <v>6425</v>
      </c>
      <c r="H213" t="s">
        <v>6709</v>
      </c>
      <c r="K213" t="s">
        <v>206</v>
      </c>
      <c r="L213" t="s">
        <v>100</v>
      </c>
      <c r="M213" t="s">
        <v>75</v>
      </c>
      <c r="N213" t="s">
        <v>7003</v>
      </c>
      <c r="O213" t="s">
        <v>296</v>
      </c>
      <c r="P213" t="s">
        <v>77</v>
      </c>
      <c r="AC213" t="s">
        <v>79</v>
      </c>
      <c r="AD213" t="s">
        <v>75</v>
      </c>
      <c r="AE213" t="s">
        <v>101</v>
      </c>
      <c r="AG213" t="s">
        <v>81</v>
      </c>
    </row>
    <row r="214" spans="1:33" x14ac:dyDescent="0.25">
      <c r="C214" t="s">
        <v>7004</v>
      </c>
      <c r="G214" t="s">
        <v>6425</v>
      </c>
      <c r="H214" t="s">
        <v>7005</v>
      </c>
      <c r="K214" t="s">
        <v>206</v>
      </c>
      <c r="L214" t="s">
        <v>100</v>
      </c>
      <c r="M214" t="s">
        <v>75</v>
      </c>
      <c r="N214" t="s">
        <v>7006</v>
      </c>
      <c r="O214" t="s">
        <v>296</v>
      </c>
      <c r="P214" t="s">
        <v>77</v>
      </c>
      <c r="AC214" t="s">
        <v>79</v>
      </c>
      <c r="AD214" t="s">
        <v>75</v>
      </c>
      <c r="AE214" t="s">
        <v>101</v>
      </c>
      <c r="AG214" t="s">
        <v>81</v>
      </c>
    </row>
    <row r="215" spans="1:33" x14ac:dyDescent="0.25">
      <c r="C215" t="s">
        <v>7007</v>
      </c>
      <c r="G215" t="s">
        <v>6425</v>
      </c>
      <c r="H215" t="s">
        <v>820</v>
      </c>
      <c r="K215" t="s">
        <v>206</v>
      </c>
      <c r="L215" t="s">
        <v>100</v>
      </c>
      <c r="M215" t="s">
        <v>75</v>
      </c>
      <c r="N215" t="s">
        <v>7008</v>
      </c>
      <c r="O215" t="s">
        <v>296</v>
      </c>
      <c r="P215" t="s">
        <v>77</v>
      </c>
      <c r="AC215" t="s">
        <v>79</v>
      </c>
      <c r="AD215" t="s">
        <v>75</v>
      </c>
      <c r="AE215" t="s">
        <v>101</v>
      </c>
      <c r="AG215" t="s">
        <v>81</v>
      </c>
    </row>
    <row r="216" spans="1:33" x14ac:dyDescent="0.25">
      <c r="A216" t="str">
        <f>"1790894723"</f>
        <v>1790894723</v>
      </c>
      <c r="B216" t="str">
        <f>"01185868"</f>
        <v>01185868</v>
      </c>
      <c r="C216" t="s">
        <v>7009</v>
      </c>
      <c r="D216" t="s">
        <v>3669</v>
      </c>
      <c r="E216" t="s">
        <v>3670</v>
      </c>
      <c r="G216" t="s">
        <v>6278</v>
      </c>
      <c r="H216" t="s">
        <v>6279</v>
      </c>
      <c r="J216" t="s">
        <v>6280</v>
      </c>
      <c r="L216" t="s">
        <v>74</v>
      </c>
      <c r="M216" t="s">
        <v>85</v>
      </c>
      <c r="R216" t="s">
        <v>3671</v>
      </c>
      <c r="W216" t="s">
        <v>3670</v>
      </c>
      <c r="X216" t="s">
        <v>3672</v>
      </c>
      <c r="Y216" t="s">
        <v>909</v>
      </c>
      <c r="Z216" t="s">
        <v>77</v>
      </c>
      <c r="AA216" t="str">
        <f>"10970"</f>
        <v>10970</v>
      </c>
      <c r="AB216" t="s">
        <v>78</v>
      </c>
      <c r="AC216" t="s">
        <v>79</v>
      </c>
      <c r="AD216" t="s">
        <v>75</v>
      </c>
      <c r="AE216" t="s">
        <v>80</v>
      </c>
      <c r="AG216" t="s">
        <v>81</v>
      </c>
    </row>
    <row r="217" spans="1:33" x14ac:dyDescent="0.25">
      <c r="A217" t="str">
        <f>"1003814682"</f>
        <v>1003814682</v>
      </c>
      <c r="B217" t="str">
        <f>"00363819"</f>
        <v>00363819</v>
      </c>
      <c r="C217" t="s">
        <v>7010</v>
      </c>
      <c r="D217" t="s">
        <v>7011</v>
      </c>
      <c r="E217" t="s">
        <v>7012</v>
      </c>
      <c r="G217" t="s">
        <v>6278</v>
      </c>
      <c r="H217" t="s">
        <v>6279</v>
      </c>
      <c r="J217" t="s">
        <v>6280</v>
      </c>
      <c r="L217" t="s">
        <v>83</v>
      </c>
      <c r="M217" t="s">
        <v>75</v>
      </c>
      <c r="R217" t="s">
        <v>7013</v>
      </c>
      <c r="W217" t="s">
        <v>7014</v>
      </c>
      <c r="X217" t="s">
        <v>7015</v>
      </c>
      <c r="Y217" t="s">
        <v>87</v>
      </c>
      <c r="Z217" t="s">
        <v>77</v>
      </c>
      <c r="AA217" t="str">
        <f>"11201-2712"</f>
        <v>11201-2712</v>
      </c>
      <c r="AB217" t="s">
        <v>78</v>
      </c>
      <c r="AC217" t="s">
        <v>79</v>
      </c>
      <c r="AD217" t="s">
        <v>75</v>
      </c>
      <c r="AE217" t="s">
        <v>80</v>
      </c>
      <c r="AG217" t="s">
        <v>81</v>
      </c>
    </row>
    <row r="218" spans="1:33" x14ac:dyDescent="0.25">
      <c r="A218" t="str">
        <f>"1225163645"</f>
        <v>1225163645</v>
      </c>
      <c r="B218" t="str">
        <f>"00343760"</f>
        <v>00343760</v>
      </c>
      <c r="C218" t="s">
        <v>7016</v>
      </c>
      <c r="D218" t="s">
        <v>7017</v>
      </c>
      <c r="E218" t="s">
        <v>7018</v>
      </c>
      <c r="G218" t="s">
        <v>6278</v>
      </c>
      <c r="H218" t="s">
        <v>6279</v>
      </c>
      <c r="J218" t="s">
        <v>6280</v>
      </c>
      <c r="L218" t="s">
        <v>74</v>
      </c>
      <c r="M218" t="s">
        <v>85</v>
      </c>
      <c r="R218" t="s">
        <v>7019</v>
      </c>
      <c r="W218" t="s">
        <v>7020</v>
      </c>
      <c r="X218" t="s">
        <v>7021</v>
      </c>
      <c r="Y218" t="s">
        <v>97</v>
      </c>
      <c r="Z218" t="s">
        <v>77</v>
      </c>
      <c r="AA218" t="str">
        <f>"10023-0000"</f>
        <v>10023-0000</v>
      </c>
      <c r="AB218" t="s">
        <v>78</v>
      </c>
      <c r="AC218" t="s">
        <v>79</v>
      </c>
      <c r="AD218" t="s">
        <v>75</v>
      </c>
      <c r="AE218" t="s">
        <v>80</v>
      </c>
      <c r="AG218" t="s">
        <v>81</v>
      </c>
    </row>
    <row r="219" spans="1:33" x14ac:dyDescent="0.25">
      <c r="A219" t="str">
        <f>"1376650226"</f>
        <v>1376650226</v>
      </c>
      <c r="B219" t="str">
        <f>"01893232"</f>
        <v>01893232</v>
      </c>
      <c r="C219" t="s">
        <v>7022</v>
      </c>
      <c r="D219" t="s">
        <v>951</v>
      </c>
      <c r="E219" t="s">
        <v>952</v>
      </c>
      <c r="G219" t="s">
        <v>7023</v>
      </c>
      <c r="H219" t="s">
        <v>504</v>
      </c>
      <c r="J219" t="s">
        <v>505</v>
      </c>
      <c r="L219" t="s">
        <v>106</v>
      </c>
      <c r="M219" t="s">
        <v>85</v>
      </c>
      <c r="R219" t="s">
        <v>953</v>
      </c>
      <c r="W219" t="s">
        <v>952</v>
      </c>
      <c r="X219" t="s">
        <v>954</v>
      </c>
      <c r="Y219" t="s">
        <v>131</v>
      </c>
      <c r="Z219" t="s">
        <v>77</v>
      </c>
      <c r="AA219" t="str">
        <f>"10472-6012"</f>
        <v>10472-6012</v>
      </c>
      <c r="AB219" t="s">
        <v>107</v>
      </c>
      <c r="AC219" t="s">
        <v>79</v>
      </c>
      <c r="AD219" t="s">
        <v>75</v>
      </c>
      <c r="AE219" t="s">
        <v>80</v>
      </c>
      <c r="AG219" t="s">
        <v>81</v>
      </c>
    </row>
    <row r="220" spans="1:33" x14ac:dyDescent="0.25">
      <c r="C220" t="s">
        <v>7024</v>
      </c>
      <c r="G220" t="s">
        <v>6278</v>
      </c>
      <c r="H220" t="s">
        <v>6279</v>
      </c>
      <c r="J220" t="s">
        <v>6280</v>
      </c>
      <c r="K220" t="s">
        <v>99</v>
      </c>
      <c r="L220" t="s">
        <v>100</v>
      </c>
      <c r="M220" t="s">
        <v>75</v>
      </c>
      <c r="N220" t="s">
        <v>7025</v>
      </c>
      <c r="O220" t="s">
        <v>6410</v>
      </c>
      <c r="P220" t="s">
        <v>77</v>
      </c>
      <c r="Q220" t="str">
        <f>"10003"</f>
        <v>10003</v>
      </c>
      <c r="AC220" t="s">
        <v>79</v>
      </c>
      <c r="AD220" t="s">
        <v>75</v>
      </c>
      <c r="AE220" t="s">
        <v>101</v>
      </c>
      <c r="AG220" t="s">
        <v>81</v>
      </c>
    </row>
    <row r="221" spans="1:33" x14ac:dyDescent="0.25">
      <c r="A221" t="str">
        <f>"1972594083"</f>
        <v>1972594083</v>
      </c>
      <c r="B221" t="str">
        <f>"01634931"</f>
        <v>01634931</v>
      </c>
      <c r="C221" t="s">
        <v>7026</v>
      </c>
      <c r="D221" t="s">
        <v>7027</v>
      </c>
      <c r="E221" t="s">
        <v>7028</v>
      </c>
      <c r="G221" t="s">
        <v>6278</v>
      </c>
      <c r="H221" t="s">
        <v>6279</v>
      </c>
      <c r="J221" t="s">
        <v>6280</v>
      </c>
      <c r="L221" t="s">
        <v>83</v>
      </c>
      <c r="M221" t="s">
        <v>85</v>
      </c>
      <c r="R221" t="s">
        <v>7029</v>
      </c>
      <c r="W221" t="s">
        <v>7028</v>
      </c>
      <c r="X221" t="s">
        <v>7030</v>
      </c>
      <c r="Y221" t="s">
        <v>97</v>
      </c>
      <c r="Z221" t="s">
        <v>77</v>
      </c>
      <c r="AA221" t="str">
        <f>"10010-3607"</f>
        <v>10010-3607</v>
      </c>
      <c r="AB221" t="s">
        <v>78</v>
      </c>
      <c r="AC221" t="s">
        <v>79</v>
      </c>
      <c r="AD221" t="s">
        <v>75</v>
      </c>
      <c r="AE221" t="s">
        <v>80</v>
      </c>
      <c r="AG221" t="s">
        <v>81</v>
      </c>
    </row>
    <row r="222" spans="1:33" x14ac:dyDescent="0.25">
      <c r="A222" t="str">
        <f>"1093897043"</f>
        <v>1093897043</v>
      </c>
      <c r="B222" t="str">
        <f>"03169986"</f>
        <v>03169986</v>
      </c>
      <c r="C222" t="s">
        <v>7031</v>
      </c>
      <c r="D222" t="s">
        <v>4342</v>
      </c>
      <c r="E222" t="s">
        <v>4343</v>
      </c>
      <c r="G222" t="s">
        <v>6283</v>
      </c>
      <c r="H222" t="s">
        <v>4075</v>
      </c>
      <c r="I222">
        <v>249</v>
      </c>
      <c r="J222" t="s">
        <v>4076</v>
      </c>
      <c r="L222" t="s">
        <v>74</v>
      </c>
      <c r="M222" t="s">
        <v>85</v>
      </c>
      <c r="R222" t="s">
        <v>4344</v>
      </c>
      <c r="W222" t="s">
        <v>4345</v>
      </c>
      <c r="X222" t="s">
        <v>4346</v>
      </c>
      <c r="Y222" t="s">
        <v>87</v>
      </c>
      <c r="Z222" t="s">
        <v>77</v>
      </c>
      <c r="AA222" t="str">
        <f>"11224-1675"</f>
        <v>11224-1675</v>
      </c>
      <c r="AB222" t="s">
        <v>82</v>
      </c>
      <c r="AC222" t="s">
        <v>79</v>
      </c>
      <c r="AD222" t="s">
        <v>75</v>
      </c>
      <c r="AE222" t="s">
        <v>80</v>
      </c>
      <c r="AG222" t="s">
        <v>81</v>
      </c>
    </row>
    <row r="223" spans="1:33" x14ac:dyDescent="0.25">
      <c r="A223" t="str">
        <f>"1821136367"</f>
        <v>1821136367</v>
      </c>
      <c r="B223" t="str">
        <f>"03074637"</f>
        <v>03074637</v>
      </c>
      <c r="C223" t="s">
        <v>7032</v>
      </c>
      <c r="D223" t="s">
        <v>4083</v>
      </c>
      <c r="E223" t="s">
        <v>4084</v>
      </c>
      <c r="G223" t="s">
        <v>6283</v>
      </c>
      <c r="H223" t="s">
        <v>4075</v>
      </c>
      <c r="I223">
        <v>249</v>
      </c>
      <c r="J223" t="s">
        <v>4076</v>
      </c>
      <c r="L223" t="s">
        <v>74</v>
      </c>
      <c r="M223" t="s">
        <v>75</v>
      </c>
      <c r="R223" t="s">
        <v>4085</v>
      </c>
      <c r="W223" t="s">
        <v>4084</v>
      </c>
      <c r="X223" t="s">
        <v>4086</v>
      </c>
      <c r="Y223" t="s">
        <v>2068</v>
      </c>
      <c r="Z223" t="s">
        <v>77</v>
      </c>
      <c r="AA223" t="str">
        <f>"11725-2813"</f>
        <v>11725-2813</v>
      </c>
      <c r="AB223" t="s">
        <v>82</v>
      </c>
      <c r="AC223" t="s">
        <v>79</v>
      </c>
      <c r="AD223" t="s">
        <v>75</v>
      </c>
      <c r="AE223" t="s">
        <v>80</v>
      </c>
      <c r="AG223" t="s">
        <v>81</v>
      </c>
    </row>
    <row r="224" spans="1:33" x14ac:dyDescent="0.25">
      <c r="A224" t="str">
        <f>"1467622084"</f>
        <v>1467622084</v>
      </c>
      <c r="B224" t="str">
        <f>"02462962"</f>
        <v>02462962</v>
      </c>
      <c r="C224" t="s">
        <v>7033</v>
      </c>
      <c r="D224" t="s">
        <v>7034</v>
      </c>
      <c r="E224" t="s">
        <v>7035</v>
      </c>
      <c r="G224" t="s">
        <v>6367</v>
      </c>
      <c r="H224" t="s">
        <v>4625</v>
      </c>
      <c r="J224" t="s">
        <v>6368</v>
      </c>
      <c r="L224" t="s">
        <v>83</v>
      </c>
      <c r="M224" t="s">
        <v>85</v>
      </c>
      <c r="R224" t="s">
        <v>7035</v>
      </c>
      <c r="W224" t="s">
        <v>7036</v>
      </c>
      <c r="X224" t="s">
        <v>7037</v>
      </c>
      <c r="Y224" t="s">
        <v>1797</v>
      </c>
      <c r="Z224" t="s">
        <v>77</v>
      </c>
      <c r="AA224" t="str">
        <f>"12550-3150"</f>
        <v>12550-3150</v>
      </c>
      <c r="AB224" t="s">
        <v>78</v>
      </c>
      <c r="AC224" t="s">
        <v>79</v>
      </c>
      <c r="AD224" t="s">
        <v>75</v>
      </c>
      <c r="AE224" t="s">
        <v>80</v>
      </c>
      <c r="AG224" t="s">
        <v>81</v>
      </c>
    </row>
    <row r="225" spans="1:33" x14ac:dyDescent="0.25">
      <c r="A225" t="str">
        <f>"1609193754"</f>
        <v>1609193754</v>
      </c>
      <c r="B225" t="str">
        <f>"03608959"</f>
        <v>03608959</v>
      </c>
      <c r="C225" t="s">
        <v>7038</v>
      </c>
      <c r="D225" t="s">
        <v>7039</v>
      </c>
      <c r="E225" t="s">
        <v>7040</v>
      </c>
      <c r="G225" t="s">
        <v>6367</v>
      </c>
      <c r="H225" t="s">
        <v>4625</v>
      </c>
      <c r="J225" t="s">
        <v>6368</v>
      </c>
      <c r="L225" t="s">
        <v>83</v>
      </c>
      <c r="M225" t="s">
        <v>85</v>
      </c>
      <c r="R225" t="s">
        <v>7040</v>
      </c>
      <c r="W225" t="s">
        <v>7040</v>
      </c>
      <c r="X225" t="s">
        <v>1822</v>
      </c>
      <c r="Y225" t="s">
        <v>1823</v>
      </c>
      <c r="Z225" t="s">
        <v>77</v>
      </c>
      <c r="AA225" t="str">
        <f>"10941-4028"</f>
        <v>10941-4028</v>
      </c>
      <c r="AB225" t="s">
        <v>78</v>
      </c>
      <c r="AC225" t="s">
        <v>79</v>
      </c>
      <c r="AD225" t="s">
        <v>75</v>
      </c>
      <c r="AE225" t="s">
        <v>80</v>
      </c>
      <c r="AG225" t="s">
        <v>81</v>
      </c>
    </row>
    <row r="226" spans="1:33" x14ac:dyDescent="0.25">
      <c r="A226" t="str">
        <f>"1407826043"</f>
        <v>1407826043</v>
      </c>
      <c r="B226" t="str">
        <f>"00762074"</f>
        <v>00762074</v>
      </c>
      <c r="C226" t="s">
        <v>7041</v>
      </c>
      <c r="D226" t="s">
        <v>7042</v>
      </c>
      <c r="E226" t="s">
        <v>7043</v>
      </c>
      <c r="G226" t="s">
        <v>6367</v>
      </c>
      <c r="H226" t="s">
        <v>4625</v>
      </c>
      <c r="J226" t="s">
        <v>6368</v>
      </c>
      <c r="L226" t="s">
        <v>83</v>
      </c>
      <c r="M226" t="s">
        <v>85</v>
      </c>
      <c r="R226" t="s">
        <v>7044</v>
      </c>
      <c r="W226" t="s">
        <v>7043</v>
      </c>
      <c r="X226" t="s">
        <v>7045</v>
      </c>
      <c r="Y226" t="s">
        <v>1797</v>
      </c>
      <c r="Z226" t="s">
        <v>77</v>
      </c>
      <c r="AA226" t="str">
        <f>"12550-3100"</f>
        <v>12550-3100</v>
      </c>
      <c r="AB226" t="s">
        <v>78</v>
      </c>
      <c r="AC226" t="s">
        <v>79</v>
      </c>
      <c r="AD226" t="s">
        <v>75</v>
      </c>
      <c r="AE226" t="s">
        <v>80</v>
      </c>
      <c r="AG226" t="s">
        <v>81</v>
      </c>
    </row>
    <row r="227" spans="1:33" x14ac:dyDescent="0.25">
      <c r="A227" t="str">
        <f>"1841277746"</f>
        <v>1841277746</v>
      </c>
      <c r="B227" t="str">
        <f>"00901331"</f>
        <v>00901331</v>
      </c>
      <c r="C227" t="s">
        <v>7046</v>
      </c>
      <c r="D227" t="s">
        <v>7047</v>
      </c>
      <c r="E227" t="s">
        <v>7048</v>
      </c>
      <c r="G227" t="s">
        <v>6278</v>
      </c>
      <c r="H227" t="s">
        <v>6279</v>
      </c>
      <c r="J227" t="s">
        <v>6280</v>
      </c>
      <c r="L227" t="s">
        <v>74</v>
      </c>
      <c r="M227" t="s">
        <v>85</v>
      </c>
      <c r="R227" t="s">
        <v>7049</v>
      </c>
      <c r="W227" t="s">
        <v>7048</v>
      </c>
      <c r="X227" t="s">
        <v>806</v>
      </c>
      <c r="Y227" t="s">
        <v>152</v>
      </c>
      <c r="Z227" t="s">
        <v>77</v>
      </c>
      <c r="AA227" t="str">
        <f>"11375-6151"</f>
        <v>11375-6151</v>
      </c>
      <c r="AB227" t="s">
        <v>78</v>
      </c>
      <c r="AC227" t="s">
        <v>79</v>
      </c>
      <c r="AD227" t="s">
        <v>75</v>
      </c>
      <c r="AE227" t="s">
        <v>80</v>
      </c>
      <c r="AG227" t="s">
        <v>81</v>
      </c>
    </row>
    <row r="228" spans="1:33" x14ac:dyDescent="0.25">
      <c r="A228" t="str">
        <f>"1699753210"</f>
        <v>1699753210</v>
      </c>
      <c r="B228" t="str">
        <f>"02472888"</f>
        <v>02472888</v>
      </c>
      <c r="C228" t="s">
        <v>7050</v>
      </c>
      <c r="D228" t="s">
        <v>7051</v>
      </c>
      <c r="E228" t="s">
        <v>7052</v>
      </c>
      <c r="G228" t="s">
        <v>6367</v>
      </c>
      <c r="H228" t="s">
        <v>4625</v>
      </c>
      <c r="J228" t="s">
        <v>6368</v>
      </c>
      <c r="L228" t="s">
        <v>84</v>
      </c>
      <c r="M228" t="s">
        <v>85</v>
      </c>
      <c r="R228" t="s">
        <v>7053</v>
      </c>
      <c r="W228" t="s">
        <v>7052</v>
      </c>
      <c r="X228" t="s">
        <v>1822</v>
      </c>
      <c r="Y228" t="s">
        <v>1823</v>
      </c>
      <c r="Z228" t="s">
        <v>77</v>
      </c>
      <c r="AA228" t="str">
        <f>"10941-4028"</f>
        <v>10941-4028</v>
      </c>
      <c r="AB228" t="s">
        <v>78</v>
      </c>
      <c r="AC228" t="s">
        <v>79</v>
      </c>
      <c r="AD228" t="s">
        <v>75</v>
      </c>
      <c r="AE228" t="s">
        <v>80</v>
      </c>
      <c r="AG228" t="s">
        <v>81</v>
      </c>
    </row>
    <row r="229" spans="1:33" x14ac:dyDescent="0.25">
      <c r="A229" t="str">
        <f>"1881809952"</f>
        <v>1881809952</v>
      </c>
      <c r="B229" t="str">
        <f>"03078246"</f>
        <v>03078246</v>
      </c>
      <c r="C229" t="s">
        <v>7054</v>
      </c>
      <c r="D229" t="s">
        <v>7055</v>
      </c>
      <c r="E229" t="s">
        <v>7056</v>
      </c>
      <c r="G229" t="s">
        <v>6278</v>
      </c>
      <c r="H229" t="s">
        <v>6279</v>
      </c>
      <c r="J229" t="s">
        <v>6280</v>
      </c>
      <c r="L229" t="s">
        <v>84</v>
      </c>
      <c r="M229" t="s">
        <v>85</v>
      </c>
      <c r="R229" t="s">
        <v>7056</v>
      </c>
      <c r="W229" t="s">
        <v>7057</v>
      </c>
      <c r="X229" t="s">
        <v>4782</v>
      </c>
      <c r="Y229" t="s">
        <v>205</v>
      </c>
      <c r="Z229" t="s">
        <v>77</v>
      </c>
      <c r="AA229" t="str">
        <f>"10977-8916"</f>
        <v>10977-8916</v>
      </c>
      <c r="AB229" t="s">
        <v>78</v>
      </c>
      <c r="AC229" t="s">
        <v>79</v>
      </c>
      <c r="AD229" t="s">
        <v>75</v>
      </c>
      <c r="AE229" t="s">
        <v>80</v>
      </c>
      <c r="AG229" t="s">
        <v>81</v>
      </c>
    </row>
    <row r="230" spans="1:33" x14ac:dyDescent="0.25">
      <c r="A230" t="str">
        <f>"1659412849"</f>
        <v>1659412849</v>
      </c>
      <c r="B230" t="str">
        <f>"01370850"</f>
        <v>01370850</v>
      </c>
      <c r="C230" t="s">
        <v>7058</v>
      </c>
      <c r="D230" t="s">
        <v>3096</v>
      </c>
      <c r="E230" t="s">
        <v>3097</v>
      </c>
      <c r="G230" t="s">
        <v>7059</v>
      </c>
      <c r="H230" t="s">
        <v>7060</v>
      </c>
      <c r="J230" t="s">
        <v>7061</v>
      </c>
      <c r="L230" t="s">
        <v>35</v>
      </c>
      <c r="M230" t="s">
        <v>85</v>
      </c>
      <c r="R230" t="s">
        <v>3098</v>
      </c>
      <c r="W230" t="s">
        <v>3097</v>
      </c>
      <c r="X230" t="s">
        <v>3099</v>
      </c>
      <c r="Y230" t="s">
        <v>131</v>
      </c>
      <c r="Z230" t="s">
        <v>77</v>
      </c>
      <c r="AA230" t="str">
        <f>"10456-7815"</f>
        <v>10456-7815</v>
      </c>
      <c r="AB230" t="s">
        <v>98</v>
      </c>
      <c r="AC230" t="s">
        <v>79</v>
      </c>
      <c r="AD230" t="s">
        <v>75</v>
      </c>
      <c r="AE230" t="s">
        <v>80</v>
      </c>
      <c r="AG230" t="s">
        <v>81</v>
      </c>
    </row>
    <row r="231" spans="1:33" x14ac:dyDescent="0.25">
      <c r="A231" t="str">
        <f>"1932241429"</f>
        <v>1932241429</v>
      </c>
      <c r="B231" t="str">
        <f>"02737644"</f>
        <v>02737644</v>
      </c>
      <c r="C231" t="s">
        <v>7062</v>
      </c>
      <c r="D231" t="s">
        <v>3100</v>
      </c>
      <c r="E231" t="s">
        <v>3003</v>
      </c>
      <c r="G231" t="s">
        <v>7059</v>
      </c>
      <c r="H231" t="s">
        <v>7060</v>
      </c>
      <c r="J231" t="s">
        <v>7061</v>
      </c>
      <c r="L231" t="s">
        <v>119</v>
      </c>
      <c r="M231" t="s">
        <v>85</v>
      </c>
      <c r="R231" t="s">
        <v>3098</v>
      </c>
      <c r="W231" t="s">
        <v>3003</v>
      </c>
      <c r="X231" t="s">
        <v>3101</v>
      </c>
      <c r="Y231" t="s">
        <v>131</v>
      </c>
      <c r="Z231" t="s">
        <v>77</v>
      </c>
      <c r="AA231" t="str">
        <f>"10456-7815"</f>
        <v>10456-7815</v>
      </c>
      <c r="AB231" t="s">
        <v>122</v>
      </c>
      <c r="AC231" t="s">
        <v>79</v>
      </c>
      <c r="AD231" t="s">
        <v>75</v>
      </c>
      <c r="AE231" t="s">
        <v>80</v>
      </c>
      <c r="AG231" t="s">
        <v>81</v>
      </c>
    </row>
    <row r="232" spans="1:33" x14ac:dyDescent="0.25">
      <c r="A232" t="str">
        <f>"1710022330"</f>
        <v>1710022330</v>
      </c>
      <c r="B232" t="str">
        <f>"01103593"</f>
        <v>01103593</v>
      </c>
      <c r="C232" t="s">
        <v>7063</v>
      </c>
      <c r="D232" t="s">
        <v>3365</v>
      </c>
      <c r="E232" t="s">
        <v>3366</v>
      </c>
      <c r="G232" t="s">
        <v>7064</v>
      </c>
      <c r="H232" t="s">
        <v>7065</v>
      </c>
      <c r="I232">
        <v>57627146</v>
      </c>
      <c r="J232" t="s">
        <v>7066</v>
      </c>
      <c r="L232" t="s">
        <v>104</v>
      </c>
      <c r="M232" t="s">
        <v>75</v>
      </c>
      <c r="R232" t="s">
        <v>3098</v>
      </c>
      <c r="W232" t="s">
        <v>3366</v>
      </c>
      <c r="X232" t="s">
        <v>3367</v>
      </c>
      <c r="Y232" t="s">
        <v>131</v>
      </c>
      <c r="Z232" t="s">
        <v>77</v>
      </c>
      <c r="AA232" t="str">
        <f>"10455-1232"</f>
        <v>10455-1232</v>
      </c>
      <c r="AB232" t="s">
        <v>122</v>
      </c>
      <c r="AC232" t="s">
        <v>79</v>
      </c>
      <c r="AD232" t="s">
        <v>75</v>
      </c>
      <c r="AE232" t="s">
        <v>80</v>
      </c>
      <c r="AG232" t="s">
        <v>81</v>
      </c>
    </row>
    <row r="233" spans="1:33" x14ac:dyDescent="0.25">
      <c r="A233" t="str">
        <f>"1417929167"</f>
        <v>1417929167</v>
      </c>
      <c r="B233" t="str">
        <f>"02096913"</f>
        <v>02096913</v>
      </c>
      <c r="C233" t="s">
        <v>7067</v>
      </c>
      <c r="D233" t="s">
        <v>1003</v>
      </c>
      <c r="E233" t="s">
        <v>1004</v>
      </c>
      <c r="G233" t="s">
        <v>6278</v>
      </c>
      <c r="H233" t="s">
        <v>6279</v>
      </c>
      <c r="J233" t="s">
        <v>6280</v>
      </c>
      <c r="L233" t="s">
        <v>83</v>
      </c>
      <c r="M233" t="s">
        <v>75</v>
      </c>
      <c r="R233" t="s">
        <v>1005</v>
      </c>
      <c r="W233" t="s">
        <v>1004</v>
      </c>
      <c r="X233" t="s">
        <v>1006</v>
      </c>
      <c r="Y233" t="s">
        <v>131</v>
      </c>
      <c r="Z233" t="s">
        <v>77</v>
      </c>
      <c r="AA233" t="str">
        <f>"10451-5589"</f>
        <v>10451-5589</v>
      </c>
      <c r="AB233" t="s">
        <v>78</v>
      </c>
      <c r="AC233" t="s">
        <v>79</v>
      </c>
      <c r="AD233" t="s">
        <v>75</v>
      </c>
      <c r="AE233" t="s">
        <v>80</v>
      </c>
      <c r="AG233" t="s">
        <v>81</v>
      </c>
    </row>
    <row r="234" spans="1:33" x14ac:dyDescent="0.25">
      <c r="A234" t="str">
        <f>"1881617363"</f>
        <v>1881617363</v>
      </c>
      <c r="B234" t="str">
        <f>"02866806"</f>
        <v>02866806</v>
      </c>
      <c r="C234" t="s">
        <v>7068</v>
      </c>
      <c r="D234" t="s">
        <v>7069</v>
      </c>
      <c r="E234" t="s">
        <v>7070</v>
      </c>
      <c r="G234" t="s">
        <v>6278</v>
      </c>
      <c r="H234" t="s">
        <v>6279</v>
      </c>
      <c r="J234" t="s">
        <v>6280</v>
      </c>
      <c r="L234" t="s">
        <v>74</v>
      </c>
      <c r="M234" t="s">
        <v>75</v>
      </c>
      <c r="R234" t="s">
        <v>7071</v>
      </c>
      <c r="W234" t="s">
        <v>7070</v>
      </c>
      <c r="X234" t="s">
        <v>7072</v>
      </c>
      <c r="Y234" t="s">
        <v>87</v>
      </c>
      <c r="Z234" t="s">
        <v>77</v>
      </c>
      <c r="AA234" t="str">
        <f>"11211-3207"</f>
        <v>11211-3207</v>
      </c>
      <c r="AB234" t="s">
        <v>82</v>
      </c>
      <c r="AC234" t="s">
        <v>79</v>
      </c>
      <c r="AD234" t="s">
        <v>75</v>
      </c>
      <c r="AE234" t="s">
        <v>80</v>
      </c>
      <c r="AG234" t="s">
        <v>81</v>
      </c>
    </row>
    <row r="235" spans="1:33" x14ac:dyDescent="0.25">
      <c r="A235" t="str">
        <f>"1215100458"</f>
        <v>1215100458</v>
      </c>
      <c r="B235" t="str">
        <f>"03001829"</f>
        <v>03001829</v>
      </c>
      <c r="C235" t="s">
        <v>7073</v>
      </c>
      <c r="D235" t="s">
        <v>2940</v>
      </c>
      <c r="E235" t="s">
        <v>2939</v>
      </c>
      <c r="F235">
        <v>133110063</v>
      </c>
      <c r="G235" t="s">
        <v>7074</v>
      </c>
      <c r="H235" t="s">
        <v>2941</v>
      </c>
      <c r="J235" t="s">
        <v>2942</v>
      </c>
      <c r="L235" t="s">
        <v>115</v>
      </c>
      <c r="M235" t="s">
        <v>85</v>
      </c>
      <c r="R235" t="s">
        <v>2943</v>
      </c>
      <c r="W235" t="s">
        <v>2939</v>
      </c>
      <c r="X235" t="s">
        <v>1163</v>
      </c>
      <c r="Y235" t="s">
        <v>97</v>
      </c>
      <c r="Z235" t="s">
        <v>77</v>
      </c>
      <c r="AA235" t="str">
        <f>"10029-4413"</f>
        <v>10029-4413</v>
      </c>
      <c r="AB235" t="s">
        <v>93</v>
      </c>
      <c r="AC235" t="s">
        <v>79</v>
      </c>
      <c r="AD235" t="s">
        <v>75</v>
      </c>
      <c r="AE235" t="s">
        <v>80</v>
      </c>
      <c r="AG235" t="s">
        <v>81</v>
      </c>
    </row>
    <row r="236" spans="1:33" x14ac:dyDescent="0.25">
      <c r="A236" t="str">
        <f>"1598744146"</f>
        <v>1598744146</v>
      </c>
      <c r="B236" t="str">
        <f>"00798123"</f>
        <v>00798123</v>
      </c>
      <c r="C236" t="s">
        <v>7073</v>
      </c>
      <c r="D236" t="s">
        <v>7075</v>
      </c>
      <c r="E236" t="s">
        <v>2939</v>
      </c>
      <c r="G236" t="s">
        <v>7074</v>
      </c>
      <c r="H236" t="s">
        <v>2941</v>
      </c>
      <c r="J236" t="s">
        <v>2942</v>
      </c>
      <c r="L236" t="s">
        <v>106</v>
      </c>
      <c r="M236" t="s">
        <v>85</v>
      </c>
      <c r="R236" t="s">
        <v>2943</v>
      </c>
      <c r="W236" t="s">
        <v>2939</v>
      </c>
      <c r="X236" t="s">
        <v>1163</v>
      </c>
      <c r="Y236" t="s">
        <v>97</v>
      </c>
      <c r="Z236" t="s">
        <v>77</v>
      </c>
      <c r="AA236" t="str">
        <f>"10029-4413"</f>
        <v>10029-4413</v>
      </c>
      <c r="AB236" t="s">
        <v>96</v>
      </c>
      <c r="AC236" t="s">
        <v>79</v>
      </c>
      <c r="AD236" t="s">
        <v>75</v>
      </c>
      <c r="AE236" t="s">
        <v>80</v>
      </c>
      <c r="AG236" t="s">
        <v>81</v>
      </c>
    </row>
    <row r="237" spans="1:33" x14ac:dyDescent="0.25">
      <c r="A237" t="str">
        <f>"1780758482"</f>
        <v>1780758482</v>
      </c>
      <c r="B237" t="str">
        <f>"01663294"</f>
        <v>01663294</v>
      </c>
      <c r="C237" t="s">
        <v>7076</v>
      </c>
      <c r="D237" t="s">
        <v>7077</v>
      </c>
      <c r="E237" t="s">
        <v>7078</v>
      </c>
      <c r="G237" t="s">
        <v>6278</v>
      </c>
      <c r="H237" t="s">
        <v>6279</v>
      </c>
      <c r="J237" t="s">
        <v>6280</v>
      </c>
      <c r="L237" t="s">
        <v>83</v>
      </c>
      <c r="M237" t="s">
        <v>85</v>
      </c>
      <c r="R237" t="s">
        <v>7079</v>
      </c>
      <c r="W237" t="s">
        <v>7078</v>
      </c>
      <c r="X237" t="s">
        <v>7080</v>
      </c>
      <c r="Y237" t="s">
        <v>97</v>
      </c>
      <c r="Z237" t="s">
        <v>77</v>
      </c>
      <c r="AA237" t="str">
        <f>"10003-3746"</f>
        <v>10003-3746</v>
      </c>
      <c r="AB237" t="s">
        <v>78</v>
      </c>
      <c r="AC237" t="s">
        <v>79</v>
      </c>
      <c r="AD237" t="s">
        <v>75</v>
      </c>
      <c r="AE237" t="s">
        <v>80</v>
      </c>
      <c r="AG237" t="s">
        <v>81</v>
      </c>
    </row>
    <row r="238" spans="1:33" x14ac:dyDescent="0.25">
      <c r="C238" t="s">
        <v>7081</v>
      </c>
      <c r="G238" t="s">
        <v>7082</v>
      </c>
      <c r="H238" t="s">
        <v>7083</v>
      </c>
      <c r="J238" t="s">
        <v>1753</v>
      </c>
      <c r="K238" t="s">
        <v>99</v>
      </c>
      <c r="L238" t="s">
        <v>100</v>
      </c>
      <c r="M238" t="s">
        <v>75</v>
      </c>
      <c r="AC238" t="s">
        <v>79</v>
      </c>
      <c r="AD238" t="s">
        <v>75</v>
      </c>
      <c r="AE238" t="s">
        <v>101</v>
      </c>
      <c r="AG238" t="s">
        <v>81</v>
      </c>
    </row>
    <row r="239" spans="1:33" x14ac:dyDescent="0.25">
      <c r="C239" t="s">
        <v>7084</v>
      </c>
      <c r="G239" t="s">
        <v>7085</v>
      </c>
      <c r="H239" t="s">
        <v>7086</v>
      </c>
      <c r="J239" t="s">
        <v>7087</v>
      </c>
      <c r="K239" t="s">
        <v>99</v>
      </c>
      <c r="L239" t="s">
        <v>100</v>
      </c>
      <c r="M239" t="s">
        <v>75</v>
      </c>
      <c r="AC239" t="s">
        <v>79</v>
      </c>
      <c r="AD239" t="s">
        <v>75</v>
      </c>
      <c r="AE239" t="s">
        <v>101</v>
      </c>
      <c r="AG239" t="s">
        <v>81</v>
      </c>
    </row>
    <row r="240" spans="1:33" x14ac:dyDescent="0.25">
      <c r="A240" t="str">
        <f>"1992735773"</f>
        <v>1992735773</v>
      </c>
      <c r="B240" t="str">
        <f>"00861376"</f>
        <v>00861376</v>
      </c>
      <c r="C240" t="s">
        <v>7088</v>
      </c>
      <c r="D240" t="s">
        <v>7089</v>
      </c>
      <c r="E240" t="s">
        <v>7090</v>
      </c>
      <c r="G240" t="s">
        <v>6278</v>
      </c>
      <c r="H240" t="s">
        <v>6279</v>
      </c>
      <c r="J240" t="s">
        <v>6280</v>
      </c>
      <c r="L240" t="s">
        <v>83</v>
      </c>
      <c r="M240" t="s">
        <v>85</v>
      </c>
      <c r="R240" t="s">
        <v>7091</v>
      </c>
      <c r="W240" t="s">
        <v>7090</v>
      </c>
      <c r="X240" t="s">
        <v>7092</v>
      </c>
      <c r="Y240" t="s">
        <v>97</v>
      </c>
      <c r="Z240" t="s">
        <v>77</v>
      </c>
      <c r="AA240" t="str">
        <f>"10075-1741"</f>
        <v>10075-1741</v>
      </c>
      <c r="AB240" t="s">
        <v>78</v>
      </c>
      <c r="AC240" t="s">
        <v>79</v>
      </c>
      <c r="AD240" t="s">
        <v>75</v>
      </c>
      <c r="AE240" t="s">
        <v>80</v>
      </c>
      <c r="AG240" t="s">
        <v>81</v>
      </c>
    </row>
    <row r="241" spans="1:33" x14ac:dyDescent="0.25">
      <c r="A241" t="str">
        <f>"1881733830"</f>
        <v>1881733830</v>
      </c>
      <c r="B241" t="str">
        <f>"00828919"</f>
        <v>00828919</v>
      </c>
      <c r="C241" t="s">
        <v>7093</v>
      </c>
      <c r="D241" t="s">
        <v>1391</v>
      </c>
      <c r="E241" t="s">
        <v>1392</v>
      </c>
      <c r="G241" t="s">
        <v>7094</v>
      </c>
      <c r="H241" t="s">
        <v>1393</v>
      </c>
      <c r="J241" t="s">
        <v>1394</v>
      </c>
      <c r="L241" t="s">
        <v>663</v>
      </c>
      <c r="M241" t="s">
        <v>85</v>
      </c>
      <c r="R241" t="s">
        <v>1390</v>
      </c>
      <c r="W241" t="s">
        <v>1392</v>
      </c>
      <c r="X241" t="s">
        <v>1395</v>
      </c>
      <c r="Y241" t="s">
        <v>131</v>
      </c>
      <c r="Z241" t="s">
        <v>77</v>
      </c>
      <c r="AA241" t="str">
        <f>"10457-6305"</f>
        <v>10457-6305</v>
      </c>
      <c r="AB241" t="s">
        <v>122</v>
      </c>
      <c r="AC241" t="s">
        <v>79</v>
      </c>
      <c r="AD241" t="s">
        <v>75</v>
      </c>
      <c r="AE241" t="s">
        <v>80</v>
      </c>
      <c r="AG241" t="s">
        <v>81</v>
      </c>
    </row>
    <row r="242" spans="1:33" x14ac:dyDescent="0.25">
      <c r="C242" t="s">
        <v>7093</v>
      </c>
      <c r="K242" t="s">
        <v>99</v>
      </c>
      <c r="L242" t="s">
        <v>100</v>
      </c>
      <c r="M242" t="s">
        <v>75</v>
      </c>
      <c r="N242" t="s">
        <v>7095</v>
      </c>
      <c r="O242" t="s">
        <v>296</v>
      </c>
      <c r="P242" t="s">
        <v>77</v>
      </c>
      <c r="Q242" t="str">
        <f>"10457"</f>
        <v>10457</v>
      </c>
      <c r="AC242" t="s">
        <v>79</v>
      </c>
      <c r="AD242" t="s">
        <v>75</v>
      </c>
      <c r="AE242" t="s">
        <v>101</v>
      </c>
      <c r="AG242" t="s">
        <v>81</v>
      </c>
    </row>
    <row r="243" spans="1:33" x14ac:dyDescent="0.25">
      <c r="A243" t="str">
        <f>"1962446906"</f>
        <v>1962446906</v>
      </c>
      <c r="B243" t="str">
        <f>"00410917"</f>
        <v>00410917</v>
      </c>
      <c r="C243" t="s">
        <v>7096</v>
      </c>
      <c r="D243" t="s">
        <v>7097</v>
      </c>
      <c r="E243" t="s">
        <v>7098</v>
      </c>
      <c r="G243" t="s">
        <v>6278</v>
      </c>
      <c r="H243" t="s">
        <v>6279</v>
      </c>
      <c r="J243" t="s">
        <v>6280</v>
      </c>
      <c r="L243" t="s">
        <v>84</v>
      </c>
      <c r="M243" t="s">
        <v>85</v>
      </c>
      <c r="R243" t="s">
        <v>7099</v>
      </c>
      <c r="W243" t="s">
        <v>7100</v>
      </c>
      <c r="X243" t="s">
        <v>7101</v>
      </c>
      <c r="Y243" t="s">
        <v>87</v>
      </c>
      <c r="Z243" t="s">
        <v>77</v>
      </c>
      <c r="AA243" t="str">
        <f>"11230-4963"</f>
        <v>11230-4963</v>
      </c>
      <c r="AB243" t="s">
        <v>78</v>
      </c>
      <c r="AC243" t="s">
        <v>79</v>
      </c>
      <c r="AD243" t="s">
        <v>75</v>
      </c>
      <c r="AE243" t="s">
        <v>80</v>
      </c>
      <c r="AG243" t="s">
        <v>81</v>
      </c>
    </row>
    <row r="244" spans="1:33" x14ac:dyDescent="0.25">
      <c r="A244" t="str">
        <f>"1669642211"</f>
        <v>1669642211</v>
      </c>
      <c r="B244" t="str">
        <f>"01243521"</f>
        <v>01243521</v>
      </c>
      <c r="C244" t="s">
        <v>7102</v>
      </c>
      <c r="D244" t="s">
        <v>3540</v>
      </c>
      <c r="E244" t="s">
        <v>3541</v>
      </c>
      <c r="G244" t="s">
        <v>7103</v>
      </c>
      <c r="H244" t="s">
        <v>3542</v>
      </c>
      <c r="I244">
        <v>427</v>
      </c>
      <c r="J244" t="s">
        <v>3543</v>
      </c>
      <c r="L244" t="s">
        <v>35</v>
      </c>
      <c r="M244" t="s">
        <v>85</v>
      </c>
      <c r="R244" t="s">
        <v>3544</v>
      </c>
      <c r="W244" t="s">
        <v>3541</v>
      </c>
      <c r="X244" t="s">
        <v>3025</v>
      </c>
      <c r="Y244" t="s">
        <v>131</v>
      </c>
      <c r="Z244" t="s">
        <v>77</v>
      </c>
      <c r="AA244" t="str">
        <f>"10458-5871"</f>
        <v>10458-5871</v>
      </c>
      <c r="AB244" t="s">
        <v>98</v>
      </c>
      <c r="AC244" t="s">
        <v>79</v>
      </c>
      <c r="AD244" t="s">
        <v>75</v>
      </c>
      <c r="AE244" t="s">
        <v>80</v>
      </c>
      <c r="AG244" t="s">
        <v>81</v>
      </c>
    </row>
    <row r="245" spans="1:33" x14ac:dyDescent="0.25">
      <c r="A245" t="str">
        <f>"1518233840"</f>
        <v>1518233840</v>
      </c>
      <c r="B245" t="str">
        <f>"03448753"</f>
        <v>03448753</v>
      </c>
      <c r="C245" t="s">
        <v>7104</v>
      </c>
      <c r="D245" t="s">
        <v>7105</v>
      </c>
      <c r="E245" t="s">
        <v>7106</v>
      </c>
      <c r="G245" t="s">
        <v>6367</v>
      </c>
      <c r="H245" t="s">
        <v>4625</v>
      </c>
      <c r="J245" t="s">
        <v>6368</v>
      </c>
      <c r="L245" t="s">
        <v>84</v>
      </c>
      <c r="M245" t="s">
        <v>85</v>
      </c>
      <c r="R245" t="s">
        <v>7107</v>
      </c>
      <c r="W245" t="s">
        <v>7106</v>
      </c>
      <c r="X245" t="s">
        <v>7108</v>
      </c>
      <c r="Y245" t="s">
        <v>1838</v>
      </c>
      <c r="Z245" t="s">
        <v>77</v>
      </c>
      <c r="AA245" t="str">
        <f>"12524-2295"</f>
        <v>12524-2295</v>
      </c>
      <c r="AB245" t="s">
        <v>78</v>
      </c>
      <c r="AC245" t="s">
        <v>79</v>
      </c>
      <c r="AD245" t="s">
        <v>75</v>
      </c>
      <c r="AE245" t="s">
        <v>80</v>
      </c>
      <c r="AG245" t="s">
        <v>81</v>
      </c>
    </row>
    <row r="246" spans="1:33" x14ac:dyDescent="0.25">
      <c r="A246" t="str">
        <f>"1891877932"</f>
        <v>1891877932</v>
      </c>
      <c r="B246" t="str">
        <f>"01113166"</f>
        <v>01113166</v>
      </c>
      <c r="C246" t="s">
        <v>7109</v>
      </c>
      <c r="D246" t="s">
        <v>7110</v>
      </c>
      <c r="E246" t="s">
        <v>7111</v>
      </c>
      <c r="G246" t="s">
        <v>6278</v>
      </c>
      <c r="H246" t="s">
        <v>6279</v>
      </c>
      <c r="J246" t="s">
        <v>6280</v>
      </c>
      <c r="L246" t="s">
        <v>83</v>
      </c>
      <c r="M246" t="s">
        <v>75</v>
      </c>
      <c r="R246" t="s">
        <v>7112</v>
      </c>
      <c r="W246" t="s">
        <v>7113</v>
      </c>
      <c r="Y246" t="s">
        <v>876</v>
      </c>
      <c r="Z246" t="s">
        <v>77</v>
      </c>
      <c r="AA246" t="str">
        <f>"11694-2494"</f>
        <v>11694-2494</v>
      </c>
      <c r="AB246" t="s">
        <v>78</v>
      </c>
      <c r="AC246" t="s">
        <v>79</v>
      </c>
      <c r="AD246" t="s">
        <v>75</v>
      </c>
      <c r="AE246" t="s">
        <v>80</v>
      </c>
      <c r="AG246" t="s">
        <v>81</v>
      </c>
    </row>
    <row r="247" spans="1:33" x14ac:dyDescent="0.25">
      <c r="A247" t="str">
        <f>"1417968488"</f>
        <v>1417968488</v>
      </c>
      <c r="B247" t="str">
        <f>"03000039"</f>
        <v>03000039</v>
      </c>
      <c r="C247" t="s">
        <v>7114</v>
      </c>
      <c r="D247" t="s">
        <v>928</v>
      </c>
      <c r="E247" t="s">
        <v>927</v>
      </c>
      <c r="G247" t="s">
        <v>7115</v>
      </c>
      <c r="H247" t="s">
        <v>7116</v>
      </c>
      <c r="J247" t="s">
        <v>5142</v>
      </c>
      <c r="L247" t="s">
        <v>929</v>
      </c>
      <c r="M247" t="s">
        <v>85</v>
      </c>
      <c r="R247" t="s">
        <v>1160</v>
      </c>
      <c r="W247" t="s">
        <v>927</v>
      </c>
      <c r="X247" t="s">
        <v>930</v>
      </c>
      <c r="Y247" t="s">
        <v>131</v>
      </c>
      <c r="Z247" t="s">
        <v>77</v>
      </c>
      <c r="AA247" t="str">
        <f>"10461-2300"</f>
        <v>10461-2300</v>
      </c>
      <c r="AB247" t="s">
        <v>96</v>
      </c>
      <c r="AC247" t="s">
        <v>79</v>
      </c>
      <c r="AD247" t="s">
        <v>75</v>
      </c>
      <c r="AE247" t="s">
        <v>80</v>
      </c>
      <c r="AG247" t="s">
        <v>81</v>
      </c>
    </row>
    <row r="248" spans="1:33" x14ac:dyDescent="0.25">
      <c r="A248" t="str">
        <f>"1609863232"</f>
        <v>1609863232</v>
      </c>
      <c r="B248" t="str">
        <f>"00310632"</f>
        <v>00310632</v>
      </c>
      <c r="C248" t="s">
        <v>7117</v>
      </c>
      <c r="D248" t="s">
        <v>1812</v>
      </c>
      <c r="E248" t="s">
        <v>1813</v>
      </c>
      <c r="L248" t="s">
        <v>106</v>
      </c>
      <c r="M248" t="s">
        <v>85</v>
      </c>
      <c r="R248" t="s">
        <v>1814</v>
      </c>
      <c r="W248" t="s">
        <v>1813</v>
      </c>
      <c r="X248" t="s">
        <v>1815</v>
      </c>
      <c r="Y248" t="s">
        <v>1764</v>
      </c>
      <c r="Z248" t="s">
        <v>77</v>
      </c>
      <c r="AA248" t="str">
        <f>"12184-2303"</f>
        <v>12184-2303</v>
      </c>
      <c r="AB248" t="s">
        <v>107</v>
      </c>
      <c r="AC248" t="s">
        <v>79</v>
      </c>
      <c r="AD248" t="s">
        <v>75</v>
      </c>
      <c r="AE248" t="s">
        <v>80</v>
      </c>
      <c r="AG248" t="s">
        <v>81</v>
      </c>
    </row>
    <row r="249" spans="1:33" x14ac:dyDescent="0.25">
      <c r="A249" t="str">
        <f>"1780994046"</f>
        <v>1780994046</v>
      </c>
      <c r="B249" t="str">
        <f>"00312029"</f>
        <v>00312029</v>
      </c>
      <c r="C249" t="s">
        <v>7118</v>
      </c>
      <c r="D249" t="s">
        <v>1756</v>
      </c>
      <c r="E249" t="s">
        <v>1757</v>
      </c>
      <c r="L249" t="s">
        <v>106</v>
      </c>
      <c r="M249" t="s">
        <v>85</v>
      </c>
      <c r="R249" t="s">
        <v>1755</v>
      </c>
      <c r="W249" t="s">
        <v>1757</v>
      </c>
      <c r="X249" t="s">
        <v>1758</v>
      </c>
      <c r="Y249" t="s">
        <v>1759</v>
      </c>
      <c r="Z249" t="s">
        <v>77</v>
      </c>
      <c r="AA249" t="str">
        <f>"11780-2117"</f>
        <v>11780-2117</v>
      </c>
      <c r="AB249" t="s">
        <v>107</v>
      </c>
      <c r="AC249" t="s">
        <v>79</v>
      </c>
      <c r="AD249" t="s">
        <v>75</v>
      </c>
      <c r="AE249" t="s">
        <v>80</v>
      </c>
      <c r="AG249" t="s">
        <v>81</v>
      </c>
    </row>
    <row r="250" spans="1:33" x14ac:dyDescent="0.25">
      <c r="A250" t="str">
        <f>"1407856990"</f>
        <v>1407856990</v>
      </c>
      <c r="B250" t="str">
        <f>"02571819"</f>
        <v>02571819</v>
      </c>
      <c r="C250" t="s">
        <v>7119</v>
      </c>
      <c r="D250" t="s">
        <v>7120</v>
      </c>
      <c r="E250" t="s">
        <v>7121</v>
      </c>
      <c r="G250" t="s">
        <v>6367</v>
      </c>
      <c r="H250" t="s">
        <v>4625</v>
      </c>
      <c r="J250" t="s">
        <v>6368</v>
      </c>
      <c r="L250" t="s">
        <v>83</v>
      </c>
      <c r="M250" t="s">
        <v>85</v>
      </c>
      <c r="R250" t="s">
        <v>7122</v>
      </c>
      <c r="W250" t="s">
        <v>7121</v>
      </c>
      <c r="X250" t="s">
        <v>7123</v>
      </c>
      <c r="Y250" t="s">
        <v>1823</v>
      </c>
      <c r="Z250" t="s">
        <v>77</v>
      </c>
      <c r="AA250" t="str">
        <f>"10941-4057"</f>
        <v>10941-4057</v>
      </c>
      <c r="AB250" t="s">
        <v>78</v>
      </c>
      <c r="AC250" t="s">
        <v>79</v>
      </c>
      <c r="AD250" t="s">
        <v>75</v>
      </c>
      <c r="AE250" t="s">
        <v>80</v>
      </c>
      <c r="AG250" t="s">
        <v>81</v>
      </c>
    </row>
    <row r="251" spans="1:33" x14ac:dyDescent="0.25">
      <c r="A251" t="str">
        <f>"1588691828"</f>
        <v>1588691828</v>
      </c>
      <c r="B251" t="str">
        <f>"00244404"</f>
        <v>00244404</v>
      </c>
      <c r="C251" t="s">
        <v>7124</v>
      </c>
      <c r="D251" t="s">
        <v>7125</v>
      </c>
      <c r="E251" t="s">
        <v>7126</v>
      </c>
      <c r="G251" t="s">
        <v>6494</v>
      </c>
      <c r="H251" t="s">
        <v>6495</v>
      </c>
      <c r="J251" t="s">
        <v>6496</v>
      </c>
      <c r="L251" t="s">
        <v>358</v>
      </c>
      <c r="M251" t="s">
        <v>85</v>
      </c>
      <c r="R251" t="s">
        <v>7127</v>
      </c>
      <c r="W251" t="s">
        <v>7126</v>
      </c>
      <c r="X251" t="s">
        <v>2808</v>
      </c>
      <c r="Y251" t="s">
        <v>97</v>
      </c>
      <c r="Z251" t="s">
        <v>77</v>
      </c>
      <c r="AA251" t="str">
        <f>"10025-6450"</f>
        <v>10025-6450</v>
      </c>
      <c r="AB251" t="s">
        <v>122</v>
      </c>
      <c r="AC251" t="s">
        <v>79</v>
      </c>
      <c r="AD251" t="s">
        <v>75</v>
      </c>
      <c r="AE251" t="s">
        <v>80</v>
      </c>
      <c r="AG251" t="s">
        <v>81</v>
      </c>
    </row>
    <row r="252" spans="1:33" x14ac:dyDescent="0.25">
      <c r="A252" t="str">
        <f>"1619109089"</f>
        <v>1619109089</v>
      </c>
      <c r="B252" t="str">
        <f>"03756512"</f>
        <v>03756512</v>
      </c>
      <c r="C252" t="s">
        <v>7128</v>
      </c>
      <c r="D252" t="s">
        <v>3316</v>
      </c>
      <c r="E252" t="s">
        <v>3317</v>
      </c>
      <c r="G252" t="s">
        <v>7129</v>
      </c>
      <c r="H252" t="s">
        <v>7130</v>
      </c>
      <c r="J252" t="s">
        <v>7131</v>
      </c>
      <c r="L252" t="s">
        <v>37</v>
      </c>
      <c r="M252" t="s">
        <v>85</v>
      </c>
      <c r="R252" t="s">
        <v>3318</v>
      </c>
      <c r="W252" t="s">
        <v>3317</v>
      </c>
      <c r="X252" t="s">
        <v>2918</v>
      </c>
      <c r="Y252" t="s">
        <v>97</v>
      </c>
      <c r="Z252" t="s">
        <v>77</v>
      </c>
      <c r="AA252" t="str">
        <f>"10035-4521"</f>
        <v>10035-4521</v>
      </c>
      <c r="AB252" t="s">
        <v>127</v>
      </c>
      <c r="AC252" t="s">
        <v>79</v>
      </c>
      <c r="AD252" t="s">
        <v>75</v>
      </c>
      <c r="AE252" t="s">
        <v>80</v>
      </c>
      <c r="AG252" t="s">
        <v>81</v>
      </c>
    </row>
    <row r="253" spans="1:33" x14ac:dyDescent="0.25">
      <c r="C253" t="s">
        <v>7132</v>
      </c>
      <c r="G253" t="s">
        <v>7133</v>
      </c>
      <c r="H253" t="s">
        <v>7134</v>
      </c>
      <c r="J253" t="s">
        <v>7135</v>
      </c>
      <c r="K253" t="s">
        <v>99</v>
      </c>
      <c r="L253" t="s">
        <v>100</v>
      </c>
      <c r="M253" t="s">
        <v>75</v>
      </c>
      <c r="AC253" t="s">
        <v>79</v>
      </c>
      <c r="AD253" t="s">
        <v>75</v>
      </c>
      <c r="AE253" t="s">
        <v>101</v>
      </c>
      <c r="AG253" t="s">
        <v>81</v>
      </c>
    </row>
    <row r="254" spans="1:33" x14ac:dyDescent="0.25">
      <c r="C254" t="s">
        <v>7136</v>
      </c>
      <c r="G254" t="s">
        <v>7085</v>
      </c>
      <c r="H254" t="s">
        <v>7086</v>
      </c>
      <c r="J254" t="s">
        <v>7087</v>
      </c>
      <c r="K254" t="s">
        <v>99</v>
      </c>
      <c r="L254" t="s">
        <v>100</v>
      </c>
      <c r="M254" t="s">
        <v>75</v>
      </c>
      <c r="AC254" t="s">
        <v>79</v>
      </c>
      <c r="AD254" t="s">
        <v>75</v>
      </c>
      <c r="AE254" t="s">
        <v>101</v>
      </c>
      <c r="AG254" t="s">
        <v>81</v>
      </c>
    </row>
    <row r="255" spans="1:33" x14ac:dyDescent="0.25">
      <c r="A255" t="str">
        <f>"1922042597"</f>
        <v>1922042597</v>
      </c>
      <c r="B255" t="str">
        <f>"02330505"</f>
        <v>02330505</v>
      </c>
      <c r="C255" t="s">
        <v>7137</v>
      </c>
      <c r="D255" t="s">
        <v>7138</v>
      </c>
      <c r="E255" t="s">
        <v>7139</v>
      </c>
      <c r="G255" t="s">
        <v>6278</v>
      </c>
      <c r="H255" t="s">
        <v>6279</v>
      </c>
      <c r="J255" t="s">
        <v>6280</v>
      </c>
      <c r="L255" t="s">
        <v>94</v>
      </c>
      <c r="M255" t="s">
        <v>75</v>
      </c>
      <c r="R255" t="s">
        <v>7140</v>
      </c>
      <c r="W255" t="s">
        <v>7139</v>
      </c>
      <c r="X255" t="s">
        <v>225</v>
      </c>
      <c r="Y255" t="s">
        <v>131</v>
      </c>
      <c r="Z255" t="s">
        <v>77</v>
      </c>
      <c r="AA255" t="str">
        <f>"10457-2545"</f>
        <v>10457-2545</v>
      </c>
      <c r="AB255" t="s">
        <v>78</v>
      </c>
      <c r="AC255" t="s">
        <v>79</v>
      </c>
      <c r="AD255" t="s">
        <v>75</v>
      </c>
      <c r="AE255" t="s">
        <v>80</v>
      </c>
      <c r="AG255" t="s">
        <v>81</v>
      </c>
    </row>
    <row r="256" spans="1:33" x14ac:dyDescent="0.25">
      <c r="A256" t="str">
        <f>"1922041474"</f>
        <v>1922041474</v>
      </c>
      <c r="B256" t="str">
        <f>"01640293"</f>
        <v>01640293</v>
      </c>
      <c r="C256" t="s">
        <v>7141</v>
      </c>
      <c r="D256" t="s">
        <v>7142</v>
      </c>
      <c r="E256" t="s">
        <v>7143</v>
      </c>
      <c r="G256" t="s">
        <v>6278</v>
      </c>
      <c r="H256" t="s">
        <v>6279</v>
      </c>
      <c r="J256" t="s">
        <v>6280</v>
      </c>
      <c r="L256" t="s">
        <v>83</v>
      </c>
      <c r="M256" t="s">
        <v>85</v>
      </c>
      <c r="R256" t="s">
        <v>7144</v>
      </c>
      <c r="W256" t="s">
        <v>7143</v>
      </c>
      <c r="X256" t="s">
        <v>4916</v>
      </c>
      <c r="Y256" t="s">
        <v>171</v>
      </c>
      <c r="Z256" t="s">
        <v>77</v>
      </c>
      <c r="AA256" t="str">
        <f>"11432-4727"</f>
        <v>11432-4727</v>
      </c>
      <c r="AB256" t="s">
        <v>78</v>
      </c>
      <c r="AC256" t="s">
        <v>79</v>
      </c>
      <c r="AD256" t="s">
        <v>75</v>
      </c>
      <c r="AE256" t="s">
        <v>80</v>
      </c>
      <c r="AG256" t="s">
        <v>81</v>
      </c>
    </row>
    <row r="257" spans="1:33" x14ac:dyDescent="0.25">
      <c r="A257" t="str">
        <f>"1811980873"</f>
        <v>1811980873</v>
      </c>
      <c r="B257" t="str">
        <f>"00874864"</f>
        <v>00874864</v>
      </c>
      <c r="C257" t="s">
        <v>7145</v>
      </c>
      <c r="D257" t="s">
        <v>7146</v>
      </c>
      <c r="E257" t="s">
        <v>7147</v>
      </c>
      <c r="G257" t="s">
        <v>6367</v>
      </c>
      <c r="H257" t="s">
        <v>4625</v>
      </c>
      <c r="J257" t="s">
        <v>6368</v>
      </c>
      <c r="L257" t="s">
        <v>83</v>
      </c>
      <c r="M257" t="s">
        <v>85</v>
      </c>
      <c r="R257" t="s">
        <v>7148</v>
      </c>
      <c r="W257" t="s">
        <v>7147</v>
      </c>
      <c r="X257" t="s">
        <v>5638</v>
      </c>
      <c r="Y257" t="s">
        <v>1823</v>
      </c>
      <c r="Z257" t="s">
        <v>77</v>
      </c>
      <c r="AA257" t="str">
        <f>"10940-4199"</f>
        <v>10940-4199</v>
      </c>
      <c r="AB257" t="s">
        <v>78</v>
      </c>
      <c r="AC257" t="s">
        <v>79</v>
      </c>
      <c r="AD257" t="s">
        <v>75</v>
      </c>
      <c r="AE257" t="s">
        <v>80</v>
      </c>
      <c r="AG257" t="s">
        <v>81</v>
      </c>
    </row>
    <row r="258" spans="1:33" x14ac:dyDescent="0.25">
      <c r="A258" t="str">
        <f>"1760570709"</f>
        <v>1760570709</v>
      </c>
      <c r="B258" t="str">
        <f>"01189055"</f>
        <v>01189055</v>
      </c>
      <c r="C258" t="s">
        <v>7149</v>
      </c>
      <c r="D258" t="s">
        <v>7150</v>
      </c>
      <c r="E258" t="s">
        <v>7151</v>
      </c>
      <c r="G258" t="s">
        <v>6367</v>
      </c>
      <c r="H258" t="s">
        <v>4625</v>
      </c>
      <c r="J258" t="s">
        <v>6368</v>
      </c>
      <c r="L258" t="s">
        <v>83</v>
      </c>
      <c r="M258" t="s">
        <v>85</v>
      </c>
      <c r="R258" t="s">
        <v>7152</v>
      </c>
      <c r="W258" t="s">
        <v>7151</v>
      </c>
      <c r="X258" t="s">
        <v>1822</v>
      </c>
      <c r="Y258" t="s">
        <v>1823</v>
      </c>
      <c r="Z258" t="s">
        <v>77</v>
      </c>
      <c r="AA258" t="str">
        <f>"10941-4028"</f>
        <v>10941-4028</v>
      </c>
      <c r="AB258" t="s">
        <v>78</v>
      </c>
      <c r="AC258" t="s">
        <v>79</v>
      </c>
      <c r="AD258" t="s">
        <v>75</v>
      </c>
      <c r="AE258" t="s">
        <v>80</v>
      </c>
      <c r="AG258" t="s">
        <v>81</v>
      </c>
    </row>
    <row r="259" spans="1:33" x14ac:dyDescent="0.25">
      <c r="A259" t="str">
        <f>"1710979299"</f>
        <v>1710979299</v>
      </c>
      <c r="B259" t="str">
        <f>"00826646"</f>
        <v>00826646</v>
      </c>
      <c r="C259" t="s">
        <v>7153</v>
      </c>
      <c r="D259" t="s">
        <v>7154</v>
      </c>
      <c r="E259" t="s">
        <v>7155</v>
      </c>
      <c r="G259" t="s">
        <v>6367</v>
      </c>
      <c r="H259" t="s">
        <v>4625</v>
      </c>
      <c r="J259" t="s">
        <v>6368</v>
      </c>
      <c r="L259" t="s">
        <v>83</v>
      </c>
      <c r="M259" t="s">
        <v>85</v>
      </c>
      <c r="R259" t="s">
        <v>7156</v>
      </c>
      <c r="W259" t="s">
        <v>7155</v>
      </c>
      <c r="X259" t="s">
        <v>7157</v>
      </c>
      <c r="Y259" t="s">
        <v>5430</v>
      </c>
      <c r="Z259" t="s">
        <v>77</v>
      </c>
      <c r="AA259" t="str">
        <f>"12734-5201"</f>
        <v>12734-5201</v>
      </c>
      <c r="AB259" t="s">
        <v>78</v>
      </c>
      <c r="AC259" t="s">
        <v>79</v>
      </c>
      <c r="AD259" t="s">
        <v>75</v>
      </c>
      <c r="AE259" t="s">
        <v>80</v>
      </c>
      <c r="AG259" t="s">
        <v>81</v>
      </c>
    </row>
    <row r="260" spans="1:33" x14ac:dyDescent="0.25">
      <c r="A260" t="str">
        <f>"1174807002"</f>
        <v>1174807002</v>
      </c>
      <c r="B260" t="str">
        <f>"04132683"</f>
        <v>04132683</v>
      </c>
      <c r="C260" t="s">
        <v>7158</v>
      </c>
      <c r="D260" t="s">
        <v>7159</v>
      </c>
      <c r="E260" t="s">
        <v>7160</v>
      </c>
      <c r="G260" t="s">
        <v>7161</v>
      </c>
      <c r="H260" t="s">
        <v>7162</v>
      </c>
      <c r="L260" t="s">
        <v>16</v>
      </c>
      <c r="M260" t="s">
        <v>75</v>
      </c>
      <c r="R260" t="s">
        <v>7163</v>
      </c>
      <c r="W260" t="s">
        <v>7160</v>
      </c>
      <c r="X260" t="s">
        <v>7164</v>
      </c>
      <c r="Y260" t="s">
        <v>7165</v>
      </c>
      <c r="Z260" t="s">
        <v>1842</v>
      </c>
      <c r="AA260" t="str">
        <f>"06410-1287"</f>
        <v>06410-1287</v>
      </c>
      <c r="AB260" t="s">
        <v>132</v>
      </c>
      <c r="AC260" t="s">
        <v>79</v>
      </c>
      <c r="AD260" t="s">
        <v>75</v>
      </c>
      <c r="AE260" t="s">
        <v>80</v>
      </c>
      <c r="AG260" t="s">
        <v>81</v>
      </c>
    </row>
    <row r="261" spans="1:33" x14ac:dyDescent="0.25">
      <c r="A261" t="str">
        <f>"1104862580"</f>
        <v>1104862580</v>
      </c>
      <c r="B261" t="str">
        <f>"02577315"</f>
        <v>02577315</v>
      </c>
      <c r="C261" t="s">
        <v>7166</v>
      </c>
      <c r="D261" t="s">
        <v>7167</v>
      </c>
      <c r="E261" t="s">
        <v>7168</v>
      </c>
      <c r="G261" t="s">
        <v>7169</v>
      </c>
      <c r="H261" t="s">
        <v>7170</v>
      </c>
      <c r="L261" t="s">
        <v>16</v>
      </c>
      <c r="M261" t="s">
        <v>75</v>
      </c>
      <c r="R261" t="s">
        <v>7171</v>
      </c>
      <c r="W261" t="s">
        <v>7168</v>
      </c>
      <c r="X261" t="s">
        <v>7172</v>
      </c>
      <c r="Y261" t="s">
        <v>7173</v>
      </c>
      <c r="Z261" t="s">
        <v>156</v>
      </c>
      <c r="AA261" t="str">
        <f>"07002-4042"</f>
        <v>07002-4042</v>
      </c>
      <c r="AB261" t="s">
        <v>132</v>
      </c>
      <c r="AC261" t="s">
        <v>79</v>
      </c>
      <c r="AD261" t="s">
        <v>75</v>
      </c>
      <c r="AE261" t="s">
        <v>80</v>
      </c>
      <c r="AG261" t="s">
        <v>81</v>
      </c>
    </row>
    <row r="262" spans="1:33" x14ac:dyDescent="0.25">
      <c r="A262" t="str">
        <f>"1710048889"</f>
        <v>1710048889</v>
      </c>
      <c r="B262" t="str">
        <f>"01137255"</f>
        <v>01137255</v>
      </c>
      <c r="C262" t="s">
        <v>7174</v>
      </c>
      <c r="D262" t="s">
        <v>7175</v>
      </c>
      <c r="E262" t="s">
        <v>7176</v>
      </c>
      <c r="G262" t="s">
        <v>7177</v>
      </c>
      <c r="H262" t="s">
        <v>7178</v>
      </c>
      <c r="L262" t="s">
        <v>16</v>
      </c>
      <c r="M262" t="s">
        <v>85</v>
      </c>
      <c r="R262" t="s">
        <v>7176</v>
      </c>
      <c r="W262" t="s">
        <v>7176</v>
      </c>
      <c r="X262" t="s">
        <v>7179</v>
      </c>
      <c r="Y262" t="s">
        <v>97</v>
      </c>
      <c r="Z262" t="s">
        <v>77</v>
      </c>
      <c r="AA262" t="str">
        <f>"10019"</f>
        <v>10019</v>
      </c>
      <c r="AB262" t="s">
        <v>132</v>
      </c>
      <c r="AC262" t="s">
        <v>79</v>
      </c>
      <c r="AD262" t="s">
        <v>75</v>
      </c>
      <c r="AE262" t="s">
        <v>80</v>
      </c>
      <c r="AG262" t="s">
        <v>81</v>
      </c>
    </row>
    <row r="263" spans="1:33" x14ac:dyDescent="0.25">
      <c r="A263" t="str">
        <f>"1679589907"</f>
        <v>1679589907</v>
      </c>
      <c r="B263" t="str">
        <f>"01041047"</f>
        <v>01041047</v>
      </c>
      <c r="C263" t="s">
        <v>7180</v>
      </c>
      <c r="D263" t="s">
        <v>7181</v>
      </c>
      <c r="E263" t="s">
        <v>7182</v>
      </c>
      <c r="G263" t="s">
        <v>7183</v>
      </c>
      <c r="H263" t="s">
        <v>7184</v>
      </c>
      <c r="L263" t="s">
        <v>16</v>
      </c>
      <c r="M263" t="s">
        <v>85</v>
      </c>
      <c r="R263" t="s">
        <v>7185</v>
      </c>
      <c r="W263" t="s">
        <v>7185</v>
      </c>
      <c r="X263" t="s">
        <v>7186</v>
      </c>
      <c r="Y263" t="s">
        <v>97</v>
      </c>
      <c r="Z263" t="s">
        <v>77</v>
      </c>
      <c r="AA263" t="str">
        <f>"10025-2596"</f>
        <v>10025-2596</v>
      </c>
      <c r="AB263" t="s">
        <v>132</v>
      </c>
      <c r="AC263" t="s">
        <v>79</v>
      </c>
      <c r="AD263" t="s">
        <v>75</v>
      </c>
      <c r="AE263" t="s">
        <v>80</v>
      </c>
      <c r="AG263" t="s">
        <v>81</v>
      </c>
    </row>
    <row r="264" spans="1:33" x14ac:dyDescent="0.25">
      <c r="A264" t="str">
        <f>"1710109947"</f>
        <v>1710109947</v>
      </c>
      <c r="B264" t="str">
        <f>"01484019"</f>
        <v>01484019</v>
      </c>
      <c r="C264" t="s">
        <v>7187</v>
      </c>
      <c r="D264" t="s">
        <v>7188</v>
      </c>
      <c r="E264" t="s">
        <v>7189</v>
      </c>
      <c r="G264" t="s">
        <v>7190</v>
      </c>
      <c r="H264" t="s">
        <v>7191</v>
      </c>
      <c r="I264">
        <v>307</v>
      </c>
      <c r="J264" t="s">
        <v>7192</v>
      </c>
      <c r="L264" t="s">
        <v>35</v>
      </c>
      <c r="M264" t="s">
        <v>85</v>
      </c>
      <c r="R264" t="s">
        <v>7193</v>
      </c>
      <c r="W264" t="s">
        <v>7194</v>
      </c>
      <c r="X264" t="s">
        <v>7195</v>
      </c>
      <c r="Y264" t="s">
        <v>97</v>
      </c>
      <c r="Z264" t="s">
        <v>77</v>
      </c>
      <c r="AA264" t="str">
        <f>"10001-2201"</f>
        <v>10001-2201</v>
      </c>
      <c r="AB264" t="s">
        <v>98</v>
      </c>
      <c r="AC264" t="s">
        <v>79</v>
      </c>
      <c r="AD264" t="s">
        <v>75</v>
      </c>
      <c r="AE264" t="s">
        <v>80</v>
      </c>
      <c r="AG264" t="s">
        <v>81</v>
      </c>
    </row>
    <row r="265" spans="1:33" x14ac:dyDescent="0.25">
      <c r="C265" t="s">
        <v>7187</v>
      </c>
      <c r="G265" t="s">
        <v>7196</v>
      </c>
      <c r="H265" t="s">
        <v>7191</v>
      </c>
      <c r="I265">
        <v>436</v>
      </c>
      <c r="J265" t="s">
        <v>7197</v>
      </c>
      <c r="K265" t="s">
        <v>7198</v>
      </c>
      <c r="L265" t="s">
        <v>100</v>
      </c>
      <c r="M265" t="s">
        <v>75</v>
      </c>
      <c r="N265" t="s">
        <v>7199</v>
      </c>
      <c r="O265" t="s">
        <v>6410</v>
      </c>
      <c r="P265" t="s">
        <v>77</v>
      </c>
      <c r="Q265" t="str">
        <f>"10002"</f>
        <v>10002</v>
      </c>
      <c r="AC265" t="s">
        <v>79</v>
      </c>
      <c r="AD265" t="s">
        <v>75</v>
      </c>
      <c r="AE265" t="s">
        <v>101</v>
      </c>
      <c r="AG265" t="s">
        <v>81</v>
      </c>
    </row>
    <row r="266" spans="1:33" x14ac:dyDescent="0.25">
      <c r="A266" t="str">
        <f>"1225026511"</f>
        <v>1225026511</v>
      </c>
      <c r="B266" t="str">
        <f>"01582741"</f>
        <v>01582741</v>
      </c>
      <c r="C266" t="s">
        <v>7200</v>
      </c>
      <c r="D266" t="s">
        <v>4679</v>
      </c>
      <c r="E266" t="s">
        <v>4680</v>
      </c>
      <c r="G266" t="s">
        <v>6278</v>
      </c>
      <c r="H266" t="s">
        <v>6279</v>
      </c>
      <c r="J266" t="s">
        <v>6280</v>
      </c>
      <c r="L266" t="s">
        <v>84</v>
      </c>
      <c r="M266" t="s">
        <v>75</v>
      </c>
      <c r="R266" t="s">
        <v>4681</v>
      </c>
      <c r="W266" t="s">
        <v>4680</v>
      </c>
      <c r="X266" t="s">
        <v>4682</v>
      </c>
      <c r="Y266" t="s">
        <v>131</v>
      </c>
      <c r="Z266" t="s">
        <v>77</v>
      </c>
      <c r="AA266" t="str">
        <f>"10461-1925"</f>
        <v>10461-1925</v>
      </c>
      <c r="AB266" t="s">
        <v>78</v>
      </c>
      <c r="AC266" t="s">
        <v>79</v>
      </c>
      <c r="AD266" t="s">
        <v>75</v>
      </c>
      <c r="AE266" t="s">
        <v>80</v>
      </c>
      <c r="AG266" t="s">
        <v>81</v>
      </c>
    </row>
    <row r="267" spans="1:33" x14ac:dyDescent="0.25">
      <c r="A267" t="str">
        <f>"1659362838"</f>
        <v>1659362838</v>
      </c>
      <c r="B267" t="str">
        <f>"02833205"</f>
        <v>02833205</v>
      </c>
      <c r="C267" t="s">
        <v>7201</v>
      </c>
      <c r="D267" t="s">
        <v>7202</v>
      </c>
      <c r="E267" t="s">
        <v>7203</v>
      </c>
      <c r="G267" t="s">
        <v>6278</v>
      </c>
      <c r="H267" t="s">
        <v>6279</v>
      </c>
      <c r="J267" t="s">
        <v>6280</v>
      </c>
      <c r="L267" t="s">
        <v>83</v>
      </c>
      <c r="M267" t="s">
        <v>85</v>
      </c>
      <c r="R267" t="s">
        <v>7204</v>
      </c>
      <c r="W267" t="s">
        <v>7203</v>
      </c>
      <c r="X267" t="s">
        <v>7205</v>
      </c>
      <c r="Y267" t="s">
        <v>97</v>
      </c>
      <c r="Z267" t="s">
        <v>77</v>
      </c>
      <c r="AA267" t="str">
        <f>"10128-6703"</f>
        <v>10128-6703</v>
      </c>
      <c r="AB267" t="s">
        <v>78</v>
      </c>
      <c r="AC267" t="s">
        <v>79</v>
      </c>
      <c r="AD267" t="s">
        <v>75</v>
      </c>
      <c r="AE267" t="s">
        <v>80</v>
      </c>
      <c r="AG267" t="s">
        <v>81</v>
      </c>
    </row>
    <row r="268" spans="1:33" x14ac:dyDescent="0.25">
      <c r="A268" t="str">
        <f>"1689643892"</f>
        <v>1689643892</v>
      </c>
      <c r="B268" t="str">
        <f>"02109126"</f>
        <v>02109126</v>
      </c>
      <c r="C268" t="s">
        <v>7206</v>
      </c>
      <c r="D268" t="s">
        <v>7207</v>
      </c>
      <c r="E268" t="s">
        <v>7208</v>
      </c>
      <c r="G268" t="s">
        <v>6278</v>
      </c>
      <c r="H268" t="s">
        <v>6279</v>
      </c>
      <c r="J268" t="s">
        <v>6280</v>
      </c>
      <c r="L268" t="s">
        <v>84</v>
      </c>
      <c r="M268" t="s">
        <v>75</v>
      </c>
      <c r="R268" t="s">
        <v>7209</v>
      </c>
      <c r="W268" t="s">
        <v>7208</v>
      </c>
      <c r="X268" t="s">
        <v>86</v>
      </c>
      <c r="Y268" t="s">
        <v>87</v>
      </c>
      <c r="Z268" t="s">
        <v>77</v>
      </c>
      <c r="AA268" t="str">
        <f>"11220-2559"</f>
        <v>11220-2559</v>
      </c>
      <c r="AB268" t="s">
        <v>78</v>
      </c>
      <c r="AC268" t="s">
        <v>79</v>
      </c>
      <c r="AD268" t="s">
        <v>75</v>
      </c>
      <c r="AE268" t="s">
        <v>80</v>
      </c>
      <c r="AG268" t="s">
        <v>81</v>
      </c>
    </row>
    <row r="269" spans="1:33" x14ac:dyDescent="0.25">
      <c r="A269" t="str">
        <f>"1851506869"</f>
        <v>1851506869</v>
      </c>
      <c r="B269" t="str">
        <f>"03100070"</f>
        <v>03100070</v>
      </c>
      <c r="C269" t="s">
        <v>7210</v>
      </c>
      <c r="D269" t="s">
        <v>7211</v>
      </c>
      <c r="E269" t="s">
        <v>7212</v>
      </c>
      <c r="G269" t="s">
        <v>6278</v>
      </c>
      <c r="H269" t="s">
        <v>6279</v>
      </c>
      <c r="J269" t="s">
        <v>6280</v>
      </c>
      <c r="L269" t="s">
        <v>83</v>
      </c>
      <c r="M269" t="s">
        <v>85</v>
      </c>
      <c r="R269" t="s">
        <v>7213</v>
      </c>
      <c r="W269" t="s">
        <v>7214</v>
      </c>
      <c r="X269" t="s">
        <v>979</v>
      </c>
      <c r="Y269" t="s">
        <v>87</v>
      </c>
      <c r="Z269" t="s">
        <v>77</v>
      </c>
      <c r="AA269" t="str">
        <f>"11235-3919"</f>
        <v>11235-3919</v>
      </c>
      <c r="AB269" t="s">
        <v>78</v>
      </c>
      <c r="AC269" t="s">
        <v>79</v>
      </c>
      <c r="AD269" t="s">
        <v>75</v>
      </c>
      <c r="AE269" t="s">
        <v>80</v>
      </c>
      <c r="AG269" t="s">
        <v>81</v>
      </c>
    </row>
    <row r="270" spans="1:33" x14ac:dyDescent="0.25">
      <c r="B270" t="str">
        <f>"03438451"</f>
        <v>03438451</v>
      </c>
      <c r="C270" t="s">
        <v>7215</v>
      </c>
      <c r="D270" t="s">
        <v>7216</v>
      </c>
      <c r="E270" t="s">
        <v>7217</v>
      </c>
      <c r="G270" t="s">
        <v>7218</v>
      </c>
      <c r="H270" t="s">
        <v>6801</v>
      </c>
      <c r="I270">
        <v>6136</v>
      </c>
      <c r="J270" t="s">
        <v>7219</v>
      </c>
      <c r="L270" t="s">
        <v>37</v>
      </c>
      <c r="M270" t="s">
        <v>75</v>
      </c>
      <c r="W270" t="s">
        <v>7217</v>
      </c>
      <c r="X270" t="s">
        <v>7220</v>
      </c>
      <c r="Y270" t="s">
        <v>2480</v>
      </c>
      <c r="Z270" t="s">
        <v>77</v>
      </c>
      <c r="AA270" t="str">
        <f>"11566-3305"</f>
        <v>11566-3305</v>
      </c>
      <c r="AB270" t="s">
        <v>98</v>
      </c>
      <c r="AC270" t="s">
        <v>79</v>
      </c>
      <c r="AD270" t="s">
        <v>75</v>
      </c>
      <c r="AE270" t="s">
        <v>80</v>
      </c>
      <c r="AG270" t="s">
        <v>81</v>
      </c>
    </row>
    <row r="271" spans="1:33" x14ac:dyDescent="0.25">
      <c r="A271" t="str">
        <f>"1437365319"</f>
        <v>1437365319</v>
      </c>
      <c r="B271" t="str">
        <f>"03493258"</f>
        <v>03493258</v>
      </c>
      <c r="C271" t="s">
        <v>7221</v>
      </c>
      <c r="D271" t="s">
        <v>3434</v>
      </c>
      <c r="E271" t="s">
        <v>3435</v>
      </c>
      <c r="G271" t="s">
        <v>6278</v>
      </c>
      <c r="H271" t="s">
        <v>6279</v>
      </c>
      <c r="J271" t="s">
        <v>6280</v>
      </c>
      <c r="L271" t="s">
        <v>74</v>
      </c>
      <c r="M271" t="s">
        <v>85</v>
      </c>
      <c r="R271" t="s">
        <v>3436</v>
      </c>
      <c r="W271" t="s">
        <v>3437</v>
      </c>
      <c r="X271" t="s">
        <v>2778</v>
      </c>
      <c r="Y271" t="s">
        <v>131</v>
      </c>
      <c r="Z271" t="s">
        <v>77</v>
      </c>
      <c r="AA271" t="str">
        <f>"10457-7606"</f>
        <v>10457-7606</v>
      </c>
      <c r="AB271" t="s">
        <v>78</v>
      </c>
      <c r="AC271" t="s">
        <v>79</v>
      </c>
      <c r="AD271" t="s">
        <v>75</v>
      </c>
      <c r="AE271" t="s">
        <v>80</v>
      </c>
      <c r="AG271" t="s">
        <v>81</v>
      </c>
    </row>
    <row r="272" spans="1:33" x14ac:dyDescent="0.25">
      <c r="A272" t="str">
        <f>"1780770818"</f>
        <v>1780770818</v>
      </c>
      <c r="B272" t="str">
        <f>"02719340"</f>
        <v>02719340</v>
      </c>
      <c r="C272" t="s">
        <v>7222</v>
      </c>
      <c r="D272" t="s">
        <v>7223</v>
      </c>
      <c r="E272" t="s">
        <v>7224</v>
      </c>
      <c r="G272" t="s">
        <v>6278</v>
      </c>
      <c r="H272" t="s">
        <v>6279</v>
      </c>
      <c r="J272" t="s">
        <v>6280</v>
      </c>
      <c r="L272" t="s">
        <v>84</v>
      </c>
      <c r="M272" t="s">
        <v>85</v>
      </c>
      <c r="R272" t="s">
        <v>7225</v>
      </c>
      <c r="W272" t="s">
        <v>7226</v>
      </c>
      <c r="X272" t="s">
        <v>7227</v>
      </c>
      <c r="Y272" t="s">
        <v>87</v>
      </c>
      <c r="Z272" t="s">
        <v>77</v>
      </c>
      <c r="AA272" t="str">
        <f>"11201-1172"</f>
        <v>11201-1172</v>
      </c>
      <c r="AB272" t="s">
        <v>78</v>
      </c>
      <c r="AC272" t="s">
        <v>79</v>
      </c>
      <c r="AD272" t="s">
        <v>75</v>
      </c>
      <c r="AE272" t="s">
        <v>80</v>
      </c>
      <c r="AG272" t="s">
        <v>81</v>
      </c>
    </row>
    <row r="273" spans="1:33" x14ac:dyDescent="0.25">
      <c r="A273" t="str">
        <f>"1376523183"</f>
        <v>1376523183</v>
      </c>
      <c r="B273" t="str">
        <f>"00313671"</f>
        <v>00313671</v>
      </c>
      <c r="C273" t="s">
        <v>7228</v>
      </c>
      <c r="D273" t="s">
        <v>4723</v>
      </c>
      <c r="E273" t="s">
        <v>4724</v>
      </c>
      <c r="G273" t="s">
        <v>7229</v>
      </c>
      <c r="H273" t="s">
        <v>4715</v>
      </c>
      <c r="J273" t="s">
        <v>5280</v>
      </c>
      <c r="L273" t="s">
        <v>106</v>
      </c>
      <c r="M273" t="s">
        <v>85</v>
      </c>
      <c r="R273" t="s">
        <v>4719</v>
      </c>
      <c r="W273" t="s">
        <v>4724</v>
      </c>
      <c r="X273" t="s">
        <v>4720</v>
      </c>
      <c r="Y273" t="s">
        <v>419</v>
      </c>
      <c r="Z273" t="s">
        <v>77</v>
      </c>
      <c r="AA273" t="str">
        <f>"10522-2835"</f>
        <v>10522-2835</v>
      </c>
      <c r="AB273" t="s">
        <v>107</v>
      </c>
      <c r="AC273" t="s">
        <v>79</v>
      </c>
      <c r="AD273" t="s">
        <v>75</v>
      </c>
      <c r="AE273" t="s">
        <v>80</v>
      </c>
      <c r="AG273" t="s">
        <v>81</v>
      </c>
    </row>
    <row r="274" spans="1:33" x14ac:dyDescent="0.25">
      <c r="A274" t="str">
        <f>"1902137524"</f>
        <v>1902137524</v>
      </c>
      <c r="B274" t="str">
        <f>"04382578"</f>
        <v>04382578</v>
      </c>
      <c r="C274" t="s">
        <v>7230</v>
      </c>
      <c r="D274" t="s">
        <v>7231</v>
      </c>
      <c r="E274" t="s">
        <v>7232</v>
      </c>
      <c r="G274" t="s">
        <v>7230</v>
      </c>
      <c r="H274" t="s">
        <v>7233</v>
      </c>
      <c r="J274" t="s">
        <v>7234</v>
      </c>
      <c r="L274" t="s">
        <v>74</v>
      </c>
      <c r="M274" t="s">
        <v>75</v>
      </c>
      <c r="R274" t="s">
        <v>7235</v>
      </c>
      <c r="W274" t="s">
        <v>7232</v>
      </c>
      <c r="X274" t="s">
        <v>2808</v>
      </c>
      <c r="Y274" t="s">
        <v>97</v>
      </c>
      <c r="Z274" t="s">
        <v>77</v>
      </c>
      <c r="AA274" t="str">
        <f>"10025-6450"</f>
        <v>10025-6450</v>
      </c>
      <c r="AB274" t="s">
        <v>113</v>
      </c>
      <c r="AC274" t="s">
        <v>79</v>
      </c>
      <c r="AD274" t="s">
        <v>75</v>
      </c>
      <c r="AE274" t="s">
        <v>80</v>
      </c>
      <c r="AG274" t="s">
        <v>81</v>
      </c>
    </row>
    <row r="275" spans="1:33" x14ac:dyDescent="0.25">
      <c r="A275" t="str">
        <f>"1962704262"</f>
        <v>1962704262</v>
      </c>
      <c r="B275" t="str">
        <f>"04598803"</f>
        <v>04598803</v>
      </c>
      <c r="C275" t="s">
        <v>7236</v>
      </c>
      <c r="D275" t="s">
        <v>7237</v>
      </c>
      <c r="E275" t="s">
        <v>7238</v>
      </c>
      <c r="G275" t="s">
        <v>7236</v>
      </c>
      <c r="H275" t="s">
        <v>6463</v>
      </c>
      <c r="J275" t="s">
        <v>7239</v>
      </c>
      <c r="L275" t="s">
        <v>102</v>
      </c>
      <c r="M275" t="s">
        <v>75</v>
      </c>
      <c r="R275" t="s">
        <v>7240</v>
      </c>
      <c r="W275" t="s">
        <v>7238</v>
      </c>
      <c r="AB275" t="s">
        <v>113</v>
      </c>
      <c r="AC275" t="s">
        <v>79</v>
      </c>
      <c r="AD275" t="s">
        <v>75</v>
      </c>
      <c r="AE275" t="s">
        <v>80</v>
      </c>
      <c r="AG275" t="s">
        <v>81</v>
      </c>
    </row>
    <row r="276" spans="1:33" x14ac:dyDescent="0.25">
      <c r="A276" t="str">
        <f>"1952470395"</f>
        <v>1952470395</v>
      </c>
      <c r="B276" t="str">
        <f>"02945004"</f>
        <v>02945004</v>
      </c>
      <c r="C276" t="s">
        <v>7241</v>
      </c>
      <c r="D276" t="s">
        <v>7242</v>
      </c>
      <c r="E276" t="s">
        <v>7243</v>
      </c>
      <c r="G276" t="s">
        <v>6278</v>
      </c>
      <c r="H276" t="s">
        <v>6279</v>
      </c>
      <c r="J276" t="s">
        <v>6280</v>
      </c>
      <c r="L276" t="s">
        <v>83</v>
      </c>
      <c r="M276" t="s">
        <v>75</v>
      </c>
      <c r="R276" t="s">
        <v>7244</v>
      </c>
      <c r="W276" t="s">
        <v>7243</v>
      </c>
      <c r="X276" t="s">
        <v>7245</v>
      </c>
      <c r="Y276" t="s">
        <v>87</v>
      </c>
      <c r="Z276" t="s">
        <v>77</v>
      </c>
      <c r="AA276" t="str">
        <f>"11234-2621"</f>
        <v>11234-2621</v>
      </c>
      <c r="AB276" t="s">
        <v>78</v>
      </c>
      <c r="AC276" t="s">
        <v>79</v>
      </c>
      <c r="AD276" t="s">
        <v>75</v>
      </c>
      <c r="AE276" t="s">
        <v>80</v>
      </c>
      <c r="AG276" t="s">
        <v>81</v>
      </c>
    </row>
    <row r="277" spans="1:33" x14ac:dyDescent="0.25">
      <c r="A277" t="str">
        <f>"1174554752"</f>
        <v>1174554752</v>
      </c>
      <c r="B277" t="str">
        <f>"01845321"</f>
        <v>01845321</v>
      </c>
      <c r="C277" t="s">
        <v>7246</v>
      </c>
      <c r="D277" t="s">
        <v>7247</v>
      </c>
      <c r="E277" t="s">
        <v>7248</v>
      </c>
      <c r="G277" t="s">
        <v>6800</v>
      </c>
      <c r="H277" t="s">
        <v>6801</v>
      </c>
      <c r="I277">
        <v>6381</v>
      </c>
      <c r="J277" t="s">
        <v>6802</v>
      </c>
      <c r="L277" t="s">
        <v>74</v>
      </c>
      <c r="M277" t="s">
        <v>75</v>
      </c>
      <c r="R277" t="s">
        <v>7249</v>
      </c>
      <c r="W277" t="s">
        <v>7248</v>
      </c>
      <c r="X277" t="s">
        <v>737</v>
      </c>
      <c r="Y277" t="s">
        <v>97</v>
      </c>
      <c r="Z277" t="s">
        <v>77</v>
      </c>
      <c r="AA277" t="str">
        <f>"10019-1104"</f>
        <v>10019-1104</v>
      </c>
      <c r="AB277" t="s">
        <v>78</v>
      </c>
      <c r="AC277" t="s">
        <v>79</v>
      </c>
      <c r="AD277" t="s">
        <v>75</v>
      </c>
      <c r="AE277" t="s">
        <v>80</v>
      </c>
      <c r="AG277" t="s">
        <v>81</v>
      </c>
    </row>
    <row r="278" spans="1:33" x14ac:dyDescent="0.25">
      <c r="A278" t="str">
        <f>"1104822519"</f>
        <v>1104822519</v>
      </c>
      <c r="B278" t="str">
        <f>"02239870"</f>
        <v>02239870</v>
      </c>
      <c r="C278" t="s">
        <v>7250</v>
      </c>
      <c r="D278" t="s">
        <v>7251</v>
      </c>
      <c r="E278" t="s">
        <v>7252</v>
      </c>
      <c r="G278" t="s">
        <v>6278</v>
      </c>
      <c r="H278" t="s">
        <v>6279</v>
      </c>
      <c r="J278" t="s">
        <v>6280</v>
      </c>
      <c r="L278" t="s">
        <v>74</v>
      </c>
      <c r="M278" t="s">
        <v>75</v>
      </c>
      <c r="R278" t="s">
        <v>7253</v>
      </c>
      <c r="W278" t="s">
        <v>7252</v>
      </c>
      <c r="X278" t="s">
        <v>7254</v>
      </c>
      <c r="Y278" t="s">
        <v>87</v>
      </c>
      <c r="Z278" t="s">
        <v>77</v>
      </c>
      <c r="AA278" t="str">
        <f>"11228-2804"</f>
        <v>11228-2804</v>
      </c>
      <c r="AB278" t="s">
        <v>78</v>
      </c>
      <c r="AC278" t="s">
        <v>79</v>
      </c>
      <c r="AD278" t="s">
        <v>75</v>
      </c>
      <c r="AE278" t="s">
        <v>80</v>
      </c>
      <c r="AG278" t="s">
        <v>81</v>
      </c>
    </row>
    <row r="279" spans="1:33" x14ac:dyDescent="0.25">
      <c r="A279" t="str">
        <f>"1992765267"</f>
        <v>1992765267</v>
      </c>
      <c r="B279" t="str">
        <f>"00349817"</f>
        <v>00349817</v>
      </c>
      <c r="C279" t="s">
        <v>7255</v>
      </c>
      <c r="D279" t="s">
        <v>7256</v>
      </c>
      <c r="E279" t="s">
        <v>7257</v>
      </c>
      <c r="G279" t="s">
        <v>6278</v>
      </c>
      <c r="H279" t="s">
        <v>6279</v>
      </c>
      <c r="J279" t="s">
        <v>6280</v>
      </c>
      <c r="L279" t="s">
        <v>74</v>
      </c>
      <c r="M279" t="s">
        <v>85</v>
      </c>
      <c r="R279" t="s">
        <v>7258</v>
      </c>
      <c r="W279" t="s">
        <v>7257</v>
      </c>
      <c r="X279" t="s">
        <v>2608</v>
      </c>
      <c r="Y279" t="s">
        <v>97</v>
      </c>
      <c r="Z279" t="s">
        <v>77</v>
      </c>
      <c r="AA279" t="str">
        <f>"10003-4201"</f>
        <v>10003-4201</v>
      </c>
      <c r="AB279" t="s">
        <v>78</v>
      </c>
      <c r="AC279" t="s">
        <v>79</v>
      </c>
      <c r="AD279" t="s">
        <v>75</v>
      </c>
      <c r="AE279" t="s">
        <v>80</v>
      </c>
      <c r="AG279" t="s">
        <v>81</v>
      </c>
    </row>
    <row r="280" spans="1:33" x14ac:dyDescent="0.25">
      <c r="A280" t="str">
        <f>"1952325599"</f>
        <v>1952325599</v>
      </c>
      <c r="B280" t="str">
        <f>"02850879"</f>
        <v>02850879</v>
      </c>
      <c r="C280" t="s">
        <v>7259</v>
      </c>
      <c r="D280" t="s">
        <v>1024</v>
      </c>
      <c r="E280" t="s">
        <v>1025</v>
      </c>
      <c r="G280" t="s">
        <v>6278</v>
      </c>
      <c r="H280" t="s">
        <v>6279</v>
      </c>
      <c r="J280" t="s">
        <v>6280</v>
      </c>
      <c r="L280" t="s">
        <v>83</v>
      </c>
      <c r="M280" t="s">
        <v>85</v>
      </c>
      <c r="R280" t="s">
        <v>1023</v>
      </c>
      <c r="W280" t="s">
        <v>1025</v>
      </c>
      <c r="X280" t="s">
        <v>978</v>
      </c>
      <c r="Y280" t="s">
        <v>87</v>
      </c>
      <c r="Z280" t="s">
        <v>77</v>
      </c>
      <c r="AA280" t="str">
        <f>"11235-7861"</f>
        <v>11235-7861</v>
      </c>
      <c r="AB280" t="s">
        <v>78</v>
      </c>
      <c r="AC280" t="s">
        <v>79</v>
      </c>
      <c r="AD280" t="s">
        <v>75</v>
      </c>
      <c r="AE280" t="s">
        <v>80</v>
      </c>
      <c r="AG280" t="s">
        <v>81</v>
      </c>
    </row>
    <row r="281" spans="1:33" x14ac:dyDescent="0.25">
      <c r="A281" t="str">
        <f>"1356338016"</f>
        <v>1356338016</v>
      </c>
      <c r="B281" t="str">
        <f>"01585771"</f>
        <v>01585771</v>
      </c>
      <c r="C281" t="s">
        <v>7260</v>
      </c>
      <c r="D281" t="s">
        <v>7261</v>
      </c>
      <c r="E281" t="s">
        <v>7262</v>
      </c>
      <c r="G281" t="s">
        <v>6380</v>
      </c>
      <c r="H281" t="s">
        <v>4625</v>
      </c>
      <c r="J281" t="s">
        <v>6381</v>
      </c>
      <c r="L281" t="s">
        <v>84</v>
      </c>
      <c r="M281" t="s">
        <v>85</v>
      </c>
      <c r="R281" t="s">
        <v>7263</v>
      </c>
      <c r="W281" t="s">
        <v>7262</v>
      </c>
      <c r="X281" t="s">
        <v>6187</v>
      </c>
      <c r="Y281" t="s">
        <v>1823</v>
      </c>
      <c r="Z281" t="s">
        <v>77</v>
      </c>
      <c r="AA281" t="str">
        <f>"10941-4013"</f>
        <v>10941-4013</v>
      </c>
      <c r="AB281" t="s">
        <v>78</v>
      </c>
      <c r="AC281" t="s">
        <v>79</v>
      </c>
      <c r="AD281" t="s">
        <v>75</v>
      </c>
      <c r="AE281" t="s">
        <v>80</v>
      </c>
      <c r="AG281" t="s">
        <v>81</v>
      </c>
    </row>
    <row r="282" spans="1:33" x14ac:dyDescent="0.25">
      <c r="A282" t="str">
        <f>"1215921606"</f>
        <v>1215921606</v>
      </c>
      <c r="B282" t="str">
        <f>"01661494"</f>
        <v>01661494</v>
      </c>
      <c r="C282" t="s">
        <v>7264</v>
      </c>
      <c r="D282" t="s">
        <v>7265</v>
      </c>
      <c r="E282" t="s">
        <v>7266</v>
      </c>
      <c r="G282" t="s">
        <v>6380</v>
      </c>
      <c r="H282" t="s">
        <v>4625</v>
      </c>
      <c r="J282" t="s">
        <v>6381</v>
      </c>
      <c r="L282" t="s">
        <v>83</v>
      </c>
      <c r="M282" t="s">
        <v>85</v>
      </c>
      <c r="R282" t="s">
        <v>7266</v>
      </c>
      <c r="W282" t="s">
        <v>7266</v>
      </c>
      <c r="X282" t="s">
        <v>6187</v>
      </c>
      <c r="Y282" t="s">
        <v>1823</v>
      </c>
      <c r="Z282" t="s">
        <v>77</v>
      </c>
      <c r="AA282" t="str">
        <f>"10941-4013"</f>
        <v>10941-4013</v>
      </c>
      <c r="AB282" t="s">
        <v>78</v>
      </c>
      <c r="AC282" t="s">
        <v>79</v>
      </c>
      <c r="AD282" t="s">
        <v>75</v>
      </c>
      <c r="AE282" t="s">
        <v>80</v>
      </c>
      <c r="AG282" t="s">
        <v>81</v>
      </c>
    </row>
    <row r="283" spans="1:33" x14ac:dyDescent="0.25">
      <c r="A283" t="str">
        <f>"1437189677"</f>
        <v>1437189677</v>
      </c>
      <c r="B283" t="str">
        <f>"00614526"</f>
        <v>00614526</v>
      </c>
      <c r="C283" t="s">
        <v>7267</v>
      </c>
      <c r="D283" t="s">
        <v>7268</v>
      </c>
      <c r="E283" t="s">
        <v>7269</v>
      </c>
      <c r="G283" t="s">
        <v>6278</v>
      </c>
      <c r="H283" t="s">
        <v>6279</v>
      </c>
      <c r="J283" t="s">
        <v>6280</v>
      </c>
      <c r="L283" t="s">
        <v>83</v>
      </c>
      <c r="M283" t="s">
        <v>85</v>
      </c>
      <c r="R283" t="s">
        <v>7270</v>
      </c>
      <c r="W283" t="s">
        <v>7269</v>
      </c>
      <c r="X283" t="s">
        <v>1506</v>
      </c>
      <c r="Y283" t="s">
        <v>87</v>
      </c>
      <c r="Z283" t="s">
        <v>77</v>
      </c>
      <c r="AA283" t="str">
        <f>"11201-5514"</f>
        <v>11201-5514</v>
      </c>
      <c r="AB283" t="s">
        <v>78</v>
      </c>
      <c r="AC283" t="s">
        <v>79</v>
      </c>
      <c r="AD283" t="s">
        <v>75</v>
      </c>
      <c r="AE283" t="s">
        <v>80</v>
      </c>
      <c r="AG283" t="s">
        <v>81</v>
      </c>
    </row>
    <row r="284" spans="1:33" x14ac:dyDescent="0.25">
      <c r="A284" t="str">
        <f>"1407025083"</f>
        <v>1407025083</v>
      </c>
      <c r="B284" t="str">
        <f>"00356730"</f>
        <v>00356730</v>
      </c>
      <c r="C284" t="s">
        <v>7271</v>
      </c>
      <c r="D284" t="s">
        <v>7272</v>
      </c>
      <c r="E284" t="s">
        <v>7273</v>
      </c>
      <c r="G284" t="s">
        <v>7218</v>
      </c>
      <c r="H284" t="s">
        <v>6801</v>
      </c>
      <c r="I284">
        <v>6136</v>
      </c>
      <c r="J284" t="s">
        <v>7219</v>
      </c>
      <c r="L284" t="s">
        <v>37</v>
      </c>
      <c r="M284" t="s">
        <v>85</v>
      </c>
      <c r="R284" t="s">
        <v>7274</v>
      </c>
      <c r="W284" t="s">
        <v>7273</v>
      </c>
      <c r="X284" t="s">
        <v>7275</v>
      </c>
      <c r="Y284" t="s">
        <v>97</v>
      </c>
      <c r="Z284" t="s">
        <v>77</v>
      </c>
      <c r="AA284" t="str">
        <f>"10029-4421"</f>
        <v>10029-4421</v>
      </c>
      <c r="AB284" t="s">
        <v>107</v>
      </c>
      <c r="AC284" t="s">
        <v>79</v>
      </c>
      <c r="AD284" t="s">
        <v>75</v>
      </c>
      <c r="AE284" t="s">
        <v>80</v>
      </c>
      <c r="AG284" t="s">
        <v>81</v>
      </c>
    </row>
    <row r="285" spans="1:33" x14ac:dyDescent="0.25">
      <c r="A285" t="str">
        <f>"1962671479"</f>
        <v>1962671479</v>
      </c>
      <c r="B285" t="str">
        <f>"01170947"</f>
        <v>01170947</v>
      </c>
      <c r="C285" t="s">
        <v>7276</v>
      </c>
      <c r="D285" t="s">
        <v>7277</v>
      </c>
      <c r="E285" t="s">
        <v>7278</v>
      </c>
      <c r="G285" t="s">
        <v>7218</v>
      </c>
      <c r="H285" t="s">
        <v>6801</v>
      </c>
      <c r="I285">
        <v>6136</v>
      </c>
      <c r="J285" t="s">
        <v>7219</v>
      </c>
      <c r="L285" t="s">
        <v>37</v>
      </c>
      <c r="M285" t="s">
        <v>75</v>
      </c>
      <c r="R285" t="s">
        <v>7274</v>
      </c>
      <c r="W285" t="s">
        <v>7278</v>
      </c>
      <c r="X285" t="s">
        <v>7279</v>
      </c>
      <c r="Y285" t="s">
        <v>87</v>
      </c>
      <c r="Z285" t="s">
        <v>77</v>
      </c>
      <c r="AA285" t="str">
        <f>"11235-4402"</f>
        <v>11235-4402</v>
      </c>
      <c r="AB285" t="s">
        <v>107</v>
      </c>
      <c r="AC285" t="s">
        <v>79</v>
      </c>
      <c r="AD285" t="s">
        <v>75</v>
      </c>
      <c r="AE285" t="s">
        <v>80</v>
      </c>
      <c r="AG285" t="s">
        <v>81</v>
      </c>
    </row>
    <row r="286" spans="1:33" x14ac:dyDescent="0.25">
      <c r="A286" t="str">
        <f>"1497999122"</f>
        <v>1497999122</v>
      </c>
      <c r="B286" t="str">
        <f>"02696037"</f>
        <v>02696037</v>
      </c>
      <c r="C286" t="s">
        <v>7280</v>
      </c>
      <c r="D286" t="s">
        <v>3140</v>
      </c>
      <c r="E286" t="s">
        <v>3141</v>
      </c>
      <c r="H286" t="s">
        <v>626</v>
      </c>
      <c r="I286">
        <v>5321</v>
      </c>
      <c r="J286" t="s">
        <v>3142</v>
      </c>
      <c r="L286" t="s">
        <v>84</v>
      </c>
      <c r="M286" t="s">
        <v>85</v>
      </c>
      <c r="R286" t="s">
        <v>3143</v>
      </c>
      <c r="W286" t="s">
        <v>3144</v>
      </c>
      <c r="X286" t="s">
        <v>3145</v>
      </c>
      <c r="Y286" t="s">
        <v>171</v>
      </c>
      <c r="Z286" t="s">
        <v>77</v>
      </c>
      <c r="AA286" t="str">
        <f>"11432-0000"</f>
        <v>11432-0000</v>
      </c>
      <c r="AB286" t="s">
        <v>78</v>
      </c>
      <c r="AC286" t="s">
        <v>79</v>
      </c>
      <c r="AD286" t="s">
        <v>75</v>
      </c>
      <c r="AE286" t="s">
        <v>80</v>
      </c>
      <c r="AG286" t="s">
        <v>81</v>
      </c>
    </row>
    <row r="287" spans="1:33" x14ac:dyDescent="0.25">
      <c r="A287" t="str">
        <f>"1891716213"</f>
        <v>1891716213</v>
      </c>
      <c r="B287" t="str">
        <f>"02348938"</f>
        <v>02348938</v>
      </c>
      <c r="C287" t="s">
        <v>7281</v>
      </c>
      <c r="D287" t="s">
        <v>7282</v>
      </c>
      <c r="E287" t="s">
        <v>7283</v>
      </c>
      <c r="G287" t="s">
        <v>6278</v>
      </c>
      <c r="H287" t="s">
        <v>6279</v>
      </c>
      <c r="J287" t="s">
        <v>6280</v>
      </c>
      <c r="L287" t="s">
        <v>83</v>
      </c>
      <c r="M287" t="s">
        <v>85</v>
      </c>
      <c r="R287" t="s">
        <v>7284</v>
      </c>
      <c r="W287" t="s">
        <v>7283</v>
      </c>
      <c r="X287" t="s">
        <v>7285</v>
      </c>
      <c r="Y287" t="s">
        <v>91</v>
      </c>
      <c r="Z287" t="s">
        <v>77</v>
      </c>
      <c r="AA287" t="str">
        <f>"11373-1329"</f>
        <v>11373-1329</v>
      </c>
      <c r="AB287" t="s">
        <v>78</v>
      </c>
      <c r="AC287" t="s">
        <v>79</v>
      </c>
      <c r="AD287" t="s">
        <v>75</v>
      </c>
      <c r="AE287" t="s">
        <v>80</v>
      </c>
      <c r="AG287" t="s">
        <v>81</v>
      </c>
    </row>
    <row r="288" spans="1:33" x14ac:dyDescent="0.25">
      <c r="A288" t="str">
        <f>"1295779379"</f>
        <v>1295779379</v>
      </c>
      <c r="B288" t="str">
        <f>"01336850"</f>
        <v>01336850</v>
      </c>
      <c r="C288" t="s">
        <v>7286</v>
      </c>
      <c r="D288" t="s">
        <v>7287</v>
      </c>
      <c r="E288" t="s">
        <v>7288</v>
      </c>
      <c r="G288" t="s">
        <v>6278</v>
      </c>
      <c r="H288" t="s">
        <v>6279</v>
      </c>
      <c r="J288" t="s">
        <v>6280</v>
      </c>
      <c r="L288" t="s">
        <v>83</v>
      </c>
      <c r="M288" t="s">
        <v>85</v>
      </c>
      <c r="R288" t="s">
        <v>7289</v>
      </c>
      <c r="W288" t="s">
        <v>7288</v>
      </c>
      <c r="X288" t="s">
        <v>1333</v>
      </c>
      <c r="Y288" t="s">
        <v>97</v>
      </c>
      <c r="Z288" t="s">
        <v>77</v>
      </c>
      <c r="AA288" t="str">
        <f>"10025"</f>
        <v>10025</v>
      </c>
      <c r="AB288" t="s">
        <v>78</v>
      </c>
      <c r="AC288" t="s">
        <v>79</v>
      </c>
      <c r="AD288" t="s">
        <v>75</v>
      </c>
      <c r="AE288" t="s">
        <v>80</v>
      </c>
      <c r="AG288" t="s">
        <v>81</v>
      </c>
    </row>
    <row r="289" spans="1:33" x14ac:dyDescent="0.25">
      <c r="A289" t="str">
        <f>"1508866187"</f>
        <v>1508866187</v>
      </c>
      <c r="B289" t="str">
        <f>"02410066"</f>
        <v>02410066</v>
      </c>
      <c r="C289" t="s">
        <v>7290</v>
      </c>
      <c r="D289" t="s">
        <v>7291</v>
      </c>
      <c r="E289" t="s">
        <v>7292</v>
      </c>
      <c r="G289" t="s">
        <v>6367</v>
      </c>
      <c r="H289" t="s">
        <v>4625</v>
      </c>
      <c r="J289" t="s">
        <v>6368</v>
      </c>
      <c r="L289" t="s">
        <v>84</v>
      </c>
      <c r="M289" t="s">
        <v>85</v>
      </c>
      <c r="R289" t="s">
        <v>7293</v>
      </c>
      <c r="W289" t="s">
        <v>7292</v>
      </c>
      <c r="X289" t="s">
        <v>7294</v>
      </c>
      <c r="Y289" t="s">
        <v>4528</v>
      </c>
      <c r="Z289" t="s">
        <v>77</v>
      </c>
      <c r="AA289" t="str">
        <f>"14020-2107"</f>
        <v>14020-2107</v>
      </c>
      <c r="AB289" t="s">
        <v>78</v>
      </c>
      <c r="AC289" t="s">
        <v>79</v>
      </c>
      <c r="AD289" t="s">
        <v>75</v>
      </c>
      <c r="AE289" t="s">
        <v>80</v>
      </c>
      <c r="AG289" t="s">
        <v>81</v>
      </c>
    </row>
    <row r="290" spans="1:33" x14ac:dyDescent="0.25">
      <c r="C290" t="s">
        <v>7295</v>
      </c>
      <c r="G290" t="s">
        <v>7229</v>
      </c>
      <c r="H290" t="s">
        <v>4715</v>
      </c>
      <c r="J290" t="s">
        <v>5280</v>
      </c>
      <c r="K290" t="s">
        <v>99</v>
      </c>
      <c r="L290" t="s">
        <v>100</v>
      </c>
      <c r="M290" t="s">
        <v>75</v>
      </c>
      <c r="N290" t="s">
        <v>7296</v>
      </c>
      <c r="O290" t="s">
        <v>7297</v>
      </c>
      <c r="P290" t="s">
        <v>77</v>
      </c>
      <c r="Q290" t="str">
        <f>"10522"</f>
        <v>10522</v>
      </c>
      <c r="AC290" t="s">
        <v>79</v>
      </c>
      <c r="AD290" t="s">
        <v>75</v>
      </c>
      <c r="AE290" t="s">
        <v>101</v>
      </c>
      <c r="AG290" t="s">
        <v>81</v>
      </c>
    </row>
    <row r="291" spans="1:33" x14ac:dyDescent="0.25">
      <c r="A291" t="str">
        <f>"1992808448"</f>
        <v>1992808448</v>
      </c>
      <c r="B291" t="str">
        <f>"03364707"</f>
        <v>03364707</v>
      </c>
      <c r="C291" t="s">
        <v>7298</v>
      </c>
      <c r="D291" t="s">
        <v>7299</v>
      </c>
      <c r="E291" t="s">
        <v>7300</v>
      </c>
      <c r="G291" t="s">
        <v>6278</v>
      </c>
      <c r="H291" t="s">
        <v>6279</v>
      </c>
      <c r="J291" t="s">
        <v>6280</v>
      </c>
      <c r="L291" t="s">
        <v>74</v>
      </c>
      <c r="M291" t="s">
        <v>75</v>
      </c>
      <c r="R291" t="s">
        <v>7300</v>
      </c>
      <c r="W291" t="s">
        <v>7301</v>
      </c>
      <c r="X291" t="s">
        <v>4799</v>
      </c>
      <c r="Y291" t="s">
        <v>87</v>
      </c>
      <c r="Z291" t="s">
        <v>77</v>
      </c>
      <c r="AA291" t="str">
        <f>"11234-2625"</f>
        <v>11234-2625</v>
      </c>
      <c r="AB291" t="s">
        <v>78</v>
      </c>
      <c r="AC291" t="s">
        <v>79</v>
      </c>
      <c r="AD291" t="s">
        <v>75</v>
      </c>
      <c r="AE291" t="s">
        <v>80</v>
      </c>
      <c r="AG291" t="s">
        <v>81</v>
      </c>
    </row>
    <row r="292" spans="1:33" x14ac:dyDescent="0.25">
      <c r="A292" t="str">
        <f>"1417107517"</f>
        <v>1417107517</v>
      </c>
      <c r="B292" t="str">
        <f>"03446857"</f>
        <v>03446857</v>
      </c>
      <c r="C292" t="s">
        <v>7302</v>
      </c>
      <c r="D292" t="s">
        <v>7303</v>
      </c>
      <c r="E292" t="s">
        <v>7304</v>
      </c>
      <c r="G292" t="s">
        <v>6278</v>
      </c>
      <c r="H292" t="s">
        <v>6279</v>
      </c>
      <c r="J292" t="s">
        <v>6280</v>
      </c>
      <c r="L292" t="s">
        <v>84</v>
      </c>
      <c r="M292" t="s">
        <v>85</v>
      </c>
      <c r="R292" t="s">
        <v>7305</v>
      </c>
      <c r="W292" t="s">
        <v>7304</v>
      </c>
      <c r="X292" t="s">
        <v>7306</v>
      </c>
      <c r="Y292" t="s">
        <v>87</v>
      </c>
      <c r="Z292" t="s">
        <v>77</v>
      </c>
      <c r="AA292" t="str">
        <f>"11249-7823"</f>
        <v>11249-7823</v>
      </c>
      <c r="AB292" t="s">
        <v>78</v>
      </c>
      <c r="AC292" t="s">
        <v>79</v>
      </c>
      <c r="AD292" t="s">
        <v>75</v>
      </c>
      <c r="AE292" t="s">
        <v>80</v>
      </c>
      <c r="AG292" t="s">
        <v>81</v>
      </c>
    </row>
    <row r="293" spans="1:33" x14ac:dyDescent="0.25">
      <c r="A293" t="str">
        <f>"1003040320"</f>
        <v>1003040320</v>
      </c>
      <c r="B293" t="str">
        <f>"03917659"</f>
        <v>03917659</v>
      </c>
      <c r="C293" t="s">
        <v>7307</v>
      </c>
      <c r="D293" t="s">
        <v>7308</v>
      </c>
      <c r="E293" t="s">
        <v>7309</v>
      </c>
      <c r="G293" t="s">
        <v>6380</v>
      </c>
      <c r="H293" t="s">
        <v>4625</v>
      </c>
      <c r="J293" t="s">
        <v>6381</v>
      </c>
      <c r="L293" t="s">
        <v>143</v>
      </c>
      <c r="M293" t="s">
        <v>75</v>
      </c>
      <c r="R293" t="s">
        <v>7310</v>
      </c>
      <c r="W293" t="s">
        <v>7311</v>
      </c>
      <c r="X293" t="s">
        <v>1822</v>
      </c>
      <c r="Y293" t="s">
        <v>1823</v>
      </c>
      <c r="Z293" t="s">
        <v>77</v>
      </c>
      <c r="AA293" t="str">
        <f>"10941-4028"</f>
        <v>10941-4028</v>
      </c>
      <c r="AB293" t="s">
        <v>78</v>
      </c>
      <c r="AC293" t="s">
        <v>79</v>
      </c>
      <c r="AD293" t="s">
        <v>75</v>
      </c>
      <c r="AE293" t="s">
        <v>80</v>
      </c>
      <c r="AG293" t="s">
        <v>81</v>
      </c>
    </row>
    <row r="294" spans="1:33" x14ac:dyDescent="0.25">
      <c r="A294" t="str">
        <f>"1053629956"</f>
        <v>1053629956</v>
      </c>
      <c r="B294" t="str">
        <f>"03917544"</f>
        <v>03917544</v>
      </c>
      <c r="C294" t="s">
        <v>7312</v>
      </c>
      <c r="D294" t="s">
        <v>7313</v>
      </c>
      <c r="E294" t="s">
        <v>7314</v>
      </c>
      <c r="G294" t="s">
        <v>6380</v>
      </c>
      <c r="H294" t="s">
        <v>4625</v>
      </c>
      <c r="J294" t="s">
        <v>6381</v>
      </c>
      <c r="L294" t="s">
        <v>74</v>
      </c>
      <c r="M294" t="s">
        <v>75</v>
      </c>
      <c r="R294" t="s">
        <v>7315</v>
      </c>
      <c r="W294" t="s">
        <v>7316</v>
      </c>
      <c r="X294" t="s">
        <v>1822</v>
      </c>
      <c r="Y294" t="s">
        <v>1823</v>
      </c>
      <c r="Z294" t="s">
        <v>77</v>
      </c>
      <c r="AA294" t="str">
        <f>"10941-4028"</f>
        <v>10941-4028</v>
      </c>
      <c r="AB294" t="s">
        <v>78</v>
      </c>
      <c r="AC294" t="s">
        <v>79</v>
      </c>
      <c r="AD294" t="s">
        <v>75</v>
      </c>
      <c r="AE294" t="s">
        <v>80</v>
      </c>
      <c r="AG294" t="s">
        <v>81</v>
      </c>
    </row>
    <row r="295" spans="1:33" x14ac:dyDescent="0.25">
      <c r="A295" t="str">
        <f>"1053676965"</f>
        <v>1053676965</v>
      </c>
      <c r="B295" t="str">
        <f>"03949451"</f>
        <v>03949451</v>
      </c>
      <c r="C295" t="s">
        <v>7317</v>
      </c>
      <c r="D295" t="s">
        <v>7318</v>
      </c>
      <c r="E295" t="s">
        <v>7319</v>
      </c>
      <c r="G295" t="s">
        <v>6380</v>
      </c>
      <c r="H295" t="s">
        <v>4625</v>
      </c>
      <c r="J295" t="s">
        <v>6381</v>
      </c>
      <c r="L295" t="s">
        <v>83</v>
      </c>
      <c r="M295" t="s">
        <v>75</v>
      </c>
      <c r="R295" t="s">
        <v>7320</v>
      </c>
      <c r="W295" t="s">
        <v>7321</v>
      </c>
      <c r="X295" t="s">
        <v>6975</v>
      </c>
      <c r="Y295" t="s">
        <v>4845</v>
      </c>
      <c r="Z295" t="s">
        <v>77</v>
      </c>
      <c r="AA295" t="str">
        <f>"10994-1966"</f>
        <v>10994-1966</v>
      </c>
      <c r="AB295" t="s">
        <v>78</v>
      </c>
      <c r="AC295" t="s">
        <v>79</v>
      </c>
      <c r="AD295" t="s">
        <v>75</v>
      </c>
      <c r="AE295" t="s">
        <v>80</v>
      </c>
      <c r="AG295" t="s">
        <v>81</v>
      </c>
    </row>
    <row r="296" spans="1:33" x14ac:dyDescent="0.25">
      <c r="A296" t="str">
        <f>"1063792828"</f>
        <v>1063792828</v>
      </c>
      <c r="B296" t="str">
        <f>"03884484"</f>
        <v>03884484</v>
      </c>
      <c r="C296" t="s">
        <v>7322</v>
      </c>
      <c r="D296" t="s">
        <v>7323</v>
      </c>
      <c r="E296" t="s">
        <v>7324</v>
      </c>
      <c r="G296" t="s">
        <v>6380</v>
      </c>
      <c r="H296" t="s">
        <v>4625</v>
      </c>
      <c r="J296" t="s">
        <v>6381</v>
      </c>
      <c r="L296" t="s">
        <v>83</v>
      </c>
      <c r="M296" t="s">
        <v>75</v>
      </c>
      <c r="R296" t="s">
        <v>7325</v>
      </c>
      <c r="W296" t="s">
        <v>7326</v>
      </c>
      <c r="X296" t="s">
        <v>6503</v>
      </c>
      <c r="Y296" t="s">
        <v>1823</v>
      </c>
      <c r="Z296" t="s">
        <v>77</v>
      </c>
      <c r="AA296" t="str">
        <f>"10941-7001"</f>
        <v>10941-7001</v>
      </c>
      <c r="AB296" t="s">
        <v>128</v>
      </c>
      <c r="AC296" t="s">
        <v>79</v>
      </c>
      <c r="AD296" t="s">
        <v>75</v>
      </c>
      <c r="AE296" t="s">
        <v>80</v>
      </c>
      <c r="AG296" t="s">
        <v>81</v>
      </c>
    </row>
    <row r="297" spans="1:33" x14ac:dyDescent="0.25">
      <c r="A297" t="str">
        <f>"1205860038"</f>
        <v>1205860038</v>
      </c>
      <c r="B297" t="str">
        <f>"00157126"</f>
        <v>00157126</v>
      </c>
      <c r="C297" t="s">
        <v>7327</v>
      </c>
      <c r="D297" t="s">
        <v>7328</v>
      </c>
      <c r="E297" t="s">
        <v>7329</v>
      </c>
      <c r="G297" t="s">
        <v>6380</v>
      </c>
      <c r="H297" t="s">
        <v>4625</v>
      </c>
      <c r="J297" t="s">
        <v>6381</v>
      </c>
      <c r="L297" t="s">
        <v>83</v>
      </c>
      <c r="M297" t="s">
        <v>75</v>
      </c>
      <c r="R297" t="s">
        <v>7330</v>
      </c>
      <c r="W297" t="s">
        <v>7331</v>
      </c>
      <c r="X297" t="s">
        <v>899</v>
      </c>
      <c r="Y297" t="s">
        <v>97</v>
      </c>
      <c r="Z297" t="s">
        <v>77</v>
      </c>
      <c r="AA297" t="str">
        <f>"10021-2810"</f>
        <v>10021-2810</v>
      </c>
      <c r="AB297" t="s">
        <v>78</v>
      </c>
      <c r="AC297" t="s">
        <v>79</v>
      </c>
      <c r="AD297" t="s">
        <v>75</v>
      </c>
      <c r="AE297" t="s">
        <v>80</v>
      </c>
      <c r="AG297" t="s">
        <v>81</v>
      </c>
    </row>
    <row r="298" spans="1:33" x14ac:dyDescent="0.25">
      <c r="A298" t="str">
        <f>"1215294111"</f>
        <v>1215294111</v>
      </c>
      <c r="B298" t="str">
        <f>"03917562"</f>
        <v>03917562</v>
      </c>
      <c r="C298" t="s">
        <v>7332</v>
      </c>
      <c r="D298" t="s">
        <v>7333</v>
      </c>
      <c r="E298" t="s">
        <v>7334</v>
      </c>
      <c r="G298" t="s">
        <v>6380</v>
      </c>
      <c r="H298" t="s">
        <v>4625</v>
      </c>
      <c r="J298" t="s">
        <v>6381</v>
      </c>
      <c r="L298" t="s">
        <v>83</v>
      </c>
      <c r="M298" t="s">
        <v>75</v>
      </c>
      <c r="R298" t="s">
        <v>7335</v>
      </c>
      <c r="W298" t="s">
        <v>7334</v>
      </c>
      <c r="X298" t="s">
        <v>1822</v>
      </c>
      <c r="Y298" t="s">
        <v>1823</v>
      </c>
      <c r="Z298" t="s">
        <v>77</v>
      </c>
      <c r="AA298" t="str">
        <f>"10941-4028"</f>
        <v>10941-4028</v>
      </c>
      <c r="AB298" t="s">
        <v>78</v>
      </c>
      <c r="AC298" t="s">
        <v>79</v>
      </c>
      <c r="AD298" t="s">
        <v>75</v>
      </c>
      <c r="AE298" t="s">
        <v>80</v>
      </c>
      <c r="AG298" t="s">
        <v>81</v>
      </c>
    </row>
    <row r="299" spans="1:33" x14ac:dyDescent="0.25">
      <c r="A299" t="str">
        <f>"1225232556"</f>
        <v>1225232556</v>
      </c>
      <c r="B299" t="str">
        <f>"03917080"</f>
        <v>03917080</v>
      </c>
      <c r="C299" t="s">
        <v>7336</v>
      </c>
      <c r="D299" t="s">
        <v>7337</v>
      </c>
      <c r="E299" t="s">
        <v>7338</v>
      </c>
      <c r="G299" t="s">
        <v>6380</v>
      </c>
      <c r="H299" t="s">
        <v>4625</v>
      </c>
      <c r="J299" t="s">
        <v>6381</v>
      </c>
      <c r="L299" t="s">
        <v>83</v>
      </c>
      <c r="M299" t="s">
        <v>75</v>
      </c>
      <c r="R299" t="s">
        <v>7338</v>
      </c>
      <c r="W299" t="s">
        <v>7338</v>
      </c>
      <c r="X299" t="s">
        <v>1822</v>
      </c>
      <c r="Y299" t="s">
        <v>1823</v>
      </c>
      <c r="Z299" t="s">
        <v>77</v>
      </c>
      <c r="AA299" t="str">
        <f>"10941-4028"</f>
        <v>10941-4028</v>
      </c>
      <c r="AB299" t="s">
        <v>78</v>
      </c>
      <c r="AC299" t="s">
        <v>79</v>
      </c>
      <c r="AD299" t="s">
        <v>75</v>
      </c>
      <c r="AE299" t="s">
        <v>80</v>
      </c>
      <c r="AG299" t="s">
        <v>81</v>
      </c>
    </row>
    <row r="300" spans="1:33" x14ac:dyDescent="0.25">
      <c r="A300" t="str">
        <f>"1528192804"</f>
        <v>1528192804</v>
      </c>
      <c r="B300" t="str">
        <f>"01491758"</f>
        <v>01491758</v>
      </c>
      <c r="C300" t="s">
        <v>7339</v>
      </c>
      <c r="D300" t="s">
        <v>7340</v>
      </c>
      <c r="E300" t="s">
        <v>7341</v>
      </c>
      <c r="G300" t="s">
        <v>6380</v>
      </c>
      <c r="H300" t="s">
        <v>4625</v>
      </c>
      <c r="J300" t="s">
        <v>6381</v>
      </c>
      <c r="L300" t="s">
        <v>84</v>
      </c>
      <c r="M300" t="s">
        <v>85</v>
      </c>
      <c r="R300" t="s">
        <v>7342</v>
      </c>
      <c r="W300" t="s">
        <v>7341</v>
      </c>
      <c r="Y300" t="s">
        <v>1823</v>
      </c>
      <c r="Z300" t="s">
        <v>77</v>
      </c>
      <c r="AA300" t="str">
        <f>"10940-3224"</f>
        <v>10940-3224</v>
      </c>
      <c r="AB300" t="s">
        <v>78</v>
      </c>
      <c r="AC300" t="s">
        <v>79</v>
      </c>
      <c r="AD300" t="s">
        <v>75</v>
      </c>
      <c r="AE300" t="s">
        <v>80</v>
      </c>
      <c r="AG300" t="s">
        <v>81</v>
      </c>
    </row>
    <row r="301" spans="1:33" x14ac:dyDescent="0.25">
      <c r="A301" t="str">
        <f>"1982691648"</f>
        <v>1982691648</v>
      </c>
      <c r="B301" t="str">
        <f>"01499485"</f>
        <v>01499485</v>
      </c>
      <c r="C301" t="s">
        <v>7343</v>
      </c>
      <c r="D301" t="s">
        <v>7344</v>
      </c>
      <c r="E301" t="s">
        <v>7345</v>
      </c>
      <c r="G301" t="s">
        <v>6380</v>
      </c>
      <c r="H301" t="s">
        <v>4625</v>
      </c>
      <c r="J301" t="s">
        <v>6381</v>
      </c>
      <c r="L301" t="s">
        <v>83</v>
      </c>
      <c r="M301" t="s">
        <v>85</v>
      </c>
      <c r="R301" t="s">
        <v>7346</v>
      </c>
      <c r="W301" t="s">
        <v>7345</v>
      </c>
      <c r="X301" t="s">
        <v>7347</v>
      </c>
      <c r="Y301" t="s">
        <v>1823</v>
      </c>
      <c r="Z301" t="s">
        <v>77</v>
      </c>
      <c r="AA301" t="str">
        <f>"10940"</f>
        <v>10940</v>
      </c>
      <c r="AB301" t="s">
        <v>78</v>
      </c>
      <c r="AC301" t="s">
        <v>79</v>
      </c>
      <c r="AD301" t="s">
        <v>75</v>
      </c>
      <c r="AE301" t="s">
        <v>80</v>
      </c>
      <c r="AG301" t="s">
        <v>81</v>
      </c>
    </row>
    <row r="302" spans="1:33" x14ac:dyDescent="0.25">
      <c r="A302" t="str">
        <f>"1225057599"</f>
        <v>1225057599</v>
      </c>
      <c r="B302" t="str">
        <f>"02081327"</f>
        <v>02081327</v>
      </c>
      <c r="C302" t="s">
        <v>7348</v>
      </c>
      <c r="D302" t="s">
        <v>7349</v>
      </c>
      <c r="E302" t="s">
        <v>7350</v>
      </c>
      <c r="G302" t="s">
        <v>6380</v>
      </c>
      <c r="H302" t="s">
        <v>4625</v>
      </c>
      <c r="J302" t="s">
        <v>6381</v>
      </c>
      <c r="L302" t="s">
        <v>83</v>
      </c>
      <c r="M302" t="s">
        <v>85</v>
      </c>
      <c r="R302" t="s">
        <v>7351</v>
      </c>
      <c r="W302" t="s">
        <v>7352</v>
      </c>
      <c r="X302" t="s">
        <v>2603</v>
      </c>
      <c r="Y302" t="s">
        <v>2604</v>
      </c>
      <c r="Z302" t="s">
        <v>77</v>
      </c>
      <c r="AA302" t="str">
        <f>"10901-4812"</f>
        <v>10901-4812</v>
      </c>
      <c r="AB302" t="s">
        <v>78</v>
      </c>
      <c r="AC302" t="s">
        <v>79</v>
      </c>
      <c r="AD302" t="s">
        <v>75</v>
      </c>
      <c r="AE302" t="s">
        <v>80</v>
      </c>
      <c r="AG302" t="s">
        <v>81</v>
      </c>
    </row>
    <row r="303" spans="1:33" x14ac:dyDescent="0.25">
      <c r="A303" t="str">
        <f>"1053382358"</f>
        <v>1053382358</v>
      </c>
      <c r="B303" t="str">
        <f>"02082126"</f>
        <v>02082126</v>
      </c>
      <c r="C303" t="s">
        <v>7353</v>
      </c>
      <c r="D303" t="s">
        <v>7354</v>
      </c>
      <c r="E303" t="s">
        <v>7355</v>
      </c>
      <c r="G303" t="s">
        <v>6380</v>
      </c>
      <c r="H303" t="s">
        <v>4625</v>
      </c>
      <c r="J303" t="s">
        <v>6381</v>
      </c>
      <c r="L303" t="s">
        <v>83</v>
      </c>
      <c r="M303" t="s">
        <v>85</v>
      </c>
      <c r="R303" t="s">
        <v>7356</v>
      </c>
      <c r="W303" t="s">
        <v>7357</v>
      </c>
      <c r="X303" t="s">
        <v>1796</v>
      </c>
      <c r="Y303" t="s">
        <v>1797</v>
      </c>
      <c r="Z303" t="s">
        <v>77</v>
      </c>
      <c r="AA303" t="str">
        <f>"12550-4851"</f>
        <v>12550-4851</v>
      </c>
      <c r="AB303" t="s">
        <v>78</v>
      </c>
      <c r="AC303" t="s">
        <v>79</v>
      </c>
      <c r="AD303" t="s">
        <v>75</v>
      </c>
      <c r="AE303" t="s">
        <v>80</v>
      </c>
      <c r="AG303" t="s">
        <v>81</v>
      </c>
    </row>
    <row r="304" spans="1:33" x14ac:dyDescent="0.25">
      <c r="A304" t="str">
        <f>"1164415188"</f>
        <v>1164415188</v>
      </c>
      <c r="B304" t="str">
        <f>"02148561"</f>
        <v>02148561</v>
      </c>
      <c r="C304" t="s">
        <v>7358</v>
      </c>
      <c r="D304" t="s">
        <v>7359</v>
      </c>
      <c r="E304" t="s">
        <v>7360</v>
      </c>
      <c r="G304" t="s">
        <v>6380</v>
      </c>
      <c r="H304" t="s">
        <v>4625</v>
      </c>
      <c r="J304" t="s">
        <v>6381</v>
      </c>
      <c r="L304" t="s">
        <v>83</v>
      </c>
      <c r="M304" t="s">
        <v>85</v>
      </c>
      <c r="R304" t="s">
        <v>7361</v>
      </c>
      <c r="W304" t="s">
        <v>7362</v>
      </c>
      <c r="X304" t="s">
        <v>7363</v>
      </c>
      <c r="Y304" t="s">
        <v>2220</v>
      </c>
      <c r="Z304" t="s">
        <v>77</v>
      </c>
      <c r="AA304" t="str">
        <f>"10924"</f>
        <v>10924</v>
      </c>
      <c r="AB304" t="s">
        <v>78</v>
      </c>
      <c r="AC304" t="s">
        <v>79</v>
      </c>
      <c r="AD304" t="s">
        <v>75</v>
      </c>
      <c r="AE304" t="s">
        <v>80</v>
      </c>
      <c r="AG304" t="s">
        <v>81</v>
      </c>
    </row>
    <row r="305" spans="1:33" x14ac:dyDescent="0.25">
      <c r="A305" t="str">
        <f>"1982696506"</f>
        <v>1982696506</v>
      </c>
      <c r="B305" t="str">
        <f>"02162467"</f>
        <v>02162467</v>
      </c>
      <c r="C305" t="s">
        <v>7364</v>
      </c>
      <c r="D305" t="s">
        <v>7365</v>
      </c>
      <c r="E305" t="s">
        <v>7366</v>
      </c>
      <c r="G305" t="s">
        <v>6380</v>
      </c>
      <c r="H305" t="s">
        <v>4625</v>
      </c>
      <c r="J305" t="s">
        <v>6381</v>
      </c>
      <c r="L305" t="s">
        <v>84</v>
      </c>
      <c r="M305" t="s">
        <v>85</v>
      </c>
      <c r="R305" t="s">
        <v>7367</v>
      </c>
      <c r="W305" t="s">
        <v>7366</v>
      </c>
      <c r="X305" t="s">
        <v>7368</v>
      </c>
      <c r="Y305" t="s">
        <v>1823</v>
      </c>
      <c r="Z305" t="s">
        <v>77</v>
      </c>
      <c r="AA305" t="str">
        <f>"10941-4013"</f>
        <v>10941-4013</v>
      </c>
      <c r="AB305" t="s">
        <v>78</v>
      </c>
      <c r="AC305" t="s">
        <v>79</v>
      </c>
      <c r="AD305" t="s">
        <v>75</v>
      </c>
      <c r="AE305" t="s">
        <v>80</v>
      </c>
      <c r="AG305" t="s">
        <v>81</v>
      </c>
    </row>
    <row r="306" spans="1:33" x14ac:dyDescent="0.25">
      <c r="A306" t="str">
        <f>"1427157478"</f>
        <v>1427157478</v>
      </c>
      <c r="B306" t="str">
        <f>"02072360"</f>
        <v>02072360</v>
      </c>
      <c r="C306" t="s">
        <v>7369</v>
      </c>
      <c r="D306" t="s">
        <v>7370</v>
      </c>
      <c r="E306" t="s">
        <v>7371</v>
      </c>
      <c r="G306" t="s">
        <v>6380</v>
      </c>
      <c r="H306" t="s">
        <v>4625</v>
      </c>
      <c r="J306" t="s">
        <v>6381</v>
      </c>
      <c r="L306" t="s">
        <v>83</v>
      </c>
      <c r="M306" t="s">
        <v>75</v>
      </c>
      <c r="R306" t="s">
        <v>7372</v>
      </c>
      <c r="W306" t="s">
        <v>7373</v>
      </c>
      <c r="X306" t="s">
        <v>7374</v>
      </c>
      <c r="Y306" t="s">
        <v>2687</v>
      </c>
      <c r="Z306" t="s">
        <v>77</v>
      </c>
      <c r="AA306" t="str">
        <f>"12518-1481"</f>
        <v>12518-1481</v>
      </c>
      <c r="AB306" t="s">
        <v>78</v>
      </c>
      <c r="AC306" t="s">
        <v>79</v>
      </c>
      <c r="AD306" t="s">
        <v>75</v>
      </c>
      <c r="AE306" t="s">
        <v>80</v>
      </c>
      <c r="AG306" t="s">
        <v>81</v>
      </c>
    </row>
    <row r="307" spans="1:33" x14ac:dyDescent="0.25">
      <c r="A307" t="str">
        <f>"1891894853"</f>
        <v>1891894853</v>
      </c>
      <c r="B307" t="str">
        <f>"02164712"</f>
        <v>02164712</v>
      </c>
      <c r="C307" t="s">
        <v>7375</v>
      </c>
      <c r="D307" t="s">
        <v>7376</v>
      </c>
      <c r="E307" t="s">
        <v>7377</v>
      </c>
      <c r="G307" t="s">
        <v>6380</v>
      </c>
      <c r="H307" t="s">
        <v>4625</v>
      </c>
      <c r="J307" t="s">
        <v>6381</v>
      </c>
      <c r="L307" t="s">
        <v>83</v>
      </c>
      <c r="M307" t="s">
        <v>75</v>
      </c>
      <c r="R307" t="s">
        <v>7378</v>
      </c>
      <c r="W307" t="s">
        <v>7377</v>
      </c>
      <c r="X307" t="s">
        <v>7374</v>
      </c>
      <c r="Y307" t="s">
        <v>2687</v>
      </c>
      <c r="Z307" t="s">
        <v>77</v>
      </c>
      <c r="AA307" t="str">
        <f>"12518-1481"</f>
        <v>12518-1481</v>
      </c>
      <c r="AB307" t="s">
        <v>78</v>
      </c>
      <c r="AC307" t="s">
        <v>79</v>
      </c>
      <c r="AD307" t="s">
        <v>75</v>
      </c>
      <c r="AE307" t="s">
        <v>80</v>
      </c>
      <c r="AG307" t="s">
        <v>81</v>
      </c>
    </row>
    <row r="308" spans="1:33" x14ac:dyDescent="0.25">
      <c r="A308" t="str">
        <f>"1134106107"</f>
        <v>1134106107</v>
      </c>
      <c r="B308" t="str">
        <f>"02164758"</f>
        <v>02164758</v>
      </c>
      <c r="C308" t="s">
        <v>7379</v>
      </c>
      <c r="D308" t="s">
        <v>7380</v>
      </c>
      <c r="E308" t="s">
        <v>7381</v>
      </c>
      <c r="G308" t="s">
        <v>6380</v>
      </c>
      <c r="H308" t="s">
        <v>4625</v>
      </c>
      <c r="J308" t="s">
        <v>6381</v>
      </c>
      <c r="L308" t="s">
        <v>83</v>
      </c>
      <c r="M308" t="s">
        <v>85</v>
      </c>
      <c r="R308" t="s">
        <v>7382</v>
      </c>
      <c r="W308" t="s">
        <v>7381</v>
      </c>
      <c r="X308" t="s">
        <v>2603</v>
      </c>
      <c r="Y308" t="s">
        <v>2604</v>
      </c>
      <c r="Z308" t="s">
        <v>77</v>
      </c>
      <c r="AA308" t="str">
        <f>"10901-4812"</f>
        <v>10901-4812</v>
      </c>
      <c r="AB308" t="s">
        <v>78</v>
      </c>
      <c r="AC308" t="s">
        <v>79</v>
      </c>
      <c r="AD308" t="s">
        <v>75</v>
      </c>
      <c r="AE308" t="s">
        <v>80</v>
      </c>
      <c r="AG308" t="s">
        <v>81</v>
      </c>
    </row>
    <row r="309" spans="1:33" x14ac:dyDescent="0.25">
      <c r="A309" t="str">
        <f>"1215938766"</f>
        <v>1215938766</v>
      </c>
      <c r="B309" t="str">
        <f>"02244879"</f>
        <v>02244879</v>
      </c>
      <c r="C309" t="s">
        <v>7383</v>
      </c>
      <c r="D309" t="s">
        <v>7384</v>
      </c>
      <c r="E309" t="s">
        <v>7385</v>
      </c>
      <c r="G309" t="s">
        <v>6380</v>
      </c>
      <c r="H309" t="s">
        <v>4625</v>
      </c>
      <c r="J309" t="s">
        <v>6381</v>
      </c>
      <c r="L309" t="s">
        <v>83</v>
      </c>
      <c r="M309" t="s">
        <v>85</v>
      </c>
      <c r="R309" t="s">
        <v>7386</v>
      </c>
      <c r="W309" t="s">
        <v>7387</v>
      </c>
      <c r="X309" t="s">
        <v>6187</v>
      </c>
      <c r="Y309" t="s">
        <v>1823</v>
      </c>
      <c r="Z309" t="s">
        <v>77</v>
      </c>
      <c r="AA309" t="str">
        <f>"10941-4013"</f>
        <v>10941-4013</v>
      </c>
      <c r="AB309" t="s">
        <v>78</v>
      </c>
      <c r="AC309" t="s">
        <v>79</v>
      </c>
      <c r="AD309" t="s">
        <v>75</v>
      </c>
      <c r="AE309" t="s">
        <v>80</v>
      </c>
      <c r="AG309" t="s">
        <v>81</v>
      </c>
    </row>
    <row r="310" spans="1:33" x14ac:dyDescent="0.25">
      <c r="A310" t="str">
        <f>"1760475792"</f>
        <v>1760475792</v>
      </c>
      <c r="B310" t="str">
        <f>"02248213"</f>
        <v>02248213</v>
      </c>
      <c r="C310" t="s">
        <v>7388</v>
      </c>
      <c r="D310" t="s">
        <v>7389</v>
      </c>
      <c r="E310" t="s">
        <v>7390</v>
      </c>
      <c r="G310" t="s">
        <v>6380</v>
      </c>
      <c r="H310" t="s">
        <v>4625</v>
      </c>
      <c r="J310" t="s">
        <v>6381</v>
      </c>
      <c r="L310" t="s">
        <v>83</v>
      </c>
      <c r="M310" t="s">
        <v>85</v>
      </c>
      <c r="R310" t="s">
        <v>7391</v>
      </c>
      <c r="W310" t="s">
        <v>7392</v>
      </c>
      <c r="X310" t="s">
        <v>6187</v>
      </c>
      <c r="Y310" t="s">
        <v>1823</v>
      </c>
      <c r="Z310" t="s">
        <v>77</v>
      </c>
      <c r="AA310" t="str">
        <f>"10941-4013"</f>
        <v>10941-4013</v>
      </c>
      <c r="AB310" t="s">
        <v>78</v>
      </c>
      <c r="AC310" t="s">
        <v>79</v>
      </c>
      <c r="AD310" t="s">
        <v>75</v>
      </c>
      <c r="AE310" t="s">
        <v>80</v>
      </c>
      <c r="AG310" t="s">
        <v>81</v>
      </c>
    </row>
    <row r="311" spans="1:33" x14ac:dyDescent="0.25">
      <c r="A311" t="str">
        <f>"1790786432"</f>
        <v>1790786432</v>
      </c>
      <c r="B311" t="str">
        <f>"02259314"</f>
        <v>02259314</v>
      </c>
      <c r="C311" t="s">
        <v>7393</v>
      </c>
      <c r="D311" t="s">
        <v>7394</v>
      </c>
      <c r="E311" t="s">
        <v>7395</v>
      </c>
      <c r="G311" t="s">
        <v>6380</v>
      </c>
      <c r="H311" t="s">
        <v>4625</v>
      </c>
      <c r="J311" t="s">
        <v>6381</v>
      </c>
      <c r="L311" t="s">
        <v>84</v>
      </c>
      <c r="M311" t="s">
        <v>85</v>
      </c>
      <c r="R311" t="s">
        <v>7396</v>
      </c>
      <c r="W311" t="s">
        <v>7395</v>
      </c>
      <c r="X311" t="s">
        <v>4760</v>
      </c>
      <c r="Y311" t="s">
        <v>864</v>
      </c>
      <c r="Z311" t="s">
        <v>77</v>
      </c>
      <c r="AA311" t="str">
        <f>"10543-4106"</f>
        <v>10543-4106</v>
      </c>
      <c r="AB311" t="s">
        <v>78</v>
      </c>
      <c r="AC311" t="s">
        <v>79</v>
      </c>
      <c r="AD311" t="s">
        <v>75</v>
      </c>
      <c r="AE311" t="s">
        <v>80</v>
      </c>
      <c r="AG311" t="s">
        <v>81</v>
      </c>
    </row>
    <row r="312" spans="1:33" x14ac:dyDescent="0.25">
      <c r="A312" t="str">
        <f>"1861554495"</f>
        <v>1861554495</v>
      </c>
      <c r="B312" t="str">
        <f>"03112232"</f>
        <v>03112232</v>
      </c>
      <c r="C312" t="s">
        <v>7397</v>
      </c>
      <c r="D312" t="s">
        <v>7398</v>
      </c>
      <c r="E312" t="s">
        <v>7399</v>
      </c>
      <c r="G312" t="s">
        <v>6278</v>
      </c>
      <c r="H312" t="s">
        <v>6279</v>
      </c>
      <c r="J312" t="s">
        <v>6280</v>
      </c>
      <c r="L312" t="s">
        <v>74</v>
      </c>
      <c r="M312" t="s">
        <v>85</v>
      </c>
      <c r="R312" t="s">
        <v>7400</v>
      </c>
      <c r="W312" t="s">
        <v>7399</v>
      </c>
      <c r="X312" t="s">
        <v>229</v>
      </c>
      <c r="Y312" t="s">
        <v>230</v>
      </c>
      <c r="Z312" t="s">
        <v>77</v>
      </c>
      <c r="AA312" t="str">
        <f>"11795-4927"</f>
        <v>11795-4927</v>
      </c>
      <c r="AB312" t="s">
        <v>78</v>
      </c>
      <c r="AC312" t="s">
        <v>79</v>
      </c>
      <c r="AD312" t="s">
        <v>75</v>
      </c>
      <c r="AE312" t="s">
        <v>80</v>
      </c>
      <c r="AG312" t="s">
        <v>81</v>
      </c>
    </row>
    <row r="313" spans="1:33" x14ac:dyDescent="0.25">
      <c r="A313" t="str">
        <f>"1306873195"</f>
        <v>1306873195</v>
      </c>
      <c r="B313" t="str">
        <f>"00859292"</f>
        <v>00859292</v>
      </c>
      <c r="C313" t="s">
        <v>7401</v>
      </c>
      <c r="D313" t="s">
        <v>7402</v>
      </c>
      <c r="E313" t="s">
        <v>7403</v>
      </c>
      <c r="G313" t="s">
        <v>6278</v>
      </c>
      <c r="H313" t="s">
        <v>6279</v>
      </c>
      <c r="J313" t="s">
        <v>6280</v>
      </c>
      <c r="L313" t="s">
        <v>83</v>
      </c>
      <c r="M313" t="s">
        <v>85</v>
      </c>
      <c r="R313" t="s">
        <v>7404</v>
      </c>
      <c r="W313" t="s">
        <v>7403</v>
      </c>
      <c r="X313" t="s">
        <v>7405</v>
      </c>
      <c r="Y313" t="s">
        <v>97</v>
      </c>
      <c r="Z313" t="s">
        <v>77</v>
      </c>
      <c r="AA313" t="str">
        <f>"10019-1102"</f>
        <v>10019-1102</v>
      </c>
      <c r="AB313" t="s">
        <v>78</v>
      </c>
      <c r="AC313" t="s">
        <v>79</v>
      </c>
      <c r="AD313" t="s">
        <v>75</v>
      </c>
      <c r="AE313" t="s">
        <v>80</v>
      </c>
      <c r="AG313" t="s">
        <v>81</v>
      </c>
    </row>
    <row r="314" spans="1:33" x14ac:dyDescent="0.25">
      <c r="A314" t="str">
        <f>"1184893760"</f>
        <v>1184893760</v>
      </c>
      <c r="B314" t="str">
        <f>"00356776"</f>
        <v>00356776</v>
      </c>
      <c r="C314" t="s">
        <v>7406</v>
      </c>
      <c r="D314" t="s">
        <v>7407</v>
      </c>
      <c r="E314" t="s">
        <v>7408</v>
      </c>
      <c r="G314" t="s">
        <v>7218</v>
      </c>
      <c r="H314" t="s">
        <v>6801</v>
      </c>
      <c r="I314">
        <v>6136</v>
      </c>
      <c r="J314" t="s">
        <v>7219</v>
      </c>
      <c r="L314" t="s">
        <v>37</v>
      </c>
      <c r="M314" t="s">
        <v>75</v>
      </c>
      <c r="R314" t="s">
        <v>7274</v>
      </c>
      <c r="W314" t="s">
        <v>7408</v>
      </c>
      <c r="X314" t="s">
        <v>7409</v>
      </c>
      <c r="Y314" t="s">
        <v>87</v>
      </c>
      <c r="Z314" t="s">
        <v>77</v>
      </c>
      <c r="AA314" t="str">
        <f>"11215-6503"</f>
        <v>11215-6503</v>
      </c>
      <c r="AB314" t="s">
        <v>107</v>
      </c>
      <c r="AC314" t="s">
        <v>79</v>
      </c>
      <c r="AD314" t="s">
        <v>75</v>
      </c>
      <c r="AE314" t="s">
        <v>80</v>
      </c>
      <c r="AG314" t="s">
        <v>81</v>
      </c>
    </row>
    <row r="315" spans="1:33" x14ac:dyDescent="0.25">
      <c r="A315" t="str">
        <f>"1033388533"</f>
        <v>1033388533</v>
      </c>
      <c r="B315" t="str">
        <f>"00759953"</f>
        <v>00759953</v>
      </c>
      <c r="C315" t="s">
        <v>7410</v>
      </c>
      <c r="D315" t="s">
        <v>7411</v>
      </c>
      <c r="E315" t="s">
        <v>7412</v>
      </c>
      <c r="G315" t="s">
        <v>7218</v>
      </c>
      <c r="H315" t="s">
        <v>6801</v>
      </c>
      <c r="I315">
        <v>6136</v>
      </c>
      <c r="J315" t="s">
        <v>7219</v>
      </c>
      <c r="L315" t="s">
        <v>37</v>
      </c>
      <c r="M315" t="s">
        <v>75</v>
      </c>
      <c r="R315" t="s">
        <v>7274</v>
      </c>
      <c r="W315" t="s">
        <v>7412</v>
      </c>
      <c r="X315" t="s">
        <v>7413</v>
      </c>
      <c r="Y315" t="s">
        <v>131</v>
      </c>
      <c r="Z315" t="s">
        <v>77</v>
      </c>
      <c r="AA315" t="str">
        <f>"10471-1124"</f>
        <v>10471-1124</v>
      </c>
      <c r="AB315" t="s">
        <v>107</v>
      </c>
      <c r="AC315" t="s">
        <v>79</v>
      </c>
      <c r="AD315" t="s">
        <v>75</v>
      </c>
      <c r="AE315" t="s">
        <v>80</v>
      </c>
      <c r="AG315" t="s">
        <v>81</v>
      </c>
    </row>
    <row r="316" spans="1:33" x14ac:dyDescent="0.25">
      <c r="A316" t="str">
        <f>"1316108871"</f>
        <v>1316108871</v>
      </c>
      <c r="B316" t="str">
        <f>"03782978"</f>
        <v>03782978</v>
      </c>
      <c r="C316" t="s">
        <v>7414</v>
      </c>
      <c r="D316" t="s">
        <v>7415</v>
      </c>
      <c r="E316" t="s">
        <v>7416</v>
      </c>
      <c r="G316" t="s">
        <v>6367</v>
      </c>
      <c r="H316" t="s">
        <v>4625</v>
      </c>
      <c r="J316" t="s">
        <v>6368</v>
      </c>
      <c r="L316" t="s">
        <v>83</v>
      </c>
      <c r="M316" t="s">
        <v>85</v>
      </c>
      <c r="R316" t="s">
        <v>7417</v>
      </c>
      <c r="W316" t="s">
        <v>7416</v>
      </c>
      <c r="X316" t="s">
        <v>1822</v>
      </c>
      <c r="Y316" t="s">
        <v>1823</v>
      </c>
      <c r="Z316" t="s">
        <v>77</v>
      </c>
      <c r="AA316" t="str">
        <f>"10941-4028"</f>
        <v>10941-4028</v>
      </c>
      <c r="AB316" t="s">
        <v>78</v>
      </c>
      <c r="AC316" t="s">
        <v>79</v>
      </c>
      <c r="AD316" t="s">
        <v>75</v>
      </c>
      <c r="AE316" t="s">
        <v>80</v>
      </c>
      <c r="AG316" t="s">
        <v>81</v>
      </c>
    </row>
    <row r="317" spans="1:33" x14ac:dyDescent="0.25">
      <c r="A317" t="str">
        <f>"1932233293"</f>
        <v>1932233293</v>
      </c>
      <c r="B317" t="str">
        <f>"01139784"</f>
        <v>01139784</v>
      </c>
      <c r="C317" t="s">
        <v>7418</v>
      </c>
      <c r="D317" t="s">
        <v>7419</v>
      </c>
      <c r="E317" t="s">
        <v>7420</v>
      </c>
      <c r="G317" t="s">
        <v>6367</v>
      </c>
      <c r="H317" t="s">
        <v>4625</v>
      </c>
      <c r="J317" t="s">
        <v>6368</v>
      </c>
      <c r="L317" t="s">
        <v>84</v>
      </c>
      <c r="M317" t="s">
        <v>85</v>
      </c>
      <c r="R317" t="s">
        <v>7421</v>
      </c>
      <c r="W317" t="s">
        <v>7422</v>
      </c>
      <c r="X317" t="s">
        <v>6726</v>
      </c>
      <c r="Y317" t="s">
        <v>1823</v>
      </c>
      <c r="Z317" t="s">
        <v>77</v>
      </c>
      <c r="AA317" t="str">
        <f>"10940-3224"</f>
        <v>10940-3224</v>
      </c>
      <c r="AB317" t="s">
        <v>78</v>
      </c>
      <c r="AC317" t="s">
        <v>79</v>
      </c>
      <c r="AD317" t="s">
        <v>75</v>
      </c>
      <c r="AE317" t="s">
        <v>80</v>
      </c>
      <c r="AG317" t="s">
        <v>81</v>
      </c>
    </row>
    <row r="318" spans="1:33" x14ac:dyDescent="0.25">
      <c r="A318" t="str">
        <f>"1437132396"</f>
        <v>1437132396</v>
      </c>
      <c r="B318" t="str">
        <f>"01661527"</f>
        <v>01661527</v>
      </c>
      <c r="C318" t="s">
        <v>7423</v>
      </c>
      <c r="D318" t="s">
        <v>7424</v>
      </c>
      <c r="E318" t="s">
        <v>7425</v>
      </c>
      <c r="G318" t="s">
        <v>6380</v>
      </c>
      <c r="H318" t="s">
        <v>4625</v>
      </c>
      <c r="J318" t="s">
        <v>6381</v>
      </c>
      <c r="L318" t="s">
        <v>74</v>
      </c>
      <c r="M318" t="s">
        <v>85</v>
      </c>
      <c r="R318" t="s">
        <v>7426</v>
      </c>
      <c r="W318" t="s">
        <v>7425</v>
      </c>
      <c r="X318" t="s">
        <v>6187</v>
      </c>
      <c r="Y318" t="s">
        <v>1823</v>
      </c>
      <c r="Z318" t="s">
        <v>77</v>
      </c>
      <c r="AA318" t="str">
        <f>"10941-4013"</f>
        <v>10941-4013</v>
      </c>
      <c r="AB318" t="s">
        <v>78</v>
      </c>
      <c r="AC318" t="s">
        <v>79</v>
      </c>
      <c r="AD318" t="s">
        <v>75</v>
      </c>
      <c r="AE318" t="s">
        <v>80</v>
      </c>
      <c r="AG318" t="s">
        <v>81</v>
      </c>
    </row>
    <row r="319" spans="1:33" x14ac:dyDescent="0.25">
      <c r="A319" t="str">
        <f>"1194725168"</f>
        <v>1194725168</v>
      </c>
      <c r="B319" t="str">
        <f>"01663029"</f>
        <v>01663029</v>
      </c>
      <c r="C319" t="s">
        <v>7427</v>
      </c>
      <c r="D319" t="s">
        <v>7428</v>
      </c>
      <c r="E319" t="s">
        <v>7429</v>
      </c>
      <c r="G319" t="s">
        <v>6380</v>
      </c>
      <c r="H319" t="s">
        <v>4625</v>
      </c>
      <c r="J319" t="s">
        <v>6381</v>
      </c>
      <c r="L319" t="s">
        <v>84</v>
      </c>
      <c r="M319" t="s">
        <v>85</v>
      </c>
      <c r="R319" t="s">
        <v>7430</v>
      </c>
      <c r="W319" t="s">
        <v>7429</v>
      </c>
      <c r="X319" t="s">
        <v>6187</v>
      </c>
      <c r="Y319" t="s">
        <v>1823</v>
      </c>
      <c r="Z319" t="s">
        <v>77</v>
      </c>
      <c r="AA319" t="str">
        <f>"10941-4013"</f>
        <v>10941-4013</v>
      </c>
      <c r="AB319" t="s">
        <v>78</v>
      </c>
      <c r="AC319" t="s">
        <v>79</v>
      </c>
      <c r="AD319" t="s">
        <v>75</v>
      </c>
      <c r="AE319" t="s">
        <v>80</v>
      </c>
      <c r="AG319" t="s">
        <v>81</v>
      </c>
    </row>
    <row r="320" spans="1:33" x14ac:dyDescent="0.25">
      <c r="A320" t="str">
        <f>"1144301268"</f>
        <v>1144301268</v>
      </c>
      <c r="B320" t="str">
        <f>"01664864"</f>
        <v>01664864</v>
      </c>
      <c r="C320" t="s">
        <v>7431</v>
      </c>
      <c r="D320" t="s">
        <v>7432</v>
      </c>
      <c r="E320" t="s">
        <v>7433</v>
      </c>
      <c r="G320" t="s">
        <v>6380</v>
      </c>
      <c r="H320" t="s">
        <v>4625</v>
      </c>
      <c r="J320" t="s">
        <v>6381</v>
      </c>
      <c r="L320" t="s">
        <v>83</v>
      </c>
      <c r="M320" t="s">
        <v>85</v>
      </c>
      <c r="R320" t="s">
        <v>7434</v>
      </c>
      <c r="W320" t="s">
        <v>7433</v>
      </c>
      <c r="X320" t="s">
        <v>7435</v>
      </c>
      <c r="Y320" t="s">
        <v>1823</v>
      </c>
      <c r="Z320" t="s">
        <v>77</v>
      </c>
      <c r="AA320" t="str">
        <f>"10941-7003"</f>
        <v>10941-7003</v>
      </c>
      <c r="AB320" t="s">
        <v>78</v>
      </c>
      <c r="AC320" t="s">
        <v>79</v>
      </c>
      <c r="AD320" t="s">
        <v>75</v>
      </c>
      <c r="AE320" t="s">
        <v>80</v>
      </c>
      <c r="AG320" t="s">
        <v>81</v>
      </c>
    </row>
    <row r="321" spans="1:33" x14ac:dyDescent="0.25">
      <c r="A321" t="str">
        <f>"1275513863"</f>
        <v>1275513863</v>
      </c>
      <c r="B321" t="str">
        <f>"01682833"</f>
        <v>01682833</v>
      </c>
      <c r="C321" t="s">
        <v>7436</v>
      </c>
      <c r="D321" t="s">
        <v>7437</v>
      </c>
      <c r="E321" t="s">
        <v>7438</v>
      </c>
      <c r="G321" t="s">
        <v>6380</v>
      </c>
      <c r="H321" t="s">
        <v>4625</v>
      </c>
      <c r="J321" t="s">
        <v>6381</v>
      </c>
      <c r="L321" t="s">
        <v>83</v>
      </c>
      <c r="M321" t="s">
        <v>85</v>
      </c>
      <c r="R321" t="s">
        <v>7439</v>
      </c>
      <c r="W321" t="s">
        <v>7438</v>
      </c>
      <c r="X321" t="s">
        <v>7440</v>
      </c>
      <c r="Y321" t="s">
        <v>2220</v>
      </c>
      <c r="Z321" t="s">
        <v>77</v>
      </c>
      <c r="AA321" t="str">
        <f>"10924-6768"</f>
        <v>10924-6768</v>
      </c>
      <c r="AB321" t="s">
        <v>78</v>
      </c>
      <c r="AC321" t="s">
        <v>79</v>
      </c>
      <c r="AD321" t="s">
        <v>75</v>
      </c>
      <c r="AE321" t="s">
        <v>80</v>
      </c>
      <c r="AG321" t="s">
        <v>81</v>
      </c>
    </row>
    <row r="322" spans="1:33" x14ac:dyDescent="0.25">
      <c r="A322" t="str">
        <f>"1922031962"</f>
        <v>1922031962</v>
      </c>
      <c r="B322" t="str">
        <f>"01702478"</f>
        <v>01702478</v>
      </c>
      <c r="C322" t="s">
        <v>7441</v>
      </c>
      <c r="D322" t="s">
        <v>7442</v>
      </c>
      <c r="E322" t="s">
        <v>7443</v>
      </c>
      <c r="G322" t="s">
        <v>6380</v>
      </c>
      <c r="H322" t="s">
        <v>4625</v>
      </c>
      <c r="J322" t="s">
        <v>6381</v>
      </c>
      <c r="L322" t="s">
        <v>84</v>
      </c>
      <c r="M322" t="s">
        <v>85</v>
      </c>
      <c r="R322" t="s">
        <v>7444</v>
      </c>
      <c r="W322" t="s">
        <v>7443</v>
      </c>
      <c r="X322" t="s">
        <v>7445</v>
      </c>
      <c r="Y322" t="s">
        <v>1823</v>
      </c>
      <c r="Z322" t="s">
        <v>77</v>
      </c>
      <c r="AA322" t="str">
        <f>"10940-5012"</f>
        <v>10940-5012</v>
      </c>
      <c r="AB322" t="s">
        <v>78</v>
      </c>
      <c r="AC322" t="s">
        <v>79</v>
      </c>
      <c r="AD322" t="s">
        <v>75</v>
      </c>
      <c r="AE322" t="s">
        <v>80</v>
      </c>
      <c r="AG322" t="s">
        <v>81</v>
      </c>
    </row>
    <row r="323" spans="1:33" x14ac:dyDescent="0.25">
      <c r="A323" t="str">
        <f>"1952383069"</f>
        <v>1952383069</v>
      </c>
      <c r="B323" t="str">
        <f>"01721099"</f>
        <v>01721099</v>
      </c>
      <c r="C323" t="s">
        <v>7446</v>
      </c>
      <c r="D323" t="s">
        <v>7447</v>
      </c>
      <c r="E323" t="s">
        <v>7448</v>
      </c>
      <c r="G323" t="s">
        <v>6380</v>
      </c>
      <c r="H323" t="s">
        <v>4625</v>
      </c>
      <c r="J323" t="s">
        <v>6381</v>
      </c>
      <c r="L323" t="s">
        <v>83</v>
      </c>
      <c r="M323" t="s">
        <v>85</v>
      </c>
      <c r="R323" t="s">
        <v>7449</v>
      </c>
      <c r="W323" t="s">
        <v>7448</v>
      </c>
      <c r="X323" t="s">
        <v>7157</v>
      </c>
      <c r="Y323" t="s">
        <v>5430</v>
      </c>
      <c r="Z323" t="s">
        <v>77</v>
      </c>
      <c r="AA323" t="str">
        <f>"12734-5201"</f>
        <v>12734-5201</v>
      </c>
      <c r="AB323" t="s">
        <v>78</v>
      </c>
      <c r="AC323" t="s">
        <v>79</v>
      </c>
      <c r="AD323" t="s">
        <v>75</v>
      </c>
      <c r="AE323" t="s">
        <v>80</v>
      </c>
      <c r="AG323" t="s">
        <v>81</v>
      </c>
    </row>
    <row r="324" spans="1:33" x14ac:dyDescent="0.25">
      <c r="A324" t="str">
        <f>"1003816604"</f>
        <v>1003816604</v>
      </c>
      <c r="B324" t="str">
        <f>"01753548"</f>
        <v>01753548</v>
      </c>
      <c r="C324" t="s">
        <v>7450</v>
      </c>
      <c r="D324" t="s">
        <v>7451</v>
      </c>
      <c r="E324" t="s">
        <v>7452</v>
      </c>
      <c r="G324" t="s">
        <v>6380</v>
      </c>
      <c r="H324" t="s">
        <v>4625</v>
      </c>
      <c r="J324" t="s">
        <v>6381</v>
      </c>
      <c r="L324" t="s">
        <v>83</v>
      </c>
      <c r="M324" t="s">
        <v>85</v>
      </c>
      <c r="R324" t="s">
        <v>7453</v>
      </c>
      <c r="W324" t="s">
        <v>7452</v>
      </c>
      <c r="X324" t="s">
        <v>6187</v>
      </c>
      <c r="Y324" t="s">
        <v>1823</v>
      </c>
      <c r="Z324" t="s">
        <v>77</v>
      </c>
      <c r="AA324" t="str">
        <f>"10941-4013"</f>
        <v>10941-4013</v>
      </c>
      <c r="AB324" t="s">
        <v>78</v>
      </c>
      <c r="AC324" t="s">
        <v>79</v>
      </c>
      <c r="AD324" t="s">
        <v>75</v>
      </c>
      <c r="AE324" t="s">
        <v>80</v>
      </c>
      <c r="AG324" t="s">
        <v>81</v>
      </c>
    </row>
    <row r="325" spans="1:33" x14ac:dyDescent="0.25">
      <c r="A325" t="str">
        <f>"1023105608"</f>
        <v>1023105608</v>
      </c>
      <c r="B325" t="str">
        <f>"01788792"</f>
        <v>01788792</v>
      </c>
      <c r="C325" t="s">
        <v>7454</v>
      </c>
      <c r="D325" t="s">
        <v>7455</v>
      </c>
      <c r="E325" t="s">
        <v>7456</v>
      </c>
      <c r="G325" t="s">
        <v>6380</v>
      </c>
      <c r="H325" t="s">
        <v>4625</v>
      </c>
      <c r="J325" t="s">
        <v>6381</v>
      </c>
      <c r="L325" t="s">
        <v>83</v>
      </c>
      <c r="M325" t="s">
        <v>85</v>
      </c>
      <c r="R325" t="s">
        <v>7457</v>
      </c>
      <c r="W325" t="s">
        <v>7456</v>
      </c>
      <c r="X325" t="s">
        <v>3037</v>
      </c>
      <c r="Y325" t="s">
        <v>97</v>
      </c>
      <c r="Z325" t="s">
        <v>77</v>
      </c>
      <c r="AA325" t="str">
        <f>"10003"</f>
        <v>10003</v>
      </c>
      <c r="AB325" t="s">
        <v>78</v>
      </c>
      <c r="AC325" t="s">
        <v>79</v>
      </c>
      <c r="AD325" t="s">
        <v>75</v>
      </c>
      <c r="AE325" t="s">
        <v>80</v>
      </c>
      <c r="AG325" t="s">
        <v>81</v>
      </c>
    </row>
    <row r="326" spans="1:33" x14ac:dyDescent="0.25">
      <c r="A326" t="str">
        <f>"1780677708"</f>
        <v>1780677708</v>
      </c>
      <c r="B326" t="str">
        <f>"01831832"</f>
        <v>01831832</v>
      </c>
      <c r="C326" t="s">
        <v>7458</v>
      </c>
      <c r="D326" t="s">
        <v>7459</v>
      </c>
      <c r="E326" t="s">
        <v>7460</v>
      </c>
      <c r="G326" t="s">
        <v>6380</v>
      </c>
      <c r="H326" t="s">
        <v>4625</v>
      </c>
      <c r="J326" t="s">
        <v>6381</v>
      </c>
      <c r="L326" t="s">
        <v>83</v>
      </c>
      <c r="M326" t="s">
        <v>85</v>
      </c>
      <c r="R326" t="s">
        <v>7461</v>
      </c>
      <c r="W326" t="s">
        <v>7462</v>
      </c>
      <c r="X326" t="s">
        <v>6187</v>
      </c>
      <c r="Y326" t="s">
        <v>1823</v>
      </c>
      <c r="Z326" t="s">
        <v>77</v>
      </c>
      <c r="AA326" t="str">
        <f>"10941-4013"</f>
        <v>10941-4013</v>
      </c>
      <c r="AB326" t="s">
        <v>78</v>
      </c>
      <c r="AC326" t="s">
        <v>79</v>
      </c>
      <c r="AD326" t="s">
        <v>75</v>
      </c>
      <c r="AE326" t="s">
        <v>80</v>
      </c>
      <c r="AG326" t="s">
        <v>81</v>
      </c>
    </row>
    <row r="327" spans="1:33" x14ac:dyDescent="0.25">
      <c r="A327" t="str">
        <f>"1184661597"</f>
        <v>1184661597</v>
      </c>
      <c r="B327" t="str">
        <f>"02914767"</f>
        <v>02914767</v>
      </c>
      <c r="C327" t="s">
        <v>7463</v>
      </c>
      <c r="D327" t="s">
        <v>7464</v>
      </c>
      <c r="E327" t="s">
        <v>7465</v>
      </c>
      <c r="G327" t="s">
        <v>6278</v>
      </c>
      <c r="H327" t="s">
        <v>6279</v>
      </c>
      <c r="J327" t="s">
        <v>6280</v>
      </c>
      <c r="L327" t="s">
        <v>83</v>
      </c>
      <c r="M327" t="s">
        <v>75</v>
      </c>
      <c r="R327" t="s">
        <v>7466</v>
      </c>
      <c r="W327" t="s">
        <v>7465</v>
      </c>
      <c r="X327" t="s">
        <v>229</v>
      </c>
      <c r="Y327" t="s">
        <v>230</v>
      </c>
      <c r="Z327" t="s">
        <v>77</v>
      </c>
      <c r="AA327" t="str">
        <f>"11795-4927"</f>
        <v>11795-4927</v>
      </c>
      <c r="AB327" t="s">
        <v>78</v>
      </c>
      <c r="AC327" t="s">
        <v>79</v>
      </c>
      <c r="AD327" t="s">
        <v>75</v>
      </c>
      <c r="AE327" t="s">
        <v>80</v>
      </c>
      <c r="AG327" t="s">
        <v>81</v>
      </c>
    </row>
    <row r="328" spans="1:33" x14ac:dyDescent="0.25">
      <c r="A328" t="str">
        <f>"1730491671"</f>
        <v>1730491671</v>
      </c>
      <c r="B328" t="str">
        <f>"03264986"</f>
        <v>03264986</v>
      </c>
      <c r="C328" t="s">
        <v>7467</v>
      </c>
      <c r="D328" t="s">
        <v>3102</v>
      </c>
      <c r="E328" t="s">
        <v>3003</v>
      </c>
      <c r="G328" t="s">
        <v>7064</v>
      </c>
      <c r="H328" t="s">
        <v>7065</v>
      </c>
      <c r="I328">
        <v>57627146</v>
      </c>
      <c r="J328" t="s">
        <v>7066</v>
      </c>
      <c r="L328" t="s">
        <v>104</v>
      </c>
      <c r="M328" t="s">
        <v>75</v>
      </c>
      <c r="R328" t="s">
        <v>3098</v>
      </c>
      <c r="W328" t="s">
        <v>3003</v>
      </c>
      <c r="X328" t="s">
        <v>3103</v>
      </c>
      <c r="Y328" t="s">
        <v>131</v>
      </c>
      <c r="Z328" t="s">
        <v>77</v>
      </c>
      <c r="AA328" t="str">
        <f>"10456-7815"</f>
        <v>10456-7815</v>
      </c>
      <c r="AB328" t="s">
        <v>122</v>
      </c>
      <c r="AC328" t="s">
        <v>79</v>
      </c>
      <c r="AD328" t="s">
        <v>75</v>
      </c>
      <c r="AE328" t="s">
        <v>80</v>
      </c>
      <c r="AG328" t="s">
        <v>81</v>
      </c>
    </row>
    <row r="329" spans="1:33" x14ac:dyDescent="0.25">
      <c r="A329" t="str">
        <f>"1205929726"</f>
        <v>1205929726</v>
      </c>
      <c r="B329" t="str">
        <f>"00675076"</f>
        <v>00675076</v>
      </c>
      <c r="C329" t="s">
        <v>7468</v>
      </c>
      <c r="D329" t="s">
        <v>7469</v>
      </c>
      <c r="E329" t="s">
        <v>7470</v>
      </c>
      <c r="G329" t="s">
        <v>6278</v>
      </c>
      <c r="H329" t="s">
        <v>6279</v>
      </c>
      <c r="J329" t="s">
        <v>6280</v>
      </c>
      <c r="L329" t="s">
        <v>83</v>
      </c>
      <c r="M329" t="s">
        <v>75</v>
      </c>
      <c r="R329" t="s">
        <v>7471</v>
      </c>
      <c r="W329" t="s">
        <v>7472</v>
      </c>
      <c r="X329" t="s">
        <v>494</v>
      </c>
      <c r="Y329" t="s">
        <v>171</v>
      </c>
      <c r="Z329" t="s">
        <v>77</v>
      </c>
      <c r="AA329" t="str">
        <f>"11418"</f>
        <v>11418</v>
      </c>
      <c r="AB329" t="s">
        <v>78</v>
      </c>
      <c r="AC329" t="s">
        <v>79</v>
      </c>
      <c r="AD329" t="s">
        <v>75</v>
      </c>
      <c r="AE329" t="s">
        <v>80</v>
      </c>
      <c r="AG329" t="s">
        <v>81</v>
      </c>
    </row>
    <row r="330" spans="1:33" x14ac:dyDescent="0.25">
      <c r="A330" t="str">
        <f>"1679846943"</f>
        <v>1679846943</v>
      </c>
      <c r="C330" t="s">
        <v>7473</v>
      </c>
      <c r="G330" t="s">
        <v>6494</v>
      </c>
      <c r="H330" t="s">
        <v>6495</v>
      </c>
      <c r="J330" t="s">
        <v>6496</v>
      </c>
      <c r="K330" t="s">
        <v>99</v>
      </c>
      <c r="L330" t="s">
        <v>102</v>
      </c>
      <c r="M330" t="s">
        <v>75</v>
      </c>
      <c r="R330" t="s">
        <v>7474</v>
      </c>
      <c r="S330" t="s">
        <v>7475</v>
      </c>
      <c r="T330" t="s">
        <v>97</v>
      </c>
      <c r="U330" t="s">
        <v>77</v>
      </c>
      <c r="V330" t="str">
        <f>"100253939"</f>
        <v>100253939</v>
      </c>
      <c r="AC330" t="s">
        <v>79</v>
      </c>
      <c r="AD330" t="s">
        <v>75</v>
      </c>
      <c r="AE330" t="s">
        <v>103</v>
      </c>
      <c r="AG330" t="s">
        <v>81</v>
      </c>
    </row>
    <row r="331" spans="1:33" x14ac:dyDescent="0.25">
      <c r="A331" t="str">
        <f>"1730317769"</f>
        <v>1730317769</v>
      </c>
      <c r="B331" t="str">
        <f>"03178452"</f>
        <v>03178452</v>
      </c>
      <c r="C331" t="s">
        <v>7476</v>
      </c>
      <c r="D331" t="s">
        <v>7125</v>
      </c>
      <c r="E331" t="s">
        <v>7126</v>
      </c>
      <c r="G331" t="s">
        <v>6494</v>
      </c>
      <c r="H331" t="s">
        <v>6495</v>
      </c>
      <c r="J331" t="s">
        <v>6496</v>
      </c>
      <c r="L331" t="s">
        <v>7477</v>
      </c>
      <c r="M331" t="s">
        <v>85</v>
      </c>
      <c r="R331" t="s">
        <v>7474</v>
      </c>
      <c r="W331" t="s">
        <v>7126</v>
      </c>
      <c r="X331" t="s">
        <v>7478</v>
      </c>
      <c r="Y331" t="s">
        <v>97</v>
      </c>
      <c r="Z331" t="s">
        <v>77</v>
      </c>
      <c r="AA331" t="str">
        <f>"10027-5250"</f>
        <v>10027-5250</v>
      </c>
      <c r="AB331" t="s">
        <v>122</v>
      </c>
      <c r="AC331" t="s">
        <v>79</v>
      </c>
      <c r="AD331" t="s">
        <v>75</v>
      </c>
      <c r="AE331" t="s">
        <v>80</v>
      </c>
      <c r="AG331" t="s">
        <v>81</v>
      </c>
    </row>
    <row r="332" spans="1:33" x14ac:dyDescent="0.25">
      <c r="A332" t="str">
        <f>"1144314576"</f>
        <v>1144314576</v>
      </c>
      <c r="B332" t="str">
        <f>"01457354"</f>
        <v>01457354</v>
      </c>
      <c r="C332" t="s">
        <v>7479</v>
      </c>
      <c r="D332" t="s">
        <v>7480</v>
      </c>
      <c r="E332" t="s">
        <v>7481</v>
      </c>
      <c r="F332">
        <v>112030172</v>
      </c>
      <c r="G332" t="s">
        <v>7482</v>
      </c>
      <c r="H332" t="s">
        <v>7483</v>
      </c>
      <c r="J332" t="s">
        <v>7219</v>
      </c>
      <c r="L332" t="s">
        <v>37</v>
      </c>
      <c r="M332" t="s">
        <v>75</v>
      </c>
      <c r="R332" t="s">
        <v>7274</v>
      </c>
      <c r="W332" t="s">
        <v>7481</v>
      </c>
      <c r="X332" t="s">
        <v>7484</v>
      </c>
      <c r="Y332" t="s">
        <v>97</v>
      </c>
      <c r="Z332" t="s">
        <v>77</v>
      </c>
      <c r="AA332" t="str">
        <f>"10001-2320"</f>
        <v>10001-2320</v>
      </c>
      <c r="AB332" t="s">
        <v>122</v>
      </c>
      <c r="AC332" t="s">
        <v>79</v>
      </c>
      <c r="AD332" t="s">
        <v>75</v>
      </c>
      <c r="AE332" t="s">
        <v>80</v>
      </c>
      <c r="AG332" t="s">
        <v>81</v>
      </c>
    </row>
    <row r="333" spans="1:33" x14ac:dyDescent="0.25">
      <c r="A333" t="str">
        <f>"1194713347"</f>
        <v>1194713347</v>
      </c>
      <c r="B333" t="str">
        <f>"02266273"</f>
        <v>02266273</v>
      </c>
      <c r="C333" t="s">
        <v>7485</v>
      </c>
      <c r="D333" t="s">
        <v>7486</v>
      </c>
      <c r="E333" t="s">
        <v>7487</v>
      </c>
      <c r="G333" t="s">
        <v>6380</v>
      </c>
      <c r="H333" t="s">
        <v>4625</v>
      </c>
      <c r="J333" t="s">
        <v>6381</v>
      </c>
      <c r="L333" t="s">
        <v>84</v>
      </c>
      <c r="M333" t="s">
        <v>85</v>
      </c>
      <c r="R333" t="s">
        <v>7488</v>
      </c>
      <c r="W333" t="s">
        <v>7489</v>
      </c>
      <c r="X333" t="s">
        <v>6187</v>
      </c>
      <c r="Y333" t="s">
        <v>1823</v>
      </c>
      <c r="Z333" t="s">
        <v>77</v>
      </c>
      <c r="AA333" t="str">
        <f>"10941-4013"</f>
        <v>10941-4013</v>
      </c>
      <c r="AB333" t="s">
        <v>78</v>
      </c>
      <c r="AC333" t="s">
        <v>79</v>
      </c>
      <c r="AD333" t="s">
        <v>75</v>
      </c>
      <c r="AE333" t="s">
        <v>80</v>
      </c>
      <c r="AG333" t="s">
        <v>81</v>
      </c>
    </row>
    <row r="334" spans="1:33" x14ac:dyDescent="0.25">
      <c r="A334" t="str">
        <f>"1821060146"</f>
        <v>1821060146</v>
      </c>
      <c r="B334" t="str">
        <f>"02269890"</f>
        <v>02269890</v>
      </c>
      <c r="C334" t="s">
        <v>7490</v>
      </c>
      <c r="D334" t="s">
        <v>7491</v>
      </c>
      <c r="E334" t="s">
        <v>7492</v>
      </c>
      <c r="G334" t="s">
        <v>6380</v>
      </c>
      <c r="H334" t="s">
        <v>4625</v>
      </c>
      <c r="J334" t="s">
        <v>6381</v>
      </c>
      <c r="L334" t="s">
        <v>83</v>
      </c>
      <c r="M334" t="s">
        <v>85</v>
      </c>
      <c r="R334" t="s">
        <v>7492</v>
      </c>
      <c r="W334" t="s">
        <v>7492</v>
      </c>
      <c r="X334" t="s">
        <v>1822</v>
      </c>
      <c r="Y334" t="s">
        <v>1823</v>
      </c>
      <c r="Z334" t="s">
        <v>77</v>
      </c>
      <c r="AA334" t="str">
        <f>"10941-4028"</f>
        <v>10941-4028</v>
      </c>
      <c r="AB334" t="s">
        <v>78</v>
      </c>
      <c r="AC334" t="s">
        <v>79</v>
      </c>
      <c r="AD334" t="s">
        <v>75</v>
      </c>
      <c r="AE334" t="s">
        <v>80</v>
      </c>
      <c r="AG334" t="s">
        <v>81</v>
      </c>
    </row>
    <row r="335" spans="1:33" x14ac:dyDescent="0.25">
      <c r="A335" t="str">
        <f>"1215999040"</f>
        <v>1215999040</v>
      </c>
      <c r="B335" t="str">
        <f>"02795540"</f>
        <v>02795540</v>
      </c>
      <c r="C335" t="s">
        <v>7493</v>
      </c>
      <c r="D335" t="s">
        <v>2984</v>
      </c>
      <c r="E335" t="s">
        <v>2985</v>
      </c>
      <c r="H335" t="s">
        <v>626</v>
      </c>
      <c r="J335" t="s">
        <v>2986</v>
      </c>
      <c r="L335" t="s">
        <v>105</v>
      </c>
      <c r="M335" t="s">
        <v>75</v>
      </c>
      <c r="R335" t="s">
        <v>2985</v>
      </c>
      <c r="W335" t="s">
        <v>2987</v>
      </c>
      <c r="X335" t="s">
        <v>2988</v>
      </c>
      <c r="Y335" t="s">
        <v>171</v>
      </c>
      <c r="Z335" t="s">
        <v>77</v>
      </c>
      <c r="AA335" t="str">
        <f>"11435-5022"</f>
        <v>11435-5022</v>
      </c>
      <c r="AB335" t="s">
        <v>78</v>
      </c>
      <c r="AC335" t="s">
        <v>79</v>
      </c>
      <c r="AD335" t="s">
        <v>75</v>
      </c>
      <c r="AE335" t="s">
        <v>80</v>
      </c>
      <c r="AG335" t="s">
        <v>81</v>
      </c>
    </row>
    <row r="336" spans="1:33" x14ac:dyDescent="0.25">
      <c r="A336" t="str">
        <f>"1083780795"</f>
        <v>1083780795</v>
      </c>
      <c r="B336" t="str">
        <f>"03253463"</f>
        <v>03253463</v>
      </c>
      <c r="C336" t="s">
        <v>7494</v>
      </c>
      <c r="D336" t="s">
        <v>3715</v>
      </c>
      <c r="E336" t="s">
        <v>3716</v>
      </c>
      <c r="H336" t="s">
        <v>626</v>
      </c>
      <c r="I336">
        <v>3232</v>
      </c>
      <c r="J336" t="s">
        <v>3717</v>
      </c>
      <c r="L336" t="s">
        <v>83</v>
      </c>
      <c r="M336" t="s">
        <v>75</v>
      </c>
      <c r="R336" t="s">
        <v>3716</v>
      </c>
      <c r="W336" t="s">
        <v>3716</v>
      </c>
      <c r="X336" t="s">
        <v>3158</v>
      </c>
      <c r="Y336" t="s">
        <v>131</v>
      </c>
      <c r="Z336" t="s">
        <v>77</v>
      </c>
      <c r="AA336" t="str">
        <f>"10452-2001"</f>
        <v>10452-2001</v>
      </c>
      <c r="AB336" t="s">
        <v>78</v>
      </c>
      <c r="AC336" t="s">
        <v>79</v>
      </c>
      <c r="AD336" t="s">
        <v>75</v>
      </c>
      <c r="AE336" t="s">
        <v>80</v>
      </c>
      <c r="AG336" t="s">
        <v>81</v>
      </c>
    </row>
    <row r="337" spans="1:33" x14ac:dyDescent="0.25">
      <c r="A337" t="str">
        <f>"1114368370"</f>
        <v>1114368370</v>
      </c>
      <c r="B337" t="str">
        <f>"03835701"</f>
        <v>03835701</v>
      </c>
      <c r="C337" t="s">
        <v>7495</v>
      </c>
      <c r="D337" t="s">
        <v>3136</v>
      </c>
      <c r="E337" t="s">
        <v>3137</v>
      </c>
      <c r="H337" t="s">
        <v>626</v>
      </c>
      <c r="J337" t="s">
        <v>3138</v>
      </c>
      <c r="L337" t="s">
        <v>143</v>
      </c>
      <c r="M337" t="s">
        <v>75</v>
      </c>
      <c r="R337" t="s">
        <v>3139</v>
      </c>
      <c r="W337" t="s">
        <v>3137</v>
      </c>
      <c r="X337" t="s">
        <v>2925</v>
      </c>
      <c r="Y337" t="s">
        <v>131</v>
      </c>
      <c r="Z337" t="s">
        <v>77</v>
      </c>
      <c r="AA337" t="str">
        <f>"10451-5909"</f>
        <v>10451-5909</v>
      </c>
      <c r="AB337" t="s">
        <v>78</v>
      </c>
      <c r="AC337" t="s">
        <v>79</v>
      </c>
      <c r="AD337" t="s">
        <v>75</v>
      </c>
      <c r="AE337" t="s">
        <v>80</v>
      </c>
      <c r="AG337" t="s">
        <v>81</v>
      </c>
    </row>
    <row r="338" spans="1:33" x14ac:dyDescent="0.25">
      <c r="A338" t="str">
        <f>"1588897672"</f>
        <v>1588897672</v>
      </c>
      <c r="B338" t="str">
        <f>"03950598"</f>
        <v>03950598</v>
      </c>
      <c r="C338" t="s">
        <v>7496</v>
      </c>
      <c r="D338" t="s">
        <v>2934</v>
      </c>
      <c r="E338" t="s">
        <v>2935</v>
      </c>
      <c r="H338" t="s">
        <v>626</v>
      </c>
      <c r="J338" t="s">
        <v>2936</v>
      </c>
      <c r="L338" t="s">
        <v>84</v>
      </c>
      <c r="M338" t="s">
        <v>75</v>
      </c>
      <c r="R338" t="s">
        <v>2937</v>
      </c>
      <c r="W338" t="s">
        <v>2938</v>
      </c>
      <c r="X338" t="s">
        <v>664</v>
      </c>
      <c r="Y338" t="s">
        <v>131</v>
      </c>
      <c r="Z338" t="s">
        <v>77</v>
      </c>
      <c r="AA338" t="str">
        <f>"10452-2001"</f>
        <v>10452-2001</v>
      </c>
      <c r="AB338" t="s">
        <v>78</v>
      </c>
      <c r="AC338" t="s">
        <v>79</v>
      </c>
      <c r="AD338" t="s">
        <v>75</v>
      </c>
      <c r="AE338" t="s">
        <v>80</v>
      </c>
      <c r="AG338" t="s">
        <v>81</v>
      </c>
    </row>
    <row r="339" spans="1:33" x14ac:dyDescent="0.25">
      <c r="A339" t="str">
        <f>"1801815105"</f>
        <v>1801815105</v>
      </c>
      <c r="B339" t="str">
        <f>"01070653"</f>
        <v>01070653</v>
      </c>
      <c r="C339" t="s">
        <v>7497</v>
      </c>
      <c r="D339" t="s">
        <v>7498</v>
      </c>
      <c r="E339" t="s">
        <v>7499</v>
      </c>
      <c r="G339" t="s">
        <v>6278</v>
      </c>
      <c r="H339" t="s">
        <v>6279</v>
      </c>
      <c r="J339" t="s">
        <v>6280</v>
      </c>
      <c r="L339" t="s">
        <v>74</v>
      </c>
      <c r="M339" t="s">
        <v>85</v>
      </c>
      <c r="R339" t="s">
        <v>7500</v>
      </c>
      <c r="W339" t="s">
        <v>7499</v>
      </c>
      <c r="X339" t="s">
        <v>7501</v>
      </c>
      <c r="Y339" t="s">
        <v>97</v>
      </c>
      <c r="Z339" t="s">
        <v>77</v>
      </c>
      <c r="AA339" t="str">
        <f>"10023-5204"</f>
        <v>10023-5204</v>
      </c>
      <c r="AB339" t="s">
        <v>78</v>
      </c>
      <c r="AC339" t="s">
        <v>79</v>
      </c>
      <c r="AD339" t="s">
        <v>75</v>
      </c>
      <c r="AE339" t="s">
        <v>80</v>
      </c>
      <c r="AG339" t="s">
        <v>81</v>
      </c>
    </row>
    <row r="340" spans="1:33" x14ac:dyDescent="0.25">
      <c r="A340" t="str">
        <f>"1982785317"</f>
        <v>1982785317</v>
      </c>
      <c r="B340" t="str">
        <f>"01118689"</f>
        <v>01118689</v>
      </c>
      <c r="C340" t="s">
        <v>7502</v>
      </c>
      <c r="D340" t="s">
        <v>606</v>
      </c>
      <c r="E340" t="s">
        <v>607</v>
      </c>
      <c r="G340" t="s">
        <v>6278</v>
      </c>
      <c r="H340" t="s">
        <v>6279</v>
      </c>
      <c r="J340" t="s">
        <v>6280</v>
      </c>
      <c r="L340" t="s">
        <v>74</v>
      </c>
      <c r="M340" t="s">
        <v>85</v>
      </c>
      <c r="R340" t="s">
        <v>608</v>
      </c>
      <c r="W340" t="s">
        <v>607</v>
      </c>
      <c r="X340" t="s">
        <v>609</v>
      </c>
      <c r="Y340" t="s">
        <v>131</v>
      </c>
      <c r="Z340" t="s">
        <v>77</v>
      </c>
      <c r="AA340" t="str">
        <f>"10461-1915"</f>
        <v>10461-1915</v>
      </c>
      <c r="AB340" t="s">
        <v>78</v>
      </c>
      <c r="AC340" t="s">
        <v>79</v>
      </c>
      <c r="AD340" t="s">
        <v>75</v>
      </c>
      <c r="AE340" t="s">
        <v>80</v>
      </c>
      <c r="AG340" t="s">
        <v>81</v>
      </c>
    </row>
    <row r="341" spans="1:33" x14ac:dyDescent="0.25">
      <c r="A341" t="str">
        <f>"1992787972"</f>
        <v>1992787972</v>
      </c>
      <c r="B341" t="str">
        <f>"02103226"</f>
        <v>02103226</v>
      </c>
      <c r="C341" t="s">
        <v>7503</v>
      </c>
      <c r="D341" t="s">
        <v>7504</v>
      </c>
      <c r="E341" t="s">
        <v>4565</v>
      </c>
      <c r="G341" t="s">
        <v>6367</v>
      </c>
      <c r="H341" t="s">
        <v>4625</v>
      </c>
      <c r="J341" t="s">
        <v>6368</v>
      </c>
      <c r="L341" t="s">
        <v>83</v>
      </c>
      <c r="M341" t="s">
        <v>85</v>
      </c>
      <c r="R341" t="s">
        <v>4564</v>
      </c>
      <c r="W341" t="s">
        <v>4564</v>
      </c>
      <c r="X341" t="s">
        <v>6187</v>
      </c>
      <c r="Y341" t="s">
        <v>1823</v>
      </c>
      <c r="Z341" t="s">
        <v>77</v>
      </c>
      <c r="AA341" t="str">
        <f>"10941-4013"</f>
        <v>10941-4013</v>
      </c>
      <c r="AB341" t="s">
        <v>78</v>
      </c>
      <c r="AC341" t="s">
        <v>79</v>
      </c>
      <c r="AD341" t="s">
        <v>75</v>
      </c>
      <c r="AE341" t="s">
        <v>80</v>
      </c>
      <c r="AG341" t="s">
        <v>81</v>
      </c>
    </row>
    <row r="342" spans="1:33" x14ac:dyDescent="0.25">
      <c r="C342" t="s">
        <v>7505</v>
      </c>
      <c r="G342" t="s">
        <v>7506</v>
      </c>
      <c r="H342" t="s">
        <v>631</v>
      </c>
      <c r="J342" t="s">
        <v>632</v>
      </c>
      <c r="K342" t="s">
        <v>99</v>
      </c>
      <c r="L342" t="s">
        <v>100</v>
      </c>
      <c r="M342" t="s">
        <v>75</v>
      </c>
      <c r="N342" t="s">
        <v>7507</v>
      </c>
      <c r="O342" t="s">
        <v>296</v>
      </c>
      <c r="P342" t="s">
        <v>77</v>
      </c>
      <c r="Q342" t="str">
        <f>"10469"</f>
        <v>10469</v>
      </c>
      <c r="AC342" t="s">
        <v>79</v>
      </c>
      <c r="AD342" t="s">
        <v>75</v>
      </c>
      <c r="AE342" t="s">
        <v>101</v>
      </c>
      <c r="AG342" t="s">
        <v>81</v>
      </c>
    </row>
    <row r="343" spans="1:33" x14ac:dyDescent="0.25">
      <c r="A343" t="str">
        <f>"1134304090"</f>
        <v>1134304090</v>
      </c>
      <c r="C343" t="s">
        <v>7508</v>
      </c>
      <c r="G343" t="s">
        <v>7506</v>
      </c>
      <c r="H343" t="s">
        <v>631</v>
      </c>
      <c r="J343" t="s">
        <v>632</v>
      </c>
      <c r="K343" t="s">
        <v>99</v>
      </c>
      <c r="L343" t="s">
        <v>102</v>
      </c>
      <c r="M343" t="s">
        <v>85</v>
      </c>
      <c r="R343" t="s">
        <v>1264</v>
      </c>
      <c r="S343" t="s">
        <v>1265</v>
      </c>
      <c r="T343" t="s">
        <v>87</v>
      </c>
      <c r="U343" t="s">
        <v>77</v>
      </c>
      <c r="V343" t="str">
        <f>"112362504"</f>
        <v>112362504</v>
      </c>
      <c r="AC343" t="s">
        <v>79</v>
      </c>
      <c r="AD343" t="s">
        <v>75</v>
      </c>
      <c r="AE343" t="s">
        <v>103</v>
      </c>
      <c r="AG343" t="s">
        <v>81</v>
      </c>
    </row>
    <row r="344" spans="1:33" x14ac:dyDescent="0.25">
      <c r="A344" t="str">
        <f>"1659438786"</f>
        <v>1659438786</v>
      </c>
      <c r="C344" t="s">
        <v>7509</v>
      </c>
      <c r="G344" t="s">
        <v>7506</v>
      </c>
      <c r="H344" t="s">
        <v>631</v>
      </c>
      <c r="J344" t="s">
        <v>632</v>
      </c>
      <c r="K344" t="s">
        <v>99</v>
      </c>
      <c r="L344" t="s">
        <v>102</v>
      </c>
      <c r="M344" t="s">
        <v>75</v>
      </c>
      <c r="R344" t="s">
        <v>1368</v>
      </c>
      <c r="S344" t="s">
        <v>1265</v>
      </c>
      <c r="T344" t="s">
        <v>87</v>
      </c>
      <c r="U344" t="s">
        <v>77</v>
      </c>
      <c r="V344" t="str">
        <f>"112362504"</f>
        <v>112362504</v>
      </c>
      <c r="AC344" t="s">
        <v>79</v>
      </c>
      <c r="AD344" t="s">
        <v>75</v>
      </c>
      <c r="AE344" t="s">
        <v>103</v>
      </c>
      <c r="AG344" t="s">
        <v>81</v>
      </c>
    </row>
    <row r="345" spans="1:33" x14ac:dyDescent="0.25">
      <c r="A345" t="str">
        <f>"1104954296"</f>
        <v>1104954296</v>
      </c>
      <c r="C345" t="s">
        <v>7510</v>
      </c>
      <c r="G345" t="s">
        <v>7506</v>
      </c>
      <c r="H345" t="s">
        <v>631</v>
      </c>
      <c r="J345" t="s">
        <v>632</v>
      </c>
      <c r="K345" t="s">
        <v>99</v>
      </c>
      <c r="L345" t="s">
        <v>102</v>
      </c>
      <c r="M345" t="s">
        <v>75</v>
      </c>
      <c r="R345" t="s">
        <v>633</v>
      </c>
      <c r="S345" t="s">
        <v>634</v>
      </c>
      <c r="T345" t="s">
        <v>166</v>
      </c>
      <c r="U345" t="s">
        <v>77</v>
      </c>
      <c r="V345" t="str">
        <f>"115901712"</f>
        <v>115901712</v>
      </c>
      <c r="AC345" t="s">
        <v>79</v>
      </c>
      <c r="AD345" t="s">
        <v>75</v>
      </c>
      <c r="AE345" t="s">
        <v>103</v>
      </c>
      <c r="AG345" t="s">
        <v>81</v>
      </c>
    </row>
    <row r="346" spans="1:33" x14ac:dyDescent="0.25">
      <c r="A346" t="str">
        <f>"1982697033"</f>
        <v>1982697033</v>
      </c>
      <c r="B346" t="str">
        <f>"01135639"</f>
        <v>01135639</v>
      </c>
      <c r="C346" t="s">
        <v>7511</v>
      </c>
      <c r="D346" t="s">
        <v>7512</v>
      </c>
      <c r="E346" t="s">
        <v>7513</v>
      </c>
      <c r="G346" t="s">
        <v>6278</v>
      </c>
      <c r="H346" t="s">
        <v>6279</v>
      </c>
      <c r="J346" t="s">
        <v>6280</v>
      </c>
      <c r="L346" t="s">
        <v>83</v>
      </c>
      <c r="M346" t="s">
        <v>85</v>
      </c>
      <c r="R346" t="s">
        <v>7514</v>
      </c>
      <c r="W346" t="s">
        <v>7515</v>
      </c>
      <c r="X346" t="s">
        <v>702</v>
      </c>
      <c r="Y346" t="s">
        <v>139</v>
      </c>
      <c r="Z346" t="s">
        <v>77</v>
      </c>
      <c r="AA346" t="str">
        <f>"11355-3105"</f>
        <v>11355-3105</v>
      </c>
      <c r="AB346" t="s">
        <v>78</v>
      </c>
      <c r="AC346" t="s">
        <v>79</v>
      </c>
      <c r="AD346" t="s">
        <v>75</v>
      </c>
      <c r="AE346" t="s">
        <v>80</v>
      </c>
      <c r="AG346" t="s">
        <v>81</v>
      </c>
    </row>
    <row r="347" spans="1:33" x14ac:dyDescent="0.25">
      <c r="A347" t="str">
        <f>"1871671693"</f>
        <v>1871671693</v>
      </c>
      <c r="B347" t="str">
        <f>"02867783"</f>
        <v>02867783</v>
      </c>
      <c r="C347" t="s">
        <v>7516</v>
      </c>
      <c r="D347" t="s">
        <v>2682</v>
      </c>
      <c r="E347" t="s">
        <v>2683</v>
      </c>
      <c r="G347" t="s">
        <v>6278</v>
      </c>
      <c r="H347" t="s">
        <v>6279</v>
      </c>
      <c r="J347" t="s">
        <v>6280</v>
      </c>
      <c r="L347" t="s">
        <v>74</v>
      </c>
      <c r="M347" t="s">
        <v>85</v>
      </c>
      <c r="R347" t="s">
        <v>2684</v>
      </c>
      <c r="W347" t="s">
        <v>2683</v>
      </c>
      <c r="X347" t="s">
        <v>169</v>
      </c>
      <c r="Y347" t="s">
        <v>155</v>
      </c>
      <c r="Z347" t="s">
        <v>77</v>
      </c>
      <c r="AA347" t="str">
        <f>"10305-3436"</f>
        <v>10305-3436</v>
      </c>
      <c r="AB347" t="s">
        <v>78</v>
      </c>
      <c r="AC347" t="s">
        <v>79</v>
      </c>
      <c r="AD347" t="s">
        <v>75</v>
      </c>
      <c r="AE347" t="s">
        <v>80</v>
      </c>
      <c r="AG347" t="s">
        <v>81</v>
      </c>
    </row>
    <row r="348" spans="1:33" x14ac:dyDescent="0.25">
      <c r="A348" t="str">
        <f>"1639167679"</f>
        <v>1639167679</v>
      </c>
      <c r="B348" t="str">
        <f>"01832053"</f>
        <v>01832053</v>
      </c>
      <c r="C348" t="s">
        <v>7517</v>
      </c>
      <c r="D348" t="s">
        <v>7518</v>
      </c>
      <c r="E348" t="s">
        <v>7519</v>
      </c>
      <c r="G348" t="s">
        <v>6380</v>
      </c>
      <c r="H348" t="s">
        <v>4625</v>
      </c>
      <c r="J348" t="s">
        <v>6381</v>
      </c>
      <c r="L348" t="s">
        <v>84</v>
      </c>
      <c r="M348" t="s">
        <v>85</v>
      </c>
      <c r="R348" t="s">
        <v>7520</v>
      </c>
      <c r="W348" t="s">
        <v>7519</v>
      </c>
      <c r="X348" t="s">
        <v>6187</v>
      </c>
      <c r="Y348" t="s">
        <v>1823</v>
      </c>
      <c r="Z348" t="s">
        <v>77</v>
      </c>
      <c r="AA348" t="str">
        <f>"10941-4013"</f>
        <v>10941-4013</v>
      </c>
      <c r="AB348" t="s">
        <v>78</v>
      </c>
      <c r="AC348" t="s">
        <v>79</v>
      </c>
      <c r="AD348" t="s">
        <v>75</v>
      </c>
      <c r="AE348" t="s">
        <v>80</v>
      </c>
      <c r="AG348" t="s">
        <v>81</v>
      </c>
    </row>
    <row r="349" spans="1:33" x14ac:dyDescent="0.25">
      <c r="A349" t="str">
        <f>"1639137029"</f>
        <v>1639137029</v>
      </c>
      <c r="B349" t="str">
        <f>"01859530"</f>
        <v>01859530</v>
      </c>
      <c r="C349" t="s">
        <v>7521</v>
      </c>
      <c r="D349" t="s">
        <v>7522</v>
      </c>
      <c r="E349" t="s">
        <v>7523</v>
      </c>
      <c r="G349" t="s">
        <v>6380</v>
      </c>
      <c r="H349" t="s">
        <v>4625</v>
      </c>
      <c r="J349" t="s">
        <v>6381</v>
      </c>
      <c r="L349" t="s">
        <v>83</v>
      </c>
      <c r="M349" t="s">
        <v>75</v>
      </c>
      <c r="R349" t="s">
        <v>7524</v>
      </c>
      <c r="W349" t="s">
        <v>7523</v>
      </c>
      <c r="X349" t="s">
        <v>7525</v>
      </c>
      <c r="Y349" t="s">
        <v>2220</v>
      </c>
      <c r="Z349" t="s">
        <v>77</v>
      </c>
      <c r="AA349" t="str">
        <f>"10924"</f>
        <v>10924</v>
      </c>
      <c r="AB349" t="s">
        <v>78</v>
      </c>
      <c r="AC349" t="s">
        <v>79</v>
      </c>
      <c r="AD349" t="s">
        <v>75</v>
      </c>
      <c r="AE349" t="s">
        <v>80</v>
      </c>
      <c r="AG349" t="s">
        <v>81</v>
      </c>
    </row>
    <row r="350" spans="1:33" x14ac:dyDescent="0.25">
      <c r="A350" t="str">
        <f>"1942294335"</f>
        <v>1942294335</v>
      </c>
      <c r="B350" t="str">
        <f>"01903231"</f>
        <v>01903231</v>
      </c>
      <c r="C350" t="s">
        <v>7526</v>
      </c>
      <c r="D350" t="s">
        <v>7527</v>
      </c>
      <c r="E350" t="s">
        <v>7528</v>
      </c>
      <c r="G350" t="s">
        <v>6380</v>
      </c>
      <c r="H350" t="s">
        <v>4625</v>
      </c>
      <c r="J350" t="s">
        <v>6381</v>
      </c>
      <c r="L350" t="s">
        <v>94</v>
      </c>
      <c r="M350" t="s">
        <v>85</v>
      </c>
      <c r="R350" t="s">
        <v>7529</v>
      </c>
      <c r="W350" t="s">
        <v>7528</v>
      </c>
      <c r="X350" t="s">
        <v>6187</v>
      </c>
      <c r="Y350" t="s">
        <v>1823</v>
      </c>
      <c r="Z350" t="s">
        <v>77</v>
      </c>
      <c r="AA350" t="str">
        <f>"10941-4013"</f>
        <v>10941-4013</v>
      </c>
      <c r="AB350" t="s">
        <v>78</v>
      </c>
      <c r="AC350" t="s">
        <v>79</v>
      </c>
      <c r="AD350" t="s">
        <v>75</v>
      </c>
      <c r="AE350" t="s">
        <v>80</v>
      </c>
      <c r="AG350" t="s">
        <v>81</v>
      </c>
    </row>
    <row r="351" spans="1:33" x14ac:dyDescent="0.25">
      <c r="A351" t="str">
        <f>"1376514687"</f>
        <v>1376514687</v>
      </c>
      <c r="B351" t="str">
        <f>"01924767"</f>
        <v>01924767</v>
      </c>
      <c r="C351" t="s">
        <v>7530</v>
      </c>
      <c r="D351" t="s">
        <v>6120</v>
      </c>
      <c r="E351" t="s">
        <v>6121</v>
      </c>
      <c r="G351" t="s">
        <v>6380</v>
      </c>
      <c r="H351" t="s">
        <v>4625</v>
      </c>
      <c r="J351" t="s">
        <v>6381</v>
      </c>
      <c r="L351" t="s">
        <v>83</v>
      </c>
      <c r="M351" t="s">
        <v>85</v>
      </c>
      <c r="R351" t="s">
        <v>6122</v>
      </c>
      <c r="W351" t="s">
        <v>6121</v>
      </c>
      <c r="X351" t="s">
        <v>1796</v>
      </c>
      <c r="Y351" t="s">
        <v>1797</v>
      </c>
      <c r="Z351" t="s">
        <v>77</v>
      </c>
      <c r="AA351" t="str">
        <f>"12550-4851"</f>
        <v>12550-4851</v>
      </c>
      <c r="AB351" t="s">
        <v>114</v>
      </c>
      <c r="AC351" t="s">
        <v>79</v>
      </c>
      <c r="AD351" t="s">
        <v>75</v>
      </c>
      <c r="AE351" t="s">
        <v>80</v>
      </c>
      <c r="AG351" t="s">
        <v>81</v>
      </c>
    </row>
    <row r="352" spans="1:33" x14ac:dyDescent="0.25">
      <c r="A352" t="str">
        <f>"1891974507"</f>
        <v>1891974507</v>
      </c>
      <c r="B352" t="str">
        <f>"02978834"</f>
        <v>02978834</v>
      </c>
      <c r="C352" t="s">
        <v>7531</v>
      </c>
      <c r="D352" t="s">
        <v>7532</v>
      </c>
      <c r="E352" t="s">
        <v>7533</v>
      </c>
      <c r="G352" t="s">
        <v>6278</v>
      </c>
      <c r="H352" t="s">
        <v>6279</v>
      </c>
      <c r="J352" t="s">
        <v>6280</v>
      </c>
      <c r="L352" t="s">
        <v>84</v>
      </c>
      <c r="M352" t="s">
        <v>85</v>
      </c>
      <c r="R352" t="s">
        <v>7534</v>
      </c>
      <c r="W352" t="s">
        <v>7535</v>
      </c>
      <c r="X352" t="s">
        <v>7536</v>
      </c>
      <c r="Y352" t="s">
        <v>152</v>
      </c>
      <c r="Z352" t="s">
        <v>77</v>
      </c>
      <c r="AA352" t="str">
        <f>"11375-1123"</f>
        <v>11375-1123</v>
      </c>
      <c r="AB352" t="s">
        <v>78</v>
      </c>
      <c r="AC352" t="s">
        <v>79</v>
      </c>
      <c r="AD352" t="s">
        <v>75</v>
      </c>
      <c r="AE352" t="s">
        <v>80</v>
      </c>
      <c r="AG352" t="s">
        <v>81</v>
      </c>
    </row>
    <row r="353" spans="1:33" x14ac:dyDescent="0.25">
      <c r="A353" t="str">
        <f>"1124347182"</f>
        <v>1124347182</v>
      </c>
      <c r="B353" t="str">
        <f>"03485765"</f>
        <v>03485765</v>
      </c>
      <c r="C353" t="s">
        <v>7537</v>
      </c>
      <c r="D353" t="s">
        <v>7125</v>
      </c>
      <c r="E353" t="s">
        <v>7126</v>
      </c>
      <c r="G353" t="s">
        <v>6494</v>
      </c>
      <c r="H353" t="s">
        <v>6495</v>
      </c>
      <c r="J353" t="s">
        <v>6496</v>
      </c>
      <c r="L353" t="s">
        <v>358</v>
      </c>
      <c r="M353" t="s">
        <v>85</v>
      </c>
      <c r="R353" t="s">
        <v>7474</v>
      </c>
      <c r="W353" t="s">
        <v>7538</v>
      </c>
      <c r="X353" t="s">
        <v>7539</v>
      </c>
      <c r="Y353" t="s">
        <v>97</v>
      </c>
      <c r="Z353" t="s">
        <v>77</v>
      </c>
      <c r="AA353" t="str">
        <f>"10025-5752"</f>
        <v>10025-5752</v>
      </c>
      <c r="AB353" t="s">
        <v>122</v>
      </c>
      <c r="AC353" t="s">
        <v>79</v>
      </c>
      <c r="AD353" t="s">
        <v>75</v>
      </c>
      <c r="AE353" t="s">
        <v>80</v>
      </c>
      <c r="AG353" t="s">
        <v>81</v>
      </c>
    </row>
    <row r="354" spans="1:33" x14ac:dyDescent="0.25">
      <c r="A354" t="str">
        <f>"1366716680"</f>
        <v>1366716680</v>
      </c>
      <c r="C354" t="s">
        <v>7540</v>
      </c>
      <c r="G354" t="s">
        <v>6494</v>
      </c>
      <c r="H354" t="s">
        <v>6495</v>
      </c>
      <c r="J354" t="s">
        <v>6496</v>
      </c>
      <c r="K354" t="s">
        <v>99</v>
      </c>
      <c r="L354" t="s">
        <v>102</v>
      </c>
      <c r="M354" t="s">
        <v>75</v>
      </c>
      <c r="R354" t="s">
        <v>7474</v>
      </c>
      <c r="S354" t="s">
        <v>7541</v>
      </c>
      <c r="T354" t="s">
        <v>97</v>
      </c>
      <c r="U354" t="s">
        <v>77</v>
      </c>
      <c r="V354" t="str">
        <f>"100244340"</f>
        <v>100244340</v>
      </c>
      <c r="AC354" t="s">
        <v>79</v>
      </c>
      <c r="AD354" t="s">
        <v>75</v>
      </c>
      <c r="AE354" t="s">
        <v>103</v>
      </c>
      <c r="AG354" t="s">
        <v>81</v>
      </c>
    </row>
    <row r="355" spans="1:33" x14ac:dyDescent="0.25">
      <c r="A355" t="str">
        <f>"1669746905"</f>
        <v>1669746905</v>
      </c>
      <c r="C355" t="s">
        <v>7542</v>
      </c>
      <c r="G355" t="s">
        <v>6494</v>
      </c>
      <c r="H355" t="s">
        <v>6495</v>
      </c>
      <c r="J355" t="s">
        <v>6496</v>
      </c>
      <c r="K355" t="s">
        <v>99</v>
      </c>
      <c r="L355" t="s">
        <v>102</v>
      </c>
      <c r="M355" t="s">
        <v>75</v>
      </c>
      <c r="R355" t="s">
        <v>7474</v>
      </c>
      <c r="S355" t="s">
        <v>7543</v>
      </c>
      <c r="T355" t="s">
        <v>97</v>
      </c>
      <c r="U355" t="s">
        <v>77</v>
      </c>
      <c r="V355" t="str">
        <f>"100252956"</f>
        <v>100252956</v>
      </c>
      <c r="AC355" t="s">
        <v>79</v>
      </c>
      <c r="AD355" t="s">
        <v>75</v>
      </c>
      <c r="AE355" t="s">
        <v>103</v>
      </c>
      <c r="AG355" t="s">
        <v>81</v>
      </c>
    </row>
    <row r="356" spans="1:33" x14ac:dyDescent="0.25">
      <c r="A356" t="str">
        <f>"1962478438"</f>
        <v>1962478438</v>
      </c>
      <c r="B356" t="str">
        <f>"02668555"</f>
        <v>02668555</v>
      </c>
      <c r="C356" t="s">
        <v>7544</v>
      </c>
      <c r="D356" t="s">
        <v>7545</v>
      </c>
      <c r="E356" t="s">
        <v>7546</v>
      </c>
      <c r="G356" t="s">
        <v>6278</v>
      </c>
      <c r="H356" t="s">
        <v>6279</v>
      </c>
      <c r="J356" t="s">
        <v>6280</v>
      </c>
      <c r="L356" t="s">
        <v>83</v>
      </c>
      <c r="M356" t="s">
        <v>75</v>
      </c>
      <c r="R356" t="s">
        <v>7547</v>
      </c>
      <c r="W356" t="s">
        <v>7546</v>
      </c>
      <c r="X356" t="s">
        <v>86</v>
      </c>
      <c r="Y356" t="s">
        <v>87</v>
      </c>
      <c r="Z356" t="s">
        <v>77</v>
      </c>
      <c r="AA356" t="str">
        <f>"11220-2559"</f>
        <v>11220-2559</v>
      </c>
      <c r="AB356" t="s">
        <v>78</v>
      </c>
      <c r="AC356" t="s">
        <v>79</v>
      </c>
      <c r="AD356" t="s">
        <v>75</v>
      </c>
      <c r="AE356" t="s">
        <v>80</v>
      </c>
      <c r="AG356" t="s">
        <v>81</v>
      </c>
    </row>
    <row r="357" spans="1:33" x14ac:dyDescent="0.25">
      <c r="A357" t="str">
        <f>"1912063934"</f>
        <v>1912063934</v>
      </c>
      <c r="B357" t="str">
        <f>"03136692"</f>
        <v>03136692</v>
      </c>
      <c r="C357" t="s">
        <v>7548</v>
      </c>
      <c r="D357" t="s">
        <v>7549</v>
      </c>
      <c r="E357" t="s">
        <v>7550</v>
      </c>
      <c r="G357" t="s">
        <v>6278</v>
      </c>
      <c r="H357" t="s">
        <v>6279</v>
      </c>
      <c r="J357" t="s">
        <v>6280</v>
      </c>
      <c r="L357" t="s">
        <v>83</v>
      </c>
      <c r="M357" t="s">
        <v>75</v>
      </c>
      <c r="R357" t="s">
        <v>7550</v>
      </c>
      <c r="W357" t="s">
        <v>7551</v>
      </c>
      <c r="X357" t="s">
        <v>1496</v>
      </c>
      <c r="Y357" t="s">
        <v>87</v>
      </c>
      <c r="Z357" t="s">
        <v>77</v>
      </c>
      <c r="AA357" t="str">
        <f>"11226-6522"</f>
        <v>11226-6522</v>
      </c>
      <c r="AB357" t="s">
        <v>78</v>
      </c>
      <c r="AC357" t="s">
        <v>79</v>
      </c>
      <c r="AD357" t="s">
        <v>75</v>
      </c>
      <c r="AE357" t="s">
        <v>80</v>
      </c>
      <c r="AG357" t="s">
        <v>81</v>
      </c>
    </row>
    <row r="358" spans="1:33" x14ac:dyDescent="0.25">
      <c r="A358" t="str">
        <f>"1770557860"</f>
        <v>1770557860</v>
      </c>
      <c r="B358" t="str">
        <f>"02109864"</f>
        <v>02109864</v>
      </c>
      <c r="C358" t="s">
        <v>7552</v>
      </c>
      <c r="D358" t="s">
        <v>7553</v>
      </c>
      <c r="E358" t="s">
        <v>7554</v>
      </c>
      <c r="G358" t="s">
        <v>6367</v>
      </c>
      <c r="H358" t="s">
        <v>4625</v>
      </c>
      <c r="J358" t="s">
        <v>6368</v>
      </c>
      <c r="L358" t="s">
        <v>83</v>
      </c>
      <c r="M358" t="s">
        <v>75</v>
      </c>
      <c r="R358" t="s">
        <v>7555</v>
      </c>
      <c r="W358" t="s">
        <v>7554</v>
      </c>
      <c r="X358" t="s">
        <v>1843</v>
      </c>
      <c r="Y358" t="s">
        <v>153</v>
      </c>
      <c r="Z358" t="s">
        <v>77</v>
      </c>
      <c r="AA358" t="str">
        <f>"12601-1154"</f>
        <v>12601-1154</v>
      </c>
      <c r="AB358" t="s">
        <v>78</v>
      </c>
      <c r="AC358" t="s">
        <v>79</v>
      </c>
      <c r="AD358" t="s">
        <v>75</v>
      </c>
      <c r="AE358" t="s">
        <v>80</v>
      </c>
      <c r="AG358" t="s">
        <v>81</v>
      </c>
    </row>
    <row r="359" spans="1:33" x14ac:dyDescent="0.25">
      <c r="A359" t="str">
        <f>"1801888417"</f>
        <v>1801888417</v>
      </c>
      <c r="B359" t="str">
        <f>"01998383"</f>
        <v>01998383</v>
      </c>
      <c r="C359" t="s">
        <v>7556</v>
      </c>
      <c r="D359" t="s">
        <v>7557</v>
      </c>
      <c r="E359" t="s">
        <v>7558</v>
      </c>
      <c r="G359" t="s">
        <v>6367</v>
      </c>
      <c r="H359" t="s">
        <v>4625</v>
      </c>
      <c r="J359" t="s">
        <v>6368</v>
      </c>
      <c r="L359" t="s">
        <v>83</v>
      </c>
      <c r="M359" t="s">
        <v>85</v>
      </c>
      <c r="R359" t="s">
        <v>7559</v>
      </c>
      <c r="W359" t="s">
        <v>7558</v>
      </c>
      <c r="X359" t="s">
        <v>7560</v>
      </c>
      <c r="Y359" t="s">
        <v>97</v>
      </c>
      <c r="Z359" t="s">
        <v>77</v>
      </c>
      <c r="AA359" t="str">
        <f>"10019-6301"</f>
        <v>10019-6301</v>
      </c>
      <c r="AB359" t="s">
        <v>78</v>
      </c>
      <c r="AC359" t="s">
        <v>79</v>
      </c>
      <c r="AD359" t="s">
        <v>75</v>
      </c>
      <c r="AE359" t="s">
        <v>80</v>
      </c>
      <c r="AG359" t="s">
        <v>81</v>
      </c>
    </row>
    <row r="360" spans="1:33" x14ac:dyDescent="0.25">
      <c r="A360" t="str">
        <f>"1871659136"</f>
        <v>1871659136</v>
      </c>
      <c r="B360" t="str">
        <f>"01361733"</f>
        <v>01361733</v>
      </c>
      <c r="C360" t="s">
        <v>7561</v>
      </c>
      <c r="D360" t="s">
        <v>7562</v>
      </c>
      <c r="E360" t="s">
        <v>7563</v>
      </c>
      <c r="G360" t="s">
        <v>6380</v>
      </c>
      <c r="H360" t="s">
        <v>4625</v>
      </c>
      <c r="J360" t="s">
        <v>6381</v>
      </c>
      <c r="L360" t="s">
        <v>84</v>
      </c>
      <c r="M360" t="s">
        <v>75</v>
      </c>
      <c r="R360" t="s">
        <v>7564</v>
      </c>
      <c r="W360" t="s">
        <v>7565</v>
      </c>
      <c r="X360" t="s">
        <v>7566</v>
      </c>
      <c r="Y360" t="s">
        <v>1838</v>
      </c>
      <c r="Z360" t="s">
        <v>77</v>
      </c>
      <c r="AA360" t="str">
        <f>"12524-1347"</f>
        <v>12524-1347</v>
      </c>
      <c r="AB360" t="s">
        <v>78</v>
      </c>
      <c r="AC360" t="s">
        <v>79</v>
      </c>
      <c r="AD360" t="s">
        <v>75</v>
      </c>
      <c r="AE360" t="s">
        <v>80</v>
      </c>
      <c r="AG360" t="s">
        <v>81</v>
      </c>
    </row>
    <row r="361" spans="1:33" x14ac:dyDescent="0.25">
      <c r="A361" t="str">
        <f>"1811917842"</f>
        <v>1811917842</v>
      </c>
      <c r="B361" t="str">
        <f>"01415407"</f>
        <v>01415407</v>
      </c>
      <c r="C361" t="s">
        <v>7567</v>
      </c>
      <c r="D361" t="s">
        <v>7568</v>
      </c>
      <c r="E361" t="s">
        <v>7569</v>
      </c>
      <c r="G361" t="s">
        <v>6380</v>
      </c>
      <c r="H361" t="s">
        <v>4625</v>
      </c>
      <c r="J361" t="s">
        <v>6381</v>
      </c>
      <c r="L361" t="s">
        <v>83</v>
      </c>
      <c r="M361" t="s">
        <v>85</v>
      </c>
      <c r="R361" t="s">
        <v>7570</v>
      </c>
      <c r="W361" t="s">
        <v>7571</v>
      </c>
      <c r="X361" t="s">
        <v>5479</v>
      </c>
      <c r="Y361" t="s">
        <v>2220</v>
      </c>
      <c r="Z361" t="s">
        <v>77</v>
      </c>
      <c r="AA361" t="str">
        <f>"10924-2499"</f>
        <v>10924-2499</v>
      </c>
      <c r="AB361" t="s">
        <v>78</v>
      </c>
      <c r="AC361" t="s">
        <v>79</v>
      </c>
      <c r="AD361" t="s">
        <v>75</v>
      </c>
      <c r="AE361" t="s">
        <v>80</v>
      </c>
      <c r="AG361" t="s">
        <v>81</v>
      </c>
    </row>
    <row r="362" spans="1:33" x14ac:dyDescent="0.25">
      <c r="A362" t="str">
        <f>"1225097793"</f>
        <v>1225097793</v>
      </c>
      <c r="B362" t="str">
        <f>"01446639"</f>
        <v>01446639</v>
      </c>
      <c r="C362" t="s">
        <v>7572</v>
      </c>
      <c r="D362" t="s">
        <v>7573</v>
      </c>
      <c r="E362" t="s">
        <v>7574</v>
      </c>
      <c r="G362" t="s">
        <v>6380</v>
      </c>
      <c r="H362" t="s">
        <v>4625</v>
      </c>
      <c r="J362" t="s">
        <v>6381</v>
      </c>
      <c r="L362" t="s">
        <v>84</v>
      </c>
      <c r="M362" t="s">
        <v>85</v>
      </c>
      <c r="R362" t="s">
        <v>4506</v>
      </c>
      <c r="W362" t="s">
        <v>7574</v>
      </c>
      <c r="X362" t="s">
        <v>1822</v>
      </c>
      <c r="Y362" t="s">
        <v>1823</v>
      </c>
      <c r="Z362" t="s">
        <v>77</v>
      </c>
      <c r="AA362" t="str">
        <f>"10941-4028"</f>
        <v>10941-4028</v>
      </c>
      <c r="AB362" t="s">
        <v>78</v>
      </c>
      <c r="AC362" t="s">
        <v>79</v>
      </c>
      <c r="AD362" t="s">
        <v>75</v>
      </c>
      <c r="AE362" t="s">
        <v>80</v>
      </c>
      <c r="AG362" t="s">
        <v>81</v>
      </c>
    </row>
    <row r="363" spans="1:33" x14ac:dyDescent="0.25">
      <c r="A363" t="str">
        <f>"1790767762"</f>
        <v>1790767762</v>
      </c>
      <c r="B363" t="str">
        <f>"01476035"</f>
        <v>01476035</v>
      </c>
      <c r="C363" t="s">
        <v>7575</v>
      </c>
      <c r="D363" t="s">
        <v>7576</v>
      </c>
      <c r="E363" t="s">
        <v>7577</v>
      </c>
      <c r="G363" t="s">
        <v>6380</v>
      </c>
      <c r="H363" t="s">
        <v>4625</v>
      </c>
      <c r="J363" t="s">
        <v>6381</v>
      </c>
      <c r="L363" t="s">
        <v>83</v>
      </c>
      <c r="M363" t="s">
        <v>85</v>
      </c>
      <c r="R363" t="s">
        <v>7578</v>
      </c>
      <c r="W363" t="s">
        <v>7577</v>
      </c>
      <c r="X363" t="s">
        <v>174</v>
      </c>
      <c r="Y363" t="s">
        <v>131</v>
      </c>
      <c r="Z363" t="s">
        <v>77</v>
      </c>
      <c r="AA363" t="str">
        <f>"10461-2301"</f>
        <v>10461-2301</v>
      </c>
      <c r="AB363" t="s">
        <v>78</v>
      </c>
      <c r="AC363" t="s">
        <v>79</v>
      </c>
      <c r="AD363" t="s">
        <v>75</v>
      </c>
      <c r="AE363" t="s">
        <v>80</v>
      </c>
      <c r="AG363" t="s">
        <v>81</v>
      </c>
    </row>
    <row r="364" spans="1:33" x14ac:dyDescent="0.25">
      <c r="A364" t="str">
        <f>"1669411815"</f>
        <v>1669411815</v>
      </c>
      <c r="B364" t="str">
        <f>"03717273"</f>
        <v>03717273</v>
      </c>
      <c r="C364" t="s">
        <v>7579</v>
      </c>
      <c r="D364" t="s">
        <v>7580</v>
      </c>
      <c r="E364" t="s">
        <v>7581</v>
      </c>
      <c r="G364" t="s">
        <v>6367</v>
      </c>
      <c r="H364" t="s">
        <v>4625</v>
      </c>
      <c r="J364" t="s">
        <v>6368</v>
      </c>
      <c r="L364" t="s">
        <v>83</v>
      </c>
      <c r="M364" t="s">
        <v>85</v>
      </c>
      <c r="R364" t="s">
        <v>7582</v>
      </c>
      <c r="W364" t="s">
        <v>7581</v>
      </c>
      <c r="X364" t="s">
        <v>1822</v>
      </c>
      <c r="Y364" t="s">
        <v>1823</v>
      </c>
      <c r="Z364" t="s">
        <v>77</v>
      </c>
      <c r="AA364" t="str">
        <f>"10941-4028"</f>
        <v>10941-4028</v>
      </c>
      <c r="AB364" t="s">
        <v>78</v>
      </c>
      <c r="AC364" t="s">
        <v>79</v>
      </c>
      <c r="AD364" t="s">
        <v>75</v>
      </c>
      <c r="AE364" t="s">
        <v>80</v>
      </c>
      <c r="AG364" t="s">
        <v>81</v>
      </c>
    </row>
    <row r="365" spans="1:33" x14ac:dyDescent="0.25">
      <c r="A365" t="str">
        <f>"1316917990"</f>
        <v>1316917990</v>
      </c>
      <c r="B365" t="str">
        <f>"01490784"</f>
        <v>01490784</v>
      </c>
      <c r="C365" t="s">
        <v>7583</v>
      </c>
      <c r="D365" t="s">
        <v>7584</v>
      </c>
      <c r="E365" t="s">
        <v>7585</v>
      </c>
      <c r="G365" t="s">
        <v>6367</v>
      </c>
      <c r="H365" t="s">
        <v>4625</v>
      </c>
      <c r="J365" t="s">
        <v>6368</v>
      </c>
      <c r="L365" t="s">
        <v>83</v>
      </c>
      <c r="M365" t="s">
        <v>85</v>
      </c>
      <c r="R365" t="s">
        <v>7586</v>
      </c>
      <c r="W365" t="s">
        <v>7585</v>
      </c>
      <c r="X365" t="s">
        <v>7587</v>
      </c>
      <c r="Y365" t="s">
        <v>1797</v>
      </c>
      <c r="Z365" t="s">
        <v>77</v>
      </c>
      <c r="AA365" t="str">
        <f>"12550-4851"</f>
        <v>12550-4851</v>
      </c>
      <c r="AB365" t="s">
        <v>78</v>
      </c>
      <c r="AC365" t="s">
        <v>79</v>
      </c>
      <c r="AD365" t="s">
        <v>75</v>
      </c>
      <c r="AE365" t="s">
        <v>80</v>
      </c>
      <c r="AG365" t="s">
        <v>81</v>
      </c>
    </row>
    <row r="366" spans="1:33" x14ac:dyDescent="0.25">
      <c r="C366" t="s">
        <v>7588</v>
      </c>
      <c r="G366" t="s">
        <v>7589</v>
      </c>
      <c r="H366" t="s">
        <v>685</v>
      </c>
      <c r="J366" t="s">
        <v>686</v>
      </c>
      <c r="K366" t="s">
        <v>99</v>
      </c>
      <c r="L366" t="s">
        <v>100</v>
      </c>
      <c r="M366" t="s">
        <v>75</v>
      </c>
      <c r="AC366" t="s">
        <v>79</v>
      </c>
      <c r="AD366" t="s">
        <v>75</v>
      </c>
      <c r="AE366" t="s">
        <v>101</v>
      </c>
      <c r="AG366" t="s">
        <v>81</v>
      </c>
    </row>
    <row r="367" spans="1:33" x14ac:dyDescent="0.25">
      <c r="A367" t="str">
        <f>"1083820583"</f>
        <v>1083820583</v>
      </c>
      <c r="B367" t="str">
        <f>"02822911"</f>
        <v>02822911</v>
      </c>
      <c r="C367" t="s">
        <v>7590</v>
      </c>
      <c r="D367" t="s">
        <v>3492</v>
      </c>
      <c r="E367" t="s">
        <v>3493</v>
      </c>
      <c r="G367" t="s">
        <v>7591</v>
      </c>
      <c r="H367" t="s">
        <v>2904</v>
      </c>
      <c r="I367">
        <v>470</v>
      </c>
      <c r="J367" t="s">
        <v>7592</v>
      </c>
      <c r="L367" t="s">
        <v>1750</v>
      </c>
      <c r="M367" t="s">
        <v>85</v>
      </c>
      <c r="R367" t="s">
        <v>3495</v>
      </c>
      <c r="W367" t="s">
        <v>3493</v>
      </c>
      <c r="X367" t="s">
        <v>3496</v>
      </c>
      <c r="Y367" t="s">
        <v>97</v>
      </c>
      <c r="Z367" t="s">
        <v>77</v>
      </c>
      <c r="AA367" t="str">
        <f>"10035-2831"</f>
        <v>10035-2831</v>
      </c>
      <c r="AB367" t="s">
        <v>93</v>
      </c>
      <c r="AC367" t="s">
        <v>79</v>
      </c>
      <c r="AD367" t="s">
        <v>75</v>
      </c>
      <c r="AE367" t="s">
        <v>80</v>
      </c>
      <c r="AG367" t="s">
        <v>81</v>
      </c>
    </row>
    <row r="368" spans="1:33" x14ac:dyDescent="0.25">
      <c r="A368" t="str">
        <f>"1023208048"</f>
        <v>1023208048</v>
      </c>
      <c r="B368" t="str">
        <f>"01312954"</f>
        <v>01312954</v>
      </c>
      <c r="C368" t="s">
        <v>7593</v>
      </c>
      <c r="D368" t="s">
        <v>1146</v>
      </c>
      <c r="E368" t="s">
        <v>1147</v>
      </c>
      <c r="G368" t="s">
        <v>7594</v>
      </c>
      <c r="H368" t="s">
        <v>1148</v>
      </c>
      <c r="I368">
        <v>3608</v>
      </c>
      <c r="J368" t="s">
        <v>1149</v>
      </c>
      <c r="L368" t="s">
        <v>10</v>
      </c>
      <c r="M368" t="s">
        <v>85</v>
      </c>
      <c r="R368" t="s">
        <v>1150</v>
      </c>
      <c r="W368" t="s">
        <v>1147</v>
      </c>
      <c r="X368" t="s">
        <v>1151</v>
      </c>
      <c r="Y368" t="s">
        <v>155</v>
      </c>
      <c r="Z368" t="s">
        <v>77</v>
      </c>
      <c r="AA368" t="str">
        <f>"10305-1252"</f>
        <v>10305-1252</v>
      </c>
      <c r="AB368" t="s">
        <v>98</v>
      </c>
      <c r="AC368" t="s">
        <v>79</v>
      </c>
      <c r="AD368" t="s">
        <v>75</v>
      </c>
      <c r="AE368" t="s">
        <v>80</v>
      </c>
      <c r="AG368" t="s">
        <v>81</v>
      </c>
    </row>
    <row r="369" spans="1:33" x14ac:dyDescent="0.25">
      <c r="A369" t="str">
        <f>"1871555078"</f>
        <v>1871555078</v>
      </c>
      <c r="B369" t="str">
        <f>"02470088"</f>
        <v>02470088</v>
      </c>
      <c r="C369" t="s">
        <v>7595</v>
      </c>
      <c r="D369" t="s">
        <v>7596</v>
      </c>
      <c r="E369" t="s">
        <v>7597</v>
      </c>
      <c r="G369" t="s">
        <v>6278</v>
      </c>
      <c r="H369" t="s">
        <v>6279</v>
      </c>
      <c r="J369" t="s">
        <v>6280</v>
      </c>
      <c r="L369" t="s">
        <v>102</v>
      </c>
      <c r="M369" t="s">
        <v>75</v>
      </c>
      <c r="R369" t="s">
        <v>7598</v>
      </c>
      <c r="W369" t="s">
        <v>7597</v>
      </c>
      <c r="X369" t="s">
        <v>7599</v>
      </c>
      <c r="Y369" t="s">
        <v>7600</v>
      </c>
      <c r="Z369" t="s">
        <v>77</v>
      </c>
      <c r="AA369" t="str">
        <f>"11570-2917"</f>
        <v>11570-2917</v>
      </c>
      <c r="AB369" t="s">
        <v>78</v>
      </c>
      <c r="AC369" t="s">
        <v>79</v>
      </c>
      <c r="AD369" t="s">
        <v>75</v>
      </c>
      <c r="AE369" t="s">
        <v>80</v>
      </c>
      <c r="AG369" t="s">
        <v>81</v>
      </c>
    </row>
    <row r="370" spans="1:33" x14ac:dyDescent="0.25">
      <c r="A370" t="str">
        <f>"1336118892"</f>
        <v>1336118892</v>
      </c>
      <c r="C370" t="s">
        <v>7601</v>
      </c>
      <c r="K370" t="s">
        <v>99</v>
      </c>
      <c r="L370" t="s">
        <v>102</v>
      </c>
      <c r="M370" t="s">
        <v>75</v>
      </c>
      <c r="R370" t="s">
        <v>2382</v>
      </c>
      <c r="S370" t="s">
        <v>2383</v>
      </c>
      <c r="T370" t="s">
        <v>131</v>
      </c>
      <c r="U370" t="s">
        <v>77</v>
      </c>
      <c r="V370" t="str">
        <f>"10461"</f>
        <v>10461</v>
      </c>
      <c r="AC370" t="s">
        <v>79</v>
      </c>
      <c r="AD370" t="s">
        <v>75</v>
      </c>
      <c r="AE370" t="s">
        <v>103</v>
      </c>
      <c r="AG370" t="s">
        <v>81</v>
      </c>
    </row>
    <row r="371" spans="1:33" x14ac:dyDescent="0.25">
      <c r="A371" t="str">
        <f>"1114922689"</f>
        <v>1114922689</v>
      </c>
      <c r="C371" t="s">
        <v>7602</v>
      </c>
      <c r="K371" t="s">
        <v>99</v>
      </c>
      <c r="L371" t="s">
        <v>102</v>
      </c>
      <c r="M371" t="s">
        <v>75</v>
      </c>
      <c r="R371" t="s">
        <v>2269</v>
      </c>
      <c r="S371" t="s">
        <v>2270</v>
      </c>
      <c r="T371" t="s">
        <v>216</v>
      </c>
      <c r="U371" t="s">
        <v>77</v>
      </c>
      <c r="V371" t="str">
        <f>"11691"</f>
        <v>11691</v>
      </c>
      <c r="AC371" t="s">
        <v>79</v>
      </c>
      <c r="AD371" t="s">
        <v>75</v>
      </c>
      <c r="AE371" t="s">
        <v>103</v>
      </c>
      <c r="AG371" t="s">
        <v>81</v>
      </c>
    </row>
    <row r="372" spans="1:33" x14ac:dyDescent="0.25">
      <c r="A372" t="str">
        <f>"1871586891"</f>
        <v>1871586891</v>
      </c>
      <c r="B372" t="str">
        <f>"02479349"</f>
        <v>02479349</v>
      </c>
      <c r="C372" t="s">
        <v>7603</v>
      </c>
      <c r="D372" t="s">
        <v>7604</v>
      </c>
      <c r="E372" t="s">
        <v>7605</v>
      </c>
      <c r="G372" t="s">
        <v>6367</v>
      </c>
      <c r="H372" t="s">
        <v>4625</v>
      </c>
      <c r="J372" t="s">
        <v>6368</v>
      </c>
      <c r="L372" t="s">
        <v>83</v>
      </c>
      <c r="M372" t="s">
        <v>85</v>
      </c>
      <c r="R372" t="s">
        <v>7606</v>
      </c>
      <c r="W372" t="s">
        <v>7607</v>
      </c>
      <c r="X372" t="s">
        <v>1822</v>
      </c>
      <c r="Y372" t="s">
        <v>1823</v>
      </c>
      <c r="Z372" t="s">
        <v>77</v>
      </c>
      <c r="AA372" t="str">
        <f>"10941-4028"</f>
        <v>10941-4028</v>
      </c>
      <c r="AB372" t="s">
        <v>78</v>
      </c>
      <c r="AC372" t="s">
        <v>79</v>
      </c>
      <c r="AD372" t="s">
        <v>75</v>
      </c>
      <c r="AE372" t="s">
        <v>80</v>
      </c>
      <c r="AG372" t="s">
        <v>81</v>
      </c>
    </row>
    <row r="373" spans="1:33" x14ac:dyDescent="0.25">
      <c r="A373" t="str">
        <f>"1366418543"</f>
        <v>1366418543</v>
      </c>
      <c r="B373" t="str">
        <f>"00441272"</f>
        <v>00441272</v>
      </c>
      <c r="C373" t="s">
        <v>7608</v>
      </c>
      <c r="D373" t="s">
        <v>7609</v>
      </c>
      <c r="E373" t="s">
        <v>7610</v>
      </c>
      <c r="G373" t="s">
        <v>6930</v>
      </c>
      <c r="H373" t="s">
        <v>6931</v>
      </c>
      <c r="J373" t="s">
        <v>6932</v>
      </c>
      <c r="L373" t="s">
        <v>83</v>
      </c>
      <c r="M373" t="s">
        <v>75</v>
      </c>
      <c r="R373" t="s">
        <v>7611</v>
      </c>
      <c r="W373" t="s">
        <v>7610</v>
      </c>
      <c r="X373" t="s">
        <v>1531</v>
      </c>
      <c r="Y373" t="s">
        <v>97</v>
      </c>
      <c r="Z373" t="s">
        <v>77</v>
      </c>
      <c r="AA373" t="str">
        <f>"10036-8005"</f>
        <v>10036-8005</v>
      </c>
      <c r="AB373" t="s">
        <v>108</v>
      </c>
      <c r="AC373" t="s">
        <v>79</v>
      </c>
      <c r="AD373" t="s">
        <v>75</v>
      </c>
      <c r="AE373" t="s">
        <v>80</v>
      </c>
      <c r="AG373" t="s">
        <v>81</v>
      </c>
    </row>
    <row r="374" spans="1:33" x14ac:dyDescent="0.25">
      <c r="C374" t="s">
        <v>7612</v>
      </c>
      <c r="G374" t="s">
        <v>6818</v>
      </c>
      <c r="H374" t="s">
        <v>3150</v>
      </c>
      <c r="I374">
        <v>3118</v>
      </c>
      <c r="J374" t="s">
        <v>7613</v>
      </c>
      <c r="K374" t="s">
        <v>99</v>
      </c>
      <c r="L374" t="s">
        <v>100</v>
      </c>
      <c r="M374" t="s">
        <v>75</v>
      </c>
      <c r="N374" t="s">
        <v>6398</v>
      </c>
      <c r="O374" t="s">
        <v>5150</v>
      </c>
      <c r="P374" t="s">
        <v>77</v>
      </c>
      <c r="Q374" t="str">
        <f>"10533"</f>
        <v>10533</v>
      </c>
      <c r="AC374" t="s">
        <v>79</v>
      </c>
      <c r="AD374" t="s">
        <v>75</v>
      </c>
      <c r="AE374" t="s">
        <v>101</v>
      </c>
      <c r="AG374" t="s">
        <v>81</v>
      </c>
    </row>
    <row r="375" spans="1:33" x14ac:dyDescent="0.25">
      <c r="A375" t="str">
        <f>"1043200827"</f>
        <v>1043200827</v>
      </c>
      <c r="B375" t="str">
        <f>"00207254"</f>
        <v>00207254</v>
      </c>
      <c r="C375" t="s">
        <v>7614</v>
      </c>
      <c r="D375" t="s">
        <v>1011</v>
      </c>
      <c r="E375" t="s">
        <v>1012</v>
      </c>
      <c r="H375" t="s">
        <v>1013</v>
      </c>
      <c r="L375" t="s">
        <v>84</v>
      </c>
      <c r="M375" t="s">
        <v>75</v>
      </c>
      <c r="R375" t="s">
        <v>1014</v>
      </c>
      <c r="W375" t="s">
        <v>1012</v>
      </c>
      <c r="X375" t="s">
        <v>1015</v>
      </c>
      <c r="Y375" t="s">
        <v>131</v>
      </c>
      <c r="Z375" t="s">
        <v>77</v>
      </c>
      <c r="AA375" t="str">
        <f>"10454-3087"</f>
        <v>10454-3087</v>
      </c>
      <c r="AB375" t="s">
        <v>78</v>
      </c>
      <c r="AC375" t="s">
        <v>79</v>
      </c>
      <c r="AD375" t="s">
        <v>75</v>
      </c>
      <c r="AE375" t="s">
        <v>80</v>
      </c>
      <c r="AG375" t="s">
        <v>81</v>
      </c>
    </row>
    <row r="376" spans="1:33" x14ac:dyDescent="0.25">
      <c r="A376" t="str">
        <f>"1245200831"</f>
        <v>1245200831</v>
      </c>
      <c r="B376" t="str">
        <f>"00783028"</f>
        <v>00783028</v>
      </c>
      <c r="C376" t="s">
        <v>7615</v>
      </c>
      <c r="D376" t="s">
        <v>7616</v>
      </c>
      <c r="E376" t="s">
        <v>7617</v>
      </c>
      <c r="G376" t="s">
        <v>6367</v>
      </c>
      <c r="H376" t="s">
        <v>4625</v>
      </c>
      <c r="J376" t="s">
        <v>6368</v>
      </c>
      <c r="L376" t="s">
        <v>83</v>
      </c>
      <c r="M376" t="s">
        <v>85</v>
      </c>
      <c r="R376" t="s">
        <v>7618</v>
      </c>
      <c r="W376" t="s">
        <v>7617</v>
      </c>
      <c r="X376" t="s">
        <v>7619</v>
      </c>
      <c r="Y376" t="s">
        <v>1797</v>
      </c>
      <c r="Z376" t="s">
        <v>77</v>
      </c>
      <c r="AA376" t="str">
        <f>"12550-3100"</f>
        <v>12550-3100</v>
      </c>
      <c r="AB376" t="s">
        <v>78</v>
      </c>
      <c r="AC376" t="s">
        <v>79</v>
      </c>
      <c r="AD376" t="s">
        <v>75</v>
      </c>
      <c r="AE376" t="s">
        <v>80</v>
      </c>
      <c r="AG376" t="s">
        <v>81</v>
      </c>
    </row>
    <row r="377" spans="1:33" x14ac:dyDescent="0.25">
      <c r="A377" t="str">
        <f>"1538189535"</f>
        <v>1538189535</v>
      </c>
      <c r="B377" t="str">
        <f>"00913204"</f>
        <v>00913204</v>
      </c>
      <c r="C377" t="s">
        <v>7620</v>
      </c>
      <c r="D377" t="s">
        <v>7621</v>
      </c>
      <c r="E377" t="s">
        <v>7622</v>
      </c>
      <c r="G377" t="s">
        <v>6367</v>
      </c>
      <c r="H377" t="s">
        <v>4625</v>
      </c>
      <c r="J377" t="s">
        <v>6368</v>
      </c>
      <c r="L377" t="s">
        <v>83</v>
      </c>
      <c r="M377" t="s">
        <v>85</v>
      </c>
      <c r="R377" t="s">
        <v>7623</v>
      </c>
      <c r="W377" t="s">
        <v>7622</v>
      </c>
      <c r="X377" t="s">
        <v>7624</v>
      </c>
      <c r="Y377" t="s">
        <v>4476</v>
      </c>
      <c r="Z377" t="s">
        <v>156</v>
      </c>
      <c r="AA377" t="str">
        <f>"07462"</f>
        <v>07462</v>
      </c>
      <c r="AB377" t="s">
        <v>78</v>
      </c>
      <c r="AC377" t="s">
        <v>79</v>
      </c>
      <c r="AD377" t="s">
        <v>75</v>
      </c>
      <c r="AE377" t="s">
        <v>80</v>
      </c>
      <c r="AG377" t="s">
        <v>81</v>
      </c>
    </row>
    <row r="378" spans="1:33" x14ac:dyDescent="0.25">
      <c r="A378" t="str">
        <f>"1457370728"</f>
        <v>1457370728</v>
      </c>
      <c r="B378" t="str">
        <f>"02600508"</f>
        <v>02600508</v>
      </c>
      <c r="C378" t="s">
        <v>7625</v>
      </c>
      <c r="D378" t="s">
        <v>7626</v>
      </c>
      <c r="E378" t="s">
        <v>7627</v>
      </c>
      <c r="G378" t="s">
        <v>6367</v>
      </c>
      <c r="H378" t="s">
        <v>4625</v>
      </c>
      <c r="J378" t="s">
        <v>6368</v>
      </c>
      <c r="L378" t="s">
        <v>83</v>
      </c>
      <c r="M378" t="s">
        <v>85</v>
      </c>
      <c r="R378" t="s">
        <v>7628</v>
      </c>
      <c r="W378" t="s">
        <v>7627</v>
      </c>
      <c r="X378" t="s">
        <v>5591</v>
      </c>
      <c r="Y378" t="s">
        <v>3030</v>
      </c>
      <c r="Z378" t="s">
        <v>77</v>
      </c>
      <c r="AA378" t="str">
        <f>"10989-2019"</f>
        <v>10989-2019</v>
      </c>
      <c r="AB378" t="s">
        <v>78</v>
      </c>
      <c r="AC378" t="s">
        <v>79</v>
      </c>
      <c r="AD378" t="s">
        <v>75</v>
      </c>
      <c r="AE378" t="s">
        <v>80</v>
      </c>
      <c r="AG378" t="s">
        <v>81</v>
      </c>
    </row>
    <row r="379" spans="1:33" x14ac:dyDescent="0.25">
      <c r="A379" t="str">
        <f>"1508866096"</f>
        <v>1508866096</v>
      </c>
      <c r="B379" t="str">
        <f>"02280124"</f>
        <v>02280124</v>
      </c>
      <c r="C379" t="s">
        <v>7629</v>
      </c>
      <c r="D379" t="s">
        <v>7630</v>
      </c>
      <c r="E379" t="s">
        <v>7631</v>
      </c>
      <c r="G379" t="s">
        <v>6380</v>
      </c>
      <c r="H379" t="s">
        <v>4625</v>
      </c>
      <c r="J379" t="s">
        <v>6381</v>
      </c>
      <c r="L379" t="s">
        <v>83</v>
      </c>
      <c r="M379" t="s">
        <v>85</v>
      </c>
      <c r="R379" t="s">
        <v>7632</v>
      </c>
      <c r="W379" t="s">
        <v>7633</v>
      </c>
      <c r="X379" t="s">
        <v>6187</v>
      </c>
      <c r="Y379" t="s">
        <v>1823</v>
      </c>
      <c r="Z379" t="s">
        <v>77</v>
      </c>
      <c r="AA379" t="str">
        <f>"10941-4013"</f>
        <v>10941-4013</v>
      </c>
      <c r="AB379" t="s">
        <v>78</v>
      </c>
      <c r="AC379" t="s">
        <v>79</v>
      </c>
      <c r="AD379" t="s">
        <v>75</v>
      </c>
      <c r="AE379" t="s">
        <v>80</v>
      </c>
      <c r="AG379" t="s">
        <v>81</v>
      </c>
    </row>
    <row r="380" spans="1:33" x14ac:dyDescent="0.25">
      <c r="A380" t="str">
        <f>"1497749808"</f>
        <v>1497749808</v>
      </c>
      <c r="B380" t="str">
        <f>"02287263"</f>
        <v>02287263</v>
      </c>
      <c r="C380" t="s">
        <v>7634</v>
      </c>
      <c r="D380" t="s">
        <v>7635</v>
      </c>
      <c r="E380" t="s">
        <v>7636</v>
      </c>
      <c r="G380" t="s">
        <v>6380</v>
      </c>
      <c r="H380" t="s">
        <v>4625</v>
      </c>
      <c r="J380" t="s">
        <v>6381</v>
      </c>
      <c r="L380" t="s">
        <v>84</v>
      </c>
      <c r="M380" t="s">
        <v>85</v>
      </c>
      <c r="R380" t="s">
        <v>7637</v>
      </c>
      <c r="W380" t="s">
        <v>7637</v>
      </c>
      <c r="X380" t="s">
        <v>6187</v>
      </c>
      <c r="Y380" t="s">
        <v>1823</v>
      </c>
      <c r="Z380" t="s">
        <v>77</v>
      </c>
      <c r="AA380" t="str">
        <f>"10941-4013"</f>
        <v>10941-4013</v>
      </c>
      <c r="AB380" t="s">
        <v>78</v>
      </c>
      <c r="AC380" t="s">
        <v>79</v>
      </c>
      <c r="AD380" t="s">
        <v>75</v>
      </c>
      <c r="AE380" t="s">
        <v>80</v>
      </c>
      <c r="AG380" t="s">
        <v>81</v>
      </c>
    </row>
    <row r="381" spans="1:33" x14ac:dyDescent="0.25">
      <c r="A381" t="str">
        <f>"1619964376"</f>
        <v>1619964376</v>
      </c>
      <c r="B381" t="str">
        <f>"02319831"</f>
        <v>02319831</v>
      </c>
      <c r="C381" t="s">
        <v>7638</v>
      </c>
      <c r="D381" t="s">
        <v>7639</v>
      </c>
      <c r="E381" t="s">
        <v>7640</v>
      </c>
      <c r="G381" t="s">
        <v>6380</v>
      </c>
      <c r="H381" t="s">
        <v>4625</v>
      </c>
      <c r="J381" t="s">
        <v>6381</v>
      </c>
      <c r="L381" t="s">
        <v>83</v>
      </c>
      <c r="M381" t="s">
        <v>85</v>
      </c>
      <c r="R381" t="s">
        <v>7641</v>
      </c>
      <c r="W381" t="s">
        <v>7640</v>
      </c>
      <c r="X381" t="s">
        <v>7642</v>
      </c>
      <c r="Y381" t="s">
        <v>1797</v>
      </c>
      <c r="Z381" t="s">
        <v>77</v>
      </c>
      <c r="AA381" t="str">
        <f>"12550-8343"</f>
        <v>12550-8343</v>
      </c>
      <c r="AB381" t="s">
        <v>78</v>
      </c>
      <c r="AC381" t="s">
        <v>79</v>
      </c>
      <c r="AD381" t="s">
        <v>75</v>
      </c>
      <c r="AE381" t="s">
        <v>80</v>
      </c>
      <c r="AG381" t="s">
        <v>81</v>
      </c>
    </row>
    <row r="382" spans="1:33" x14ac:dyDescent="0.25">
      <c r="A382" t="str">
        <f>"1427030675"</f>
        <v>1427030675</v>
      </c>
      <c r="B382" t="str">
        <f>"02334398"</f>
        <v>02334398</v>
      </c>
      <c r="C382" t="s">
        <v>7643</v>
      </c>
      <c r="D382" t="s">
        <v>7644</v>
      </c>
      <c r="E382" t="s">
        <v>7645</v>
      </c>
      <c r="G382" t="s">
        <v>6380</v>
      </c>
      <c r="H382" t="s">
        <v>4625</v>
      </c>
      <c r="J382" t="s">
        <v>6381</v>
      </c>
      <c r="L382" t="s">
        <v>83</v>
      </c>
      <c r="M382" t="s">
        <v>85</v>
      </c>
      <c r="R382" t="s">
        <v>7646</v>
      </c>
      <c r="W382" t="s">
        <v>7645</v>
      </c>
      <c r="X382" t="s">
        <v>1822</v>
      </c>
      <c r="Y382" t="s">
        <v>1823</v>
      </c>
      <c r="Z382" t="s">
        <v>77</v>
      </c>
      <c r="AA382" t="str">
        <f>"10941-4028"</f>
        <v>10941-4028</v>
      </c>
      <c r="AB382" t="s">
        <v>78</v>
      </c>
      <c r="AC382" t="s">
        <v>79</v>
      </c>
      <c r="AD382" t="s">
        <v>75</v>
      </c>
      <c r="AE382" t="s">
        <v>80</v>
      </c>
      <c r="AG382" t="s">
        <v>81</v>
      </c>
    </row>
    <row r="383" spans="1:33" x14ac:dyDescent="0.25">
      <c r="A383" t="str">
        <f>"1154319309"</f>
        <v>1154319309</v>
      </c>
      <c r="B383" t="str">
        <f>"02367893"</f>
        <v>02367893</v>
      </c>
      <c r="C383" t="s">
        <v>7647</v>
      </c>
      <c r="D383" t="s">
        <v>7648</v>
      </c>
      <c r="E383" t="s">
        <v>7649</v>
      </c>
      <c r="G383" t="s">
        <v>6380</v>
      </c>
      <c r="H383" t="s">
        <v>4625</v>
      </c>
      <c r="J383" t="s">
        <v>6381</v>
      </c>
      <c r="L383" t="s">
        <v>94</v>
      </c>
      <c r="M383" t="s">
        <v>85</v>
      </c>
      <c r="R383" t="s">
        <v>7650</v>
      </c>
      <c r="W383" t="s">
        <v>7649</v>
      </c>
      <c r="X383" t="s">
        <v>1822</v>
      </c>
      <c r="Y383" t="s">
        <v>1823</v>
      </c>
      <c r="Z383" t="s">
        <v>77</v>
      </c>
      <c r="AA383" t="str">
        <f>"10941-4028"</f>
        <v>10941-4028</v>
      </c>
      <c r="AB383" t="s">
        <v>78</v>
      </c>
      <c r="AC383" t="s">
        <v>79</v>
      </c>
      <c r="AD383" t="s">
        <v>75</v>
      </c>
      <c r="AE383" t="s">
        <v>80</v>
      </c>
      <c r="AG383" t="s">
        <v>81</v>
      </c>
    </row>
    <row r="384" spans="1:33" x14ac:dyDescent="0.25">
      <c r="A384" t="str">
        <f>"1538141494"</f>
        <v>1538141494</v>
      </c>
      <c r="B384" t="str">
        <f>"02369482"</f>
        <v>02369482</v>
      </c>
      <c r="C384" t="s">
        <v>7651</v>
      </c>
      <c r="D384" t="s">
        <v>7652</v>
      </c>
      <c r="E384" t="s">
        <v>7653</v>
      </c>
      <c r="G384" t="s">
        <v>6380</v>
      </c>
      <c r="H384" t="s">
        <v>4625</v>
      </c>
      <c r="J384" t="s">
        <v>6381</v>
      </c>
      <c r="L384" t="s">
        <v>83</v>
      </c>
      <c r="M384" t="s">
        <v>85</v>
      </c>
      <c r="R384" t="s">
        <v>7654</v>
      </c>
      <c r="W384" t="s">
        <v>7653</v>
      </c>
      <c r="X384" t="s">
        <v>1822</v>
      </c>
      <c r="Y384" t="s">
        <v>1823</v>
      </c>
      <c r="Z384" t="s">
        <v>77</v>
      </c>
      <c r="AA384" t="str">
        <f>"10941-4028"</f>
        <v>10941-4028</v>
      </c>
      <c r="AB384" t="s">
        <v>78</v>
      </c>
      <c r="AC384" t="s">
        <v>79</v>
      </c>
      <c r="AD384" t="s">
        <v>75</v>
      </c>
      <c r="AE384" t="s">
        <v>80</v>
      </c>
      <c r="AG384" t="s">
        <v>81</v>
      </c>
    </row>
    <row r="385" spans="1:33" x14ac:dyDescent="0.25">
      <c r="A385" t="str">
        <f>"1912015397"</f>
        <v>1912015397</v>
      </c>
      <c r="B385" t="str">
        <f>"02392881"</f>
        <v>02392881</v>
      </c>
      <c r="C385" t="s">
        <v>7655</v>
      </c>
      <c r="D385" t="s">
        <v>7656</v>
      </c>
      <c r="E385" t="s">
        <v>7657</v>
      </c>
      <c r="G385" t="s">
        <v>6380</v>
      </c>
      <c r="H385" t="s">
        <v>4625</v>
      </c>
      <c r="J385" t="s">
        <v>6381</v>
      </c>
      <c r="L385" t="s">
        <v>84</v>
      </c>
      <c r="M385" t="s">
        <v>85</v>
      </c>
      <c r="R385" t="s">
        <v>7658</v>
      </c>
      <c r="W385" t="s">
        <v>7657</v>
      </c>
      <c r="X385" t="s">
        <v>7659</v>
      </c>
      <c r="Y385" t="s">
        <v>1077</v>
      </c>
      <c r="Z385" t="s">
        <v>77</v>
      </c>
      <c r="AA385" t="str">
        <f>"10532-2180"</f>
        <v>10532-2180</v>
      </c>
      <c r="AB385" t="s">
        <v>78</v>
      </c>
      <c r="AC385" t="s">
        <v>79</v>
      </c>
      <c r="AD385" t="s">
        <v>75</v>
      </c>
      <c r="AE385" t="s">
        <v>80</v>
      </c>
      <c r="AG385" t="s">
        <v>81</v>
      </c>
    </row>
    <row r="386" spans="1:33" x14ac:dyDescent="0.25">
      <c r="A386" t="str">
        <f>"1588664213"</f>
        <v>1588664213</v>
      </c>
      <c r="B386" t="str">
        <f>"00905371"</f>
        <v>00905371</v>
      </c>
      <c r="C386" t="s">
        <v>7660</v>
      </c>
      <c r="D386" t="s">
        <v>7661</v>
      </c>
      <c r="E386" t="s">
        <v>7662</v>
      </c>
      <c r="G386" t="s">
        <v>6278</v>
      </c>
      <c r="H386" t="s">
        <v>6279</v>
      </c>
      <c r="J386" t="s">
        <v>6280</v>
      </c>
      <c r="L386" t="s">
        <v>83</v>
      </c>
      <c r="M386" t="s">
        <v>75</v>
      </c>
      <c r="R386" t="s">
        <v>7663</v>
      </c>
      <c r="W386" t="s">
        <v>7664</v>
      </c>
      <c r="X386" t="s">
        <v>7665</v>
      </c>
      <c r="Y386" t="s">
        <v>87</v>
      </c>
      <c r="Z386" t="s">
        <v>77</v>
      </c>
      <c r="AA386" t="str">
        <f>"11219-2923"</f>
        <v>11219-2923</v>
      </c>
      <c r="AB386" t="s">
        <v>78</v>
      </c>
      <c r="AC386" t="s">
        <v>79</v>
      </c>
      <c r="AD386" t="s">
        <v>75</v>
      </c>
      <c r="AE386" t="s">
        <v>80</v>
      </c>
      <c r="AG386" t="s">
        <v>81</v>
      </c>
    </row>
    <row r="387" spans="1:33" x14ac:dyDescent="0.25">
      <c r="A387" t="str">
        <f>"1093731069"</f>
        <v>1093731069</v>
      </c>
      <c r="B387" t="str">
        <f>"01638375"</f>
        <v>01638375</v>
      </c>
      <c r="C387" t="s">
        <v>7666</v>
      </c>
      <c r="D387" t="s">
        <v>2705</v>
      </c>
      <c r="E387" t="s">
        <v>2706</v>
      </c>
      <c r="G387" t="s">
        <v>7667</v>
      </c>
      <c r="H387" t="s">
        <v>3971</v>
      </c>
      <c r="J387" t="s">
        <v>3972</v>
      </c>
      <c r="L387" t="s">
        <v>170</v>
      </c>
      <c r="M387" t="s">
        <v>85</v>
      </c>
      <c r="R387" t="s">
        <v>2704</v>
      </c>
      <c r="W387" t="s">
        <v>2706</v>
      </c>
      <c r="X387" t="s">
        <v>2707</v>
      </c>
      <c r="Y387" t="s">
        <v>1833</v>
      </c>
      <c r="Z387" t="s">
        <v>77</v>
      </c>
      <c r="AA387" t="str">
        <f>"10524-0150"</f>
        <v>10524-0150</v>
      </c>
      <c r="AB387" t="s">
        <v>122</v>
      </c>
      <c r="AC387" t="s">
        <v>79</v>
      </c>
      <c r="AD387" t="s">
        <v>75</v>
      </c>
      <c r="AE387" t="s">
        <v>80</v>
      </c>
      <c r="AG387" t="s">
        <v>81</v>
      </c>
    </row>
    <row r="388" spans="1:33" x14ac:dyDescent="0.25">
      <c r="A388" t="str">
        <f>"1548343304"</f>
        <v>1548343304</v>
      </c>
      <c r="B388" t="str">
        <f>"00489890"</f>
        <v>00489890</v>
      </c>
      <c r="C388" t="s">
        <v>7668</v>
      </c>
      <c r="D388" t="s">
        <v>7669</v>
      </c>
      <c r="E388" t="s">
        <v>7670</v>
      </c>
      <c r="G388" t="s">
        <v>6278</v>
      </c>
      <c r="H388" t="s">
        <v>6279</v>
      </c>
      <c r="J388" t="s">
        <v>6280</v>
      </c>
      <c r="L388" t="s">
        <v>83</v>
      </c>
      <c r="M388" t="s">
        <v>75</v>
      </c>
      <c r="R388" t="s">
        <v>7671</v>
      </c>
      <c r="W388" t="s">
        <v>7670</v>
      </c>
      <c r="X388" t="s">
        <v>7672</v>
      </c>
      <c r="Y388" t="s">
        <v>87</v>
      </c>
      <c r="Z388" t="s">
        <v>77</v>
      </c>
      <c r="AA388" t="str">
        <f>"11249-7823"</f>
        <v>11249-7823</v>
      </c>
      <c r="AB388" t="s">
        <v>78</v>
      </c>
      <c r="AC388" t="s">
        <v>79</v>
      </c>
      <c r="AD388" t="s">
        <v>75</v>
      </c>
      <c r="AE388" t="s">
        <v>80</v>
      </c>
      <c r="AG388" t="s">
        <v>81</v>
      </c>
    </row>
    <row r="389" spans="1:33" x14ac:dyDescent="0.25">
      <c r="A389" t="str">
        <f>"1609805993"</f>
        <v>1609805993</v>
      </c>
      <c r="B389" t="str">
        <f>"01911393"</f>
        <v>01911393</v>
      </c>
      <c r="C389" t="s">
        <v>7673</v>
      </c>
      <c r="D389" t="s">
        <v>7674</v>
      </c>
      <c r="E389" t="s">
        <v>7675</v>
      </c>
      <c r="G389" t="s">
        <v>7676</v>
      </c>
      <c r="H389" t="s">
        <v>7677</v>
      </c>
      <c r="I389">
        <v>327</v>
      </c>
      <c r="J389" t="s">
        <v>7678</v>
      </c>
      <c r="L389" t="s">
        <v>170</v>
      </c>
      <c r="M389" t="s">
        <v>85</v>
      </c>
      <c r="R389" t="s">
        <v>7679</v>
      </c>
      <c r="W389" t="s">
        <v>7675</v>
      </c>
      <c r="X389" t="s">
        <v>4883</v>
      </c>
      <c r="Y389" t="s">
        <v>97</v>
      </c>
      <c r="Z389" t="s">
        <v>77</v>
      </c>
      <c r="AA389" t="str">
        <f>"10001-1701"</f>
        <v>10001-1701</v>
      </c>
      <c r="AB389" t="s">
        <v>122</v>
      </c>
      <c r="AC389" t="s">
        <v>79</v>
      </c>
      <c r="AD389" t="s">
        <v>75</v>
      </c>
      <c r="AE389" t="s">
        <v>80</v>
      </c>
      <c r="AG389" t="s">
        <v>81</v>
      </c>
    </row>
    <row r="390" spans="1:33" x14ac:dyDescent="0.25">
      <c r="C390" t="s">
        <v>7680</v>
      </c>
      <c r="G390" t="s">
        <v>6425</v>
      </c>
      <c r="H390" t="s">
        <v>7681</v>
      </c>
      <c r="K390" t="s">
        <v>206</v>
      </c>
      <c r="L390" t="s">
        <v>100</v>
      </c>
      <c r="M390" t="s">
        <v>75</v>
      </c>
      <c r="N390" t="s">
        <v>7682</v>
      </c>
      <c r="O390" t="s">
        <v>296</v>
      </c>
      <c r="P390" t="s">
        <v>77</v>
      </c>
      <c r="AC390" t="s">
        <v>79</v>
      </c>
      <c r="AD390" t="s">
        <v>75</v>
      </c>
      <c r="AE390" t="s">
        <v>101</v>
      </c>
      <c r="AG390" t="s">
        <v>81</v>
      </c>
    </row>
    <row r="391" spans="1:33" x14ac:dyDescent="0.25">
      <c r="C391" t="s">
        <v>7683</v>
      </c>
      <c r="G391" t="s">
        <v>6425</v>
      </c>
      <c r="H391" t="s">
        <v>7684</v>
      </c>
      <c r="K391" t="s">
        <v>206</v>
      </c>
      <c r="L391" t="s">
        <v>100</v>
      </c>
      <c r="M391" t="s">
        <v>75</v>
      </c>
      <c r="N391" t="s">
        <v>7685</v>
      </c>
      <c r="O391" t="s">
        <v>296</v>
      </c>
      <c r="P391" t="s">
        <v>77</v>
      </c>
      <c r="AC391" t="s">
        <v>79</v>
      </c>
      <c r="AD391" t="s">
        <v>75</v>
      </c>
      <c r="AE391" t="s">
        <v>101</v>
      </c>
      <c r="AG391" t="s">
        <v>81</v>
      </c>
    </row>
    <row r="392" spans="1:33" x14ac:dyDescent="0.25">
      <c r="C392" t="s">
        <v>7686</v>
      </c>
      <c r="G392" t="s">
        <v>6425</v>
      </c>
      <c r="H392" t="s">
        <v>471</v>
      </c>
      <c r="K392" t="s">
        <v>206</v>
      </c>
      <c r="L392" t="s">
        <v>100</v>
      </c>
      <c r="M392" t="s">
        <v>75</v>
      </c>
      <c r="N392" t="s">
        <v>7687</v>
      </c>
      <c r="O392" t="s">
        <v>296</v>
      </c>
      <c r="P392" t="s">
        <v>77</v>
      </c>
      <c r="AC392" t="s">
        <v>79</v>
      </c>
      <c r="AD392" t="s">
        <v>75</v>
      </c>
      <c r="AE392" t="s">
        <v>101</v>
      </c>
      <c r="AG392" t="s">
        <v>81</v>
      </c>
    </row>
    <row r="393" spans="1:33" x14ac:dyDescent="0.25">
      <c r="C393" t="s">
        <v>7688</v>
      </c>
      <c r="G393" t="s">
        <v>6425</v>
      </c>
      <c r="H393" t="s">
        <v>7689</v>
      </c>
      <c r="K393" t="s">
        <v>206</v>
      </c>
      <c r="L393" t="s">
        <v>100</v>
      </c>
      <c r="M393" t="s">
        <v>75</v>
      </c>
      <c r="N393" t="s">
        <v>7690</v>
      </c>
      <c r="O393" t="s">
        <v>296</v>
      </c>
      <c r="P393" t="s">
        <v>77</v>
      </c>
      <c r="AC393" t="s">
        <v>79</v>
      </c>
      <c r="AD393" t="s">
        <v>75</v>
      </c>
      <c r="AE393" t="s">
        <v>101</v>
      </c>
      <c r="AG393" t="s">
        <v>81</v>
      </c>
    </row>
    <row r="394" spans="1:33" x14ac:dyDescent="0.25">
      <c r="C394" t="s">
        <v>7691</v>
      </c>
      <c r="G394" t="s">
        <v>6425</v>
      </c>
      <c r="H394" t="s">
        <v>7692</v>
      </c>
      <c r="K394" t="s">
        <v>206</v>
      </c>
      <c r="L394" t="s">
        <v>100</v>
      </c>
      <c r="M394" t="s">
        <v>75</v>
      </c>
      <c r="N394" t="s">
        <v>7693</v>
      </c>
      <c r="O394" t="s">
        <v>296</v>
      </c>
      <c r="P394" t="s">
        <v>77</v>
      </c>
      <c r="AC394" t="s">
        <v>79</v>
      </c>
      <c r="AD394" t="s">
        <v>75</v>
      </c>
      <c r="AE394" t="s">
        <v>101</v>
      </c>
      <c r="AG394" t="s">
        <v>81</v>
      </c>
    </row>
    <row r="395" spans="1:33" x14ac:dyDescent="0.25">
      <c r="C395" t="s">
        <v>7694</v>
      </c>
      <c r="G395" t="s">
        <v>6425</v>
      </c>
      <c r="H395" t="s">
        <v>7695</v>
      </c>
      <c r="K395" t="s">
        <v>206</v>
      </c>
      <c r="L395" t="s">
        <v>100</v>
      </c>
      <c r="M395" t="s">
        <v>75</v>
      </c>
      <c r="N395" t="s">
        <v>7696</v>
      </c>
      <c r="O395" t="s">
        <v>296</v>
      </c>
      <c r="P395" t="s">
        <v>77</v>
      </c>
      <c r="AC395" t="s">
        <v>79</v>
      </c>
      <c r="AD395" t="s">
        <v>75</v>
      </c>
      <c r="AE395" t="s">
        <v>101</v>
      </c>
      <c r="AG395" t="s">
        <v>81</v>
      </c>
    </row>
    <row r="396" spans="1:33" x14ac:dyDescent="0.25">
      <c r="C396" t="s">
        <v>7697</v>
      </c>
      <c r="G396" t="s">
        <v>6425</v>
      </c>
      <c r="H396" t="s">
        <v>7698</v>
      </c>
      <c r="K396" t="s">
        <v>206</v>
      </c>
      <c r="L396" t="s">
        <v>100</v>
      </c>
      <c r="M396" t="s">
        <v>75</v>
      </c>
      <c r="N396" t="s">
        <v>7699</v>
      </c>
      <c r="O396" t="s">
        <v>296</v>
      </c>
      <c r="P396" t="s">
        <v>77</v>
      </c>
      <c r="AC396" t="s">
        <v>79</v>
      </c>
      <c r="AD396" t="s">
        <v>75</v>
      </c>
      <c r="AE396" t="s">
        <v>101</v>
      </c>
      <c r="AG396" t="s">
        <v>81</v>
      </c>
    </row>
    <row r="397" spans="1:33" x14ac:dyDescent="0.25">
      <c r="C397" t="s">
        <v>7700</v>
      </c>
      <c r="G397" t="s">
        <v>6425</v>
      </c>
      <c r="H397" t="s">
        <v>7701</v>
      </c>
      <c r="K397" t="s">
        <v>206</v>
      </c>
      <c r="L397" t="s">
        <v>100</v>
      </c>
      <c r="M397" t="s">
        <v>75</v>
      </c>
      <c r="N397" t="s">
        <v>6704</v>
      </c>
      <c r="O397" t="s">
        <v>296</v>
      </c>
      <c r="P397" t="s">
        <v>77</v>
      </c>
      <c r="AC397" t="s">
        <v>79</v>
      </c>
      <c r="AD397" t="s">
        <v>75</v>
      </c>
      <c r="AE397" t="s">
        <v>101</v>
      </c>
      <c r="AG397" t="s">
        <v>81</v>
      </c>
    </row>
    <row r="398" spans="1:33" x14ac:dyDescent="0.25">
      <c r="A398" t="str">
        <f>"1336131952"</f>
        <v>1336131952</v>
      </c>
      <c r="B398" t="str">
        <f>"01992727"</f>
        <v>01992727</v>
      </c>
      <c r="C398" t="s">
        <v>7702</v>
      </c>
      <c r="D398" t="s">
        <v>7703</v>
      </c>
      <c r="E398" t="s">
        <v>7704</v>
      </c>
      <c r="G398" t="s">
        <v>6380</v>
      </c>
      <c r="H398" t="s">
        <v>4625</v>
      </c>
      <c r="J398" t="s">
        <v>6381</v>
      </c>
      <c r="L398" t="s">
        <v>84</v>
      </c>
      <c r="M398" t="s">
        <v>85</v>
      </c>
      <c r="R398" t="s">
        <v>7705</v>
      </c>
      <c r="W398" t="s">
        <v>7704</v>
      </c>
      <c r="X398" t="s">
        <v>6187</v>
      </c>
      <c r="Y398" t="s">
        <v>1823</v>
      </c>
      <c r="Z398" t="s">
        <v>77</v>
      </c>
      <c r="AA398" t="str">
        <f>"10941-4013"</f>
        <v>10941-4013</v>
      </c>
      <c r="AB398" t="s">
        <v>78</v>
      </c>
      <c r="AC398" t="s">
        <v>79</v>
      </c>
      <c r="AD398" t="s">
        <v>75</v>
      </c>
      <c r="AE398" t="s">
        <v>80</v>
      </c>
      <c r="AG398" t="s">
        <v>81</v>
      </c>
    </row>
    <row r="399" spans="1:33" x14ac:dyDescent="0.25">
      <c r="A399" t="str">
        <f>"1710971049"</f>
        <v>1710971049</v>
      </c>
      <c r="B399" t="str">
        <f>"02023650"</f>
        <v>02023650</v>
      </c>
      <c r="C399" t="s">
        <v>7706</v>
      </c>
      <c r="D399" t="s">
        <v>7707</v>
      </c>
      <c r="E399" t="s">
        <v>7708</v>
      </c>
      <c r="G399" t="s">
        <v>6380</v>
      </c>
      <c r="H399" t="s">
        <v>4625</v>
      </c>
      <c r="J399" t="s">
        <v>6381</v>
      </c>
      <c r="L399" t="s">
        <v>83</v>
      </c>
      <c r="M399" t="s">
        <v>85</v>
      </c>
      <c r="R399" t="s">
        <v>7709</v>
      </c>
      <c r="W399" t="s">
        <v>7710</v>
      </c>
      <c r="Y399" t="s">
        <v>131</v>
      </c>
      <c r="Z399" t="s">
        <v>77</v>
      </c>
      <c r="AA399" t="str">
        <f>"10469-3197"</f>
        <v>10469-3197</v>
      </c>
      <c r="AB399" t="s">
        <v>78</v>
      </c>
      <c r="AC399" t="s">
        <v>79</v>
      </c>
      <c r="AD399" t="s">
        <v>75</v>
      </c>
      <c r="AE399" t="s">
        <v>80</v>
      </c>
      <c r="AG399" t="s">
        <v>81</v>
      </c>
    </row>
    <row r="400" spans="1:33" x14ac:dyDescent="0.25">
      <c r="A400" t="str">
        <f>"1083681852"</f>
        <v>1083681852</v>
      </c>
      <c r="B400" t="str">
        <f>"02048171"</f>
        <v>02048171</v>
      </c>
      <c r="C400" t="s">
        <v>7711</v>
      </c>
      <c r="D400" t="s">
        <v>7712</v>
      </c>
      <c r="E400" t="s">
        <v>7713</v>
      </c>
      <c r="G400" t="s">
        <v>6380</v>
      </c>
      <c r="H400" t="s">
        <v>4625</v>
      </c>
      <c r="J400" t="s">
        <v>6381</v>
      </c>
      <c r="L400" t="s">
        <v>83</v>
      </c>
      <c r="M400" t="s">
        <v>85</v>
      </c>
      <c r="R400" t="s">
        <v>7714</v>
      </c>
      <c r="W400" t="s">
        <v>7713</v>
      </c>
      <c r="X400" t="s">
        <v>1822</v>
      </c>
      <c r="Y400" t="s">
        <v>1823</v>
      </c>
      <c r="Z400" t="s">
        <v>77</v>
      </c>
      <c r="AA400" t="str">
        <f>"10941-4028"</f>
        <v>10941-4028</v>
      </c>
      <c r="AB400" t="s">
        <v>78</v>
      </c>
      <c r="AC400" t="s">
        <v>79</v>
      </c>
      <c r="AD400" t="s">
        <v>75</v>
      </c>
      <c r="AE400" t="s">
        <v>80</v>
      </c>
      <c r="AG400" t="s">
        <v>81</v>
      </c>
    </row>
    <row r="401" spans="1:33" x14ac:dyDescent="0.25">
      <c r="A401" t="str">
        <f>"1720246465"</f>
        <v>1720246465</v>
      </c>
      <c r="B401" t="str">
        <f>"03192252"</f>
        <v>03192252</v>
      </c>
      <c r="C401" t="s">
        <v>7715</v>
      </c>
      <c r="D401" t="s">
        <v>7716</v>
      </c>
      <c r="E401" t="s">
        <v>7717</v>
      </c>
      <c r="G401" t="s">
        <v>6278</v>
      </c>
      <c r="H401" t="s">
        <v>6279</v>
      </c>
      <c r="J401" t="s">
        <v>6280</v>
      </c>
      <c r="L401" t="s">
        <v>74</v>
      </c>
      <c r="M401" t="s">
        <v>75</v>
      </c>
      <c r="R401" t="s">
        <v>7718</v>
      </c>
      <c r="W401" t="s">
        <v>7718</v>
      </c>
      <c r="X401" t="s">
        <v>1301</v>
      </c>
      <c r="Y401" t="s">
        <v>87</v>
      </c>
      <c r="Z401" t="s">
        <v>77</v>
      </c>
      <c r="AA401" t="str">
        <f>"11220-4211"</f>
        <v>11220-4211</v>
      </c>
      <c r="AB401" t="s">
        <v>78</v>
      </c>
      <c r="AC401" t="s">
        <v>79</v>
      </c>
      <c r="AD401" t="s">
        <v>75</v>
      </c>
      <c r="AE401" t="s">
        <v>80</v>
      </c>
      <c r="AG401" t="s">
        <v>81</v>
      </c>
    </row>
    <row r="402" spans="1:33" x14ac:dyDescent="0.25">
      <c r="A402" t="str">
        <f>"1891705448"</f>
        <v>1891705448</v>
      </c>
      <c r="B402" t="str">
        <f>"01008048"</f>
        <v>01008048</v>
      </c>
      <c r="C402" t="s">
        <v>7719</v>
      </c>
      <c r="D402" t="s">
        <v>7720</v>
      </c>
      <c r="E402" t="s">
        <v>7721</v>
      </c>
      <c r="G402" t="s">
        <v>6278</v>
      </c>
      <c r="H402" t="s">
        <v>6279</v>
      </c>
      <c r="J402" t="s">
        <v>6280</v>
      </c>
      <c r="L402" t="s">
        <v>83</v>
      </c>
      <c r="M402" t="s">
        <v>85</v>
      </c>
      <c r="R402" t="s">
        <v>7722</v>
      </c>
      <c r="W402" t="s">
        <v>7721</v>
      </c>
      <c r="X402" t="s">
        <v>7723</v>
      </c>
      <c r="Y402" t="s">
        <v>97</v>
      </c>
      <c r="Z402" t="s">
        <v>77</v>
      </c>
      <c r="AA402" t="str">
        <f>"10003-4342"</f>
        <v>10003-4342</v>
      </c>
      <c r="AB402" t="s">
        <v>78</v>
      </c>
      <c r="AC402" t="s">
        <v>79</v>
      </c>
      <c r="AD402" t="s">
        <v>75</v>
      </c>
      <c r="AE402" t="s">
        <v>80</v>
      </c>
      <c r="AG402" t="s">
        <v>81</v>
      </c>
    </row>
    <row r="403" spans="1:33" x14ac:dyDescent="0.25">
      <c r="A403" t="str">
        <f>"1235214669"</f>
        <v>1235214669</v>
      </c>
      <c r="B403" t="str">
        <f>"02090917"</f>
        <v>02090917</v>
      </c>
      <c r="C403" t="s">
        <v>7724</v>
      </c>
      <c r="D403" t="s">
        <v>5587</v>
      </c>
      <c r="E403" t="s">
        <v>5588</v>
      </c>
      <c r="G403" t="s">
        <v>7725</v>
      </c>
      <c r="H403" t="s">
        <v>7726</v>
      </c>
      <c r="J403" t="s">
        <v>7727</v>
      </c>
      <c r="L403" t="s">
        <v>84</v>
      </c>
      <c r="M403" t="s">
        <v>75</v>
      </c>
      <c r="R403" t="s">
        <v>5589</v>
      </c>
      <c r="W403" t="s">
        <v>5588</v>
      </c>
      <c r="X403" t="s">
        <v>5590</v>
      </c>
      <c r="Y403" t="s">
        <v>131</v>
      </c>
      <c r="Z403" t="s">
        <v>77</v>
      </c>
      <c r="AA403" t="str">
        <f>"10466-5098"</f>
        <v>10466-5098</v>
      </c>
      <c r="AB403" t="s">
        <v>78</v>
      </c>
      <c r="AC403" t="s">
        <v>79</v>
      </c>
      <c r="AD403" t="s">
        <v>75</v>
      </c>
      <c r="AE403" t="s">
        <v>80</v>
      </c>
      <c r="AG403" t="s">
        <v>81</v>
      </c>
    </row>
    <row r="404" spans="1:33" x14ac:dyDescent="0.25">
      <c r="A404" t="str">
        <f>"1386644375"</f>
        <v>1386644375</v>
      </c>
      <c r="B404" t="str">
        <f>"00216904"</f>
        <v>00216904</v>
      </c>
      <c r="C404" t="s">
        <v>7728</v>
      </c>
      <c r="D404" t="s">
        <v>7729</v>
      </c>
      <c r="E404" t="s">
        <v>7730</v>
      </c>
      <c r="G404" t="s">
        <v>7728</v>
      </c>
      <c r="H404" t="s">
        <v>7731</v>
      </c>
      <c r="J404" t="s">
        <v>7732</v>
      </c>
      <c r="L404" t="s">
        <v>74</v>
      </c>
      <c r="M404" t="s">
        <v>75</v>
      </c>
      <c r="R404" t="s">
        <v>7733</v>
      </c>
      <c r="W404" t="s">
        <v>7730</v>
      </c>
      <c r="X404" t="s">
        <v>7734</v>
      </c>
      <c r="Y404" t="s">
        <v>1960</v>
      </c>
      <c r="Z404" t="s">
        <v>77</v>
      </c>
      <c r="AA404" t="str">
        <f>"11598-1224"</f>
        <v>11598-1224</v>
      </c>
      <c r="AB404" t="s">
        <v>78</v>
      </c>
      <c r="AC404" t="s">
        <v>79</v>
      </c>
      <c r="AD404" t="s">
        <v>75</v>
      </c>
      <c r="AE404" t="s">
        <v>80</v>
      </c>
      <c r="AG404" t="s">
        <v>81</v>
      </c>
    </row>
    <row r="405" spans="1:33" x14ac:dyDescent="0.25">
      <c r="A405" t="str">
        <f>"1285616136"</f>
        <v>1285616136</v>
      </c>
      <c r="B405" t="str">
        <f>"00250248"</f>
        <v>00250248</v>
      </c>
      <c r="C405" t="s">
        <v>7735</v>
      </c>
      <c r="D405" t="s">
        <v>7736</v>
      </c>
      <c r="E405" t="s">
        <v>7737</v>
      </c>
      <c r="G405" t="s">
        <v>7735</v>
      </c>
      <c r="H405" t="s">
        <v>7738</v>
      </c>
      <c r="J405" t="s">
        <v>7732</v>
      </c>
      <c r="L405" t="s">
        <v>83</v>
      </c>
      <c r="M405" t="s">
        <v>75</v>
      </c>
      <c r="R405" t="s">
        <v>7739</v>
      </c>
      <c r="W405" t="s">
        <v>7737</v>
      </c>
      <c r="X405" t="s">
        <v>7740</v>
      </c>
      <c r="Y405" t="s">
        <v>3733</v>
      </c>
      <c r="Z405" t="s">
        <v>77</v>
      </c>
      <c r="AA405" t="str">
        <f>"11559-1619"</f>
        <v>11559-1619</v>
      </c>
      <c r="AB405" t="s">
        <v>78</v>
      </c>
      <c r="AC405" t="s">
        <v>79</v>
      </c>
      <c r="AD405" t="s">
        <v>75</v>
      </c>
      <c r="AE405" t="s">
        <v>80</v>
      </c>
      <c r="AG405" t="s">
        <v>81</v>
      </c>
    </row>
    <row r="406" spans="1:33" x14ac:dyDescent="0.25">
      <c r="A406" t="str">
        <f>"1477545085"</f>
        <v>1477545085</v>
      </c>
      <c r="B406" t="str">
        <f>"01961540"</f>
        <v>01961540</v>
      </c>
      <c r="C406" t="s">
        <v>7741</v>
      </c>
      <c r="D406" t="s">
        <v>7742</v>
      </c>
      <c r="E406" t="s">
        <v>7743</v>
      </c>
      <c r="G406" t="s">
        <v>6367</v>
      </c>
      <c r="H406" t="s">
        <v>4625</v>
      </c>
      <c r="J406" t="s">
        <v>6368</v>
      </c>
      <c r="L406" t="s">
        <v>84</v>
      </c>
      <c r="M406" t="s">
        <v>85</v>
      </c>
      <c r="R406" t="s">
        <v>7743</v>
      </c>
      <c r="W406" t="s">
        <v>7743</v>
      </c>
      <c r="X406" t="s">
        <v>6187</v>
      </c>
      <c r="Y406" t="s">
        <v>1823</v>
      </c>
      <c r="Z406" t="s">
        <v>77</v>
      </c>
      <c r="AA406" t="str">
        <f>"10941-4013"</f>
        <v>10941-4013</v>
      </c>
      <c r="AB406" t="s">
        <v>78</v>
      </c>
      <c r="AC406" t="s">
        <v>79</v>
      </c>
      <c r="AD406" t="s">
        <v>75</v>
      </c>
      <c r="AE406" t="s">
        <v>80</v>
      </c>
      <c r="AG406" t="s">
        <v>81</v>
      </c>
    </row>
    <row r="407" spans="1:33" x14ac:dyDescent="0.25">
      <c r="A407" t="str">
        <f>"1679649933"</f>
        <v>1679649933</v>
      </c>
      <c r="B407" t="str">
        <f>"00756890"</f>
        <v>00756890</v>
      </c>
      <c r="C407" t="s">
        <v>7744</v>
      </c>
      <c r="D407" t="s">
        <v>7745</v>
      </c>
      <c r="E407" t="s">
        <v>7746</v>
      </c>
      <c r="G407" t="s">
        <v>6367</v>
      </c>
      <c r="H407" t="s">
        <v>4625</v>
      </c>
      <c r="J407" t="s">
        <v>6368</v>
      </c>
      <c r="L407" t="s">
        <v>84</v>
      </c>
      <c r="M407" t="s">
        <v>85</v>
      </c>
      <c r="R407" t="s">
        <v>7747</v>
      </c>
      <c r="W407" t="s">
        <v>7746</v>
      </c>
      <c r="X407" t="s">
        <v>6187</v>
      </c>
      <c r="Y407" t="s">
        <v>1823</v>
      </c>
      <c r="Z407" t="s">
        <v>77</v>
      </c>
      <c r="AA407" t="str">
        <f>"10941-4013"</f>
        <v>10941-4013</v>
      </c>
      <c r="AB407" t="s">
        <v>78</v>
      </c>
      <c r="AC407" t="s">
        <v>79</v>
      </c>
      <c r="AD407" t="s">
        <v>75</v>
      </c>
      <c r="AE407" t="s">
        <v>80</v>
      </c>
      <c r="AG407" t="s">
        <v>81</v>
      </c>
    </row>
    <row r="408" spans="1:33" x14ac:dyDescent="0.25">
      <c r="A408" t="str">
        <f>"1992797500"</f>
        <v>1992797500</v>
      </c>
      <c r="B408" t="str">
        <f>"02263830"</f>
        <v>02263830</v>
      </c>
      <c r="C408" t="s">
        <v>7748</v>
      </c>
      <c r="D408" t="s">
        <v>7749</v>
      </c>
      <c r="E408" t="s">
        <v>7750</v>
      </c>
      <c r="G408" t="s">
        <v>6367</v>
      </c>
      <c r="H408" t="s">
        <v>4625</v>
      </c>
      <c r="J408" t="s">
        <v>6368</v>
      </c>
      <c r="L408" t="s">
        <v>83</v>
      </c>
      <c r="M408" t="s">
        <v>85</v>
      </c>
      <c r="R408" t="s">
        <v>7751</v>
      </c>
      <c r="W408" t="s">
        <v>7752</v>
      </c>
      <c r="X408" t="s">
        <v>6187</v>
      </c>
      <c r="Y408" t="s">
        <v>1823</v>
      </c>
      <c r="Z408" t="s">
        <v>77</v>
      </c>
      <c r="AA408" t="str">
        <f>"10941-4013"</f>
        <v>10941-4013</v>
      </c>
      <c r="AB408" t="s">
        <v>78</v>
      </c>
      <c r="AC408" t="s">
        <v>79</v>
      </c>
      <c r="AD408" t="s">
        <v>75</v>
      </c>
      <c r="AE408" t="s">
        <v>80</v>
      </c>
      <c r="AG408" t="s">
        <v>81</v>
      </c>
    </row>
    <row r="409" spans="1:33" x14ac:dyDescent="0.25">
      <c r="A409" t="str">
        <f>"1750389722"</f>
        <v>1750389722</v>
      </c>
      <c r="C409" t="s">
        <v>7753</v>
      </c>
      <c r="G409" t="s">
        <v>7753</v>
      </c>
      <c r="H409" t="s">
        <v>7754</v>
      </c>
      <c r="J409" t="s">
        <v>7755</v>
      </c>
      <c r="K409" t="s">
        <v>99</v>
      </c>
      <c r="L409" t="s">
        <v>102</v>
      </c>
      <c r="M409" t="s">
        <v>75</v>
      </c>
      <c r="R409" t="s">
        <v>7756</v>
      </c>
      <c r="S409" t="s">
        <v>7757</v>
      </c>
      <c r="T409" t="s">
        <v>7758</v>
      </c>
      <c r="U409" t="s">
        <v>156</v>
      </c>
      <c r="V409" t="str">
        <f>"080803149"</f>
        <v>080803149</v>
      </c>
      <c r="AC409" t="s">
        <v>79</v>
      </c>
      <c r="AD409" t="s">
        <v>75</v>
      </c>
      <c r="AE409" t="s">
        <v>103</v>
      </c>
      <c r="AG409" t="s">
        <v>81</v>
      </c>
    </row>
    <row r="410" spans="1:33" x14ac:dyDescent="0.25">
      <c r="A410" t="str">
        <f>"1003173873"</f>
        <v>1003173873</v>
      </c>
      <c r="B410" t="str">
        <f>"03473663"</f>
        <v>03473663</v>
      </c>
      <c r="C410" t="s">
        <v>7759</v>
      </c>
      <c r="D410" t="s">
        <v>7760</v>
      </c>
      <c r="E410" t="s">
        <v>7761</v>
      </c>
      <c r="G410" t="s">
        <v>6494</v>
      </c>
      <c r="H410" t="s">
        <v>6495</v>
      </c>
      <c r="J410" t="s">
        <v>6496</v>
      </c>
      <c r="L410" t="s">
        <v>84</v>
      </c>
      <c r="M410" t="s">
        <v>75</v>
      </c>
      <c r="R410" t="s">
        <v>7762</v>
      </c>
      <c r="W410" t="s">
        <v>7761</v>
      </c>
      <c r="X410" t="s">
        <v>7539</v>
      </c>
      <c r="Y410" t="s">
        <v>97</v>
      </c>
      <c r="Z410" t="s">
        <v>77</v>
      </c>
      <c r="AA410" t="str">
        <f>"10025-5752"</f>
        <v>10025-5752</v>
      </c>
      <c r="AB410" t="s">
        <v>78</v>
      </c>
      <c r="AC410" t="s">
        <v>79</v>
      </c>
      <c r="AD410" t="s">
        <v>75</v>
      </c>
      <c r="AE410" t="s">
        <v>80</v>
      </c>
      <c r="AG410" t="s">
        <v>81</v>
      </c>
    </row>
    <row r="411" spans="1:33" x14ac:dyDescent="0.25">
      <c r="A411" t="str">
        <f>"1023041134"</f>
        <v>1023041134</v>
      </c>
      <c r="B411" t="str">
        <f>"03483983"</f>
        <v>03483983</v>
      </c>
      <c r="C411" t="s">
        <v>7763</v>
      </c>
      <c r="D411" t="s">
        <v>7764</v>
      </c>
      <c r="E411" t="s">
        <v>7765</v>
      </c>
      <c r="G411" t="s">
        <v>6494</v>
      </c>
      <c r="H411" t="s">
        <v>6495</v>
      </c>
      <c r="J411" t="s">
        <v>6496</v>
      </c>
      <c r="L411" t="s">
        <v>105</v>
      </c>
      <c r="M411" t="s">
        <v>75</v>
      </c>
      <c r="R411" t="s">
        <v>7765</v>
      </c>
      <c r="W411" t="s">
        <v>7765</v>
      </c>
      <c r="X411" t="s">
        <v>2808</v>
      </c>
      <c r="Y411" t="s">
        <v>97</v>
      </c>
      <c r="Z411" t="s">
        <v>77</v>
      </c>
      <c r="AA411" t="str">
        <f>"10025-6450"</f>
        <v>10025-6450</v>
      </c>
      <c r="AB411" t="s">
        <v>113</v>
      </c>
      <c r="AC411" t="s">
        <v>79</v>
      </c>
      <c r="AD411" t="s">
        <v>75</v>
      </c>
      <c r="AE411" t="s">
        <v>80</v>
      </c>
      <c r="AG411" t="s">
        <v>81</v>
      </c>
    </row>
    <row r="412" spans="1:33" x14ac:dyDescent="0.25">
      <c r="A412" t="str">
        <f>"1831250570"</f>
        <v>1831250570</v>
      </c>
      <c r="B412" t="str">
        <f>"03484939"</f>
        <v>03484939</v>
      </c>
      <c r="C412" t="s">
        <v>7766</v>
      </c>
      <c r="D412" t="s">
        <v>7767</v>
      </c>
      <c r="E412" t="s">
        <v>7768</v>
      </c>
      <c r="L412" t="s">
        <v>143</v>
      </c>
      <c r="M412" t="s">
        <v>75</v>
      </c>
      <c r="R412" t="s">
        <v>7768</v>
      </c>
      <c r="W412" t="s">
        <v>7769</v>
      </c>
      <c r="X412" t="s">
        <v>492</v>
      </c>
      <c r="Y412" t="s">
        <v>155</v>
      </c>
      <c r="Z412" t="s">
        <v>77</v>
      </c>
      <c r="AA412" t="str">
        <f>"10314-5866"</f>
        <v>10314-5866</v>
      </c>
      <c r="AB412" t="s">
        <v>78</v>
      </c>
      <c r="AC412" t="s">
        <v>79</v>
      </c>
      <c r="AD412" t="s">
        <v>75</v>
      </c>
      <c r="AE412" t="s">
        <v>80</v>
      </c>
      <c r="AG412" t="s">
        <v>81</v>
      </c>
    </row>
    <row r="413" spans="1:33" x14ac:dyDescent="0.25">
      <c r="A413" t="str">
        <f>"1861694267"</f>
        <v>1861694267</v>
      </c>
      <c r="B413" t="str">
        <f>"02481809"</f>
        <v>02481809</v>
      </c>
      <c r="C413" t="s">
        <v>7770</v>
      </c>
      <c r="D413" t="s">
        <v>7771</v>
      </c>
      <c r="E413" t="s">
        <v>7772</v>
      </c>
      <c r="L413" t="s">
        <v>74</v>
      </c>
      <c r="M413" t="s">
        <v>75</v>
      </c>
      <c r="R413" t="s">
        <v>7772</v>
      </c>
      <c r="W413" t="s">
        <v>7773</v>
      </c>
      <c r="X413" t="s">
        <v>7774</v>
      </c>
      <c r="Y413" t="s">
        <v>1077</v>
      </c>
      <c r="Z413" t="s">
        <v>77</v>
      </c>
      <c r="AA413" t="str">
        <f>"10532-1313"</f>
        <v>10532-1313</v>
      </c>
      <c r="AB413" t="s">
        <v>78</v>
      </c>
      <c r="AC413" t="s">
        <v>79</v>
      </c>
      <c r="AD413" t="s">
        <v>75</v>
      </c>
      <c r="AE413" t="s">
        <v>80</v>
      </c>
      <c r="AG413" t="s">
        <v>81</v>
      </c>
    </row>
    <row r="414" spans="1:33" x14ac:dyDescent="0.25">
      <c r="A414" t="str">
        <f>"1871612788"</f>
        <v>1871612788</v>
      </c>
      <c r="B414" t="str">
        <f>"02674968"</f>
        <v>02674968</v>
      </c>
      <c r="C414" t="s">
        <v>7775</v>
      </c>
      <c r="D414" t="s">
        <v>7776</v>
      </c>
      <c r="E414" t="s">
        <v>7777</v>
      </c>
      <c r="L414" t="s">
        <v>105</v>
      </c>
      <c r="M414" t="s">
        <v>85</v>
      </c>
      <c r="R414" t="s">
        <v>7778</v>
      </c>
      <c r="W414" t="s">
        <v>7777</v>
      </c>
      <c r="X414" t="s">
        <v>7779</v>
      </c>
      <c r="Y414" t="s">
        <v>131</v>
      </c>
      <c r="Z414" t="s">
        <v>77</v>
      </c>
      <c r="AA414" t="str">
        <f>"10467-9304"</f>
        <v>10467-9304</v>
      </c>
      <c r="AB414" t="s">
        <v>78</v>
      </c>
      <c r="AC414" t="s">
        <v>79</v>
      </c>
      <c r="AD414" t="s">
        <v>75</v>
      </c>
      <c r="AE414" t="s">
        <v>80</v>
      </c>
      <c r="AG414" t="s">
        <v>81</v>
      </c>
    </row>
    <row r="415" spans="1:33" x14ac:dyDescent="0.25">
      <c r="A415" t="str">
        <f>"1891826129"</f>
        <v>1891826129</v>
      </c>
      <c r="B415" t="str">
        <f>"02726378"</f>
        <v>02726378</v>
      </c>
      <c r="C415" t="s">
        <v>7780</v>
      </c>
      <c r="D415" t="s">
        <v>7781</v>
      </c>
      <c r="E415" t="s">
        <v>7782</v>
      </c>
      <c r="L415" t="s">
        <v>105</v>
      </c>
      <c r="M415" t="s">
        <v>75</v>
      </c>
      <c r="R415" t="s">
        <v>7783</v>
      </c>
      <c r="W415" t="s">
        <v>7782</v>
      </c>
      <c r="X415" t="s">
        <v>258</v>
      </c>
      <c r="Y415" t="s">
        <v>131</v>
      </c>
      <c r="Z415" t="s">
        <v>77</v>
      </c>
      <c r="AA415" t="str">
        <f>"10467-2401"</f>
        <v>10467-2401</v>
      </c>
      <c r="AB415" t="s">
        <v>78</v>
      </c>
      <c r="AC415" t="s">
        <v>79</v>
      </c>
      <c r="AD415" t="s">
        <v>75</v>
      </c>
      <c r="AE415" t="s">
        <v>80</v>
      </c>
      <c r="AG415" t="s">
        <v>81</v>
      </c>
    </row>
    <row r="416" spans="1:33" x14ac:dyDescent="0.25">
      <c r="A416" t="str">
        <f>"1902992241"</f>
        <v>1902992241</v>
      </c>
      <c r="B416" t="str">
        <f>"01467078"</f>
        <v>01467078</v>
      </c>
      <c r="C416" t="s">
        <v>7784</v>
      </c>
      <c r="D416" t="s">
        <v>7785</v>
      </c>
      <c r="E416" t="s">
        <v>7786</v>
      </c>
      <c r="L416" t="s">
        <v>105</v>
      </c>
      <c r="M416" t="s">
        <v>85</v>
      </c>
      <c r="R416" t="s">
        <v>7787</v>
      </c>
      <c r="W416" t="s">
        <v>7786</v>
      </c>
      <c r="X416" t="s">
        <v>3441</v>
      </c>
      <c r="Y416" t="s">
        <v>131</v>
      </c>
      <c r="Z416" t="s">
        <v>77</v>
      </c>
      <c r="AA416" t="str">
        <f>"10467-2490"</f>
        <v>10467-2490</v>
      </c>
      <c r="AB416" t="s">
        <v>78</v>
      </c>
      <c r="AC416" t="s">
        <v>79</v>
      </c>
      <c r="AD416" t="s">
        <v>75</v>
      </c>
      <c r="AE416" t="s">
        <v>80</v>
      </c>
      <c r="AG416" t="s">
        <v>81</v>
      </c>
    </row>
    <row r="417" spans="1:33" x14ac:dyDescent="0.25">
      <c r="C417" t="s">
        <v>7788</v>
      </c>
      <c r="K417" t="s">
        <v>99</v>
      </c>
      <c r="L417" t="s">
        <v>100</v>
      </c>
      <c r="M417" t="s">
        <v>75</v>
      </c>
      <c r="N417" t="s">
        <v>7789</v>
      </c>
      <c r="O417" t="s">
        <v>5051</v>
      </c>
      <c r="P417" t="s">
        <v>77</v>
      </c>
      <c r="Q417" t="str">
        <f>"10532"</f>
        <v>10532</v>
      </c>
      <c r="AC417" t="s">
        <v>79</v>
      </c>
      <c r="AD417" t="s">
        <v>75</v>
      </c>
      <c r="AE417" t="s">
        <v>101</v>
      </c>
      <c r="AG417" t="s">
        <v>81</v>
      </c>
    </row>
    <row r="418" spans="1:33" x14ac:dyDescent="0.25">
      <c r="A418" t="str">
        <f>"1932209731"</f>
        <v>1932209731</v>
      </c>
      <c r="B418" t="str">
        <f>"01733251"</f>
        <v>01733251</v>
      </c>
      <c r="C418" t="s">
        <v>7790</v>
      </c>
      <c r="D418" t="s">
        <v>7791</v>
      </c>
      <c r="E418" t="s">
        <v>7792</v>
      </c>
      <c r="G418" t="s">
        <v>6930</v>
      </c>
      <c r="H418" t="s">
        <v>6931</v>
      </c>
      <c r="J418" t="s">
        <v>6932</v>
      </c>
      <c r="L418" t="s">
        <v>83</v>
      </c>
      <c r="M418" t="s">
        <v>75</v>
      </c>
      <c r="R418" t="s">
        <v>7793</v>
      </c>
      <c r="W418" t="s">
        <v>7792</v>
      </c>
      <c r="X418" t="s">
        <v>7794</v>
      </c>
      <c r="Y418" t="s">
        <v>199</v>
      </c>
      <c r="Z418" t="s">
        <v>77</v>
      </c>
      <c r="AA418" t="str">
        <f>"11706-6091"</f>
        <v>11706-6091</v>
      </c>
      <c r="AB418" t="s">
        <v>108</v>
      </c>
      <c r="AC418" t="s">
        <v>79</v>
      </c>
      <c r="AD418" t="s">
        <v>75</v>
      </c>
      <c r="AE418" t="s">
        <v>80</v>
      </c>
      <c r="AG418" t="s">
        <v>81</v>
      </c>
    </row>
    <row r="419" spans="1:33" x14ac:dyDescent="0.25">
      <c r="A419" t="str">
        <f>"1497760888"</f>
        <v>1497760888</v>
      </c>
      <c r="B419" t="str">
        <f>"01749655"</f>
        <v>01749655</v>
      </c>
      <c r="C419" t="s">
        <v>7795</v>
      </c>
      <c r="D419" t="s">
        <v>1650</v>
      </c>
      <c r="E419" t="s">
        <v>1651</v>
      </c>
      <c r="G419" t="s">
        <v>6930</v>
      </c>
      <c r="H419" t="s">
        <v>6931</v>
      </c>
      <c r="J419" t="s">
        <v>6932</v>
      </c>
      <c r="L419" t="s">
        <v>83</v>
      </c>
      <c r="M419" t="s">
        <v>85</v>
      </c>
      <c r="R419" t="s">
        <v>1649</v>
      </c>
      <c r="W419" t="s">
        <v>1651</v>
      </c>
      <c r="X419" t="s">
        <v>1652</v>
      </c>
      <c r="Y419" t="s">
        <v>87</v>
      </c>
      <c r="Z419" t="s">
        <v>77</v>
      </c>
      <c r="AA419" t="str">
        <f>"11219-2999"</f>
        <v>11219-2999</v>
      </c>
      <c r="AB419" t="s">
        <v>78</v>
      </c>
      <c r="AC419" t="s">
        <v>79</v>
      </c>
      <c r="AD419" t="s">
        <v>75</v>
      </c>
      <c r="AE419" t="s">
        <v>80</v>
      </c>
      <c r="AG419" t="s">
        <v>81</v>
      </c>
    </row>
    <row r="420" spans="1:33" x14ac:dyDescent="0.25">
      <c r="A420" t="str">
        <f>"1588764252"</f>
        <v>1588764252</v>
      </c>
      <c r="B420" t="str">
        <f>"01855518"</f>
        <v>01855518</v>
      </c>
      <c r="C420" t="s">
        <v>7796</v>
      </c>
      <c r="D420" t="s">
        <v>1569</v>
      </c>
      <c r="E420" t="s">
        <v>1570</v>
      </c>
      <c r="G420" t="s">
        <v>6930</v>
      </c>
      <c r="H420" t="s">
        <v>6931</v>
      </c>
      <c r="J420" t="s">
        <v>6932</v>
      </c>
      <c r="L420" t="s">
        <v>83</v>
      </c>
      <c r="M420" t="s">
        <v>75</v>
      </c>
      <c r="R420" t="s">
        <v>1568</v>
      </c>
      <c r="W420" t="s">
        <v>1570</v>
      </c>
      <c r="X420" t="s">
        <v>1531</v>
      </c>
      <c r="Y420" t="s">
        <v>97</v>
      </c>
      <c r="Z420" t="s">
        <v>77</v>
      </c>
      <c r="AA420" t="str">
        <f>"10036-8005"</f>
        <v>10036-8005</v>
      </c>
      <c r="AB420" t="s">
        <v>108</v>
      </c>
      <c r="AC420" t="s">
        <v>79</v>
      </c>
      <c r="AD420" t="s">
        <v>75</v>
      </c>
      <c r="AE420" t="s">
        <v>80</v>
      </c>
      <c r="AG420" t="s">
        <v>81</v>
      </c>
    </row>
    <row r="421" spans="1:33" x14ac:dyDescent="0.25">
      <c r="A421" t="str">
        <f>"1275625634"</f>
        <v>1275625634</v>
      </c>
      <c r="B421" t="str">
        <f>"03510827"</f>
        <v>03510827</v>
      </c>
      <c r="C421" t="s">
        <v>7797</v>
      </c>
      <c r="D421" t="s">
        <v>7798</v>
      </c>
      <c r="E421" t="s">
        <v>7799</v>
      </c>
      <c r="G421" t="s">
        <v>7800</v>
      </c>
      <c r="H421" t="s">
        <v>7801</v>
      </c>
      <c r="I421">
        <v>287</v>
      </c>
      <c r="J421" t="s">
        <v>7802</v>
      </c>
      <c r="L421" t="s">
        <v>74</v>
      </c>
      <c r="M421" t="s">
        <v>75</v>
      </c>
      <c r="R421" t="s">
        <v>7803</v>
      </c>
      <c r="W421" t="s">
        <v>7799</v>
      </c>
      <c r="X421" t="s">
        <v>7804</v>
      </c>
      <c r="Y421" t="s">
        <v>87</v>
      </c>
      <c r="Z421" t="s">
        <v>77</v>
      </c>
      <c r="AA421" t="str">
        <f>"11214-2825"</f>
        <v>11214-2825</v>
      </c>
      <c r="AB421" t="s">
        <v>78</v>
      </c>
      <c r="AC421" t="s">
        <v>79</v>
      </c>
      <c r="AD421" t="s">
        <v>75</v>
      </c>
      <c r="AE421" t="s">
        <v>80</v>
      </c>
      <c r="AG421" t="s">
        <v>81</v>
      </c>
    </row>
    <row r="422" spans="1:33" x14ac:dyDescent="0.25">
      <c r="A422" t="str">
        <f>"1073684726"</f>
        <v>1073684726</v>
      </c>
      <c r="B422" t="str">
        <f>"02315108"</f>
        <v>02315108</v>
      </c>
      <c r="C422" t="s">
        <v>7805</v>
      </c>
      <c r="D422" t="s">
        <v>2751</v>
      </c>
      <c r="E422" t="s">
        <v>2752</v>
      </c>
      <c r="G422" t="s">
        <v>6474</v>
      </c>
      <c r="H422" t="s">
        <v>252</v>
      </c>
      <c r="J422" t="s">
        <v>628</v>
      </c>
      <c r="L422" t="s">
        <v>94</v>
      </c>
      <c r="M422" t="s">
        <v>85</v>
      </c>
      <c r="R422" t="s">
        <v>2753</v>
      </c>
      <c r="W422" t="s">
        <v>2752</v>
      </c>
      <c r="X422" t="s">
        <v>2754</v>
      </c>
      <c r="Y422" t="s">
        <v>254</v>
      </c>
      <c r="Z422" t="s">
        <v>77</v>
      </c>
      <c r="AA422" t="str">
        <f>"11374-2546"</f>
        <v>11374-2546</v>
      </c>
      <c r="AB422" t="s">
        <v>78</v>
      </c>
      <c r="AC422" t="s">
        <v>79</v>
      </c>
      <c r="AD422" t="s">
        <v>75</v>
      </c>
      <c r="AE422" t="s">
        <v>80</v>
      </c>
      <c r="AG422" t="s">
        <v>81</v>
      </c>
    </row>
    <row r="423" spans="1:33" x14ac:dyDescent="0.25">
      <c r="A423" t="str">
        <f>"1841290723"</f>
        <v>1841290723</v>
      </c>
      <c r="B423" t="str">
        <f>"02463867"</f>
        <v>02463867</v>
      </c>
      <c r="C423" t="s">
        <v>7806</v>
      </c>
      <c r="D423" t="s">
        <v>2729</v>
      </c>
      <c r="E423" t="s">
        <v>2730</v>
      </c>
      <c r="G423" t="s">
        <v>6474</v>
      </c>
      <c r="H423" t="s">
        <v>252</v>
      </c>
      <c r="J423" t="s">
        <v>628</v>
      </c>
      <c r="L423" t="s">
        <v>84</v>
      </c>
      <c r="M423" t="s">
        <v>85</v>
      </c>
      <c r="R423" t="s">
        <v>2731</v>
      </c>
      <c r="W423" t="s">
        <v>2730</v>
      </c>
      <c r="X423" t="s">
        <v>246</v>
      </c>
      <c r="Y423" t="s">
        <v>180</v>
      </c>
      <c r="Z423" t="s">
        <v>77</v>
      </c>
      <c r="AA423" t="str">
        <f>"10701-4004"</f>
        <v>10701-4004</v>
      </c>
      <c r="AB423" t="s">
        <v>78</v>
      </c>
      <c r="AC423" t="s">
        <v>79</v>
      </c>
      <c r="AD423" t="s">
        <v>75</v>
      </c>
      <c r="AE423" t="s">
        <v>80</v>
      </c>
      <c r="AG423" t="s">
        <v>81</v>
      </c>
    </row>
    <row r="424" spans="1:33" x14ac:dyDescent="0.25">
      <c r="A424" t="str">
        <f>"1578556866"</f>
        <v>1578556866</v>
      </c>
      <c r="B424" t="str">
        <f>"02787795"</f>
        <v>02787795</v>
      </c>
      <c r="C424" t="s">
        <v>7807</v>
      </c>
      <c r="D424" t="s">
        <v>2739</v>
      </c>
      <c r="E424" t="s">
        <v>2740</v>
      </c>
      <c r="G424" t="s">
        <v>6474</v>
      </c>
      <c r="H424" t="s">
        <v>252</v>
      </c>
      <c r="J424" t="s">
        <v>628</v>
      </c>
      <c r="L424" t="s">
        <v>94</v>
      </c>
      <c r="M424" t="s">
        <v>85</v>
      </c>
      <c r="R424" t="s">
        <v>2741</v>
      </c>
      <c r="W424" t="s">
        <v>2740</v>
      </c>
      <c r="X424" t="s">
        <v>2742</v>
      </c>
      <c r="Y424" t="s">
        <v>97</v>
      </c>
      <c r="Z424" t="s">
        <v>77</v>
      </c>
      <c r="AA424" t="str">
        <f>"10024-2298"</f>
        <v>10024-2298</v>
      </c>
      <c r="AB424" t="s">
        <v>78</v>
      </c>
      <c r="AC424" t="s">
        <v>79</v>
      </c>
      <c r="AD424" t="s">
        <v>75</v>
      </c>
      <c r="AE424" t="s">
        <v>80</v>
      </c>
      <c r="AG424" t="s">
        <v>81</v>
      </c>
    </row>
    <row r="425" spans="1:33" x14ac:dyDescent="0.25">
      <c r="A425" t="str">
        <f>"1649376575"</f>
        <v>1649376575</v>
      </c>
      <c r="B425" t="str">
        <f>"03083814"</f>
        <v>03083814</v>
      </c>
      <c r="C425" t="s">
        <v>7808</v>
      </c>
      <c r="D425" t="s">
        <v>3274</v>
      </c>
      <c r="E425" t="s">
        <v>3275</v>
      </c>
      <c r="G425" t="s">
        <v>6474</v>
      </c>
      <c r="H425" t="s">
        <v>252</v>
      </c>
      <c r="J425" t="s">
        <v>628</v>
      </c>
      <c r="L425" t="s">
        <v>94</v>
      </c>
      <c r="M425" t="s">
        <v>85</v>
      </c>
      <c r="R425" t="s">
        <v>3276</v>
      </c>
      <c r="W425" t="s">
        <v>3275</v>
      </c>
      <c r="X425" t="s">
        <v>3277</v>
      </c>
      <c r="Y425" t="s">
        <v>87</v>
      </c>
      <c r="Z425" t="s">
        <v>77</v>
      </c>
      <c r="AA425" t="str">
        <f>"11201-1093"</f>
        <v>11201-1093</v>
      </c>
      <c r="AB425" t="s">
        <v>78</v>
      </c>
      <c r="AC425" t="s">
        <v>79</v>
      </c>
      <c r="AD425" t="s">
        <v>75</v>
      </c>
      <c r="AE425" t="s">
        <v>80</v>
      </c>
      <c r="AG425" t="s">
        <v>81</v>
      </c>
    </row>
    <row r="426" spans="1:33" x14ac:dyDescent="0.25">
      <c r="A426" t="str">
        <f>"1275868994"</f>
        <v>1275868994</v>
      </c>
      <c r="B426" t="str">
        <f>"03506970"</f>
        <v>03506970</v>
      </c>
      <c r="C426" t="s">
        <v>7809</v>
      </c>
      <c r="D426" t="s">
        <v>2743</v>
      </c>
      <c r="E426" t="s">
        <v>2744</v>
      </c>
      <c r="G426" t="s">
        <v>6474</v>
      </c>
      <c r="H426" t="s">
        <v>252</v>
      </c>
      <c r="J426" t="s">
        <v>628</v>
      </c>
      <c r="L426" t="s">
        <v>84</v>
      </c>
      <c r="M426" t="s">
        <v>85</v>
      </c>
      <c r="R426" t="s">
        <v>2745</v>
      </c>
      <c r="W426" t="s">
        <v>2744</v>
      </c>
      <c r="X426" t="s">
        <v>2746</v>
      </c>
      <c r="Y426" t="s">
        <v>95</v>
      </c>
      <c r="Z426" t="s">
        <v>77</v>
      </c>
      <c r="AA426" t="str">
        <f>"12208-1963"</f>
        <v>12208-1963</v>
      </c>
      <c r="AB426" t="s">
        <v>78</v>
      </c>
      <c r="AC426" t="s">
        <v>79</v>
      </c>
      <c r="AD426" t="s">
        <v>75</v>
      </c>
      <c r="AE426" t="s">
        <v>80</v>
      </c>
      <c r="AG426" t="s">
        <v>81</v>
      </c>
    </row>
    <row r="427" spans="1:33" x14ac:dyDescent="0.25">
      <c r="A427" t="str">
        <f>"1073955571"</f>
        <v>1073955571</v>
      </c>
      <c r="B427" t="str">
        <f>"03818917"</f>
        <v>03818917</v>
      </c>
      <c r="C427" t="s">
        <v>7810</v>
      </c>
      <c r="D427" t="s">
        <v>2726</v>
      </c>
      <c r="E427" t="s">
        <v>2727</v>
      </c>
      <c r="G427" t="s">
        <v>6474</v>
      </c>
      <c r="H427" t="s">
        <v>252</v>
      </c>
      <c r="J427" t="s">
        <v>628</v>
      </c>
      <c r="L427" t="s">
        <v>74</v>
      </c>
      <c r="M427" t="s">
        <v>85</v>
      </c>
      <c r="R427" t="s">
        <v>2728</v>
      </c>
      <c r="W427" t="s">
        <v>2727</v>
      </c>
      <c r="X427" t="s">
        <v>1770</v>
      </c>
      <c r="Y427" t="s">
        <v>1742</v>
      </c>
      <c r="Z427" t="s">
        <v>77</v>
      </c>
      <c r="AA427" t="str">
        <f>"12303-1039"</f>
        <v>12303-1039</v>
      </c>
      <c r="AB427" t="s">
        <v>78</v>
      </c>
      <c r="AC427" t="s">
        <v>79</v>
      </c>
      <c r="AD427" t="s">
        <v>75</v>
      </c>
      <c r="AE427" t="s">
        <v>80</v>
      </c>
      <c r="AG427" t="s">
        <v>81</v>
      </c>
    </row>
    <row r="428" spans="1:33" x14ac:dyDescent="0.25">
      <c r="A428" t="str">
        <f>"1538270319"</f>
        <v>1538270319</v>
      </c>
      <c r="B428" t="str">
        <f>"00803443"</f>
        <v>00803443</v>
      </c>
      <c r="C428" t="s">
        <v>7811</v>
      </c>
      <c r="D428" t="s">
        <v>7812</v>
      </c>
      <c r="E428" t="s">
        <v>7813</v>
      </c>
      <c r="G428" t="s">
        <v>7811</v>
      </c>
      <c r="H428" t="s">
        <v>7814</v>
      </c>
      <c r="J428" t="s">
        <v>7732</v>
      </c>
      <c r="L428" t="s">
        <v>84</v>
      </c>
      <c r="M428" t="s">
        <v>75</v>
      </c>
      <c r="R428" t="s">
        <v>7815</v>
      </c>
      <c r="W428" t="s">
        <v>7813</v>
      </c>
      <c r="X428" t="s">
        <v>7816</v>
      </c>
      <c r="Y428" t="s">
        <v>1960</v>
      </c>
      <c r="Z428" t="s">
        <v>77</v>
      </c>
      <c r="AA428" t="str">
        <f>"11598-2315"</f>
        <v>11598-2315</v>
      </c>
      <c r="AB428" t="s">
        <v>78</v>
      </c>
      <c r="AC428" t="s">
        <v>79</v>
      </c>
      <c r="AD428" t="s">
        <v>75</v>
      </c>
      <c r="AE428" t="s">
        <v>80</v>
      </c>
      <c r="AG428" t="s">
        <v>81</v>
      </c>
    </row>
    <row r="429" spans="1:33" x14ac:dyDescent="0.25">
      <c r="A429" t="str">
        <f>"1275576811"</f>
        <v>1275576811</v>
      </c>
      <c r="B429" t="str">
        <f>"00812226"</f>
        <v>00812226</v>
      </c>
      <c r="C429" t="s">
        <v>7817</v>
      </c>
      <c r="D429" t="s">
        <v>7818</v>
      </c>
      <c r="E429" t="s">
        <v>7819</v>
      </c>
      <c r="G429" t="s">
        <v>7817</v>
      </c>
      <c r="H429" t="s">
        <v>7820</v>
      </c>
      <c r="J429" t="s">
        <v>7732</v>
      </c>
      <c r="L429" t="s">
        <v>83</v>
      </c>
      <c r="M429" t="s">
        <v>85</v>
      </c>
      <c r="R429" t="s">
        <v>7821</v>
      </c>
      <c r="W429" t="s">
        <v>7819</v>
      </c>
      <c r="X429" t="s">
        <v>7822</v>
      </c>
      <c r="Y429" t="s">
        <v>87</v>
      </c>
      <c r="Z429" t="s">
        <v>77</v>
      </c>
      <c r="AA429" t="str">
        <f>"11235-6951"</f>
        <v>11235-6951</v>
      </c>
      <c r="AB429" t="s">
        <v>78</v>
      </c>
      <c r="AC429" t="s">
        <v>79</v>
      </c>
      <c r="AD429" t="s">
        <v>75</v>
      </c>
      <c r="AE429" t="s">
        <v>80</v>
      </c>
      <c r="AG429" t="s">
        <v>81</v>
      </c>
    </row>
    <row r="430" spans="1:33" x14ac:dyDescent="0.25">
      <c r="A430" t="str">
        <f>"1619158912"</f>
        <v>1619158912</v>
      </c>
      <c r="B430" t="str">
        <f>"03810313"</f>
        <v>03810313</v>
      </c>
      <c r="C430" t="s">
        <v>7823</v>
      </c>
      <c r="D430" t="s">
        <v>7824</v>
      </c>
      <c r="E430" t="s">
        <v>7825</v>
      </c>
      <c r="L430" t="s">
        <v>105</v>
      </c>
      <c r="M430" t="s">
        <v>75</v>
      </c>
      <c r="R430" t="s">
        <v>7826</v>
      </c>
      <c r="W430" t="s">
        <v>7825</v>
      </c>
      <c r="X430" t="s">
        <v>1010</v>
      </c>
      <c r="Y430" t="s">
        <v>97</v>
      </c>
      <c r="Z430" t="s">
        <v>77</v>
      </c>
      <c r="AA430" t="str">
        <f>"10035-3832"</f>
        <v>10035-3832</v>
      </c>
      <c r="AB430" t="s">
        <v>78</v>
      </c>
      <c r="AC430" t="s">
        <v>79</v>
      </c>
      <c r="AD430" t="s">
        <v>75</v>
      </c>
      <c r="AE430" t="s">
        <v>80</v>
      </c>
      <c r="AG430" t="s">
        <v>81</v>
      </c>
    </row>
    <row r="431" spans="1:33" x14ac:dyDescent="0.25">
      <c r="A431" t="str">
        <f>"1669441853"</f>
        <v>1669441853</v>
      </c>
      <c r="B431" t="str">
        <f>"00542374"</f>
        <v>00542374</v>
      </c>
      <c r="C431" t="s">
        <v>7827</v>
      </c>
      <c r="D431" t="s">
        <v>7828</v>
      </c>
      <c r="E431" t="s">
        <v>7829</v>
      </c>
      <c r="L431" t="s">
        <v>105</v>
      </c>
      <c r="M431" t="s">
        <v>85</v>
      </c>
      <c r="R431" t="s">
        <v>7830</v>
      </c>
      <c r="W431" t="s">
        <v>7831</v>
      </c>
      <c r="X431" t="s">
        <v>2838</v>
      </c>
      <c r="Y431" t="s">
        <v>97</v>
      </c>
      <c r="Z431" t="s">
        <v>77</v>
      </c>
      <c r="AA431" t="str">
        <f>"10003-3105"</f>
        <v>10003-3105</v>
      </c>
      <c r="AB431" t="s">
        <v>78</v>
      </c>
      <c r="AC431" t="s">
        <v>79</v>
      </c>
      <c r="AD431" t="s">
        <v>75</v>
      </c>
      <c r="AE431" t="s">
        <v>80</v>
      </c>
      <c r="AG431" t="s">
        <v>81</v>
      </c>
    </row>
    <row r="432" spans="1:33" x14ac:dyDescent="0.25">
      <c r="A432" t="str">
        <f>"1710915889"</f>
        <v>1710915889</v>
      </c>
      <c r="B432" t="str">
        <f>"02473572"</f>
        <v>02473572</v>
      </c>
      <c r="C432" t="s">
        <v>7832</v>
      </c>
      <c r="D432" t="s">
        <v>2573</v>
      </c>
      <c r="E432" t="s">
        <v>2574</v>
      </c>
      <c r="L432" t="s">
        <v>143</v>
      </c>
      <c r="M432" t="s">
        <v>75</v>
      </c>
      <c r="R432" t="s">
        <v>2575</v>
      </c>
      <c r="W432" t="s">
        <v>2576</v>
      </c>
      <c r="X432" t="s">
        <v>2577</v>
      </c>
      <c r="Y432" t="s">
        <v>131</v>
      </c>
      <c r="Z432" t="s">
        <v>77</v>
      </c>
      <c r="AA432" t="str">
        <f>"10462-5902"</f>
        <v>10462-5902</v>
      </c>
      <c r="AB432" t="s">
        <v>78</v>
      </c>
      <c r="AC432" t="s">
        <v>79</v>
      </c>
      <c r="AD432" t="s">
        <v>75</v>
      </c>
      <c r="AE432" t="s">
        <v>80</v>
      </c>
      <c r="AG432" t="s">
        <v>81</v>
      </c>
    </row>
    <row r="433" spans="1:33" x14ac:dyDescent="0.25">
      <c r="A433" t="str">
        <f>"1073750840"</f>
        <v>1073750840</v>
      </c>
      <c r="B433" t="str">
        <f>"03098895"</f>
        <v>03098895</v>
      </c>
      <c r="C433" t="s">
        <v>7833</v>
      </c>
      <c r="D433" t="s">
        <v>7834</v>
      </c>
      <c r="E433" t="s">
        <v>7835</v>
      </c>
      <c r="L433" t="s">
        <v>143</v>
      </c>
      <c r="M433" t="s">
        <v>75</v>
      </c>
      <c r="R433" t="s">
        <v>7835</v>
      </c>
      <c r="W433" t="s">
        <v>7835</v>
      </c>
      <c r="X433" t="s">
        <v>6261</v>
      </c>
      <c r="Y433" t="s">
        <v>131</v>
      </c>
      <c r="Z433" t="s">
        <v>77</v>
      </c>
      <c r="AA433" t="str">
        <f>"10452-7929"</f>
        <v>10452-7929</v>
      </c>
      <c r="AB433" t="s">
        <v>78</v>
      </c>
      <c r="AC433" t="s">
        <v>79</v>
      </c>
      <c r="AD433" t="s">
        <v>75</v>
      </c>
      <c r="AE433" t="s">
        <v>80</v>
      </c>
      <c r="AG433" t="s">
        <v>81</v>
      </c>
    </row>
    <row r="434" spans="1:33" x14ac:dyDescent="0.25">
      <c r="A434" t="str">
        <f>"1740621861"</f>
        <v>1740621861</v>
      </c>
      <c r="B434" t="str">
        <f>"03770243"</f>
        <v>03770243</v>
      </c>
      <c r="C434" t="s">
        <v>7836</v>
      </c>
      <c r="D434" t="s">
        <v>7837</v>
      </c>
      <c r="E434" t="s">
        <v>7838</v>
      </c>
      <c r="L434" t="s">
        <v>105</v>
      </c>
      <c r="M434" t="s">
        <v>75</v>
      </c>
      <c r="R434" t="s">
        <v>7839</v>
      </c>
      <c r="W434" t="s">
        <v>7838</v>
      </c>
      <c r="X434" t="s">
        <v>1010</v>
      </c>
      <c r="Y434" t="s">
        <v>97</v>
      </c>
      <c r="Z434" t="s">
        <v>77</v>
      </c>
      <c r="AA434" t="str">
        <f>"10035-3832"</f>
        <v>10035-3832</v>
      </c>
      <c r="AB434" t="s">
        <v>78</v>
      </c>
      <c r="AC434" t="s">
        <v>79</v>
      </c>
      <c r="AD434" t="s">
        <v>75</v>
      </c>
      <c r="AE434" t="s">
        <v>80</v>
      </c>
      <c r="AG434" t="s">
        <v>81</v>
      </c>
    </row>
    <row r="435" spans="1:33" x14ac:dyDescent="0.25">
      <c r="A435" t="str">
        <f>"1578561510"</f>
        <v>1578561510</v>
      </c>
      <c r="B435" t="str">
        <f>"01584023"</f>
        <v>01584023</v>
      </c>
      <c r="C435" t="s">
        <v>7840</v>
      </c>
      <c r="D435" t="s">
        <v>7841</v>
      </c>
      <c r="E435" t="s">
        <v>7842</v>
      </c>
      <c r="G435" t="s">
        <v>7840</v>
      </c>
      <c r="H435" t="s">
        <v>7754</v>
      </c>
      <c r="J435" t="s">
        <v>7843</v>
      </c>
      <c r="L435" t="s">
        <v>83</v>
      </c>
      <c r="M435" t="s">
        <v>75</v>
      </c>
      <c r="R435" t="s">
        <v>7844</v>
      </c>
      <c r="W435" t="s">
        <v>7842</v>
      </c>
      <c r="X435" t="s">
        <v>7845</v>
      </c>
      <c r="Y435" t="s">
        <v>720</v>
      </c>
      <c r="Z435" t="s">
        <v>77</v>
      </c>
      <c r="AA435" t="str">
        <f>"11435-1624"</f>
        <v>11435-1624</v>
      </c>
      <c r="AB435" t="s">
        <v>128</v>
      </c>
      <c r="AC435" t="s">
        <v>79</v>
      </c>
      <c r="AD435" t="s">
        <v>75</v>
      </c>
      <c r="AE435" t="s">
        <v>80</v>
      </c>
      <c r="AG435" t="s">
        <v>81</v>
      </c>
    </row>
    <row r="436" spans="1:33" x14ac:dyDescent="0.25">
      <c r="A436" t="str">
        <f>"1962430488"</f>
        <v>1962430488</v>
      </c>
      <c r="B436" t="str">
        <f>"01601183"</f>
        <v>01601183</v>
      </c>
      <c r="C436" t="s">
        <v>7846</v>
      </c>
      <c r="D436" t="s">
        <v>7847</v>
      </c>
      <c r="E436" t="s">
        <v>7848</v>
      </c>
      <c r="G436" t="s">
        <v>6278</v>
      </c>
      <c r="H436" t="s">
        <v>6279</v>
      </c>
      <c r="J436" t="s">
        <v>6280</v>
      </c>
      <c r="L436" t="s">
        <v>83</v>
      </c>
      <c r="M436" t="s">
        <v>85</v>
      </c>
      <c r="R436" t="s">
        <v>7849</v>
      </c>
      <c r="W436" t="s">
        <v>7848</v>
      </c>
      <c r="X436" t="s">
        <v>7850</v>
      </c>
      <c r="Y436" t="s">
        <v>97</v>
      </c>
      <c r="Z436" t="s">
        <v>77</v>
      </c>
      <c r="AA436" t="str">
        <f>"10029-6501"</f>
        <v>10029-6501</v>
      </c>
      <c r="AB436" t="s">
        <v>78</v>
      </c>
      <c r="AC436" t="s">
        <v>79</v>
      </c>
      <c r="AD436" t="s">
        <v>75</v>
      </c>
      <c r="AE436" t="s">
        <v>80</v>
      </c>
      <c r="AG436" t="s">
        <v>81</v>
      </c>
    </row>
    <row r="437" spans="1:33" x14ac:dyDescent="0.25">
      <c r="A437" t="str">
        <f>"1053336727"</f>
        <v>1053336727</v>
      </c>
      <c r="B437" t="str">
        <f>"03121597"</f>
        <v>03121597</v>
      </c>
      <c r="C437" t="s">
        <v>7851</v>
      </c>
      <c r="D437" t="s">
        <v>7852</v>
      </c>
      <c r="E437" t="s">
        <v>4675</v>
      </c>
      <c r="G437" t="s">
        <v>6380</v>
      </c>
      <c r="H437" t="s">
        <v>4625</v>
      </c>
      <c r="J437" t="s">
        <v>6381</v>
      </c>
      <c r="L437" t="s">
        <v>84</v>
      </c>
      <c r="M437" t="s">
        <v>85</v>
      </c>
      <c r="R437" t="s">
        <v>4675</v>
      </c>
      <c r="W437" t="s">
        <v>4675</v>
      </c>
      <c r="X437" t="s">
        <v>1822</v>
      </c>
      <c r="Y437" t="s">
        <v>1823</v>
      </c>
      <c r="Z437" t="s">
        <v>77</v>
      </c>
      <c r="AA437" t="str">
        <f>"10941-4028"</f>
        <v>10941-4028</v>
      </c>
      <c r="AB437" t="s">
        <v>78</v>
      </c>
      <c r="AC437" t="s">
        <v>79</v>
      </c>
      <c r="AD437" t="s">
        <v>75</v>
      </c>
      <c r="AE437" t="s">
        <v>80</v>
      </c>
      <c r="AG437" t="s">
        <v>81</v>
      </c>
    </row>
    <row r="438" spans="1:33" x14ac:dyDescent="0.25">
      <c r="A438" t="str">
        <f>"1689734154"</f>
        <v>1689734154</v>
      </c>
      <c r="B438" t="str">
        <f>"03121753"</f>
        <v>03121753</v>
      </c>
      <c r="C438" t="s">
        <v>7853</v>
      </c>
      <c r="D438" t="s">
        <v>7854</v>
      </c>
      <c r="E438" t="s">
        <v>7855</v>
      </c>
      <c r="G438" t="s">
        <v>6380</v>
      </c>
      <c r="H438" t="s">
        <v>4625</v>
      </c>
      <c r="J438" t="s">
        <v>6381</v>
      </c>
      <c r="L438" t="s">
        <v>83</v>
      </c>
      <c r="M438" t="s">
        <v>85</v>
      </c>
      <c r="R438" t="s">
        <v>7855</v>
      </c>
      <c r="W438" t="s">
        <v>7855</v>
      </c>
      <c r="X438" t="s">
        <v>1822</v>
      </c>
      <c r="Y438" t="s">
        <v>1823</v>
      </c>
      <c r="Z438" t="s">
        <v>77</v>
      </c>
      <c r="AA438" t="str">
        <f>"10941-4028"</f>
        <v>10941-4028</v>
      </c>
      <c r="AB438" t="s">
        <v>78</v>
      </c>
      <c r="AC438" t="s">
        <v>79</v>
      </c>
      <c r="AD438" t="s">
        <v>75</v>
      </c>
      <c r="AE438" t="s">
        <v>80</v>
      </c>
      <c r="AG438" t="s">
        <v>81</v>
      </c>
    </row>
    <row r="439" spans="1:33" x14ac:dyDescent="0.25">
      <c r="A439" t="str">
        <f>"1255509006"</f>
        <v>1255509006</v>
      </c>
      <c r="B439" t="str">
        <f>"03122378"</f>
        <v>03122378</v>
      </c>
      <c r="C439" t="s">
        <v>7856</v>
      </c>
      <c r="D439" t="s">
        <v>7857</v>
      </c>
      <c r="E439" t="s">
        <v>7858</v>
      </c>
      <c r="G439" t="s">
        <v>6380</v>
      </c>
      <c r="H439" t="s">
        <v>4625</v>
      </c>
      <c r="J439" t="s">
        <v>6381</v>
      </c>
      <c r="L439" t="s">
        <v>83</v>
      </c>
      <c r="M439" t="s">
        <v>85</v>
      </c>
      <c r="R439" t="s">
        <v>7858</v>
      </c>
      <c r="W439" t="s">
        <v>7858</v>
      </c>
      <c r="X439" t="s">
        <v>1822</v>
      </c>
      <c r="Y439" t="s">
        <v>1823</v>
      </c>
      <c r="Z439" t="s">
        <v>77</v>
      </c>
      <c r="AA439" t="str">
        <f>"10941-4028"</f>
        <v>10941-4028</v>
      </c>
      <c r="AB439" t="s">
        <v>78</v>
      </c>
      <c r="AC439" t="s">
        <v>79</v>
      </c>
      <c r="AD439" t="s">
        <v>75</v>
      </c>
      <c r="AE439" t="s">
        <v>80</v>
      </c>
      <c r="AG439" t="s">
        <v>81</v>
      </c>
    </row>
    <row r="440" spans="1:33" x14ac:dyDescent="0.25">
      <c r="A440" t="str">
        <f>"1215180922"</f>
        <v>1215180922</v>
      </c>
      <c r="B440" t="str">
        <f>"03128407"</f>
        <v>03128407</v>
      </c>
      <c r="C440" t="s">
        <v>7859</v>
      </c>
      <c r="D440" t="s">
        <v>7860</v>
      </c>
      <c r="E440" t="s">
        <v>7861</v>
      </c>
      <c r="G440" t="s">
        <v>6380</v>
      </c>
      <c r="H440" t="s">
        <v>4625</v>
      </c>
      <c r="J440" t="s">
        <v>6381</v>
      </c>
      <c r="L440" t="s">
        <v>84</v>
      </c>
      <c r="M440" t="s">
        <v>85</v>
      </c>
      <c r="R440" t="s">
        <v>7862</v>
      </c>
      <c r="W440" t="s">
        <v>7861</v>
      </c>
      <c r="X440" t="s">
        <v>1822</v>
      </c>
      <c r="Y440" t="s">
        <v>1823</v>
      </c>
      <c r="Z440" t="s">
        <v>77</v>
      </c>
      <c r="AA440" t="str">
        <f>"10941-4028"</f>
        <v>10941-4028</v>
      </c>
      <c r="AB440" t="s">
        <v>78</v>
      </c>
      <c r="AC440" t="s">
        <v>79</v>
      </c>
      <c r="AD440" t="s">
        <v>75</v>
      </c>
      <c r="AE440" t="s">
        <v>80</v>
      </c>
      <c r="AG440" t="s">
        <v>81</v>
      </c>
    </row>
    <row r="441" spans="1:33" x14ac:dyDescent="0.25">
      <c r="A441" t="str">
        <f>"1518108182"</f>
        <v>1518108182</v>
      </c>
      <c r="B441" t="str">
        <f>"03137877"</f>
        <v>03137877</v>
      </c>
      <c r="C441" t="s">
        <v>7863</v>
      </c>
      <c r="D441" t="s">
        <v>7864</v>
      </c>
      <c r="E441" t="s">
        <v>7865</v>
      </c>
      <c r="G441" t="s">
        <v>6380</v>
      </c>
      <c r="H441" t="s">
        <v>4625</v>
      </c>
      <c r="J441" t="s">
        <v>6381</v>
      </c>
      <c r="L441" t="s">
        <v>83</v>
      </c>
      <c r="M441" t="s">
        <v>85</v>
      </c>
      <c r="R441" t="s">
        <v>7866</v>
      </c>
      <c r="W441" t="s">
        <v>7865</v>
      </c>
      <c r="X441" t="s">
        <v>5591</v>
      </c>
      <c r="Y441" t="s">
        <v>3030</v>
      </c>
      <c r="Z441" t="s">
        <v>77</v>
      </c>
      <c r="AA441" t="str">
        <f>"10989-2019"</f>
        <v>10989-2019</v>
      </c>
      <c r="AB441" t="s">
        <v>78</v>
      </c>
      <c r="AC441" t="s">
        <v>79</v>
      </c>
      <c r="AD441" t="s">
        <v>75</v>
      </c>
      <c r="AE441" t="s">
        <v>80</v>
      </c>
      <c r="AG441" t="s">
        <v>81</v>
      </c>
    </row>
    <row r="442" spans="1:33" x14ac:dyDescent="0.25">
      <c r="A442" t="str">
        <f>"1013000629"</f>
        <v>1013000629</v>
      </c>
      <c r="B442" t="str">
        <f>"03139228"</f>
        <v>03139228</v>
      </c>
      <c r="C442" t="s">
        <v>7867</v>
      </c>
      <c r="D442" t="s">
        <v>7868</v>
      </c>
      <c r="E442" t="s">
        <v>7869</v>
      </c>
      <c r="G442" t="s">
        <v>6380</v>
      </c>
      <c r="H442" t="s">
        <v>4625</v>
      </c>
      <c r="J442" t="s">
        <v>6381</v>
      </c>
      <c r="L442" t="s">
        <v>83</v>
      </c>
      <c r="M442" t="s">
        <v>85</v>
      </c>
      <c r="R442" t="s">
        <v>7869</v>
      </c>
      <c r="W442" t="s">
        <v>7869</v>
      </c>
      <c r="X442" t="s">
        <v>1822</v>
      </c>
      <c r="Y442" t="s">
        <v>1823</v>
      </c>
      <c r="Z442" t="s">
        <v>77</v>
      </c>
      <c r="AA442" t="str">
        <f>"10941-4028"</f>
        <v>10941-4028</v>
      </c>
      <c r="AB442" t="s">
        <v>78</v>
      </c>
      <c r="AC442" t="s">
        <v>79</v>
      </c>
      <c r="AD442" t="s">
        <v>75</v>
      </c>
      <c r="AE442" t="s">
        <v>80</v>
      </c>
      <c r="AG442" t="s">
        <v>81</v>
      </c>
    </row>
    <row r="443" spans="1:33" x14ac:dyDescent="0.25">
      <c r="A443" t="str">
        <f>"1902042518"</f>
        <v>1902042518</v>
      </c>
      <c r="B443" t="str">
        <f>"03140094"</f>
        <v>03140094</v>
      </c>
      <c r="C443" t="s">
        <v>7870</v>
      </c>
      <c r="D443" t="s">
        <v>7871</v>
      </c>
      <c r="E443" t="s">
        <v>7872</v>
      </c>
      <c r="G443" t="s">
        <v>6380</v>
      </c>
      <c r="H443" t="s">
        <v>4625</v>
      </c>
      <c r="J443" t="s">
        <v>6381</v>
      </c>
      <c r="L443" t="s">
        <v>84</v>
      </c>
      <c r="M443" t="s">
        <v>85</v>
      </c>
      <c r="R443" t="s">
        <v>7873</v>
      </c>
      <c r="W443" t="s">
        <v>7872</v>
      </c>
      <c r="X443" t="s">
        <v>7874</v>
      </c>
      <c r="Y443" t="s">
        <v>233</v>
      </c>
      <c r="Z443" t="s">
        <v>77</v>
      </c>
      <c r="AA443" t="str">
        <f>"12401-2544"</f>
        <v>12401-2544</v>
      </c>
      <c r="AB443" t="s">
        <v>78</v>
      </c>
      <c r="AC443" t="s">
        <v>79</v>
      </c>
      <c r="AD443" t="s">
        <v>75</v>
      </c>
      <c r="AE443" t="s">
        <v>80</v>
      </c>
      <c r="AG443" t="s">
        <v>81</v>
      </c>
    </row>
    <row r="444" spans="1:33" x14ac:dyDescent="0.25">
      <c r="A444" t="str">
        <f>"1134110125"</f>
        <v>1134110125</v>
      </c>
      <c r="B444" t="str">
        <f>"03165042"</f>
        <v>03165042</v>
      </c>
      <c r="C444" t="s">
        <v>7875</v>
      </c>
      <c r="D444" t="s">
        <v>7876</v>
      </c>
      <c r="E444" t="s">
        <v>7877</v>
      </c>
      <c r="G444" t="s">
        <v>6380</v>
      </c>
      <c r="H444" t="s">
        <v>4625</v>
      </c>
      <c r="J444" t="s">
        <v>6381</v>
      </c>
      <c r="L444" t="s">
        <v>84</v>
      </c>
      <c r="M444" t="s">
        <v>85</v>
      </c>
      <c r="R444" t="s">
        <v>7877</v>
      </c>
      <c r="W444" t="s">
        <v>7878</v>
      </c>
      <c r="X444" t="s">
        <v>1822</v>
      </c>
      <c r="Y444" t="s">
        <v>1823</v>
      </c>
      <c r="Z444" t="s">
        <v>77</v>
      </c>
      <c r="AA444" t="str">
        <f>"10941-4028"</f>
        <v>10941-4028</v>
      </c>
      <c r="AB444" t="s">
        <v>78</v>
      </c>
      <c r="AC444" t="s">
        <v>79</v>
      </c>
      <c r="AD444" t="s">
        <v>75</v>
      </c>
      <c r="AE444" t="s">
        <v>80</v>
      </c>
      <c r="AG444" t="s">
        <v>81</v>
      </c>
    </row>
    <row r="445" spans="1:33" x14ac:dyDescent="0.25">
      <c r="A445" t="str">
        <f>"1750606711"</f>
        <v>1750606711</v>
      </c>
      <c r="B445" t="str">
        <f>"03380027"</f>
        <v>03380027</v>
      </c>
      <c r="C445" t="s">
        <v>7879</v>
      </c>
      <c r="D445" t="s">
        <v>7880</v>
      </c>
      <c r="E445" t="s">
        <v>7881</v>
      </c>
      <c r="G445" t="s">
        <v>6380</v>
      </c>
      <c r="H445" t="s">
        <v>4625</v>
      </c>
      <c r="J445" t="s">
        <v>6381</v>
      </c>
      <c r="L445" t="s">
        <v>83</v>
      </c>
      <c r="M445" t="s">
        <v>85</v>
      </c>
      <c r="R445" t="s">
        <v>7882</v>
      </c>
      <c r="W445" t="s">
        <v>7881</v>
      </c>
      <c r="X445" t="s">
        <v>7883</v>
      </c>
      <c r="Y445" t="s">
        <v>1818</v>
      </c>
      <c r="Z445" t="s">
        <v>77</v>
      </c>
      <c r="AA445" t="str">
        <f>"11787-1348"</f>
        <v>11787-1348</v>
      </c>
      <c r="AB445" t="s">
        <v>78</v>
      </c>
      <c r="AC445" t="s">
        <v>79</v>
      </c>
      <c r="AD445" t="s">
        <v>75</v>
      </c>
      <c r="AE445" t="s">
        <v>80</v>
      </c>
      <c r="AG445" t="s">
        <v>81</v>
      </c>
    </row>
    <row r="446" spans="1:33" x14ac:dyDescent="0.25">
      <c r="A446" t="str">
        <f>"1265694020"</f>
        <v>1265694020</v>
      </c>
      <c r="B446" t="str">
        <f>"03386216"</f>
        <v>03386216</v>
      </c>
      <c r="C446" t="s">
        <v>7884</v>
      </c>
      <c r="D446" t="s">
        <v>7885</v>
      </c>
      <c r="E446" t="s">
        <v>7886</v>
      </c>
      <c r="G446" t="s">
        <v>6380</v>
      </c>
      <c r="H446" t="s">
        <v>4625</v>
      </c>
      <c r="J446" t="s">
        <v>6381</v>
      </c>
      <c r="L446" t="s">
        <v>83</v>
      </c>
      <c r="M446" t="s">
        <v>85</v>
      </c>
      <c r="R446" t="s">
        <v>7886</v>
      </c>
      <c r="W446" t="s">
        <v>7886</v>
      </c>
      <c r="X446" t="s">
        <v>1822</v>
      </c>
      <c r="Y446" t="s">
        <v>1823</v>
      </c>
      <c r="Z446" t="s">
        <v>77</v>
      </c>
      <c r="AA446" t="str">
        <f>"10941-4028"</f>
        <v>10941-4028</v>
      </c>
      <c r="AB446" t="s">
        <v>78</v>
      </c>
      <c r="AC446" t="s">
        <v>79</v>
      </c>
      <c r="AD446" t="s">
        <v>75</v>
      </c>
      <c r="AE446" t="s">
        <v>80</v>
      </c>
      <c r="AG446" t="s">
        <v>81</v>
      </c>
    </row>
    <row r="447" spans="1:33" x14ac:dyDescent="0.25">
      <c r="A447" t="str">
        <f>"1518128594"</f>
        <v>1518128594</v>
      </c>
      <c r="B447" t="str">
        <f>"03392183"</f>
        <v>03392183</v>
      </c>
      <c r="C447" t="s">
        <v>7887</v>
      </c>
      <c r="D447" t="s">
        <v>7888</v>
      </c>
      <c r="E447" t="s">
        <v>7889</v>
      </c>
      <c r="G447" t="s">
        <v>6380</v>
      </c>
      <c r="H447" t="s">
        <v>4625</v>
      </c>
      <c r="J447" t="s">
        <v>6381</v>
      </c>
      <c r="L447" t="s">
        <v>74</v>
      </c>
      <c r="M447" t="s">
        <v>85</v>
      </c>
      <c r="R447" t="s">
        <v>7889</v>
      </c>
      <c r="W447" t="s">
        <v>7889</v>
      </c>
      <c r="X447" t="s">
        <v>1822</v>
      </c>
      <c r="Y447" t="s">
        <v>1823</v>
      </c>
      <c r="Z447" t="s">
        <v>77</v>
      </c>
      <c r="AA447" t="str">
        <f>"10941-4028"</f>
        <v>10941-4028</v>
      </c>
      <c r="AB447" t="s">
        <v>78</v>
      </c>
      <c r="AC447" t="s">
        <v>79</v>
      </c>
      <c r="AD447" t="s">
        <v>75</v>
      </c>
      <c r="AE447" t="s">
        <v>80</v>
      </c>
      <c r="AG447" t="s">
        <v>81</v>
      </c>
    </row>
    <row r="448" spans="1:33" x14ac:dyDescent="0.25">
      <c r="A448" t="str">
        <f>"1841498714"</f>
        <v>1841498714</v>
      </c>
      <c r="B448" t="str">
        <f>"03406099"</f>
        <v>03406099</v>
      </c>
      <c r="C448" t="s">
        <v>7890</v>
      </c>
      <c r="D448" t="s">
        <v>7891</v>
      </c>
      <c r="E448" t="s">
        <v>7892</v>
      </c>
      <c r="G448" t="s">
        <v>6380</v>
      </c>
      <c r="H448" t="s">
        <v>4625</v>
      </c>
      <c r="J448" t="s">
        <v>6381</v>
      </c>
      <c r="L448" t="s">
        <v>83</v>
      </c>
      <c r="M448" t="s">
        <v>85</v>
      </c>
      <c r="R448" t="s">
        <v>7893</v>
      </c>
      <c r="W448" t="s">
        <v>7892</v>
      </c>
      <c r="X448" t="s">
        <v>7894</v>
      </c>
      <c r="Y448" t="s">
        <v>6094</v>
      </c>
      <c r="Z448" t="s">
        <v>77</v>
      </c>
      <c r="AA448" t="str">
        <f>"10604-3404"</f>
        <v>10604-3404</v>
      </c>
      <c r="AB448" t="s">
        <v>78</v>
      </c>
      <c r="AC448" t="s">
        <v>79</v>
      </c>
      <c r="AD448" t="s">
        <v>75</v>
      </c>
      <c r="AE448" t="s">
        <v>80</v>
      </c>
      <c r="AG448" t="s">
        <v>81</v>
      </c>
    </row>
    <row r="449" spans="1:33" x14ac:dyDescent="0.25">
      <c r="A449" t="str">
        <f>"1033388392"</f>
        <v>1033388392</v>
      </c>
      <c r="B449" t="str">
        <f>"03406282"</f>
        <v>03406282</v>
      </c>
      <c r="C449" t="s">
        <v>7895</v>
      </c>
      <c r="D449" t="s">
        <v>7896</v>
      </c>
      <c r="E449" t="s">
        <v>7897</v>
      </c>
      <c r="G449" t="s">
        <v>6380</v>
      </c>
      <c r="H449" t="s">
        <v>4625</v>
      </c>
      <c r="J449" t="s">
        <v>6381</v>
      </c>
      <c r="L449" t="s">
        <v>83</v>
      </c>
      <c r="M449" t="s">
        <v>85</v>
      </c>
      <c r="R449" t="s">
        <v>7898</v>
      </c>
      <c r="W449" t="s">
        <v>7897</v>
      </c>
      <c r="X449" t="s">
        <v>1822</v>
      </c>
      <c r="Y449" t="s">
        <v>1823</v>
      </c>
      <c r="Z449" t="s">
        <v>77</v>
      </c>
      <c r="AA449" t="str">
        <f>"10941-4028"</f>
        <v>10941-4028</v>
      </c>
      <c r="AB449" t="s">
        <v>78</v>
      </c>
      <c r="AC449" t="s">
        <v>79</v>
      </c>
      <c r="AD449" t="s">
        <v>75</v>
      </c>
      <c r="AE449" t="s">
        <v>80</v>
      </c>
      <c r="AG449" t="s">
        <v>81</v>
      </c>
    </row>
    <row r="450" spans="1:33" x14ac:dyDescent="0.25">
      <c r="A450" t="str">
        <f>"1407978786"</f>
        <v>1407978786</v>
      </c>
      <c r="B450" t="str">
        <f>"02879858"</f>
        <v>02879858</v>
      </c>
      <c r="C450" t="s">
        <v>7899</v>
      </c>
      <c r="D450" t="s">
        <v>7900</v>
      </c>
      <c r="E450" t="s">
        <v>7901</v>
      </c>
      <c r="G450" t="s">
        <v>6800</v>
      </c>
      <c r="H450" t="s">
        <v>6801</v>
      </c>
      <c r="I450">
        <v>6381</v>
      </c>
      <c r="J450" t="s">
        <v>6802</v>
      </c>
      <c r="L450" t="s">
        <v>74</v>
      </c>
      <c r="M450" t="s">
        <v>85</v>
      </c>
      <c r="R450" t="s">
        <v>7902</v>
      </c>
      <c r="W450" t="s">
        <v>7901</v>
      </c>
      <c r="X450" t="s">
        <v>3373</v>
      </c>
      <c r="Y450" t="s">
        <v>97</v>
      </c>
      <c r="Z450" t="s">
        <v>77</v>
      </c>
      <c r="AA450" t="str">
        <f>"10001-2320"</f>
        <v>10001-2320</v>
      </c>
      <c r="AB450" t="s">
        <v>78</v>
      </c>
      <c r="AC450" t="s">
        <v>79</v>
      </c>
      <c r="AD450" t="s">
        <v>75</v>
      </c>
      <c r="AE450" t="s">
        <v>80</v>
      </c>
      <c r="AG450" t="s">
        <v>81</v>
      </c>
    </row>
    <row r="451" spans="1:33" x14ac:dyDescent="0.25">
      <c r="A451" t="str">
        <f>"1093006975"</f>
        <v>1093006975</v>
      </c>
      <c r="B451" t="str">
        <f>"03923677"</f>
        <v>03923677</v>
      </c>
      <c r="C451" t="s">
        <v>7903</v>
      </c>
      <c r="D451" t="s">
        <v>7904</v>
      </c>
      <c r="E451" t="s">
        <v>7905</v>
      </c>
      <c r="G451" t="s">
        <v>6494</v>
      </c>
      <c r="H451" t="s">
        <v>6495</v>
      </c>
      <c r="J451" t="s">
        <v>6496</v>
      </c>
      <c r="L451" t="s">
        <v>84</v>
      </c>
      <c r="M451" t="s">
        <v>75</v>
      </c>
      <c r="R451" t="s">
        <v>7906</v>
      </c>
      <c r="W451" t="s">
        <v>7905</v>
      </c>
      <c r="X451" t="s">
        <v>7539</v>
      </c>
      <c r="Y451" t="s">
        <v>97</v>
      </c>
      <c r="Z451" t="s">
        <v>77</v>
      </c>
      <c r="AA451" t="str">
        <f>"10025-5752"</f>
        <v>10025-5752</v>
      </c>
      <c r="AB451" t="s">
        <v>78</v>
      </c>
      <c r="AC451" t="s">
        <v>79</v>
      </c>
      <c r="AD451" t="s">
        <v>75</v>
      </c>
      <c r="AE451" t="s">
        <v>80</v>
      </c>
      <c r="AG451" t="s">
        <v>81</v>
      </c>
    </row>
    <row r="452" spans="1:33" x14ac:dyDescent="0.25">
      <c r="A452" t="str">
        <f>"1952489429"</f>
        <v>1952489429</v>
      </c>
      <c r="B452" t="str">
        <f>"01457809"</f>
        <v>01457809</v>
      </c>
      <c r="C452" t="s">
        <v>7907</v>
      </c>
      <c r="D452" t="s">
        <v>1591</v>
      </c>
      <c r="E452" t="s">
        <v>1592</v>
      </c>
      <c r="G452" t="s">
        <v>6930</v>
      </c>
      <c r="H452" t="s">
        <v>6931</v>
      </c>
      <c r="J452" t="s">
        <v>6932</v>
      </c>
      <c r="L452" t="s">
        <v>74</v>
      </c>
      <c r="M452" t="s">
        <v>75</v>
      </c>
      <c r="R452" t="s">
        <v>1590</v>
      </c>
      <c r="W452" t="s">
        <v>1592</v>
      </c>
      <c r="X452" t="s">
        <v>1593</v>
      </c>
      <c r="Y452" t="s">
        <v>152</v>
      </c>
      <c r="Z452" t="s">
        <v>77</v>
      </c>
      <c r="AA452" t="str">
        <f>"11375"</f>
        <v>11375</v>
      </c>
      <c r="AB452" t="s">
        <v>108</v>
      </c>
      <c r="AC452" t="s">
        <v>79</v>
      </c>
      <c r="AD452" t="s">
        <v>75</v>
      </c>
      <c r="AE452" t="s">
        <v>80</v>
      </c>
      <c r="AG452" t="s">
        <v>81</v>
      </c>
    </row>
    <row r="453" spans="1:33" x14ac:dyDescent="0.25">
      <c r="A453" t="str">
        <f>"1023121456"</f>
        <v>1023121456</v>
      </c>
      <c r="B453" t="str">
        <f>"02993653"</f>
        <v>02993653</v>
      </c>
      <c r="C453" t="s">
        <v>7908</v>
      </c>
      <c r="D453" t="s">
        <v>1578</v>
      </c>
      <c r="E453" t="s">
        <v>1579</v>
      </c>
      <c r="G453" t="s">
        <v>6930</v>
      </c>
      <c r="H453" t="s">
        <v>6931</v>
      </c>
      <c r="J453" t="s">
        <v>6932</v>
      </c>
      <c r="L453" t="s">
        <v>83</v>
      </c>
      <c r="M453" t="s">
        <v>75</v>
      </c>
      <c r="R453" t="s">
        <v>1577</v>
      </c>
      <c r="W453" t="s">
        <v>1580</v>
      </c>
      <c r="X453" t="s">
        <v>1581</v>
      </c>
      <c r="Y453" t="s">
        <v>131</v>
      </c>
      <c r="Z453" t="s">
        <v>77</v>
      </c>
      <c r="AA453" t="str">
        <f>"10461-4902"</f>
        <v>10461-4902</v>
      </c>
      <c r="AB453" t="s">
        <v>93</v>
      </c>
      <c r="AC453" t="s">
        <v>79</v>
      </c>
      <c r="AD453" t="s">
        <v>75</v>
      </c>
      <c r="AE453" t="s">
        <v>80</v>
      </c>
      <c r="AG453" t="s">
        <v>81</v>
      </c>
    </row>
    <row r="454" spans="1:33" x14ac:dyDescent="0.25">
      <c r="A454" t="str">
        <f>"1922199082"</f>
        <v>1922199082</v>
      </c>
      <c r="B454" t="str">
        <f>"01052464"</f>
        <v>01052464</v>
      </c>
      <c r="C454" t="s">
        <v>7909</v>
      </c>
      <c r="D454" t="s">
        <v>1621</v>
      </c>
      <c r="E454" t="s">
        <v>1622</v>
      </c>
      <c r="G454" t="s">
        <v>6930</v>
      </c>
      <c r="H454" t="s">
        <v>6931</v>
      </c>
      <c r="J454" t="s">
        <v>6932</v>
      </c>
      <c r="L454" t="s">
        <v>83</v>
      </c>
      <c r="M454" t="s">
        <v>75</v>
      </c>
      <c r="R454" t="s">
        <v>1620</v>
      </c>
      <c r="W454" t="s">
        <v>1622</v>
      </c>
      <c r="X454" t="s">
        <v>1623</v>
      </c>
      <c r="Y454" t="s">
        <v>199</v>
      </c>
      <c r="Z454" t="s">
        <v>77</v>
      </c>
      <c r="AA454" t="str">
        <f>"11706"</f>
        <v>11706</v>
      </c>
      <c r="AB454" t="s">
        <v>108</v>
      </c>
      <c r="AC454" t="s">
        <v>79</v>
      </c>
      <c r="AD454" t="s">
        <v>75</v>
      </c>
      <c r="AE454" t="s">
        <v>80</v>
      </c>
      <c r="AG454" t="s">
        <v>81</v>
      </c>
    </row>
    <row r="455" spans="1:33" x14ac:dyDescent="0.25">
      <c r="A455" t="str">
        <f>"1235386517"</f>
        <v>1235386517</v>
      </c>
      <c r="B455" t="str">
        <f>"03108367"</f>
        <v>03108367</v>
      </c>
      <c r="C455" t="s">
        <v>7910</v>
      </c>
      <c r="D455" t="s">
        <v>7911</v>
      </c>
      <c r="E455" t="s">
        <v>7912</v>
      </c>
      <c r="G455" t="s">
        <v>6380</v>
      </c>
      <c r="H455" t="s">
        <v>4625</v>
      </c>
      <c r="J455" t="s">
        <v>6381</v>
      </c>
      <c r="L455" t="s">
        <v>83</v>
      </c>
      <c r="M455" t="s">
        <v>85</v>
      </c>
      <c r="R455" t="s">
        <v>7913</v>
      </c>
      <c r="W455" t="s">
        <v>7912</v>
      </c>
      <c r="X455" t="s">
        <v>1822</v>
      </c>
      <c r="Y455" t="s">
        <v>1823</v>
      </c>
      <c r="Z455" t="s">
        <v>77</v>
      </c>
      <c r="AA455" t="str">
        <f>"10941-4028"</f>
        <v>10941-4028</v>
      </c>
      <c r="AB455" t="s">
        <v>78</v>
      </c>
      <c r="AC455" t="s">
        <v>79</v>
      </c>
      <c r="AD455" t="s">
        <v>75</v>
      </c>
      <c r="AE455" t="s">
        <v>80</v>
      </c>
      <c r="AG455" t="s">
        <v>81</v>
      </c>
    </row>
    <row r="456" spans="1:33" x14ac:dyDescent="0.25">
      <c r="A456" t="str">
        <f>"1275655565"</f>
        <v>1275655565</v>
      </c>
      <c r="B456" t="str">
        <f>"03111162"</f>
        <v>03111162</v>
      </c>
      <c r="C456" t="s">
        <v>7914</v>
      </c>
      <c r="D456" t="s">
        <v>7915</v>
      </c>
      <c r="E456" t="s">
        <v>7916</v>
      </c>
      <c r="G456" t="s">
        <v>6380</v>
      </c>
      <c r="H456" t="s">
        <v>4625</v>
      </c>
      <c r="J456" t="s">
        <v>6381</v>
      </c>
      <c r="L456" t="s">
        <v>84</v>
      </c>
      <c r="M456" t="s">
        <v>85</v>
      </c>
      <c r="R456" t="s">
        <v>7917</v>
      </c>
      <c r="W456" t="s">
        <v>7918</v>
      </c>
      <c r="X456" t="s">
        <v>1822</v>
      </c>
      <c r="Y456" t="s">
        <v>1823</v>
      </c>
      <c r="Z456" t="s">
        <v>77</v>
      </c>
      <c r="AA456" t="str">
        <f>"10941-4028"</f>
        <v>10941-4028</v>
      </c>
      <c r="AB456" t="s">
        <v>78</v>
      </c>
      <c r="AC456" t="s">
        <v>79</v>
      </c>
      <c r="AD456" t="s">
        <v>75</v>
      </c>
      <c r="AE456" t="s">
        <v>80</v>
      </c>
      <c r="AG456" t="s">
        <v>81</v>
      </c>
    </row>
    <row r="457" spans="1:33" x14ac:dyDescent="0.25">
      <c r="A457" t="str">
        <f>"1518186840"</f>
        <v>1518186840</v>
      </c>
      <c r="B457" t="str">
        <f>"03111740"</f>
        <v>03111740</v>
      </c>
      <c r="C457" t="s">
        <v>7919</v>
      </c>
      <c r="D457" t="s">
        <v>7920</v>
      </c>
      <c r="E457" t="s">
        <v>7921</v>
      </c>
      <c r="G457" t="s">
        <v>6380</v>
      </c>
      <c r="H457" t="s">
        <v>4625</v>
      </c>
      <c r="J457" t="s">
        <v>6381</v>
      </c>
      <c r="L457" t="s">
        <v>84</v>
      </c>
      <c r="M457" t="s">
        <v>85</v>
      </c>
      <c r="R457" t="s">
        <v>7922</v>
      </c>
      <c r="W457" t="s">
        <v>7923</v>
      </c>
      <c r="X457" t="s">
        <v>7924</v>
      </c>
      <c r="Y457" t="s">
        <v>1823</v>
      </c>
      <c r="Z457" t="s">
        <v>77</v>
      </c>
      <c r="AA457" t="str">
        <f>"10941-4042"</f>
        <v>10941-4042</v>
      </c>
      <c r="AB457" t="s">
        <v>78</v>
      </c>
      <c r="AC457" t="s">
        <v>79</v>
      </c>
      <c r="AD457" t="s">
        <v>75</v>
      </c>
      <c r="AE457" t="s">
        <v>80</v>
      </c>
      <c r="AG457" t="s">
        <v>81</v>
      </c>
    </row>
    <row r="458" spans="1:33" x14ac:dyDescent="0.25">
      <c r="A458" t="str">
        <f>"1255527008"</f>
        <v>1255527008</v>
      </c>
      <c r="B458" t="str">
        <f>"03115060"</f>
        <v>03115060</v>
      </c>
      <c r="C458" t="s">
        <v>7925</v>
      </c>
      <c r="D458" t="s">
        <v>7926</v>
      </c>
      <c r="E458" t="s">
        <v>7927</v>
      </c>
      <c r="G458" t="s">
        <v>6380</v>
      </c>
      <c r="H458" t="s">
        <v>4625</v>
      </c>
      <c r="J458" t="s">
        <v>6381</v>
      </c>
      <c r="L458" t="s">
        <v>84</v>
      </c>
      <c r="M458" t="s">
        <v>85</v>
      </c>
      <c r="R458" t="s">
        <v>7927</v>
      </c>
      <c r="W458" t="s">
        <v>7927</v>
      </c>
      <c r="X458" t="s">
        <v>1822</v>
      </c>
      <c r="Y458" t="s">
        <v>1823</v>
      </c>
      <c r="Z458" t="s">
        <v>77</v>
      </c>
      <c r="AA458" t="str">
        <f>"10941-4028"</f>
        <v>10941-4028</v>
      </c>
      <c r="AB458" t="s">
        <v>78</v>
      </c>
      <c r="AC458" t="s">
        <v>79</v>
      </c>
      <c r="AD458" t="s">
        <v>75</v>
      </c>
      <c r="AE458" t="s">
        <v>80</v>
      </c>
      <c r="AG458" t="s">
        <v>81</v>
      </c>
    </row>
    <row r="459" spans="1:33" x14ac:dyDescent="0.25">
      <c r="A459" t="str">
        <f>"1770735607"</f>
        <v>1770735607</v>
      </c>
      <c r="B459" t="str">
        <f>"03118090"</f>
        <v>03118090</v>
      </c>
      <c r="C459" t="s">
        <v>7928</v>
      </c>
      <c r="D459" t="s">
        <v>7929</v>
      </c>
      <c r="E459" t="s">
        <v>7930</v>
      </c>
      <c r="G459" t="s">
        <v>6380</v>
      </c>
      <c r="H459" t="s">
        <v>4625</v>
      </c>
      <c r="J459" t="s">
        <v>6381</v>
      </c>
      <c r="L459" t="s">
        <v>83</v>
      </c>
      <c r="M459" t="s">
        <v>85</v>
      </c>
      <c r="R459" t="s">
        <v>7931</v>
      </c>
      <c r="W459" t="s">
        <v>7932</v>
      </c>
      <c r="X459" t="s">
        <v>1822</v>
      </c>
      <c r="Y459" t="s">
        <v>1823</v>
      </c>
      <c r="Z459" t="s">
        <v>77</v>
      </c>
      <c r="AA459" t="str">
        <f>"10941-4028"</f>
        <v>10941-4028</v>
      </c>
      <c r="AB459" t="s">
        <v>78</v>
      </c>
      <c r="AC459" t="s">
        <v>79</v>
      </c>
      <c r="AD459" t="s">
        <v>75</v>
      </c>
      <c r="AE459" t="s">
        <v>80</v>
      </c>
      <c r="AG459" t="s">
        <v>81</v>
      </c>
    </row>
    <row r="460" spans="1:33" x14ac:dyDescent="0.25">
      <c r="A460" t="str">
        <f>"1285951608"</f>
        <v>1285951608</v>
      </c>
      <c r="B460" t="str">
        <f>"03767622"</f>
        <v>03767622</v>
      </c>
      <c r="C460" t="s">
        <v>7933</v>
      </c>
      <c r="D460" t="s">
        <v>7934</v>
      </c>
      <c r="E460" t="s">
        <v>7935</v>
      </c>
      <c r="G460" t="s">
        <v>6524</v>
      </c>
      <c r="H460" t="s">
        <v>6525</v>
      </c>
      <c r="J460" t="s">
        <v>6526</v>
      </c>
      <c r="L460" t="s">
        <v>74</v>
      </c>
      <c r="M460" t="s">
        <v>75</v>
      </c>
      <c r="R460" t="s">
        <v>7936</v>
      </c>
      <c r="W460" t="s">
        <v>7935</v>
      </c>
      <c r="X460" t="s">
        <v>7937</v>
      </c>
      <c r="Y460" t="s">
        <v>97</v>
      </c>
      <c r="Z460" t="s">
        <v>77</v>
      </c>
      <c r="AA460" t="str">
        <f>"10035-3523"</f>
        <v>10035-3523</v>
      </c>
      <c r="AB460" t="s">
        <v>78</v>
      </c>
      <c r="AC460" t="s">
        <v>79</v>
      </c>
      <c r="AD460" t="s">
        <v>75</v>
      </c>
      <c r="AE460" t="s">
        <v>80</v>
      </c>
      <c r="AG460" t="s">
        <v>81</v>
      </c>
    </row>
    <row r="461" spans="1:33" x14ac:dyDescent="0.25">
      <c r="A461" t="str">
        <f>"1114239761"</f>
        <v>1114239761</v>
      </c>
      <c r="B461" t="str">
        <f>"03644575"</f>
        <v>03644575</v>
      </c>
      <c r="C461" t="s">
        <v>7938</v>
      </c>
      <c r="D461" t="s">
        <v>7939</v>
      </c>
      <c r="E461" t="s">
        <v>7940</v>
      </c>
      <c r="G461" t="s">
        <v>6524</v>
      </c>
      <c r="H461" t="s">
        <v>6525</v>
      </c>
      <c r="J461" t="s">
        <v>6526</v>
      </c>
      <c r="L461" t="s">
        <v>102</v>
      </c>
      <c r="M461" t="s">
        <v>75</v>
      </c>
      <c r="R461" t="s">
        <v>7941</v>
      </c>
      <c r="W461" t="s">
        <v>7940</v>
      </c>
      <c r="X461" t="s">
        <v>7937</v>
      </c>
      <c r="Y461" t="s">
        <v>97</v>
      </c>
      <c r="Z461" t="s">
        <v>77</v>
      </c>
      <c r="AA461" t="str">
        <f>"10035-3523"</f>
        <v>10035-3523</v>
      </c>
      <c r="AB461" t="s">
        <v>78</v>
      </c>
      <c r="AC461" t="s">
        <v>79</v>
      </c>
      <c r="AD461" t="s">
        <v>75</v>
      </c>
      <c r="AE461" t="s">
        <v>80</v>
      </c>
      <c r="AG461" t="s">
        <v>81</v>
      </c>
    </row>
    <row r="462" spans="1:33" x14ac:dyDescent="0.25">
      <c r="A462" t="str">
        <f>"1295948057"</f>
        <v>1295948057</v>
      </c>
      <c r="B462" t="str">
        <f>"03646119"</f>
        <v>03646119</v>
      </c>
      <c r="C462" t="s">
        <v>7942</v>
      </c>
      <c r="D462" t="s">
        <v>7943</v>
      </c>
      <c r="E462" t="s">
        <v>7944</v>
      </c>
      <c r="G462" t="s">
        <v>6524</v>
      </c>
      <c r="H462" t="s">
        <v>6525</v>
      </c>
      <c r="J462" t="s">
        <v>6526</v>
      </c>
      <c r="L462" t="s">
        <v>74</v>
      </c>
      <c r="M462" t="s">
        <v>75</v>
      </c>
      <c r="R462" t="s">
        <v>7945</v>
      </c>
      <c r="W462" t="s">
        <v>7944</v>
      </c>
      <c r="X462" t="s">
        <v>6528</v>
      </c>
      <c r="Y462" t="s">
        <v>97</v>
      </c>
      <c r="Z462" t="s">
        <v>77</v>
      </c>
      <c r="AA462" t="str">
        <f>"10035-3523"</f>
        <v>10035-3523</v>
      </c>
      <c r="AB462" t="s">
        <v>78</v>
      </c>
      <c r="AC462" t="s">
        <v>79</v>
      </c>
      <c r="AD462" t="s">
        <v>75</v>
      </c>
      <c r="AE462" t="s">
        <v>80</v>
      </c>
      <c r="AG462" t="s">
        <v>81</v>
      </c>
    </row>
    <row r="463" spans="1:33" x14ac:dyDescent="0.25">
      <c r="A463" t="str">
        <f>"1396946554"</f>
        <v>1396946554</v>
      </c>
      <c r="B463" t="str">
        <f>"03720050"</f>
        <v>03720050</v>
      </c>
      <c r="C463" t="s">
        <v>7946</v>
      </c>
      <c r="D463" t="s">
        <v>7947</v>
      </c>
      <c r="E463" t="s">
        <v>7948</v>
      </c>
      <c r="G463" t="s">
        <v>6524</v>
      </c>
      <c r="H463" t="s">
        <v>6525</v>
      </c>
      <c r="J463" t="s">
        <v>6526</v>
      </c>
      <c r="L463" t="s">
        <v>74</v>
      </c>
      <c r="M463" t="s">
        <v>75</v>
      </c>
      <c r="R463" t="s">
        <v>7949</v>
      </c>
      <c r="W463" t="s">
        <v>7948</v>
      </c>
      <c r="X463" t="s">
        <v>6528</v>
      </c>
      <c r="Y463" t="s">
        <v>97</v>
      </c>
      <c r="Z463" t="s">
        <v>77</v>
      </c>
      <c r="AA463" t="str">
        <f>"10035-3523"</f>
        <v>10035-3523</v>
      </c>
      <c r="AB463" t="s">
        <v>78</v>
      </c>
      <c r="AC463" t="s">
        <v>79</v>
      </c>
      <c r="AD463" t="s">
        <v>75</v>
      </c>
      <c r="AE463" t="s">
        <v>80</v>
      </c>
      <c r="AG463" t="s">
        <v>81</v>
      </c>
    </row>
    <row r="464" spans="1:33" x14ac:dyDescent="0.25">
      <c r="A464" t="str">
        <f>"1780601559"</f>
        <v>1780601559</v>
      </c>
      <c r="B464" t="str">
        <f>"02315855"</f>
        <v>02315855</v>
      </c>
      <c r="C464" t="s">
        <v>7950</v>
      </c>
      <c r="D464" t="s">
        <v>7951</v>
      </c>
      <c r="E464" t="s">
        <v>7952</v>
      </c>
      <c r="G464" t="s">
        <v>6524</v>
      </c>
      <c r="H464" t="s">
        <v>6525</v>
      </c>
      <c r="J464" t="s">
        <v>6526</v>
      </c>
      <c r="L464" t="s">
        <v>105</v>
      </c>
      <c r="M464" t="s">
        <v>75</v>
      </c>
      <c r="R464" t="s">
        <v>7953</v>
      </c>
      <c r="W464" t="s">
        <v>7952</v>
      </c>
      <c r="X464" t="s">
        <v>6528</v>
      </c>
      <c r="Y464" t="s">
        <v>97</v>
      </c>
      <c r="Z464" t="s">
        <v>77</v>
      </c>
      <c r="AA464" t="str">
        <f>"10035-3523"</f>
        <v>10035-3523</v>
      </c>
      <c r="AB464" t="s">
        <v>78</v>
      </c>
      <c r="AC464" t="s">
        <v>79</v>
      </c>
      <c r="AD464" t="s">
        <v>75</v>
      </c>
      <c r="AE464" t="s">
        <v>80</v>
      </c>
      <c r="AG464" t="s">
        <v>81</v>
      </c>
    </row>
    <row r="465" spans="1:33" x14ac:dyDescent="0.25">
      <c r="A465" t="str">
        <f>"1780813931"</f>
        <v>1780813931</v>
      </c>
      <c r="B465" t="str">
        <f>"03883323"</f>
        <v>03883323</v>
      </c>
      <c r="C465" t="s">
        <v>7954</v>
      </c>
      <c r="D465" t="s">
        <v>7955</v>
      </c>
      <c r="E465" t="s">
        <v>7956</v>
      </c>
      <c r="G465" t="s">
        <v>7957</v>
      </c>
      <c r="H465" t="s">
        <v>7958</v>
      </c>
      <c r="J465" t="s">
        <v>7959</v>
      </c>
      <c r="L465" t="s">
        <v>83</v>
      </c>
      <c r="M465" t="s">
        <v>75</v>
      </c>
      <c r="R465" t="s">
        <v>7960</v>
      </c>
      <c r="W465" t="s">
        <v>7956</v>
      </c>
      <c r="X465" t="s">
        <v>7961</v>
      </c>
      <c r="Y465" t="s">
        <v>97</v>
      </c>
      <c r="Z465" t="s">
        <v>77</v>
      </c>
      <c r="AA465" t="str">
        <f>"10029-6501"</f>
        <v>10029-6501</v>
      </c>
      <c r="AB465" t="s">
        <v>78</v>
      </c>
      <c r="AC465" t="s">
        <v>79</v>
      </c>
      <c r="AD465" t="s">
        <v>75</v>
      </c>
      <c r="AE465" t="s">
        <v>80</v>
      </c>
      <c r="AG465" t="s">
        <v>81</v>
      </c>
    </row>
    <row r="466" spans="1:33" x14ac:dyDescent="0.25">
      <c r="A466" t="str">
        <f>"1730207119"</f>
        <v>1730207119</v>
      </c>
      <c r="B466" t="str">
        <f>"02997148"</f>
        <v>02997148</v>
      </c>
      <c r="C466" t="s">
        <v>7962</v>
      </c>
      <c r="D466" t="s">
        <v>3617</v>
      </c>
      <c r="E466" t="s">
        <v>3618</v>
      </c>
      <c r="G466" t="s">
        <v>7963</v>
      </c>
      <c r="H466" t="s">
        <v>7964</v>
      </c>
      <c r="J466" t="s">
        <v>7965</v>
      </c>
      <c r="L466" t="s">
        <v>663</v>
      </c>
      <c r="M466" t="s">
        <v>85</v>
      </c>
      <c r="R466" t="s">
        <v>3619</v>
      </c>
      <c r="W466" t="s">
        <v>3620</v>
      </c>
      <c r="X466" t="s">
        <v>3621</v>
      </c>
      <c r="Y466" t="s">
        <v>97</v>
      </c>
      <c r="Z466" t="s">
        <v>77</v>
      </c>
      <c r="AA466" t="str">
        <f>"10011-8002"</f>
        <v>10011-8002</v>
      </c>
      <c r="AB466" t="s">
        <v>93</v>
      </c>
      <c r="AC466" t="s">
        <v>79</v>
      </c>
      <c r="AD466" t="s">
        <v>75</v>
      </c>
      <c r="AE466" t="s">
        <v>80</v>
      </c>
      <c r="AG466" t="s">
        <v>81</v>
      </c>
    </row>
    <row r="467" spans="1:33" x14ac:dyDescent="0.25">
      <c r="A467" t="str">
        <f>"1205129814"</f>
        <v>1205129814</v>
      </c>
      <c r="B467" t="str">
        <f>"03374527"</f>
        <v>03374527</v>
      </c>
      <c r="C467" t="s">
        <v>7966</v>
      </c>
      <c r="D467" t="s">
        <v>4136</v>
      </c>
      <c r="E467" t="s">
        <v>4137</v>
      </c>
      <c r="G467" t="s">
        <v>7967</v>
      </c>
      <c r="H467" t="s">
        <v>3884</v>
      </c>
      <c r="I467">
        <v>2844</v>
      </c>
      <c r="J467" t="s">
        <v>3885</v>
      </c>
      <c r="L467" t="s">
        <v>134</v>
      </c>
      <c r="M467" t="s">
        <v>85</v>
      </c>
      <c r="R467" t="s">
        <v>4138</v>
      </c>
      <c r="W467" t="s">
        <v>4137</v>
      </c>
      <c r="X467" t="s">
        <v>4139</v>
      </c>
      <c r="Y467" t="s">
        <v>190</v>
      </c>
      <c r="Z467" t="s">
        <v>77</v>
      </c>
      <c r="AA467" t="str">
        <f>"11101-4001"</f>
        <v>11101-4001</v>
      </c>
      <c r="AB467" t="s">
        <v>78</v>
      </c>
      <c r="AC467" t="s">
        <v>79</v>
      </c>
      <c r="AD467" t="s">
        <v>75</v>
      </c>
      <c r="AE467" t="s">
        <v>80</v>
      </c>
      <c r="AG467" t="s">
        <v>81</v>
      </c>
    </row>
    <row r="468" spans="1:33" x14ac:dyDescent="0.25">
      <c r="A468" t="str">
        <f>"1508977612"</f>
        <v>1508977612</v>
      </c>
      <c r="B468" t="str">
        <f>"00909797"</f>
        <v>00909797</v>
      </c>
      <c r="C468" t="s">
        <v>7968</v>
      </c>
      <c r="D468" t="s">
        <v>4306</v>
      </c>
      <c r="E468" t="s">
        <v>4307</v>
      </c>
      <c r="G468" t="s">
        <v>7800</v>
      </c>
      <c r="H468" t="s">
        <v>7801</v>
      </c>
      <c r="I468">
        <v>287</v>
      </c>
      <c r="J468" t="s">
        <v>7969</v>
      </c>
      <c r="L468" t="s">
        <v>84</v>
      </c>
      <c r="M468" t="s">
        <v>85</v>
      </c>
      <c r="R468" t="s">
        <v>4308</v>
      </c>
      <c r="W468" t="s">
        <v>4307</v>
      </c>
      <c r="X468" t="s">
        <v>4309</v>
      </c>
      <c r="Y468" t="s">
        <v>87</v>
      </c>
      <c r="Z468" t="s">
        <v>77</v>
      </c>
      <c r="AA468" t="str">
        <f>"11214-5706"</f>
        <v>11214-5706</v>
      </c>
      <c r="AB468" t="s">
        <v>78</v>
      </c>
      <c r="AC468" t="s">
        <v>79</v>
      </c>
      <c r="AD468" t="s">
        <v>75</v>
      </c>
      <c r="AE468" t="s">
        <v>80</v>
      </c>
      <c r="AG468" t="s">
        <v>81</v>
      </c>
    </row>
    <row r="469" spans="1:33" x14ac:dyDescent="0.25">
      <c r="A469" t="str">
        <f>"1902806888"</f>
        <v>1902806888</v>
      </c>
      <c r="B469" t="str">
        <f>"01973808"</f>
        <v>01973808</v>
      </c>
      <c r="C469" t="s">
        <v>7970</v>
      </c>
      <c r="D469" t="s">
        <v>5869</v>
      </c>
      <c r="E469" t="s">
        <v>5870</v>
      </c>
      <c r="G469" t="s">
        <v>7800</v>
      </c>
      <c r="H469" t="s">
        <v>7801</v>
      </c>
      <c r="I469">
        <v>287</v>
      </c>
      <c r="J469" t="s">
        <v>7971</v>
      </c>
      <c r="L469" t="s">
        <v>74</v>
      </c>
      <c r="M469" t="s">
        <v>85</v>
      </c>
      <c r="R469" t="s">
        <v>5871</v>
      </c>
      <c r="W469" t="s">
        <v>5870</v>
      </c>
      <c r="X469" t="s">
        <v>3415</v>
      </c>
      <c r="Y469" t="s">
        <v>131</v>
      </c>
      <c r="Z469" t="s">
        <v>77</v>
      </c>
      <c r="AA469" t="str">
        <f>"10467-8124"</f>
        <v>10467-8124</v>
      </c>
      <c r="AB469" t="s">
        <v>78</v>
      </c>
      <c r="AC469" t="s">
        <v>79</v>
      </c>
      <c r="AD469" t="s">
        <v>75</v>
      </c>
      <c r="AE469" t="s">
        <v>80</v>
      </c>
      <c r="AG469" t="s">
        <v>81</v>
      </c>
    </row>
    <row r="470" spans="1:33" x14ac:dyDescent="0.25">
      <c r="A470" t="str">
        <f>"1962449983"</f>
        <v>1962449983</v>
      </c>
      <c r="B470" t="str">
        <f>"02001554"</f>
        <v>02001554</v>
      </c>
      <c r="C470" t="s">
        <v>7972</v>
      </c>
      <c r="D470" t="s">
        <v>7973</v>
      </c>
      <c r="E470" t="s">
        <v>7974</v>
      </c>
      <c r="G470" t="s">
        <v>6278</v>
      </c>
      <c r="H470" t="s">
        <v>6279</v>
      </c>
      <c r="J470" t="s">
        <v>6280</v>
      </c>
      <c r="L470" t="s">
        <v>83</v>
      </c>
      <c r="M470" t="s">
        <v>85</v>
      </c>
      <c r="R470" t="s">
        <v>7975</v>
      </c>
      <c r="W470" t="s">
        <v>7974</v>
      </c>
      <c r="X470" t="s">
        <v>7976</v>
      </c>
      <c r="Y470" t="s">
        <v>4529</v>
      </c>
      <c r="Z470" t="s">
        <v>77</v>
      </c>
      <c r="AA470" t="str">
        <f>"10530-2319"</f>
        <v>10530-2319</v>
      </c>
      <c r="AB470" t="s">
        <v>78</v>
      </c>
      <c r="AC470" t="s">
        <v>79</v>
      </c>
      <c r="AD470" t="s">
        <v>75</v>
      </c>
      <c r="AE470" t="s">
        <v>80</v>
      </c>
      <c r="AG470" t="s">
        <v>81</v>
      </c>
    </row>
    <row r="471" spans="1:33" x14ac:dyDescent="0.25">
      <c r="A471" t="str">
        <f>"1043352982"</f>
        <v>1043352982</v>
      </c>
      <c r="B471" t="str">
        <f>"03069761"</f>
        <v>03069761</v>
      </c>
      <c r="C471" t="s">
        <v>7977</v>
      </c>
      <c r="D471" t="s">
        <v>7978</v>
      </c>
      <c r="E471" t="s">
        <v>7979</v>
      </c>
      <c r="G471" t="s">
        <v>6278</v>
      </c>
      <c r="H471" t="s">
        <v>6279</v>
      </c>
      <c r="J471" t="s">
        <v>6280</v>
      </c>
      <c r="L471" t="s">
        <v>84</v>
      </c>
      <c r="M471" t="s">
        <v>75</v>
      </c>
      <c r="R471" t="s">
        <v>7980</v>
      </c>
      <c r="W471" t="s">
        <v>7981</v>
      </c>
      <c r="X471" t="s">
        <v>314</v>
      </c>
      <c r="Y471" t="s">
        <v>315</v>
      </c>
      <c r="Z471" t="s">
        <v>77</v>
      </c>
      <c r="AA471" t="str">
        <f>"13045-1206"</f>
        <v>13045-1206</v>
      </c>
      <c r="AB471" t="s">
        <v>78</v>
      </c>
      <c r="AC471" t="s">
        <v>79</v>
      </c>
      <c r="AD471" t="s">
        <v>75</v>
      </c>
      <c r="AE471" t="s">
        <v>80</v>
      </c>
      <c r="AG471" t="s">
        <v>81</v>
      </c>
    </row>
    <row r="472" spans="1:33" x14ac:dyDescent="0.25">
      <c r="A472" t="str">
        <f>"1134205867"</f>
        <v>1134205867</v>
      </c>
      <c r="B472" t="str">
        <f>"01282246"</f>
        <v>01282246</v>
      </c>
      <c r="C472" t="s">
        <v>7982</v>
      </c>
      <c r="D472" t="s">
        <v>7983</v>
      </c>
      <c r="E472" t="s">
        <v>7984</v>
      </c>
      <c r="G472" t="s">
        <v>7985</v>
      </c>
      <c r="H472" t="s">
        <v>3624</v>
      </c>
      <c r="J472" t="s">
        <v>3625</v>
      </c>
      <c r="L472" t="s">
        <v>83</v>
      </c>
      <c r="M472" t="s">
        <v>75</v>
      </c>
      <c r="R472" t="s">
        <v>7986</v>
      </c>
      <c r="W472" t="s">
        <v>7987</v>
      </c>
      <c r="X472" t="s">
        <v>7988</v>
      </c>
      <c r="Y472" t="s">
        <v>131</v>
      </c>
      <c r="Z472" t="s">
        <v>77</v>
      </c>
      <c r="AA472" t="str">
        <f>"10460-2803"</f>
        <v>10460-2803</v>
      </c>
      <c r="AB472" t="s">
        <v>128</v>
      </c>
      <c r="AC472" t="s">
        <v>79</v>
      </c>
      <c r="AD472" t="s">
        <v>75</v>
      </c>
      <c r="AE472" t="s">
        <v>80</v>
      </c>
      <c r="AG472" t="s">
        <v>81</v>
      </c>
    </row>
    <row r="473" spans="1:33" x14ac:dyDescent="0.25">
      <c r="A473" t="str">
        <f>"1992855621"</f>
        <v>1992855621</v>
      </c>
      <c r="B473" t="str">
        <f>"01845523"</f>
        <v>01845523</v>
      </c>
      <c r="C473" t="s">
        <v>7989</v>
      </c>
      <c r="D473" t="s">
        <v>4413</v>
      </c>
      <c r="E473" t="s">
        <v>4414</v>
      </c>
      <c r="G473" t="s">
        <v>7985</v>
      </c>
      <c r="H473" t="s">
        <v>3624</v>
      </c>
      <c r="J473" t="s">
        <v>3625</v>
      </c>
      <c r="L473" t="s">
        <v>105</v>
      </c>
      <c r="M473" t="s">
        <v>75</v>
      </c>
      <c r="R473" t="s">
        <v>4415</v>
      </c>
      <c r="W473" t="s">
        <v>4414</v>
      </c>
      <c r="X473" t="s">
        <v>3007</v>
      </c>
      <c r="Y473" t="s">
        <v>97</v>
      </c>
      <c r="Z473" t="s">
        <v>77</v>
      </c>
      <c r="AA473" t="str">
        <f>"10023-6601"</f>
        <v>10023-6601</v>
      </c>
      <c r="AB473" t="s">
        <v>78</v>
      </c>
      <c r="AC473" t="s">
        <v>79</v>
      </c>
      <c r="AD473" t="s">
        <v>75</v>
      </c>
      <c r="AE473" t="s">
        <v>80</v>
      </c>
      <c r="AG473" t="s">
        <v>81</v>
      </c>
    </row>
    <row r="474" spans="1:33" x14ac:dyDescent="0.25">
      <c r="A474" t="str">
        <f>"1699854091"</f>
        <v>1699854091</v>
      </c>
      <c r="B474" t="str">
        <f>"01892786"</f>
        <v>01892786</v>
      </c>
      <c r="C474" t="s">
        <v>7990</v>
      </c>
      <c r="D474" t="s">
        <v>7991</v>
      </c>
      <c r="E474" t="s">
        <v>7992</v>
      </c>
      <c r="G474" t="s">
        <v>7985</v>
      </c>
      <c r="H474" t="s">
        <v>3624</v>
      </c>
      <c r="J474" t="s">
        <v>3625</v>
      </c>
      <c r="L474" t="s">
        <v>74</v>
      </c>
      <c r="M474" t="s">
        <v>75</v>
      </c>
      <c r="R474" t="s">
        <v>7993</v>
      </c>
      <c r="W474" t="s">
        <v>7994</v>
      </c>
      <c r="X474" t="s">
        <v>7995</v>
      </c>
      <c r="Y474" t="s">
        <v>97</v>
      </c>
      <c r="Z474" t="s">
        <v>77</v>
      </c>
      <c r="AA474" t="str">
        <f>"10016-1801"</f>
        <v>10016-1801</v>
      </c>
      <c r="AB474" t="s">
        <v>78</v>
      </c>
      <c r="AC474" t="s">
        <v>79</v>
      </c>
      <c r="AD474" t="s">
        <v>75</v>
      </c>
      <c r="AE474" t="s">
        <v>80</v>
      </c>
      <c r="AG474" t="s">
        <v>81</v>
      </c>
    </row>
    <row r="475" spans="1:33" x14ac:dyDescent="0.25">
      <c r="A475" t="str">
        <f>"1639210701"</f>
        <v>1639210701</v>
      </c>
      <c r="B475" t="str">
        <f>"01985386"</f>
        <v>01985386</v>
      </c>
      <c r="C475" t="s">
        <v>7996</v>
      </c>
      <c r="D475" t="s">
        <v>7997</v>
      </c>
      <c r="E475" t="s">
        <v>7998</v>
      </c>
      <c r="G475" t="s">
        <v>7985</v>
      </c>
      <c r="H475" t="s">
        <v>3624</v>
      </c>
      <c r="J475" t="s">
        <v>3625</v>
      </c>
      <c r="L475" t="s">
        <v>83</v>
      </c>
      <c r="M475" t="s">
        <v>75</v>
      </c>
      <c r="R475" t="s">
        <v>7999</v>
      </c>
      <c r="W475" t="s">
        <v>7998</v>
      </c>
      <c r="X475" t="s">
        <v>3007</v>
      </c>
      <c r="Y475" t="s">
        <v>97</v>
      </c>
      <c r="Z475" t="s">
        <v>77</v>
      </c>
      <c r="AA475" t="str">
        <f>"10023-6601"</f>
        <v>10023-6601</v>
      </c>
      <c r="AB475" t="s">
        <v>108</v>
      </c>
      <c r="AC475" t="s">
        <v>79</v>
      </c>
      <c r="AD475" t="s">
        <v>75</v>
      </c>
      <c r="AE475" t="s">
        <v>80</v>
      </c>
      <c r="AG475" t="s">
        <v>81</v>
      </c>
    </row>
    <row r="476" spans="1:33" x14ac:dyDescent="0.25">
      <c r="A476" t="str">
        <f>"1376590638"</f>
        <v>1376590638</v>
      </c>
      <c r="B476" t="str">
        <f>"02023678"</f>
        <v>02023678</v>
      </c>
      <c r="C476" t="s">
        <v>8000</v>
      </c>
      <c r="D476" t="s">
        <v>8001</v>
      </c>
      <c r="E476" t="s">
        <v>8002</v>
      </c>
      <c r="G476" t="s">
        <v>7985</v>
      </c>
      <c r="H476" t="s">
        <v>3624</v>
      </c>
      <c r="J476" t="s">
        <v>3625</v>
      </c>
      <c r="L476" t="s">
        <v>83</v>
      </c>
      <c r="M476" t="s">
        <v>75</v>
      </c>
      <c r="R476" t="s">
        <v>8003</v>
      </c>
      <c r="W476" t="s">
        <v>8002</v>
      </c>
      <c r="X476" t="s">
        <v>202</v>
      </c>
      <c r="Y476" t="s">
        <v>87</v>
      </c>
      <c r="Z476" t="s">
        <v>77</v>
      </c>
      <c r="AA476" t="str">
        <f>"11201-5425"</f>
        <v>11201-5425</v>
      </c>
      <c r="AB476" t="s">
        <v>78</v>
      </c>
      <c r="AC476" t="s">
        <v>79</v>
      </c>
      <c r="AD476" t="s">
        <v>75</v>
      </c>
      <c r="AE476" t="s">
        <v>80</v>
      </c>
      <c r="AG476" t="s">
        <v>81</v>
      </c>
    </row>
    <row r="477" spans="1:33" x14ac:dyDescent="0.25">
      <c r="A477" t="str">
        <f>"1407899867"</f>
        <v>1407899867</v>
      </c>
      <c r="B477" t="str">
        <f>"02047872"</f>
        <v>02047872</v>
      </c>
      <c r="C477" t="s">
        <v>8004</v>
      </c>
      <c r="D477" t="s">
        <v>8005</v>
      </c>
      <c r="E477" t="s">
        <v>8006</v>
      </c>
      <c r="G477" t="s">
        <v>7985</v>
      </c>
      <c r="H477" t="s">
        <v>3624</v>
      </c>
      <c r="J477" t="s">
        <v>3625</v>
      </c>
      <c r="L477" t="s">
        <v>84</v>
      </c>
      <c r="M477" t="s">
        <v>75</v>
      </c>
      <c r="R477" t="s">
        <v>8007</v>
      </c>
      <c r="W477" t="s">
        <v>8008</v>
      </c>
      <c r="X477" t="s">
        <v>3007</v>
      </c>
      <c r="Y477" t="s">
        <v>97</v>
      </c>
      <c r="Z477" t="s">
        <v>77</v>
      </c>
      <c r="AA477" t="str">
        <f>"10023-6601"</f>
        <v>10023-6601</v>
      </c>
      <c r="AB477" t="s">
        <v>78</v>
      </c>
      <c r="AC477" t="s">
        <v>79</v>
      </c>
      <c r="AD477" t="s">
        <v>75</v>
      </c>
      <c r="AE477" t="s">
        <v>80</v>
      </c>
      <c r="AG477" t="s">
        <v>81</v>
      </c>
    </row>
    <row r="478" spans="1:33" x14ac:dyDescent="0.25">
      <c r="A478" t="str">
        <f>"1144248535"</f>
        <v>1144248535</v>
      </c>
      <c r="B478" t="str">
        <f>"03776432"</f>
        <v>03776432</v>
      </c>
      <c r="C478" t="s">
        <v>8009</v>
      </c>
      <c r="D478" t="s">
        <v>8010</v>
      </c>
      <c r="E478" t="s">
        <v>8011</v>
      </c>
      <c r="G478" t="s">
        <v>6494</v>
      </c>
      <c r="H478" t="s">
        <v>6495</v>
      </c>
      <c r="J478" t="s">
        <v>6496</v>
      </c>
      <c r="L478" t="s">
        <v>105</v>
      </c>
      <c r="M478" t="s">
        <v>75</v>
      </c>
      <c r="R478" t="s">
        <v>8011</v>
      </c>
      <c r="W478" t="s">
        <v>8011</v>
      </c>
      <c r="X478" t="s">
        <v>2808</v>
      </c>
      <c r="Y478" t="s">
        <v>97</v>
      </c>
      <c r="Z478" t="s">
        <v>77</v>
      </c>
      <c r="AA478" t="str">
        <f>"10025-6450"</f>
        <v>10025-6450</v>
      </c>
      <c r="AB478" t="s">
        <v>113</v>
      </c>
      <c r="AC478" t="s">
        <v>79</v>
      </c>
      <c r="AD478" t="s">
        <v>75</v>
      </c>
      <c r="AE478" t="s">
        <v>80</v>
      </c>
      <c r="AG478" t="s">
        <v>81</v>
      </c>
    </row>
    <row r="479" spans="1:33" x14ac:dyDescent="0.25">
      <c r="A479" t="str">
        <f>"1174764104"</f>
        <v>1174764104</v>
      </c>
      <c r="B479" t="str">
        <f>"03243074"</f>
        <v>03243074</v>
      </c>
      <c r="C479" t="s">
        <v>8012</v>
      </c>
      <c r="D479" t="s">
        <v>8013</v>
      </c>
      <c r="E479" t="s">
        <v>8014</v>
      </c>
      <c r="G479" t="s">
        <v>6494</v>
      </c>
      <c r="H479" t="s">
        <v>6495</v>
      </c>
      <c r="J479" t="s">
        <v>6496</v>
      </c>
      <c r="L479" t="s">
        <v>143</v>
      </c>
      <c r="M479" t="s">
        <v>75</v>
      </c>
      <c r="R479" t="s">
        <v>8015</v>
      </c>
      <c r="W479" t="s">
        <v>8016</v>
      </c>
      <c r="X479" t="s">
        <v>8017</v>
      </c>
      <c r="Y479" t="s">
        <v>91</v>
      </c>
      <c r="Z479" t="s">
        <v>77</v>
      </c>
      <c r="AA479" t="str">
        <f>"11373-1011"</f>
        <v>11373-1011</v>
      </c>
      <c r="AB479" t="s">
        <v>113</v>
      </c>
      <c r="AC479" t="s">
        <v>79</v>
      </c>
      <c r="AD479" t="s">
        <v>75</v>
      </c>
      <c r="AE479" t="s">
        <v>80</v>
      </c>
      <c r="AG479" t="s">
        <v>81</v>
      </c>
    </row>
    <row r="480" spans="1:33" x14ac:dyDescent="0.25">
      <c r="A480" t="str">
        <f>"1194743401"</f>
        <v>1194743401</v>
      </c>
      <c r="B480" t="str">
        <f>"03337928"</f>
        <v>03337928</v>
      </c>
      <c r="C480" t="s">
        <v>8018</v>
      </c>
      <c r="D480" t="s">
        <v>8019</v>
      </c>
      <c r="E480" t="s">
        <v>8020</v>
      </c>
      <c r="G480" t="s">
        <v>6494</v>
      </c>
      <c r="H480" t="s">
        <v>6495</v>
      </c>
      <c r="J480" t="s">
        <v>6496</v>
      </c>
      <c r="L480" t="s">
        <v>105</v>
      </c>
      <c r="M480" t="s">
        <v>75</v>
      </c>
      <c r="R480" t="s">
        <v>8020</v>
      </c>
      <c r="W480" t="s">
        <v>8020</v>
      </c>
      <c r="X480" t="s">
        <v>7539</v>
      </c>
      <c r="Y480" t="s">
        <v>97</v>
      </c>
      <c r="Z480" t="s">
        <v>77</v>
      </c>
      <c r="AA480" t="str">
        <f>"10025-5752"</f>
        <v>10025-5752</v>
      </c>
      <c r="AB480" t="s">
        <v>113</v>
      </c>
      <c r="AC480" t="s">
        <v>79</v>
      </c>
      <c r="AD480" t="s">
        <v>75</v>
      </c>
      <c r="AE480" t="s">
        <v>80</v>
      </c>
      <c r="AG480" t="s">
        <v>81</v>
      </c>
    </row>
    <row r="481" spans="1:33" x14ac:dyDescent="0.25">
      <c r="A481" t="str">
        <f>"1255587986"</f>
        <v>1255587986</v>
      </c>
      <c r="B481" t="str">
        <f>"03472768"</f>
        <v>03472768</v>
      </c>
      <c r="C481" t="s">
        <v>8021</v>
      </c>
      <c r="D481" t="s">
        <v>8022</v>
      </c>
      <c r="E481" t="s">
        <v>8023</v>
      </c>
      <c r="G481" t="s">
        <v>6494</v>
      </c>
      <c r="H481" t="s">
        <v>6495</v>
      </c>
      <c r="J481" t="s">
        <v>6496</v>
      </c>
      <c r="L481" t="s">
        <v>84</v>
      </c>
      <c r="M481" t="s">
        <v>85</v>
      </c>
      <c r="R481" t="s">
        <v>8023</v>
      </c>
      <c r="W481" t="s">
        <v>8023</v>
      </c>
      <c r="X481" t="s">
        <v>7539</v>
      </c>
      <c r="Y481" t="s">
        <v>97</v>
      </c>
      <c r="Z481" t="s">
        <v>77</v>
      </c>
      <c r="AA481" t="str">
        <f>"10025-5752"</f>
        <v>10025-5752</v>
      </c>
      <c r="AB481" t="s">
        <v>78</v>
      </c>
      <c r="AC481" t="s">
        <v>79</v>
      </c>
      <c r="AD481" t="s">
        <v>75</v>
      </c>
      <c r="AE481" t="s">
        <v>80</v>
      </c>
      <c r="AG481" t="s">
        <v>81</v>
      </c>
    </row>
    <row r="482" spans="1:33" x14ac:dyDescent="0.25">
      <c r="A482" t="str">
        <f>"1538187695"</f>
        <v>1538187695</v>
      </c>
      <c r="B482" t="str">
        <f>"01937484"</f>
        <v>01937484</v>
      </c>
      <c r="C482" t="s">
        <v>8024</v>
      </c>
      <c r="D482" t="s">
        <v>8025</v>
      </c>
      <c r="E482" t="s">
        <v>8026</v>
      </c>
      <c r="L482" t="s">
        <v>105</v>
      </c>
      <c r="M482" t="s">
        <v>75</v>
      </c>
      <c r="R482" t="s">
        <v>8027</v>
      </c>
      <c r="W482" t="s">
        <v>8027</v>
      </c>
      <c r="X482" t="s">
        <v>8028</v>
      </c>
      <c r="Y482" t="s">
        <v>87</v>
      </c>
      <c r="Z482" t="s">
        <v>77</v>
      </c>
      <c r="AA482" t="str">
        <f>"11229-1068"</f>
        <v>11229-1068</v>
      </c>
      <c r="AB482" t="s">
        <v>78</v>
      </c>
      <c r="AC482" t="s">
        <v>79</v>
      </c>
      <c r="AD482" t="s">
        <v>75</v>
      </c>
      <c r="AE482" t="s">
        <v>80</v>
      </c>
      <c r="AG482" t="s">
        <v>81</v>
      </c>
    </row>
    <row r="483" spans="1:33" x14ac:dyDescent="0.25">
      <c r="A483" t="str">
        <f>"1538226667"</f>
        <v>1538226667</v>
      </c>
      <c r="B483" t="str">
        <f>"02041514"</f>
        <v>02041514</v>
      </c>
      <c r="C483" t="s">
        <v>8029</v>
      </c>
      <c r="D483" t="s">
        <v>8030</v>
      </c>
      <c r="E483" t="s">
        <v>8031</v>
      </c>
      <c r="L483" t="s">
        <v>74</v>
      </c>
      <c r="M483" t="s">
        <v>75</v>
      </c>
      <c r="R483" t="s">
        <v>8032</v>
      </c>
      <c r="W483" t="s">
        <v>8031</v>
      </c>
      <c r="X483" t="s">
        <v>7774</v>
      </c>
      <c r="Y483" t="s">
        <v>1077</v>
      </c>
      <c r="Z483" t="s">
        <v>77</v>
      </c>
      <c r="AA483" t="str">
        <f>"10532-1313"</f>
        <v>10532-1313</v>
      </c>
      <c r="AB483" t="s">
        <v>78</v>
      </c>
      <c r="AC483" t="s">
        <v>79</v>
      </c>
      <c r="AD483" t="s">
        <v>75</v>
      </c>
      <c r="AE483" t="s">
        <v>80</v>
      </c>
      <c r="AG483" t="s">
        <v>81</v>
      </c>
    </row>
    <row r="484" spans="1:33" x14ac:dyDescent="0.25">
      <c r="A484" t="str">
        <f>"1538267604"</f>
        <v>1538267604</v>
      </c>
      <c r="B484" t="str">
        <f>"02696046"</f>
        <v>02696046</v>
      </c>
      <c r="C484" t="s">
        <v>8033</v>
      </c>
      <c r="D484" t="s">
        <v>8034</v>
      </c>
      <c r="E484" t="s">
        <v>8035</v>
      </c>
      <c r="L484" t="s">
        <v>105</v>
      </c>
      <c r="M484" t="s">
        <v>75</v>
      </c>
      <c r="R484" t="s">
        <v>8036</v>
      </c>
      <c r="W484" t="s">
        <v>8035</v>
      </c>
      <c r="X484" t="s">
        <v>8037</v>
      </c>
      <c r="Y484" t="s">
        <v>97</v>
      </c>
      <c r="Z484" t="s">
        <v>77</v>
      </c>
      <c r="AA484" t="str">
        <f>"10003-8129"</f>
        <v>10003-8129</v>
      </c>
      <c r="AB484" t="s">
        <v>78</v>
      </c>
      <c r="AC484" t="s">
        <v>79</v>
      </c>
      <c r="AD484" t="s">
        <v>75</v>
      </c>
      <c r="AE484" t="s">
        <v>80</v>
      </c>
      <c r="AG484" t="s">
        <v>81</v>
      </c>
    </row>
    <row r="485" spans="1:33" x14ac:dyDescent="0.25">
      <c r="A485" t="str">
        <f>"1629401310"</f>
        <v>1629401310</v>
      </c>
      <c r="B485" t="str">
        <f>"01218428"</f>
        <v>01218428</v>
      </c>
      <c r="C485" t="s">
        <v>8038</v>
      </c>
      <c r="D485" t="s">
        <v>6115</v>
      </c>
      <c r="E485" t="s">
        <v>6116</v>
      </c>
      <c r="L485" t="s">
        <v>102</v>
      </c>
      <c r="M485" t="s">
        <v>75</v>
      </c>
      <c r="R485" t="s">
        <v>6117</v>
      </c>
      <c r="W485" t="s">
        <v>6118</v>
      </c>
      <c r="X485" t="s">
        <v>6119</v>
      </c>
      <c r="Y485" t="s">
        <v>146</v>
      </c>
      <c r="Z485" t="s">
        <v>77</v>
      </c>
      <c r="AA485" t="str">
        <f>"10595"</f>
        <v>10595</v>
      </c>
      <c r="AB485" t="s">
        <v>78</v>
      </c>
      <c r="AC485" t="s">
        <v>79</v>
      </c>
      <c r="AD485" t="s">
        <v>75</v>
      </c>
      <c r="AE485" t="s">
        <v>80</v>
      </c>
      <c r="AG485" t="s">
        <v>81</v>
      </c>
    </row>
    <row r="486" spans="1:33" x14ac:dyDescent="0.25">
      <c r="A486" t="str">
        <f>"1700032794"</f>
        <v>1700032794</v>
      </c>
      <c r="B486" t="str">
        <f>"03432313"</f>
        <v>03432313</v>
      </c>
      <c r="C486" t="s">
        <v>8039</v>
      </c>
      <c r="D486" t="s">
        <v>5075</v>
      </c>
      <c r="E486" t="s">
        <v>5076</v>
      </c>
      <c r="L486" t="s">
        <v>105</v>
      </c>
      <c r="M486" t="s">
        <v>85</v>
      </c>
      <c r="R486" t="s">
        <v>5077</v>
      </c>
      <c r="W486" t="s">
        <v>5076</v>
      </c>
      <c r="X486" t="s">
        <v>585</v>
      </c>
      <c r="Y486" t="s">
        <v>180</v>
      </c>
      <c r="Z486" t="s">
        <v>77</v>
      </c>
      <c r="AA486" t="str">
        <f>"10701-4006"</f>
        <v>10701-4006</v>
      </c>
      <c r="AB486" t="s">
        <v>78</v>
      </c>
      <c r="AC486" t="s">
        <v>79</v>
      </c>
      <c r="AD486" t="s">
        <v>75</v>
      </c>
      <c r="AE486" t="s">
        <v>80</v>
      </c>
      <c r="AG486" t="s">
        <v>81</v>
      </c>
    </row>
    <row r="487" spans="1:33" x14ac:dyDescent="0.25">
      <c r="A487" t="str">
        <f>"1750579777"</f>
        <v>1750579777</v>
      </c>
      <c r="B487" t="str">
        <f>"03184801"</f>
        <v>03184801</v>
      </c>
      <c r="C487" t="s">
        <v>8040</v>
      </c>
      <c r="D487" t="s">
        <v>8041</v>
      </c>
      <c r="E487" t="s">
        <v>8042</v>
      </c>
      <c r="L487" t="s">
        <v>105</v>
      </c>
      <c r="M487" t="s">
        <v>75</v>
      </c>
      <c r="R487" t="s">
        <v>8043</v>
      </c>
      <c r="W487" t="s">
        <v>8043</v>
      </c>
      <c r="X487" t="s">
        <v>1507</v>
      </c>
      <c r="Y487" t="s">
        <v>87</v>
      </c>
      <c r="Z487" t="s">
        <v>77</v>
      </c>
      <c r="AA487" t="str">
        <f>"11214-2749"</f>
        <v>11214-2749</v>
      </c>
      <c r="AB487" t="s">
        <v>78</v>
      </c>
      <c r="AC487" t="s">
        <v>79</v>
      </c>
      <c r="AD487" t="s">
        <v>75</v>
      </c>
      <c r="AE487" t="s">
        <v>80</v>
      </c>
      <c r="AG487" t="s">
        <v>81</v>
      </c>
    </row>
    <row r="488" spans="1:33" x14ac:dyDescent="0.25">
      <c r="A488" t="str">
        <f>"1790871507"</f>
        <v>1790871507</v>
      </c>
      <c r="B488" t="str">
        <f>"03655185"</f>
        <v>03655185</v>
      </c>
      <c r="C488" t="s">
        <v>8044</v>
      </c>
      <c r="D488" t="s">
        <v>8045</v>
      </c>
      <c r="E488" t="s">
        <v>8046</v>
      </c>
      <c r="L488" t="s">
        <v>74</v>
      </c>
      <c r="M488" t="s">
        <v>75</v>
      </c>
      <c r="R488" t="s">
        <v>8047</v>
      </c>
      <c r="W488" t="s">
        <v>8046</v>
      </c>
      <c r="X488" t="s">
        <v>8048</v>
      </c>
      <c r="Y488" t="s">
        <v>97</v>
      </c>
      <c r="Z488" t="s">
        <v>77</v>
      </c>
      <c r="AA488" t="str">
        <f>"10020-1201"</f>
        <v>10020-1201</v>
      </c>
      <c r="AB488" t="s">
        <v>78</v>
      </c>
      <c r="AC488" t="s">
        <v>79</v>
      </c>
      <c r="AD488" t="s">
        <v>75</v>
      </c>
      <c r="AE488" t="s">
        <v>80</v>
      </c>
      <c r="AG488" t="s">
        <v>81</v>
      </c>
    </row>
    <row r="489" spans="1:33" x14ac:dyDescent="0.25">
      <c r="A489" t="str">
        <f>"1962587535"</f>
        <v>1962587535</v>
      </c>
      <c r="B489" t="str">
        <f>"01084046"</f>
        <v>01084046</v>
      </c>
      <c r="C489" t="s">
        <v>8049</v>
      </c>
      <c r="D489" t="s">
        <v>8050</v>
      </c>
      <c r="E489" t="s">
        <v>8051</v>
      </c>
      <c r="G489" t="s">
        <v>6278</v>
      </c>
      <c r="H489" t="s">
        <v>6279</v>
      </c>
      <c r="J489" t="s">
        <v>6280</v>
      </c>
      <c r="L489" t="s">
        <v>83</v>
      </c>
      <c r="M489" t="s">
        <v>85</v>
      </c>
      <c r="R489" t="s">
        <v>8052</v>
      </c>
      <c r="W489" t="s">
        <v>8051</v>
      </c>
      <c r="X489" t="s">
        <v>610</v>
      </c>
      <c r="Y489" t="s">
        <v>87</v>
      </c>
      <c r="Z489" t="s">
        <v>77</v>
      </c>
      <c r="AA489" t="str">
        <f>"11203-2056"</f>
        <v>11203-2056</v>
      </c>
      <c r="AB489" t="s">
        <v>78</v>
      </c>
      <c r="AC489" t="s">
        <v>79</v>
      </c>
      <c r="AD489" t="s">
        <v>75</v>
      </c>
      <c r="AE489" t="s">
        <v>80</v>
      </c>
      <c r="AG489" t="s">
        <v>81</v>
      </c>
    </row>
    <row r="490" spans="1:33" x14ac:dyDescent="0.25">
      <c r="A490" t="str">
        <f>"1780789727"</f>
        <v>1780789727</v>
      </c>
      <c r="B490" t="str">
        <f>"02803730"</f>
        <v>02803730</v>
      </c>
      <c r="C490" t="s">
        <v>8053</v>
      </c>
      <c r="D490" t="s">
        <v>6080</v>
      </c>
      <c r="E490" t="s">
        <v>6081</v>
      </c>
      <c r="G490" t="s">
        <v>6278</v>
      </c>
      <c r="H490" t="s">
        <v>6279</v>
      </c>
      <c r="J490" t="s">
        <v>6280</v>
      </c>
      <c r="L490" t="s">
        <v>84</v>
      </c>
      <c r="M490" t="s">
        <v>85</v>
      </c>
      <c r="R490" t="s">
        <v>6082</v>
      </c>
      <c r="W490" t="s">
        <v>6083</v>
      </c>
      <c r="X490" t="s">
        <v>185</v>
      </c>
      <c r="Y490" t="s">
        <v>97</v>
      </c>
      <c r="Z490" t="s">
        <v>77</v>
      </c>
      <c r="AA490" t="str">
        <f>"10035-2709"</f>
        <v>10035-2709</v>
      </c>
      <c r="AB490" t="s">
        <v>78</v>
      </c>
      <c r="AC490" t="s">
        <v>79</v>
      </c>
      <c r="AD490" t="s">
        <v>75</v>
      </c>
      <c r="AE490" t="s">
        <v>80</v>
      </c>
      <c r="AG490" t="s">
        <v>81</v>
      </c>
    </row>
    <row r="491" spans="1:33" x14ac:dyDescent="0.25">
      <c r="A491" t="str">
        <f>"1821186040"</f>
        <v>1821186040</v>
      </c>
      <c r="B491" t="str">
        <f>"01076824"</f>
        <v>01076824</v>
      </c>
      <c r="C491" t="s">
        <v>8054</v>
      </c>
      <c r="D491" t="s">
        <v>8055</v>
      </c>
      <c r="E491" t="s">
        <v>8056</v>
      </c>
      <c r="G491" t="s">
        <v>8057</v>
      </c>
      <c r="H491" t="s">
        <v>8058</v>
      </c>
      <c r="J491" t="s">
        <v>8059</v>
      </c>
      <c r="L491" t="s">
        <v>105</v>
      </c>
      <c r="M491" t="s">
        <v>85</v>
      </c>
      <c r="R491" t="s">
        <v>8060</v>
      </c>
      <c r="W491" t="s">
        <v>8056</v>
      </c>
      <c r="X491" t="s">
        <v>8061</v>
      </c>
      <c r="Y491" t="s">
        <v>131</v>
      </c>
      <c r="Z491" t="s">
        <v>77</v>
      </c>
      <c r="AA491" t="str">
        <f>"10463-4932"</f>
        <v>10463-4932</v>
      </c>
      <c r="AB491" t="s">
        <v>78</v>
      </c>
      <c r="AC491" t="s">
        <v>79</v>
      </c>
      <c r="AD491" t="s">
        <v>75</v>
      </c>
      <c r="AE491" t="s">
        <v>80</v>
      </c>
      <c r="AG491" t="s">
        <v>81</v>
      </c>
    </row>
    <row r="492" spans="1:33" x14ac:dyDescent="0.25">
      <c r="A492" t="str">
        <f>"1962513689"</f>
        <v>1962513689</v>
      </c>
      <c r="B492" t="str">
        <f>"02231001"</f>
        <v>02231001</v>
      </c>
      <c r="C492" t="s">
        <v>8062</v>
      </c>
      <c r="D492" t="s">
        <v>8063</v>
      </c>
      <c r="E492" t="s">
        <v>8064</v>
      </c>
      <c r="G492" t="s">
        <v>8057</v>
      </c>
      <c r="H492" t="s">
        <v>8058</v>
      </c>
      <c r="J492" t="s">
        <v>8059</v>
      </c>
      <c r="L492" t="s">
        <v>105</v>
      </c>
      <c r="M492" t="s">
        <v>75</v>
      </c>
      <c r="R492" t="s">
        <v>8065</v>
      </c>
      <c r="W492" t="s">
        <v>8064</v>
      </c>
      <c r="X492" t="s">
        <v>3731</v>
      </c>
      <c r="Y492" t="s">
        <v>97</v>
      </c>
      <c r="Z492" t="s">
        <v>77</v>
      </c>
      <c r="AA492" t="str">
        <f>"10037-1802"</f>
        <v>10037-1802</v>
      </c>
      <c r="AB492" t="s">
        <v>78</v>
      </c>
      <c r="AC492" t="s">
        <v>79</v>
      </c>
      <c r="AD492" t="s">
        <v>75</v>
      </c>
      <c r="AE492" t="s">
        <v>80</v>
      </c>
      <c r="AG492" t="s">
        <v>81</v>
      </c>
    </row>
    <row r="493" spans="1:33" x14ac:dyDescent="0.25">
      <c r="A493" t="str">
        <f>"1992871552"</f>
        <v>1992871552</v>
      </c>
      <c r="B493" t="str">
        <f>"02726341"</f>
        <v>02726341</v>
      </c>
      <c r="C493" t="s">
        <v>8066</v>
      </c>
      <c r="D493" t="s">
        <v>8067</v>
      </c>
      <c r="E493" t="s">
        <v>8068</v>
      </c>
      <c r="G493" t="s">
        <v>8057</v>
      </c>
      <c r="H493" t="s">
        <v>8058</v>
      </c>
      <c r="J493" t="s">
        <v>8059</v>
      </c>
      <c r="L493" t="s">
        <v>105</v>
      </c>
      <c r="M493" t="s">
        <v>75</v>
      </c>
      <c r="R493" t="s">
        <v>8069</v>
      </c>
      <c r="W493" t="s">
        <v>8068</v>
      </c>
      <c r="X493" t="s">
        <v>6246</v>
      </c>
      <c r="Y493" t="s">
        <v>97</v>
      </c>
      <c r="Z493" t="s">
        <v>77</v>
      </c>
      <c r="AA493" t="str">
        <f>"10029-3119"</f>
        <v>10029-3119</v>
      </c>
      <c r="AB493" t="s">
        <v>78</v>
      </c>
      <c r="AC493" t="s">
        <v>79</v>
      </c>
      <c r="AD493" t="s">
        <v>75</v>
      </c>
      <c r="AE493" t="s">
        <v>80</v>
      </c>
      <c r="AG493" t="s">
        <v>81</v>
      </c>
    </row>
    <row r="494" spans="1:33" x14ac:dyDescent="0.25">
      <c r="A494" t="str">
        <f>"1407187859"</f>
        <v>1407187859</v>
      </c>
      <c r="B494" t="str">
        <f>"03456508"</f>
        <v>03456508</v>
      </c>
      <c r="C494" t="s">
        <v>8070</v>
      </c>
      <c r="D494" t="s">
        <v>8071</v>
      </c>
      <c r="E494" t="s">
        <v>8072</v>
      </c>
      <c r="G494" t="s">
        <v>8073</v>
      </c>
      <c r="H494" t="s">
        <v>3213</v>
      </c>
      <c r="I494">
        <v>202</v>
      </c>
      <c r="J494" t="s">
        <v>3214</v>
      </c>
      <c r="L494" t="s">
        <v>74</v>
      </c>
      <c r="M494" t="s">
        <v>75</v>
      </c>
      <c r="R494" t="s">
        <v>8074</v>
      </c>
      <c r="W494" t="s">
        <v>8072</v>
      </c>
      <c r="X494" t="s">
        <v>8075</v>
      </c>
      <c r="Y494" t="s">
        <v>97</v>
      </c>
      <c r="Z494" t="s">
        <v>77</v>
      </c>
      <c r="AA494" t="str">
        <f>"10018-7598"</f>
        <v>10018-7598</v>
      </c>
      <c r="AB494" t="s">
        <v>78</v>
      </c>
      <c r="AC494" t="s">
        <v>79</v>
      </c>
      <c r="AD494" t="s">
        <v>75</v>
      </c>
      <c r="AE494" t="s">
        <v>80</v>
      </c>
      <c r="AG494" t="s">
        <v>81</v>
      </c>
    </row>
    <row r="495" spans="1:33" x14ac:dyDescent="0.25">
      <c r="A495" t="str">
        <f>"1568693661"</f>
        <v>1568693661</v>
      </c>
      <c r="B495" t="str">
        <f>"03544396"</f>
        <v>03544396</v>
      </c>
      <c r="C495" t="s">
        <v>8076</v>
      </c>
      <c r="D495" t="s">
        <v>8077</v>
      </c>
      <c r="E495" t="s">
        <v>8078</v>
      </c>
      <c r="G495" t="s">
        <v>8073</v>
      </c>
      <c r="H495" t="s">
        <v>3213</v>
      </c>
      <c r="I495">
        <v>202</v>
      </c>
      <c r="J495" t="s">
        <v>3214</v>
      </c>
      <c r="L495" t="s">
        <v>105</v>
      </c>
      <c r="M495" t="s">
        <v>75</v>
      </c>
      <c r="R495" t="s">
        <v>8079</v>
      </c>
      <c r="W495" t="s">
        <v>8078</v>
      </c>
      <c r="X495" t="s">
        <v>8080</v>
      </c>
      <c r="Y495" t="s">
        <v>97</v>
      </c>
      <c r="Z495" t="s">
        <v>77</v>
      </c>
      <c r="AA495" t="str">
        <f>"10018-7598"</f>
        <v>10018-7598</v>
      </c>
      <c r="AB495" t="s">
        <v>78</v>
      </c>
      <c r="AC495" t="s">
        <v>79</v>
      </c>
      <c r="AD495" t="s">
        <v>75</v>
      </c>
      <c r="AE495" t="s">
        <v>80</v>
      </c>
      <c r="AG495" t="s">
        <v>81</v>
      </c>
    </row>
    <row r="496" spans="1:33" x14ac:dyDescent="0.25">
      <c r="A496" t="str">
        <f>"1588968432"</f>
        <v>1588968432</v>
      </c>
      <c r="B496" t="str">
        <f>"03813605"</f>
        <v>03813605</v>
      </c>
      <c r="C496" t="s">
        <v>8081</v>
      </c>
      <c r="D496" t="s">
        <v>8082</v>
      </c>
      <c r="E496" t="s">
        <v>8083</v>
      </c>
      <c r="G496" t="s">
        <v>8073</v>
      </c>
      <c r="H496" t="s">
        <v>3213</v>
      </c>
      <c r="I496">
        <v>202</v>
      </c>
      <c r="J496" t="s">
        <v>3214</v>
      </c>
      <c r="L496" t="s">
        <v>74</v>
      </c>
      <c r="M496" t="s">
        <v>75</v>
      </c>
      <c r="R496" t="s">
        <v>8084</v>
      </c>
      <c r="W496" t="s">
        <v>8083</v>
      </c>
      <c r="X496" t="s">
        <v>8080</v>
      </c>
      <c r="Y496" t="s">
        <v>97</v>
      </c>
      <c r="Z496" t="s">
        <v>77</v>
      </c>
      <c r="AA496" t="str">
        <f>"10018-7598"</f>
        <v>10018-7598</v>
      </c>
      <c r="AB496" t="s">
        <v>78</v>
      </c>
      <c r="AC496" t="s">
        <v>79</v>
      </c>
      <c r="AD496" t="s">
        <v>75</v>
      </c>
      <c r="AE496" t="s">
        <v>80</v>
      </c>
      <c r="AG496" t="s">
        <v>81</v>
      </c>
    </row>
    <row r="497" spans="1:33" x14ac:dyDescent="0.25">
      <c r="A497" t="str">
        <f>"1033381223"</f>
        <v>1033381223</v>
      </c>
      <c r="B497" t="str">
        <f>"03998914"</f>
        <v>03998914</v>
      </c>
      <c r="C497" t="s">
        <v>8085</v>
      </c>
      <c r="D497" t="s">
        <v>8086</v>
      </c>
      <c r="E497" t="s">
        <v>8087</v>
      </c>
      <c r="G497" t="s">
        <v>8073</v>
      </c>
      <c r="H497" t="s">
        <v>3213</v>
      </c>
      <c r="I497">
        <v>202</v>
      </c>
      <c r="J497" t="s">
        <v>3214</v>
      </c>
      <c r="L497" t="s">
        <v>105</v>
      </c>
      <c r="M497" t="s">
        <v>75</v>
      </c>
      <c r="R497" t="s">
        <v>8088</v>
      </c>
      <c r="W497" t="s">
        <v>8087</v>
      </c>
      <c r="X497" t="s">
        <v>2907</v>
      </c>
      <c r="Y497" t="s">
        <v>97</v>
      </c>
      <c r="Z497" t="s">
        <v>77</v>
      </c>
      <c r="AA497" t="str">
        <f>"10010-4102"</f>
        <v>10010-4102</v>
      </c>
      <c r="AB497" t="s">
        <v>78</v>
      </c>
      <c r="AC497" t="s">
        <v>79</v>
      </c>
      <c r="AD497" t="s">
        <v>75</v>
      </c>
      <c r="AE497" t="s">
        <v>80</v>
      </c>
      <c r="AG497" t="s">
        <v>81</v>
      </c>
    </row>
    <row r="498" spans="1:33" x14ac:dyDescent="0.25">
      <c r="A498" t="str">
        <f>"1053578872"</f>
        <v>1053578872</v>
      </c>
      <c r="B498" t="str">
        <f>"03285178"</f>
        <v>03285178</v>
      </c>
      <c r="C498" t="s">
        <v>8089</v>
      </c>
      <c r="D498" t="s">
        <v>8090</v>
      </c>
      <c r="E498" t="s">
        <v>8091</v>
      </c>
      <c r="G498" t="s">
        <v>8073</v>
      </c>
      <c r="H498" t="s">
        <v>3213</v>
      </c>
      <c r="I498">
        <v>202</v>
      </c>
      <c r="J498" t="s">
        <v>3214</v>
      </c>
      <c r="L498" t="s">
        <v>105</v>
      </c>
      <c r="M498" t="s">
        <v>75</v>
      </c>
      <c r="R498" t="s">
        <v>8091</v>
      </c>
      <c r="W498" t="s">
        <v>8091</v>
      </c>
      <c r="X498" t="s">
        <v>1342</v>
      </c>
      <c r="Y498" t="s">
        <v>131</v>
      </c>
      <c r="Z498" t="s">
        <v>77</v>
      </c>
      <c r="AA498" t="str">
        <f>"10456-3402"</f>
        <v>10456-3402</v>
      </c>
      <c r="AB498" t="s">
        <v>78</v>
      </c>
      <c r="AC498" t="s">
        <v>79</v>
      </c>
      <c r="AD498" t="s">
        <v>75</v>
      </c>
      <c r="AE498" t="s">
        <v>80</v>
      </c>
      <c r="AG498" t="s">
        <v>81</v>
      </c>
    </row>
    <row r="499" spans="1:33" x14ac:dyDescent="0.25">
      <c r="A499" t="str">
        <f>"1306253851"</f>
        <v>1306253851</v>
      </c>
      <c r="B499" t="str">
        <f>"04132812"</f>
        <v>04132812</v>
      </c>
      <c r="C499" t="s">
        <v>8092</v>
      </c>
      <c r="D499" t="s">
        <v>8093</v>
      </c>
      <c r="E499" t="s">
        <v>8094</v>
      </c>
      <c r="G499" t="s">
        <v>8073</v>
      </c>
      <c r="H499" t="s">
        <v>3213</v>
      </c>
      <c r="I499">
        <v>202</v>
      </c>
      <c r="J499" t="s">
        <v>3214</v>
      </c>
      <c r="L499" t="s">
        <v>74</v>
      </c>
      <c r="M499" t="s">
        <v>75</v>
      </c>
      <c r="R499" t="s">
        <v>8094</v>
      </c>
      <c r="W499" t="s">
        <v>8094</v>
      </c>
      <c r="X499" t="s">
        <v>8095</v>
      </c>
      <c r="Y499" t="s">
        <v>97</v>
      </c>
      <c r="Z499" t="s">
        <v>77</v>
      </c>
      <c r="AA499" t="str">
        <f>"10010-4299"</f>
        <v>10010-4299</v>
      </c>
      <c r="AB499" t="s">
        <v>78</v>
      </c>
      <c r="AC499" t="s">
        <v>79</v>
      </c>
      <c r="AD499" t="s">
        <v>75</v>
      </c>
      <c r="AE499" t="s">
        <v>80</v>
      </c>
      <c r="AG499" t="s">
        <v>81</v>
      </c>
    </row>
    <row r="500" spans="1:33" x14ac:dyDescent="0.25">
      <c r="A500" t="str">
        <f>"1578617742"</f>
        <v>1578617742</v>
      </c>
      <c r="B500" t="str">
        <f>"03231216"</f>
        <v>03231216</v>
      </c>
      <c r="C500" t="s">
        <v>8096</v>
      </c>
      <c r="D500" t="s">
        <v>8097</v>
      </c>
      <c r="E500" t="s">
        <v>8098</v>
      </c>
      <c r="G500" t="s">
        <v>8073</v>
      </c>
      <c r="H500" t="s">
        <v>3213</v>
      </c>
      <c r="I500">
        <v>202</v>
      </c>
      <c r="J500" t="s">
        <v>3214</v>
      </c>
      <c r="L500" t="s">
        <v>74</v>
      </c>
      <c r="M500" t="s">
        <v>75</v>
      </c>
      <c r="R500" t="s">
        <v>8099</v>
      </c>
      <c r="W500" t="s">
        <v>8098</v>
      </c>
      <c r="X500" t="s">
        <v>8080</v>
      </c>
      <c r="Y500" t="s">
        <v>97</v>
      </c>
      <c r="Z500" t="s">
        <v>77</v>
      </c>
      <c r="AA500" t="str">
        <f>"10018-7598"</f>
        <v>10018-7598</v>
      </c>
      <c r="AB500" t="s">
        <v>78</v>
      </c>
      <c r="AC500" t="s">
        <v>79</v>
      </c>
      <c r="AD500" t="s">
        <v>75</v>
      </c>
      <c r="AE500" t="s">
        <v>80</v>
      </c>
      <c r="AG500" t="s">
        <v>81</v>
      </c>
    </row>
    <row r="501" spans="1:33" x14ac:dyDescent="0.25">
      <c r="A501" t="str">
        <f>"1730124512"</f>
        <v>1730124512</v>
      </c>
      <c r="B501" t="str">
        <f>"01847245"</f>
        <v>01847245</v>
      </c>
      <c r="C501" t="s">
        <v>8100</v>
      </c>
      <c r="D501" t="s">
        <v>8101</v>
      </c>
      <c r="E501" t="s">
        <v>8102</v>
      </c>
      <c r="G501" t="s">
        <v>8073</v>
      </c>
      <c r="H501" t="s">
        <v>3213</v>
      </c>
      <c r="I501">
        <v>202</v>
      </c>
      <c r="J501" t="s">
        <v>3214</v>
      </c>
      <c r="L501" t="s">
        <v>74</v>
      </c>
      <c r="M501" t="s">
        <v>75</v>
      </c>
      <c r="R501" t="s">
        <v>8103</v>
      </c>
      <c r="W501" t="s">
        <v>8102</v>
      </c>
      <c r="X501" t="s">
        <v>470</v>
      </c>
      <c r="Y501" t="s">
        <v>97</v>
      </c>
      <c r="Z501" t="s">
        <v>77</v>
      </c>
      <c r="AA501" t="str">
        <f>"10034"</f>
        <v>10034</v>
      </c>
      <c r="AB501" t="s">
        <v>78</v>
      </c>
      <c r="AC501" t="s">
        <v>79</v>
      </c>
      <c r="AD501" t="s">
        <v>75</v>
      </c>
      <c r="AE501" t="s">
        <v>80</v>
      </c>
      <c r="AG501" t="s">
        <v>81</v>
      </c>
    </row>
    <row r="502" spans="1:33" x14ac:dyDescent="0.25">
      <c r="A502" t="str">
        <f>"1346232345"</f>
        <v>1346232345</v>
      </c>
      <c r="B502" t="str">
        <f>"00243930"</f>
        <v>00243930</v>
      </c>
      <c r="C502" t="s">
        <v>8104</v>
      </c>
      <c r="D502" t="s">
        <v>8105</v>
      </c>
      <c r="E502" t="s">
        <v>8106</v>
      </c>
      <c r="G502" t="s">
        <v>8107</v>
      </c>
      <c r="H502" t="s">
        <v>8108</v>
      </c>
      <c r="J502" t="s">
        <v>8109</v>
      </c>
      <c r="L502" t="s">
        <v>1790</v>
      </c>
      <c r="M502" t="s">
        <v>85</v>
      </c>
      <c r="R502" t="s">
        <v>8110</v>
      </c>
      <c r="W502" t="s">
        <v>8106</v>
      </c>
      <c r="X502" t="s">
        <v>8111</v>
      </c>
      <c r="Y502" t="s">
        <v>97</v>
      </c>
      <c r="Z502" t="s">
        <v>77</v>
      </c>
      <c r="AA502" t="str">
        <f>"10002-2924"</f>
        <v>10002-2924</v>
      </c>
      <c r="AB502" t="s">
        <v>93</v>
      </c>
      <c r="AC502" t="s">
        <v>79</v>
      </c>
      <c r="AD502" t="s">
        <v>75</v>
      </c>
      <c r="AE502" t="s">
        <v>80</v>
      </c>
      <c r="AG502" t="s">
        <v>81</v>
      </c>
    </row>
    <row r="503" spans="1:33" x14ac:dyDescent="0.25">
      <c r="A503" t="str">
        <f>"1376640177"</f>
        <v>1376640177</v>
      </c>
      <c r="B503" t="str">
        <f>"01840266"</f>
        <v>01840266</v>
      </c>
      <c r="C503" t="s">
        <v>8112</v>
      </c>
      <c r="D503" t="s">
        <v>8113</v>
      </c>
      <c r="E503" t="s">
        <v>8114</v>
      </c>
      <c r="L503" t="s">
        <v>105</v>
      </c>
      <c r="M503" t="s">
        <v>75</v>
      </c>
      <c r="R503" t="s">
        <v>8115</v>
      </c>
      <c r="W503" t="s">
        <v>8114</v>
      </c>
      <c r="X503" t="s">
        <v>8116</v>
      </c>
      <c r="Y503" t="s">
        <v>131</v>
      </c>
      <c r="Z503" t="s">
        <v>77</v>
      </c>
      <c r="AA503" t="str">
        <f>"10463-0000"</f>
        <v>10463-0000</v>
      </c>
      <c r="AB503" t="s">
        <v>78</v>
      </c>
      <c r="AC503" t="s">
        <v>79</v>
      </c>
      <c r="AD503" t="s">
        <v>75</v>
      </c>
      <c r="AE503" t="s">
        <v>80</v>
      </c>
      <c r="AG503" t="s">
        <v>81</v>
      </c>
    </row>
    <row r="504" spans="1:33" x14ac:dyDescent="0.25">
      <c r="A504" t="str">
        <f>"1578568333"</f>
        <v>1578568333</v>
      </c>
      <c r="B504" t="str">
        <f>"00393453"</f>
        <v>00393453</v>
      </c>
      <c r="C504" t="s">
        <v>8117</v>
      </c>
      <c r="D504" t="s">
        <v>1539</v>
      </c>
      <c r="E504" t="s">
        <v>1540</v>
      </c>
      <c r="G504" t="s">
        <v>6930</v>
      </c>
      <c r="H504" t="s">
        <v>6931</v>
      </c>
      <c r="J504" t="s">
        <v>6932</v>
      </c>
      <c r="L504" t="s">
        <v>74</v>
      </c>
      <c r="M504" t="s">
        <v>75</v>
      </c>
      <c r="R504" t="s">
        <v>1538</v>
      </c>
      <c r="W504" t="s">
        <v>1540</v>
      </c>
      <c r="X504" t="s">
        <v>1531</v>
      </c>
      <c r="Y504" t="s">
        <v>97</v>
      </c>
      <c r="Z504" t="s">
        <v>77</v>
      </c>
      <c r="AA504" t="str">
        <f>"10036-8005"</f>
        <v>10036-8005</v>
      </c>
      <c r="AB504" t="s">
        <v>108</v>
      </c>
      <c r="AC504" t="s">
        <v>79</v>
      </c>
      <c r="AD504" t="s">
        <v>75</v>
      </c>
      <c r="AE504" t="s">
        <v>80</v>
      </c>
      <c r="AG504" t="s">
        <v>81</v>
      </c>
    </row>
    <row r="505" spans="1:33" x14ac:dyDescent="0.25">
      <c r="A505" t="str">
        <f>"1366415739"</f>
        <v>1366415739</v>
      </c>
      <c r="B505" t="str">
        <f>"00567639"</f>
        <v>00567639</v>
      </c>
      <c r="C505" t="s">
        <v>8118</v>
      </c>
      <c r="D505" t="s">
        <v>1618</v>
      </c>
      <c r="E505" t="s">
        <v>1619</v>
      </c>
      <c r="G505" t="s">
        <v>6930</v>
      </c>
      <c r="H505" t="s">
        <v>6931</v>
      </c>
      <c r="J505" t="s">
        <v>6932</v>
      </c>
      <c r="L505" t="s">
        <v>74</v>
      </c>
      <c r="M505" t="s">
        <v>75</v>
      </c>
      <c r="R505" t="s">
        <v>1617</v>
      </c>
      <c r="W505" t="s">
        <v>1619</v>
      </c>
      <c r="X505" t="s">
        <v>1531</v>
      </c>
      <c r="Y505" t="s">
        <v>97</v>
      </c>
      <c r="Z505" t="s">
        <v>77</v>
      </c>
      <c r="AA505" t="str">
        <f>"10036-8005"</f>
        <v>10036-8005</v>
      </c>
      <c r="AB505" t="s">
        <v>108</v>
      </c>
      <c r="AC505" t="s">
        <v>79</v>
      </c>
      <c r="AD505" t="s">
        <v>75</v>
      </c>
      <c r="AE505" t="s">
        <v>80</v>
      </c>
      <c r="AG505" t="s">
        <v>81</v>
      </c>
    </row>
    <row r="506" spans="1:33" x14ac:dyDescent="0.25">
      <c r="A506" t="str">
        <f>"1104826536"</f>
        <v>1104826536</v>
      </c>
      <c r="B506" t="str">
        <f>"00600284"</f>
        <v>00600284</v>
      </c>
      <c r="C506" t="s">
        <v>8119</v>
      </c>
      <c r="D506" t="s">
        <v>1533</v>
      </c>
      <c r="E506" t="s">
        <v>1534</v>
      </c>
      <c r="G506" t="s">
        <v>6930</v>
      </c>
      <c r="H506" t="s">
        <v>6931</v>
      </c>
      <c r="J506" t="s">
        <v>6932</v>
      </c>
      <c r="L506" t="s">
        <v>83</v>
      </c>
      <c r="M506" t="s">
        <v>75</v>
      </c>
      <c r="R506" t="s">
        <v>1532</v>
      </c>
      <c r="W506" t="s">
        <v>1534</v>
      </c>
      <c r="X506" t="s">
        <v>1531</v>
      </c>
      <c r="Y506" t="s">
        <v>97</v>
      </c>
      <c r="Z506" t="s">
        <v>77</v>
      </c>
      <c r="AA506" t="str">
        <f>"10036-8005"</f>
        <v>10036-8005</v>
      </c>
      <c r="AB506" t="s">
        <v>108</v>
      </c>
      <c r="AC506" t="s">
        <v>79</v>
      </c>
      <c r="AD506" t="s">
        <v>75</v>
      </c>
      <c r="AE506" t="s">
        <v>80</v>
      </c>
      <c r="AG506" t="s">
        <v>81</v>
      </c>
    </row>
    <row r="507" spans="1:33" x14ac:dyDescent="0.25">
      <c r="A507" t="str">
        <f>"1881712271"</f>
        <v>1881712271</v>
      </c>
      <c r="B507" t="str">
        <f>"01123775"</f>
        <v>01123775</v>
      </c>
      <c r="C507" t="s">
        <v>8120</v>
      </c>
      <c r="D507" t="s">
        <v>8121</v>
      </c>
      <c r="E507" t="s">
        <v>8122</v>
      </c>
      <c r="G507" t="s">
        <v>8123</v>
      </c>
      <c r="H507" t="s">
        <v>8124</v>
      </c>
      <c r="L507" t="s">
        <v>16</v>
      </c>
      <c r="M507" t="s">
        <v>75</v>
      </c>
      <c r="R507" t="s">
        <v>8122</v>
      </c>
      <c r="W507" t="s">
        <v>8122</v>
      </c>
      <c r="X507" t="s">
        <v>8125</v>
      </c>
      <c r="Y507" t="s">
        <v>97</v>
      </c>
      <c r="Z507" t="s">
        <v>77</v>
      </c>
      <c r="AA507" t="str">
        <f>"10029-6930"</f>
        <v>10029-6930</v>
      </c>
      <c r="AB507" t="s">
        <v>132</v>
      </c>
      <c r="AC507" t="s">
        <v>79</v>
      </c>
      <c r="AD507" t="s">
        <v>75</v>
      </c>
      <c r="AE507" t="s">
        <v>80</v>
      </c>
      <c r="AG507" t="s">
        <v>81</v>
      </c>
    </row>
    <row r="508" spans="1:33" x14ac:dyDescent="0.25">
      <c r="A508" t="str">
        <f>"1124064670"</f>
        <v>1124064670</v>
      </c>
      <c r="B508" t="str">
        <f>"03881472"</f>
        <v>03881472</v>
      </c>
      <c r="C508" t="s">
        <v>8126</v>
      </c>
      <c r="D508" t="s">
        <v>8127</v>
      </c>
      <c r="E508" t="s">
        <v>8128</v>
      </c>
      <c r="G508" t="s">
        <v>8129</v>
      </c>
      <c r="H508" t="s">
        <v>8130</v>
      </c>
      <c r="L508" t="s">
        <v>16</v>
      </c>
      <c r="M508" t="s">
        <v>75</v>
      </c>
      <c r="R508" t="s">
        <v>8131</v>
      </c>
      <c r="W508" t="s">
        <v>8128</v>
      </c>
      <c r="X508" t="s">
        <v>8132</v>
      </c>
      <c r="Y508" t="s">
        <v>405</v>
      </c>
      <c r="Z508" t="s">
        <v>77</v>
      </c>
      <c r="AA508" t="str">
        <f>"10803-2723"</f>
        <v>10803-2723</v>
      </c>
      <c r="AB508" t="s">
        <v>132</v>
      </c>
      <c r="AC508" t="s">
        <v>79</v>
      </c>
      <c r="AD508" t="s">
        <v>75</v>
      </c>
      <c r="AE508" t="s">
        <v>80</v>
      </c>
      <c r="AG508" t="s">
        <v>81</v>
      </c>
    </row>
    <row r="509" spans="1:33" x14ac:dyDescent="0.25">
      <c r="A509" t="str">
        <f>"1902106453"</f>
        <v>1902106453</v>
      </c>
      <c r="B509" t="str">
        <f>"03320394"</f>
        <v>03320394</v>
      </c>
      <c r="C509" t="s">
        <v>8133</v>
      </c>
      <c r="D509" t="s">
        <v>8134</v>
      </c>
      <c r="E509" t="s">
        <v>8135</v>
      </c>
      <c r="G509" t="s">
        <v>8136</v>
      </c>
      <c r="H509" t="s">
        <v>8137</v>
      </c>
      <c r="L509" t="s">
        <v>177</v>
      </c>
      <c r="M509" t="s">
        <v>75</v>
      </c>
      <c r="R509" t="s">
        <v>8138</v>
      </c>
      <c r="W509" t="s">
        <v>8135</v>
      </c>
      <c r="X509" t="s">
        <v>8139</v>
      </c>
      <c r="Y509" t="s">
        <v>245</v>
      </c>
      <c r="Z509" t="s">
        <v>77</v>
      </c>
      <c r="AA509" t="str">
        <f>"11561-2111"</f>
        <v>11561-2111</v>
      </c>
      <c r="AB509" t="s">
        <v>132</v>
      </c>
      <c r="AC509" t="s">
        <v>79</v>
      </c>
      <c r="AD509" t="s">
        <v>75</v>
      </c>
      <c r="AE509" t="s">
        <v>80</v>
      </c>
      <c r="AG509" t="s">
        <v>81</v>
      </c>
    </row>
    <row r="510" spans="1:33" x14ac:dyDescent="0.25">
      <c r="A510" t="str">
        <f>"1912922600"</f>
        <v>1912922600</v>
      </c>
      <c r="C510" t="s">
        <v>8140</v>
      </c>
      <c r="G510" t="s">
        <v>6800</v>
      </c>
      <c r="H510" t="s">
        <v>6801</v>
      </c>
      <c r="I510">
        <v>6381</v>
      </c>
      <c r="J510" t="s">
        <v>6802</v>
      </c>
      <c r="K510" t="s">
        <v>99</v>
      </c>
      <c r="L510" t="s">
        <v>102</v>
      </c>
      <c r="M510" t="s">
        <v>75</v>
      </c>
      <c r="R510" t="s">
        <v>8141</v>
      </c>
      <c r="S510" t="s">
        <v>5322</v>
      </c>
      <c r="T510" t="s">
        <v>97</v>
      </c>
      <c r="U510" t="s">
        <v>77</v>
      </c>
      <c r="V510" t="str">
        <f>"10011"</f>
        <v>10011</v>
      </c>
      <c r="AC510" t="s">
        <v>79</v>
      </c>
      <c r="AD510" t="s">
        <v>75</v>
      </c>
      <c r="AE510" t="s">
        <v>103</v>
      </c>
      <c r="AG510" t="s">
        <v>81</v>
      </c>
    </row>
    <row r="511" spans="1:33" x14ac:dyDescent="0.25">
      <c r="A511" t="str">
        <f>"1245230861"</f>
        <v>1245230861</v>
      </c>
      <c r="B511" t="str">
        <f>"02373279"</f>
        <v>02373279</v>
      </c>
      <c r="C511" t="s">
        <v>8142</v>
      </c>
      <c r="D511" t="s">
        <v>8143</v>
      </c>
      <c r="E511" t="s">
        <v>8144</v>
      </c>
      <c r="H511" t="s">
        <v>8145</v>
      </c>
      <c r="J511" t="s">
        <v>8146</v>
      </c>
      <c r="L511" t="s">
        <v>83</v>
      </c>
      <c r="M511" t="s">
        <v>75</v>
      </c>
      <c r="R511" t="s">
        <v>8147</v>
      </c>
      <c r="W511" t="s">
        <v>8144</v>
      </c>
      <c r="X511" t="s">
        <v>3626</v>
      </c>
      <c r="Y511" t="s">
        <v>131</v>
      </c>
      <c r="Z511" t="s">
        <v>77</v>
      </c>
      <c r="AA511" t="str">
        <f>"10468-3902"</f>
        <v>10468-3902</v>
      </c>
      <c r="AB511" t="s">
        <v>108</v>
      </c>
      <c r="AC511" t="s">
        <v>79</v>
      </c>
      <c r="AD511" t="s">
        <v>75</v>
      </c>
      <c r="AE511" t="s">
        <v>80</v>
      </c>
      <c r="AG511" t="s">
        <v>81</v>
      </c>
    </row>
    <row r="512" spans="1:33" x14ac:dyDescent="0.25">
      <c r="A512" t="str">
        <f>"1265404271"</f>
        <v>1265404271</v>
      </c>
      <c r="B512" t="str">
        <f>"01704654"</f>
        <v>01704654</v>
      </c>
      <c r="C512" t="s">
        <v>8148</v>
      </c>
      <c r="D512" t="s">
        <v>5578</v>
      </c>
      <c r="E512" t="s">
        <v>5579</v>
      </c>
      <c r="H512" t="s">
        <v>8149</v>
      </c>
      <c r="J512" t="s">
        <v>8150</v>
      </c>
      <c r="L512" t="s">
        <v>84</v>
      </c>
      <c r="M512" t="s">
        <v>75</v>
      </c>
      <c r="R512" t="s">
        <v>5580</v>
      </c>
      <c r="W512" t="s">
        <v>5579</v>
      </c>
      <c r="X512" t="s">
        <v>5472</v>
      </c>
      <c r="Y512" t="s">
        <v>131</v>
      </c>
      <c r="Z512" t="s">
        <v>77</v>
      </c>
      <c r="AA512" t="str">
        <f>"10463-4701"</f>
        <v>10463-4701</v>
      </c>
      <c r="AB512" t="s">
        <v>78</v>
      </c>
      <c r="AC512" t="s">
        <v>79</v>
      </c>
      <c r="AD512" t="s">
        <v>75</v>
      </c>
      <c r="AE512" t="s">
        <v>80</v>
      </c>
      <c r="AG512" t="s">
        <v>81</v>
      </c>
    </row>
    <row r="513" spans="1:33" x14ac:dyDescent="0.25">
      <c r="A513" t="str">
        <f>"1801997671"</f>
        <v>1801997671</v>
      </c>
      <c r="B513" t="str">
        <f>"02296766"</f>
        <v>02296766</v>
      </c>
      <c r="C513" t="s">
        <v>8151</v>
      </c>
      <c r="D513" t="s">
        <v>8152</v>
      </c>
      <c r="E513" t="s">
        <v>8153</v>
      </c>
      <c r="L513" t="s">
        <v>105</v>
      </c>
      <c r="M513" t="s">
        <v>85</v>
      </c>
      <c r="R513" t="s">
        <v>8154</v>
      </c>
      <c r="W513" t="s">
        <v>8153</v>
      </c>
      <c r="X513" t="s">
        <v>8155</v>
      </c>
      <c r="Y513" t="s">
        <v>198</v>
      </c>
      <c r="Z513" t="s">
        <v>77</v>
      </c>
      <c r="AA513" t="str">
        <f>"11542"</f>
        <v>11542</v>
      </c>
      <c r="AB513" t="s">
        <v>78</v>
      </c>
      <c r="AC513" t="s">
        <v>79</v>
      </c>
      <c r="AD513" t="s">
        <v>75</v>
      </c>
      <c r="AE513" t="s">
        <v>80</v>
      </c>
      <c r="AG513" t="s">
        <v>81</v>
      </c>
    </row>
    <row r="514" spans="1:33" x14ac:dyDescent="0.25">
      <c r="A514" t="str">
        <f>"1821210782"</f>
        <v>1821210782</v>
      </c>
      <c r="B514" t="str">
        <f>"03312310"</f>
        <v>03312310</v>
      </c>
      <c r="C514" t="s">
        <v>8156</v>
      </c>
      <c r="D514" t="s">
        <v>8157</v>
      </c>
      <c r="E514" t="s">
        <v>8158</v>
      </c>
      <c r="L514" t="s">
        <v>94</v>
      </c>
      <c r="M514" t="s">
        <v>75</v>
      </c>
      <c r="R514" t="s">
        <v>8158</v>
      </c>
      <c r="W514" t="s">
        <v>8158</v>
      </c>
      <c r="X514" t="s">
        <v>8159</v>
      </c>
      <c r="Y514" t="s">
        <v>131</v>
      </c>
      <c r="Z514" t="s">
        <v>77</v>
      </c>
      <c r="AA514" t="str">
        <f>"10457"</f>
        <v>10457</v>
      </c>
      <c r="AB514" t="s">
        <v>78</v>
      </c>
      <c r="AC514" t="s">
        <v>79</v>
      </c>
      <c r="AD514" t="s">
        <v>75</v>
      </c>
      <c r="AE514" t="s">
        <v>80</v>
      </c>
      <c r="AG514" t="s">
        <v>81</v>
      </c>
    </row>
    <row r="515" spans="1:33" x14ac:dyDescent="0.25">
      <c r="A515" t="str">
        <f>"1528066446"</f>
        <v>1528066446</v>
      </c>
      <c r="B515" t="str">
        <f>"02387740"</f>
        <v>02387740</v>
      </c>
      <c r="C515" t="s">
        <v>8160</v>
      </c>
      <c r="D515" t="s">
        <v>8161</v>
      </c>
      <c r="E515" t="s">
        <v>8162</v>
      </c>
      <c r="G515" t="s">
        <v>8160</v>
      </c>
      <c r="H515" t="s">
        <v>7754</v>
      </c>
      <c r="J515" t="s">
        <v>8163</v>
      </c>
      <c r="L515" t="s">
        <v>83</v>
      </c>
      <c r="M515" t="s">
        <v>75</v>
      </c>
      <c r="R515" t="s">
        <v>8164</v>
      </c>
      <c r="W515" t="s">
        <v>8162</v>
      </c>
      <c r="X515" t="s">
        <v>7845</v>
      </c>
      <c r="Y515" t="s">
        <v>720</v>
      </c>
      <c r="Z515" t="s">
        <v>77</v>
      </c>
      <c r="AA515" t="str">
        <f>"11435-1624"</f>
        <v>11435-1624</v>
      </c>
      <c r="AB515" t="s">
        <v>128</v>
      </c>
      <c r="AC515" t="s">
        <v>79</v>
      </c>
      <c r="AD515" t="s">
        <v>75</v>
      </c>
      <c r="AE515" t="s">
        <v>80</v>
      </c>
      <c r="AG515" t="s">
        <v>81</v>
      </c>
    </row>
    <row r="516" spans="1:33" x14ac:dyDescent="0.25">
      <c r="A516" t="str">
        <f>"1588704175"</f>
        <v>1588704175</v>
      </c>
      <c r="B516" t="str">
        <f>"02388778"</f>
        <v>02388778</v>
      </c>
      <c r="C516" t="s">
        <v>8165</v>
      </c>
      <c r="D516" t="s">
        <v>8166</v>
      </c>
      <c r="E516" t="s">
        <v>8167</v>
      </c>
      <c r="G516" t="s">
        <v>8165</v>
      </c>
      <c r="H516" t="s">
        <v>8168</v>
      </c>
      <c r="J516" t="s">
        <v>8169</v>
      </c>
      <c r="L516" t="s">
        <v>74</v>
      </c>
      <c r="M516" t="s">
        <v>75</v>
      </c>
      <c r="R516" t="s">
        <v>8170</v>
      </c>
      <c r="W516" t="s">
        <v>8171</v>
      </c>
      <c r="X516" t="s">
        <v>8172</v>
      </c>
      <c r="Y516" t="s">
        <v>97</v>
      </c>
      <c r="Z516" t="s">
        <v>77</v>
      </c>
      <c r="AA516" t="str">
        <f>"10032-3725"</f>
        <v>10032-3725</v>
      </c>
      <c r="AB516" t="s">
        <v>82</v>
      </c>
      <c r="AC516" t="s">
        <v>79</v>
      </c>
      <c r="AD516" t="s">
        <v>75</v>
      </c>
      <c r="AE516" t="s">
        <v>80</v>
      </c>
      <c r="AG516" t="s">
        <v>81</v>
      </c>
    </row>
    <row r="517" spans="1:33" x14ac:dyDescent="0.25">
      <c r="A517" t="str">
        <f>"1689869737"</f>
        <v>1689869737</v>
      </c>
      <c r="B517" t="str">
        <f>"03031289"</f>
        <v>03031289</v>
      </c>
      <c r="C517" t="s">
        <v>8173</v>
      </c>
      <c r="D517" t="s">
        <v>8174</v>
      </c>
      <c r="E517" t="s">
        <v>8175</v>
      </c>
      <c r="L517" t="s">
        <v>83</v>
      </c>
      <c r="M517" t="s">
        <v>75</v>
      </c>
      <c r="R517" t="s">
        <v>8176</v>
      </c>
      <c r="W517" t="s">
        <v>8175</v>
      </c>
      <c r="X517" t="s">
        <v>202</v>
      </c>
      <c r="Y517" t="s">
        <v>87</v>
      </c>
      <c r="Z517" t="s">
        <v>77</v>
      </c>
      <c r="AA517" t="str">
        <f>"11201-5425"</f>
        <v>11201-5425</v>
      </c>
      <c r="AB517" t="s">
        <v>128</v>
      </c>
      <c r="AC517" t="s">
        <v>79</v>
      </c>
      <c r="AD517" t="s">
        <v>75</v>
      </c>
      <c r="AE517" t="s">
        <v>80</v>
      </c>
      <c r="AG517" t="s">
        <v>81</v>
      </c>
    </row>
    <row r="518" spans="1:33" x14ac:dyDescent="0.25">
      <c r="A518" t="str">
        <f>"1508866195"</f>
        <v>1508866195</v>
      </c>
      <c r="B518" t="str">
        <f>"02489825"</f>
        <v>02489825</v>
      </c>
      <c r="C518" t="s">
        <v>8177</v>
      </c>
      <c r="D518" t="s">
        <v>8178</v>
      </c>
      <c r="E518" t="s">
        <v>8179</v>
      </c>
      <c r="G518" t="s">
        <v>6800</v>
      </c>
      <c r="H518" t="s">
        <v>6801</v>
      </c>
      <c r="I518">
        <v>6381</v>
      </c>
      <c r="J518" t="s">
        <v>6802</v>
      </c>
      <c r="L518" t="s">
        <v>84</v>
      </c>
      <c r="M518" t="s">
        <v>85</v>
      </c>
      <c r="R518" t="s">
        <v>8180</v>
      </c>
      <c r="W518" t="s">
        <v>8179</v>
      </c>
      <c r="X518" t="s">
        <v>8181</v>
      </c>
      <c r="Y518" t="s">
        <v>145</v>
      </c>
      <c r="Z518" t="s">
        <v>77</v>
      </c>
      <c r="AA518" t="str">
        <f>"11361-3241"</f>
        <v>11361-3241</v>
      </c>
      <c r="AB518" t="s">
        <v>78</v>
      </c>
      <c r="AC518" t="s">
        <v>79</v>
      </c>
      <c r="AD518" t="s">
        <v>75</v>
      </c>
      <c r="AE518" t="s">
        <v>80</v>
      </c>
      <c r="AG518" t="s">
        <v>81</v>
      </c>
    </row>
    <row r="519" spans="1:33" x14ac:dyDescent="0.25">
      <c r="A519" t="str">
        <f>"1932121969"</f>
        <v>1932121969</v>
      </c>
      <c r="B519" t="str">
        <f>"00696433"</f>
        <v>00696433</v>
      </c>
      <c r="C519" t="s">
        <v>8182</v>
      </c>
      <c r="D519" t="s">
        <v>8183</v>
      </c>
      <c r="E519" t="s">
        <v>8184</v>
      </c>
      <c r="G519" t="s">
        <v>6930</v>
      </c>
      <c r="H519" t="s">
        <v>6931</v>
      </c>
      <c r="J519" t="s">
        <v>6932</v>
      </c>
      <c r="L519" t="s">
        <v>83</v>
      </c>
      <c r="M519" t="s">
        <v>75</v>
      </c>
      <c r="R519" t="s">
        <v>8185</v>
      </c>
      <c r="W519" t="s">
        <v>8184</v>
      </c>
      <c r="X519" t="s">
        <v>8186</v>
      </c>
      <c r="Y519" t="s">
        <v>155</v>
      </c>
      <c r="Z519" t="s">
        <v>77</v>
      </c>
      <c r="AA519" t="str">
        <f>"10310-2405"</f>
        <v>10310-2405</v>
      </c>
      <c r="AB519" t="s">
        <v>78</v>
      </c>
      <c r="AC519" t="s">
        <v>79</v>
      </c>
      <c r="AD519" t="s">
        <v>75</v>
      </c>
      <c r="AE519" t="s">
        <v>80</v>
      </c>
      <c r="AG519" t="s">
        <v>81</v>
      </c>
    </row>
    <row r="520" spans="1:33" x14ac:dyDescent="0.25">
      <c r="A520" t="str">
        <f>"1437159910"</f>
        <v>1437159910</v>
      </c>
      <c r="B520" t="str">
        <f>"01049421"</f>
        <v>01049421</v>
      </c>
      <c r="C520" t="s">
        <v>8187</v>
      </c>
      <c r="D520" t="s">
        <v>1646</v>
      </c>
      <c r="E520" t="s">
        <v>1647</v>
      </c>
      <c r="G520" t="s">
        <v>6930</v>
      </c>
      <c r="H520" t="s">
        <v>6931</v>
      </c>
      <c r="J520" t="s">
        <v>6932</v>
      </c>
      <c r="L520" t="s">
        <v>83</v>
      </c>
      <c r="M520" t="s">
        <v>75</v>
      </c>
      <c r="R520" t="s">
        <v>1645</v>
      </c>
      <c r="W520" t="s">
        <v>1648</v>
      </c>
      <c r="X520" t="s">
        <v>1531</v>
      </c>
      <c r="Y520" t="s">
        <v>97</v>
      </c>
      <c r="Z520" t="s">
        <v>77</v>
      </c>
      <c r="AA520" t="str">
        <f>"10036-8005"</f>
        <v>10036-8005</v>
      </c>
      <c r="AB520" t="s">
        <v>108</v>
      </c>
      <c r="AC520" t="s">
        <v>79</v>
      </c>
      <c r="AD520" t="s">
        <v>75</v>
      </c>
      <c r="AE520" t="s">
        <v>80</v>
      </c>
      <c r="AG520" t="s">
        <v>81</v>
      </c>
    </row>
    <row r="521" spans="1:33" x14ac:dyDescent="0.25">
      <c r="A521" t="str">
        <f>"1891791018"</f>
        <v>1891791018</v>
      </c>
      <c r="B521" t="str">
        <f>"01052946"</f>
        <v>01052946</v>
      </c>
      <c r="C521" t="s">
        <v>8188</v>
      </c>
      <c r="D521" t="s">
        <v>8189</v>
      </c>
      <c r="E521" t="s">
        <v>8190</v>
      </c>
      <c r="G521" t="s">
        <v>6930</v>
      </c>
      <c r="H521" t="s">
        <v>6931</v>
      </c>
      <c r="J521" t="s">
        <v>6932</v>
      </c>
      <c r="L521" t="s">
        <v>83</v>
      </c>
      <c r="M521" t="s">
        <v>75</v>
      </c>
      <c r="R521" t="s">
        <v>8191</v>
      </c>
      <c r="W521" t="s">
        <v>8190</v>
      </c>
      <c r="X521" t="s">
        <v>8192</v>
      </c>
      <c r="Y521" t="s">
        <v>1103</v>
      </c>
      <c r="Z521" t="s">
        <v>77</v>
      </c>
      <c r="AA521" t="str">
        <f>"11364-2947"</f>
        <v>11364-2947</v>
      </c>
      <c r="AB521" t="s">
        <v>108</v>
      </c>
      <c r="AC521" t="s">
        <v>79</v>
      </c>
      <c r="AD521" t="s">
        <v>75</v>
      </c>
      <c r="AE521" t="s">
        <v>80</v>
      </c>
      <c r="AG521" t="s">
        <v>81</v>
      </c>
    </row>
    <row r="522" spans="1:33" x14ac:dyDescent="0.25">
      <c r="A522" t="str">
        <f>"1487613824"</f>
        <v>1487613824</v>
      </c>
      <c r="B522" t="str">
        <f>"02440444"</f>
        <v>02440444</v>
      </c>
      <c r="C522" t="s">
        <v>8193</v>
      </c>
      <c r="D522" t="s">
        <v>8194</v>
      </c>
      <c r="E522" t="s">
        <v>8195</v>
      </c>
      <c r="G522" t="s">
        <v>6800</v>
      </c>
      <c r="H522" t="s">
        <v>6801</v>
      </c>
      <c r="I522">
        <v>6381</v>
      </c>
      <c r="J522" t="s">
        <v>6802</v>
      </c>
      <c r="L522" t="s">
        <v>94</v>
      </c>
      <c r="M522" t="s">
        <v>85</v>
      </c>
      <c r="R522" t="s">
        <v>8195</v>
      </c>
      <c r="W522" t="s">
        <v>8195</v>
      </c>
      <c r="X522" t="s">
        <v>8196</v>
      </c>
      <c r="Y522" t="s">
        <v>87</v>
      </c>
      <c r="Z522" t="s">
        <v>77</v>
      </c>
      <c r="AA522" t="str">
        <f>"11201-5551"</f>
        <v>11201-5551</v>
      </c>
      <c r="AB522" t="s">
        <v>78</v>
      </c>
      <c r="AC522" t="s">
        <v>79</v>
      </c>
      <c r="AD522" t="s">
        <v>75</v>
      </c>
      <c r="AE522" t="s">
        <v>80</v>
      </c>
      <c r="AG522" t="s">
        <v>81</v>
      </c>
    </row>
    <row r="523" spans="1:33" x14ac:dyDescent="0.25">
      <c r="A523" t="str">
        <f>"1760696413"</f>
        <v>1760696413</v>
      </c>
      <c r="B523" t="str">
        <f>"03033089"</f>
        <v>03033089</v>
      </c>
      <c r="C523" t="s">
        <v>8197</v>
      </c>
      <c r="D523" t="s">
        <v>3450</v>
      </c>
      <c r="E523" t="s">
        <v>3451</v>
      </c>
      <c r="H523" t="s">
        <v>626</v>
      </c>
      <c r="I523">
        <v>2114</v>
      </c>
      <c r="J523" t="s">
        <v>3452</v>
      </c>
      <c r="L523" t="s">
        <v>84</v>
      </c>
      <c r="M523" t="s">
        <v>75</v>
      </c>
      <c r="R523" t="s">
        <v>3453</v>
      </c>
      <c r="W523" t="s">
        <v>3454</v>
      </c>
      <c r="X523" t="s">
        <v>3158</v>
      </c>
      <c r="Y523" t="s">
        <v>131</v>
      </c>
      <c r="Z523" t="s">
        <v>77</v>
      </c>
      <c r="AA523" t="str">
        <f>"10452-2001"</f>
        <v>10452-2001</v>
      </c>
      <c r="AB523" t="s">
        <v>78</v>
      </c>
      <c r="AC523" t="s">
        <v>79</v>
      </c>
      <c r="AD523" t="s">
        <v>75</v>
      </c>
      <c r="AE523" t="s">
        <v>80</v>
      </c>
      <c r="AG523" t="s">
        <v>81</v>
      </c>
    </row>
    <row r="524" spans="1:33" x14ac:dyDescent="0.25">
      <c r="A524" t="str">
        <f>"1316981202"</f>
        <v>1316981202</v>
      </c>
      <c r="B524" t="str">
        <f>"02086322"</f>
        <v>02086322</v>
      </c>
      <c r="C524" t="s">
        <v>8198</v>
      </c>
      <c r="D524" t="s">
        <v>8199</v>
      </c>
      <c r="E524" t="s">
        <v>8200</v>
      </c>
      <c r="G524" t="s">
        <v>8198</v>
      </c>
      <c r="H524" t="s">
        <v>8201</v>
      </c>
      <c r="J524" t="s">
        <v>8202</v>
      </c>
      <c r="L524" t="s">
        <v>105</v>
      </c>
      <c r="M524" t="s">
        <v>75</v>
      </c>
      <c r="R524" t="s">
        <v>8203</v>
      </c>
      <c r="W524" t="s">
        <v>8200</v>
      </c>
      <c r="X524" t="s">
        <v>8204</v>
      </c>
      <c r="Y524" t="s">
        <v>97</v>
      </c>
      <c r="Z524" t="s">
        <v>77</v>
      </c>
      <c r="AA524" t="str">
        <f>"10034-1159"</f>
        <v>10034-1159</v>
      </c>
      <c r="AB524" t="s">
        <v>78</v>
      </c>
      <c r="AC524" t="s">
        <v>79</v>
      </c>
      <c r="AD524" t="s">
        <v>75</v>
      </c>
      <c r="AE524" t="s">
        <v>80</v>
      </c>
      <c r="AG524" t="s">
        <v>81</v>
      </c>
    </row>
    <row r="525" spans="1:33" x14ac:dyDescent="0.25">
      <c r="A525" t="str">
        <f>"1285678623"</f>
        <v>1285678623</v>
      </c>
      <c r="B525" t="str">
        <f>"01974785"</f>
        <v>01974785</v>
      </c>
      <c r="C525" t="s">
        <v>8205</v>
      </c>
      <c r="D525" t="s">
        <v>4936</v>
      </c>
      <c r="E525" t="s">
        <v>4937</v>
      </c>
      <c r="G525" t="s">
        <v>8205</v>
      </c>
      <c r="H525" t="s">
        <v>8206</v>
      </c>
      <c r="J525" t="s">
        <v>4938</v>
      </c>
      <c r="L525" t="s">
        <v>143</v>
      </c>
      <c r="M525" t="s">
        <v>75</v>
      </c>
      <c r="W525" t="s">
        <v>4937</v>
      </c>
      <c r="Y525" t="s">
        <v>97</v>
      </c>
      <c r="Z525" t="s">
        <v>77</v>
      </c>
      <c r="AA525" t="str">
        <f>"10032-3720"</f>
        <v>10032-3720</v>
      </c>
      <c r="AB525" t="s">
        <v>78</v>
      </c>
      <c r="AC525" t="s">
        <v>79</v>
      </c>
      <c r="AD525" t="s">
        <v>75</v>
      </c>
      <c r="AE525" t="s">
        <v>80</v>
      </c>
      <c r="AG525" t="s">
        <v>81</v>
      </c>
    </row>
    <row r="526" spans="1:33" x14ac:dyDescent="0.25">
      <c r="A526" t="str">
        <f>"1104877836"</f>
        <v>1104877836</v>
      </c>
      <c r="B526" t="str">
        <f>"02142469"</f>
        <v>02142469</v>
      </c>
      <c r="C526" t="s">
        <v>8207</v>
      </c>
      <c r="D526" t="s">
        <v>6053</v>
      </c>
      <c r="E526" t="s">
        <v>6054</v>
      </c>
      <c r="G526" t="s">
        <v>8207</v>
      </c>
      <c r="H526" t="s">
        <v>8208</v>
      </c>
      <c r="J526" t="s">
        <v>8209</v>
      </c>
      <c r="L526" t="s">
        <v>74</v>
      </c>
      <c r="M526" t="s">
        <v>75</v>
      </c>
      <c r="R526" t="s">
        <v>6055</v>
      </c>
      <c r="W526" t="s">
        <v>6056</v>
      </c>
      <c r="X526" t="s">
        <v>771</v>
      </c>
      <c r="Y526" t="s">
        <v>131</v>
      </c>
      <c r="Z526" t="s">
        <v>77</v>
      </c>
      <c r="AA526" t="str">
        <f>"10467-7404"</f>
        <v>10467-7404</v>
      </c>
      <c r="AB526" t="s">
        <v>78</v>
      </c>
      <c r="AC526" t="s">
        <v>79</v>
      </c>
      <c r="AD526" t="s">
        <v>75</v>
      </c>
      <c r="AE526" t="s">
        <v>80</v>
      </c>
      <c r="AG526" t="s">
        <v>81</v>
      </c>
    </row>
    <row r="527" spans="1:33" x14ac:dyDescent="0.25">
      <c r="A527" t="str">
        <f>"1376834846"</f>
        <v>1376834846</v>
      </c>
      <c r="B527" t="str">
        <f>"03335600"</f>
        <v>03335600</v>
      </c>
      <c r="C527" t="s">
        <v>8210</v>
      </c>
      <c r="D527" t="s">
        <v>8211</v>
      </c>
      <c r="E527" t="s">
        <v>8212</v>
      </c>
      <c r="G527" t="s">
        <v>6380</v>
      </c>
      <c r="H527" t="s">
        <v>4625</v>
      </c>
      <c r="J527" t="s">
        <v>6381</v>
      </c>
      <c r="L527" t="s">
        <v>84</v>
      </c>
      <c r="M527" t="s">
        <v>85</v>
      </c>
      <c r="R527" t="s">
        <v>8212</v>
      </c>
      <c r="W527" t="s">
        <v>8212</v>
      </c>
      <c r="X527" t="s">
        <v>2902</v>
      </c>
      <c r="Y527" t="s">
        <v>2903</v>
      </c>
      <c r="Z527" t="s">
        <v>77</v>
      </c>
      <c r="AA527" t="str">
        <f>"12775-6049"</f>
        <v>12775-6049</v>
      </c>
      <c r="AB527" t="s">
        <v>78</v>
      </c>
      <c r="AC527" t="s">
        <v>79</v>
      </c>
      <c r="AD527" t="s">
        <v>75</v>
      </c>
      <c r="AE527" t="s">
        <v>80</v>
      </c>
      <c r="AG527" t="s">
        <v>81</v>
      </c>
    </row>
    <row r="528" spans="1:33" x14ac:dyDescent="0.25">
      <c r="A528" t="str">
        <f>"1083819411"</f>
        <v>1083819411</v>
      </c>
      <c r="B528" t="str">
        <f>"03343419"</f>
        <v>03343419</v>
      </c>
      <c r="C528" t="s">
        <v>8213</v>
      </c>
      <c r="D528" t="s">
        <v>8214</v>
      </c>
      <c r="E528" t="s">
        <v>8215</v>
      </c>
      <c r="G528" t="s">
        <v>6380</v>
      </c>
      <c r="H528" t="s">
        <v>4625</v>
      </c>
      <c r="J528" t="s">
        <v>6381</v>
      </c>
      <c r="L528" t="s">
        <v>83</v>
      </c>
      <c r="M528" t="s">
        <v>85</v>
      </c>
      <c r="R528" t="s">
        <v>8216</v>
      </c>
      <c r="W528" t="s">
        <v>8215</v>
      </c>
      <c r="X528" t="s">
        <v>2902</v>
      </c>
      <c r="Y528" t="s">
        <v>2903</v>
      </c>
      <c r="Z528" t="s">
        <v>77</v>
      </c>
      <c r="AA528" t="str">
        <f>"12775-6049"</f>
        <v>12775-6049</v>
      </c>
      <c r="AB528" t="s">
        <v>78</v>
      </c>
      <c r="AC528" t="s">
        <v>79</v>
      </c>
      <c r="AD528" t="s">
        <v>75</v>
      </c>
      <c r="AE528" t="s">
        <v>80</v>
      </c>
      <c r="AG528" t="s">
        <v>81</v>
      </c>
    </row>
    <row r="529" spans="1:33" x14ac:dyDescent="0.25">
      <c r="A529" t="str">
        <f>"1326247453"</f>
        <v>1326247453</v>
      </c>
      <c r="B529" t="str">
        <f>"03347959"</f>
        <v>03347959</v>
      </c>
      <c r="C529" t="s">
        <v>8217</v>
      </c>
      <c r="D529" t="s">
        <v>8218</v>
      </c>
      <c r="E529" t="s">
        <v>8219</v>
      </c>
      <c r="G529" t="s">
        <v>6380</v>
      </c>
      <c r="H529" t="s">
        <v>4625</v>
      </c>
      <c r="J529" t="s">
        <v>6381</v>
      </c>
      <c r="L529" t="s">
        <v>83</v>
      </c>
      <c r="M529" t="s">
        <v>85</v>
      </c>
      <c r="R529" t="s">
        <v>8220</v>
      </c>
      <c r="W529" t="s">
        <v>8219</v>
      </c>
      <c r="X529" t="s">
        <v>2902</v>
      </c>
      <c r="Y529" t="s">
        <v>2903</v>
      </c>
      <c r="Z529" t="s">
        <v>77</v>
      </c>
      <c r="AA529" t="str">
        <f>"12775-6049"</f>
        <v>12775-6049</v>
      </c>
      <c r="AB529" t="s">
        <v>78</v>
      </c>
      <c r="AC529" t="s">
        <v>79</v>
      </c>
      <c r="AD529" t="s">
        <v>75</v>
      </c>
      <c r="AE529" t="s">
        <v>80</v>
      </c>
      <c r="AG529" t="s">
        <v>81</v>
      </c>
    </row>
    <row r="530" spans="1:33" x14ac:dyDescent="0.25">
      <c r="A530" t="str">
        <f>"1174563969"</f>
        <v>1174563969</v>
      </c>
      <c r="B530" t="str">
        <f>"03357908"</f>
        <v>03357908</v>
      </c>
      <c r="C530" t="s">
        <v>8221</v>
      </c>
      <c r="D530" t="s">
        <v>8222</v>
      </c>
      <c r="E530" t="s">
        <v>8223</v>
      </c>
      <c r="G530" t="s">
        <v>6380</v>
      </c>
      <c r="H530" t="s">
        <v>4625</v>
      </c>
      <c r="J530" t="s">
        <v>6381</v>
      </c>
      <c r="L530" t="s">
        <v>83</v>
      </c>
      <c r="M530" t="s">
        <v>85</v>
      </c>
      <c r="R530" t="s">
        <v>8223</v>
      </c>
      <c r="W530" t="s">
        <v>8224</v>
      </c>
      <c r="X530" t="s">
        <v>6503</v>
      </c>
      <c r="Y530" t="s">
        <v>1823</v>
      </c>
      <c r="Z530" t="s">
        <v>77</v>
      </c>
      <c r="AA530" t="str">
        <f>"10941-7001"</f>
        <v>10941-7001</v>
      </c>
      <c r="AB530" t="s">
        <v>78</v>
      </c>
      <c r="AC530" t="s">
        <v>79</v>
      </c>
      <c r="AD530" t="s">
        <v>75</v>
      </c>
      <c r="AE530" t="s">
        <v>80</v>
      </c>
      <c r="AG530" t="s">
        <v>81</v>
      </c>
    </row>
    <row r="531" spans="1:33" x14ac:dyDescent="0.25">
      <c r="A531" t="str">
        <f>"1417242413"</f>
        <v>1417242413</v>
      </c>
      <c r="B531" t="str">
        <f>"03360107"</f>
        <v>03360107</v>
      </c>
      <c r="C531" t="s">
        <v>8225</v>
      </c>
      <c r="D531" t="s">
        <v>8226</v>
      </c>
      <c r="E531" t="s">
        <v>8227</v>
      </c>
      <c r="G531" t="s">
        <v>6380</v>
      </c>
      <c r="H531" t="s">
        <v>4625</v>
      </c>
      <c r="J531" t="s">
        <v>6381</v>
      </c>
      <c r="L531" t="s">
        <v>83</v>
      </c>
      <c r="M531" t="s">
        <v>85</v>
      </c>
      <c r="R531" t="s">
        <v>8227</v>
      </c>
      <c r="W531" t="s">
        <v>8227</v>
      </c>
      <c r="X531" t="s">
        <v>1822</v>
      </c>
      <c r="Y531" t="s">
        <v>1823</v>
      </c>
      <c r="Z531" t="s">
        <v>77</v>
      </c>
      <c r="AA531" t="str">
        <f>"10941-4028"</f>
        <v>10941-4028</v>
      </c>
      <c r="AB531" t="s">
        <v>78</v>
      </c>
      <c r="AC531" t="s">
        <v>79</v>
      </c>
      <c r="AD531" t="s">
        <v>75</v>
      </c>
      <c r="AE531" t="s">
        <v>80</v>
      </c>
      <c r="AG531" t="s">
        <v>81</v>
      </c>
    </row>
    <row r="532" spans="1:33" x14ac:dyDescent="0.25">
      <c r="A532" t="str">
        <f>"1588838809"</f>
        <v>1588838809</v>
      </c>
      <c r="B532" t="str">
        <f>"03369037"</f>
        <v>03369037</v>
      </c>
      <c r="C532" t="s">
        <v>8228</v>
      </c>
      <c r="D532" t="s">
        <v>8229</v>
      </c>
      <c r="E532" t="s">
        <v>8230</v>
      </c>
      <c r="G532" t="s">
        <v>6380</v>
      </c>
      <c r="H532" t="s">
        <v>4625</v>
      </c>
      <c r="J532" t="s">
        <v>6381</v>
      </c>
      <c r="L532" t="s">
        <v>83</v>
      </c>
      <c r="M532" t="s">
        <v>85</v>
      </c>
      <c r="R532" t="s">
        <v>8231</v>
      </c>
      <c r="W532" t="s">
        <v>8230</v>
      </c>
      <c r="X532" t="s">
        <v>8232</v>
      </c>
      <c r="Y532" t="s">
        <v>2624</v>
      </c>
      <c r="Z532" t="s">
        <v>1784</v>
      </c>
      <c r="AA532" t="str">
        <f>"18840-0000"</f>
        <v>18840-0000</v>
      </c>
      <c r="AB532" t="s">
        <v>78</v>
      </c>
      <c r="AC532" t="s">
        <v>79</v>
      </c>
      <c r="AD532" t="s">
        <v>75</v>
      </c>
      <c r="AE532" t="s">
        <v>80</v>
      </c>
      <c r="AG532" t="s">
        <v>81</v>
      </c>
    </row>
    <row r="533" spans="1:33" x14ac:dyDescent="0.25">
      <c r="A533" t="str">
        <f>"1306010772"</f>
        <v>1306010772</v>
      </c>
      <c r="B533" t="str">
        <f>"03374238"</f>
        <v>03374238</v>
      </c>
      <c r="C533" t="s">
        <v>8233</v>
      </c>
      <c r="D533" t="s">
        <v>8234</v>
      </c>
      <c r="E533" t="s">
        <v>8235</v>
      </c>
      <c r="G533" t="s">
        <v>6380</v>
      </c>
      <c r="H533" t="s">
        <v>4625</v>
      </c>
      <c r="J533" t="s">
        <v>6381</v>
      </c>
      <c r="L533" t="s">
        <v>84</v>
      </c>
      <c r="M533" t="s">
        <v>85</v>
      </c>
      <c r="R533" t="s">
        <v>8236</v>
      </c>
      <c r="W533" t="s">
        <v>8235</v>
      </c>
      <c r="X533" t="s">
        <v>1822</v>
      </c>
      <c r="Y533" t="s">
        <v>1823</v>
      </c>
      <c r="Z533" t="s">
        <v>77</v>
      </c>
      <c r="AA533" t="str">
        <f>"10941-4028"</f>
        <v>10941-4028</v>
      </c>
      <c r="AB533" t="s">
        <v>78</v>
      </c>
      <c r="AC533" t="s">
        <v>79</v>
      </c>
      <c r="AD533" t="s">
        <v>75</v>
      </c>
      <c r="AE533" t="s">
        <v>80</v>
      </c>
      <c r="AG533" t="s">
        <v>81</v>
      </c>
    </row>
    <row r="534" spans="1:33" x14ac:dyDescent="0.25">
      <c r="A534" t="str">
        <f>"1528183613"</f>
        <v>1528183613</v>
      </c>
      <c r="B534" t="str">
        <f>"03030848"</f>
        <v>03030848</v>
      </c>
      <c r="C534" t="s">
        <v>8237</v>
      </c>
      <c r="D534" t="s">
        <v>8238</v>
      </c>
      <c r="E534" t="s">
        <v>8239</v>
      </c>
      <c r="L534" t="s">
        <v>84</v>
      </c>
      <c r="M534" t="s">
        <v>85</v>
      </c>
      <c r="R534" t="s">
        <v>8240</v>
      </c>
      <c r="W534" t="s">
        <v>8239</v>
      </c>
      <c r="X534" t="s">
        <v>6261</v>
      </c>
      <c r="Y534" t="s">
        <v>131</v>
      </c>
      <c r="Z534" t="s">
        <v>77</v>
      </c>
      <c r="AA534" t="str">
        <f>"10452-7929"</f>
        <v>10452-7929</v>
      </c>
      <c r="AB534" t="s">
        <v>78</v>
      </c>
      <c r="AC534" t="s">
        <v>79</v>
      </c>
      <c r="AD534" t="s">
        <v>75</v>
      </c>
      <c r="AE534" t="s">
        <v>80</v>
      </c>
      <c r="AG534" t="s">
        <v>81</v>
      </c>
    </row>
    <row r="535" spans="1:33" x14ac:dyDescent="0.25">
      <c r="A535" t="str">
        <f>"1699909721"</f>
        <v>1699909721</v>
      </c>
      <c r="B535" t="str">
        <f>"03127704"</f>
        <v>03127704</v>
      </c>
      <c r="C535" t="s">
        <v>8241</v>
      </c>
      <c r="D535" t="s">
        <v>8242</v>
      </c>
      <c r="E535" t="s">
        <v>8243</v>
      </c>
      <c r="L535" t="s">
        <v>84</v>
      </c>
      <c r="M535" t="s">
        <v>75</v>
      </c>
      <c r="R535" t="s">
        <v>8244</v>
      </c>
      <c r="W535" t="s">
        <v>8244</v>
      </c>
      <c r="X535" t="s">
        <v>2838</v>
      </c>
      <c r="Y535" t="s">
        <v>97</v>
      </c>
      <c r="Z535" t="s">
        <v>77</v>
      </c>
      <c r="AA535" t="str">
        <f>"10003-3105"</f>
        <v>10003-3105</v>
      </c>
      <c r="AB535" t="s">
        <v>78</v>
      </c>
      <c r="AC535" t="s">
        <v>79</v>
      </c>
      <c r="AD535" t="s">
        <v>75</v>
      </c>
      <c r="AE535" t="s">
        <v>80</v>
      </c>
      <c r="AG535" t="s">
        <v>81</v>
      </c>
    </row>
    <row r="536" spans="1:33" x14ac:dyDescent="0.25">
      <c r="A536" t="str">
        <f>"1144271917"</f>
        <v>1144271917</v>
      </c>
      <c r="B536" t="str">
        <f>"01752267"</f>
        <v>01752267</v>
      </c>
      <c r="C536" t="s">
        <v>8245</v>
      </c>
      <c r="D536" t="s">
        <v>8246</v>
      </c>
      <c r="E536" t="s">
        <v>8247</v>
      </c>
      <c r="G536" t="s">
        <v>8248</v>
      </c>
      <c r="H536" t="s">
        <v>8249</v>
      </c>
      <c r="I536">
        <v>2626</v>
      </c>
      <c r="J536" t="s">
        <v>8250</v>
      </c>
      <c r="L536" t="s">
        <v>84</v>
      </c>
      <c r="M536" t="s">
        <v>75</v>
      </c>
      <c r="R536" t="s">
        <v>8251</v>
      </c>
      <c r="W536" t="s">
        <v>8247</v>
      </c>
      <c r="X536" t="s">
        <v>169</v>
      </c>
      <c r="Y536" t="s">
        <v>155</v>
      </c>
      <c r="Z536" t="s">
        <v>77</v>
      </c>
      <c r="AA536" t="str">
        <f>"10305-3436"</f>
        <v>10305-3436</v>
      </c>
      <c r="AB536" t="s">
        <v>78</v>
      </c>
      <c r="AC536" t="s">
        <v>79</v>
      </c>
      <c r="AD536" t="s">
        <v>75</v>
      </c>
      <c r="AE536" t="s">
        <v>80</v>
      </c>
      <c r="AG536" t="s">
        <v>81</v>
      </c>
    </row>
    <row r="537" spans="1:33" x14ac:dyDescent="0.25">
      <c r="A537" t="str">
        <f>"1194782300"</f>
        <v>1194782300</v>
      </c>
      <c r="B537" t="str">
        <f>"02724972"</f>
        <v>02724972</v>
      </c>
      <c r="C537" t="s">
        <v>8252</v>
      </c>
      <c r="D537" t="s">
        <v>8253</v>
      </c>
      <c r="E537" t="s">
        <v>8254</v>
      </c>
      <c r="G537" t="s">
        <v>8248</v>
      </c>
      <c r="H537" t="s">
        <v>8249</v>
      </c>
      <c r="I537">
        <v>2626</v>
      </c>
      <c r="J537" t="s">
        <v>8250</v>
      </c>
      <c r="L537" t="s">
        <v>84</v>
      </c>
      <c r="M537" t="s">
        <v>75</v>
      </c>
      <c r="R537" t="s">
        <v>8255</v>
      </c>
      <c r="W537" t="s">
        <v>8255</v>
      </c>
      <c r="X537" t="s">
        <v>169</v>
      </c>
      <c r="Y537" t="s">
        <v>155</v>
      </c>
      <c r="Z537" t="s">
        <v>77</v>
      </c>
      <c r="AA537" t="str">
        <f>"10305-3436"</f>
        <v>10305-3436</v>
      </c>
      <c r="AB537" t="s">
        <v>78</v>
      </c>
      <c r="AC537" t="s">
        <v>79</v>
      </c>
      <c r="AD537" t="s">
        <v>75</v>
      </c>
      <c r="AE537" t="s">
        <v>80</v>
      </c>
      <c r="AG537" t="s">
        <v>81</v>
      </c>
    </row>
    <row r="538" spans="1:33" x14ac:dyDescent="0.25">
      <c r="A538" t="str">
        <f>"1407063480"</f>
        <v>1407063480</v>
      </c>
      <c r="B538" t="str">
        <f>"02016306"</f>
        <v>02016306</v>
      </c>
      <c r="C538" t="s">
        <v>8256</v>
      </c>
      <c r="D538" t="s">
        <v>4072</v>
      </c>
      <c r="E538" t="s">
        <v>4073</v>
      </c>
      <c r="G538" t="s">
        <v>6283</v>
      </c>
      <c r="H538" t="s">
        <v>4075</v>
      </c>
      <c r="I538">
        <v>249</v>
      </c>
      <c r="J538" t="s">
        <v>4076</v>
      </c>
      <c r="L538" t="s">
        <v>74</v>
      </c>
      <c r="M538" t="s">
        <v>85</v>
      </c>
      <c r="R538" t="s">
        <v>4077</v>
      </c>
      <c r="W538" t="s">
        <v>4073</v>
      </c>
      <c r="X538" t="s">
        <v>4078</v>
      </c>
      <c r="Y538" t="s">
        <v>97</v>
      </c>
      <c r="Z538" t="s">
        <v>77</v>
      </c>
      <c r="AA538" t="str">
        <f>"10001-2823"</f>
        <v>10001-2823</v>
      </c>
      <c r="AB538" t="s">
        <v>82</v>
      </c>
      <c r="AC538" t="s">
        <v>79</v>
      </c>
      <c r="AD538" t="s">
        <v>75</v>
      </c>
      <c r="AE538" t="s">
        <v>80</v>
      </c>
      <c r="AG538" t="s">
        <v>81</v>
      </c>
    </row>
    <row r="539" spans="1:33" x14ac:dyDescent="0.25">
      <c r="A539" t="str">
        <f>"1568431179"</f>
        <v>1568431179</v>
      </c>
      <c r="B539" t="str">
        <f>"01686873"</f>
        <v>01686873</v>
      </c>
      <c r="C539" t="s">
        <v>8257</v>
      </c>
      <c r="D539" t="s">
        <v>8258</v>
      </c>
      <c r="E539" t="s">
        <v>8259</v>
      </c>
      <c r="G539" t="s">
        <v>8260</v>
      </c>
      <c r="H539" t="s">
        <v>8261</v>
      </c>
      <c r="J539" t="s">
        <v>8262</v>
      </c>
      <c r="L539" t="s">
        <v>84</v>
      </c>
      <c r="M539" t="s">
        <v>75</v>
      </c>
      <c r="R539" t="s">
        <v>8263</v>
      </c>
      <c r="W539" t="s">
        <v>8259</v>
      </c>
      <c r="X539" t="s">
        <v>4734</v>
      </c>
      <c r="Y539" t="s">
        <v>856</v>
      </c>
      <c r="Z539" t="s">
        <v>77</v>
      </c>
      <c r="AA539" t="str">
        <f>"10550-2026"</f>
        <v>10550-2026</v>
      </c>
      <c r="AB539" t="s">
        <v>78</v>
      </c>
      <c r="AC539" t="s">
        <v>79</v>
      </c>
      <c r="AD539" t="s">
        <v>75</v>
      </c>
      <c r="AE539" t="s">
        <v>80</v>
      </c>
      <c r="AG539" t="s">
        <v>81</v>
      </c>
    </row>
    <row r="540" spans="1:33" x14ac:dyDescent="0.25">
      <c r="A540" t="str">
        <f>"1588652309"</f>
        <v>1588652309</v>
      </c>
      <c r="B540" t="str">
        <f>"01701739"</f>
        <v>01701739</v>
      </c>
      <c r="C540" t="s">
        <v>8264</v>
      </c>
      <c r="D540" t="s">
        <v>5762</v>
      </c>
      <c r="E540" t="s">
        <v>5763</v>
      </c>
      <c r="H540" t="s">
        <v>5764</v>
      </c>
      <c r="J540" t="s">
        <v>8265</v>
      </c>
      <c r="L540" t="s">
        <v>74</v>
      </c>
      <c r="M540" t="s">
        <v>75</v>
      </c>
      <c r="R540" t="s">
        <v>5765</v>
      </c>
      <c r="W540" t="s">
        <v>5763</v>
      </c>
      <c r="X540" t="s">
        <v>5766</v>
      </c>
      <c r="Y540" t="s">
        <v>180</v>
      </c>
      <c r="Z540" t="s">
        <v>77</v>
      </c>
      <c r="AA540" t="str">
        <f>"10704-1092"</f>
        <v>10704-1092</v>
      </c>
      <c r="AB540" t="s">
        <v>128</v>
      </c>
      <c r="AC540" t="s">
        <v>79</v>
      </c>
      <c r="AD540" t="s">
        <v>75</v>
      </c>
      <c r="AE540" t="s">
        <v>80</v>
      </c>
      <c r="AG540" t="s">
        <v>81</v>
      </c>
    </row>
    <row r="541" spans="1:33" x14ac:dyDescent="0.25">
      <c r="A541" t="str">
        <f>"1609032291"</f>
        <v>1609032291</v>
      </c>
      <c r="B541" t="str">
        <f>"03706461"</f>
        <v>03706461</v>
      </c>
      <c r="C541" t="s">
        <v>8266</v>
      </c>
      <c r="D541" t="s">
        <v>8267</v>
      </c>
      <c r="E541" t="s">
        <v>8268</v>
      </c>
      <c r="G541" t="s">
        <v>8269</v>
      </c>
      <c r="H541" t="s">
        <v>8270</v>
      </c>
      <c r="J541" t="s">
        <v>8271</v>
      </c>
      <c r="L541" t="s">
        <v>84</v>
      </c>
      <c r="M541" t="s">
        <v>75</v>
      </c>
      <c r="R541" t="s">
        <v>8272</v>
      </c>
      <c r="W541" t="s">
        <v>8268</v>
      </c>
      <c r="X541" t="s">
        <v>4501</v>
      </c>
      <c r="Y541" t="s">
        <v>131</v>
      </c>
      <c r="Z541" t="s">
        <v>77</v>
      </c>
      <c r="AA541" t="str">
        <f>"10463-5181"</f>
        <v>10463-5181</v>
      </c>
      <c r="AB541" t="s">
        <v>78</v>
      </c>
      <c r="AC541" t="s">
        <v>79</v>
      </c>
      <c r="AD541" t="s">
        <v>75</v>
      </c>
      <c r="AE541" t="s">
        <v>80</v>
      </c>
      <c r="AG541" t="s">
        <v>81</v>
      </c>
    </row>
    <row r="542" spans="1:33" x14ac:dyDescent="0.25">
      <c r="A542" t="str">
        <f>"1033463823"</f>
        <v>1033463823</v>
      </c>
      <c r="B542" t="str">
        <f>"03792541"</f>
        <v>03792541</v>
      </c>
      <c r="C542" t="s">
        <v>8273</v>
      </c>
      <c r="D542" t="s">
        <v>4797</v>
      </c>
      <c r="E542" t="s">
        <v>4798</v>
      </c>
      <c r="G542" t="s">
        <v>6278</v>
      </c>
      <c r="H542" t="s">
        <v>6279</v>
      </c>
      <c r="J542" t="s">
        <v>6280</v>
      </c>
      <c r="L542" t="s">
        <v>74</v>
      </c>
      <c r="M542" t="s">
        <v>75</v>
      </c>
      <c r="R542" t="s">
        <v>4798</v>
      </c>
      <c r="W542" t="s">
        <v>4798</v>
      </c>
      <c r="X542" t="s">
        <v>4799</v>
      </c>
      <c r="Y542" t="s">
        <v>87</v>
      </c>
      <c r="Z542" t="s">
        <v>77</v>
      </c>
      <c r="AA542" t="str">
        <f>"11234-2625"</f>
        <v>11234-2625</v>
      </c>
      <c r="AB542" t="s">
        <v>78</v>
      </c>
      <c r="AC542" t="s">
        <v>79</v>
      </c>
      <c r="AD542" t="s">
        <v>75</v>
      </c>
      <c r="AE542" t="s">
        <v>80</v>
      </c>
      <c r="AG542" t="s">
        <v>81</v>
      </c>
    </row>
    <row r="543" spans="1:33" x14ac:dyDescent="0.25">
      <c r="A543" t="str">
        <f>"1437108982"</f>
        <v>1437108982</v>
      </c>
      <c r="B543" t="str">
        <f>"01016802"</f>
        <v>01016802</v>
      </c>
      <c r="C543" t="s">
        <v>8274</v>
      </c>
      <c r="D543" t="s">
        <v>1548</v>
      </c>
      <c r="E543" t="s">
        <v>1547</v>
      </c>
      <c r="G543" t="s">
        <v>6930</v>
      </c>
      <c r="H543" t="s">
        <v>6931</v>
      </c>
      <c r="J543" t="s">
        <v>6932</v>
      </c>
      <c r="L543" t="s">
        <v>74</v>
      </c>
      <c r="M543" t="s">
        <v>75</v>
      </c>
      <c r="R543" t="s">
        <v>1547</v>
      </c>
      <c r="W543" t="s">
        <v>1547</v>
      </c>
      <c r="X543" t="s">
        <v>1531</v>
      </c>
      <c r="Y543" t="s">
        <v>97</v>
      </c>
      <c r="Z543" t="s">
        <v>77</v>
      </c>
      <c r="AA543" t="str">
        <f>"10036-8005"</f>
        <v>10036-8005</v>
      </c>
      <c r="AB543" t="s">
        <v>108</v>
      </c>
      <c r="AC543" t="s">
        <v>79</v>
      </c>
      <c r="AD543" t="s">
        <v>75</v>
      </c>
      <c r="AE543" t="s">
        <v>80</v>
      </c>
      <c r="AG543" t="s">
        <v>81</v>
      </c>
    </row>
    <row r="544" spans="1:33" x14ac:dyDescent="0.25">
      <c r="A544" t="str">
        <f>"1710063623"</f>
        <v>1710063623</v>
      </c>
      <c r="B544" t="str">
        <f>"01095270"</f>
        <v>01095270</v>
      </c>
      <c r="C544" t="s">
        <v>8275</v>
      </c>
      <c r="D544" t="s">
        <v>6258</v>
      </c>
      <c r="E544" t="s">
        <v>6259</v>
      </c>
      <c r="L544" t="s">
        <v>143</v>
      </c>
      <c r="M544" t="s">
        <v>85</v>
      </c>
      <c r="R544" t="s">
        <v>6260</v>
      </c>
      <c r="W544" t="s">
        <v>6259</v>
      </c>
      <c r="X544" t="s">
        <v>6261</v>
      </c>
      <c r="Y544" t="s">
        <v>131</v>
      </c>
      <c r="Z544" t="s">
        <v>77</v>
      </c>
      <c r="AA544" t="str">
        <f>"10452-7929"</f>
        <v>10452-7929</v>
      </c>
      <c r="AB544" t="s">
        <v>78</v>
      </c>
      <c r="AC544" t="s">
        <v>79</v>
      </c>
      <c r="AD544" t="s">
        <v>75</v>
      </c>
      <c r="AE544" t="s">
        <v>80</v>
      </c>
      <c r="AG544" t="s">
        <v>81</v>
      </c>
    </row>
    <row r="545" spans="1:33" x14ac:dyDescent="0.25">
      <c r="A545" t="str">
        <f>"1285883652"</f>
        <v>1285883652</v>
      </c>
      <c r="B545" t="str">
        <f>"03040255"</f>
        <v>03040255</v>
      </c>
      <c r="C545" t="s">
        <v>8276</v>
      </c>
      <c r="D545" t="s">
        <v>8277</v>
      </c>
      <c r="E545" t="s">
        <v>8278</v>
      </c>
      <c r="L545" t="s">
        <v>105</v>
      </c>
      <c r="M545" t="s">
        <v>85</v>
      </c>
      <c r="R545" t="s">
        <v>8279</v>
      </c>
      <c r="W545" t="s">
        <v>8280</v>
      </c>
      <c r="X545" t="s">
        <v>1010</v>
      </c>
      <c r="Y545" t="s">
        <v>97</v>
      </c>
      <c r="Z545" t="s">
        <v>77</v>
      </c>
      <c r="AA545" t="str">
        <f>"10035-3832"</f>
        <v>10035-3832</v>
      </c>
      <c r="AB545" t="s">
        <v>78</v>
      </c>
      <c r="AC545" t="s">
        <v>79</v>
      </c>
      <c r="AD545" t="s">
        <v>75</v>
      </c>
      <c r="AE545" t="s">
        <v>80</v>
      </c>
      <c r="AG545" t="s">
        <v>81</v>
      </c>
    </row>
    <row r="546" spans="1:33" x14ac:dyDescent="0.25">
      <c r="A546" t="str">
        <f>"1346492105"</f>
        <v>1346492105</v>
      </c>
      <c r="B546" t="str">
        <f>"03623232"</f>
        <v>03623232</v>
      </c>
      <c r="C546" t="s">
        <v>8281</v>
      </c>
      <c r="D546" t="s">
        <v>8282</v>
      </c>
      <c r="E546" t="s">
        <v>8283</v>
      </c>
      <c r="L546" t="s">
        <v>143</v>
      </c>
      <c r="M546" t="s">
        <v>75</v>
      </c>
      <c r="R546" t="s">
        <v>8283</v>
      </c>
      <c r="W546" t="s">
        <v>8283</v>
      </c>
      <c r="X546" t="s">
        <v>1010</v>
      </c>
      <c r="Y546" t="s">
        <v>97</v>
      </c>
      <c r="Z546" t="s">
        <v>77</v>
      </c>
      <c r="AA546" t="str">
        <f>"10035-3832"</f>
        <v>10035-3832</v>
      </c>
      <c r="AB546" t="s">
        <v>78</v>
      </c>
      <c r="AC546" t="s">
        <v>79</v>
      </c>
      <c r="AD546" t="s">
        <v>75</v>
      </c>
      <c r="AE546" t="s">
        <v>80</v>
      </c>
      <c r="AG546" t="s">
        <v>81</v>
      </c>
    </row>
    <row r="547" spans="1:33" x14ac:dyDescent="0.25">
      <c r="A547" t="str">
        <f>"1134423320"</f>
        <v>1134423320</v>
      </c>
      <c r="B547" t="str">
        <f>"03716841"</f>
        <v>03716841</v>
      </c>
      <c r="C547" t="s">
        <v>8284</v>
      </c>
      <c r="D547" t="s">
        <v>8285</v>
      </c>
      <c r="E547" t="s">
        <v>8286</v>
      </c>
      <c r="L547" t="s">
        <v>105</v>
      </c>
      <c r="M547" t="s">
        <v>85</v>
      </c>
      <c r="R547" t="s">
        <v>8287</v>
      </c>
      <c r="W547" t="s">
        <v>8288</v>
      </c>
      <c r="X547" t="s">
        <v>1010</v>
      </c>
      <c r="Y547" t="s">
        <v>97</v>
      </c>
      <c r="Z547" t="s">
        <v>77</v>
      </c>
      <c r="AA547" t="str">
        <f>"10035-3832"</f>
        <v>10035-3832</v>
      </c>
      <c r="AB547" t="s">
        <v>78</v>
      </c>
      <c r="AC547" t="s">
        <v>79</v>
      </c>
      <c r="AD547" t="s">
        <v>75</v>
      </c>
      <c r="AE547" t="s">
        <v>80</v>
      </c>
      <c r="AG547" t="s">
        <v>81</v>
      </c>
    </row>
    <row r="548" spans="1:33" x14ac:dyDescent="0.25">
      <c r="A548" t="str">
        <f>"1942372529"</f>
        <v>1942372529</v>
      </c>
      <c r="B548" t="str">
        <f>"02443603"</f>
        <v>02443603</v>
      </c>
      <c r="C548" t="s">
        <v>8289</v>
      </c>
      <c r="D548" t="s">
        <v>8290</v>
      </c>
      <c r="E548" t="s">
        <v>8291</v>
      </c>
      <c r="G548" t="s">
        <v>7985</v>
      </c>
      <c r="H548" t="s">
        <v>3624</v>
      </c>
      <c r="J548" t="s">
        <v>3625</v>
      </c>
      <c r="L548" t="s">
        <v>83</v>
      </c>
      <c r="M548" t="s">
        <v>75</v>
      </c>
      <c r="R548" t="s">
        <v>5767</v>
      </c>
      <c r="W548" t="s">
        <v>8291</v>
      </c>
      <c r="X548" t="s">
        <v>3007</v>
      </c>
      <c r="Y548" t="s">
        <v>97</v>
      </c>
      <c r="Z548" t="s">
        <v>77</v>
      </c>
      <c r="AA548" t="str">
        <f>"10023-6601"</f>
        <v>10023-6601</v>
      </c>
      <c r="AB548" t="s">
        <v>108</v>
      </c>
      <c r="AC548" t="s">
        <v>79</v>
      </c>
      <c r="AD548" t="s">
        <v>75</v>
      </c>
      <c r="AE548" t="s">
        <v>80</v>
      </c>
      <c r="AG548" t="s">
        <v>81</v>
      </c>
    </row>
    <row r="549" spans="1:33" x14ac:dyDescent="0.25">
      <c r="C549" t="s">
        <v>8292</v>
      </c>
      <c r="G549" t="s">
        <v>6278</v>
      </c>
      <c r="H549" t="s">
        <v>6279</v>
      </c>
      <c r="J549" t="s">
        <v>6280</v>
      </c>
      <c r="K549" t="s">
        <v>99</v>
      </c>
      <c r="L549" t="s">
        <v>100</v>
      </c>
      <c r="M549" t="s">
        <v>75</v>
      </c>
      <c r="N549" t="s">
        <v>7025</v>
      </c>
      <c r="O549" t="s">
        <v>6410</v>
      </c>
      <c r="P549" t="s">
        <v>77</v>
      </c>
      <c r="Q549" t="str">
        <f>"10003"</f>
        <v>10003</v>
      </c>
      <c r="AC549" t="s">
        <v>79</v>
      </c>
      <c r="AD549" t="s">
        <v>75</v>
      </c>
      <c r="AE549" t="s">
        <v>101</v>
      </c>
      <c r="AG549" t="s">
        <v>81</v>
      </c>
    </row>
    <row r="550" spans="1:33" x14ac:dyDescent="0.25">
      <c r="A550" t="str">
        <f>"1467799163"</f>
        <v>1467799163</v>
      </c>
      <c r="B550" t="str">
        <f>"03540732"</f>
        <v>03540732</v>
      </c>
      <c r="C550" t="s">
        <v>8293</v>
      </c>
      <c r="D550" t="s">
        <v>8294</v>
      </c>
      <c r="E550" t="s">
        <v>8295</v>
      </c>
      <c r="G550" t="s">
        <v>6380</v>
      </c>
      <c r="H550" t="s">
        <v>4625</v>
      </c>
      <c r="J550" t="s">
        <v>6381</v>
      </c>
      <c r="L550" t="s">
        <v>84</v>
      </c>
      <c r="M550" t="s">
        <v>85</v>
      </c>
      <c r="R550" t="s">
        <v>8296</v>
      </c>
      <c r="W550" t="s">
        <v>8295</v>
      </c>
      <c r="X550" t="s">
        <v>1822</v>
      </c>
      <c r="Y550" t="s">
        <v>1823</v>
      </c>
      <c r="Z550" t="s">
        <v>77</v>
      </c>
      <c r="AA550" t="str">
        <f>"10941-4028"</f>
        <v>10941-4028</v>
      </c>
      <c r="AB550" t="s">
        <v>78</v>
      </c>
      <c r="AC550" t="s">
        <v>79</v>
      </c>
      <c r="AD550" t="s">
        <v>75</v>
      </c>
      <c r="AE550" t="s">
        <v>80</v>
      </c>
      <c r="AG550" t="s">
        <v>81</v>
      </c>
    </row>
    <row r="551" spans="1:33" x14ac:dyDescent="0.25">
      <c r="A551" t="str">
        <f>"1265750343"</f>
        <v>1265750343</v>
      </c>
      <c r="B551" t="str">
        <f>"03570830"</f>
        <v>03570830</v>
      </c>
      <c r="C551" t="s">
        <v>8297</v>
      </c>
      <c r="D551" t="s">
        <v>8298</v>
      </c>
      <c r="E551" t="s">
        <v>8299</v>
      </c>
      <c r="G551" t="s">
        <v>6380</v>
      </c>
      <c r="H551" t="s">
        <v>4625</v>
      </c>
      <c r="J551" t="s">
        <v>6381</v>
      </c>
      <c r="L551" t="s">
        <v>83</v>
      </c>
      <c r="M551" t="s">
        <v>85</v>
      </c>
      <c r="R551" t="s">
        <v>8300</v>
      </c>
      <c r="W551" t="s">
        <v>8299</v>
      </c>
      <c r="X551" t="s">
        <v>1822</v>
      </c>
      <c r="Y551" t="s">
        <v>1823</v>
      </c>
      <c r="Z551" t="s">
        <v>77</v>
      </c>
      <c r="AA551" t="str">
        <f>"10941-4028"</f>
        <v>10941-4028</v>
      </c>
      <c r="AB551" t="s">
        <v>78</v>
      </c>
      <c r="AC551" t="s">
        <v>79</v>
      </c>
      <c r="AD551" t="s">
        <v>75</v>
      </c>
      <c r="AE551" t="s">
        <v>80</v>
      </c>
      <c r="AG551" t="s">
        <v>81</v>
      </c>
    </row>
    <row r="552" spans="1:33" x14ac:dyDescent="0.25">
      <c r="A552" t="str">
        <f>"1114166220"</f>
        <v>1114166220</v>
      </c>
      <c r="B552" t="str">
        <f>"03573131"</f>
        <v>03573131</v>
      </c>
      <c r="C552" t="s">
        <v>8301</v>
      </c>
      <c r="D552" t="s">
        <v>8302</v>
      </c>
      <c r="E552" t="s">
        <v>8303</v>
      </c>
      <c r="G552" t="s">
        <v>6380</v>
      </c>
      <c r="H552" t="s">
        <v>4625</v>
      </c>
      <c r="J552" t="s">
        <v>6381</v>
      </c>
      <c r="L552" t="s">
        <v>83</v>
      </c>
      <c r="M552" t="s">
        <v>85</v>
      </c>
      <c r="R552" t="s">
        <v>8304</v>
      </c>
      <c r="W552" t="s">
        <v>8305</v>
      </c>
      <c r="X552" t="s">
        <v>1822</v>
      </c>
      <c r="Y552" t="s">
        <v>1823</v>
      </c>
      <c r="Z552" t="s">
        <v>77</v>
      </c>
      <c r="AA552" t="str">
        <f>"10941-4028"</f>
        <v>10941-4028</v>
      </c>
      <c r="AB552" t="s">
        <v>78</v>
      </c>
      <c r="AC552" t="s">
        <v>79</v>
      </c>
      <c r="AD552" t="s">
        <v>75</v>
      </c>
      <c r="AE552" t="s">
        <v>80</v>
      </c>
      <c r="AG552" t="s">
        <v>81</v>
      </c>
    </row>
    <row r="553" spans="1:33" x14ac:dyDescent="0.25">
      <c r="A553" t="str">
        <f>"1538463799"</f>
        <v>1538463799</v>
      </c>
      <c r="B553" t="str">
        <f>"03583539"</f>
        <v>03583539</v>
      </c>
      <c r="C553" t="s">
        <v>8306</v>
      </c>
      <c r="D553" t="s">
        <v>8307</v>
      </c>
      <c r="E553" t="s">
        <v>8308</v>
      </c>
      <c r="G553" t="s">
        <v>6380</v>
      </c>
      <c r="H553" t="s">
        <v>4625</v>
      </c>
      <c r="J553" t="s">
        <v>6381</v>
      </c>
      <c r="L553" t="s">
        <v>83</v>
      </c>
      <c r="M553" t="s">
        <v>75</v>
      </c>
      <c r="R553" t="s">
        <v>8309</v>
      </c>
      <c r="W553" t="s">
        <v>8310</v>
      </c>
      <c r="X553" t="s">
        <v>2902</v>
      </c>
      <c r="Y553" t="s">
        <v>2903</v>
      </c>
      <c r="Z553" t="s">
        <v>77</v>
      </c>
      <c r="AA553" t="str">
        <f>"12775-6049"</f>
        <v>12775-6049</v>
      </c>
      <c r="AB553" t="s">
        <v>78</v>
      </c>
      <c r="AC553" t="s">
        <v>79</v>
      </c>
      <c r="AD553" t="s">
        <v>75</v>
      </c>
      <c r="AE553" t="s">
        <v>80</v>
      </c>
      <c r="AG553" t="s">
        <v>81</v>
      </c>
    </row>
    <row r="554" spans="1:33" x14ac:dyDescent="0.25">
      <c r="A554" t="str">
        <f>"1497981187"</f>
        <v>1497981187</v>
      </c>
      <c r="B554" t="str">
        <f>"03595746"</f>
        <v>03595746</v>
      </c>
      <c r="C554" t="s">
        <v>8311</v>
      </c>
      <c r="D554" t="s">
        <v>8312</v>
      </c>
      <c r="E554" t="s">
        <v>8313</v>
      </c>
      <c r="G554" t="s">
        <v>6380</v>
      </c>
      <c r="H554" t="s">
        <v>4625</v>
      </c>
      <c r="J554" t="s">
        <v>6381</v>
      </c>
      <c r="L554" t="s">
        <v>84</v>
      </c>
      <c r="M554" t="s">
        <v>85</v>
      </c>
      <c r="R554" t="s">
        <v>8314</v>
      </c>
      <c r="W554" t="s">
        <v>8313</v>
      </c>
      <c r="X554" t="s">
        <v>1822</v>
      </c>
      <c r="Y554" t="s">
        <v>1823</v>
      </c>
      <c r="Z554" t="s">
        <v>77</v>
      </c>
      <c r="AA554" t="str">
        <f t="shared" ref="AA554:AA559" si="0">"10941-4028"</f>
        <v>10941-4028</v>
      </c>
      <c r="AB554" t="s">
        <v>78</v>
      </c>
      <c r="AC554" t="s">
        <v>79</v>
      </c>
      <c r="AD554" t="s">
        <v>75</v>
      </c>
      <c r="AE554" t="s">
        <v>80</v>
      </c>
      <c r="AG554" t="s">
        <v>81</v>
      </c>
    </row>
    <row r="555" spans="1:33" x14ac:dyDescent="0.25">
      <c r="A555" t="str">
        <f>"1013172279"</f>
        <v>1013172279</v>
      </c>
      <c r="B555" t="str">
        <f>"03600731"</f>
        <v>03600731</v>
      </c>
      <c r="C555" t="s">
        <v>8315</v>
      </c>
      <c r="D555" t="s">
        <v>8316</v>
      </c>
      <c r="E555" t="s">
        <v>8317</v>
      </c>
      <c r="G555" t="s">
        <v>6380</v>
      </c>
      <c r="H555" t="s">
        <v>4625</v>
      </c>
      <c r="J555" t="s">
        <v>6381</v>
      </c>
      <c r="L555" t="s">
        <v>143</v>
      </c>
      <c r="M555" t="s">
        <v>85</v>
      </c>
      <c r="R555" t="s">
        <v>8318</v>
      </c>
      <c r="W555" t="s">
        <v>8317</v>
      </c>
      <c r="X555" t="s">
        <v>1822</v>
      </c>
      <c r="Y555" t="s">
        <v>1823</v>
      </c>
      <c r="Z555" t="s">
        <v>77</v>
      </c>
      <c r="AA555" t="str">
        <f t="shared" si="0"/>
        <v>10941-4028</v>
      </c>
      <c r="AB555" t="s">
        <v>78</v>
      </c>
      <c r="AC555" t="s">
        <v>79</v>
      </c>
      <c r="AD555" t="s">
        <v>75</v>
      </c>
      <c r="AE555" t="s">
        <v>80</v>
      </c>
      <c r="AG555" t="s">
        <v>81</v>
      </c>
    </row>
    <row r="556" spans="1:33" x14ac:dyDescent="0.25">
      <c r="A556" t="str">
        <f>"1295909786"</f>
        <v>1295909786</v>
      </c>
      <c r="B556" t="str">
        <f>"03611474"</f>
        <v>03611474</v>
      </c>
      <c r="C556" t="s">
        <v>8319</v>
      </c>
      <c r="D556" t="s">
        <v>8320</v>
      </c>
      <c r="E556" t="s">
        <v>8321</v>
      </c>
      <c r="G556" t="s">
        <v>6380</v>
      </c>
      <c r="H556" t="s">
        <v>4625</v>
      </c>
      <c r="J556" t="s">
        <v>6381</v>
      </c>
      <c r="L556" t="s">
        <v>143</v>
      </c>
      <c r="M556" t="s">
        <v>85</v>
      </c>
      <c r="R556" t="s">
        <v>8322</v>
      </c>
      <c r="W556" t="s">
        <v>8321</v>
      </c>
      <c r="X556" t="s">
        <v>1822</v>
      </c>
      <c r="Y556" t="s">
        <v>1823</v>
      </c>
      <c r="Z556" t="s">
        <v>77</v>
      </c>
      <c r="AA556" t="str">
        <f t="shared" si="0"/>
        <v>10941-4028</v>
      </c>
      <c r="AB556" t="s">
        <v>78</v>
      </c>
      <c r="AC556" t="s">
        <v>79</v>
      </c>
      <c r="AD556" t="s">
        <v>75</v>
      </c>
      <c r="AE556" t="s">
        <v>80</v>
      </c>
      <c r="AG556" t="s">
        <v>81</v>
      </c>
    </row>
    <row r="557" spans="1:33" x14ac:dyDescent="0.25">
      <c r="A557" t="str">
        <f>"1881861342"</f>
        <v>1881861342</v>
      </c>
      <c r="B557" t="str">
        <f>"03612888"</f>
        <v>03612888</v>
      </c>
      <c r="C557" t="s">
        <v>8323</v>
      </c>
      <c r="D557" t="s">
        <v>8324</v>
      </c>
      <c r="E557" t="s">
        <v>8325</v>
      </c>
      <c r="G557" t="s">
        <v>6380</v>
      </c>
      <c r="H557" t="s">
        <v>4625</v>
      </c>
      <c r="J557" t="s">
        <v>6381</v>
      </c>
      <c r="L557" t="s">
        <v>83</v>
      </c>
      <c r="M557" t="s">
        <v>85</v>
      </c>
      <c r="R557" t="s">
        <v>8325</v>
      </c>
      <c r="W557" t="s">
        <v>8325</v>
      </c>
      <c r="X557" t="s">
        <v>1822</v>
      </c>
      <c r="Y557" t="s">
        <v>1823</v>
      </c>
      <c r="Z557" t="s">
        <v>77</v>
      </c>
      <c r="AA557" t="str">
        <f t="shared" si="0"/>
        <v>10941-4028</v>
      </c>
      <c r="AB557" t="s">
        <v>78</v>
      </c>
      <c r="AC557" t="s">
        <v>79</v>
      </c>
      <c r="AD557" t="s">
        <v>75</v>
      </c>
      <c r="AE557" t="s">
        <v>80</v>
      </c>
      <c r="AG557" t="s">
        <v>81</v>
      </c>
    </row>
    <row r="558" spans="1:33" x14ac:dyDescent="0.25">
      <c r="A558" t="str">
        <f>"1770831984"</f>
        <v>1770831984</v>
      </c>
      <c r="B558" t="str">
        <f>"03616795"</f>
        <v>03616795</v>
      </c>
      <c r="C558" t="s">
        <v>8326</v>
      </c>
      <c r="D558" t="s">
        <v>8327</v>
      </c>
      <c r="E558" t="s">
        <v>8328</v>
      </c>
      <c r="G558" t="s">
        <v>6380</v>
      </c>
      <c r="H558" t="s">
        <v>4625</v>
      </c>
      <c r="J558" t="s">
        <v>6381</v>
      </c>
      <c r="L558" t="s">
        <v>83</v>
      </c>
      <c r="M558" t="s">
        <v>85</v>
      </c>
      <c r="R558" t="s">
        <v>8329</v>
      </c>
      <c r="W558" t="s">
        <v>8329</v>
      </c>
      <c r="X558" t="s">
        <v>1822</v>
      </c>
      <c r="Y558" t="s">
        <v>1823</v>
      </c>
      <c r="Z558" t="s">
        <v>77</v>
      </c>
      <c r="AA558" t="str">
        <f t="shared" si="0"/>
        <v>10941-4028</v>
      </c>
      <c r="AB558" t="s">
        <v>78</v>
      </c>
      <c r="AC558" t="s">
        <v>79</v>
      </c>
      <c r="AD558" t="s">
        <v>75</v>
      </c>
      <c r="AE558" t="s">
        <v>80</v>
      </c>
      <c r="AG558" t="s">
        <v>81</v>
      </c>
    </row>
    <row r="559" spans="1:33" x14ac:dyDescent="0.25">
      <c r="A559" t="str">
        <f>"1366755324"</f>
        <v>1366755324</v>
      </c>
      <c r="B559" t="str">
        <f>"03643161"</f>
        <v>03643161</v>
      </c>
      <c r="C559" t="s">
        <v>8330</v>
      </c>
      <c r="D559" t="s">
        <v>8331</v>
      </c>
      <c r="E559" t="s">
        <v>8332</v>
      </c>
      <c r="G559" t="s">
        <v>6380</v>
      </c>
      <c r="H559" t="s">
        <v>4625</v>
      </c>
      <c r="J559" t="s">
        <v>6381</v>
      </c>
      <c r="L559" t="s">
        <v>83</v>
      </c>
      <c r="M559" t="s">
        <v>85</v>
      </c>
      <c r="R559" t="s">
        <v>8333</v>
      </c>
      <c r="W559" t="s">
        <v>8332</v>
      </c>
      <c r="X559" t="s">
        <v>1822</v>
      </c>
      <c r="Y559" t="s">
        <v>1823</v>
      </c>
      <c r="Z559" t="s">
        <v>77</v>
      </c>
      <c r="AA559" t="str">
        <f t="shared" si="0"/>
        <v>10941-4028</v>
      </c>
      <c r="AB559" t="s">
        <v>78</v>
      </c>
      <c r="AC559" t="s">
        <v>79</v>
      </c>
      <c r="AD559" t="s">
        <v>75</v>
      </c>
      <c r="AE559" t="s">
        <v>80</v>
      </c>
      <c r="AG559" t="s">
        <v>81</v>
      </c>
    </row>
    <row r="560" spans="1:33" x14ac:dyDescent="0.25">
      <c r="A560" t="str">
        <f>"1700013174"</f>
        <v>1700013174</v>
      </c>
      <c r="B560" t="str">
        <f>"03649369"</f>
        <v>03649369</v>
      </c>
      <c r="C560" t="s">
        <v>8334</v>
      </c>
      <c r="D560" t="s">
        <v>8335</v>
      </c>
      <c r="E560" t="s">
        <v>8336</v>
      </c>
      <c r="G560" t="s">
        <v>6380</v>
      </c>
      <c r="H560" t="s">
        <v>4625</v>
      </c>
      <c r="J560" t="s">
        <v>6381</v>
      </c>
      <c r="L560" t="s">
        <v>83</v>
      </c>
      <c r="M560" t="s">
        <v>85</v>
      </c>
      <c r="R560" t="s">
        <v>8337</v>
      </c>
      <c r="W560" t="s">
        <v>8336</v>
      </c>
      <c r="X560" t="s">
        <v>442</v>
      </c>
      <c r="Y560" t="s">
        <v>97</v>
      </c>
      <c r="Z560" t="s">
        <v>77</v>
      </c>
      <c r="AA560" t="str">
        <f>"10065-6007"</f>
        <v>10065-6007</v>
      </c>
      <c r="AB560" t="s">
        <v>78</v>
      </c>
      <c r="AC560" t="s">
        <v>79</v>
      </c>
      <c r="AD560" t="s">
        <v>75</v>
      </c>
      <c r="AE560" t="s">
        <v>80</v>
      </c>
      <c r="AG560" t="s">
        <v>81</v>
      </c>
    </row>
    <row r="561" spans="1:33" x14ac:dyDescent="0.25">
      <c r="A561" t="str">
        <f>"1992787113"</f>
        <v>1992787113</v>
      </c>
      <c r="B561" t="str">
        <f>"03652260"</f>
        <v>03652260</v>
      </c>
      <c r="C561" t="s">
        <v>8338</v>
      </c>
      <c r="D561" t="s">
        <v>8339</v>
      </c>
      <c r="E561" t="s">
        <v>8340</v>
      </c>
      <c r="G561" t="s">
        <v>6380</v>
      </c>
      <c r="H561" t="s">
        <v>4625</v>
      </c>
      <c r="J561" t="s">
        <v>6381</v>
      </c>
      <c r="L561" t="s">
        <v>84</v>
      </c>
      <c r="M561" t="s">
        <v>85</v>
      </c>
      <c r="R561" t="s">
        <v>8341</v>
      </c>
      <c r="W561" t="s">
        <v>8340</v>
      </c>
      <c r="X561" t="s">
        <v>1822</v>
      </c>
      <c r="Y561" t="s">
        <v>1823</v>
      </c>
      <c r="Z561" t="s">
        <v>77</v>
      </c>
      <c r="AA561" t="str">
        <f>"10941-4028"</f>
        <v>10941-4028</v>
      </c>
      <c r="AB561" t="s">
        <v>78</v>
      </c>
      <c r="AC561" t="s">
        <v>79</v>
      </c>
      <c r="AD561" t="s">
        <v>75</v>
      </c>
      <c r="AE561" t="s">
        <v>80</v>
      </c>
      <c r="AG561" t="s">
        <v>81</v>
      </c>
    </row>
    <row r="562" spans="1:33" x14ac:dyDescent="0.25">
      <c r="A562" t="str">
        <f>"1578739611"</f>
        <v>1578739611</v>
      </c>
      <c r="B562" t="str">
        <f>"02978949"</f>
        <v>02978949</v>
      </c>
      <c r="C562" t="s">
        <v>8342</v>
      </c>
      <c r="D562" t="s">
        <v>8343</v>
      </c>
      <c r="E562" t="s">
        <v>8344</v>
      </c>
      <c r="G562" t="s">
        <v>6380</v>
      </c>
      <c r="H562" t="s">
        <v>4625</v>
      </c>
      <c r="J562" t="s">
        <v>6381</v>
      </c>
      <c r="L562" t="s">
        <v>83</v>
      </c>
      <c r="M562" t="s">
        <v>85</v>
      </c>
      <c r="R562" t="s">
        <v>8345</v>
      </c>
      <c r="W562" t="s">
        <v>8346</v>
      </c>
      <c r="X562" t="s">
        <v>1822</v>
      </c>
      <c r="Y562" t="s">
        <v>1823</v>
      </c>
      <c r="Z562" t="s">
        <v>77</v>
      </c>
      <c r="AA562" t="str">
        <f>"10941-4028"</f>
        <v>10941-4028</v>
      </c>
      <c r="AB562" t="s">
        <v>78</v>
      </c>
      <c r="AC562" t="s">
        <v>79</v>
      </c>
      <c r="AD562" t="s">
        <v>75</v>
      </c>
      <c r="AE562" t="s">
        <v>80</v>
      </c>
      <c r="AG562" t="s">
        <v>81</v>
      </c>
    </row>
    <row r="563" spans="1:33" x14ac:dyDescent="0.25">
      <c r="A563" t="str">
        <f>"1306283858"</f>
        <v>1306283858</v>
      </c>
      <c r="C563" t="s">
        <v>8347</v>
      </c>
      <c r="G563" t="s">
        <v>6800</v>
      </c>
      <c r="H563" t="s">
        <v>6801</v>
      </c>
      <c r="I563">
        <v>6381</v>
      </c>
      <c r="J563" t="s">
        <v>6802</v>
      </c>
      <c r="K563" t="s">
        <v>99</v>
      </c>
      <c r="L563" t="s">
        <v>102</v>
      </c>
      <c r="M563" t="s">
        <v>75</v>
      </c>
      <c r="R563" t="s">
        <v>8348</v>
      </c>
      <c r="S563" t="s">
        <v>8349</v>
      </c>
      <c r="T563" t="s">
        <v>97</v>
      </c>
      <c r="U563" t="s">
        <v>77</v>
      </c>
      <c r="V563" t="str">
        <f>"10001"</f>
        <v>10001</v>
      </c>
      <c r="AC563" t="s">
        <v>79</v>
      </c>
      <c r="AD563" t="s">
        <v>75</v>
      </c>
      <c r="AE563" t="s">
        <v>103</v>
      </c>
      <c r="AG563" t="s">
        <v>81</v>
      </c>
    </row>
    <row r="564" spans="1:33" x14ac:dyDescent="0.25">
      <c r="A564" t="str">
        <f>"1639481070"</f>
        <v>1639481070</v>
      </c>
      <c r="B564" t="str">
        <f>"03280100"</f>
        <v>03280100</v>
      </c>
      <c r="C564" t="s">
        <v>8350</v>
      </c>
      <c r="D564" t="s">
        <v>8351</v>
      </c>
      <c r="E564" t="s">
        <v>8352</v>
      </c>
      <c r="G564" t="s">
        <v>6380</v>
      </c>
      <c r="H564" t="s">
        <v>4625</v>
      </c>
      <c r="J564" t="s">
        <v>6381</v>
      </c>
      <c r="L564" t="s">
        <v>74</v>
      </c>
      <c r="M564" t="s">
        <v>85</v>
      </c>
      <c r="R564" t="s">
        <v>8353</v>
      </c>
      <c r="W564" t="s">
        <v>8352</v>
      </c>
      <c r="X564" t="s">
        <v>6503</v>
      </c>
      <c r="Y564" t="s">
        <v>1823</v>
      </c>
      <c r="Z564" t="s">
        <v>77</v>
      </c>
      <c r="AA564" t="str">
        <f>"10941-7001"</f>
        <v>10941-7001</v>
      </c>
      <c r="AB564" t="s">
        <v>78</v>
      </c>
      <c r="AC564" t="s">
        <v>79</v>
      </c>
      <c r="AD564" t="s">
        <v>75</v>
      </c>
      <c r="AE564" t="s">
        <v>80</v>
      </c>
      <c r="AG564" t="s">
        <v>81</v>
      </c>
    </row>
    <row r="565" spans="1:33" x14ac:dyDescent="0.25">
      <c r="A565" t="str">
        <f>"1760689590"</f>
        <v>1760689590</v>
      </c>
      <c r="B565" t="str">
        <f>"03332538"</f>
        <v>03332538</v>
      </c>
      <c r="C565" t="s">
        <v>8354</v>
      </c>
      <c r="D565" t="s">
        <v>8355</v>
      </c>
      <c r="E565" t="s">
        <v>8356</v>
      </c>
      <c r="G565" t="s">
        <v>6380</v>
      </c>
      <c r="H565" t="s">
        <v>4625</v>
      </c>
      <c r="J565" t="s">
        <v>6381</v>
      </c>
      <c r="L565" t="s">
        <v>83</v>
      </c>
      <c r="M565" t="s">
        <v>85</v>
      </c>
      <c r="R565" t="s">
        <v>8357</v>
      </c>
      <c r="W565" t="s">
        <v>8358</v>
      </c>
      <c r="X565" t="s">
        <v>2902</v>
      </c>
      <c r="Y565" t="s">
        <v>2903</v>
      </c>
      <c r="Z565" t="s">
        <v>77</v>
      </c>
      <c r="AA565" t="str">
        <f>"12775-6049"</f>
        <v>12775-6049</v>
      </c>
      <c r="AB565" t="s">
        <v>78</v>
      </c>
      <c r="AC565" t="s">
        <v>79</v>
      </c>
      <c r="AD565" t="s">
        <v>75</v>
      </c>
      <c r="AE565" t="s">
        <v>80</v>
      </c>
      <c r="AG565" t="s">
        <v>81</v>
      </c>
    </row>
    <row r="566" spans="1:33" x14ac:dyDescent="0.25">
      <c r="A566" t="str">
        <f>"1275737264"</f>
        <v>1275737264</v>
      </c>
      <c r="B566" t="str">
        <f>"03566649"</f>
        <v>03566649</v>
      </c>
      <c r="C566" t="s">
        <v>8359</v>
      </c>
      <c r="D566" t="s">
        <v>8360</v>
      </c>
      <c r="E566" t="s">
        <v>8361</v>
      </c>
      <c r="G566" t="s">
        <v>6800</v>
      </c>
      <c r="H566" t="s">
        <v>6801</v>
      </c>
      <c r="I566">
        <v>6381</v>
      </c>
      <c r="J566" t="s">
        <v>6802</v>
      </c>
      <c r="L566" t="s">
        <v>74</v>
      </c>
      <c r="M566" t="s">
        <v>75</v>
      </c>
      <c r="R566" t="s">
        <v>8361</v>
      </c>
      <c r="W566" t="s">
        <v>8361</v>
      </c>
      <c r="X566" t="s">
        <v>3538</v>
      </c>
      <c r="Y566" t="s">
        <v>131</v>
      </c>
      <c r="Z566" t="s">
        <v>77</v>
      </c>
      <c r="AA566" t="str">
        <f>"10461-5726"</f>
        <v>10461-5726</v>
      </c>
      <c r="AB566" t="s">
        <v>114</v>
      </c>
      <c r="AC566" t="s">
        <v>79</v>
      </c>
      <c r="AD566" t="s">
        <v>75</v>
      </c>
      <c r="AE566" t="s">
        <v>80</v>
      </c>
      <c r="AG566" t="s">
        <v>81</v>
      </c>
    </row>
    <row r="567" spans="1:33" x14ac:dyDescent="0.25">
      <c r="A567" t="str">
        <f>"1487820221"</f>
        <v>1487820221</v>
      </c>
      <c r="B567" t="str">
        <f>"03014037"</f>
        <v>03014037</v>
      </c>
      <c r="C567" t="s">
        <v>8362</v>
      </c>
      <c r="D567" t="s">
        <v>4280</v>
      </c>
      <c r="E567" t="s">
        <v>4281</v>
      </c>
      <c r="G567" t="s">
        <v>6283</v>
      </c>
      <c r="H567" t="s">
        <v>4075</v>
      </c>
      <c r="I567">
        <v>249</v>
      </c>
      <c r="J567" t="s">
        <v>4076</v>
      </c>
      <c r="L567" t="s">
        <v>74</v>
      </c>
      <c r="M567" t="s">
        <v>85</v>
      </c>
      <c r="R567" t="s">
        <v>4282</v>
      </c>
      <c r="W567" t="s">
        <v>4283</v>
      </c>
      <c r="X567" t="s">
        <v>4078</v>
      </c>
      <c r="Y567" t="s">
        <v>97</v>
      </c>
      <c r="Z567" t="s">
        <v>77</v>
      </c>
      <c r="AA567" t="str">
        <f>"10001-2823"</f>
        <v>10001-2823</v>
      </c>
      <c r="AB567" t="s">
        <v>82</v>
      </c>
      <c r="AC567" t="s">
        <v>79</v>
      </c>
      <c r="AD567" t="s">
        <v>75</v>
      </c>
      <c r="AE567" t="s">
        <v>80</v>
      </c>
      <c r="AG567" t="s">
        <v>81</v>
      </c>
    </row>
    <row r="568" spans="1:33" x14ac:dyDescent="0.25">
      <c r="A568" t="str">
        <f>"1922105857"</f>
        <v>1922105857</v>
      </c>
      <c r="B568" t="str">
        <f>"02269634"</f>
        <v>02269634</v>
      </c>
      <c r="C568" t="s">
        <v>8363</v>
      </c>
      <c r="D568" t="s">
        <v>8364</v>
      </c>
      <c r="E568" t="s">
        <v>8365</v>
      </c>
      <c r="G568" t="s">
        <v>8366</v>
      </c>
      <c r="H568" t="s">
        <v>8367</v>
      </c>
      <c r="L568" t="s">
        <v>16</v>
      </c>
      <c r="M568" t="s">
        <v>85</v>
      </c>
      <c r="R568" t="s">
        <v>8365</v>
      </c>
      <c r="W568" t="s">
        <v>8365</v>
      </c>
      <c r="X568" t="s">
        <v>8368</v>
      </c>
      <c r="Y568" t="s">
        <v>87</v>
      </c>
      <c r="Z568" t="s">
        <v>77</v>
      </c>
      <c r="AA568" t="str">
        <f>"11213-4107"</f>
        <v>11213-4107</v>
      </c>
      <c r="AB568" t="s">
        <v>132</v>
      </c>
      <c r="AC568" t="s">
        <v>79</v>
      </c>
      <c r="AD568" t="s">
        <v>75</v>
      </c>
      <c r="AE568" t="s">
        <v>80</v>
      </c>
      <c r="AG568" t="s">
        <v>81</v>
      </c>
    </row>
    <row r="569" spans="1:33" x14ac:dyDescent="0.25">
      <c r="A569" t="str">
        <f>"1982802906"</f>
        <v>1982802906</v>
      </c>
      <c r="B569" t="str">
        <f>"02964354"</f>
        <v>02964354</v>
      </c>
      <c r="C569" t="s">
        <v>8369</v>
      </c>
      <c r="D569" t="s">
        <v>8370</v>
      </c>
      <c r="E569" t="s">
        <v>8371</v>
      </c>
      <c r="L569" t="s">
        <v>105</v>
      </c>
      <c r="M569" t="s">
        <v>75</v>
      </c>
      <c r="R569" t="s">
        <v>8371</v>
      </c>
      <c r="W569" t="s">
        <v>8372</v>
      </c>
      <c r="X569" t="s">
        <v>168</v>
      </c>
      <c r="Y569" t="s">
        <v>155</v>
      </c>
      <c r="Z569" t="s">
        <v>77</v>
      </c>
      <c r="AA569" t="str">
        <f>"10310-1664"</f>
        <v>10310-1664</v>
      </c>
      <c r="AB569" t="s">
        <v>78</v>
      </c>
      <c r="AC569" t="s">
        <v>79</v>
      </c>
      <c r="AD569" t="s">
        <v>75</v>
      </c>
      <c r="AE569" t="s">
        <v>80</v>
      </c>
      <c r="AG569" t="s">
        <v>81</v>
      </c>
    </row>
    <row r="570" spans="1:33" x14ac:dyDescent="0.25">
      <c r="A570" t="str">
        <f>"1548270218"</f>
        <v>1548270218</v>
      </c>
      <c r="B570" t="str">
        <f>"02546550"</f>
        <v>02546550</v>
      </c>
      <c r="C570" t="s">
        <v>8373</v>
      </c>
      <c r="D570" t="s">
        <v>8374</v>
      </c>
      <c r="E570" t="s">
        <v>8375</v>
      </c>
      <c r="G570" t="s">
        <v>6800</v>
      </c>
      <c r="H570" t="s">
        <v>6801</v>
      </c>
      <c r="I570">
        <v>6381</v>
      </c>
      <c r="J570" t="s">
        <v>6802</v>
      </c>
      <c r="L570" t="s">
        <v>74</v>
      </c>
      <c r="M570" t="s">
        <v>75</v>
      </c>
      <c r="R570" t="s">
        <v>8376</v>
      </c>
      <c r="W570" t="s">
        <v>8377</v>
      </c>
      <c r="X570" t="s">
        <v>8378</v>
      </c>
      <c r="Y570" t="s">
        <v>139</v>
      </c>
      <c r="Z570" t="s">
        <v>77</v>
      </c>
      <c r="AA570" t="str">
        <f>"11354-4606"</f>
        <v>11354-4606</v>
      </c>
      <c r="AB570" t="s">
        <v>78</v>
      </c>
      <c r="AC570" t="s">
        <v>79</v>
      </c>
      <c r="AD570" t="s">
        <v>75</v>
      </c>
      <c r="AE570" t="s">
        <v>80</v>
      </c>
      <c r="AG570" t="s">
        <v>81</v>
      </c>
    </row>
    <row r="571" spans="1:33" x14ac:dyDescent="0.25">
      <c r="A571" t="str">
        <f>"1992876445"</f>
        <v>1992876445</v>
      </c>
      <c r="B571" t="str">
        <f>"02664928"</f>
        <v>02664928</v>
      </c>
      <c r="C571" t="s">
        <v>8379</v>
      </c>
      <c r="D571" t="s">
        <v>660</v>
      </c>
      <c r="E571" t="s">
        <v>661</v>
      </c>
      <c r="G571" t="s">
        <v>6800</v>
      </c>
      <c r="H571" t="s">
        <v>6801</v>
      </c>
      <c r="I571">
        <v>6381</v>
      </c>
      <c r="J571" t="s">
        <v>6802</v>
      </c>
      <c r="L571" t="s">
        <v>105</v>
      </c>
      <c r="M571" t="s">
        <v>85</v>
      </c>
      <c r="R571" t="s">
        <v>662</v>
      </c>
      <c r="W571" t="s">
        <v>661</v>
      </c>
      <c r="X571" t="s">
        <v>259</v>
      </c>
      <c r="Y571" t="s">
        <v>139</v>
      </c>
      <c r="Z571" t="s">
        <v>77</v>
      </c>
      <c r="AA571" t="str">
        <f>"11355-2205"</f>
        <v>11355-2205</v>
      </c>
      <c r="AB571" t="s">
        <v>78</v>
      </c>
      <c r="AC571" t="s">
        <v>79</v>
      </c>
      <c r="AD571" t="s">
        <v>75</v>
      </c>
      <c r="AE571" t="s">
        <v>80</v>
      </c>
      <c r="AG571" t="s">
        <v>81</v>
      </c>
    </row>
    <row r="572" spans="1:33" x14ac:dyDescent="0.25">
      <c r="A572" t="str">
        <f>"1518982123"</f>
        <v>1518982123</v>
      </c>
      <c r="B572" t="str">
        <f>"02837332"</f>
        <v>02837332</v>
      </c>
      <c r="C572" t="s">
        <v>8380</v>
      </c>
      <c r="D572" t="s">
        <v>8381</v>
      </c>
      <c r="E572" t="s">
        <v>8382</v>
      </c>
      <c r="G572" t="s">
        <v>6800</v>
      </c>
      <c r="H572" t="s">
        <v>6801</v>
      </c>
      <c r="I572">
        <v>6381</v>
      </c>
      <c r="J572" t="s">
        <v>6802</v>
      </c>
      <c r="L572" t="s">
        <v>94</v>
      </c>
      <c r="M572" t="s">
        <v>85</v>
      </c>
      <c r="R572" t="s">
        <v>8383</v>
      </c>
      <c r="W572" t="s">
        <v>8384</v>
      </c>
      <c r="X572" t="s">
        <v>8385</v>
      </c>
      <c r="Y572" t="s">
        <v>97</v>
      </c>
      <c r="Z572" t="s">
        <v>77</v>
      </c>
      <c r="AA572" t="str">
        <f>"10001-2320"</f>
        <v>10001-2320</v>
      </c>
      <c r="AB572" t="s">
        <v>78</v>
      </c>
      <c r="AC572" t="s">
        <v>79</v>
      </c>
      <c r="AD572" t="s">
        <v>75</v>
      </c>
      <c r="AE572" t="s">
        <v>80</v>
      </c>
      <c r="AG572" t="s">
        <v>81</v>
      </c>
    </row>
    <row r="573" spans="1:33" x14ac:dyDescent="0.25">
      <c r="A573" t="str">
        <f>"1629364328"</f>
        <v>1629364328</v>
      </c>
      <c r="B573" t="str">
        <f>"04208944"</f>
        <v>04208944</v>
      </c>
      <c r="C573" t="s">
        <v>8386</v>
      </c>
      <c r="D573" t="s">
        <v>8387</v>
      </c>
      <c r="E573" t="s">
        <v>8388</v>
      </c>
      <c r="G573" t="s">
        <v>6272</v>
      </c>
      <c r="H573" t="s">
        <v>6273</v>
      </c>
      <c r="I573">
        <v>419</v>
      </c>
      <c r="J573" t="s">
        <v>6274</v>
      </c>
      <c r="L573" t="s">
        <v>94</v>
      </c>
      <c r="M573" t="s">
        <v>75</v>
      </c>
      <c r="R573" t="s">
        <v>8389</v>
      </c>
      <c r="W573" t="s">
        <v>8388</v>
      </c>
      <c r="X573" t="s">
        <v>6789</v>
      </c>
      <c r="Y573" t="s">
        <v>1135</v>
      </c>
      <c r="Z573" t="s">
        <v>77</v>
      </c>
      <c r="AA573" t="str">
        <f>"10709-5545"</f>
        <v>10709-5545</v>
      </c>
      <c r="AB573" t="s">
        <v>78</v>
      </c>
      <c r="AC573" t="s">
        <v>79</v>
      </c>
      <c r="AD573" t="s">
        <v>75</v>
      </c>
      <c r="AE573" t="s">
        <v>80</v>
      </c>
      <c r="AG573" t="s">
        <v>81</v>
      </c>
    </row>
    <row r="574" spans="1:33" x14ac:dyDescent="0.25">
      <c r="C574" t="s">
        <v>8390</v>
      </c>
      <c r="G574" t="s">
        <v>8391</v>
      </c>
      <c r="H574" t="s">
        <v>8392</v>
      </c>
      <c r="K574" t="s">
        <v>99</v>
      </c>
      <c r="L574" t="s">
        <v>100</v>
      </c>
      <c r="M574" t="s">
        <v>75</v>
      </c>
      <c r="N574" t="s">
        <v>8393</v>
      </c>
      <c r="O574" t="s">
        <v>431</v>
      </c>
      <c r="P574" t="s">
        <v>77</v>
      </c>
      <c r="Q574" t="str">
        <f>"11207"</f>
        <v>11207</v>
      </c>
      <c r="AC574" t="s">
        <v>79</v>
      </c>
      <c r="AD574" t="s">
        <v>75</v>
      </c>
      <c r="AE574" t="s">
        <v>101</v>
      </c>
      <c r="AG574" t="s">
        <v>81</v>
      </c>
    </row>
    <row r="575" spans="1:33" x14ac:dyDescent="0.25">
      <c r="A575" t="str">
        <f>"1326181009"</f>
        <v>1326181009</v>
      </c>
      <c r="B575" t="str">
        <f>"01592387"</f>
        <v>01592387</v>
      </c>
      <c r="C575" t="s">
        <v>8394</v>
      </c>
      <c r="D575" t="s">
        <v>8395</v>
      </c>
      <c r="E575" t="s">
        <v>8396</v>
      </c>
      <c r="G575" t="s">
        <v>8397</v>
      </c>
      <c r="H575" t="s">
        <v>8398</v>
      </c>
      <c r="L575" t="s">
        <v>16</v>
      </c>
      <c r="M575" t="s">
        <v>75</v>
      </c>
      <c r="R575" t="s">
        <v>8396</v>
      </c>
      <c r="W575" t="s">
        <v>8396</v>
      </c>
      <c r="X575" t="s">
        <v>8399</v>
      </c>
      <c r="Y575" t="s">
        <v>87</v>
      </c>
      <c r="Z575" t="s">
        <v>77</v>
      </c>
      <c r="AA575" t="str">
        <f>"11207-7319"</f>
        <v>11207-7319</v>
      </c>
      <c r="AB575" t="s">
        <v>132</v>
      </c>
      <c r="AC575" t="s">
        <v>79</v>
      </c>
      <c r="AD575" t="s">
        <v>75</v>
      </c>
      <c r="AE575" t="s">
        <v>80</v>
      </c>
      <c r="AG575" t="s">
        <v>81</v>
      </c>
    </row>
    <row r="576" spans="1:33" x14ac:dyDescent="0.25">
      <c r="A576" t="str">
        <f>"1346392529"</f>
        <v>1346392529</v>
      </c>
      <c r="B576" t="str">
        <f>"02335151"</f>
        <v>02335151</v>
      </c>
      <c r="C576" t="s">
        <v>8400</v>
      </c>
      <c r="D576" t="s">
        <v>8401</v>
      </c>
      <c r="E576" t="s">
        <v>8402</v>
      </c>
      <c r="G576" t="s">
        <v>8403</v>
      </c>
      <c r="H576" t="s">
        <v>8404</v>
      </c>
      <c r="L576" t="s">
        <v>16</v>
      </c>
      <c r="M576" t="s">
        <v>85</v>
      </c>
      <c r="R576" t="s">
        <v>8405</v>
      </c>
      <c r="W576" t="s">
        <v>8402</v>
      </c>
      <c r="X576" t="s">
        <v>8406</v>
      </c>
      <c r="Y576" t="s">
        <v>131</v>
      </c>
      <c r="Z576" t="s">
        <v>77</v>
      </c>
      <c r="AA576" t="str">
        <f>"10458-8111"</f>
        <v>10458-8111</v>
      </c>
      <c r="AB576" t="s">
        <v>132</v>
      </c>
      <c r="AC576" t="s">
        <v>79</v>
      </c>
      <c r="AD576" t="s">
        <v>75</v>
      </c>
      <c r="AE576" t="s">
        <v>80</v>
      </c>
      <c r="AG576" t="s">
        <v>81</v>
      </c>
    </row>
    <row r="577" spans="1:33" x14ac:dyDescent="0.25">
      <c r="A577" t="str">
        <f>"1750552303"</f>
        <v>1750552303</v>
      </c>
      <c r="B577" t="str">
        <f>"03282780"</f>
        <v>03282780</v>
      </c>
      <c r="C577" t="s">
        <v>8407</v>
      </c>
      <c r="D577" t="s">
        <v>3153</v>
      </c>
      <c r="E577" t="s">
        <v>3154</v>
      </c>
      <c r="H577" t="s">
        <v>626</v>
      </c>
      <c r="I577">
        <v>3250</v>
      </c>
      <c r="J577" t="s">
        <v>3155</v>
      </c>
      <c r="L577" t="s">
        <v>83</v>
      </c>
      <c r="M577" t="s">
        <v>75</v>
      </c>
      <c r="R577" t="s">
        <v>3156</v>
      </c>
      <c r="W577" t="s">
        <v>3157</v>
      </c>
      <c r="X577" t="s">
        <v>3158</v>
      </c>
      <c r="Y577" t="s">
        <v>131</v>
      </c>
      <c r="Z577" t="s">
        <v>77</v>
      </c>
      <c r="AA577" t="str">
        <f>"10452-2001"</f>
        <v>10452-2001</v>
      </c>
      <c r="AB577" t="s">
        <v>78</v>
      </c>
      <c r="AC577" t="s">
        <v>79</v>
      </c>
      <c r="AD577" t="s">
        <v>75</v>
      </c>
      <c r="AE577" t="s">
        <v>80</v>
      </c>
      <c r="AG577" t="s">
        <v>81</v>
      </c>
    </row>
    <row r="578" spans="1:33" x14ac:dyDescent="0.25">
      <c r="A578" t="str">
        <f>"1275847824"</f>
        <v>1275847824</v>
      </c>
      <c r="B578" t="str">
        <f>"03338290"</f>
        <v>03338290</v>
      </c>
      <c r="C578" t="s">
        <v>8408</v>
      </c>
      <c r="D578" t="s">
        <v>3125</v>
      </c>
      <c r="E578" t="s">
        <v>3126</v>
      </c>
      <c r="H578" t="s">
        <v>626</v>
      </c>
      <c r="J578" t="s">
        <v>3127</v>
      </c>
      <c r="L578" t="s">
        <v>143</v>
      </c>
      <c r="M578" t="s">
        <v>85</v>
      </c>
      <c r="R578" t="s">
        <v>3128</v>
      </c>
      <c r="W578" t="s">
        <v>3129</v>
      </c>
      <c r="X578" t="s">
        <v>627</v>
      </c>
      <c r="Y578" t="s">
        <v>131</v>
      </c>
      <c r="Z578" t="s">
        <v>77</v>
      </c>
      <c r="AA578" t="str">
        <f>"10452-2001"</f>
        <v>10452-2001</v>
      </c>
      <c r="AB578" t="s">
        <v>78</v>
      </c>
      <c r="AC578" t="s">
        <v>79</v>
      </c>
      <c r="AD578" t="s">
        <v>75</v>
      </c>
      <c r="AE578" t="s">
        <v>80</v>
      </c>
      <c r="AG578" t="s">
        <v>81</v>
      </c>
    </row>
    <row r="579" spans="1:33" x14ac:dyDescent="0.25">
      <c r="A579" t="str">
        <f>"1124017512"</f>
        <v>1124017512</v>
      </c>
      <c r="B579" t="str">
        <f>"00271027"</f>
        <v>00271027</v>
      </c>
      <c r="C579" t="s">
        <v>8409</v>
      </c>
      <c r="D579" t="s">
        <v>8410</v>
      </c>
      <c r="E579" t="s">
        <v>8411</v>
      </c>
      <c r="G579" t="s">
        <v>6278</v>
      </c>
      <c r="H579" t="s">
        <v>6279</v>
      </c>
      <c r="J579" t="s">
        <v>6280</v>
      </c>
      <c r="L579" t="s">
        <v>83</v>
      </c>
      <c r="M579" t="s">
        <v>75</v>
      </c>
      <c r="R579" t="s">
        <v>8412</v>
      </c>
      <c r="W579" t="s">
        <v>8413</v>
      </c>
      <c r="X579" t="s">
        <v>8414</v>
      </c>
      <c r="Y579" t="s">
        <v>87</v>
      </c>
      <c r="Z579" t="s">
        <v>77</v>
      </c>
      <c r="AA579" t="str">
        <f>"11223-2047"</f>
        <v>11223-2047</v>
      </c>
      <c r="AB579" t="s">
        <v>78</v>
      </c>
      <c r="AC579" t="s">
        <v>79</v>
      </c>
      <c r="AD579" t="s">
        <v>75</v>
      </c>
      <c r="AE579" t="s">
        <v>80</v>
      </c>
      <c r="AG579" t="s">
        <v>81</v>
      </c>
    </row>
    <row r="580" spans="1:33" x14ac:dyDescent="0.25">
      <c r="A580" t="str">
        <f>"1720070204"</f>
        <v>1720070204</v>
      </c>
      <c r="B580" t="str">
        <f>"00639730"</f>
        <v>00639730</v>
      </c>
      <c r="C580" t="s">
        <v>8415</v>
      </c>
      <c r="D580" t="s">
        <v>8416</v>
      </c>
      <c r="E580" t="s">
        <v>8417</v>
      </c>
      <c r="G580" t="s">
        <v>6367</v>
      </c>
      <c r="H580" t="s">
        <v>4625</v>
      </c>
      <c r="J580" t="s">
        <v>6368</v>
      </c>
      <c r="L580" t="s">
        <v>102</v>
      </c>
      <c r="M580" t="s">
        <v>85</v>
      </c>
      <c r="R580" t="s">
        <v>8418</v>
      </c>
      <c r="W580" t="s">
        <v>8419</v>
      </c>
      <c r="X580" t="s">
        <v>1822</v>
      </c>
      <c r="Y580" t="s">
        <v>1823</v>
      </c>
      <c r="Z580" t="s">
        <v>77</v>
      </c>
      <c r="AA580" t="str">
        <f>"10941-4057"</f>
        <v>10941-4057</v>
      </c>
      <c r="AB580" t="s">
        <v>78</v>
      </c>
      <c r="AC580" t="s">
        <v>79</v>
      </c>
      <c r="AD580" t="s">
        <v>75</v>
      </c>
      <c r="AE580" t="s">
        <v>80</v>
      </c>
      <c r="AG580" t="s">
        <v>81</v>
      </c>
    </row>
    <row r="581" spans="1:33" x14ac:dyDescent="0.25">
      <c r="A581" t="str">
        <f>"1568550531"</f>
        <v>1568550531</v>
      </c>
      <c r="B581" t="str">
        <f>"02406857"</f>
        <v>02406857</v>
      </c>
      <c r="C581" t="s">
        <v>8420</v>
      </c>
      <c r="D581" t="s">
        <v>8421</v>
      </c>
      <c r="E581" t="s">
        <v>8422</v>
      </c>
      <c r="G581" t="s">
        <v>6367</v>
      </c>
      <c r="H581" t="s">
        <v>4625</v>
      </c>
      <c r="J581" t="s">
        <v>6368</v>
      </c>
      <c r="L581" t="s">
        <v>83</v>
      </c>
      <c r="M581" t="s">
        <v>85</v>
      </c>
      <c r="R581" t="s">
        <v>8423</v>
      </c>
      <c r="W581" t="s">
        <v>8422</v>
      </c>
      <c r="X581" t="s">
        <v>5480</v>
      </c>
      <c r="Y581" t="s">
        <v>1823</v>
      </c>
      <c r="Z581" t="s">
        <v>77</v>
      </c>
      <c r="AA581" t="str">
        <f>"10941-7003"</f>
        <v>10941-7003</v>
      </c>
      <c r="AB581" t="s">
        <v>78</v>
      </c>
      <c r="AC581" t="s">
        <v>79</v>
      </c>
      <c r="AD581" t="s">
        <v>75</v>
      </c>
      <c r="AE581" t="s">
        <v>80</v>
      </c>
      <c r="AG581" t="s">
        <v>81</v>
      </c>
    </row>
    <row r="582" spans="1:33" x14ac:dyDescent="0.25">
      <c r="A582" t="str">
        <f>"1679573646"</f>
        <v>1679573646</v>
      </c>
      <c r="B582" t="str">
        <f>"01832273"</f>
        <v>01832273</v>
      </c>
      <c r="C582" t="s">
        <v>8424</v>
      </c>
      <c r="D582" t="s">
        <v>8425</v>
      </c>
      <c r="E582" t="s">
        <v>8426</v>
      </c>
      <c r="G582" t="s">
        <v>6367</v>
      </c>
      <c r="H582" t="s">
        <v>4625</v>
      </c>
      <c r="J582" t="s">
        <v>6368</v>
      </c>
      <c r="L582" t="s">
        <v>84</v>
      </c>
      <c r="M582" t="s">
        <v>85</v>
      </c>
      <c r="R582" t="s">
        <v>8427</v>
      </c>
      <c r="W582" t="s">
        <v>8426</v>
      </c>
      <c r="X582" t="s">
        <v>6187</v>
      </c>
      <c r="Y582" t="s">
        <v>1823</v>
      </c>
      <c r="Z582" t="s">
        <v>77</v>
      </c>
      <c r="AA582" t="str">
        <f>"10941-4013"</f>
        <v>10941-4013</v>
      </c>
      <c r="AB582" t="s">
        <v>78</v>
      </c>
      <c r="AC582" t="s">
        <v>79</v>
      </c>
      <c r="AD582" t="s">
        <v>75</v>
      </c>
      <c r="AE582" t="s">
        <v>80</v>
      </c>
      <c r="AG582" t="s">
        <v>81</v>
      </c>
    </row>
    <row r="583" spans="1:33" x14ac:dyDescent="0.25">
      <c r="A583" t="str">
        <f>"1063412013"</f>
        <v>1063412013</v>
      </c>
      <c r="B583" t="str">
        <f>"02571828"</f>
        <v>02571828</v>
      </c>
      <c r="C583" t="s">
        <v>8428</v>
      </c>
      <c r="D583" t="s">
        <v>8429</v>
      </c>
      <c r="E583" t="s">
        <v>8430</v>
      </c>
      <c r="G583" t="s">
        <v>6367</v>
      </c>
      <c r="H583" t="s">
        <v>4625</v>
      </c>
      <c r="J583" t="s">
        <v>6368</v>
      </c>
      <c r="L583" t="s">
        <v>83</v>
      </c>
      <c r="M583" t="s">
        <v>85</v>
      </c>
      <c r="R583" t="s">
        <v>8430</v>
      </c>
      <c r="W583" t="s">
        <v>8430</v>
      </c>
      <c r="X583" t="s">
        <v>7123</v>
      </c>
      <c r="Y583" t="s">
        <v>1823</v>
      </c>
      <c r="Z583" t="s">
        <v>77</v>
      </c>
      <c r="AA583" t="str">
        <f>"10941-4057"</f>
        <v>10941-4057</v>
      </c>
      <c r="AB583" t="s">
        <v>78</v>
      </c>
      <c r="AC583" t="s">
        <v>79</v>
      </c>
      <c r="AD583" t="s">
        <v>75</v>
      </c>
      <c r="AE583" t="s">
        <v>80</v>
      </c>
      <c r="AG583" t="s">
        <v>81</v>
      </c>
    </row>
    <row r="584" spans="1:33" x14ac:dyDescent="0.25">
      <c r="A584" t="str">
        <f>"1013288273"</f>
        <v>1013288273</v>
      </c>
      <c r="B584" t="str">
        <f>"03577846"</f>
        <v>03577846</v>
      </c>
      <c r="C584" t="s">
        <v>8431</v>
      </c>
      <c r="D584" t="s">
        <v>8432</v>
      </c>
      <c r="E584" t="s">
        <v>8433</v>
      </c>
      <c r="G584" t="s">
        <v>6367</v>
      </c>
      <c r="H584" t="s">
        <v>4625</v>
      </c>
      <c r="J584" t="s">
        <v>6368</v>
      </c>
      <c r="L584" t="s">
        <v>83</v>
      </c>
      <c r="M584" t="s">
        <v>85</v>
      </c>
      <c r="R584" t="s">
        <v>8434</v>
      </c>
      <c r="W584" t="s">
        <v>8433</v>
      </c>
      <c r="X584" t="s">
        <v>1822</v>
      </c>
      <c r="Y584" t="s">
        <v>1823</v>
      </c>
      <c r="Z584" t="s">
        <v>77</v>
      </c>
      <c r="AA584" t="str">
        <f>"10941-4028"</f>
        <v>10941-4028</v>
      </c>
      <c r="AB584" t="s">
        <v>78</v>
      </c>
      <c r="AC584" t="s">
        <v>79</v>
      </c>
      <c r="AD584" t="s">
        <v>75</v>
      </c>
      <c r="AE584" t="s">
        <v>80</v>
      </c>
      <c r="AG584" t="s">
        <v>81</v>
      </c>
    </row>
    <row r="585" spans="1:33" x14ac:dyDescent="0.25">
      <c r="A585" t="str">
        <f>"1639447071"</f>
        <v>1639447071</v>
      </c>
      <c r="B585" t="str">
        <f>"03470835"</f>
        <v>03470835</v>
      </c>
      <c r="C585" t="s">
        <v>8435</v>
      </c>
      <c r="D585" t="s">
        <v>8436</v>
      </c>
      <c r="E585" t="s">
        <v>8437</v>
      </c>
      <c r="G585" t="s">
        <v>6367</v>
      </c>
      <c r="H585" t="s">
        <v>4625</v>
      </c>
      <c r="J585" t="s">
        <v>6368</v>
      </c>
      <c r="L585" t="s">
        <v>74</v>
      </c>
      <c r="M585" t="s">
        <v>85</v>
      </c>
      <c r="R585" t="s">
        <v>8438</v>
      </c>
      <c r="W585" t="s">
        <v>8439</v>
      </c>
      <c r="X585" t="s">
        <v>1822</v>
      </c>
      <c r="Y585" t="s">
        <v>1823</v>
      </c>
      <c r="Z585" t="s">
        <v>77</v>
      </c>
      <c r="AA585" t="str">
        <f>"10941-4028"</f>
        <v>10941-4028</v>
      </c>
      <c r="AB585" t="s">
        <v>78</v>
      </c>
      <c r="AC585" t="s">
        <v>79</v>
      </c>
      <c r="AD585" t="s">
        <v>75</v>
      </c>
      <c r="AE585" t="s">
        <v>80</v>
      </c>
      <c r="AG585" t="s">
        <v>81</v>
      </c>
    </row>
    <row r="586" spans="1:33" x14ac:dyDescent="0.25">
      <c r="A586" t="str">
        <f>"1821385980"</f>
        <v>1821385980</v>
      </c>
      <c r="B586" t="str">
        <f>"03368669"</f>
        <v>03368669</v>
      </c>
      <c r="C586" t="s">
        <v>8440</v>
      </c>
      <c r="D586" t="s">
        <v>8441</v>
      </c>
      <c r="E586" t="s">
        <v>8442</v>
      </c>
      <c r="G586" t="s">
        <v>6367</v>
      </c>
      <c r="H586" t="s">
        <v>4625</v>
      </c>
      <c r="J586" t="s">
        <v>6368</v>
      </c>
      <c r="L586" t="s">
        <v>74</v>
      </c>
      <c r="M586" t="s">
        <v>85</v>
      </c>
      <c r="R586" t="s">
        <v>8443</v>
      </c>
      <c r="W586" t="s">
        <v>8442</v>
      </c>
      <c r="X586" t="s">
        <v>1822</v>
      </c>
      <c r="Y586" t="s">
        <v>1823</v>
      </c>
      <c r="Z586" t="s">
        <v>77</v>
      </c>
      <c r="AA586" t="str">
        <f>"10941-4028"</f>
        <v>10941-4028</v>
      </c>
      <c r="AB586" t="s">
        <v>78</v>
      </c>
      <c r="AC586" t="s">
        <v>79</v>
      </c>
      <c r="AD586" t="s">
        <v>75</v>
      </c>
      <c r="AE586" t="s">
        <v>80</v>
      </c>
      <c r="AG586" t="s">
        <v>81</v>
      </c>
    </row>
    <row r="587" spans="1:33" x14ac:dyDescent="0.25">
      <c r="A587" t="str">
        <f>"1417137696"</f>
        <v>1417137696</v>
      </c>
      <c r="B587" t="str">
        <f>"02962132"</f>
        <v>02962132</v>
      </c>
      <c r="C587" t="s">
        <v>8444</v>
      </c>
      <c r="D587" t="s">
        <v>8445</v>
      </c>
      <c r="E587" t="s">
        <v>8446</v>
      </c>
      <c r="G587" t="s">
        <v>6380</v>
      </c>
      <c r="H587" t="s">
        <v>4625</v>
      </c>
      <c r="J587" t="s">
        <v>6381</v>
      </c>
      <c r="L587" t="s">
        <v>84</v>
      </c>
      <c r="M587" t="s">
        <v>85</v>
      </c>
      <c r="R587" t="s">
        <v>8446</v>
      </c>
      <c r="W587" t="s">
        <v>8446</v>
      </c>
      <c r="X587" t="s">
        <v>8447</v>
      </c>
      <c r="Y587" t="s">
        <v>1820</v>
      </c>
      <c r="Z587" t="s">
        <v>77</v>
      </c>
      <c r="AA587" t="str">
        <f>"12885-1220"</f>
        <v>12885-1220</v>
      </c>
      <c r="AB587" t="s">
        <v>78</v>
      </c>
      <c r="AC587" t="s">
        <v>79</v>
      </c>
      <c r="AD587" t="s">
        <v>75</v>
      </c>
      <c r="AE587" t="s">
        <v>80</v>
      </c>
      <c r="AG587" t="s">
        <v>81</v>
      </c>
    </row>
    <row r="588" spans="1:33" x14ac:dyDescent="0.25">
      <c r="A588" t="str">
        <f>"1215125588"</f>
        <v>1215125588</v>
      </c>
      <c r="B588" t="str">
        <f>"02966970"</f>
        <v>02966970</v>
      </c>
      <c r="C588" t="s">
        <v>8448</v>
      </c>
      <c r="D588" t="s">
        <v>8449</v>
      </c>
      <c r="E588" t="s">
        <v>8450</v>
      </c>
      <c r="G588" t="s">
        <v>6380</v>
      </c>
      <c r="H588" t="s">
        <v>4625</v>
      </c>
      <c r="J588" t="s">
        <v>6381</v>
      </c>
      <c r="L588" t="s">
        <v>84</v>
      </c>
      <c r="M588" t="s">
        <v>85</v>
      </c>
      <c r="R588" t="s">
        <v>8451</v>
      </c>
      <c r="W588" t="s">
        <v>8452</v>
      </c>
      <c r="X588" t="s">
        <v>1822</v>
      </c>
      <c r="Y588" t="s">
        <v>1823</v>
      </c>
      <c r="Z588" t="s">
        <v>77</v>
      </c>
      <c r="AA588" t="str">
        <f>"10941-4028"</f>
        <v>10941-4028</v>
      </c>
      <c r="AB588" t="s">
        <v>78</v>
      </c>
      <c r="AC588" t="s">
        <v>79</v>
      </c>
      <c r="AD588" t="s">
        <v>75</v>
      </c>
      <c r="AE588" t="s">
        <v>80</v>
      </c>
      <c r="AG588" t="s">
        <v>81</v>
      </c>
    </row>
    <row r="589" spans="1:33" x14ac:dyDescent="0.25">
      <c r="A589" t="str">
        <f>"1194070904"</f>
        <v>1194070904</v>
      </c>
      <c r="B589" t="str">
        <f>"03486931"</f>
        <v>03486931</v>
      </c>
      <c r="C589" t="s">
        <v>8453</v>
      </c>
      <c r="D589" t="s">
        <v>5854</v>
      </c>
      <c r="E589" t="s">
        <v>5855</v>
      </c>
      <c r="G589" t="s">
        <v>6380</v>
      </c>
      <c r="H589" t="s">
        <v>4625</v>
      </c>
      <c r="J589" t="s">
        <v>6381</v>
      </c>
      <c r="L589" t="s">
        <v>84</v>
      </c>
      <c r="M589" t="s">
        <v>85</v>
      </c>
      <c r="R589" t="s">
        <v>5856</v>
      </c>
      <c r="W589" t="s">
        <v>5855</v>
      </c>
      <c r="X589" t="s">
        <v>5857</v>
      </c>
      <c r="Y589" t="s">
        <v>4642</v>
      </c>
      <c r="Z589" t="s">
        <v>77</v>
      </c>
      <c r="AA589" t="str">
        <f>"10990-4105"</f>
        <v>10990-4105</v>
      </c>
      <c r="AB589" t="s">
        <v>78</v>
      </c>
      <c r="AC589" t="s">
        <v>79</v>
      </c>
      <c r="AD589" t="s">
        <v>75</v>
      </c>
      <c r="AE589" t="s">
        <v>80</v>
      </c>
      <c r="AG589" t="s">
        <v>81</v>
      </c>
    </row>
    <row r="590" spans="1:33" x14ac:dyDescent="0.25">
      <c r="A590" t="str">
        <f>"1578652392"</f>
        <v>1578652392</v>
      </c>
      <c r="B590" t="str">
        <f>"03492642"</f>
        <v>03492642</v>
      </c>
      <c r="C590" t="s">
        <v>8454</v>
      </c>
      <c r="D590" t="s">
        <v>8455</v>
      </c>
      <c r="E590" t="s">
        <v>8456</v>
      </c>
      <c r="G590" t="s">
        <v>6380</v>
      </c>
      <c r="H590" t="s">
        <v>4625</v>
      </c>
      <c r="J590" t="s">
        <v>6381</v>
      </c>
      <c r="L590" t="s">
        <v>83</v>
      </c>
      <c r="M590" t="s">
        <v>85</v>
      </c>
      <c r="R590" t="s">
        <v>8456</v>
      </c>
      <c r="W590" t="s">
        <v>8456</v>
      </c>
      <c r="X590" t="s">
        <v>6503</v>
      </c>
      <c r="Y590" t="s">
        <v>1823</v>
      </c>
      <c r="Z590" t="s">
        <v>77</v>
      </c>
      <c r="AA590" t="str">
        <f>"10941-7001"</f>
        <v>10941-7001</v>
      </c>
      <c r="AB590" t="s">
        <v>78</v>
      </c>
      <c r="AC590" t="s">
        <v>79</v>
      </c>
      <c r="AD590" t="s">
        <v>75</v>
      </c>
      <c r="AE590" t="s">
        <v>80</v>
      </c>
      <c r="AG590" t="s">
        <v>81</v>
      </c>
    </row>
    <row r="591" spans="1:33" x14ac:dyDescent="0.25">
      <c r="A591" t="str">
        <f>"1497963599"</f>
        <v>1497963599</v>
      </c>
      <c r="B591" t="str">
        <f>"03492775"</f>
        <v>03492775</v>
      </c>
      <c r="C591" t="s">
        <v>8457</v>
      </c>
      <c r="D591" t="s">
        <v>8458</v>
      </c>
      <c r="E591" t="s">
        <v>8459</v>
      </c>
      <c r="G591" t="s">
        <v>6380</v>
      </c>
      <c r="H591" t="s">
        <v>4625</v>
      </c>
      <c r="J591" t="s">
        <v>6381</v>
      </c>
      <c r="L591" t="s">
        <v>84</v>
      </c>
      <c r="M591" t="s">
        <v>85</v>
      </c>
      <c r="R591" t="s">
        <v>8459</v>
      </c>
      <c r="W591" t="s">
        <v>8459</v>
      </c>
      <c r="X591" t="s">
        <v>5857</v>
      </c>
      <c r="Y591" t="s">
        <v>4642</v>
      </c>
      <c r="Z591" t="s">
        <v>77</v>
      </c>
      <c r="AA591" t="str">
        <f>"10990-4105"</f>
        <v>10990-4105</v>
      </c>
      <c r="AB591" t="s">
        <v>78</v>
      </c>
      <c r="AC591" t="s">
        <v>79</v>
      </c>
      <c r="AD591" t="s">
        <v>75</v>
      </c>
      <c r="AE591" t="s">
        <v>80</v>
      </c>
      <c r="AG591" t="s">
        <v>81</v>
      </c>
    </row>
    <row r="592" spans="1:33" x14ac:dyDescent="0.25">
      <c r="A592" t="str">
        <f>"1750524625"</f>
        <v>1750524625</v>
      </c>
      <c r="B592" t="str">
        <f>"03492784"</f>
        <v>03492784</v>
      </c>
      <c r="C592" t="s">
        <v>8460</v>
      </c>
      <c r="D592" t="s">
        <v>8461</v>
      </c>
      <c r="E592" t="s">
        <v>8462</v>
      </c>
      <c r="G592" t="s">
        <v>6380</v>
      </c>
      <c r="H592" t="s">
        <v>4625</v>
      </c>
      <c r="J592" t="s">
        <v>6381</v>
      </c>
      <c r="L592" t="s">
        <v>84</v>
      </c>
      <c r="M592" t="s">
        <v>85</v>
      </c>
      <c r="R592" t="s">
        <v>8463</v>
      </c>
      <c r="W592" t="s">
        <v>8462</v>
      </c>
      <c r="X592" t="s">
        <v>1822</v>
      </c>
      <c r="Y592" t="s">
        <v>1823</v>
      </c>
      <c r="Z592" t="s">
        <v>77</v>
      </c>
      <c r="AA592" t="str">
        <f>"10941-4028"</f>
        <v>10941-4028</v>
      </c>
      <c r="AB592" t="s">
        <v>78</v>
      </c>
      <c r="AC592" t="s">
        <v>79</v>
      </c>
      <c r="AD592" t="s">
        <v>75</v>
      </c>
      <c r="AE592" t="s">
        <v>80</v>
      </c>
      <c r="AG592" t="s">
        <v>81</v>
      </c>
    </row>
    <row r="593" spans="1:33" x14ac:dyDescent="0.25">
      <c r="A593" t="str">
        <f>"1316273493"</f>
        <v>1316273493</v>
      </c>
      <c r="B593" t="str">
        <f>"03516814"</f>
        <v>03516814</v>
      </c>
      <c r="C593" t="s">
        <v>8464</v>
      </c>
      <c r="D593" t="s">
        <v>8465</v>
      </c>
      <c r="E593" t="s">
        <v>8466</v>
      </c>
      <c r="G593" t="s">
        <v>6380</v>
      </c>
      <c r="H593" t="s">
        <v>4625</v>
      </c>
      <c r="J593" t="s">
        <v>6381</v>
      </c>
      <c r="L593" t="s">
        <v>74</v>
      </c>
      <c r="M593" t="s">
        <v>85</v>
      </c>
      <c r="R593" t="s">
        <v>8467</v>
      </c>
      <c r="W593" t="s">
        <v>8466</v>
      </c>
      <c r="X593" t="s">
        <v>1822</v>
      </c>
      <c r="Y593" t="s">
        <v>1823</v>
      </c>
      <c r="Z593" t="s">
        <v>77</v>
      </c>
      <c r="AA593" t="str">
        <f>"10941-4028"</f>
        <v>10941-4028</v>
      </c>
      <c r="AB593" t="s">
        <v>78</v>
      </c>
      <c r="AC593" t="s">
        <v>79</v>
      </c>
      <c r="AD593" t="s">
        <v>75</v>
      </c>
      <c r="AE593" t="s">
        <v>80</v>
      </c>
      <c r="AG593" t="s">
        <v>81</v>
      </c>
    </row>
    <row r="594" spans="1:33" x14ac:dyDescent="0.25">
      <c r="A594" t="str">
        <f>"1063430478"</f>
        <v>1063430478</v>
      </c>
      <c r="B594" t="str">
        <f>"03556296"</f>
        <v>03556296</v>
      </c>
      <c r="C594" t="s">
        <v>8468</v>
      </c>
      <c r="D594" t="s">
        <v>8469</v>
      </c>
      <c r="E594" t="s">
        <v>5596</v>
      </c>
      <c r="G594" t="s">
        <v>6494</v>
      </c>
      <c r="H594" t="s">
        <v>6495</v>
      </c>
      <c r="J594" t="s">
        <v>6496</v>
      </c>
      <c r="L594" t="s">
        <v>105</v>
      </c>
      <c r="M594" t="s">
        <v>75</v>
      </c>
      <c r="R594" t="s">
        <v>5596</v>
      </c>
      <c r="W594" t="s">
        <v>8470</v>
      </c>
      <c r="X594" t="s">
        <v>7539</v>
      </c>
      <c r="Y594" t="s">
        <v>97</v>
      </c>
      <c r="Z594" t="s">
        <v>77</v>
      </c>
      <c r="AA594" t="str">
        <f>"10025-5752"</f>
        <v>10025-5752</v>
      </c>
      <c r="AB594" t="s">
        <v>113</v>
      </c>
      <c r="AC594" t="s">
        <v>79</v>
      </c>
      <c r="AD594" t="s">
        <v>75</v>
      </c>
      <c r="AE594" t="s">
        <v>80</v>
      </c>
      <c r="AG594" t="s">
        <v>81</v>
      </c>
    </row>
    <row r="595" spans="1:33" x14ac:dyDescent="0.25">
      <c r="A595" t="str">
        <f>"1962428904"</f>
        <v>1962428904</v>
      </c>
      <c r="B595" t="str">
        <f>"03431096"</f>
        <v>03431096</v>
      </c>
      <c r="C595" t="s">
        <v>8471</v>
      </c>
      <c r="D595" t="s">
        <v>2720</v>
      </c>
      <c r="E595" t="s">
        <v>2721</v>
      </c>
      <c r="H595" t="s">
        <v>626</v>
      </c>
      <c r="I595">
        <v>3226</v>
      </c>
      <c r="J595" t="s">
        <v>2722</v>
      </c>
      <c r="L595" t="s">
        <v>84</v>
      </c>
      <c r="M595" t="s">
        <v>85</v>
      </c>
      <c r="R595" t="s">
        <v>2721</v>
      </c>
      <c r="W595" t="s">
        <v>2723</v>
      </c>
      <c r="X595" t="s">
        <v>2724</v>
      </c>
      <c r="Y595" t="s">
        <v>131</v>
      </c>
      <c r="Z595" t="s">
        <v>77</v>
      </c>
      <c r="AA595" t="str">
        <f>"10452-2001"</f>
        <v>10452-2001</v>
      </c>
      <c r="AB595" t="s">
        <v>78</v>
      </c>
      <c r="AC595" t="s">
        <v>79</v>
      </c>
      <c r="AD595" t="s">
        <v>75</v>
      </c>
      <c r="AE595" t="s">
        <v>80</v>
      </c>
      <c r="AG595" t="s">
        <v>81</v>
      </c>
    </row>
    <row r="596" spans="1:33" x14ac:dyDescent="0.25">
      <c r="A596" t="str">
        <f>"1740549286"</f>
        <v>1740549286</v>
      </c>
      <c r="B596" t="str">
        <f>"03484888"</f>
        <v>03484888</v>
      </c>
      <c r="C596" t="s">
        <v>8472</v>
      </c>
      <c r="D596" t="s">
        <v>3659</v>
      </c>
      <c r="E596" t="s">
        <v>3660</v>
      </c>
      <c r="H596" t="s">
        <v>626</v>
      </c>
      <c r="J596" t="s">
        <v>3661</v>
      </c>
      <c r="L596" t="s">
        <v>84</v>
      </c>
      <c r="M596" t="s">
        <v>85</v>
      </c>
      <c r="R596" t="s">
        <v>3662</v>
      </c>
      <c r="W596" t="s">
        <v>3660</v>
      </c>
      <c r="X596" t="s">
        <v>2724</v>
      </c>
      <c r="Y596" t="s">
        <v>131</v>
      </c>
      <c r="Z596" t="s">
        <v>77</v>
      </c>
      <c r="AA596" t="str">
        <f>"10452-2001"</f>
        <v>10452-2001</v>
      </c>
      <c r="AB596" t="s">
        <v>78</v>
      </c>
      <c r="AC596" t="s">
        <v>79</v>
      </c>
      <c r="AD596" t="s">
        <v>75</v>
      </c>
      <c r="AE596" t="s">
        <v>80</v>
      </c>
      <c r="AG596" t="s">
        <v>81</v>
      </c>
    </row>
    <row r="597" spans="1:33" x14ac:dyDescent="0.25">
      <c r="A597" t="str">
        <f>"1801835830"</f>
        <v>1801835830</v>
      </c>
      <c r="B597" t="str">
        <f>"00846626"</f>
        <v>00846626</v>
      </c>
      <c r="C597" t="s">
        <v>8473</v>
      </c>
      <c r="D597" t="s">
        <v>3507</v>
      </c>
      <c r="E597" t="s">
        <v>3508</v>
      </c>
      <c r="H597" t="s">
        <v>626</v>
      </c>
      <c r="J597" t="s">
        <v>3509</v>
      </c>
      <c r="L597" t="s">
        <v>83</v>
      </c>
      <c r="M597" t="s">
        <v>75</v>
      </c>
      <c r="R597" t="s">
        <v>3510</v>
      </c>
      <c r="W597" t="s">
        <v>3508</v>
      </c>
      <c r="X597" t="s">
        <v>664</v>
      </c>
      <c r="Y597" t="s">
        <v>131</v>
      </c>
      <c r="Z597" t="s">
        <v>77</v>
      </c>
      <c r="AA597" t="str">
        <f>"10452-2001"</f>
        <v>10452-2001</v>
      </c>
      <c r="AB597" t="s">
        <v>128</v>
      </c>
      <c r="AC597" t="s">
        <v>79</v>
      </c>
      <c r="AD597" t="s">
        <v>75</v>
      </c>
      <c r="AE597" t="s">
        <v>80</v>
      </c>
      <c r="AG597" t="s">
        <v>81</v>
      </c>
    </row>
    <row r="598" spans="1:33" x14ac:dyDescent="0.25">
      <c r="A598" t="str">
        <f>"1134303084"</f>
        <v>1134303084</v>
      </c>
      <c r="B598" t="str">
        <f>"00490271"</f>
        <v>00490271</v>
      </c>
      <c r="C598" t="s">
        <v>8474</v>
      </c>
      <c r="D598" t="s">
        <v>5060</v>
      </c>
      <c r="E598" t="s">
        <v>5061</v>
      </c>
      <c r="G598" t="s">
        <v>6283</v>
      </c>
      <c r="H598" t="s">
        <v>4075</v>
      </c>
      <c r="I598">
        <v>249</v>
      </c>
      <c r="J598" t="s">
        <v>4076</v>
      </c>
      <c r="L598" t="s">
        <v>74</v>
      </c>
      <c r="M598" t="s">
        <v>85</v>
      </c>
      <c r="R598" t="s">
        <v>5062</v>
      </c>
      <c r="W598" t="s">
        <v>5061</v>
      </c>
      <c r="X598" t="s">
        <v>5063</v>
      </c>
      <c r="Y598" t="s">
        <v>91</v>
      </c>
      <c r="Z598" t="s">
        <v>77</v>
      </c>
      <c r="AA598" t="str">
        <f>"11373-5514"</f>
        <v>11373-5514</v>
      </c>
      <c r="AB598" t="s">
        <v>82</v>
      </c>
      <c r="AC598" t="s">
        <v>79</v>
      </c>
      <c r="AD598" t="s">
        <v>75</v>
      </c>
      <c r="AE598" t="s">
        <v>80</v>
      </c>
      <c r="AG598" t="s">
        <v>81</v>
      </c>
    </row>
    <row r="599" spans="1:33" x14ac:dyDescent="0.25">
      <c r="A599" t="str">
        <f>"1003016338"</f>
        <v>1003016338</v>
      </c>
      <c r="B599" t="str">
        <f>"03542243"</f>
        <v>03542243</v>
      </c>
      <c r="C599" t="s">
        <v>8475</v>
      </c>
      <c r="D599" t="s">
        <v>4272</v>
      </c>
      <c r="E599" t="s">
        <v>4273</v>
      </c>
      <c r="G599" t="s">
        <v>6283</v>
      </c>
      <c r="H599" t="s">
        <v>4075</v>
      </c>
      <c r="I599">
        <v>249</v>
      </c>
      <c r="J599" t="s">
        <v>4076</v>
      </c>
      <c r="L599" t="s">
        <v>74</v>
      </c>
      <c r="M599" t="s">
        <v>85</v>
      </c>
      <c r="R599" t="s">
        <v>4274</v>
      </c>
      <c r="W599" t="s">
        <v>4273</v>
      </c>
      <c r="X599" t="s">
        <v>4275</v>
      </c>
      <c r="Y599" t="s">
        <v>97</v>
      </c>
      <c r="Z599" t="s">
        <v>77</v>
      </c>
      <c r="AA599" t="str">
        <f>"10001-2823"</f>
        <v>10001-2823</v>
      </c>
      <c r="AB599" t="s">
        <v>82</v>
      </c>
      <c r="AC599" t="s">
        <v>79</v>
      </c>
      <c r="AD599" t="s">
        <v>75</v>
      </c>
      <c r="AE599" t="s">
        <v>80</v>
      </c>
      <c r="AG599" t="s">
        <v>81</v>
      </c>
    </row>
    <row r="600" spans="1:33" x14ac:dyDescent="0.25">
      <c r="A600" t="str">
        <f>"1003017211"</f>
        <v>1003017211</v>
      </c>
      <c r="B600" t="str">
        <f>"00863850"</f>
        <v>00863850</v>
      </c>
      <c r="C600" t="s">
        <v>8476</v>
      </c>
      <c r="D600" t="s">
        <v>4721</v>
      </c>
      <c r="E600" t="s">
        <v>4722</v>
      </c>
      <c r="G600" t="s">
        <v>7229</v>
      </c>
      <c r="H600" t="s">
        <v>4715</v>
      </c>
      <c r="J600" t="s">
        <v>5280</v>
      </c>
      <c r="L600" t="s">
        <v>37</v>
      </c>
      <c r="M600" t="s">
        <v>85</v>
      </c>
      <c r="R600" t="s">
        <v>4722</v>
      </c>
      <c r="W600" t="s">
        <v>4722</v>
      </c>
      <c r="X600" t="s">
        <v>4720</v>
      </c>
      <c r="Y600" t="s">
        <v>419</v>
      </c>
      <c r="Z600" t="s">
        <v>77</v>
      </c>
      <c r="AA600" t="str">
        <f>"10522-2835"</f>
        <v>10522-2835</v>
      </c>
      <c r="AB600" t="s">
        <v>107</v>
      </c>
      <c r="AC600" t="s">
        <v>79</v>
      </c>
      <c r="AD600" t="s">
        <v>75</v>
      </c>
      <c r="AE600" t="s">
        <v>80</v>
      </c>
      <c r="AG600" t="s">
        <v>81</v>
      </c>
    </row>
    <row r="601" spans="1:33" x14ac:dyDescent="0.25">
      <c r="A601" t="str">
        <f>"1396756524"</f>
        <v>1396756524</v>
      </c>
      <c r="B601" t="str">
        <f>"02023403"</f>
        <v>02023403</v>
      </c>
      <c r="C601" t="s">
        <v>8477</v>
      </c>
      <c r="D601" t="s">
        <v>1159</v>
      </c>
      <c r="E601" t="s">
        <v>1158</v>
      </c>
      <c r="G601" t="s">
        <v>7115</v>
      </c>
      <c r="H601" t="s">
        <v>7116</v>
      </c>
      <c r="J601" t="s">
        <v>5142</v>
      </c>
      <c r="L601" t="s">
        <v>149</v>
      </c>
      <c r="M601" t="s">
        <v>75</v>
      </c>
      <c r="R601" t="s">
        <v>1160</v>
      </c>
      <c r="W601" t="s">
        <v>1158</v>
      </c>
      <c r="X601" t="s">
        <v>930</v>
      </c>
      <c r="Y601" t="s">
        <v>131</v>
      </c>
      <c r="Z601" t="s">
        <v>77</v>
      </c>
      <c r="AA601" t="str">
        <f>"10461-2300"</f>
        <v>10461-2300</v>
      </c>
      <c r="AB601" t="s">
        <v>122</v>
      </c>
      <c r="AC601" t="s">
        <v>79</v>
      </c>
      <c r="AD601" t="s">
        <v>75</v>
      </c>
      <c r="AE601" t="s">
        <v>80</v>
      </c>
      <c r="AG601" t="s">
        <v>81</v>
      </c>
    </row>
    <row r="602" spans="1:33" x14ac:dyDescent="0.25">
      <c r="A602" t="str">
        <f>"1003858390"</f>
        <v>1003858390</v>
      </c>
      <c r="B602" t="str">
        <f>"00273107"</f>
        <v>00273107</v>
      </c>
      <c r="C602" t="s">
        <v>8478</v>
      </c>
      <c r="D602" t="s">
        <v>928</v>
      </c>
      <c r="E602" t="s">
        <v>927</v>
      </c>
      <c r="G602" t="s">
        <v>7115</v>
      </c>
      <c r="H602" t="s">
        <v>7116</v>
      </c>
      <c r="J602" t="s">
        <v>5142</v>
      </c>
      <c r="L602" t="s">
        <v>929</v>
      </c>
      <c r="M602" t="s">
        <v>85</v>
      </c>
      <c r="R602" t="s">
        <v>927</v>
      </c>
      <c r="W602" t="s">
        <v>927</v>
      </c>
      <c r="X602" t="s">
        <v>930</v>
      </c>
      <c r="Y602" t="s">
        <v>131</v>
      </c>
      <c r="Z602" t="s">
        <v>77</v>
      </c>
      <c r="AA602" t="str">
        <f>"10461-2392"</f>
        <v>10461-2392</v>
      </c>
      <c r="AB602" t="s">
        <v>93</v>
      </c>
      <c r="AC602" t="s">
        <v>79</v>
      </c>
      <c r="AD602" t="s">
        <v>75</v>
      </c>
      <c r="AE602" t="s">
        <v>80</v>
      </c>
      <c r="AG602" t="s">
        <v>81</v>
      </c>
    </row>
    <row r="603" spans="1:33" x14ac:dyDescent="0.25">
      <c r="A603" t="str">
        <f>"1982665311"</f>
        <v>1982665311</v>
      </c>
      <c r="B603" t="str">
        <f>"03570234"</f>
        <v>03570234</v>
      </c>
      <c r="C603" t="s">
        <v>8479</v>
      </c>
      <c r="D603" t="s">
        <v>8480</v>
      </c>
      <c r="E603" t="s">
        <v>8481</v>
      </c>
      <c r="G603" t="s">
        <v>6278</v>
      </c>
      <c r="H603" t="s">
        <v>6279</v>
      </c>
      <c r="J603" t="s">
        <v>6280</v>
      </c>
      <c r="L603" t="s">
        <v>83</v>
      </c>
      <c r="M603" t="s">
        <v>75</v>
      </c>
      <c r="R603" t="s">
        <v>8482</v>
      </c>
      <c r="W603" t="s">
        <v>8481</v>
      </c>
      <c r="X603" t="s">
        <v>8483</v>
      </c>
      <c r="Y603" t="s">
        <v>87</v>
      </c>
      <c r="Z603" t="s">
        <v>77</v>
      </c>
      <c r="AA603" t="str">
        <f>"11230-1401"</f>
        <v>11230-1401</v>
      </c>
      <c r="AB603" t="s">
        <v>78</v>
      </c>
      <c r="AC603" t="s">
        <v>79</v>
      </c>
      <c r="AD603" t="s">
        <v>75</v>
      </c>
      <c r="AE603" t="s">
        <v>80</v>
      </c>
      <c r="AG603" t="s">
        <v>81</v>
      </c>
    </row>
    <row r="604" spans="1:33" x14ac:dyDescent="0.25">
      <c r="A604" t="str">
        <f>"1740314533"</f>
        <v>1740314533</v>
      </c>
      <c r="B604" t="str">
        <f>"01191400"</f>
        <v>01191400</v>
      </c>
      <c r="C604" t="s">
        <v>8484</v>
      </c>
      <c r="D604" t="s">
        <v>8485</v>
      </c>
      <c r="E604" t="s">
        <v>8486</v>
      </c>
      <c r="G604" t="s">
        <v>6367</v>
      </c>
      <c r="H604" t="s">
        <v>4625</v>
      </c>
      <c r="J604" t="s">
        <v>6368</v>
      </c>
      <c r="L604" t="s">
        <v>84</v>
      </c>
      <c r="M604" t="s">
        <v>85</v>
      </c>
      <c r="R604" t="s">
        <v>8487</v>
      </c>
      <c r="W604" t="s">
        <v>8488</v>
      </c>
      <c r="Y604" t="s">
        <v>1823</v>
      </c>
      <c r="Z604" t="s">
        <v>77</v>
      </c>
      <c r="AA604" t="str">
        <f>"10940-3224"</f>
        <v>10940-3224</v>
      </c>
      <c r="AB604" t="s">
        <v>78</v>
      </c>
      <c r="AC604" t="s">
        <v>79</v>
      </c>
      <c r="AD604" t="s">
        <v>75</v>
      </c>
      <c r="AE604" t="s">
        <v>80</v>
      </c>
      <c r="AG604" t="s">
        <v>81</v>
      </c>
    </row>
    <row r="605" spans="1:33" x14ac:dyDescent="0.25">
      <c r="A605" t="str">
        <f>"1376777821"</f>
        <v>1376777821</v>
      </c>
      <c r="B605" t="str">
        <f>"03525720"</f>
        <v>03525720</v>
      </c>
      <c r="C605" t="s">
        <v>8489</v>
      </c>
      <c r="D605" t="s">
        <v>8490</v>
      </c>
      <c r="E605" t="s">
        <v>8491</v>
      </c>
      <c r="G605" t="s">
        <v>6367</v>
      </c>
      <c r="H605" t="s">
        <v>4625</v>
      </c>
      <c r="J605" t="s">
        <v>6368</v>
      </c>
      <c r="L605" t="s">
        <v>84</v>
      </c>
      <c r="M605" t="s">
        <v>85</v>
      </c>
      <c r="R605" t="s">
        <v>8491</v>
      </c>
      <c r="W605" t="s">
        <v>8491</v>
      </c>
      <c r="X605" t="s">
        <v>1822</v>
      </c>
      <c r="Y605" t="s">
        <v>1823</v>
      </c>
      <c r="Z605" t="s">
        <v>77</v>
      </c>
      <c r="AA605" t="str">
        <f>"10941-4028"</f>
        <v>10941-4028</v>
      </c>
      <c r="AB605" t="s">
        <v>78</v>
      </c>
      <c r="AC605" t="s">
        <v>79</v>
      </c>
      <c r="AD605" t="s">
        <v>75</v>
      </c>
      <c r="AE605" t="s">
        <v>80</v>
      </c>
      <c r="AG605" t="s">
        <v>81</v>
      </c>
    </row>
    <row r="606" spans="1:33" x14ac:dyDescent="0.25">
      <c r="A606" t="str">
        <f>"1649403668"</f>
        <v>1649403668</v>
      </c>
      <c r="B606" t="str">
        <f>"03609116"</f>
        <v>03609116</v>
      </c>
      <c r="C606" t="s">
        <v>8492</v>
      </c>
      <c r="D606" t="s">
        <v>8493</v>
      </c>
      <c r="E606" t="s">
        <v>8494</v>
      </c>
      <c r="G606" t="s">
        <v>6367</v>
      </c>
      <c r="H606" t="s">
        <v>4625</v>
      </c>
      <c r="J606" t="s">
        <v>6368</v>
      </c>
      <c r="L606" t="s">
        <v>83</v>
      </c>
      <c r="M606" t="s">
        <v>85</v>
      </c>
      <c r="R606" t="s">
        <v>8495</v>
      </c>
      <c r="W606" t="s">
        <v>8494</v>
      </c>
      <c r="X606" t="s">
        <v>1822</v>
      </c>
      <c r="Y606" t="s">
        <v>1823</v>
      </c>
      <c r="Z606" t="s">
        <v>77</v>
      </c>
      <c r="AA606" t="str">
        <f>"10941-4028"</f>
        <v>10941-4028</v>
      </c>
      <c r="AB606" t="s">
        <v>78</v>
      </c>
      <c r="AC606" t="s">
        <v>79</v>
      </c>
      <c r="AD606" t="s">
        <v>75</v>
      </c>
      <c r="AE606" t="s">
        <v>80</v>
      </c>
      <c r="AG606" t="s">
        <v>81</v>
      </c>
    </row>
    <row r="607" spans="1:33" x14ac:dyDescent="0.25">
      <c r="A607" t="str">
        <f>"1790937894"</f>
        <v>1790937894</v>
      </c>
      <c r="B607" t="str">
        <f>"03108849"</f>
        <v>03108849</v>
      </c>
      <c r="C607" t="s">
        <v>8496</v>
      </c>
      <c r="D607" t="s">
        <v>8497</v>
      </c>
      <c r="E607" t="s">
        <v>8498</v>
      </c>
      <c r="G607" t="s">
        <v>8499</v>
      </c>
      <c r="H607" t="s">
        <v>8500</v>
      </c>
      <c r="L607" t="s">
        <v>84</v>
      </c>
      <c r="M607" t="s">
        <v>85</v>
      </c>
      <c r="R607" t="s">
        <v>8501</v>
      </c>
      <c r="W607" t="s">
        <v>8501</v>
      </c>
      <c r="X607" t="s">
        <v>3910</v>
      </c>
      <c r="Y607" t="s">
        <v>216</v>
      </c>
      <c r="Z607" t="s">
        <v>77</v>
      </c>
      <c r="AA607" t="str">
        <f>"11691-3645"</f>
        <v>11691-3645</v>
      </c>
      <c r="AB607" t="s">
        <v>78</v>
      </c>
      <c r="AC607" t="s">
        <v>79</v>
      </c>
      <c r="AD607" t="s">
        <v>75</v>
      </c>
      <c r="AE607" t="s">
        <v>80</v>
      </c>
      <c r="AG607" t="s">
        <v>81</v>
      </c>
    </row>
    <row r="608" spans="1:33" x14ac:dyDescent="0.25">
      <c r="A608" t="str">
        <f>"1982807244"</f>
        <v>1982807244</v>
      </c>
      <c r="B608" t="str">
        <f>"00902621"</f>
        <v>00902621</v>
      </c>
      <c r="C608" t="s">
        <v>8502</v>
      </c>
      <c r="D608" t="s">
        <v>5185</v>
      </c>
      <c r="E608" t="s">
        <v>5186</v>
      </c>
      <c r="G608" t="s">
        <v>6283</v>
      </c>
      <c r="H608" t="s">
        <v>4075</v>
      </c>
      <c r="I608">
        <v>249</v>
      </c>
      <c r="J608" t="s">
        <v>4076</v>
      </c>
      <c r="L608" t="s">
        <v>74</v>
      </c>
      <c r="M608" t="s">
        <v>85</v>
      </c>
      <c r="R608" t="s">
        <v>5187</v>
      </c>
      <c r="W608" t="s">
        <v>5186</v>
      </c>
      <c r="X608" t="s">
        <v>5188</v>
      </c>
      <c r="Y608" t="s">
        <v>87</v>
      </c>
      <c r="Z608" t="s">
        <v>77</v>
      </c>
      <c r="AA608" t="str">
        <f>"11206-3326"</f>
        <v>11206-3326</v>
      </c>
      <c r="AB608" t="s">
        <v>82</v>
      </c>
      <c r="AC608" t="s">
        <v>79</v>
      </c>
      <c r="AD608" t="s">
        <v>75</v>
      </c>
      <c r="AE608" t="s">
        <v>80</v>
      </c>
      <c r="AG608" t="s">
        <v>81</v>
      </c>
    </row>
    <row r="609" spans="1:33" x14ac:dyDescent="0.25">
      <c r="A609" t="str">
        <f>"1457552838"</f>
        <v>1457552838</v>
      </c>
      <c r="B609" t="str">
        <f>"00981728"</f>
        <v>00981728</v>
      </c>
      <c r="C609" t="s">
        <v>8503</v>
      </c>
      <c r="D609" t="s">
        <v>5035</v>
      </c>
      <c r="E609" t="s">
        <v>5036</v>
      </c>
      <c r="G609" t="s">
        <v>6283</v>
      </c>
      <c r="H609" t="s">
        <v>4075</v>
      </c>
      <c r="I609">
        <v>249</v>
      </c>
      <c r="J609" t="s">
        <v>4076</v>
      </c>
      <c r="L609" t="s">
        <v>74</v>
      </c>
      <c r="M609" t="s">
        <v>85</v>
      </c>
      <c r="R609" t="s">
        <v>5037</v>
      </c>
      <c r="W609" t="s">
        <v>5036</v>
      </c>
      <c r="X609" t="s">
        <v>4082</v>
      </c>
      <c r="Y609" t="s">
        <v>91</v>
      </c>
      <c r="Z609" t="s">
        <v>77</v>
      </c>
      <c r="AA609" t="str">
        <f>"11373-4400"</f>
        <v>11373-4400</v>
      </c>
      <c r="AB609" t="s">
        <v>82</v>
      </c>
      <c r="AC609" t="s">
        <v>79</v>
      </c>
      <c r="AD609" t="s">
        <v>75</v>
      </c>
      <c r="AE609" t="s">
        <v>80</v>
      </c>
      <c r="AG609" t="s">
        <v>81</v>
      </c>
    </row>
    <row r="610" spans="1:33" x14ac:dyDescent="0.25">
      <c r="A610" t="str">
        <f>"1700198769"</f>
        <v>1700198769</v>
      </c>
      <c r="B610" t="str">
        <f>"03263572"</f>
        <v>03263572</v>
      </c>
      <c r="C610" t="s">
        <v>8504</v>
      </c>
      <c r="D610" t="s">
        <v>4981</v>
      </c>
      <c r="E610" t="s">
        <v>4982</v>
      </c>
      <c r="G610" t="s">
        <v>6283</v>
      </c>
      <c r="H610" t="s">
        <v>4075</v>
      </c>
      <c r="I610">
        <v>249</v>
      </c>
      <c r="J610" t="s">
        <v>4076</v>
      </c>
      <c r="L610" t="s">
        <v>74</v>
      </c>
      <c r="M610" t="s">
        <v>85</v>
      </c>
      <c r="R610" t="s">
        <v>4983</v>
      </c>
      <c r="W610" t="s">
        <v>4982</v>
      </c>
      <c r="X610" t="s">
        <v>4465</v>
      </c>
      <c r="Y610" t="s">
        <v>89</v>
      </c>
      <c r="Z610" t="s">
        <v>77</v>
      </c>
      <c r="AA610" t="str">
        <f>"13901-2312"</f>
        <v>13901-2312</v>
      </c>
      <c r="AB610" t="s">
        <v>82</v>
      </c>
      <c r="AC610" t="s">
        <v>79</v>
      </c>
      <c r="AD610" t="s">
        <v>75</v>
      </c>
      <c r="AE610" t="s">
        <v>80</v>
      </c>
      <c r="AG610" t="s">
        <v>81</v>
      </c>
    </row>
    <row r="611" spans="1:33" x14ac:dyDescent="0.25">
      <c r="A611" t="str">
        <f>"1336310762"</f>
        <v>1336310762</v>
      </c>
      <c r="B611" t="str">
        <f>"03536716"</f>
        <v>03536716</v>
      </c>
      <c r="C611" t="s">
        <v>8505</v>
      </c>
      <c r="D611" t="s">
        <v>8506</v>
      </c>
      <c r="E611" t="s">
        <v>8507</v>
      </c>
      <c r="G611" t="s">
        <v>6800</v>
      </c>
      <c r="H611" t="s">
        <v>6801</v>
      </c>
      <c r="I611">
        <v>6381</v>
      </c>
      <c r="J611" t="s">
        <v>6802</v>
      </c>
      <c r="L611" t="s">
        <v>74</v>
      </c>
      <c r="M611" t="s">
        <v>75</v>
      </c>
      <c r="R611" t="s">
        <v>8508</v>
      </c>
      <c r="W611" t="s">
        <v>8507</v>
      </c>
      <c r="X611" t="s">
        <v>8509</v>
      </c>
      <c r="Y611" t="s">
        <v>145</v>
      </c>
      <c r="Z611" t="s">
        <v>77</v>
      </c>
      <c r="AA611" t="str">
        <f>"11361-3241"</f>
        <v>11361-3241</v>
      </c>
      <c r="AB611" t="s">
        <v>136</v>
      </c>
      <c r="AC611" t="s">
        <v>79</v>
      </c>
      <c r="AD611" t="s">
        <v>75</v>
      </c>
      <c r="AE611" t="s">
        <v>80</v>
      </c>
      <c r="AG611" t="s">
        <v>81</v>
      </c>
    </row>
    <row r="612" spans="1:33" x14ac:dyDescent="0.25">
      <c r="A612" t="str">
        <f>"1548365539"</f>
        <v>1548365539</v>
      </c>
      <c r="B612" t="str">
        <f>"03539397"</f>
        <v>03539397</v>
      </c>
      <c r="C612" t="s">
        <v>8510</v>
      </c>
      <c r="D612" t="s">
        <v>8511</v>
      </c>
      <c r="E612" t="s">
        <v>8512</v>
      </c>
      <c r="G612" t="s">
        <v>6800</v>
      </c>
      <c r="H612" t="s">
        <v>6801</v>
      </c>
      <c r="I612">
        <v>6381</v>
      </c>
      <c r="J612" t="s">
        <v>6802</v>
      </c>
      <c r="L612" t="s">
        <v>74</v>
      </c>
      <c r="M612" t="s">
        <v>85</v>
      </c>
      <c r="R612" t="s">
        <v>8513</v>
      </c>
      <c r="W612" t="s">
        <v>8512</v>
      </c>
      <c r="X612" t="s">
        <v>8514</v>
      </c>
      <c r="Y612" t="s">
        <v>97</v>
      </c>
      <c r="Z612" t="s">
        <v>77</v>
      </c>
      <c r="AA612" t="str">
        <f>"10001-2382"</f>
        <v>10001-2382</v>
      </c>
      <c r="AB612" t="s">
        <v>82</v>
      </c>
      <c r="AC612" t="s">
        <v>79</v>
      </c>
      <c r="AD612" t="s">
        <v>75</v>
      </c>
      <c r="AE612" t="s">
        <v>80</v>
      </c>
      <c r="AG612" t="s">
        <v>81</v>
      </c>
    </row>
    <row r="613" spans="1:33" x14ac:dyDescent="0.25">
      <c r="A613" t="str">
        <f>"1407847635"</f>
        <v>1407847635</v>
      </c>
      <c r="B613" t="str">
        <f>"00719044"</f>
        <v>00719044</v>
      </c>
      <c r="C613" t="s">
        <v>8515</v>
      </c>
      <c r="D613" t="s">
        <v>8516</v>
      </c>
      <c r="E613" t="s">
        <v>8517</v>
      </c>
      <c r="G613" t="s">
        <v>8518</v>
      </c>
      <c r="H613" t="s">
        <v>8519</v>
      </c>
      <c r="L613" t="s">
        <v>16</v>
      </c>
      <c r="M613" t="s">
        <v>85</v>
      </c>
      <c r="R613" t="s">
        <v>8520</v>
      </c>
      <c r="W613" t="s">
        <v>8517</v>
      </c>
      <c r="X613" t="s">
        <v>8521</v>
      </c>
      <c r="Y613" t="s">
        <v>97</v>
      </c>
      <c r="Z613" t="s">
        <v>77</v>
      </c>
      <c r="AA613" t="str">
        <f>"10025-8073"</f>
        <v>10025-8073</v>
      </c>
      <c r="AB613" t="s">
        <v>132</v>
      </c>
      <c r="AC613" t="s">
        <v>79</v>
      </c>
      <c r="AD613" t="s">
        <v>75</v>
      </c>
      <c r="AE613" t="s">
        <v>80</v>
      </c>
      <c r="AG613" t="s">
        <v>81</v>
      </c>
    </row>
    <row r="614" spans="1:33" x14ac:dyDescent="0.25">
      <c r="A614" t="str">
        <f>"1881861524"</f>
        <v>1881861524</v>
      </c>
      <c r="B614" t="str">
        <f>"03346527"</f>
        <v>03346527</v>
      </c>
      <c r="C614" t="s">
        <v>8522</v>
      </c>
      <c r="D614" t="s">
        <v>3119</v>
      </c>
      <c r="E614" t="s">
        <v>3120</v>
      </c>
      <c r="H614" t="s">
        <v>626</v>
      </c>
      <c r="J614" t="s">
        <v>3121</v>
      </c>
      <c r="L614" t="s">
        <v>84</v>
      </c>
      <c r="M614" t="s">
        <v>85</v>
      </c>
      <c r="R614" t="s">
        <v>3122</v>
      </c>
      <c r="W614" t="s">
        <v>3123</v>
      </c>
      <c r="X614" t="s">
        <v>3124</v>
      </c>
      <c r="Y614" t="s">
        <v>131</v>
      </c>
      <c r="Z614" t="s">
        <v>77</v>
      </c>
      <c r="AA614" t="str">
        <f>"10457-7239"</f>
        <v>10457-7239</v>
      </c>
      <c r="AB614" t="s">
        <v>78</v>
      </c>
      <c r="AC614" t="s">
        <v>79</v>
      </c>
      <c r="AD614" t="s">
        <v>75</v>
      </c>
      <c r="AE614" t="s">
        <v>80</v>
      </c>
      <c r="AG614" t="s">
        <v>81</v>
      </c>
    </row>
    <row r="615" spans="1:33" x14ac:dyDescent="0.25">
      <c r="A615" t="str">
        <f>"1306839485"</f>
        <v>1306839485</v>
      </c>
      <c r="B615" t="str">
        <f>"02472851"</f>
        <v>02472851</v>
      </c>
      <c r="C615" t="s">
        <v>8523</v>
      </c>
      <c r="D615" t="s">
        <v>8524</v>
      </c>
      <c r="E615" t="s">
        <v>8525</v>
      </c>
      <c r="G615" t="s">
        <v>6367</v>
      </c>
      <c r="H615" t="s">
        <v>4625</v>
      </c>
      <c r="J615" t="s">
        <v>6368</v>
      </c>
      <c r="L615" t="s">
        <v>83</v>
      </c>
      <c r="M615" t="s">
        <v>85</v>
      </c>
      <c r="R615" t="s">
        <v>8526</v>
      </c>
      <c r="W615" t="s">
        <v>8527</v>
      </c>
      <c r="X615" t="s">
        <v>1822</v>
      </c>
      <c r="Y615" t="s">
        <v>1823</v>
      </c>
      <c r="Z615" t="s">
        <v>77</v>
      </c>
      <c r="AA615" t="str">
        <f>"10941-4028"</f>
        <v>10941-4028</v>
      </c>
      <c r="AB615" t="s">
        <v>78</v>
      </c>
      <c r="AC615" t="s">
        <v>79</v>
      </c>
      <c r="AD615" t="s">
        <v>75</v>
      </c>
      <c r="AE615" t="s">
        <v>80</v>
      </c>
      <c r="AG615" t="s">
        <v>81</v>
      </c>
    </row>
    <row r="616" spans="1:33" x14ac:dyDescent="0.25">
      <c r="A616" t="str">
        <f>"1114049459"</f>
        <v>1114049459</v>
      </c>
      <c r="B616" t="str">
        <f>"02895994"</f>
        <v>02895994</v>
      </c>
      <c r="C616" t="s">
        <v>8528</v>
      </c>
      <c r="D616" t="s">
        <v>8529</v>
      </c>
      <c r="E616" t="s">
        <v>8530</v>
      </c>
      <c r="G616" t="s">
        <v>8531</v>
      </c>
      <c r="H616" t="s">
        <v>1482</v>
      </c>
      <c r="L616" t="s">
        <v>105</v>
      </c>
      <c r="M616" t="s">
        <v>75</v>
      </c>
      <c r="R616" t="s">
        <v>8532</v>
      </c>
      <c r="W616" t="s">
        <v>8530</v>
      </c>
      <c r="X616" t="s">
        <v>8533</v>
      </c>
      <c r="Y616" t="s">
        <v>141</v>
      </c>
      <c r="Z616" t="s">
        <v>77</v>
      </c>
      <c r="AA616" t="str">
        <f>"11377-3790"</f>
        <v>11377-3790</v>
      </c>
      <c r="AB616" t="s">
        <v>113</v>
      </c>
      <c r="AC616" t="s">
        <v>79</v>
      </c>
      <c r="AD616" t="s">
        <v>75</v>
      </c>
      <c r="AE616" t="s">
        <v>80</v>
      </c>
      <c r="AG616" t="s">
        <v>81</v>
      </c>
    </row>
    <row r="617" spans="1:33" x14ac:dyDescent="0.25">
      <c r="A617" t="str">
        <f>"1184642068"</f>
        <v>1184642068</v>
      </c>
      <c r="B617" t="str">
        <f>"01124469"</f>
        <v>01124469</v>
      </c>
      <c r="C617" t="s">
        <v>8534</v>
      </c>
      <c r="D617" t="s">
        <v>8535</v>
      </c>
      <c r="E617" t="s">
        <v>8536</v>
      </c>
      <c r="G617" t="s">
        <v>8534</v>
      </c>
      <c r="H617" t="s">
        <v>8537</v>
      </c>
      <c r="L617" t="s">
        <v>94</v>
      </c>
      <c r="M617" t="s">
        <v>75</v>
      </c>
      <c r="W617" t="s">
        <v>8536</v>
      </c>
      <c r="X617" t="s">
        <v>8538</v>
      </c>
      <c r="Y617" t="s">
        <v>97</v>
      </c>
      <c r="Z617" t="s">
        <v>77</v>
      </c>
      <c r="AA617" t="str">
        <f>"10025"</f>
        <v>10025</v>
      </c>
      <c r="AB617" t="s">
        <v>78</v>
      </c>
      <c r="AC617" t="s">
        <v>79</v>
      </c>
      <c r="AD617" t="s">
        <v>75</v>
      </c>
      <c r="AE617" t="s">
        <v>80</v>
      </c>
      <c r="AG617" t="s">
        <v>81</v>
      </c>
    </row>
    <row r="618" spans="1:33" x14ac:dyDescent="0.25">
      <c r="A618" t="str">
        <f>"1518226869"</f>
        <v>1518226869</v>
      </c>
      <c r="B618" t="str">
        <f>"03779444"</f>
        <v>03779444</v>
      </c>
      <c r="C618" t="s">
        <v>8539</v>
      </c>
      <c r="D618" t="s">
        <v>8540</v>
      </c>
      <c r="E618" t="s">
        <v>8541</v>
      </c>
      <c r="G618" t="s">
        <v>8539</v>
      </c>
      <c r="H618" t="s">
        <v>8542</v>
      </c>
      <c r="L618" t="s">
        <v>74</v>
      </c>
      <c r="M618" t="s">
        <v>75</v>
      </c>
      <c r="R618" t="s">
        <v>8541</v>
      </c>
      <c r="W618" t="s">
        <v>8541</v>
      </c>
      <c r="X618" t="s">
        <v>4305</v>
      </c>
      <c r="Y618" t="s">
        <v>87</v>
      </c>
      <c r="Z618" t="s">
        <v>77</v>
      </c>
      <c r="AA618" t="str">
        <f>"11226-6903"</f>
        <v>11226-6903</v>
      </c>
      <c r="AB618" t="s">
        <v>78</v>
      </c>
      <c r="AC618" t="s">
        <v>79</v>
      </c>
      <c r="AD618" t="s">
        <v>75</v>
      </c>
      <c r="AE618" t="s">
        <v>80</v>
      </c>
      <c r="AG618" t="s">
        <v>81</v>
      </c>
    </row>
    <row r="619" spans="1:33" x14ac:dyDescent="0.25">
      <c r="A619" t="str">
        <f>"1649229188"</f>
        <v>1649229188</v>
      </c>
      <c r="B619" t="str">
        <f>"00758301"</f>
        <v>00758301</v>
      </c>
      <c r="C619" t="s">
        <v>8543</v>
      </c>
      <c r="D619" t="s">
        <v>8544</v>
      </c>
      <c r="E619" t="s">
        <v>8545</v>
      </c>
      <c r="G619" t="s">
        <v>8546</v>
      </c>
      <c r="H619" t="s">
        <v>8547</v>
      </c>
      <c r="L619" t="s">
        <v>84</v>
      </c>
      <c r="M619" t="s">
        <v>85</v>
      </c>
      <c r="R619" t="s">
        <v>8548</v>
      </c>
      <c r="W619" t="s">
        <v>8545</v>
      </c>
      <c r="X619" t="s">
        <v>8549</v>
      </c>
      <c r="Y619" t="s">
        <v>87</v>
      </c>
      <c r="Z619" t="s">
        <v>77</v>
      </c>
      <c r="AA619" t="str">
        <f>"11203-1809"</f>
        <v>11203-1809</v>
      </c>
      <c r="AB619" t="s">
        <v>78</v>
      </c>
      <c r="AC619" t="s">
        <v>79</v>
      </c>
      <c r="AD619" t="s">
        <v>75</v>
      </c>
      <c r="AE619" t="s">
        <v>80</v>
      </c>
      <c r="AG619" t="s">
        <v>81</v>
      </c>
    </row>
    <row r="620" spans="1:33" x14ac:dyDescent="0.25">
      <c r="A620" t="str">
        <f>"1033119599"</f>
        <v>1033119599</v>
      </c>
      <c r="B620" t="str">
        <f>"01026815"</f>
        <v>01026815</v>
      </c>
      <c r="C620" t="s">
        <v>8550</v>
      </c>
      <c r="D620" t="s">
        <v>5300</v>
      </c>
      <c r="E620" t="s">
        <v>5301</v>
      </c>
      <c r="G620" t="s">
        <v>8551</v>
      </c>
      <c r="H620" t="s">
        <v>3245</v>
      </c>
      <c r="I620">
        <v>241</v>
      </c>
      <c r="J620" t="s">
        <v>8552</v>
      </c>
      <c r="L620" t="s">
        <v>84</v>
      </c>
      <c r="M620" t="s">
        <v>75</v>
      </c>
      <c r="R620" t="s">
        <v>5302</v>
      </c>
      <c r="W620" t="s">
        <v>5301</v>
      </c>
      <c r="X620" t="s">
        <v>5303</v>
      </c>
      <c r="Y620" t="s">
        <v>3246</v>
      </c>
      <c r="Z620" t="s">
        <v>77</v>
      </c>
      <c r="AA620" t="str">
        <f>"10913-1916"</f>
        <v>10913-1916</v>
      </c>
      <c r="AB620" t="s">
        <v>78</v>
      </c>
      <c r="AC620" t="s">
        <v>79</v>
      </c>
      <c r="AD620" t="s">
        <v>75</v>
      </c>
      <c r="AE620" t="s">
        <v>80</v>
      </c>
      <c r="AG620" t="s">
        <v>81</v>
      </c>
    </row>
    <row r="621" spans="1:33" x14ac:dyDescent="0.25">
      <c r="A621" t="str">
        <f>"1407919400"</f>
        <v>1407919400</v>
      </c>
      <c r="B621" t="str">
        <f>"02349993"</f>
        <v>02349993</v>
      </c>
      <c r="C621" t="s">
        <v>8553</v>
      </c>
      <c r="D621" t="s">
        <v>4925</v>
      </c>
      <c r="E621" t="s">
        <v>4926</v>
      </c>
      <c r="G621" t="s">
        <v>6283</v>
      </c>
      <c r="H621" t="s">
        <v>4075</v>
      </c>
      <c r="I621">
        <v>249</v>
      </c>
      <c r="J621" t="s">
        <v>4076</v>
      </c>
      <c r="L621" t="s">
        <v>74</v>
      </c>
      <c r="M621" t="s">
        <v>85</v>
      </c>
      <c r="R621" t="s">
        <v>4927</v>
      </c>
      <c r="W621" t="s">
        <v>4926</v>
      </c>
      <c r="X621" t="s">
        <v>4086</v>
      </c>
      <c r="Y621" t="s">
        <v>2068</v>
      </c>
      <c r="Z621" t="s">
        <v>77</v>
      </c>
      <c r="AA621" t="str">
        <f>"11725-2813"</f>
        <v>11725-2813</v>
      </c>
      <c r="AB621" t="s">
        <v>82</v>
      </c>
      <c r="AC621" t="s">
        <v>79</v>
      </c>
      <c r="AD621" t="s">
        <v>75</v>
      </c>
      <c r="AE621" t="s">
        <v>80</v>
      </c>
      <c r="AG621" t="s">
        <v>81</v>
      </c>
    </row>
    <row r="622" spans="1:33" x14ac:dyDescent="0.25">
      <c r="A622" t="str">
        <f>"1972714699"</f>
        <v>1972714699</v>
      </c>
      <c r="B622" t="str">
        <f>"00857763"</f>
        <v>00857763</v>
      </c>
      <c r="C622" t="s">
        <v>8554</v>
      </c>
      <c r="D622" t="s">
        <v>5182</v>
      </c>
      <c r="E622" t="s">
        <v>5183</v>
      </c>
      <c r="G622" t="s">
        <v>6283</v>
      </c>
      <c r="H622" t="s">
        <v>4075</v>
      </c>
      <c r="I622">
        <v>249</v>
      </c>
      <c r="J622" t="s">
        <v>4076</v>
      </c>
      <c r="L622" t="s">
        <v>74</v>
      </c>
      <c r="M622" t="s">
        <v>85</v>
      </c>
      <c r="R622" t="s">
        <v>5184</v>
      </c>
      <c r="W622" t="s">
        <v>5183</v>
      </c>
      <c r="X622" t="s">
        <v>4931</v>
      </c>
      <c r="Y622" t="s">
        <v>155</v>
      </c>
      <c r="Z622" t="s">
        <v>77</v>
      </c>
      <c r="AA622" t="str">
        <f>"10314-1570"</f>
        <v>10314-1570</v>
      </c>
      <c r="AB622" t="s">
        <v>82</v>
      </c>
      <c r="AC622" t="s">
        <v>79</v>
      </c>
      <c r="AD622" t="s">
        <v>75</v>
      </c>
      <c r="AE622" t="s">
        <v>80</v>
      </c>
      <c r="AG622" t="s">
        <v>81</v>
      </c>
    </row>
    <row r="623" spans="1:33" x14ac:dyDescent="0.25">
      <c r="A623" t="str">
        <f>"1316259534"</f>
        <v>1316259534</v>
      </c>
      <c r="B623" t="str">
        <f>"03424513"</f>
        <v>03424513</v>
      </c>
      <c r="C623" t="s">
        <v>8555</v>
      </c>
      <c r="D623" t="s">
        <v>5071</v>
      </c>
      <c r="E623" t="s">
        <v>5072</v>
      </c>
      <c r="G623" t="s">
        <v>6283</v>
      </c>
      <c r="H623" t="s">
        <v>4075</v>
      </c>
      <c r="I623">
        <v>249</v>
      </c>
      <c r="J623" t="s">
        <v>4076</v>
      </c>
      <c r="L623" t="s">
        <v>74</v>
      </c>
      <c r="M623" t="s">
        <v>85</v>
      </c>
      <c r="R623" t="s">
        <v>5073</v>
      </c>
      <c r="W623" t="s">
        <v>5072</v>
      </c>
      <c r="X623" t="s">
        <v>5074</v>
      </c>
      <c r="Y623" t="s">
        <v>87</v>
      </c>
      <c r="Z623" t="s">
        <v>77</v>
      </c>
      <c r="AA623" t="str">
        <f>"11235-1701"</f>
        <v>11235-1701</v>
      </c>
      <c r="AB623" t="s">
        <v>82</v>
      </c>
      <c r="AC623" t="s">
        <v>79</v>
      </c>
      <c r="AD623" t="s">
        <v>75</v>
      </c>
      <c r="AE623" t="s">
        <v>80</v>
      </c>
      <c r="AG623" t="s">
        <v>81</v>
      </c>
    </row>
    <row r="624" spans="1:33" x14ac:dyDescent="0.25">
      <c r="A624" t="str">
        <f>"1558562587"</f>
        <v>1558562587</v>
      </c>
      <c r="B624" t="str">
        <f>"01468937"</f>
        <v>01468937</v>
      </c>
      <c r="C624" t="s">
        <v>8556</v>
      </c>
      <c r="D624" t="s">
        <v>4963</v>
      </c>
      <c r="E624" t="s">
        <v>4964</v>
      </c>
      <c r="G624" t="s">
        <v>6283</v>
      </c>
      <c r="H624" t="s">
        <v>4075</v>
      </c>
      <c r="I624">
        <v>249</v>
      </c>
      <c r="J624" t="s">
        <v>4076</v>
      </c>
      <c r="L624" t="s">
        <v>74</v>
      </c>
      <c r="M624" t="s">
        <v>85</v>
      </c>
      <c r="R624" t="s">
        <v>4965</v>
      </c>
      <c r="W624" t="s">
        <v>4964</v>
      </c>
      <c r="X624" t="s">
        <v>4966</v>
      </c>
      <c r="Y624" t="s">
        <v>155</v>
      </c>
      <c r="Z624" t="s">
        <v>77</v>
      </c>
      <c r="AA624" t="str">
        <f>"10314-2154"</f>
        <v>10314-2154</v>
      </c>
      <c r="AB624" t="s">
        <v>82</v>
      </c>
      <c r="AC624" t="s">
        <v>79</v>
      </c>
      <c r="AD624" t="s">
        <v>75</v>
      </c>
      <c r="AE624" t="s">
        <v>80</v>
      </c>
      <c r="AG624" t="s">
        <v>81</v>
      </c>
    </row>
    <row r="625" spans="1:33" x14ac:dyDescent="0.25">
      <c r="A625" t="str">
        <f>"1902853138"</f>
        <v>1902853138</v>
      </c>
      <c r="B625" t="str">
        <f>"03405709"</f>
        <v>03405709</v>
      </c>
      <c r="C625" t="s">
        <v>8557</v>
      </c>
      <c r="D625" t="s">
        <v>5177</v>
      </c>
      <c r="E625" t="s">
        <v>5178</v>
      </c>
      <c r="G625" t="s">
        <v>6283</v>
      </c>
      <c r="H625" t="s">
        <v>4075</v>
      </c>
      <c r="I625">
        <v>249</v>
      </c>
      <c r="J625" t="s">
        <v>4076</v>
      </c>
      <c r="L625" t="s">
        <v>74</v>
      </c>
      <c r="M625" t="s">
        <v>85</v>
      </c>
      <c r="R625" t="s">
        <v>5179</v>
      </c>
      <c r="W625" t="s">
        <v>5180</v>
      </c>
      <c r="X625" t="s">
        <v>5181</v>
      </c>
      <c r="Y625" t="s">
        <v>87</v>
      </c>
      <c r="Z625" t="s">
        <v>77</v>
      </c>
      <c r="AA625" t="str">
        <f>"11229-1002"</f>
        <v>11229-1002</v>
      </c>
      <c r="AB625" t="s">
        <v>82</v>
      </c>
      <c r="AC625" t="s">
        <v>79</v>
      </c>
      <c r="AD625" t="s">
        <v>75</v>
      </c>
      <c r="AE625" t="s">
        <v>80</v>
      </c>
      <c r="AG625" t="s">
        <v>81</v>
      </c>
    </row>
    <row r="626" spans="1:33" x14ac:dyDescent="0.25">
      <c r="A626" t="str">
        <f>"1538378559"</f>
        <v>1538378559</v>
      </c>
      <c r="B626" t="str">
        <f>"01892286"</f>
        <v>01892286</v>
      </c>
      <c r="C626" t="s">
        <v>8558</v>
      </c>
      <c r="D626" t="s">
        <v>5043</v>
      </c>
      <c r="E626" t="s">
        <v>5044</v>
      </c>
      <c r="G626" t="s">
        <v>6283</v>
      </c>
      <c r="H626" t="s">
        <v>4075</v>
      </c>
      <c r="I626">
        <v>249</v>
      </c>
      <c r="J626" t="s">
        <v>4076</v>
      </c>
      <c r="L626" t="s">
        <v>74</v>
      </c>
      <c r="M626" t="s">
        <v>85</v>
      </c>
      <c r="R626" t="s">
        <v>5045</v>
      </c>
      <c r="W626" t="s">
        <v>5044</v>
      </c>
      <c r="X626" t="s">
        <v>4931</v>
      </c>
      <c r="Y626" t="s">
        <v>155</v>
      </c>
      <c r="Z626" t="s">
        <v>77</v>
      </c>
      <c r="AA626" t="str">
        <f>"10314-1570"</f>
        <v>10314-1570</v>
      </c>
      <c r="AB626" t="s">
        <v>82</v>
      </c>
      <c r="AC626" t="s">
        <v>79</v>
      </c>
      <c r="AD626" t="s">
        <v>75</v>
      </c>
      <c r="AE626" t="s">
        <v>80</v>
      </c>
      <c r="AG626" t="s">
        <v>81</v>
      </c>
    </row>
    <row r="627" spans="1:33" x14ac:dyDescent="0.25">
      <c r="A627" t="str">
        <f>"1043530496"</f>
        <v>1043530496</v>
      </c>
      <c r="B627" t="str">
        <f>"03371928"</f>
        <v>03371928</v>
      </c>
      <c r="C627" t="s">
        <v>8559</v>
      </c>
      <c r="D627" t="s">
        <v>4704</v>
      </c>
      <c r="E627" t="s">
        <v>4705</v>
      </c>
      <c r="G627" t="s">
        <v>6283</v>
      </c>
      <c r="H627" t="s">
        <v>4075</v>
      </c>
      <c r="I627">
        <v>249</v>
      </c>
      <c r="J627" t="s">
        <v>4076</v>
      </c>
      <c r="L627" t="s">
        <v>74</v>
      </c>
      <c r="M627" t="s">
        <v>85</v>
      </c>
      <c r="R627" t="s">
        <v>4706</v>
      </c>
      <c r="W627" t="s">
        <v>4705</v>
      </c>
      <c r="X627" t="s">
        <v>4707</v>
      </c>
      <c r="Y627" t="s">
        <v>87</v>
      </c>
      <c r="Z627" t="s">
        <v>77</v>
      </c>
      <c r="AA627" t="str">
        <f>"11213-4108"</f>
        <v>11213-4108</v>
      </c>
      <c r="AB627" t="s">
        <v>82</v>
      </c>
      <c r="AC627" t="s">
        <v>79</v>
      </c>
      <c r="AD627" t="s">
        <v>75</v>
      </c>
      <c r="AE627" t="s">
        <v>80</v>
      </c>
      <c r="AG627" t="s">
        <v>81</v>
      </c>
    </row>
    <row r="628" spans="1:33" x14ac:dyDescent="0.25">
      <c r="A628" t="str">
        <f>"1073849048"</f>
        <v>1073849048</v>
      </c>
      <c r="B628" t="str">
        <f>"01469218"</f>
        <v>01469218</v>
      </c>
      <c r="C628" t="s">
        <v>8560</v>
      </c>
      <c r="D628" t="s">
        <v>4261</v>
      </c>
      <c r="E628" t="s">
        <v>4262</v>
      </c>
      <c r="G628" t="s">
        <v>6283</v>
      </c>
      <c r="H628" t="s">
        <v>4075</v>
      </c>
      <c r="I628">
        <v>249</v>
      </c>
      <c r="J628" t="s">
        <v>4076</v>
      </c>
      <c r="L628" t="s">
        <v>74</v>
      </c>
      <c r="M628" t="s">
        <v>75</v>
      </c>
      <c r="R628" t="s">
        <v>4263</v>
      </c>
      <c r="W628" t="s">
        <v>4262</v>
      </c>
      <c r="X628" t="s">
        <v>4264</v>
      </c>
      <c r="Y628" t="s">
        <v>236</v>
      </c>
      <c r="Z628" t="s">
        <v>77</v>
      </c>
      <c r="AA628" t="str">
        <f>"11103-3801"</f>
        <v>11103-3801</v>
      </c>
      <c r="AB628" t="s">
        <v>82</v>
      </c>
      <c r="AC628" t="s">
        <v>79</v>
      </c>
      <c r="AD628" t="s">
        <v>75</v>
      </c>
      <c r="AE628" t="s">
        <v>80</v>
      </c>
      <c r="AG628" t="s">
        <v>81</v>
      </c>
    </row>
    <row r="629" spans="1:33" x14ac:dyDescent="0.25">
      <c r="A629" t="str">
        <f>"1639214083"</f>
        <v>1639214083</v>
      </c>
      <c r="B629" t="str">
        <f>"01014988"</f>
        <v>01014988</v>
      </c>
      <c r="C629" t="s">
        <v>8561</v>
      </c>
      <c r="D629" t="s">
        <v>4970</v>
      </c>
      <c r="E629" t="s">
        <v>4971</v>
      </c>
      <c r="G629" t="s">
        <v>6283</v>
      </c>
      <c r="H629" t="s">
        <v>4075</v>
      </c>
      <c r="I629">
        <v>249</v>
      </c>
      <c r="J629" t="s">
        <v>4076</v>
      </c>
      <c r="L629" t="s">
        <v>74</v>
      </c>
      <c r="M629" t="s">
        <v>85</v>
      </c>
      <c r="R629" t="s">
        <v>4972</v>
      </c>
      <c r="W629" t="s">
        <v>4973</v>
      </c>
      <c r="X629" t="s">
        <v>4974</v>
      </c>
      <c r="Y629" t="s">
        <v>227</v>
      </c>
      <c r="Z629" t="s">
        <v>77</v>
      </c>
      <c r="AA629" t="str">
        <f>"10601-1876"</f>
        <v>10601-1876</v>
      </c>
      <c r="AB629" t="s">
        <v>82</v>
      </c>
      <c r="AC629" t="s">
        <v>79</v>
      </c>
      <c r="AD629" t="s">
        <v>75</v>
      </c>
      <c r="AE629" t="s">
        <v>80</v>
      </c>
      <c r="AG629" t="s">
        <v>81</v>
      </c>
    </row>
    <row r="630" spans="1:33" x14ac:dyDescent="0.25">
      <c r="A630" t="str">
        <f>"1003866153"</f>
        <v>1003866153</v>
      </c>
      <c r="B630" t="str">
        <f>"02954621"</f>
        <v>02954621</v>
      </c>
      <c r="C630" t="s">
        <v>8562</v>
      </c>
      <c r="D630" t="s">
        <v>4701</v>
      </c>
      <c r="E630" t="s">
        <v>4702</v>
      </c>
      <c r="G630" t="s">
        <v>6283</v>
      </c>
      <c r="H630" t="s">
        <v>4075</v>
      </c>
      <c r="I630">
        <v>249</v>
      </c>
      <c r="J630" t="s">
        <v>4076</v>
      </c>
      <c r="L630" t="s">
        <v>74</v>
      </c>
      <c r="M630" t="s">
        <v>85</v>
      </c>
      <c r="W630" t="s">
        <v>4702</v>
      </c>
      <c r="X630" t="s">
        <v>4703</v>
      </c>
      <c r="Y630" t="s">
        <v>179</v>
      </c>
      <c r="Z630" t="s">
        <v>77</v>
      </c>
      <c r="AA630" t="str">
        <f>"11550-4549"</f>
        <v>11550-4549</v>
      </c>
      <c r="AB630" t="s">
        <v>82</v>
      </c>
      <c r="AC630" t="s">
        <v>79</v>
      </c>
      <c r="AD630" t="s">
        <v>75</v>
      </c>
      <c r="AE630" t="s">
        <v>80</v>
      </c>
      <c r="AG630" t="s">
        <v>81</v>
      </c>
    </row>
    <row r="631" spans="1:33" x14ac:dyDescent="0.25">
      <c r="C631" t="s">
        <v>8563</v>
      </c>
      <c r="H631" t="s">
        <v>685</v>
      </c>
      <c r="K631" t="s">
        <v>206</v>
      </c>
      <c r="L631" t="s">
        <v>100</v>
      </c>
      <c r="M631" t="s">
        <v>75</v>
      </c>
      <c r="N631" t="s">
        <v>8564</v>
      </c>
      <c r="O631" t="s">
        <v>8565</v>
      </c>
      <c r="P631" t="s">
        <v>8566</v>
      </c>
      <c r="Q631" t="str">
        <f t="shared" ref="Q631:Q636" si="1">"11375"</f>
        <v>11375</v>
      </c>
      <c r="AC631" t="s">
        <v>79</v>
      </c>
      <c r="AD631" t="s">
        <v>75</v>
      </c>
      <c r="AE631" t="s">
        <v>101</v>
      </c>
      <c r="AG631" t="s">
        <v>81</v>
      </c>
    </row>
    <row r="632" spans="1:33" x14ac:dyDescent="0.25">
      <c r="C632" t="s">
        <v>8567</v>
      </c>
      <c r="H632" t="s">
        <v>685</v>
      </c>
      <c r="K632" t="s">
        <v>206</v>
      </c>
      <c r="L632" t="s">
        <v>100</v>
      </c>
      <c r="M632" t="s">
        <v>75</v>
      </c>
      <c r="N632" t="s">
        <v>8564</v>
      </c>
      <c r="O632" t="s">
        <v>8565</v>
      </c>
      <c r="P632" t="s">
        <v>8566</v>
      </c>
      <c r="Q632" t="str">
        <f t="shared" si="1"/>
        <v>11375</v>
      </c>
      <c r="AC632" t="s">
        <v>79</v>
      </c>
      <c r="AD632" t="s">
        <v>75</v>
      </c>
      <c r="AE632" t="s">
        <v>101</v>
      </c>
      <c r="AG632" t="s">
        <v>81</v>
      </c>
    </row>
    <row r="633" spans="1:33" x14ac:dyDescent="0.25">
      <c r="C633" t="s">
        <v>8568</v>
      </c>
      <c r="H633" t="s">
        <v>685</v>
      </c>
      <c r="K633" t="s">
        <v>206</v>
      </c>
      <c r="L633" t="s">
        <v>100</v>
      </c>
      <c r="M633" t="s">
        <v>75</v>
      </c>
      <c r="N633" t="s">
        <v>8564</v>
      </c>
      <c r="O633" t="s">
        <v>8565</v>
      </c>
      <c r="P633" t="s">
        <v>8566</v>
      </c>
      <c r="Q633" t="str">
        <f t="shared" si="1"/>
        <v>11375</v>
      </c>
      <c r="AC633" t="s">
        <v>79</v>
      </c>
      <c r="AD633" t="s">
        <v>75</v>
      </c>
      <c r="AE633" t="s">
        <v>101</v>
      </c>
      <c r="AG633" t="s">
        <v>81</v>
      </c>
    </row>
    <row r="634" spans="1:33" x14ac:dyDescent="0.25">
      <c r="C634" t="s">
        <v>8569</v>
      </c>
      <c r="H634" t="s">
        <v>685</v>
      </c>
      <c r="K634" t="s">
        <v>206</v>
      </c>
      <c r="L634" t="s">
        <v>100</v>
      </c>
      <c r="M634" t="s">
        <v>75</v>
      </c>
      <c r="N634" t="s">
        <v>8564</v>
      </c>
      <c r="O634" t="s">
        <v>8565</v>
      </c>
      <c r="P634" t="s">
        <v>8566</v>
      </c>
      <c r="Q634" t="str">
        <f t="shared" si="1"/>
        <v>11375</v>
      </c>
      <c r="AC634" t="s">
        <v>79</v>
      </c>
      <c r="AD634" t="s">
        <v>75</v>
      </c>
      <c r="AE634" t="s">
        <v>101</v>
      </c>
      <c r="AG634" t="s">
        <v>81</v>
      </c>
    </row>
    <row r="635" spans="1:33" x14ac:dyDescent="0.25">
      <c r="C635" t="s">
        <v>8570</v>
      </c>
      <c r="H635" t="s">
        <v>685</v>
      </c>
      <c r="K635" t="s">
        <v>206</v>
      </c>
      <c r="L635" t="s">
        <v>100</v>
      </c>
      <c r="M635" t="s">
        <v>75</v>
      </c>
      <c r="N635" t="s">
        <v>8564</v>
      </c>
      <c r="O635" t="s">
        <v>8565</v>
      </c>
      <c r="P635" t="s">
        <v>8566</v>
      </c>
      <c r="Q635" t="str">
        <f t="shared" si="1"/>
        <v>11375</v>
      </c>
      <c r="AC635" t="s">
        <v>79</v>
      </c>
      <c r="AD635" t="s">
        <v>75</v>
      </c>
      <c r="AE635" t="s">
        <v>101</v>
      </c>
      <c r="AG635" t="s">
        <v>81</v>
      </c>
    </row>
    <row r="636" spans="1:33" x14ac:dyDescent="0.25">
      <c r="C636" t="s">
        <v>8571</v>
      </c>
      <c r="H636" t="s">
        <v>685</v>
      </c>
      <c r="K636" t="s">
        <v>206</v>
      </c>
      <c r="L636" t="s">
        <v>100</v>
      </c>
      <c r="M636" t="s">
        <v>75</v>
      </c>
      <c r="N636" t="s">
        <v>8564</v>
      </c>
      <c r="O636" t="s">
        <v>8565</v>
      </c>
      <c r="P636" t="s">
        <v>8566</v>
      </c>
      <c r="Q636" t="str">
        <f t="shared" si="1"/>
        <v>11375</v>
      </c>
      <c r="AC636" t="s">
        <v>79</v>
      </c>
      <c r="AD636" t="s">
        <v>75</v>
      </c>
      <c r="AE636" t="s">
        <v>101</v>
      </c>
      <c r="AG636" t="s">
        <v>81</v>
      </c>
    </row>
    <row r="637" spans="1:33" x14ac:dyDescent="0.25">
      <c r="A637" t="str">
        <f>"1972665354"</f>
        <v>1972665354</v>
      </c>
      <c r="B637" t="str">
        <f>"03659345"</f>
        <v>03659345</v>
      </c>
      <c r="C637" t="s">
        <v>8572</v>
      </c>
      <c r="D637" t="s">
        <v>8573</v>
      </c>
      <c r="E637" t="s">
        <v>8574</v>
      </c>
      <c r="G637" t="s">
        <v>6524</v>
      </c>
      <c r="H637" t="s">
        <v>6525</v>
      </c>
      <c r="J637" t="s">
        <v>6526</v>
      </c>
      <c r="L637" t="s">
        <v>74</v>
      </c>
      <c r="M637" t="s">
        <v>75</v>
      </c>
      <c r="R637" t="s">
        <v>8575</v>
      </c>
      <c r="W637" t="s">
        <v>8574</v>
      </c>
      <c r="X637" t="s">
        <v>7937</v>
      </c>
      <c r="Y637" t="s">
        <v>97</v>
      </c>
      <c r="Z637" t="s">
        <v>77</v>
      </c>
      <c r="AA637" t="str">
        <f t="shared" ref="AA637:AA642" si="2">"10035-3523"</f>
        <v>10035-3523</v>
      </c>
      <c r="AB637" t="s">
        <v>78</v>
      </c>
      <c r="AC637" t="s">
        <v>79</v>
      </c>
      <c r="AD637" t="s">
        <v>75</v>
      </c>
      <c r="AE637" t="s">
        <v>80</v>
      </c>
      <c r="AG637" t="s">
        <v>81</v>
      </c>
    </row>
    <row r="638" spans="1:33" x14ac:dyDescent="0.25">
      <c r="A638" t="str">
        <f>"1356518211"</f>
        <v>1356518211</v>
      </c>
      <c r="B638" t="str">
        <f>"03644584"</f>
        <v>03644584</v>
      </c>
      <c r="C638" t="s">
        <v>8576</v>
      </c>
      <c r="D638" t="s">
        <v>8577</v>
      </c>
      <c r="E638" t="s">
        <v>8578</v>
      </c>
      <c r="G638" t="s">
        <v>6524</v>
      </c>
      <c r="H638" t="s">
        <v>6525</v>
      </c>
      <c r="J638" t="s">
        <v>6526</v>
      </c>
      <c r="L638" t="s">
        <v>74</v>
      </c>
      <c r="M638" t="s">
        <v>75</v>
      </c>
      <c r="R638" t="s">
        <v>8578</v>
      </c>
      <c r="W638" t="s">
        <v>8578</v>
      </c>
      <c r="X638" t="s">
        <v>7937</v>
      </c>
      <c r="Y638" t="s">
        <v>97</v>
      </c>
      <c r="Z638" t="s">
        <v>77</v>
      </c>
      <c r="AA638" t="str">
        <f t="shared" si="2"/>
        <v>10035-3523</v>
      </c>
      <c r="AB638" t="s">
        <v>78</v>
      </c>
      <c r="AC638" t="s">
        <v>79</v>
      </c>
      <c r="AD638" t="s">
        <v>75</v>
      </c>
      <c r="AE638" t="s">
        <v>80</v>
      </c>
      <c r="AG638" t="s">
        <v>81</v>
      </c>
    </row>
    <row r="639" spans="1:33" x14ac:dyDescent="0.25">
      <c r="A639" t="str">
        <f>"1932367570"</f>
        <v>1932367570</v>
      </c>
      <c r="B639" t="str">
        <f>"03646100"</f>
        <v>03646100</v>
      </c>
      <c r="C639" t="s">
        <v>8579</v>
      </c>
      <c r="D639" t="s">
        <v>8580</v>
      </c>
      <c r="E639" t="s">
        <v>8581</v>
      </c>
      <c r="G639" t="s">
        <v>6524</v>
      </c>
      <c r="H639" t="s">
        <v>6525</v>
      </c>
      <c r="J639" t="s">
        <v>6526</v>
      </c>
      <c r="L639" t="s">
        <v>74</v>
      </c>
      <c r="M639" t="s">
        <v>75</v>
      </c>
      <c r="R639" t="s">
        <v>8581</v>
      </c>
      <c r="W639" t="s">
        <v>8581</v>
      </c>
      <c r="X639" t="s">
        <v>6528</v>
      </c>
      <c r="Y639" t="s">
        <v>97</v>
      </c>
      <c r="Z639" t="s">
        <v>77</v>
      </c>
      <c r="AA639" t="str">
        <f t="shared" si="2"/>
        <v>10035-3523</v>
      </c>
      <c r="AB639" t="s">
        <v>78</v>
      </c>
      <c r="AC639" t="s">
        <v>79</v>
      </c>
      <c r="AD639" t="s">
        <v>75</v>
      </c>
      <c r="AE639" t="s">
        <v>80</v>
      </c>
      <c r="AG639" t="s">
        <v>81</v>
      </c>
    </row>
    <row r="640" spans="1:33" x14ac:dyDescent="0.25">
      <c r="A640" t="str">
        <f>"1912128356"</f>
        <v>1912128356</v>
      </c>
      <c r="B640" t="str">
        <f>"03646128"</f>
        <v>03646128</v>
      </c>
      <c r="C640" t="s">
        <v>8582</v>
      </c>
      <c r="D640" t="s">
        <v>8583</v>
      </c>
      <c r="E640" t="s">
        <v>8584</v>
      </c>
      <c r="G640" t="s">
        <v>6524</v>
      </c>
      <c r="H640" t="s">
        <v>6525</v>
      </c>
      <c r="J640" t="s">
        <v>6526</v>
      </c>
      <c r="L640" t="s">
        <v>74</v>
      </c>
      <c r="M640" t="s">
        <v>75</v>
      </c>
      <c r="R640" t="s">
        <v>8585</v>
      </c>
      <c r="W640" t="s">
        <v>8586</v>
      </c>
      <c r="X640" t="s">
        <v>6528</v>
      </c>
      <c r="Y640" t="s">
        <v>97</v>
      </c>
      <c r="Z640" t="s">
        <v>77</v>
      </c>
      <c r="AA640" t="str">
        <f t="shared" si="2"/>
        <v>10035-3523</v>
      </c>
      <c r="AB640" t="s">
        <v>78</v>
      </c>
      <c r="AC640" t="s">
        <v>79</v>
      </c>
      <c r="AD640" t="s">
        <v>75</v>
      </c>
      <c r="AE640" t="s">
        <v>80</v>
      </c>
      <c r="AG640" t="s">
        <v>81</v>
      </c>
    </row>
    <row r="641" spans="1:33" x14ac:dyDescent="0.25">
      <c r="A641" t="str">
        <f>"1447478045"</f>
        <v>1447478045</v>
      </c>
      <c r="B641" t="str">
        <f>"03659354"</f>
        <v>03659354</v>
      </c>
      <c r="C641" t="s">
        <v>8587</v>
      </c>
      <c r="D641" t="s">
        <v>8588</v>
      </c>
      <c r="E641" t="s">
        <v>8589</v>
      </c>
      <c r="G641" t="s">
        <v>6524</v>
      </c>
      <c r="H641" t="s">
        <v>6525</v>
      </c>
      <c r="J641" t="s">
        <v>6526</v>
      </c>
      <c r="L641" t="s">
        <v>74</v>
      </c>
      <c r="M641" t="s">
        <v>75</v>
      </c>
      <c r="R641" t="s">
        <v>8590</v>
      </c>
      <c r="W641" t="s">
        <v>8591</v>
      </c>
      <c r="X641" t="s">
        <v>6528</v>
      </c>
      <c r="Y641" t="s">
        <v>97</v>
      </c>
      <c r="Z641" t="s">
        <v>77</v>
      </c>
      <c r="AA641" t="str">
        <f t="shared" si="2"/>
        <v>10035-3523</v>
      </c>
      <c r="AB641" t="s">
        <v>78</v>
      </c>
      <c r="AC641" t="s">
        <v>79</v>
      </c>
      <c r="AD641" t="s">
        <v>75</v>
      </c>
      <c r="AE641" t="s">
        <v>80</v>
      </c>
      <c r="AG641" t="s">
        <v>81</v>
      </c>
    </row>
    <row r="642" spans="1:33" x14ac:dyDescent="0.25">
      <c r="A642" t="str">
        <f>"1710204029"</f>
        <v>1710204029</v>
      </c>
      <c r="B642" t="str">
        <f>"03694680"</f>
        <v>03694680</v>
      </c>
      <c r="C642" t="s">
        <v>8592</v>
      </c>
      <c r="D642" t="s">
        <v>8593</v>
      </c>
      <c r="E642" t="s">
        <v>8594</v>
      </c>
      <c r="G642" t="s">
        <v>6524</v>
      </c>
      <c r="H642" t="s">
        <v>6525</v>
      </c>
      <c r="J642" t="s">
        <v>6526</v>
      </c>
      <c r="L642" t="s">
        <v>74</v>
      </c>
      <c r="M642" t="s">
        <v>75</v>
      </c>
      <c r="R642" t="s">
        <v>8595</v>
      </c>
      <c r="W642" t="s">
        <v>8596</v>
      </c>
      <c r="X642" t="s">
        <v>6528</v>
      </c>
      <c r="Y642" t="s">
        <v>97</v>
      </c>
      <c r="Z642" t="s">
        <v>77</v>
      </c>
      <c r="AA642" t="str">
        <f t="shared" si="2"/>
        <v>10035-3523</v>
      </c>
      <c r="AB642" t="s">
        <v>78</v>
      </c>
      <c r="AC642" t="s">
        <v>79</v>
      </c>
      <c r="AD642" t="s">
        <v>75</v>
      </c>
      <c r="AE642" t="s">
        <v>80</v>
      </c>
      <c r="AG642" t="s">
        <v>81</v>
      </c>
    </row>
    <row r="643" spans="1:33" x14ac:dyDescent="0.25">
      <c r="A643" t="str">
        <f>"1386828978"</f>
        <v>1386828978</v>
      </c>
      <c r="B643" t="str">
        <f>"03767580"</f>
        <v>03767580</v>
      </c>
      <c r="C643" t="s">
        <v>8597</v>
      </c>
      <c r="D643" t="s">
        <v>8598</v>
      </c>
      <c r="E643" t="s">
        <v>8599</v>
      </c>
      <c r="G643" t="s">
        <v>6524</v>
      </c>
      <c r="H643" t="s">
        <v>6525</v>
      </c>
      <c r="J643" t="s">
        <v>6526</v>
      </c>
      <c r="L643" t="s">
        <v>102</v>
      </c>
      <c r="M643" t="s">
        <v>75</v>
      </c>
      <c r="R643" t="s">
        <v>8600</v>
      </c>
      <c r="W643" t="s">
        <v>8601</v>
      </c>
      <c r="X643" t="s">
        <v>8602</v>
      </c>
      <c r="Y643" t="s">
        <v>97</v>
      </c>
      <c r="Z643" t="s">
        <v>77</v>
      </c>
      <c r="AA643" t="str">
        <f>"10036-3917"</f>
        <v>10036-3917</v>
      </c>
      <c r="AB643" t="s">
        <v>78</v>
      </c>
      <c r="AC643" t="s">
        <v>79</v>
      </c>
      <c r="AD643" t="s">
        <v>75</v>
      </c>
      <c r="AE643" t="s">
        <v>80</v>
      </c>
      <c r="AG643" t="s">
        <v>81</v>
      </c>
    </row>
    <row r="644" spans="1:33" x14ac:dyDescent="0.25">
      <c r="A644" t="str">
        <f>"1841344652"</f>
        <v>1841344652</v>
      </c>
      <c r="B644" t="str">
        <f>"02845370"</f>
        <v>02845370</v>
      </c>
      <c r="C644" t="s">
        <v>8603</v>
      </c>
      <c r="D644" t="s">
        <v>8604</v>
      </c>
      <c r="E644" t="s">
        <v>8605</v>
      </c>
      <c r="G644" t="s">
        <v>6478</v>
      </c>
      <c r="H644" t="s">
        <v>6479</v>
      </c>
      <c r="J644" t="s">
        <v>6480</v>
      </c>
      <c r="L644" t="s">
        <v>105</v>
      </c>
      <c r="M644" t="s">
        <v>75</v>
      </c>
      <c r="R644" t="s">
        <v>8606</v>
      </c>
      <c r="W644" t="s">
        <v>8605</v>
      </c>
      <c r="X644" t="s">
        <v>5687</v>
      </c>
      <c r="Y644" t="s">
        <v>97</v>
      </c>
      <c r="Z644" t="s">
        <v>77</v>
      </c>
      <c r="AA644" t="str">
        <f>"10032-3724"</f>
        <v>10032-3724</v>
      </c>
      <c r="AB644" t="s">
        <v>78</v>
      </c>
      <c r="AC644" t="s">
        <v>79</v>
      </c>
      <c r="AD644" t="s">
        <v>75</v>
      </c>
      <c r="AE644" t="s">
        <v>80</v>
      </c>
      <c r="AG644" t="s">
        <v>81</v>
      </c>
    </row>
    <row r="645" spans="1:33" x14ac:dyDescent="0.25">
      <c r="A645" t="str">
        <f>"1669509055"</f>
        <v>1669509055</v>
      </c>
      <c r="B645" t="str">
        <f>"02924601"</f>
        <v>02924601</v>
      </c>
      <c r="C645" t="s">
        <v>8607</v>
      </c>
      <c r="D645" t="s">
        <v>8608</v>
      </c>
      <c r="E645" t="s">
        <v>8609</v>
      </c>
      <c r="G645" t="s">
        <v>6478</v>
      </c>
      <c r="H645" t="s">
        <v>6479</v>
      </c>
      <c r="J645" t="s">
        <v>6480</v>
      </c>
      <c r="L645" t="s">
        <v>143</v>
      </c>
      <c r="M645" t="s">
        <v>75</v>
      </c>
      <c r="R645" t="s">
        <v>8610</v>
      </c>
      <c r="W645" t="s">
        <v>8611</v>
      </c>
      <c r="X645" t="s">
        <v>2831</v>
      </c>
      <c r="Y645" t="s">
        <v>97</v>
      </c>
      <c r="Z645" t="s">
        <v>77</v>
      </c>
      <c r="AA645" t="str">
        <f>"10029-6574"</f>
        <v>10029-6574</v>
      </c>
      <c r="AB645" t="s">
        <v>78</v>
      </c>
      <c r="AC645" t="s">
        <v>79</v>
      </c>
      <c r="AD645" t="s">
        <v>75</v>
      </c>
      <c r="AE645" t="s">
        <v>80</v>
      </c>
      <c r="AG645" t="s">
        <v>81</v>
      </c>
    </row>
    <row r="646" spans="1:33" x14ac:dyDescent="0.25">
      <c r="A646" t="str">
        <f>"1174765556"</f>
        <v>1174765556</v>
      </c>
      <c r="B646" t="str">
        <f>"03735637"</f>
        <v>03735637</v>
      </c>
      <c r="C646" t="s">
        <v>8612</v>
      </c>
      <c r="D646" t="s">
        <v>8613</v>
      </c>
      <c r="E646" t="s">
        <v>8614</v>
      </c>
      <c r="G646" t="s">
        <v>8615</v>
      </c>
      <c r="H646" t="s">
        <v>8616</v>
      </c>
      <c r="J646" t="s">
        <v>8617</v>
      </c>
      <c r="L646" t="s">
        <v>143</v>
      </c>
      <c r="M646" t="s">
        <v>75</v>
      </c>
      <c r="R646" t="s">
        <v>8618</v>
      </c>
      <c r="W646" t="s">
        <v>8619</v>
      </c>
      <c r="X646" t="s">
        <v>8620</v>
      </c>
      <c r="Y646" t="s">
        <v>131</v>
      </c>
      <c r="Z646" t="s">
        <v>77</v>
      </c>
      <c r="AA646" t="str">
        <f>"10461-3611"</f>
        <v>10461-3611</v>
      </c>
      <c r="AB646" t="s">
        <v>78</v>
      </c>
      <c r="AC646" t="s">
        <v>79</v>
      </c>
      <c r="AD646" t="s">
        <v>75</v>
      </c>
      <c r="AE646" t="s">
        <v>80</v>
      </c>
      <c r="AG646" t="s">
        <v>81</v>
      </c>
    </row>
    <row r="647" spans="1:33" x14ac:dyDescent="0.25">
      <c r="A647" t="str">
        <f>"1083772818"</f>
        <v>1083772818</v>
      </c>
      <c r="B647" t="str">
        <f>"00973400"</f>
        <v>00973400</v>
      </c>
      <c r="C647" t="s">
        <v>8621</v>
      </c>
      <c r="D647" t="s">
        <v>8622</v>
      </c>
      <c r="E647" t="s">
        <v>8623</v>
      </c>
      <c r="G647" t="s">
        <v>8615</v>
      </c>
      <c r="H647" t="s">
        <v>8616</v>
      </c>
      <c r="J647" t="s">
        <v>8617</v>
      </c>
      <c r="L647" t="s">
        <v>74</v>
      </c>
      <c r="M647" t="s">
        <v>75</v>
      </c>
      <c r="R647" t="s">
        <v>8624</v>
      </c>
      <c r="W647" t="s">
        <v>8623</v>
      </c>
      <c r="X647" t="s">
        <v>8625</v>
      </c>
      <c r="Y647" t="s">
        <v>97</v>
      </c>
      <c r="Z647" t="s">
        <v>77</v>
      </c>
      <c r="AA647" t="str">
        <f>"10038-4812"</f>
        <v>10038-4812</v>
      </c>
      <c r="AB647" t="s">
        <v>128</v>
      </c>
      <c r="AC647" t="s">
        <v>79</v>
      </c>
      <c r="AD647" t="s">
        <v>75</v>
      </c>
      <c r="AE647" t="s">
        <v>80</v>
      </c>
      <c r="AG647" t="s">
        <v>81</v>
      </c>
    </row>
    <row r="648" spans="1:33" x14ac:dyDescent="0.25">
      <c r="A648" t="str">
        <f>"1548453152"</f>
        <v>1548453152</v>
      </c>
      <c r="B648" t="str">
        <f>"03735059"</f>
        <v>03735059</v>
      </c>
      <c r="C648" t="s">
        <v>8626</v>
      </c>
      <c r="D648" t="s">
        <v>8627</v>
      </c>
      <c r="E648" t="s">
        <v>8628</v>
      </c>
      <c r="G648" t="s">
        <v>8615</v>
      </c>
      <c r="H648" t="s">
        <v>8616</v>
      </c>
      <c r="J648" t="s">
        <v>8617</v>
      </c>
      <c r="L648" t="s">
        <v>143</v>
      </c>
      <c r="M648" t="s">
        <v>75</v>
      </c>
      <c r="R648" t="s">
        <v>8629</v>
      </c>
      <c r="W648" t="s">
        <v>8628</v>
      </c>
      <c r="X648" t="s">
        <v>8630</v>
      </c>
      <c r="Y648" t="s">
        <v>97</v>
      </c>
      <c r="Z648" t="s">
        <v>77</v>
      </c>
      <c r="AA648" t="str">
        <f>"10038-4737"</f>
        <v>10038-4737</v>
      </c>
      <c r="AB648" t="s">
        <v>78</v>
      </c>
      <c r="AC648" t="s">
        <v>79</v>
      </c>
      <c r="AD648" t="s">
        <v>75</v>
      </c>
      <c r="AE648" t="s">
        <v>80</v>
      </c>
      <c r="AG648" t="s">
        <v>81</v>
      </c>
    </row>
    <row r="649" spans="1:33" x14ac:dyDescent="0.25">
      <c r="A649" t="str">
        <f>"1558668384"</f>
        <v>1558668384</v>
      </c>
      <c r="B649" t="str">
        <f>"03345939"</f>
        <v>03345939</v>
      </c>
      <c r="C649" t="s">
        <v>8631</v>
      </c>
      <c r="D649" t="s">
        <v>8632</v>
      </c>
      <c r="E649" t="s">
        <v>8633</v>
      </c>
      <c r="G649" t="s">
        <v>8615</v>
      </c>
      <c r="H649" t="s">
        <v>8616</v>
      </c>
      <c r="J649" t="s">
        <v>8617</v>
      </c>
      <c r="L649" t="s">
        <v>74</v>
      </c>
      <c r="M649" t="s">
        <v>75</v>
      </c>
      <c r="R649" t="s">
        <v>8633</v>
      </c>
      <c r="W649" t="s">
        <v>8633</v>
      </c>
      <c r="X649" t="s">
        <v>8630</v>
      </c>
      <c r="Y649" t="s">
        <v>97</v>
      </c>
      <c r="Z649" t="s">
        <v>77</v>
      </c>
      <c r="AA649" t="str">
        <f>"10038-4737"</f>
        <v>10038-4737</v>
      </c>
      <c r="AB649" t="s">
        <v>109</v>
      </c>
      <c r="AC649" t="s">
        <v>79</v>
      </c>
      <c r="AD649" t="s">
        <v>75</v>
      </c>
      <c r="AE649" t="s">
        <v>80</v>
      </c>
      <c r="AG649" t="s">
        <v>81</v>
      </c>
    </row>
    <row r="650" spans="1:33" x14ac:dyDescent="0.25">
      <c r="A650" t="str">
        <f>"1194795708"</f>
        <v>1194795708</v>
      </c>
      <c r="B650" t="str">
        <f>"02894200"</f>
        <v>02894200</v>
      </c>
      <c r="C650" t="s">
        <v>8634</v>
      </c>
      <c r="D650" t="s">
        <v>8635</v>
      </c>
      <c r="E650" t="s">
        <v>8636</v>
      </c>
      <c r="G650" t="s">
        <v>8615</v>
      </c>
      <c r="H650" t="s">
        <v>8616</v>
      </c>
      <c r="J650" t="s">
        <v>8617</v>
      </c>
      <c r="L650" t="s">
        <v>105</v>
      </c>
      <c r="M650" t="s">
        <v>75</v>
      </c>
      <c r="R650" t="s">
        <v>8637</v>
      </c>
      <c r="W650" t="s">
        <v>8636</v>
      </c>
      <c r="X650" t="s">
        <v>4769</v>
      </c>
      <c r="Y650" t="s">
        <v>97</v>
      </c>
      <c r="Z650" t="s">
        <v>77</v>
      </c>
      <c r="AA650" t="str">
        <f>"10038-4812"</f>
        <v>10038-4812</v>
      </c>
      <c r="AB650" t="s">
        <v>125</v>
      </c>
      <c r="AC650" t="s">
        <v>79</v>
      </c>
      <c r="AD650" t="s">
        <v>75</v>
      </c>
      <c r="AE650" t="s">
        <v>80</v>
      </c>
      <c r="AG650" t="s">
        <v>81</v>
      </c>
    </row>
    <row r="651" spans="1:33" x14ac:dyDescent="0.25">
      <c r="A651" t="str">
        <f>"1063559904"</f>
        <v>1063559904</v>
      </c>
      <c r="B651" t="str">
        <f>"02782676"</f>
        <v>02782676</v>
      </c>
      <c r="C651" t="s">
        <v>8638</v>
      </c>
      <c r="D651" t="s">
        <v>8639</v>
      </c>
      <c r="E651" t="s">
        <v>8640</v>
      </c>
      <c r="G651" t="s">
        <v>8615</v>
      </c>
      <c r="H651" t="s">
        <v>8616</v>
      </c>
      <c r="J651" t="s">
        <v>8617</v>
      </c>
      <c r="L651" t="s">
        <v>74</v>
      </c>
      <c r="M651" t="s">
        <v>85</v>
      </c>
      <c r="R651" t="s">
        <v>8641</v>
      </c>
      <c r="W651" t="s">
        <v>8640</v>
      </c>
      <c r="X651" t="s">
        <v>8642</v>
      </c>
      <c r="Y651" t="s">
        <v>97</v>
      </c>
      <c r="Z651" t="s">
        <v>77</v>
      </c>
      <c r="AA651" t="str">
        <f>"10038-4812"</f>
        <v>10038-4812</v>
      </c>
      <c r="AB651" t="s">
        <v>82</v>
      </c>
      <c r="AC651" t="s">
        <v>79</v>
      </c>
      <c r="AD651" t="s">
        <v>75</v>
      </c>
      <c r="AE651" t="s">
        <v>80</v>
      </c>
      <c r="AG651" t="s">
        <v>81</v>
      </c>
    </row>
    <row r="652" spans="1:33" x14ac:dyDescent="0.25">
      <c r="A652" t="str">
        <f>"1992777999"</f>
        <v>1992777999</v>
      </c>
      <c r="B652" t="str">
        <f>"00609783"</f>
        <v>00609783</v>
      </c>
      <c r="C652" t="s">
        <v>8643</v>
      </c>
      <c r="D652" t="s">
        <v>8644</v>
      </c>
      <c r="E652" t="s">
        <v>8645</v>
      </c>
      <c r="L652" t="s">
        <v>84</v>
      </c>
      <c r="M652" t="s">
        <v>75</v>
      </c>
      <c r="R652" t="s">
        <v>8646</v>
      </c>
      <c r="W652" t="s">
        <v>8645</v>
      </c>
      <c r="X652" t="s">
        <v>8647</v>
      </c>
      <c r="Y652" t="s">
        <v>155</v>
      </c>
      <c r="Z652" t="s">
        <v>77</v>
      </c>
      <c r="AA652" t="str">
        <f>"10305-3757"</f>
        <v>10305-3757</v>
      </c>
      <c r="AB652" t="s">
        <v>78</v>
      </c>
      <c r="AC652" t="s">
        <v>79</v>
      </c>
      <c r="AD652" t="s">
        <v>75</v>
      </c>
      <c r="AE652" t="s">
        <v>80</v>
      </c>
      <c r="AG652" t="s">
        <v>81</v>
      </c>
    </row>
    <row r="653" spans="1:33" x14ac:dyDescent="0.25">
      <c r="A653" t="str">
        <f>"1861578650"</f>
        <v>1861578650</v>
      </c>
      <c r="B653" t="str">
        <f>"03685536"</f>
        <v>03685536</v>
      </c>
      <c r="C653" t="s">
        <v>8648</v>
      </c>
      <c r="D653" t="s">
        <v>8649</v>
      </c>
      <c r="E653" t="s">
        <v>8650</v>
      </c>
      <c r="G653" t="s">
        <v>6494</v>
      </c>
      <c r="H653" t="s">
        <v>6495</v>
      </c>
      <c r="J653" t="s">
        <v>6496</v>
      </c>
      <c r="L653" t="s">
        <v>83</v>
      </c>
      <c r="M653" t="s">
        <v>75</v>
      </c>
      <c r="R653" t="s">
        <v>8650</v>
      </c>
      <c r="W653" t="s">
        <v>8650</v>
      </c>
      <c r="X653" t="s">
        <v>2808</v>
      </c>
      <c r="Y653" t="s">
        <v>97</v>
      </c>
      <c r="Z653" t="s">
        <v>77</v>
      </c>
      <c r="AA653" t="str">
        <f>"10025-6450"</f>
        <v>10025-6450</v>
      </c>
      <c r="AB653" t="s">
        <v>78</v>
      </c>
      <c r="AC653" t="s">
        <v>79</v>
      </c>
      <c r="AD653" t="s">
        <v>75</v>
      </c>
      <c r="AE653" t="s">
        <v>80</v>
      </c>
      <c r="AG653" t="s">
        <v>81</v>
      </c>
    </row>
    <row r="654" spans="1:33" x14ac:dyDescent="0.25">
      <c r="A654" t="str">
        <f>"1902832777"</f>
        <v>1902832777</v>
      </c>
      <c r="B654" t="str">
        <f>"02794287"</f>
        <v>02794287</v>
      </c>
      <c r="C654" t="s">
        <v>8651</v>
      </c>
      <c r="D654" t="s">
        <v>8652</v>
      </c>
      <c r="E654" t="s">
        <v>8653</v>
      </c>
      <c r="G654" t="s">
        <v>6494</v>
      </c>
      <c r="H654" t="s">
        <v>6495</v>
      </c>
      <c r="J654" t="s">
        <v>6496</v>
      </c>
      <c r="L654" t="s">
        <v>83</v>
      </c>
      <c r="M654" t="s">
        <v>85</v>
      </c>
      <c r="R654" t="s">
        <v>8654</v>
      </c>
      <c r="W654" t="s">
        <v>8653</v>
      </c>
      <c r="X654" t="s">
        <v>8655</v>
      </c>
      <c r="Y654" t="s">
        <v>97</v>
      </c>
      <c r="Z654" t="s">
        <v>77</v>
      </c>
      <c r="AA654" t="str">
        <f>"10022-2184"</f>
        <v>10022-2184</v>
      </c>
      <c r="AB654" t="s">
        <v>78</v>
      </c>
      <c r="AC654" t="s">
        <v>79</v>
      </c>
      <c r="AD654" t="s">
        <v>75</v>
      </c>
      <c r="AE654" t="s">
        <v>80</v>
      </c>
      <c r="AG654" t="s">
        <v>81</v>
      </c>
    </row>
    <row r="655" spans="1:33" x14ac:dyDescent="0.25">
      <c r="A655" t="str">
        <f>"1417986340"</f>
        <v>1417986340</v>
      </c>
      <c r="B655" t="str">
        <f>"01741726"</f>
        <v>01741726</v>
      </c>
      <c r="C655" t="s">
        <v>8656</v>
      </c>
      <c r="D655" t="s">
        <v>4140</v>
      </c>
      <c r="E655" t="s">
        <v>4141</v>
      </c>
      <c r="G655" t="s">
        <v>7967</v>
      </c>
      <c r="H655" t="s">
        <v>3884</v>
      </c>
      <c r="I655">
        <v>2844</v>
      </c>
      <c r="J655" t="s">
        <v>3885</v>
      </c>
      <c r="L655" t="s">
        <v>115</v>
      </c>
      <c r="M655" t="s">
        <v>85</v>
      </c>
      <c r="R655" t="s">
        <v>4142</v>
      </c>
      <c r="W655" t="s">
        <v>4141</v>
      </c>
      <c r="X655" t="s">
        <v>4143</v>
      </c>
      <c r="Y655" t="s">
        <v>97</v>
      </c>
      <c r="Z655" t="s">
        <v>77</v>
      </c>
      <c r="AA655" t="str">
        <f>"10027-4920"</f>
        <v>10027-4920</v>
      </c>
      <c r="AB655" t="s">
        <v>122</v>
      </c>
      <c r="AC655" t="s">
        <v>79</v>
      </c>
      <c r="AD655" t="s">
        <v>75</v>
      </c>
      <c r="AE655" t="s">
        <v>80</v>
      </c>
      <c r="AG655" t="s">
        <v>81</v>
      </c>
    </row>
    <row r="656" spans="1:33" x14ac:dyDescent="0.25">
      <c r="A656" t="str">
        <f>"1649390048"</f>
        <v>1649390048</v>
      </c>
      <c r="B656" t="str">
        <f>"00118781"</f>
        <v>00118781</v>
      </c>
      <c r="C656" t="s">
        <v>8657</v>
      </c>
      <c r="D656" t="s">
        <v>8658</v>
      </c>
      <c r="E656" t="s">
        <v>8659</v>
      </c>
      <c r="G656" t="s">
        <v>7985</v>
      </c>
      <c r="H656" t="s">
        <v>3624</v>
      </c>
      <c r="J656" t="s">
        <v>3625</v>
      </c>
      <c r="L656" t="s">
        <v>105</v>
      </c>
      <c r="M656" t="s">
        <v>75</v>
      </c>
      <c r="R656" t="s">
        <v>8660</v>
      </c>
      <c r="W656" t="s">
        <v>8659</v>
      </c>
      <c r="X656" t="s">
        <v>8661</v>
      </c>
      <c r="Y656" t="s">
        <v>97</v>
      </c>
      <c r="Z656" t="s">
        <v>77</v>
      </c>
      <c r="AA656" t="str">
        <f>"10025-6504"</f>
        <v>10025-6504</v>
      </c>
      <c r="AB656" t="s">
        <v>78</v>
      </c>
      <c r="AC656" t="s">
        <v>79</v>
      </c>
      <c r="AD656" t="s">
        <v>75</v>
      </c>
      <c r="AE656" t="s">
        <v>80</v>
      </c>
      <c r="AG656" t="s">
        <v>81</v>
      </c>
    </row>
    <row r="657" spans="1:33" x14ac:dyDescent="0.25">
      <c r="A657" t="str">
        <f>"1184663254"</f>
        <v>1184663254</v>
      </c>
      <c r="B657" t="str">
        <f>"00592269"</f>
        <v>00592269</v>
      </c>
      <c r="C657" t="s">
        <v>8662</v>
      </c>
      <c r="D657" t="s">
        <v>8663</v>
      </c>
      <c r="E657" t="s">
        <v>8664</v>
      </c>
      <c r="G657" t="s">
        <v>7985</v>
      </c>
      <c r="H657" t="s">
        <v>3624</v>
      </c>
      <c r="J657" t="s">
        <v>3625</v>
      </c>
      <c r="L657" t="s">
        <v>74</v>
      </c>
      <c r="M657" t="s">
        <v>75</v>
      </c>
      <c r="R657" t="s">
        <v>8665</v>
      </c>
      <c r="W657" t="s">
        <v>8666</v>
      </c>
      <c r="X657" t="s">
        <v>8667</v>
      </c>
      <c r="Y657" t="s">
        <v>97</v>
      </c>
      <c r="Z657" t="s">
        <v>77</v>
      </c>
      <c r="AA657" t="str">
        <f>"10023-6601"</f>
        <v>10023-6601</v>
      </c>
      <c r="AB657" t="s">
        <v>78</v>
      </c>
      <c r="AC657" t="s">
        <v>79</v>
      </c>
      <c r="AD657" t="s">
        <v>75</v>
      </c>
      <c r="AE657" t="s">
        <v>80</v>
      </c>
      <c r="AG657" t="s">
        <v>81</v>
      </c>
    </row>
    <row r="658" spans="1:33" x14ac:dyDescent="0.25">
      <c r="A658" t="str">
        <f>"1023193489"</f>
        <v>1023193489</v>
      </c>
      <c r="B658" t="str">
        <f>"01468313"</f>
        <v>01468313</v>
      </c>
      <c r="C658" t="s">
        <v>8668</v>
      </c>
      <c r="D658" t="s">
        <v>8669</v>
      </c>
      <c r="E658" t="s">
        <v>8670</v>
      </c>
      <c r="G658" t="s">
        <v>7985</v>
      </c>
      <c r="H658" t="s">
        <v>3624</v>
      </c>
      <c r="J658" t="s">
        <v>3625</v>
      </c>
      <c r="L658" t="s">
        <v>84</v>
      </c>
      <c r="M658" t="s">
        <v>85</v>
      </c>
      <c r="R658" t="s">
        <v>8671</v>
      </c>
      <c r="W658" t="s">
        <v>8670</v>
      </c>
      <c r="X658" t="s">
        <v>625</v>
      </c>
      <c r="Y658" t="s">
        <v>131</v>
      </c>
      <c r="Z658" t="s">
        <v>77</v>
      </c>
      <c r="AA658" t="str">
        <f>"10457-7697"</f>
        <v>10457-7697</v>
      </c>
      <c r="AB658" t="s">
        <v>78</v>
      </c>
      <c r="AC658" t="s">
        <v>79</v>
      </c>
      <c r="AD658" t="s">
        <v>75</v>
      </c>
      <c r="AE658" t="s">
        <v>80</v>
      </c>
      <c r="AG658" t="s">
        <v>81</v>
      </c>
    </row>
    <row r="659" spans="1:33" x14ac:dyDescent="0.25">
      <c r="A659" t="str">
        <f>"1760517288"</f>
        <v>1760517288</v>
      </c>
      <c r="B659" t="str">
        <f>"00790496"</f>
        <v>00790496</v>
      </c>
      <c r="C659" t="s">
        <v>8672</v>
      </c>
      <c r="D659" t="s">
        <v>8673</v>
      </c>
      <c r="E659" t="s">
        <v>8674</v>
      </c>
      <c r="G659" t="s">
        <v>7985</v>
      </c>
      <c r="H659" t="s">
        <v>3624</v>
      </c>
      <c r="J659" t="s">
        <v>3625</v>
      </c>
      <c r="L659" t="s">
        <v>83</v>
      </c>
      <c r="M659" t="s">
        <v>75</v>
      </c>
      <c r="R659" t="s">
        <v>8675</v>
      </c>
      <c r="W659" t="s">
        <v>8674</v>
      </c>
      <c r="X659" t="s">
        <v>8676</v>
      </c>
      <c r="Y659" t="s">
        <v>97</v>
      </c>
      <c r="Z659" t="s">
        <v>77</v>
      </c>
      <c r="AA659" t="str">
        <f>"10010-4019"</f>
        <v>10010-4019</v>
      </c>
      <c r="AB659" t="s">
        <v>78</v>
      </c>
      <c r="AC659" t="s">
        <v>79</v>
      </c>
      <c r="AD659" t="s">
        <v>75</v>
      </c>
      <c r="AE659" t="s">
        <v>80</v>
      </c>
      <c r="AG659" t="s">
        <v>81</v>
      </c>
    </row>
    <row r="660" spans="1:33" x14ac:dyDescent="0.25">
      <c r="A660" t="str">
        <f>"1265763015"</f>
        <v>1265763015</v>
      </c>
      <c r="B660" t="str">
        <f>"03366543"</f>
        <v>03366543</v>
      </c>
      <c r="C660" t="s">
        <v>8677</v>
      </c>
      <c r="D660" t="s">
        <v>8678</v>
      </c>
      <c r="E660" t="s">
        <v>8679</v>
      </c>
      <c r="G660" t="s">
        <v>6478</v>
      </c>
      <c r="H660" t="s">
        <v>6479</v>
      </c>
      <c r="J660" t="s">
        <v>6480</v>
      </c>
      <c r="L660" t="s">
        <v>105</v>
      </c>
      <c r="M660" t="s">
        <v>75</v>
      </c>
      <c r="R660" t="s">
        <v>8679</v>
      </c>
      <c r="W660" t="s">
        <v>8680</v>
      </c>
      <c r="X660" t="s">
        <v>8681</v>
      </c>
      <c r="Y660" t="s">
        <v>87</v>
      </c>
      <c r="Z660" t="s">
        <v>77</v>
      </c>
      <c r="AA660" t="str">
        <f>"11209-2701"</f>
        <v>11209-2701</v>
      </c>
      <c r="AB660" t="s">
        <v>78</v>
      </c>
      <c r="AC660" t="s">
        <v>79</v>
      </c>
      <c r="AD660" t="s">
        <v>75</v>
      </c>
      <c r="AE660" t="s">
        <v>80</v>
      </c>
      <c r="AG660" t="s">
        <v>81</v>
      </c>
    </row>
    <row r="661" spans="1:33" x14ac:dyDescent="0.25">
      <c r="A661" t="str">
        <f>"1124380316"</f>
        <v>1124380316</v>
      </c>
      <c r="B661" t="str">
        <f>"03785926"</f>
        <v>03785926</v>
      </c>
      <c r="C661" t="s">
        <v>8682</v>
      </c>
      <c r="D661" t="s">
        <v>8683</v>
      </c>
      <c r="E661" t="s">
        <v>8684</v>
      </c>
      <c r="G661" t="s">
        <v>6800</v>
      </c>
      <c r="H661" t="s">
        <v>6801</v>
      </c>
      <c r="I661">
        <v>6381</v>
      </c>
      <c r="J661" t="s">
        <v>6802</v>
      </c>
      <c r="L661" t="s">
        <v>74</v>
      </c>
      <c r="M661" t="s">
        <v>75</v>
      </c>
      <c r="R661" t="s">
        <v>8685</v>
      </c>
      <c r="W661" t="s">
        <v>8684</v>
      </c>
      <c r="X661" t="s">
        <v>8686</v>
      </c>
      <c r="Y661" t="s">
        <v>145</v>
      </c>
      <c r="Z661" t="s">
        <v>77</v>
      </c>
      <c r="AA661" t="str">
        <f>"11361-3241"</f>
        <v>11361-3241</v>
      </c>
      <c r="AB661" t="s">
        <v>109</v>
      </c>
      <c r="AC661" t="s">
        <v>79</v>
      </c>
      <c r="AD661" t="s">
        <v>75</v>
      </c>
      <c r="AE661" t="s">
        <v>80</v>
      </c>
      <c r="AG661" t="s">
        <v>81</v>
      </c>
    </row>
    <row r="662" spans="1:33" x14ac:dyDescent="0.25">
      <c r="A662" t="str">
        <f>"1285994632"</f>
        <v>1285994632</v>
      </c>
      <c r="B662" t="str">
        <f>"03535435"</f>
        <v>03535435</v>
      </c>
      <c r="C662" t="s">
        <v>8687</v>
      </c>
      <c r="D662" t="s">
        <v>8688</v>
      </c>
      <c r="E662" t="s">
        <v>8689</v>
      </c>
      <c r="G662" t="s">
        <v>6494</v>
      </c>
      <c r="H662" t="s">
        <v>6495</v>
      </c>
      <c r="J662" t="s">
        <v>6496</v>
      </c>
      <c r="L662" t="s">
        <v>105</v>
      </c>
      <c r="M662" t="s">
        <v>75</v>
      </c>
      <c r="R662" t="s">
        <v>8690</v>
      </c>
      <c r="W662" t="s">
        <v>8691</v>
      </c>
      <c r="X662" t="s">
        <v>7478</v>
      </c>
      <c r="Y662" t="s">
        <v>97</v>
      </c>
      <c r="Z662" t="s">
        <v>77</v>
      </c>
      <c r="AA662" t="str">
        <f>"10027-5250"</f>
        <v>10027-5250</v>
      </c>
      <c r="AB662" t="s">
        <v>113</v>
      </c>
      <c r="AC662" t="s">
        <v>79</v>
      </c>
      <c r="AD662" t="s">
        <v>75</v>
      </c>
      <c r="AE662" t="s">
        <v>80</v>
      </c>
      <c r="AG662" t="s">
        <v>81</v>
      </c>
    </row>
    <row r="663" spans="1:33" x14ac:dyDescent="0.25">
      <c r="A663" t="str">
        <f>"1366585671"</f>
        <v>1366585671</v>
      </c>
      <c r="B663" t="str">
        <f>"03058284"</f>
        <v>03058284</v>
      </c>
      <c r="C663" t="s">
        <v>8692</v>
      </c>
      <c r="D663" t="s">
        <v>8693</v>
      </c>
      <c r="E663" t="s">
        <v>8694</v>
      </c>
      <c r="G663" t="s">
        <v>6494</v>
      </c>
      <c r="H663" t="s">
        <v>6495</v>
      </c>
      <c r="J663" t="s">
        <v>6496</v>
      </c>
      <c r="L663" t="s">
        <v>74</v>
      </c>
      <c r="M663" t="s">
        <v>85</v>
      </c>
      <c r="R663" t="s">
        <v>8695</v>
      </c>
      <c r="W663" t="s">
        <v>8694</v>
      </c>
      <c r="X663" t="s">
        <v>8696</v>
      </c>
      <c r="Y663" t="s">
        <v>97</v>
      </c>
      <c r="Z663" t="s">
        <v>77</v>
      </c>
      <c r="AA663" t="str">
        <f>"10027-5250"</f>
        <v>10027-5250</v>
      </c>
      <c r="AB663" t="s">
        <v>82</v>
      </c>
      <c r="AC663" t="s">
        <v>79</v>
      </c>
      <c r="AD663" t="s">
        <v>75</v>
      </c>
      <c r="AE663" t="s">
        <v>80</v>
      </c>
      <c r="AG663" t="s">
        <v>81</v>
      </c>
    </row>
    <row r="664" spans="1:33" x14ac:dyDescent="0.25">
      <c r="A664" t="str">
        <f>"1649298951"</f>
        <v>1649298951</v>
      </c>
      <c r="B664" t="str">
        <f>"00315682"</f>
        <v>00315682</v>
      </c>
      <c r="C664" t="s">
        <v>8697</v>
      </c>
      <c r="D664" t="s">
        <v>8698</v>
      </c>
      <c r="E664" t="s">
        <v>8699</v>
      </c>
      <c r="G664" t="s">
        <v>6494</v>
      </c>
      <c r="H664" t="s">
        <v>6495</v>
      </c>
      <c r="J664" t="s">
        <v>6496</v>
      </c>
      <c r="L664" t="s">
        <v>84</v>
      </c>
      <c r="M664" t="s">
        <v>85</v>
      </c>
      <c r="R664" t="s">
        <v>8700</v>
      </c>
      <c r="W664" t="s">
        <v>8701</v>
      </c>
      <c r="X664" t="s">
        <v>2808</v>
      </c>
      <c r="Y664" t="s">
        <v>97</v>
      </c>
      <c r="Z664" t="s">
        <v>77</v>
      </c>
      <c r="AA664" t="str">
        <f>"10025-6450"</f>
        <v>10025-6450</v>
      </c>
      <c r="AB664" t="s">
        <v>78</v>
      </c>
      <c r="AC664" t="s">
        <v>79</v>
      </c>
      <c r="AD664" t="s">
        <v>75</v>
      </c>
      <c r="AE664" t="s">
        <v>80</v>
      </c>
      <c r="AG664" t="s">
        <v>81</v>
      </c>
    </row>
    <row r="665" spans="1:33" x14ac:dyDescent="0.25">
      <c r="A665" t="str">
        <f>"1396727129"</f>
        <v>1396727129</v>
      </c>
      <c r="B665" t="str">
        <f>"01575497"</f>
        <v>01575497</v>
      </c>
      <c r="C665" t="s">
        <v>8702</v>
      </c>
      <c r="D665" t="s">
        <v>8703</v>
      </c>
      <c r="E665" t="s">
        <v>8704</v>
      </c>
      <c r="G665" t="s">
        <v>6367</v>
      </c>
      <c r="H665" t="s">
        <v>4625</v>
      </c>
      <c r="J665" t="s">
        <v>6368</v>
      </c>
      <c r="L665" t="s">
        <v>83</v>
      </c>
      <c r="M665" t="s">
        <v>85</v>
      </c>
      <c r="R665" t="s">
        <v>8705</v>
      </c>
      <c r="W665" t="s">
        <v>8706</v>
      </c>
      <c r="X665" t="s">
        <v>8707</v>
      </c>
      <c r="Y665" t="s">
        <v>1823</v>
      </c>
      <c r="Z665" t="s">
        <v>77</v>
      </c>
      <c r="AA665" t="str">
        <f>"10941-4013"</f>
        <v>10941-4013</v>
      </c>
      <c r="AB665" t="s">
        <v>78</v>
      </c>
      <c r="AC665" t="s">
        <v>79</v>
      </c>
      <c r="AD665" t="s">
        <v>75</v>
      </c>
      <c r="AE665" t="s">
        <v>80</v>
      </c>
      <c r="AG665" t="s">
        <v>81</v>
      </c>
    </row>
    <row r="666" spans="1:33" x14ac:dyDescent="0.25">
      <c r="A666" t="str">
        <f>"1619941598"</f>
        <v>1619941598</v>
      </c>
      <c r="B666" t="str">
        <f>"01225290"</f>
        <v>01225290</v>
      </c>
      <c r="C666" t="s">
        <v>8708</v>
      </c>
      <c r="D666" t="s">
        <v>8709</v>
      </c>
      <c r="E666" t="s">
        <v>8710</v>
      </c>
      <c r="G666" t="s">
        <v>6367</v>
      </c>
      <c r="H666" t="s">
        <v>4625</v>
      </c>
      <c r="J666" t="s">
        <v>6368</v>
      </c>
      <c r="L666" t="s">
        <v>83</v>
      </c>
      <c r="M666" t="s">
        <v>75</v>
      </c>
      <c r="R666" t="s">
        <v>8711</v>
      </c>
      <c r="W666" t="s">
        <v>8710</v>
      </c>
      <c r="X666" t="s">
        <v>8712</v>
      </c>
      <c r="Y666" t="s">
        <v>180</v>
      </c>
      <c r="Z666" t="s">
        <v>77</v>
      </c>
      <c r="AA666" t="str">
        <f>"10701-1399"</f>
        <v>10701-1399</v>
      </c>
      <c r="AB666" t="s">
        <v>78</v>
      </c>
      <c r="AC666" t="s">
        <v>79</v>
      </c>
      <c r="AD666" t="s">
        <v>75</v>
      </c>
      <c r="AE666" t="s">
        <v>80</v>
      </c>
      <c r="AG666" t="s">
        <v>81</v>
      </c>
    </row>
    <row r="667" spans="1:33" x14ac:dyDescent="0.25">
      <c r="A667" t="str">
        <f>"1174693584"</f>
        <v>1174693584</v>
      </c>
      <c r="B667" t="str">
        <f>"00698884"</f>
        <v>00698884</v>
      </c>
      <c r="C667" t="s">
        <v>8713</v>
      </c>
      <c r="D667" t="s">
        <v>1100</v>
      </c>
      <c r="E667" t="s">
        <v>1101</v>
      </c>
      <c r="G667" t="s">
        <v>8714</v>
      </c>
      <c r="H667" t="s">
        <v>278</v>
      </c>
      <c r="I667">
        <v>3132</v>
      </c>
      <c r="J667" t="s">
        <v>8715</v>
      </c>
      <c r="L667" t="s">
        <v>94</v>
      </c>
      <c r="M667" t="s">
        <v>85</v>
      </c>
      <c r="R667" t="s">
        <v>1099</v>
      </c>
      <c r="W667" t="s">
        <v>1101</v>
      </c>
      <c r="X667" t="s">
        <v>1102</v>
      </c>
      <c r="Y667" t="s">
        <v>1103</v>
      </c>
      <c r="Z667" t="s">
        <v>77</v>
      </c>
      <c r="AA667" t="str">
        <f>"11364-1934"</f>
        <v>11364-1934</v>
      </c>
      <c r="AB667" t="s">
        <v>78</v>
      </c>
      <c r="AC667" t="s">
        <v>79</v>
      </c>
      <c r="AD667" t="s">
        <v>75</v>
      </c>
      <c r="AE667" t="s">
        <v>80</v>
      </c>
      <c r="AG667" t="s">
        <v>81</v>
      </c>
    </row>
    <row r="668" spans="1:33" x14ac:dyDescent="0.25">
      <c r="A668" t="str">
        <f>"1881905602"</f>
        <v>1881905602</v>
      </c>
      <c r="B668" t="str">
        <f>"03924370"</f>
        <v>03924370</v>
      </c>
      <c r="C668" t="s">
        <v>8716</v>
      </c>
      <c r="D668" t="s">
        <v>8717</v>
      </c>
      <c r="E668" t="s">
        <v>8718</v>
      </c>
      <c r="L668" t="s">
        <v>83</v>
      </c>
      <c r="M668" t="s">
        <v>75</v>
      </c>
      <c r="R668" t="s">
        <v>8719</v>
      </c>
      <c r="W668" t="s">
        <v>8718</v>
      </c>
      <c r="X668" t="s">
        <v>330</v>
      </c>
      <c r="Y668" t="s">
        <v>97</v>
      </c>
      <c r="Z668" t="s">
        <v>77</v>
      </c>
      <c r="AA668" t="str">
        <f>"10029-5204"</f>
        <v>10029-5204</v>
      </c>
      <c r="AB668" t="s">
        <v>78</v>
      </c>
      <c r="AC668" t="s">
        <v>79</v>
      </c>
      <c r="AD668" t="s">
        <v>75</v>
      </c>
      <c r="AE668" t="s">
        <v>80</v>
      </c>
      <c r="AG668" t="s">
        <v>81</v>
      </c>
    </row>
    <row r="669" spans="1:33" x14ac:dyDescent="0.25">
      <c r="A669" t="str">
        <f>"1134388952"</f>
        <v>1134388952</v>
      </c>
      <c r="B669" t="str">
        <f>"03137560"</f>
        <v>03137560</v>
      </c>
      <c r="C669" t="s">
        <v>8720</v>
      </c>
      <c r="D669" t="s">
        <v>8721</v>
      </c>
      <c r="E669" t="s">
        <v>8722</v>
      </c>
      <c r="G669" t="s">
        <v>6494</v>
      </c>
      <c r="H669" t="s">
        <v>6495</v>
      </c>
      <c r="J669" t="s">
        <v>6496</v>
      </c>
      <c r="L669" t="s">
        <v>84</v>
      </c>
      <c r="M669" t="s">
        <v>75</v>
      </c>
      <c r="R669" t="s">
        <v>8723</v>
      </c>
      <c r="W669" t="s">
        <v>8722</v>
      </c>
      <c r="X669" t="s">
        <v>181</v>
      </c>
      <c r="Y669" t="s">
        <v>97</v>
      </c>
      <c r="Z669" t="s">
        <v>77</v>
      </c>
      <c r="AA669" t="str">
        <f>"10025-1716"</f>
        <v>10025-1716</v>
      </c>
      <c r="AB669" t="s">
        <v>78</v>
      </c>
      <c r="AC669" t="s">
        <v>79</v>
      </c>
      <c r="AD669" t="s">
        <v>75</v>
      </c>
      <c r="AE669" t="s">
        <v>80</v>
      </c>
      <c r="AG669" t="s">
        <v>81</v>
      </c>
    </row>
    <row r="670" spans="1:33" x14ac:dyDescent="0.25">
      <c r="A670" t="str">
        <f>"1689015372"</f>
        <v>1689015372</v>
      </c>
      <c r="B670" t="str">
        <f>"03672584"</f>
        <v>03672584</v>
      </c>
      <c r="C670" t="s">
        <v>8724</v>
      </c>
      <c r="D670" t="s">
        <v>1614</v>
      </c>
      <c r="E670" t="s">
        <v>1615</v>
      </c>
      <c r="G670" t="s">
        <v>6930</v>
      </c>
      <c r="H670" t="s">
        <v>6931</v>
      </c>
      <c r="J670" t="s">
        <v>6932</v>
      </c>
      <c r="L670" t="s">
        <v>74</v>
      </c>
      <c r="M670" t="s">
        <v>75</v>
      </c>
      <c r="R670" t="s">
        <v>1616</v>
      </c>
      <c r="W670" t="s">
        <v>1615</v>
      </c>
      <c r="X670" t="s">
        <v>1531</v>
      </c>
      <c r="Y670" t="s">
        <v>97</v>
      </c>
      <c r="Z670" t="s">
        <v>77</v>
      </c>
      <c r="AA670" t="str">
        <f t="shared" ref="AA670:AA676" si="3">"10036-8005"</f>
        <v>10036-8005</v>
      </c>
      <c r="AB670" t="s">
        <v>108</v>
      </c>
      <c r="AC670" t="s">
        <v>79</v>
      </c>
      <c r="AD670" t="s">
        <v>75</v>
      </c>
      <c r="AE670" t="s">
        <v>80</v>
      </c>
      <c r="AG670" t="s">
        <v>81</v>
      </c>
    </row>
    <row r="671" spans="1:33" x14ac:dyDescent="0.25">
      <c r="A671" t="str">
        <f>"1114369709"</f>
        <v>1114369709</v>
      </c>
      <c r="B671" t="str">
        <f>"03672608"</f>
        <v>03672608</v>
      </c>
      <c r="C671" t="s">
        <v>8725</v>
      </c>
      <c r="D671" t="s">
        <v>8726</v>
      </c>
      <c r="E671" t="s">
        <v>8727</v>
      </c>
      <c r="G671" t="s">
        <v>6930</v>
      </c>
      <c r="H671" t="s">
        <v>6931</v>
      </c>
      <c r="J671" t="s">
        <v>6932</v>
      </c>
      <c r="L671" t="s">
        <v>74</v>
      </c>
      <c r="M671" t="s">
        <v>75</v>
      </c>
      <c r="R671" t="s">
        <v>8728</v>
      </c>
      <c r="W671" t="s">
        <v>8727</v>
      </c>
      <c r="X671" t="s">
        <v>1531</v>
      </c>
      <c r="Y671" t="s">
        <v>97</v>
      </c>
      <c r="Z671" t="s">
        <v>77</v>
      </c>
      <c r="AA671" t="str">
        <f t="shared" si="3"/>
        <v>10036-8005</v>
      </c>
      <c r="AB671" t="s">
        <v>108</v>
      </c>
      <c r="AC671" t="s">
        <v>79</v>
      </c>
      <c r="AD671" t="s">
        <v>75</v>
      </c>
      <c r="AE671" t="s">
        <v>80</v>
      </c>
      <c r="AG671" t="s">
        <v>81</v>
      </c>
    </row>
    <row r="672" spans="1:33" x14ac:dyDescent="0.25">
      <c r="A672" t="str">
        <f>"1073953055"</f>
        <v>1073953055</v>
      </c>
      <c r="B672" t="str">
        <f>"03673310"</f>
        <v>03673310</v>
      </c>
      <c r="C672" t="s">
        <v>8729</v>
      </c>
      <c r="D672" t="s">
        <v>8730</v>
      </c>
      <c r="E672" t="s">
        <v>8731</v>
      </c>
      <c r="G672" t="s">
        <v>6930</v>
      </c>
      <c r="H672" t="s">
        <v>6931</v>
      </c>
      <c r="J672" t="s">
        <v>6932</v>
      </c>
      <c r="L672" t="s">
        <v>83</v>
      </c>
      <c r="M672" t="s">
        <v>75</v>
      </c>
      <c r="R672" t="s">
        <v>3768</v>
      </c>
      <c r="W672" t="s">
        <v>8731</v>
      </c>
      <c r="X672" t="s">
        <v>1531</v>
      </c>
      <c r="Y672" t="s">
        <v>97</v>
      </c>
      <c r="Z672" t="s">
        <v>77</v>
      </c>
      <c r="AA672" t="str">
        <f t="shared" si="3"/>
        <v>10036-8005</v>
      </c>
      <c r="AB672" t="s">
        <v>108</v>
      </c>
      <c r="AC672" t="s">
        <v>79</v>
      </c>
      <c r="AD672" t="s">
        <v>75</v>
      </c>
      <c r="AE672" t="s">
        <v>80</v>
      </c>
      <c r="AG672" t="s">
        <v>81</v>
      </c>
    </row>
    <row r="673" spans="1:33" x14ac:dyDescent="0.25">
      <c r="A673" t="str">
        <f>"1881034189"</f>
        <v>1881034189</v>
      </c>
      <c r="B673" t="str">
        <f>"03673347"</f>
        <v>03673347</v>
      </c>
      <c r="C673" t="s">
        <v>8732</v>
      </c>
      <c r="D673" t="s">
        <v>1588</v>
      </c>
      <c r="E673" t="s">
        <v>1589</v>
      </c>
      <c r="G673" t="s">
        <v>6930</v>
      </c>
      <c r="H673" t="s">
        <v>6931</v>
      </c>
      <c r="J673" t="s">
        <v>6932</v>
      </c>
      <c r="L673" t="s">
        <v>74</v>
      </c>
      <c r="M673" t="s">
        <v>75</v>
      </c>
      <c r="R673" t="s">
        <v>1587</v>
      </c>
      <c r="W673" t="s">
        <v>1589</v>
      </c>
      <c r="X673" t="s">
        <v>1531</v>
      </c>
      <c r="Y673" t="s">
        <v>97</v>
      </c>
      <c r="Z673" t="s">
        <v>77</v>
      </c>
      <c r="AA673" t="str">
        <f t="shared" si="3"/>
        <v>10036-8005</v>
      </c>
      <c r="AB673" t="s">
        <v>108</v>
      </c>
      <c r="AC673" t="s">
        <v>79</v>
      </c>
      <c r="AD673" t="s">
        <v>75</v>
      </c>
      <c r="AE673" t="s">
        <v>80</v>
      </c>
      <c r="AG673" t="s">
        <v>81</v>
      </c>
    </row>
    <row r="674" spans="1:33" x14ac:dyDescent="0.25">
      <c r="A674" t="str">
        <f>"1992144950"</f>
        <v>1992144950</v>
      </c>
      <c r="B674" t="str">
        <f>"03673356"</f>
        <v>03673356</v>
      </c>
      <c r="C674" t="s">
        <v>8733</v>
      </c>
      <c r="D674" t="s">
        <v>1563</v>
      </c>
      <c r="E674" t="s">
        <v>1564</v>
      </c>
      <c r="G674" t="s">
        <v>6930</v>
      </c>
      <c r="H674" t="s">
        <v>6931</v>
      </c>
      <c r="J674" t="s">
        <v>6932</v>
      </c>
      <c r="L674" t="s">
        <v>83</v>
      </c>
      <c r="M674" t="s">
        <v>75</v>
      </c>
      <c r="R674" t="s">
        <v>1562</v>
      </c>
      <c r="W674" t="s">
        <v>1564</v>
      </c>
      <c r="X674" t="s">
        <v>1531</v>
      </c>
      <c r="Y674" t="s">
        <v>97</v>
      </c>
      <c r="Z674" t="s">
        <v>77</v>
      </c>
      <c r="AA674" t="str">
        <f t="shared" si="3"/>
        <v>10036-8005</v>
      </c>
      <c r="AB674" t="s">
        <v>108</v>
      </c>
      <c r="AC674" t="s">
        <v>79</v>
      </c>
      <c r="AD674" t="s">
        <v>75</v>
      </c>
      <c r="AE674" t="s">
        <v>80</v>
      </c>
      <c r="AG674" t="s">
        <v>81</v>
      </c>
    </row>
    <row r="675" spans="1:33" x14ac:dyDescent="0.25">
      <c r="A675" t="str">
        <f>"1093156796"</f>
        <v>1093156796</v>
      </c>
      <c r="B675" t="str">
        <f>"03673365"</f>
        <v>03673365</v>
      </c>
      <c r="C675" t="s">
        <v>8734</v>
      </c>
      <c r="D675" t="s">
        <v>1572</v>
      </c>
      <c r="E675" t="s">
        <v>1573</v>
      </c>
      <c r="G675" t="s">
        <v>6930</v>
      </c>
      <c r="H675" t="s">
        <v>6931</v>
      </c>
      <c r="J675" t="s">
        <v>6932</v>
      </c>
      <c r="L675" t="s">
        <v>83</v>
      </c>
      <c r="M675" t="s">
        <v>75</v>
      </c>
      <c r="R675" t="s">
        <v>1571</v>
      </c>
      <c r="W675" t="s">
        <v>1573</v>
      </c>
      <c r="X675" t="s">
        <v>1531</v>
      </c>
      <c r="Y675" t="s">
        <v>97</v>
      </c>
      <c r="Z675" t="s">
        <v>77</v>
      </c>
      <c r="AA675" t="str">
        <f t="shared" si="3"/>
        <v>10036-8005</v>
      </c>
      <c r="AB675" t="s">
        <v>108</v>
      </c>
      <c r="AC675" t="s">
        <v>79</v>
      </c>
      <c r="AD675" t="s">
        <v>75</v>
      </c>
      <c r="AE675" t="s">
        <v>80</v>
      </c>
      <c r="AG675" t="s">
        <v>81</v>
      </c>
    </row>
    <row r="676" spans="1:33" x14ac:dyDescent="0.25">
      <c r="A676" t="str">
        <f>"1265872568"</f>
        <v>1265872568</v>
      </c>
      <c r="B676" t="str">
        <f>"03682079"</f>
        <v>03682079</v>
      </c>
      <c r="C676" t="s">
        <v>8735</v>
      </c>
      <c r="D676" t="s">
        <v>8736</v>
      </c>
      <c r="E676" t="s">
        <v>8737</v>
      </c>
      <c r="G676" t="s">
        <v>6930</v>
      </c>
      <c r="H676" t="s">
        <v>6931</v>
      </c>
      <c r="J676" t="s">
        <v>6932</v>
      </c>
      <c r="L676" t="s">
        <v>83</v>
      </c>
      <c r="M676" t="s">
        <v>75</v>
      </c>
      <c r="R676" t="s">
        <v>8737</v>
      </c>
      <c r="W676" t="s">
        <v>8737</v>
      </c>
      <c r="X676" t="s">
        <v>1531</v>
      </c>
      <c r="Y676" t="s">
        <v>97</v>
      </c>
      <c r="Z676" t="s">
        <v>77</v>
      </c>
      <c r="AA676" t="str">
        <f t="shared" si="3"/>
        <v>10036-8005</v>
      </c>
      <c r="AB676" t="s">
        <v>108</v>
      </c>
      <c r="AC676" t="s">
        <v>79</v>
      </c>
      <c r="AD676" t="s">
        <v>75</v>
      </c>
      <c r="AE676" t="s">
        <v>80</v>
      </c>
      <c r="AG676" t="s">
        <v>81</v>
      </c>
    </row>
    <row r="677" spans="1:33" x14ac:dyDescent="0.25">
      <c r="A677" t="str">
        <f>"1073800587"</f>
        <v>1073800587</v>
      </c>
      <c r="B677" t="str">
        <f>"03383199"</f>
        <v>03383199</v>
      </c>
      <c r="C677" t="s">
        <v>8738</v>
      </c>
      <c r="D677" t="s">
        <v>3043</v>
      </c>
      <c r="E677" t="s">
        <v>3044</v>
      </c>
      <c r="G677" t="s">
        <v>6930</v>
      </c>
      <c r="H677" t="s">
        <v>6931</v>
      </c>
      <c r="J677" t="s">
        <v>6932</v>
      </c>
      <c r="L677" t="s">
        <v>83</v>
      </c>
      <c r="M677" t="s">
        <v>75</v>
      </c>
      <c r="R677" t="s">
        <v>3044</v>
      </c>
      <c r="W677" t="s">
        <v>3044</v>
      </c>
      <c r="X677" t="s">
        <v>3015</v>
      </c>
      <c r="Y677" t="s">
        <v>131</v>
      </c>
      <c r="Z677" t="s">
        <v>77</v>
      </c>
      <c r="AA677" t="str">
        <f>"10469-5411"</f>
        <v>10469-5411</v>
      </c>
      <c r="AB677" t="s">
        <v>108</v>
      </c>
      <c r="AC677" t="s">
        <v>79</v>
      </c>
      <c r="AD677" t="s">
        <v>75</v>
      </c>
      <c r="AE677" t="s">
        <v>80</v>
      </c>
      <c r="AG677" t="s">
        <v>81</v>
      </c>
    </row>
    <row r="678" spans="1:33" x14ac:dyDescent="0.25">
      <c r="A678" t="str">
        <f>"1760482244"</f>
        <v>1760482244</v>
      </c>
      <c r="B678" t="str">
        <f>"00349073"</f>
        <v>00349073</v>
      </c>
      <c r="C678" t="s">
        <v>8739</v>
      </c>
      <c r="D678" t="s">
        <v>8740</v>
      </c>
      <c r="E678" t="s">
        <v>8741</v>
      </c>
      <c r="G678" t="s">
        <v>6930</v>
      </c>
      <c r="H678" t="s">
        <v>6931</v>
      </c>
      <c r="J678" t="s">
        <v>6932</v>
      </c>
      <c r="L678" t="s">
        <v>83</v>
      </c>
      <c r="M678" t="s">
        <v>75</v>
      </c>
      <c r="R678" t="s">
        <v>8742</v>
      </c>
      <c r="W678" t="s">
        <v>8741</v>
      </c>
      <c r="X678" t="s">
        <v>8743</v>
      </c>
      <c r="Y678" t="s">
        <v>131</v>
      </c>
      <c r="Z678" t="s">
        <v>77</v>
      </c>
      <c r="AA678" t="str">
        <f>"10475-4201"</f>
        <v>10475-4201</v>
      </c>
      <c r="AB678" t="s">
        <v>108</v>
      </c>
      <c r="AC678" t="s">
        <v>79</v>
      </c>
      <c r="AD678" t="s">
        <v>75</v>
      </c>
      <c r="AE678" t="s">
        <v>80</v>
      </c>
      <c r="AG678" t="s">
        <v>81</v>
      </c>
    </row>
    <row r="679" spans="1:33" x14ac:dyDescent="0.25">
      <c r="A679" t="str">
        <f>"1851382048"</f>
        <v>1851382048</v>
      </c>
      <c r="B679" t="str">
        <f>"00352612"</f>
        <v>00352612</v>
      </c>
      <c r="C679" t="s">
        <v>8744</v>
      </c>
      <c r="D679" t="s">
        <v>1528</v>
      </c>
      <c r="E679" t="s">
        <v>1529</v>
      </c>
      <c r="G679" t="s">
        <v>6930</v>
      </c>
      <c r="H679" t="s">
        <v>6931</v>
      </c>
      <c r="J679" t="s">
        <v>6932</v>
      </c>
      <c r="L679" t="s">
        <v>83</v>
      </c>
      <c r="M679" t="s">
        <v>75</v>
      </c>
      <c r="R679" t="s">
        <v>1527</v>
      </c>
      <c r="W679" t="s">
        <v>1529</v>
      </c>
      <c r="X679" t="s">
        <v>1530</v>
      </c>
      <c r="Y679" t="s">
        <v>87</v>
      </c>
      <c r="Z679" t="s">
        <v>77</v>
      </c>
      <c r="AA679" t="str">
        <f>"11214-4951"</f>
        <v>11214-4951</v>
      </c>
      <c r="AB679" t="s">
        <v>78</v>
      </c>
      <c r="AC679" t="s">
        <v>79</v>
      </c>
      <c r="AD679" t="s">
        <v>75</v>
      </c>
      <c r="AE679" t="s">
        <v>80</v>
      </c>
      <c r="AG679" t="s">
        <v>81</v>
      </c>
    </row>
    <row r="680" spans="1:33" x14ac:dyDescent="0.25">
      <c r="A680" t="str">
        <f>"1821069139"</f>
        <v>1821069139</v>
      </c>
      <c r="B680" t="str">
        <f>"00494317"</f>
        <v>00494317</v>
      </c>
      <c r="C680" t="s">
        <v>8745</v>
      </c>
      <c r="D680" t="s">
        <v>8746</v>
      </c>
      <c r="E680" t="s">
        <v>8747</v>
      </c>
      <c r="G680" t="s">
        <v>6367</v>
      </c>
      <c r="H680" t="s">
        <v>4625</v>
      </c>
      <c r="J680" t="s">
        <v>6368</v>
      </c>
      <c r="L680" t="s">
        <v>83</v>
      </c>
      <c r="M680" t="s">
        <v>85</v>
      </c>
      <c r="R680" t="s">
        <v>8748</v>
      </c>
      <c r="W680" t="s">
        <v>8747</v>
      </c>
      <c r="X680" t="s">
        <v>7619</v>
      </c>
      <c r="Y680" t="s">
        <v>1797</v>
      </c>
      <c r="Z680" t="s">
        <v>77</v>
      </c>
      <c r="AA680" t="str">
        <f>"12550-3100"</f>
        <v>12550-3100</v>
      </c>
      <c r="AB680" t="s">
        <v>78</v>
      </c>
      <c r="AC680" t="s">
        <v>79</v>
      </c>
      <c r="AD680" t="s">
        <v>75</v>
      </c>
      <c r="AE680" t="s">
        <v>80</v>
      </c>
      <c r="AG680" t="s">
        <v>81</v>
      </c>
    </row>
    <row r="681" spans="1:33" x14ac:dyDescent="0.25">
      <c r="A681" t="str">
        <f>"1265432736"</f>
        <v>1265432736</v>
      </c>
      <c r="B681" t="str">
        <f>"01026824"</f>
        <v>01026824</v>
      </c>
      <c r="C681" t="s">
        <v>8749</v>
      </c>
      <c r="D681" t="s">
        <v>5304</v>
      </c>
      <c r="E681" t="s">
        <v>5305</v>
      </c>
      <c r="G681" t="s">
        <v>8551</v>
      </c>
      <c r="H681" t="s">
        <v>3245</v>
      </c>
      <c r="I681">
        <v>241</v>
      </c>
      <c r="J681" t="s">
        <v>8552</v>
      </c>
      <c r="L681" t="s">
        <v>84</v>
      </c>
      <c r="M681" t="s">
        <v>75</v>
      </c>
      <c r="R681" t="s">
        <v>5306</v>
      </c>
      <c r="W681" t="s">
        <v>5305</v>
      </c>
      <c r="X681" t="s">
        <v>5303</v>
      </c>
      <c r="Y681" t="s">
        <v>3246</v>
      </c>
      <c r="Z681" t="s">
        <v>77</v>
      </c>
      <c r="AA681" t="str">
        <f>"10913-1916"</f>
        <v>10913-1916</v>
      </c>
      <c r="AB681" t="s">
        <v>78</v>
      </c>
      <c r="AC681" t="s">
        <v>79</v>
      </c>
      <c r="AD681" t="s">
        <v>75</v>
      </c>
      <c r="AE681" t="s">
        <v>80</v>
      </c>
      <c r="AG681" t="s">
        <v>81</v>
      </c>
    </row>
    <row r="682" spans="1:33" x14ac:dyDescent="0.25">
      <c r="A682" t="str">
        <f>"1184617185"</f>
        <v>1184617185</v>
      </c>
      <c r="B682" t="str">
        <f>"02003661"</f>
        <v>02003661</v>
      </c>
      <c r="C682" t="s">
        <v>8750</v>
      </c>
      <c r="D682" t="s">
        <v>8751</v>
      </c>
      <c r="E682" t="s">
        <v>8752</v>
      </c>
      <c r="G682" t="s">
        <v>6367</v>
      </c>
      <c r="H682" t="s">
        <v>4625</v>
      </c>
      <c r="J682" t="s">
        <v>6368</v>
      </c>
      <c r="L682" t="s">
        <v>83</v>
      </c>
      <c r="M682" t="s">
        <v>85</v>
      </c>
      <c r="R682" t="s">
        <v>8753</v>
      </c>
      <c r="W682" t="s">
        <v>8754</v>
      </c>
      <c r="X682" t="s">
        <v>1843</v>
      </c>
      <c r="Y682" t="s">
        <v>153</v>
      </c>
      <c r="Z682" t="s">
        <v>77</v>
      </c>
      <c r="AA682" t="str">
        <f>"12601-1154"</f>
        <v>12601-1154</v>
      </c>
      <c r="AB682" t="s">
        <v>78</v>
      </c>
      <c r="AC682" t="s">
        <v>79</v>
      </c>
      <c r="AD682" t="s">
        <v>75</v>
      </c>
      <c r="AE682" t="s">
        <v>80</v>
      </c>
      <c r="AG682" t="s">
        <v>81</v>
      </c>
    </row>
    <row r="683" spans="1:33" x14ac:dyDescent="0.25">
      <c r="A683" t="str">
        <f>"1831397918"</f>
        <v>1831397918</v>
      </c>
      <c r="C683" t="s">
        <v>8755</v>
      </c>
      <c r="K683" t="s">
        <v>99</v>
      </c>
      <c r="L683" t="s">
        <v>102</v>
      </c>
      <c r="M683" t="s">
        <v>75</v>
      </c>
      <c r="R683" t="s">
        <v>8756</v>
      </c>
      <c r="S683" t="s">
        <v>8757</v>
      </c>
      <c r="T683" t="s">
        <v>97</v>
      </c>
      <c r="U683" t="s">
        <v>77</v>
      </c>
      <c r="V683" t="str">
        <f>"100296503"</f>
        <v>100296503</v>
      </c>
      <c r="AC683" t="s">
        <v>79</v>
      </c>
      <c r="AD683" t="s">
        <v>75</v>
      </c>
      <c r="AE683" t="s">
        <v>103</v>
      </c>
      <c r="AG683" t="s">
        <v>81</v>
      </c>
    </row>
    <row r="684" spans="1:33" x14ac:dyDescent="0.25">
      <c r="A684" t="str">
        <f>"1831440320"</f>
        <v>1831440320</v>
      </c>
      <c r="C684" t="s">
        <v>8758</v>
      </c>
      <c r="K684" t="s">
        <v>99</v>
      </c>
      <c r="L684" t="s">
        <v>102</v>
      </c>
      <c r="M684" t="s">
        <v>75</v>
      </c>
      <c r="R684" t="s">
        <v>8759</v>
      </c>
      <c r="S684" t="s">
        <v>8760</v>
      </c>
      <c r="T684" t="s">
        <v>97</v>
      </c>
      <c r="U684" t="s">
        <v>77</v>
      </c>
      <c r="V684" t="str">
        <f>"100296574"</f>
        <v>100296574</v>
      </c>
      <c r="AC684" t="s">
        <v>79</v>
      </c>
      <c r="AD684" t="s">
        <v>75</v>
      </c>
      <c r="AE684" t="s">
        <v>103</v>
      </c>
      <c r="AG684" t="s">
        <v>81</v>
      </c>
    </row>
    <row r="685" spans="1:33" x14ac:dyDescent="0.25">
      <c r="A685" t="str">
        <f>"1831450337"</f>
        <v>1831450337</v>
      </c>
      <c r="C685" t="s">
        <v>8761</v>
      </c>
      <c r="K685" t="s">
        <v>99</v>
      </c>
      <c r="L685" t="s">
        <v>102</v>
      </c>
      <c r="M685" t="s">
        <v>75</v>
      </c>
      <c r="R685" t="s">
        <v>8762</v>
      </c>
      <c r="S685" t="s">
        <v>8763</v>
      </c>
      <c r="T685" t="s">
        <v>8764</v>
      </c>
      <c r="U685" t="s">
        <v>156</v>
      </c>
      <c r="V685" t="str">
        <f>"076757471"</f>
        <v>076757471</v>
      </c>
      <c r="AC685" t="s">
        <v>79</v>
      </c>
      <c r="AD685" t="s">
        <v>75</v>
      </c>
      <c r="AE685" t="s">
        <v>103</v>
      </c>
      <c r="AG685" t="s">
        <v>81</v>
      </c>
    </row>
    <row r="686" spans="1:33" x14ac:dyDescent="0.25">
      <c r="A686" t="str">
        <f>"1356689657"</f>
        <v>1356689657</v>
      </c>
      <c r="B686" t="str">
        <f>"03539219"</f>
        <v>03539219</v>
      </c>
      <c r="C686" t="s">
        <v>8765</v>
      </c>
      <c r="D686" t="s">
        <v>8766</v>
      </c>
      <c r="E686" t="s">
        <v>8767</v>
      </c>
      <c r="G686" t="s">
        <v>6367</v>
      </c>
      <c r="H686" t="s">
        <v>4625</v>
      </c>
      <c r="J686" t="s">
        <v>6368</v>
      </c>
      <c r="L686" t="s">
        <v>83</v>
      </c>
      <c r="M686" t="s">
        <v>85</v>
      </c>
      <c r="R686" t="s">
        <v>8768</v>
      </c>
      <c r="W686" t="s">
        <v>8767</v>
      </c>
      <c r="X686" t="s">
        <v>6503</v>
      </c>
      <c r="Y686" t="s">
        <v>1823</v>
      </c>
      <c r="Z686" t="s">
        <v>77</v>
      </c>
      <c r="AA686" t="str">
        <f>"10941-7001"</f>
        <v>10941-7001</v>
      </c>
      <c r="AB686" t="s">
        <v>78</v>
      </c>
      <c r="AC686" t="s">
        <v>79</v>
      </c>
      <c r="AD686" t="s">
        <v>75</v>
      </c>
      <c r="AE686" t="s">
        <v>80</v>
      </c>
      <c r="AG686" t="s">
        <v>81</v>
      </c>
    </row>
    <row r="687" spans="1:33" x14ac:dyDescent="0.25">
      <c r="A687" t="str">
        <f>"1073955233"</f>
        <v>1073955233</v>
      </c>
      <c r="B687" t="str">
        <f>"03616942"</f>
        <v>03616942</v>
      </c>
      <c r="C687" t="s">
        <v>8769</v>
      </c>
      <c r="D687" t="s">
        <v>8770</v>
      </c>
      <c r="E687" t="s">
        <v>8771</v>
      </c>
      <c r="G687" t="s">
        <v>6367</v>
      </c>
      <c r="H687" t="s">
        <v>4625</v>
      </c>
      <c r="J687" t="s">
        <v>6368</v>
      </c>
      <c r="L687" t="s">
        <v>83</v>
      </c>
      <c r="M687" t="s">
        <v>85</v>
      </c>
      <c r="R687" t="s">
        <v>8772</v>
      </c>
      <c r="W687" t="s">
        <v>8771</v>
      </c>
      <c r="X687" t="s">
        <v>8773</v>
      </c>
      <c r="Y687" t="s">
        <v>4642</v>
      </c>
      <c r="Z687" t="s">
        <v>77</v>
      </c>
      <c r="AA687" t="str">
        <f>"10990-4105"</f>
        <v>10990-4105</v>
      </c>
      <c r="AB687" t="s">
        <v>78</v>
      </c>
      <c r="AC687" t="s">
        <v>79</v>
      </c>
      <c r="AD687" t="s">
        <v>75</v>
      </c>
      <c r="AE687" t="s">
        <v>80</v>
      </c>
      <c r="AG687" t="s">
        <v>81</v>
      </c>
    </row>
    <row r="688" spans="1:33" x14ac:dyDescent="0.25">
      <c r="A688" t="str">
        <f>"1942410444"</f>
        <v>1942410444</v>
      </c>
      <c r="B688" t="str">
        <f>"03412080"</f>
        <v>03412080</v>
      </c>
      <c r="C688" t="s">
        <v>8774</v>
      </c>
      <c r="D688" t="s">
        <v>8775</v>
      </c>
      <c r="E688" t="s">
        <v>8776</v>
      </c>
      <c r="G688" t="s">
        <v>6367</v>
      </c>
      <c r="H688" t="s">
        <v>4625</v>
      </c>
      <c r="J688" t="s">
        <v>6368</v>
      </c>
      <c r="L688" t="s">
        <v>83</v>
      </c>
      <c r="M688" t="s">
        <v>85</v>
      </c>
      <c r="R688" t="s">
        <v>8777</v>
      </c>
      <c r="W688" t="s">
        <v>8778</v>
      </c>
      <c r="X688" t="s">
        <v>1822</v>
      </c>
      <c r="Y688" t="s">
        <v>1823</v>
      </c>
      <c r="Z688" t="s">
        <v>77</v>
      </c>
      <c r="AA688" t="str">
        <f>"10941-4028"</f>
        <v>10941-4028</v>
      </c>
      <c r="AB688" t="s">
        <v>78</v>
      </c>
      <c r="AC688" t="s">
        <v>79</v>
      </c>
      <c r="AD688" t="s">
        <v>75</v>
      </c>
      <c r="AE688" t="s">
        <v>80</v>
      </c>
      <c r="AG688" t="s">
        <v>81</v>
      </c>
    </row>
    <row r="689" spans="1:33" x14ac:dyDescent="0.25">
      <c r="A689" t="str">
        <f>"1609172360"</f>
        <v>1609172360</v>
      </c>
      <c r="B689" t="str">
        <f>"03413985"</f>
        <v>03413985</v>
      </c>
      <c r="C689" t="s">
        <v>8779</v>
      </c>
      <c r="D689" t="s">
        <v>8780</v>
      </c>
      <c r="E689" t="s">
        <v>8781</v>
      </c>
      <c r="G689" t="s">
        <v>6380</v>
      </c>
      <c r="H689" t="s">
        <v>4625</v>
      </c>
      <c r="J689" t="s">
        <v>6381</v>
      </c>
      <c r="L689" t="s">
        <v>83</v>
      </c>
      <c r="M689" t="s">
        <v>75</v>
      </c>
      <c r="R689" t="s">
        <v>8782</v>
      </c>
      <c r="W689" t="s">
        <v>8783</v>
      </c>
      <c r="X689" t="s">
        <v>1822</v>
      </c>
      <c r="Y689" t="s">
        <v>1823</v>
      </c>
      <c r="Z689" t="s">
        <v>77</v>
      </c>
      <c r="AA689" t="str">
        <f>"10941-4028"</f>
        <v>10941-4028</v>
      </c>
      <c r="AB689" t="s">
        <v>78</v>
      </c>
      <c r="AC689" t="s">
        <v>79</v>
      </c>
      <c r="AD689" t="s">
        <v>75</v>
      </c>
      <c r="AE689" t="s">
        <v>80</v>
      </c>
      <c r="AG689" t="s">
        <v>81</v>
      </c>
    </row>
    <row r="690" spans="1:33" x14ac:dyDescent="0.25">
      <c r="A690" t="str">
        <f>"1710179825"</f>
        <v>1710179825</v>
      </c>
      <c r="B690" t="str">
        <f>"03367131"</f>
        <v>03367131</v>
      </c>
      <c r="C690" t="s">
        <v>8784</v>
      </c>
      <c r="D690" t="s">
        <v>3421</v>
      </c>
      <c r="E690" t="s">
        <v>3422</v>
      </c>
      <c r="H690" t="s">
        <v>626</v>
      </c>
      <c r="J690" t="s">
        <v>3423</v>
      </c>
      <c r="L690" t="s">
        <v>143</v>
      </c>
      <c r="M690" t="s">
        <v>85</v>
      </c>
      <c r="R690" t="s">
        <v>3424</v>
      </c>
      <c r="W690" t="s">
        <v>3425</v>
      </c>
      <c r="X690" t="s">
        <v>3064</v>
      </c>
      <c r="Y690" t="s">
        <v>87</v>
      </c>
      <c r="Z690" t="s">
        <v>77</v>
      </c>
      <c r="AA690" t="str">
        <f>"11216-3903"</f>
        <v>11216-3903</v>
      </c>
      <c r="AB690" t="s">
        <v>78</v>
      </c>
      <c r="AC690" t="s">
        <v>79</v>
      </c>
      <c r="AD690" t="s">
        <v>75</v>
      </c>
      <c r="AE690" t="s">
        <v>80</v>
      </c>
      <c r="AG690" t="s">
        <v>81</v>
      </c>
    </row>
    <row r="691" spans="1:33" x14ac:dyDescent="0.25">
      <c r="A691" t="str">
        <f>"1578737425"</f>
        <v>1578737425</v>
      </c>
      <c r="B691" t="str">
        <f>"03375537"</f>
        <v>03375537</v>
      </c>
      <c r="C691" t="s">
        <v>8785</v>
      </c>
      <c r="D691" t="s">
        <v>3104</v>
      </c>
      <c r="E691" t="s">
        <v>3105</v>
      </c>
      <c r="H691" t="s">
        <v>626</v>
      </c>
      <c r="I691">
        <v>3222</v>
      </c>
      <c r="J691" t="s">
        <v>3106</v>
      </c>
      <c r="L691" t="s">
        <v>84</v>
      </c>
      <c r="M691" t="s">
        <v>85</v>
      </c>
      <c r="R691" t="s">
        <v>3107</v>
      </c>
      <c r="W691" t="s">
        <v>3107</v>
      </c>
      <c r="X691" t="s">
        <v>2724</v>
      </c>
      <c r="Y691" t="s">
        <v>131</v>
      </c>
      <c r="Z691" t="s">
        <v>77</v>
      </c>
      <c r="AA691" t="str">
        <f>"10452-2001"</f>
        <v>10452-2001</v>
      </c>
      <c r="AB691" t="s">
        <v>78</v>
      </c>
      <c r="AC691" t="s">
        <v>79</v>
      </c>
      <c r="AD691" t="s">
        <v>75</v>
      </c>
      <c r="AE691" t="s">
        <v>80</v>
      </c>
      <c r="AG691" t="s">
        <v>81</v>
      </c>
    </row>
    <row r="692" spans="1:33" x14ac:dyDescent="0.25">
      <c r="A692" t="str">
        <f>"1215217260"</f>
        <v>1215217260</v>
      </c>
      <c r="B692" t="str">
        <f>"03399617"</f>
        <v>03399617</v>
      </c>
      <c r="C692" t="s">
        <v>8786</v>
      </c>
      <c r="D692" t="s">
        <v>2908</v>
      </c>
      <c r="E692" t="s">
        <v>2909</v>
      </c>
      <c r="H692" t="s">
        <v>626</v>
      </c>
      <c r="J692" t="s">
        <v>2910</v>
      </c>
      <c r="L692" t="s">
        <v>105</v>
      </c>
      <c r="M692" t="s">
        <v>75</v>
      </c>
      <c r="R692" t="s">
        <v>2911</v>
      </c>
      <c r="W692" t="s">
        <v>2912</v>
      </c>
      <c r="X692" t="s">
        <v>664</v>
      </c>
      <c r="Y692" t="s">
        <v>131</v>
      </c>
      <c r="Z692" t="s">
        <v>77</v>
      </c>
      <c r="AA692" t="str">
        <f>"10452-2001"</f>
        <v>10452-2001</v>
      </c>
      <c r="AB692" t="s">
        <v>125</v>
      </c>
      <c r="AC692" t="s">
        <v>79</v>
      </c>
      <c r="AD692" t="s">
        <v>75</v>
      </c>
      <c r="AE692" t="s">
        <v>80</v>
      </c>
      <c r="AG692" t="s">
        <v>81</v>
      </c>
    </row>
    <row r="693" spans="1:33" x14ac:dyDescent="0.25">
      <c r="A693" t="str">
        <f>"1043234875"</f>
        <v>1043234875</v>
      </c>
      <c r="B693" t="str">
        <f>"01446955"</f>
        <v>01446955</v>
      </c>
      <c r="C693" t="s">
        <v>8787</v>
      </c>
      <c r="D693" t="s">
        <v>8788</v>
      </c>
      <c r="E693" t="s">
        <v>8789</v>
      </c>
      <c r="G693" t="s">
        <v>8787</v>
      </c>
      <c r="H693" t="s">
        <v>8790</v>
      </c>
      <c r="J693" t="s">
        <v>7732</v>
      </c>
      <c r="L693" t="s">
        <v>105</v>
      </c>
      <c r="M693" t="s">
        <v>75</v>
      </c>
      <c r="R693" t="s">
        <v>8791</v>
      </c>
      <c r="W693" t="s">
        <v>8792</v>
      </c>
      <c r="X693" t="s">
        <v>1383</v>
      </c>
      <c r="Y693" t="s">
        <v>218</v>
      </c>
      <c r="Z693" t="s">
        <v>77</v>
      </c>
      <c r="AA693" t="str">
        <f>"11570-3614"</f>
        <v>11570-3614</v>
      </c>
      <c r="AB693" t="s">
        <v>125</v>
      </c>
      <c r="AC693" t="s">
        <v>79</v>
      </c>
      <c r="AD693" t="s">
        <v>75</v>
      </c>
      <c r="AE693" t="s">
        <v>80</v>
      </c>
      <c r="AG693" t="s">
        <v>81</v>
      </c>
    </row>
    <row r="694" spans="1:33" x14ac:dyDescent="0.25">
      <c r="A694" t="str">
        <f>"1497741060"</f>
        <v>1497741060</v>
      </c>
      <c r="B694" t="str">
        <f>"01457056"</f>
        <v>01457056</v>
      </c>
      <c r="C694" t="s">
        <v>8793</v>
      </c>
      <c r="D694" t="s">
        <v>8794</v>
      </c>
      <c r="E694" t="s">
        <v>8795</v>
      </c>
      <c r="G694" t="s">
        <v>8793</v>
      </c>
      <c r="H694" t="s">
        <v>8796</v>
      </c>
      <c r="J694" t="s">
        <v>7732</v>
      </c>
      <c r="L694" t="s">
        <v>74</v>
      </c>
      <c r="M694" t="s">
        <v>75</v>
      </c>
      <c r="R694" t="s">
        <v>8797</v>
      </c>
      <c r="W694" t="s">
        <v>8795</v>
      </c>
      <c r="X694" t="s">
        <v>8798</v>
      </c>
      <c r="Y694" t="s">
        <v>216</v>
      </c>
      <c r="Z694" t="s">
        <v>77</v>
      </c>
      <c r="AA694" t="str">
        <f>"11691-4399"</f>
        <v>11691-4399</v>
      </c>
      <c r="AB694" t="s">
        <v>78</v>
      </c>
      <c r="AC694" t="s">
        <v>79</v>
      </c>
      <c r="AD694" t="s">
        <v>75</v>
      </c>
      <c r="AE694" t="s">
        <v>80</v>
      </c>
      <c r="AG694" t="s">
        <v>81</v>
      </c>
    </row>
    <row r="695" spans="1:33" x14ac:dyDescent="0.25">
      <c r="A695" t="str">
        <f>"1104878461"</f>
        <v>1104878461</v>
      </c>
      <c r="B695" t="str">
        <f>"02520538"</f>
        <v>02520538</v>
      </c>
      <c r="C695" t="s">
        <v>8799</v>
      </c>
      <c r="D695" t="s">
        <v>8800</v>
      </c>
      <c r="E695" t="s">
        <v>8801</v>
      </c>
      <c r="G695" t="s">
        <v>8799</v>
      </c>
      <c r="H695" t="s">
        <v>8500</v>
      </c>
      <c r="J695" t="s">
        <v>7732</v>
      </c>
      <c r="L695" t="s">
        <v>84</v>
      </c>
      <c r="M695" t="s">
        <v>75</v>
      </c>
      <c r="R695" t="s">
        <v>8802</v>
      </c>
      <c r="W695" t="s">
        <v>8803</v>
      </c>
      <c r="X695" t="s">
        <v>8804</v>
      </c>
      <c r="Y695" t="s">
        <v>216</v>
      </c>
      <c r="Z695" t="s">
        <v>77</v>
      </c>
      <c r="AA695" t="str">
        <f>"11691-0000"</f>
        <v>11691-0000</v>
      </c>
      <c r="AB695" t="s">
        <v>78</v>
      </c>
      <c r="AC695" t="s">
        <v>79</v>
      </c>
      <c r="AD695" t="s">
        <v>75</v>
      </c>
      <c r="AE695" t="s">
        <v>80</v>
      </c>
      <c r="AG695" t="s">
        <v>81</v>
      </c>
    </row>
    <row r="696" spans="1:33" x14ac:dyDescent="0.25">
      <c r="A696" t="str">
        <f>"1558396440"</f>
        <v>1558396440</v>
      </c>
      <c r="B696" t="str">
        <f>"00272500"</f>
        <v>00272500</v>
      </c>
      <c r="C696" t="s">
        <v>8805</v>
      </c>
      <c r="D696" t="s">
        <v>8806</v>
      </c>
      <c r="E696" t="s">
        <v>8807</v>
      </c>
      <c r="G696" t="s">
        <v>8805</v>
      </c>
      <c r="H696" t="s">
        <v>7814</v>
      </c>
      <c r="J696" t="s">
        <v>7732</v>
      </c>
      <c r="L696" t="s">
        <v>94</v>
      </c>
      <c r="M696" t="s">
        <v>75</v>
      </c>
      <c r="R696" t="s">
        <v>8808</v>
      </c>
      <c r="W696" t="s">
        <v>8807</v>
      </c>
      <c r="X696" t="s">
        <v>8809</v>
      </c>
      <c r="Y696" t="s">
        <v>281</v>
      </c>
      <c r="Z696" t="s">
        <v>77</v>
      </c>
      <c r="AA696" t="str">
        <f>"11366-1717"</f>
        <v>11366-1717</v>
      </c>
      <c r="AB696" t="s">
        <v>78</v>
      </c>
      <c r="AC696" t="s">
        <v>79</v>
      </c>
      <c r="AD696" t="s">
        <v>75</v>
      </c>
      <c r="AE696" t="s">
        <v>80</v>
      </c>
      <c r="AG696" t="s">
        <v>81</v>
      </c>
    </row>
    <row r="697" spans="1:33" x14ac:dyDescent="0.25">
      <c r="A697" t="str">
        <f>"1912018672"</f>
        <v>1912018672</v>
      </c>
      <c r="C697" t="s">
        <v>8810</v>
      </c>
      <c r="G697" t="s">
        <v>8810</v>
      </c>
      <c r="H697" t="s">
        <v>8811</v>
      </c>
      <c r="J697" t="s">
        <v>7732</v>
      </c>
      <c r="K697" t="s">
        <v>206</v>
      </c>
      <c r="L697" t="s">
        <v>102</v>
      </c>
      <c r="M697" t="s">
        <v>75</v>
      </c>
      <c r="R697" t="s">
        <v>8812</v>
      </c>
      <c r="S697" t="s">
        <v>8813</v>
      </c>
      <c r="T697" t="s">
        <v>1779</v>
      </c>
      <c r="U697" t="s">
        <v>77</v>
      </c>
      <c r="V697" t="str">
        <f>"115722513"</f>
        <v>115722513</v>
      </c>
      <c r="AC697" t="s">
        <v>79</v>
      </c>
      <c r="AD697" t="s">
        <v>75</v>
      </c>
      <c r="AE697" t="s">
        <v>103</v>
      </c>
      <c r="AG697" t="s">
        <v>81</v>
      </c>
    </row>
    <row r="698" spans="1:33" x14ac:dyDescent="0.25">
      <c r="A698" t="str">
        <f>"1114353851"</f>
        <v>1114353851</v>
      </c>
      <c r="B698" t="str">
        <f>"03695865"</f>
        <v>03695865</v>
      </c>
      <c r="C698" t="s">
        <v>8814</v>
      </c>
      <c r="D698" t="s">
        <v>8815</v>
      </c>
      <c r="E698" t="s">
        <v>8816</v>
      </c>
      <c r="G698" t="s">
        <v>8817</v>
      </c>
      <c r="H698" t="s">
        <v>8818</v>
      </c>
      <c r="J698" t="s">
        <v>8819</v>
      </c>
      <c r="L698" t="s">
        <v>105</v>
      </c>
      <c r="M698" t="s">
        <v>75</v>
      </c>
      <c r="R698" t="s">
        <v>8816</v>
      </c>
      <c r="W698" t="s">
        <v>8816</v>
      </c>
      <c r="X698" t="s">
        <v>3646</v>
      </c>
      <c r="Y698" t="s">
        <v>97</v>
      </c>
      <c r="Z698" t="s">
        <v>77</v>
      </c>
      <c r="AA698" t="str">
        <f>"10019-4642"</f>
        <v>10019-4642</v>
      </c>
      <c r="AB698" t="s">
        <v>125</v>
      </c>
      <c r="AC698" t="s">
        <v>79</v>
      </c>
      <c r="AD698" t="s">
        <v>75</v>
      </c>
      <c r="AE698" t="s">
        <v>80</v>
      </c>
      <c r="AG698" t="s">
        <v>81</v>
      </c>
    </row>
    <row r="699" spans="1:33" x14ac:dyDescent="0.25">
      <c r="A699" t="str">
        <f>"1124111521"</f>
        <v>1124111521</v>
      </c>
      <c r="B699" t="str">
        <f>"01018639"</f>
        <v>01018639</v>
      </c>
      <c r="C699" t="s">
        <v>8820</v>
      </c>
      <c r="D699" t="s">
        <v>5382</v>
      </c>
      <c r="E699" t="s">
        <v>5383</v>
      </c>
      <c r="G699" t="s">
        <v>8269</v>
      </c>
      <c r="H699" t="s">
        <v>8270</v>
      </c>
      <c r="J699" t="s">
        <v>8821</v>
      </c>
      <c r="L699" t="s">
        <v>84</v>
      </c>
      <c r="M699" t="s">
        <v>75</v>
      </c>
      <c r="R699" t="s">
        <v>5384</v>
      </c>
      <c r="W699" t="s">
        <v>5383</v>
      </c>
      <c r="X699" t="s">
        <v>5010</v>
      </c>
      <c r="Y699" t="s">
        <v>131</v>
      </c>
      <c r="Z699" t="s">
        <v>77</v>
      </c>
      <c r="AA699" t="str">
        <f>"10463-5180"</f>
        <v>10463-5180</v>
      </c>
      <c r="AB699" t="s">
        <v>78</v>
      </c>
      <c r="AC699" t="s">
        <v>79</v>
      </c>
      <c r="AD699" t="s">
        <v>75</v>
      </c>
      <c r="AE699" t="s">
        <v>80</v>
      </c>
      <c r="AG699" t="s">
        <v>81</v>
      </c>
    </row>
    <row r="700" spans="1:33" x14ac:dyDescent="0.25">
      <c r="A700" t="str">
        <f>"1164493193"</f>
        <v>1164493193</v>
      </c>
      <c r="B700" t="str">
        <f>"00930630"</f>
        <v>00930630</v>
      </c>
      <c r="C700" t="s">
        <v>8822</v>
      </c>
      <c r="D700" t="s">
        <v>5918</v>
      </c>
      <c r="E700" t="s">
        <v>5919</v>
      </c>
      <c r="H700" t="s">
        <v>5920</v>
      </c>
      <c r="J700" t="s">
        <v>5921</v>
      </c>
      <c r="L700" t="s">
        <v>83</v>
      </c>
      <c r="M700" t="s">
        <v>75</v>
      </c>
      <c r="R700" t="s">
        <v>5922</v>
      </c>
      <c r="W700" t="s">
        <v>5919</v>
      </c>
      <c r="X700" t="s">
        <v>197</v>
      </c>
      <c r="Y700" t="s">
        <v>180</v>
      </c>
      <c r="Z700" t="s">
        <v>77</v>
      </c>
      <c r="AA700" t="str">
        <f>"10701-4006"</f>
        <v>10701-4006</v>
      </c>
      <c r="AB700" t="s">
        <v>78</v>
      </c>
      <c r="AC700" t="s">
        <v>79</v>
      </c>
      <c r="AD700" t="s">
        <v>75</v>
      </c>
      <c r="AE700" t="s">
        <v>80</v>
      </c>
      <c r="AG700" t="s">
        <v>81</v>
      </c>
    </row>
    <row r="701" spans="1:33" x14ac:dyDescent="0.25">
      <c r="A701" t="str">
        <f>"1174616577"</f>
        <v>1174616577</v>
      </c>
      <c r="B701" t="str">
        <f>"01886704"</f>
        <v>01886704</v>
      </c>
      <c r="C701" t="s">
        <v>8823</v>
      </c>
      <c r="D701" t="s">
        <v>4763</v>
      </c>
      <c r="E701" t="s">
        <v>4764</v>
      </c>
      <c r="G701" t="s">
        <v>8269</v>
      </c>
      <c r="H701" t="s">
        <v>8270</v>
      </c>
      <c r="J701" t="s">
        <v>8824</v>
      </c>
      <c r="L701" t="s">
        <v>84</v>
      </c>
      <c r="M701" t="s">
        <v>75</v>
      </c>
      <c r="R701" t="s">
        <v>4765</v>
      </c>
      <c r="W701" t="s">
        <v>4764</v>
      </c>
      <c r="X701" t="s">
        <v>4501</v>
      </c>
      <c r="Y701" t="s">
        <v>131</v>
      </c>
      <c r="Z701" t="s">
        <v>77</v>
      </c>
      <c r="AA701" t="str">
        <f>"10463-5180"</f>
        <v>10463-5180</v>
      </c>
      <c r="AB701" t="s">
        <v>78</v>
      </c>
      <c r="AC701" t="s">
        <v>79</v>
      </c>
      <c r="AD701" t="s">
        <v>75</v>
      </c>
      <c r="AE701" t="s">
        <v>80</v>
      </c>
      <c r="AG701" t="s">
        <v>81</v>
      </c>
    </row>
    <row r="702" spans="1:33" x14ac:dyDescent="0.25">
      <c r="A702" t="str">
        <f>"1194823237"</f>
        <v>1194823237</v>
      </c>
      <c r="B702" t="str">
        <f>"01789413"</f>
        <v>01789413</v>
      </c>
      <c r="C702" t="s">
        <v>8825</v>
      </c>
      <c r="D702" t="s">
        <v>5367</v>
      </c>
      <c r="E702" t="s">
        <v>5368</v>
      </c>
      <c r="G702" t="s">
        <v>8269</v>
      </c>
      <c r="H702" t="s">
        <v>8270</v>
      </c>
      <c r="J702" t="s">
        <v>5369</v>
      </c>
      <c r="L702" t="s">
        <v>84</v>
      </c>
      <c r="M702" t="s">
        <v>75</v>
      </c>
      <c r="R702" t="s">
        <v>5370</v>
      </c>
      <c r="W702" t="s">
        <v>5370</v>
      </c>
      <c r="X702" t="s">
        <v>5371</v>
      </c>
      <c r="Y702" t="s">
        <v>131</v>
      </c>
      <c r="Z702" t="s">
        <v>77</v>
      </c>
      <c r="AA702" t="str">
        <f>"10463-5180"</f>
        <v>10463-5180</v>
      </c>
      <c r="AB702" t="s">
        <v>78</v>
      </c>
      <c r="AC702" t="s">
        <v>79</v>
      </c>
      <c r="AD702" t="s">
        <v>75</v>
      </c>
      <c r="AE702" t="s">
        <v>80</v>
      </c>
      <c r="AG702" t="s">
        <v>81</v>
      </c>
    </row>
    <row r="703" spans="1:33" x14ac:dyDescent="0.25">
      <c r="A703" t="str">
        <f>"1891932117"</f>
        <v>1891932117</v>
      </c>
      <c r="B703" t="str">
        <f>"03352912"</f>
        <v>03352912</v>
      </c>
      <c r="C703" t="s">
        <v>8826</v>
      </c>
      <c r="D703" t="s">
        <v>2866</v>
      </c>
      <c r="E703" t="s">
        <v>2867</v>
      </c>
      <c r="G703" t="s">
        <v>6278</v>
      </c>
      <c r="H703" t="s">
        <v>6279</v>
      </c>
      <c r="J703" t="s">
        <v>6280</v>
      </c>
      <c r="L703" t="s">
        <v>83</v>
      </c>
      <c r="M703" t="s">
        <v>85</v>
      </c>
      <c r="R703" t="s">
        <v>2868</v>
      </c>
      <c r="W703" t="s">
        <v>2869</v>
      </c>
      <c r="X703" t="s">
        <v>181</v>
      </c>
      <c r="Y703" t="s">
        <v>97</v>
      </c>
      <c r="Z703" t="s">
        <v>77</v>
      </c>
      <c r="AA703" t="str">
        <f>"10025-1716"</f>
        <v>10025-1716</v>
      </c>
      <c r="AB703" t="s">
        <v>78</v>
      </c>
      <c r="AC703" t="s">
        <v>79</v>
      </c>
      <c r="AD703" t="s">
        <v>75</v>
      </c>
      <c r="AE703" t="s">
        <v>80</v>
      </c>
      <c r="AG703" t="s">
        <v>81</v>
      </c>
    </row>
    <row r="704" spans="1:33" x14ac:dyDescent="0.25">
      <c r="A704" t="str">
        <f>"1831348580"</f>
        <v>1831348580</v>
      </c>
      <c r="C704" t="s">
        <v>8827</v>
      </c>
      <c r="K704" t="s">
        <v>99</v>
      </c>
      <c r="L704" t="s">
        <v>102</v>
      </c>
      <c r="M704" t="s">
        <v>75</v>
      </c>
      <c r="R704" t="s">
        <v>8828</v>
      </c>
      <c r="S704" t="s">
        <v>8829</v>
      </c>
      <c r="T704" t="s">
        <v>139</v>
      </c>
      <c r="U704" t="s">
        <v>77</v>
      </c>
      <c r="V704" t="str">
        <f>"113583324"</f>
        <v>113583324</v>
      </c>
      <c r="AC704" t="s">
        <v>79</v>
      </c>
      <c r="AD704" t="s">
        <v>75</v>
      </c>
      <c r="AE704" t="s">
        <v>103</v>
      </c>
      <c r="AG704" t="s">
        <v>81</v>
      </c>
    </row>
    <row r="705" spans="1:33" x14ac:dyDescent="0.25">
      <c r="A705" t="str">
        <f>"1225076490"</f>
        <v>1225076490</v>
      </c>
      <c r="B705" t="str">
        <f>"03416240"</f>
        <v>03416240</v>
      </c>
      <c r="C705" t="s">
        <v>8830</v>
      </c>
      <c r="D705" t="s">
        <v>8831</v>
      </c>
      <c r="E705" t="s">
        <v>8832</v>
      </c>
      <c r="G705" t="s">
        <v>6484</v>
      </c>
      <c r="H705" t="s">
        <v>6485</v>
      </c>
      <c r="J705" t="s">
        <v>6486</v>
      </c>
      <c r="L705" t="s">
        <v>83</v>
      </c>
      <c r="M705" t="s">
        <v>85</v>
      </c>
      <c r="R705" t="s">
        <v>8833</v>
      </c>
      <c r="W705" t="s">
        <v>8834</v>
      </c>
      <c r="X705" t="s">
        <v>5450</v>
      </c>
      <c r="Y705" t="s">
        <v>97</v>
      </c>
      <c r="Z705" t="s">
        <v>77</v>
      </c>
      <c r="AA705" t="str">
        <f>"10011-3601"</f>
        <v>10011-3601</v>
      </c>
      <c r="AB705" t="s">
        <v>78</v>
      </c>
      <c r="AC705" t="s">
        <v>79</v>
      </c>
      <c r="AD705" t="s">
        <v>75</v>
      </c>
      <c r="AE705" t="s">
        <v>80</v>
      </c>
      <c r="AG705" t="s">
        <v>81</v>
      </c>
    </row>
    <row r="706" spans="1:33" x14ac:dyDescent="0.25">
      <c r="A706" t="str">
        <f>"1801993753"</f>
        <v>1801993753</v>
      </c>
      <c r="B706" t="str">
        <f>"02997395"</f>
        <v>02997395</v>
      </c>
      <c r="C706" t="s">
        <v>8835</v>
      </c>
      <c r="D706" t="s">
        <v>809</v>
      </c>
      <c r="E706" t="s">
        <v>810</v>
      </c>
      <c r="G706" t="s">
        <v>8835</v>
      </c>
      <c r="H706" t="s">
        <v>3041</v>
      </c>
      <c r="J706" t="s">
        <v>3042</v>
      </c>
      <c r="L706" t="s">
        <v>37</v>
      </c>
      <c r="M706" t="s">
        <v>85</v>
      </c>
      <c r="R706" t="s">
        <v>811</v>
      </c>
      <c r="W706" t="s">
        <v>808</v>
      </c>
      <c r="X706" t="s">
        <v>812</v>
      </c>
      <c r="Y706" t="s">
        <v>87</v>
      </c>
      <c r="Z706" t="s">
        <v>77</v>
      </c>
      <c r="AA706" t="str">
        <f>"11201-3818"</f>
        <v>11201-3818</v>
      </c>
      <c r="AB706" t="s">
        <v>98</v>
      </c>
      <c r="AC706" t="s">
        <v>79</v>
      </c>
      <c r="AD706" t="s">
        <v>75</v>
      </c>
      <c r="AE706" t="s">
        <v>80</v>
      </c>
      <c r="AG706" t="s">
        <v>81</v>
      </c>
    </row>
    <row r="707" spans="1:33" x14ac:dyDescent="0.25">
      <c r="A707" t="str">
        <f>"1932240181"</f>
        <v>1932240181</v>
      </c>
      <c r="B707" t="str">
        <f>"02634820"</f>
        <v>02634820</v>
      </c>
      <c r="C707" t="s">
        <v>8836</v>
      </c>
      <c r="D707" t="s">
        <v>8837</v>
      </c>
      <c r="E707" t="s">
        <v>8838</v>
      </c>
      <c r="G707" t="s">
        <v>7985</v>
      </c>
      <c r="H707" t="s">
        <v>3624</v>
      </c>
      <c r="J707" t="s">
        <v>3625</v>
      </c>
      <c r="L707" t="s">
        <v>84</v>
      </c>
      <c r="M707" t="s">
        <v>75</v>
      </c>
      <c r="R707" t="s">
        <v>8839</v>
      </c>
      <c r="W707" t="s">
        <v>8840</v>
      </c>
      <c r="X707" t="s">
        <v>3007</v>
      </c>
      <c r="Y707" t="s">
        <v>97</v>
      </c>
      <c r="Z707" t="s">
        <v>77</v>
      </c>
      <c r="AA707" t="str">
        <f>"10023-6601"</f>
        <v>10023-6601</v>
      </c>
      <c r="AB707" t="s">
        <v>78</v>
      </c>
      <c r="AC707" t="s">
        <v>79</v>
      </c>
      <c r="AD707" t="s">
        <v>75</v>
      </c>
      <c r="AE707" t="s">
        <v>80</v>
      </c>
      <c r="AG707" t="s">
        <v>81</v>
      </c>
    </row>
    <row r="708" spans="1:33" x14ac:dyDescent="0.25">
      <c r="A708" t="str">
        <f>"1225469216"</f>
        <v>1225469216</v>
      </c>
      <c r="B708" t="str">
        <f>"03792692"</f>
        <v>03792692</v>
      </c>
      <c r="C708" t="s">
        <v>8841</v>
      </c>
      <c r="D708" t="s">
        <v>8842</v>
      </c>
      <c r="E708" t="s">
        <v>8843</v>
      </c>
      <c r="G708" t="s">
        <v>7985</v>
      </c>
      <c r="H708" t="s">
        <v>3624</v>
      </c>
      <c r="J708" t="s">
        <v>3625</v>
      </c>
      <c r="L708" t="s">
        <v>84</v>
      </c>
      <c r="M708" t="s">
        <v>75</v>
      </c>
      <c r="R708" t="s">
        <v>8844</v>
      </c>
      <c r="W708" t="s">
        <v>8843</v>
      </c>
      <c r="X708" t="s">
        <v>3007</v>
      </c>
      <c r="Y708" t="s">
        <v>97</v>
      </c>
      <c r="Z708" t="s">
        <v>77</v>
      </c>
      <c r="AA708" t="str">
        <f>"10023-6601"</f>
        <v>10023-6601</v>
      </c>
      <c r="AB708" t="s">
        <v>78</v>
      </c>
      <c r="AC708" t="s">
        <v>79</v>
      </c>
      <c r="AD708" t="s">
        <v>75</v>
      </c>
      <c r="AE708" t="s">
        <v>80</v>
      </c>
      <c r="AG708" t="s">
        <v>81</v>
      </c>
    </row>
    <row r="709" spans="1:33" x14ac:dyDescent="0.25">
      <c r="A709" t="str">
        <f>"1174672398"</f>
        <v>1174672398</v>
      </c>
      <c r="B709" t="str">
        <f>"00279121"</f>
        <v>00279121</v>
      </c>
      <c r="C709" t="s">
        <v>8845</v>
      </c>
      <c r="D709" t="s">
        <v>8846</v>
      </c>
      <c r="E709" t="s">
        <v>8847</v>
      </c>
      <c r="G709" t="s">
        <v>6278</v>
      </c>
      <c r="H709" t="s">
        <v>6279</v>
      </c>
      <c r="J709" t="s">
        <v>6280</v>
      </c>
      <c r="L709" t="s">
        <v>83</v>
      </c>
      <c r="M709" t="s">
        <v>75</v>
      </c>
      <c r="R709" t="s">
        <v>8848</v>
      </c>
      <c r="W709" t="s">
        <v>8847</v>
      </c>
      <c r="X709" t="s">
        <v>8849</v>
      </c>
      <c r="Y709" t="s">
        <v>87</v>
      </c>
      <c r="Z709" t="s">
        <v>77</v>
      </c>
      <c r="AA709" t="str">
        <f>"11219-2918"</f>
        <v>11219-2918</v>
      </c>
      <c r="AB709" t="s">
        <v>78</v>
      </c>
      <c r="AC709" t="s">
        <v>79</v>
      </c>
      <c r="AD709" t="s">
        <v>75</v>
      </c>
      <c r="AE709" t="s">
        <v>80</v>
      </c>
      <c r="AG709" t="s">
        <v>81</v>
      </c>
    </row>
    <row r="710" spans="1:33" x14ac:dyDescent="0.25">
      <c r="A710" t="str">
        <f>"1215920244"</f>
        <v>1215920244</v>
      </c>
      <c r="B710" t="str">
        <f>"01982470"</f>
        <v>01982470</v>
      </c>
      <c r="C710" t="s">
        <v>8850</v>
      </c>
      <c r="D710" t="s">
        <v>6184</v>
      </c>
      <c r="E710" t="s">
        <v>6185</v>
      </c>
      <c r="G710" t="s">
        <v>6380</v>
      </c>
      <c r="H710" t="s">
        <v>4625</v>
      </c>
      <c r="J710" t="s">
        <v>6381</v>
      </c>
      <c r="L710" t="s">
        <v>84</v>
      </c>
      <c r="M710" t="s">
        <v>85</v>
      </c>
      <c r="R710" t="s">
        <v>6186</v>
      </c>
      <c r="W710" t="s">
        <v>6185</v>
      </c>
      <c r="X710" t="s">
        <v>6187</v>
      </c>
      <c r="Y710" t="s">
        <v>1823</v>
      </c>
      <c r="Z710" t="s">
        <v>77</v>
      </c>
      <c r="AA710" t="str">
        <f>"10941-4013"</f>
        <v>10941-4013</v>
      </c>
      <c r="AB710" t="s">
        <v>78</v>
      </c>
      <c r="AC710" t="s">
        <v>79</v>
      </c>
      <c r="AD710" t="s">
        <v>75</v>
      </c>
      <c r="AE710" t="s">
        <v>80</v>
      </c>
      <c r="AG710" t="s">
        <v>81</v>
      </c>
    </row>
    <row r="711" spans="1:33" x14ac:dyDescent="0.25">
      <c r="A711" t="str">
        <f>"1801878004"</f>
        <v>1801878004</v>
      </c>
      <c r="B711" t="str">
        <f>"02242560"</f>
        <v>02242560</v>
      </c>
      <c r="C711" t="s">
        <v>8851</v>
      </c>
      <c r="D711" t="s">
        <v>8852</v>
      </c>
      <c r="E711" t="s">
        <v>8853</v>
      </c>
      <c r="G711" t="s">
        <v>6380</v>
      </c>
      <c r="H711" t="s">
        <v>4625</v>
      </c>
      <c r="J711" t="s">
        <v>6381</v>
      </c>
      <c r="L711" t="s">
        <v>83</v>
      </c>
      <c r="M711" t="s">
        <v>85</v>
      </c>
      <c r="R711" t="s">
        <v>8854</v>
      </c>
      <c r="W711" t="s">
        <v>8853</v>
      </c>
      <c r="X711" t="s">
        <v>6187</v>
      </c>
      <c r="Y711" t="s">
        <v>1823</v>
      </c>
      <c r="Z711" t="s">
        <v>77</v>
      </c>
      <c r="AA711" t="str">
        <f>"10941-4013"</f>
        <v>10941-4013</v>
      </c>
      <c r="AB711" t="s">
        <v>78</v>
      </c>
      <c r="AC711" t="s">
        <v>79</v>
      </c>
      <c r="AD711" t="s">
        <v>75</v>
      </c>
      <c r="AE711" t="s">
        <v>80</v>
      </c>
      <c r="AG711" t="s">
        <v>81</v>
      </c>
    </row>
    <row r="712" spans="1:33" x14ac:dyDescent="0.25">
      <c r="A712" t="str">
        <f>"1861474983"</f>
        <v>1861474983</v>
      </c>
      <c r="B712" t="str">
        <f>"02257610"</f>
        <v>02257610</v>
      </c>
      <c r="C712" t="s">
        <v>8855</v>
      </c>
      <c r="D712" t="s">
        <v>8856</v>
      </c>
      <c r="E712" t="s">
        <v>8857</v>
      </c>
      <c r="G712" t="s">
        <v>6380</v>
      </c>
      <c r="H712" t="s">
        <v>4625</v>
      </c>
      <c r="J712" t="s">
        <v>6381</v>
      </c>
      <c r="L712" t="s">
        <v>84</v>
      </c>
      <c r="M712" t="s">
        <v>85</v>
      </c>
      <c r="R712" t="s">
        <v>8858</v>
      </c>
      <c r="W712" t="s">
        <v>8857</v>
      </c>
      <c r="X712" t="s">
        <v>6187</v>
      </c>
      <c r="Y712" t="s">
        <v>1823</v>
      </c>
      <c r="Z712" t="s">
        <v>77</v>
      </c>
      <c r="AA712" t="str">
        <f>"10941-4013"</f>
        <v>10941-4013</v>
      </c>
      <c r="AB712" t="s">
        <v>78</v>
      </c>
      <c r="AC712" t="s">
        <v>79</v>
      </c>
      <c r="AD712" t="s">
        <v>75</v>
      </c>
      <c r="AE712" t="s">
        <v>80</v>
      </c>
      <c r="AG712" t="s">
        <v>81</v>
      </c>
    </row>
    <row r="713" spans="1:33" x14ac:dyDescent="0.25">
      <c r="A713" t="str">
        <f>"1215919030"</f>
        <v>1215919030</v>
      </c>
      <c r="B713" t="str">
        <f>"02472975"</f>
        <v>02472975</v>
      </c>
      <c r="C713" t="s">
        <v>8859</v>
      </c>
      <c r="D713" t="s">
        <v>8860</v>
      </c>
      <c r="E713" t="s">
        <v>8861</v>
      </c>
      <c r="G713" t="s">
        <v>6380</v>
      </c>
      <c r="H713" t="s">
        <v>4625</v>
      </c>
      <c r="J713" t="s">
        <v>6381</v>
      </c>
      <c r="L713" t="s">
        <v>84</v>
      </c>
      <c r="M713" t="s">
        <v>85</v>
      </c>
      <c r="R713" t="s">
        <v>8862</v>
      </c>
      <c r="W713" t="s">
        <v>8861</v>
      </c>
      <c r="X713" t="s">
        <v>1822</v>
      </c>
      <c r="Y713" t="s">
        <v>1823</v>
      </c>
      <c r="Z713" t="s">
        <v>77</v>
      </c>
      <c r="AA713" t="str">
        <f>"10941-4028"</f>
        <v>10941-4028</v>
      </c>
      <c r="AB713" t="s">
        <v>78</v>
      </c>
      <c r="AC713" t="s">
        <v>79</v>
      </c>
      <c r="AD713" t="s">
        <v>75</v>
      </c>
      <c r="AE713" t="s">
        <v>80</v>
      </c>
      <c r="AG713" t="s">
        <v>81</v>
      </c>
    </row>
    <row r="714" spans="1:33" x14ac:dyDescent="0.25">
      <c r="A714" t="str">
        <f>"1821162611"</f>
        <v>1821162611</v>
      </c>
      <c r="B714" t="str">
        <f>"02020780"</f>
        <v>02020780</v>
      </c>
      <c r="C714" t="s">
        <v>8863</v>
      </c>
      <c r="D714" t="s">
        <v>8864</v>
      </c>
      <c r="E714" t="s">
        <v>8865</v>
      </c>
      <c r="H714" t="s">
        <v>8866</v>
      </c>
      <c r="J714" t="s">
        <v>8867</v>
      </c>
      <c r="L714" t="s">
        <v>84</v>
      </c>
      <c r="M714" t="s">
        <v>85</v>
      </c>
      <c r="R714" t="s">
        <v>8868</v>
      </c>
      <c r="W714" t="s">
        <v>8865</v>
      </c>
      <c r="X714" t="s">
        <v>5902</v>
      </c>
      <c r="Y714" t="s">
        <v>87</v>
      </c>
      <c r="Z714" t="s">
        <v>77</v>
      </c>
      <c r="AA714" t="str">
        <f>"11228-3619"</f>
        <v>11228-3619</v>
      </c>
      <c r="AB714" t="s">
        <v>78</v>
      </c>
      <c r="AC714" t="s">
        <v>79</v>
      </c>
      <c r="AD714" t="s">
        <v>75</v>
      </c>
      <c r="AE714" t="s">
        <v>80</v>
      </c>
      <c r="AG714" t="s">
        <v>81</v>
      </c>
    </row>
    <row r="715" spans="1:33" x14ac:dyDescent="0.25">
      <c r="A715" t="str">
        <f>"1508833872"</f>
        <v>1508833872</v>
      </c>
      <c r="B715" t="str">
        <f>"02177888"</f>
        <v>02177888</v>
      </c>
      <c r="C715" t="s">
        <v>8869</v>
      </c>
      <c r="D715" t="s">
        <v>1338</v>
      </c>
      <c r="E715" t="s">
        <v>1339</v>
      </c>
      <c r="H715" t="s">
        <v>8870</v>
      </c>
      <c r="J715" t="s">
        <v>8867</v>
      </c>
      <c r="L715" t="s">
        <v>84</v>
      </c>
      <c r="M715" t="s">
        <v>85</v>
      </c>
      <c r="R715" t="s">
        <v>1340</v>
      </c>
      <c r="W715" t="s">
        <v>1339</v>
      </c>
      <c r="X715" t="s">
        <v>761</v>
      </c>
      <c r="Y715" t="s">
        <v>97</v>
      </c>
      <c r="Z715" t="s">
        <v>77</v>
      </c>
      <c r="AA715" t="str">
        <f>"10002-6702"</f>
        <v>10002-6702</v>
      </c>
      <c r="AB715" t="s">
        <v>78</v>
      </c>
      <c r="AC715" t="s">
        <v>79</v>
      </c>
      <c r="AD715" t="s">
        <v>75</v>
      </c>
      <c r="AE715" t="s">
        <v>80</v>
      </c>
      <c r="AG715" t="s">
        <v>81</v>
      </c>
    </row>
    <row r="716" spans="1:33" x14ac:dyDescent="0.25">
      <c r="A716" t="str">
        <f>"1235408048"</f>
        <v>1235408048</v>
      </c>
      <c r="B716" t="str">
        <f>"03760854"</f>
        <v>03760854</v>
      </c>
      <c r="C716" t="s">
        <v>8871</v>
      </c>
      <c r="D716" t="s">
        <v>8872</v>
      </c>
      <c r="E716" t="s">
        <v>8873</v>
      </c>
      <c r="G716" t="s">
        <v>8874</v>
      </c>
      <c r="H716" t="s">
        <v>1223</v>
      </c>
      <c r="I716">
        <v>7124</v>
      </c>
      <c r="J716" t="s">
        <v>8867</v>
      </c>
      <c r="L716" t="s">
        <v>74</v>
      </c>
      <c r="M716" t="s">
        <v>75</v>
      </c>
      <c r="R716" t="s">
        <v>8875</v>
      </c>
      <c r="W716" t="s">
        <v>8873</v>
      </c>
      <c r="X716" t="s">
        <v>8876</v>
      </c>
      <c r="Y716" t="s">
        <v>141</v>
      </c>
      <c r="Z716" t="s">
        <v>77</v>
      </c>
      <c r="AA716" t="str">
        <f>"11377-0000"</f>
        <v>11377-0000</v>
      </c>
      <c r="AB716" t="s">
        <v>78</v>
      </c>
      <c r="AC716" t="s">
        <v>79</v>
      </c>
      <c r="AD716" t="s">
        <v>75</v>
      </c>
      <c r="AE716" t="s">
        <v>80</v>
      </c>
      <c r="AG716" t="s">
        <v>81</v>
      </c>
    </row>
    <row r="717" spans="1:33" x14ac:dyDescent="0.25">
      <c r="A717" t="str">
        <f>"1477520468"</f>
        <v>1477520468</v>
      </c>
      <c r="B717" t="str">
        <f>"03700103"</f>
        <v>03700103</v>
      </c>
      <c r="C717" t="s">
        <v>8877</v>
      </c>
      <c r="D717" t="s">
        <v>5454</v>
      </c>
      <c r="E717" t="s">
        <v>5455</v>
      </c>
      <c r="G717" t="s">
        <v>8714</v>
      </c>
      <c r="H717" t="s">
        <v>8878</v>
      </c>
      <c r="I717">
        <v>3132</v>
      </c>
      <c r="J717" t="s">
        <v>8715</v>
      </c>
      <c r="L717" t="s">
        <v>74</v>
      </c>
      <c r="M717" t="s">
        <v>75</v>
      </c>
      <c r="R717" t="s">
        <v>5455</v>
      </c>
      <c r="W717" t="s">
        <v>5455</v>
      </c>
      <c r="X717" t="s">
        <v>5438</v>
      </c>
      <c r="Y717" t="s">
        <v>1761</v>
      </c>
      <c r="Z717" t="s">
        <v>77</v>
      </c>
      <c r="AA717" t="str">
        <f>"12572-3104"</f>
        <v>12572-3104</v>
      </c>
      <c r="AB717" t="s">
        <v>78</v>
      </c>
      <c r="AC717" t="s">
        <v>79</v>
      </c>
      <c r="AD717" t="s">
        <v>75</v>
      </c>
      <c r="AE717" t="s">
        <v>80</v>
      </c>
      <c r="AG717" t="s">
        <v>81</v>
      </c>
    </row>
    <row r="718" spans="1:33" x14ac:dyDescent="0.25">
      <c r="A718" t="str">
        <f>"1659512051"</f>
        <v>1659512051</v>
      </c>
      <c r="B718" t="str">
        <f>"03155213"</f>
        <v>03155213</v>
      </c>
      <c r="C718" t="s">
        <v>8879</v>
      </c>
      <c r="D718" t="s">
        <v>5432</v>
      </c>
      <c r="E718" t="s">
        <v>5433</v>
      </c>
      <c r="G718" t="s">
        <v>8714</v>
      </c>
      <c r="H718" t="s">
        <v>8880</v>
      </c>
      <c r="I718">
        <v>3132</v>
      </c>
      <c r="J718" t="s">
        <v>8715</v>
      </c>
      <c r="L718" t="s">
        <v>74</v>
      </c>
      <c r="M718" t="s">
        <v>85</v>
      </c>
      <c r="R718" t="s">
        <v>5434</v>
      </c>
      <c r="W718" t="s">
        <v>5433</v>
      </c>
      <c r="X718" t="s">
        <v>86</v>
      </c>
      <c r="Y718" t="s">
        <v>87</v>
      </c>
      <c r="Z718" t="s">
        <v>77</v>
      </c>
      <c r="AA718" t="str">
        <f>"11220-2559"</f>
        <v>11220-2559</v>
      </c>
      <c r="AB718" t="s">
        <v>78</v>
      </c>
      <c r="AC718" t="s">
        <v>79</v>
      </c>
      <c r="AD718" t="s">
        <v>75</v>
      </c>
      <c r="AE718" t="s">
        <v>80</v>
      </c>
      <c r="AG718" t="s">
        <v>81</v>
      </c>
    </row>
    <row r="719" spans="1:33" x14ac:dyDescent="0.25">
      <c r="A719" t="str">
        <f>"1821227935"</f>
        <v>1821227935</v>
      </c>
      <c r="B719" t="str">
        <f>"03529586"</f>
        <v>03529586</v>
      </c>
      <c r="C719" t="s">
        <v>8881</v>
      </c>
      <c r="D719" t="s">
        <v>5456</v>
      </c>
      <c r="E719" t="s">
        <v>5457</v>
      </c>
      <c r="G719" t="s">
        <v>8714</v>
      </c>
      <c r="H719" t="s">
        <v>8882</v>
      </c>
      <c r="I719">
        <v>3132</v>
      </c>
      <c r="J719" t="s">
        <v>8715</v>
      </c>
      <c r="L719" t="s">
        <v>74</v>
      </c>
      <c r="M719" t="s">
        <v>75</v>
      </c>
      <c r="R719" t="s">
        <v>5458</v>
      </c>
      <c r="W719" t="s">
        <v>5457</v>
      </c>
      <c r="X719" t="s">
        <v>232</v>
      </c>
      <c r="Y719" t="s">
        <v>233</v>
      </c>
      <c r="Z719" t="s">
        <v>77</v>
      </c>
      <c r="AA719" t="str">
        <f>"12401-4626"</f>
        <v>12401-4626</v>
      </c>
      <c r="AB719" t="s">
        <v>78</v>
      </c>
      <c r="AC719" t="s">
        <v>79</v>
      </c>
      <c r="AD719" t="s">
        <v>75</v>
      </c>
      <c r="AE719" t="s">
        <v>80</v>
      </c>
      <c r="AG719" t="s">
        <v>81</v>
      </c>
    </row>
    <row r="720" spans="1:33" x14ac:dyDescent="0.25">
      <c r="A720" t="str">
        <f>"1841567864"</f>
        <v>1841567864</v>
      </c>
      <c r="B720" t="str">
        <f>"03432515"</f>
        <v>03432515</v>
      </c>
      <c r="C720" t="s">
        <v>8883</v>
      </c>
      <c r="D720" t="s">
        <v>5448</v>
      </c>
      <c r="E720" t="s">
        <v>5449</v>
      </c>
      <c r="G720" t="s">
        <v>8714</v>
      </c>
      <c r="H720" t="s">
        <v>8884</v>
      </c>
      <c r="I720">
        <v>3132</v>
      </c>
      <c r="J720" t="s">
        <v>8715</v>
      </c>
      <c r="L720" t="s">
        <v>83</v>
      </c>
      <c r="M720" t="s">
        <v>85</v>
      </c>
      <c r="R720" t="s">
        <v>5449</v>
      </c>
      <c r="W720" t="s">
        <v>5449</v>
      </c>
      <c r="X720" t="s">
        <v>5450</v>
      </c>
      <c r="Y720" t="s">
        <v>97</v>
      </c>
      <c r="Z720" t="s">
        <v>77</v>
      </c>
      <c r="AA720" t="str">
        <f>"10011-3601"</f>
        <v>10011-3601</v>
      </c>
      <c r="AB720" t="s">
        <v>78</v>
      </c>
      <c r="AC720" t="s">
        <v>79</v>
      </c>
      <c r="AD720" t="s">
        <v>75</v>
      </c>
      <c r="AE720" t="s">
        <v>80</v>
      </c>
      <c r="AG720" t="s">
        <v>81</v>
      </c>
    </row>
    <row r="721" spans="1:33" x14ac:dyDescent="0.25">
      <c r="A721" t="str">
        <f>"1881772762"</f>
        <v>1881772762</v>
      </c>
      <c r="B721" t="str">
        <f>"02624835"</f>
        <v>02624835</v>
      </c>
      <c r="C721" t="s">
        <v>8885</v>
      </c>
      <c r="D721" t="s">
        <v>5451</v>
      </c>
      <c r="E721" t="s">
        <v>5452</v>
      </c>
      <c r="G721" t="s">
        <v>8714</v>
      </c>
      <c r="H721" t="s">
        <v>8886</v>
      </c>
      <c r="I721">
        <v>3132</v>
      </c>
      <c r="J721" t="s">
        <v>8715</v>
      </c>
      <c r="L721" t="s">
        <v>74</v>
      </c>
      <c r="M721" t="s">
        <v>85</v>
      </c>
      <c r="R721" t="s">
        <v>5453</v>
      </c>
      <c r="W721" t="s">
        <v>5452</v>
      </c>
      <c r="X721" t="s">
        <v>280</v>
      </c>
      <c r="Y721" t="s">
        <v>281</v>
      </c>
      <c r="Z721" t="s">
        <v>77</v>
      </c>
      <c r="AA721" t="str">
        <f>"11366-1950"</f>
        <v>11366-1950</v>
      </c>
      <c r="AB721" t="s">
        <v>78</v>
      </c>
      <c r="AC721" t="s">
        <v>79</v>
      </c>
      <c r="AD721" t="s">
        <v>75</v>
      </c>
      <c r="AE721" t="s">
        <v>80</v>
      </c>
      <c r="AG721" t="s">
        <v>81</v>
      </c>
    </row>
    <row r="722" spans="1:33" x14ac:dyDescent="0.25">
      <c r="A722" t="str">
        <f>"1568783652"</f>
        <v>1568783652</v>
      </c>
      <c r="B722" t="str">
        <f>"03343804"</f>
        <v>03343804</v>
      </c>
      <c r="C722" t="s">
        <v>8887</v>
      </c>
      <c r="D722" t="s">
        <v>8888</v>
      </c>
      <c r="E722" t="s">
        <v>8889</v>
      </c>
      <c r="G722" t="s">
        <v>6367</v>
      </c>
      <c r="H722" t="s">
        <v>4625</v>
      </c>
      <c r="J722" t="s">
        <v>6368</v>
      </c>
      <c r="L722" t="s">
        <v>83</v>
      </c>
      <c r="M722" t="s">
        <v>85</v>
      </c>
      <c r="R722" t="s">
        <v>8889</v>
      </c>
      <c r="W722" t="s">
        <v>8889</v>
      </c>
      <c r="X722" t="s">
        <v>1822</v>
      </c>
      <c r="Y722" t="s">
        <v>1823</v>
      </c>
      <c r="Z722" t="s">
        <v>77</v>
      </c>
      <c r="AA722" t="str">
        <f>"10941-4028"</f>
        <v>10941-4028</v>
      </c>
      <c r="AB722" t="s">
        <v>78</v>
      </c>
      <c r="AC722" t="s">
        <v>79</v>
      </c>
      <c r="AD722" t="s">
        <v>75</v>
      </c>
      <c r="AE722" t="s">
        <v>80</v>
      </c>
      <c r="AG722" t="s">
        <v>81</v>
      </c>
    </row>
    <row r="723" spans="1:33" x14ac:dyDescent="0.25">
      <c r="A723" t="str">
        <f>"1285635912"</f>
        <v>1285635912</v>
      </c>
      <c r="B723" t="str">
        <f>"00825874"</f>
        <v>00825874</v>
      </c>
      <c r="C723" t="s">
        <v>8890</v>
      </c>
      <c r="D723" t="s">
        <v>8891</v>
      </c>
      <c r="E723" t="s">
        <v>8892</v>
      </c>
      <c r="G723" t="s">
        <v>6367</v>
      </c>
      <c r="H723" t="s">
        <v>4625</v>
      </c>
      <c r="J723" t="s">
        <v>6368</v>
      </c>
      <c r="L723" t="s">
        <v>84</v>
      </c>
      <c r="M723" t="s">
        <v>85</v>
      </c>
      <c r="R723" t="s">
        <v>8893</v>
      </c>
      <c r="W723" t="s">
        <v>8892</v>
      </c>
      <c r="X723" t="s">
        <v>4641</v>
      </c>
      <c r="Y723" t="s">
        <v>1823</v>
      </c>
      <c r="Z723" t="s">
        <v>77</v>
      </c>
      <c r="AA723" t="str">
        <f>"10940-4133"</f>
        <v>10940-4133</v>
      </c>
      <c r="AB723" t="s">
        <v>78</v>
      </c>
      <c r="AC723" t="s">
        <v>79</v>
      </c>
      <c r="AD723" t="s">
        <v>75</v>
      </c>
      <c r="AE723" t="s">
        <v>80</v>
      </c>
      <c r="AG723" t="s">
        <v>81</v>
      </c>
    </row>
    <row r="724" spans="1:33" x14ac:dyDescent="0.25">
      <c r="A724" t="str">
        <f>"1720033012"</f>
        <v>1720033012</v>
      </c>
      <c r="B724" t="str">
        <f>"01647772"</f>
        <v>01647772</v>
      </c>
      <c r="C724" t="s">
        <v>8894</v>
      </c>
      <c r="D724" t="s">
        <v>8895</v>
      </c>
      <c r="E724" t="s">
        <v>8896</v>
      </c>
      <c r="G724" t="s">
        <v>8894</v>
      </c>
      <c r="H724" t="s">
        <v>8897</v>
      </c>
      <c r="J724" t="s">
        <v>3713</v>
      </c>
      <c r="L724" t="s">
        <v>143</v>
      </c>
      <c r="M724" t="s">
        <v>75</v>
      </c>
      <c r="R724" t="s">
        <v>8898</v>
      </c>
      <c r="W724" t="s">
        <v>8899</v>
      </c>
      <c r="X724" t="s">
        <v>8900</v>
      </c>
      <c r="Y724" t="s">
        <v>87</v>
      </c>
      <c r="Z724" t="s">
        <v>77</v>
      </c>
      <c r="AA724" t="str">
        <f>"11238-4939"</f>
        <v>11238-4939</v>
      </c>
      <c r="AB724" t="s">
        <v>78</v>
      </c>
      <c r="AC724" t="s">
        <v>79</v>
      </c>
      <c r="AD724" t="s">
        <v>75</v>
      </c>
      <c r="AE724" t="s">
        <v>80</v>
      </c>
      <c r="AG724" t="s">
        <v>81</v>
      </c>
    </row>
    <row r="725" spans="1:33" x14ac:dyDescent="0.25">
      <c r="A725" t="str">
        <f>"1982628707"</f>
        <v>1982628707</v>
      </c>
      <c r="B725" t="str">
        <f>"02699741"</f>
        <v>02699741</v>
      </c>
      <c r="C725" t="s">
        <v>8901</v>
      </c>
      <c r="D725" t="s">
        <v>4447</v>
      </c>
      <c r="E725" t="s">
        <v>4448</v>
      </c>
      <c r="G725" t="s">
        <v>8901</v>
      </c>
      <c r="H725" t="s">
        <v>3712</v>
      </c>
      <c r="J725" t="s">
        <v>3713</v>
      </c>
      <c r="L725" t="s">
        <v>105</v>
      </c>
      <c r="M725" t="s">
        <v>75</v>
      </c>
      <c r="R725" t="s">
        <v>4449</v>
      </c>
      <c r="W725" t="s">
        <v>4448</v>
      </c>
      <c r="X725" t="s">
        <v>4450</v>
      </c>
      <c r="Y725" t="s">
        <v>240</v>
      </c>
      <c r="Z725" t="s">
        <v>77</v>
      </c>
      <c r="AA725" t="str">
        <f>"11530-5815"</f>
        <v>11530-5815</v>
      </c>
      <c r="AB725" t="s">
        <v>78</v>
      </c>
      <c r="AC725" t="s">
        <v>79</v>
      </c>
      <c r="AD725" t="s">
        <v>75</v>
      </c>
      <c r="AE725" t="s">
        <v>80</v>
      </c>
      <c r="AG725" t="s">
        <v>81</v>
      </c>
    </row>
    <row r="726" spans="1:33" x14ac:dyDescent="0.25">
      <c r="A726" t="str">
        <f>"1316113608"</f>
        <v>1316113608</v>
      </c>
      <c r="B726" t="str">
        <f>"01745248"</f>
        <v>01745248</v>
      </c>
      <c r="C726" t="s">
        <v>8902</v>
      </c>
      <c r="D726" t="s">
        <v>8903</v>
      </c>
      <c r="E726" t="s">
        <v>8904</v>
      </c>
      <c r="G726" t="s">
        <v>8905</v>
      </c>
      <c r="H726" t="s">
        <v>5034</v>
      </c>
      <c r="J726" t="s">
        <v>620</v>
      </c>
      <c r="L726" t="s">
        <v>102</v>
      </c>
      <c r="M726" t="s">
        <v>75</v>
      </c>
      <c r="R726" t="s">
        <v>8906</v>
      </c>
      <c r="W726" t="s">
        <v>8904</v>
      </c>
      <c r="X726" t="s">
        <v>5668</v>
      </c>
      <c r="Y726" t="s">
        <v>180</v>
      </c>
      <c r="Z726" t="s">
        <v>77</v>
      </c>
      <c r="AA726" t="str">
        <f>"10701-4006"</f>
        <v>10701-4006</v>
      </c>
      <c r="AB726" t="s">
        <v>78</v>
      </c>
      <c r="AC726" t="s">
        <v>79</v>
      </c>
      <c r="AD726" t="s">
        <v>75</v>
      </c>
      <c r="AE726" t="s">
        <v>80</v>
      </c>
      <c r="AG726" t="s">
        <v>81</v>
      </c>
    </row>
    <row r="727" spans="1:33" x14ac:dyDescent="0.25">
      <c r="A727" t="str">
        <f>"1336215698"</f>
        <v>1336215698</v>
      </c>
      <c r="B727" t="str">
        <f>"02519771"</f>
        <v>02519771</v>
      </c>
      <c r="C727" t="s">
        <v>8907</v>
      </c>
      <c r="D727" t="s">
        <v>8908</v>
      </c>
      <c r="E727" t="s">
        <v>8909</v>
      </c>
      <c r="G727" t="s">
        <v>8905</v>
      </c>
      <c r="H727" t="s">
        <v>5034</v>
      </c>
      <c r="J727" t="s">
        <v>620</v>
      </c>
      <c r="L727" t="s">
        <v>94</v>
      </c>
      <c r="M727" t="s">
        <v>75</v>
      </c>
      <c r="R727" t="s">
        <v>8910</v>
      </c>
      <c r="W727" t="s">
        <v>8909</v>
      </c>
      <c r="X727" t="s">
        <v>5639</v>
      </c>
      <c r="Y727" t="s">
        <v>310</v>
      </c>
      <c r="Z727" t="s">
        <v>77</v>
      </c>
      <c r="AA727" t="str">
        <f>"10512-1921"</f>
        <v>10512-1921</v>
      </c>
      <c r="AB727" t="s">
        <v>78</v>
      </c>
      <c r="AC727" t="s">
        <v>79</v>
      </c>
      <c r="AD727" t="s">
        <v>75</v>
      </c>
      <c r="AE727" t="s">
        <v>80</v>
      </c>
      <c r="AG727" t="s">
        <v>81</v>
      </c>
    </row>
    <row r="728" spans="1:33" x14ac:dyDescent="0.25">
      <c r="A728" t="str">
        <f>"1992875017"</f>
        <v>1992875017</v>
      </c>
      <c r="B728" t="str">
        <f>"01920254"</f>
        <v>01920254</v>
      </c>
      <c r="C728" t="s">
        <v>8911</v>
      </c>
      <c r="D728" t="s">
        <v>3739</v>
      </c>
      <c r="E728" t="s">
        <v>3740</v>
      </c>
      <c r="G728" t="s">
        <v>8905</v>
      </c>
      <c r="H728" t="s">
        <v>5034</v>
      </c>
      <c r="J728" t="s">
        <v>620</v>
      </c>
      <c r="L728" t="s">
        <v>105</v>
      </c>
      <c r="M728" t="s">
        <v>75</v>
      </c>
      <c r="R728" t="s">
        <v>3741</v>
      </c>
      <c r="W728" t="s">
        <v>3741</v>
      </c>
      <c r="X728" t="s">
        <v>258</v>
      </c>
      <c r="Y728" t="s">
        <v>131</v>
      </c>
      <c r="Z728" t="s">
        <v>77</v>
      </c>
      <c r="AA728" t="str">
        <f>"10467-2401"</f>
        <v>10467-2401</v>
      </c>
      <c r="AB728" t="s">
        <v>78</v>
      </c>
      <c r="AC728" t="s">
        <v>79</v>
      </c>
      <c r="AD728" t="s">
        <v>75</v>
      </c>
      <c r="AE728" t="s">
        <v>80</v>
      </c>
      <c r="AG728" t="s">
        <v>81</v>
      </c>
    </row>
    <row r="729" spans="1:33" x14ac:dyDescent="0.25">
      <c r="A729" t="str">
        <f>"1083645535"</f>
        <v>1083645535</v>
      </c>
      <c r="B729" t="str">
        <f>"02523128"</f>
        <v>02523128</v>
      </c>
      <c r="C729" t="s">
        <v>8912</v>
      </c>
      <c r="D729" t="s">
        <v>2614</v>
      </c>
      <c r="E729" t="s">
        <v>2615</v>
      </c>
      <c r="G729" t="s">
        <v>8905</v>
      </c>
      <c r="H729" t="s">
        <v>5034</v>
      </c>
      <c r="J729" t="s">
        <v>620</v>
      </c>
      <c r="L729" t="s">
        <v>74</v>
      </c>
      <c r="M729" t="s">
        <v>85</v>
      </c>
      <c r="R729" t="s">
        <v>2616</v>
      </c>
      <c r="W729" t="s">
        <v>2617</v>
      </c>
      <c r="X729" t="s">
        <v>280</v>
      </c>
      <c r="Y729" t="s">
        <v>281</v>
      </c>
      <c r="Z729" t="s">
        <v>77</v>
      </c>
      <c r="AA729" t="str">
        <f>"11366-1950"</f>
        <v>11366-1950</v>
      </c>
      <c r="AB729" t="s">
        <v>78</v>
      </c>
      <c r="AC729" t="s">
        <v>79</v>
      </c>
      <c r="AD729" t="s">
        <v>75</v>
      </c>
      <c r="AE729" t="s">
        <v>80</v>
      </c>
      <c r="AG729" t="s">
        <v>81</v>
      </c>
    </row>
    <row r="730" spans="1:33" x14ac:dyDescent="0.25">
      <c r="A730" t="str">
        <f>"1043235161"</f>
        <v>1043235161</v>
      </c>
      <c r="B730" t="str">
        <f>"01579175"</f>
        <v>01579175</v>
      </c>
      <c r="C730" t="s">
        <v>8913</v>
      </c>
      <c r="D730" t="s">
        <v>8914</v>
      </c>
      <c r="E730" t="s">
        <v>8915</v>
      </c>
      <c r="G730" t="s">
        <v>8057</v>
      </c>
      <c r="H730" t="s">
        <v>8058</v>
      </c>
      <c r="J730" t="s">
        <v>8059</v>
      </c>
      <c r="L730" t="s">
        <v>105</v>
      </c>
      <c r="M730" t="s">
        <v>85</v>
      </c>
      <c r="R730" t="s">
        <v>8916</v>
      </c>
      <c r="W730" t="s">
        <v>8915</v>
      </c>
      <c r="X730" t="s">
        <v>175</v>
      </c>
      <c r="Y730" t="s">
        <v>87</v>
      </c>
      <c r="Z730" t="s">
        <v>77</v>
      </c>
      <c r="AA730" t="str">
        <f>"11235-7791"</f>
        <v>11235-7791</v>
      </c>
      <c r="AB730" t="s">
        <v>78</v>
      </c>
      <c r="AC730" t="s">
        <v>79</v>
      </c>
      <c r="AD730" t="s">
        <v>75</v>
      </c>
      <c r="AE730" t="s">
        <v>80</v>
      </c>
      <c r="AG730" t="s">
        <v>81</v>
      </c>
    </row>
    <row r="731" spans="1:33" x14ac:dyDescent="0.25">
      <c r="A731" t="str">
        <f>"1598977555"</f>
        <v>1598977555</v>
      </c>
      <c r="B731" t="str">
        <f>"02882593"</f>
        <v>02882593</v>
      </c>
      <c r="C731" t="s">
        <v>8917</v>
      </c>
      <c r="D731" t="s">
        <v>8918</v>
      </c>
      <c r="E731" t="s">
        <v>8919</v>
      </c>
      <c r="G731" t="s">
        <v>6380</v>
      </c>
      <c r="H731" t="s">
        <v>4625</v>
      </c>
      <c r="J731" t="s">
        <v>6381</v>
      </c>
      <c r="L731" t="s">
        <v>84</v>
      </c>
      <c r="M731" t="s">
        <v>85</v>
      </c>
      <c r="R731" t="s">
        <v>8920</v>
      </c>
      <c r="W731" t="s">
        <v>8921</v>
      </c>
      <c r="X731" t="s">
        <v>318</v>
      </c>
      <c r="Y731" t="s">
        <v>131</v>
      </c>
      <c r="Z731" t="s">
        <v>77</v>
      </c>
      <c r="AA731" t="str">
        <f>"10457-7606"</f>
        <v>10457-7606</v>
      </c>
      <c r="AB731" t="s">
        <v>78</v>
      </c>
      <c r="AC731" t="s">
        <v>79</v>
      </c>
      <c r="AD731" t="s">
        <v>75</v>
      </c>
      <c r="AE731" t="s">
        <v>80</v>
      </c>
      <c r="AG731" t="s">
        <v>81</v>
      </c>
    </row>
    <row r="732" spans="1:33" x14ac:dyDescent="0.25">
      <c r="A732" t="str">
        <f>"1194798637"</f>
        <v>1194798637</v>
      </c>
      <c r="B732" t="str">
        <f>"00914085"</f>
        <v>00914085</v>
      </c>
      <c r="C732" t="s">
        <v>8922</v>
      </c>
      <c r="D732" t="s">
        <v>8923</v>
      </c>
      <c r="E732" t="s">
        <v>8924</v>
      </c>
      <c r="G732" t="s">
        <v>6930</v>
      </c>
      <c r="H732" t="s">
        <v>6931</v>
      </c>
      <c r="J732" t="s">
        <v>6932</v>
      </c>
      <c r="L732" t="s">
        <v>83</v>
      </c>
      <c r="M732" t="s">
        <v>75</v>
      </c>
      <c r="R732" t="s">
        <v>8925</v>
      </c>
      <c r="W732" t="s">
        <v>8924</v>
      </c>
      <c r="X732" t="s">
        <v>1531</v>
      </c>
      <c r="Y732" t="s">
        <v>97</v>
      </c>
      <c r="Z732" t="s">
        <v>77</v>
      </c>
      <c r="AA732" t="str">
        <f>"10036-8005"</f>
        <v>10036-8005</v>
      </c>
      <c r="AB732" t="s">
        <v>108</v>
      </c>
      <c r="AC732" t="s">
        <v>79</v>
      </c>
      <c r="AD732" t="s">
        <v>75</v>
      </c>
      <c r="AE732" t="s">
        <v>80</v>
      </c>
      <c r="AG732" t="s">
        <v>81</v>
      </c>
    </row>
    <row r="733" spans="1:33" x14ac:dyDescent="0.25">
      <c r="A733" t="str">
        <f>"1720083231"</f>
        <v>1720083231</v>
      </c>
      <c r="B733" t="str">
        <f>"00914787"</f>
        <v>00914787</v>
      </c>
      <c r="C733" t="s">
        <v>8926</v>
      </c>
      <c r="D733" t="s">
        <v>8927</v>
      </c>
      <c r="E733" t="s">
        <v>8928</v>
      </c>
      <c r="G733" t="s">
        <v>6930</v>
      </c>
      <c r="H733" t="s">
        <v>6931</v>
      </c>
      <c r="J733" t="s">
        <v>6932</v>
      </c>
      <c r="L733" t="s">
        <v>83</v>
      </c>
      <c r="M733" t="s">
        <v>75</v>
      </c>
      <c r="R733" t="s">
        <v>8929</v>
      </c>
      <c r="W733" t="s">
        <v>8928</v>
      </c>
      <c r="X733" t="s">
        <v>1531</v>
      </c>
      <c r="Y733" t="s">
        <v>97</v>
      </c>
      <c r="Z733" t="s">
        <v>77</v>
      </c>
      <c r="AA733" t="str">
        <f>"10036-8005"</f>
        <v>10036-8005</v>
      </c>
      <c r="AB733" t="s">
        <v>108</v>
      </c>
      <c r="AC733" t="s">
        <v>79</v>
      </c>
      <c r="AD733" t="s">
        <v>75</v>
      </c>
      <c r="AE733" t="s">
        <v>80</v>
      </c>
      <c r="AG733" t="s">
        <v>81</v>
      </c>
    </row>
    <row r="734" spans="1:33" x14ac:dyDescent="0.25">
      <c r="A734" t="str">
        <f>"1528286689"</f>
        <v>1528286689</v>
      </c>
      <c r="B734" t="str">
        <f>"03473223"</f>
        <v>03473223</v>
      </c>
      <c r="C734" t="s">
        <v>8930</v>
      </c>
      <c r="D734" t="s">
        <v>8931</v>
      </c>
      <c r="E734" t="s">
        <v>8932</v>
      </c>
      <c r="G734" t="s">
        <v>6494</v>
      </c>
      <c r="H734" t="s">
        <v>6495</v>
      </c>
      <c r="J734" t="s">
        <v>6496</v>
      </c>
      <c r="L734" t="s">
        <v>105</v>
      </c>
      <c r="M734" t="s">
        <v>75</v>
      </c>
      <c r="R734" t="s">
        <v>8932</v>
      </c>
      <c r="W734" t="s">
        <v>8932</v>
      </c>
      <c r="X734" t="s">
        <v>2808</v>
      </c>
      <c r="Y734" t="s">
        <v>97</v>
      </c>
      <c r="Z734" t="s">
        <v>77</v>
      </c>
      <c r="AA734" t="str">
        <f>"10025-6450"</f>
        <v>10025-6450</v>
      </c>
      <c r="AB734" t="s">
        <v>113</v>
      </c>
      <c r="AC734" t="s">
        <v>79</v>
      </c>
      <c r="AD734" t="s">
        <v>75</v>
      </c>
      <c r="AE734" t="s">
        <v>80</v>
      </c>
      <c r="AG734" t="s">
        <v>81</v>
      </c>
    </row>
    <row r="735" spans="1:33" x14ac:dyDescent="0.25">
      <c r="A735" t="str">
        <f>"1629096953"</f>
        <v>1629096953</v>
      </c>
      <c r="B735" t="str">
        <f>"03039907"</f>
        <v>03039907</v>
      </c>
      <c r="C735" t="s">
        <v>8933</v>
      </c>
      <c r="D735" t="s">
        <v>8934</v>
      </c>
      <c r="E735" t="s">
        <v>8935</v>
      </c>
      <c r="G735" t="s">
        <v>6494</v>
      </c>
      <c r="H735" t="s">
        <v>6495</v>
      </c>
      <c r="J735" t="s">
        <v>6496</v>
      </c>
      <c r="L735" t="s">
        <v>105</v>
      </c>
      <c r="M735" t="s">
        <v>75</v>
      </c>
      <c r="R735" t="s">
        <v>8936</v>
      </c>
      <c r="W735" t="s">
        <v>8935</v>
      </c>
      <c r="X735" t="s">
        <v>2808</v>
      </c>
      <c r="Y735" t="s">
        <v>97</v>
      </c>
      <c r="Z735" t="s">
        <v>77</v>
      </c>
      <c r="AA735" t="str">
        <f>"10025-6450"</f>
        <v>10025-6450</v>
      </c>
      <c r="AB735" t="s">
        <v>113</v>
      </c>
      <c r="AC735" t="s">
        <v>79</v>
      </c>
      <c r="AD735" t="s">
        <v>75</v>
      </c>
      <c r="AE735" t="s">
        <v>80</v>
      </c>
      <c r="AG735" t="s">
        <v>81</v>
      </c>
    </row>
    <row r="736" spans="1:33" x14ac:dyDescent="0.25">
      <c r="A736" t="str">
        <f>"1649552027"</f>
        <v>1649552027</v>
      </c>
      <c r="C736" t="s">
        <v>8937</v>
      </c>
      <c r="G736" t="s">
        <v>6494</v>
      </c>
      <c r="H736" t="s">
        <v>6495</v>
      </c>
      <c r="J736" t="s">
        <v>6496</v>
      </c>
      <c r="K736" t="s">
        <v>99</v>
      </c>
      <c r="L736" t="s">
        <v>102</v>
      </c>
      <c r="M736" t="s">
        <v>75</v>
      </c>
      <c r="R736" t="s">
        <v>8938</v>
      </c>
      <c r="S736" t="s">
        <v>8939</v>
      </c>
      <c r="T736" t="s">
        <v>97</v>
      </c>
      <c r="U736" t="s">
        <v>77</v>
      </c>
      <c r="V736" t="str">
        <f>"10025"</f>
        <v>10025</v>
      </c>
      <c r="AC736" t="s">
        <v>79</v>
      </c>
      <c r="AD736" t="s">
        <v>75</v>
      </c>
      <c r="AE736" t="s">
        <v>103</v>
      </c>
      <c r="AG736" t="s">
        <v>81</v>
      </c>
    </row>
    <row r="737" spans="1:33" x14ac:dyDescent="0.25">
      <c r="A737" t="str">
        <f>"1386956654"</f>
        <v>1386956654</v>
      </c>
      <c r="B737" t="str">
        <f>"03560767"</f>
        <v>03560767</v>
      </c>
      <c r="C737" t="s">
        <v>8940</v>
      </c>
      <c r="D737" t="s">
        <v>8941</v>
      </c>
      <c r="E737" t="s">
        <v>8942</v>
      </c>
      <c r="G737" t="s">
        <v>8874</v>
      </c>
      <c r="H737" t="s">
        <v>1223</v>
      </c>
      <c r="I737">
        <v>7124</v>
      </c>
      <c r="J737" t="s">
        <v>8867</v>
      </c>
      <c r="L737" t="s">
        <v>83</v>
      </c>
      <c r="M737" t="s">
        <v>75</v>
      </c>
      <c r="R737" t="s">
        <v>8943</v>
      </c>
      <c r="W737" t="s">
        <v>8942</v>
      </c>
      <c r="X737" t="s">
        <v>3910</v>
      </c>
      <c r="Y737" t="s">
        <v>216</v>
      </c>
      <c r="Z737" t="s">
        <v>77</v>
      </c>
      <c r="AA737" t="str">
        <f>"11691-3645"</f>
        <v>11691-3645</v>
      </c>
      <c r="AB737" t="s">
        <v>78</v>
      </c>
      <c r="AC737" t="s">
        <v>79</v>
      </c>
      <c r="AD737" t="s">
        <v>75</v>
      </c>
      <c r="AE737" t="s">
        <v>80</v>
      </c>
      <c r="AG737" t="s">
        <v>81</v>
      </c>
    </row>
    <row r="738" spans="1:33" x14ac:dyDescent="0.25">
      <c r="A738" t="str">
        <f>"1851500581"</f>
        <v>1851500581</v>
      </c>
      <c r="C738" t="s">
        <v>8944</v>
      </c>
      <c r="K738" t="s">
        <v>99</v>
      </c>
      <c r="L738" t="s">
        <v>74</v>
      </c>
      <c r="M738" t="s">
        <v>75</v>
      </c>
      <c r="R738" t="s">
        <v>3314</v>
      </c>
      <c r="S738" t="s">
        <v>3315</v>
      </c>
      <c r="T738" t="s">
        <v>97</v>
      </c>
      <c r="U738" t="s">
        <v>77</v>
      </c>
      <c r="V738" t="str">
        <f>"10021"</f>
        <v>10021</v>
      </c>
      <c r="AC738" t="s">
        <v>79</v>
      </c>
      <c r="AD738" t="s">
        <v>75</v>
      </c>
      <c r="AE738" t="s">
        <v>103</v>
      </c>
      <c r="AG738" t="s">
        <v>81</v>
      </c>
    </row>
    <row r="739" spans="1:33" x14ac:dyDescent="0.25">
      <c r="C739" t="s">
        <v>8945</v>
      </c>
      <c r="G739" t="s">
        <v>6478</v>
      </c>
      <c r="H739" t="s">
        <v>6479</v>
      </c>
      <c r="J739" t="s">
        <v>6480</v>
      </c>
      <c r="K739" t="s">
        <v>99</v>
      </c>
      <c r="L739" t="s">
        <v>100</v>
      </c>
      <c r="M739" t="s">
        <v>75</v>
      </c>
      <c r="N739" t="s">
        <v>8946</v>
      </c>
      <c r="O739" t="s">
        <v>6410</v>
      </c>
      <c r="P739" t="s">
        <v>77</v>
      </c>
      <c r="Q739" t="str">
        <f>"10029"</f>
        <v>10029</v>
      </c>
      <c r="AC739" t="s">
        <v>79</v>
      </c>
      <c r="AD739" t="s">
        <v>75</v>
      </c>
      <c r="AE739" t="s">
        <v>101</v>
      </c>
      <c r="AG739" t="s">
        <v>81</v>
      </c>
    </row>
    <row r="740" spans="1:33" x14ac:dyDescent="0.25">
      <c r="A740" t="str">
        <f>"1972638450"</f>
        <v>1972638450</v>
      </c>
      <c r="B740" t="str">
        <f>"00861909"</f>
        <v>00861909</v>
      </c>
      <c r="C740" t="s">
        <v>8947</v>
      </c>
      <c r="D740" t="s">
        <v>8948</v>
      </c>
      <c r="E740" t="s">
        <v>8949</v>
      </c>
      <c r="G740" t="s">
        <v>8947</v>
      </c>
      <c r="H740" t="s">
        <v>8950</v>
      </c>
      <c r="J740" t="s">
        <v>8951</v>
      </c>
      <c r="L740" t="s">
        <v>74</v>
      </c>
      <c r="M740" t="s">
        <v>75</v>
      </c>
      <c r="R740" t="s">
        <v>8952</v>
      </c>
      <c r="W740" t="s">
        <v>8953</v>
      </c>
      <c r="X740" t="s">
        <v>3866</v>
      </c>
      <c r="Y740" t="s">
        <v>97</v>
      </c>
      <c r="Z740" t="s">
        <v>77</v>
      </c>
      <c r="AA740" t="str">
        <f>"10040-3403"</f>
        <v>10040-3403</v>
      </c>
      <c r="AB740" t="s">
        <v>78</v>
      </c>
      <c r="AC740" t="s">
        <v>79</v>
      </c>
      <c r="AD740" t="s">
        <v>75</v>
      </c>
      <c r="AE740" t="s">
        <v>80</v>
      </c>
      <c r="AG740" t="s">
        <v>81</v>
      </c>
    </row>
    <row r="741" spans="1:33" x14ac:dyDescent="0.25">
      <c r="A741" t="str">
        <f>"1457429607"</f>
        <v>1457429607</v>
      </c>
      <c r="B741" t="str">
        <f>"03937226"</f>
        <v>03937226</v>
      </c>
      <c r="C741" t="s">
        <v>8954</v>
      </c>
      <c r="D741" t="s">
        <v>8955</v>
      </c>
      <c r="E741" t="s">
        <v>8956</v>
      </c>
      <c r="G741" t="s">
        <v>8954</v>
      </c>
      <c r="H741" t="s">
        <v>8957</v>
      </c>
      <c r="J741" t="s">
        <v>8958</v>
      </c>
      <c r="L741" t="s">
        <v>102</v>
      </c>
      <c r="M741" t="s">
        <v>75</v>
      </c>
      <c r="R741" t="s">
        <v>8959</v>
      </c>
      <c r="W741" t="s">
        <v>8956</v>
      </c>
      <c r="X741" t="s">
        <v>2177</v>
      </c>
      <c r="Y741" t="s">
        <v>97</v>
      </c>
      <c r="Z741" t="s">
        <v>77</v>
      </c>
      <c r="AA741" t="str">
        <f>"10119-0206"</f>
        <v>10119-0206</v>
      </c>
      <c r="AB741" t="s">
        <v>78</v>
      </c>
      <c r="AC741" t="s">
        <v>79</v>
      </c>
      <c r="AD741" t="s">
        <v>75</v>
      </c>
      <c r="AE741" t="s">
        <v>80</v>
      </c>
      <c r="AG741" t="s">
        <v>81</v>
      </c>
    </row>
    <row r="742" spans="1:33" x14ac:dyDescent="0.25">
      <c r="A742" t="str">
        <f>"1194710822"</f>
        <v>1194710822</v>
      </c>
      <c r="B742" t="str">
        <f>"02333053"</f>
        <v>02333053</v>
      </c>
      <c r="C742" t="s">
        <v>8960</v>
      </c>
      <c r="D742" t="s">
        <v>8961</v>
      </c>
      <c r="E742" t="s">
        <v>8962</v>
      </c>
      <c r="L742" t="s">
        <v>83</v>
      </c>
      <c r="M742" t="s">
        <v>75</v>
      </c>
      <c r="R742" t="s">
        <v>8963</v>
      </c>
      <c r="W742" t="s">
        <v>8962</v>
      </c>
      <c r="X742" t="s">
        <v>823</v>
      </c>
      <c r="Y742" t="s">
        <v>131</v>
      </c>
      <c r="Z742" t="s">
        <v>77</v>
      </c>
      <c r="AA742" t="str">
        <f>"10467-2401"</f>
        <v>10467-2401</v>
      </c>
      <c r="AB742" t="s">
        <v>78</v>
      </c>
      <c r="AC742" t="s">
        <v>79</v>
      </c>
      <c r="AD742" t="s">
        <v>75</v>
      </c>
      <c r="AE742" t="s">
        <v>80</v>
      </c>
      <c r="AG742" t="s">
        <v>81</v>
      </c>
    </row>
    <row r="743" spans="1:33" x14ac:dyDescent="0.25">
      <c r="A743" t="str">
        <f>"1215924030"</f>
        <v>1215924030</v>
      </c>
      <c r="B743" t="str">
        <f>"02840059"</f>
        <v>02840059</v>
      </c>
      <c r="C743" t="s">
        <v>8964</v>
      </c>
      <c r="D743" t="s">
        <v>8965</v>
      </c>
      <c r="E743" t="s">
        <v>8966</v>
      </c>
      <c r="L743" t="s">
        <v>143</v>
      </c>
      <c r="M743" t="s">
        <v>85</v>
      </c>
      <c r="R743" t="s">
        <v>8967</v>
      </c>
      <c r="W743" t="s">
        <v>8966</v>
      </c>
      <c r="X743" t="s">
        <v>648</v>
      </c>
      <c r="Y743" t="s">
        <v>97</v>
      </c>
      <c r="Z743" t="s">
        <v>77</v>
      </c>
      <c r="AA743" t="str">
        <f>"10037-1802"</f>
        <v>10037-1802</v>
      </c>
      <c r="AB743" t="s">
        <v>78</v>
      </c>
      <c r="AC743" t="s">
        <v>79</v>
      </c>
      <c r="AD743" t="s">
        <v>75</v>
      </c>
      <c r="AE743" t="s">
        <v>80</v>
      </c>
      <c r="AG743" t="s">
        <v>81</v>
      </c>
    </row>
    <row r="744" spans="1:33" x14ac:dyDescent="0.25">
      <c r="A744" t="str">
        <f>"1255308078"</f>
        <v>1255308078</v>
      </c>
      <c r="B744" t="str">
        <f>"01603378"</f>
        <v>01603378</v>
      </c>
      <c r="C744" t="s">
        <v>8968</v>
      </c>
      <c r="D744" t="s">
        <v>8969</v>
      </c>
      <c r="E744" t="s">
        <v>8970</v>
      </c>
      <c r="L744" t="s">
        <v>105</v>
      </c>
      <c r="M744" t="s">
        <v>75</v>
      </c>
      <c r="R744" t="s">
        <v>8971</v>
      </c>
      <c r="W744" t="s">
        <v>8970</v>
      </c>
      <c r="X744" t="s">
        <v>8972</v>
      </c>
      <c r="Y744" t="s">
        <v>139</v>
      </c>
      <c r="Z744" t="s">
        <v>77</v>
      </c>
      <c r="AA744" t="str">
        <f>"11355-5045"</f>
        <v>11355-5045</v>
      </c>
      <c r="AB744" t="s">
        <v>78</v>
      </c>
      <c r="AC744" t="s">
        <v>79</v>
      </c>
      <c r="AD744" t="s">
        <v>75</v>
      </c>
      <c r="AE744" t="s">
        <v>80</v>
      </c>
      <c r="AG744" t="s">
        <v>81</v>
      </c>
    </row>
    <row r="745" spans="1:33" x14ac:dyDescent="0.25">
      <c r="A745" t="str">
        <f>"1255395869"</f>
        <v>1255395869</v>
      </c>
      <c r="B745" t="str">
        <f>"02803083"</f>
        <v>02803083</v>
      </c>
      <c r="C745" t="s">
        <v>8973</v>
      </c>
      <c r="D745" t="s">
        <v>8974</v>
      </c>
      <c r="E745" t="s">
        <v>8975</v>
      </c>
      <c r="L745" t="s">
        <v>74</v>
      </c>
      <c r="M745" t="s">
        <v>75</v>
      </c>
      <c r="R745" t="s">
        <v>8976</v>
      </c>
      <c r="W745" t="s">
        <v>8977</v>
      </c>
      <c r="X745" t="s">
        <v>8978</v>
      </c>
      <c r="Y745" t="s">
        <v>155</v>
      </c>
      <c r="Z745" t="s">
        <v>77</v>
      </c>
      <c r="AA745" t="str">
        <f>"10301-3627"</f>
        <v>10301-3627</v>
      </c>
      <c r="AB745" t="s">
        <v>78</v>
      </c>
      <c r="AC745" t="s">
        <v>79</v>
      </c>
      <c r="AD745" t="s">
        <v>75</v>
      </c>
      <c r="AE745" t="s">
        <v>80</v>
      </c>
      <c r="AG745" t="s">
        <v>81</v>
      </c>
    </row>
    <row r="746" spans="1:33" x14ac:dyDescent="0.25">
      <c r="A746" t="str">
        <f>"1255444147"</f>
        <v>1255444147</v>
      </c>
      <c r="B746" t="str">
        <f>"03770147"</f>
        <v>03770147</v>
      </c>
      <c r="C746" t="s">
        <v>8979</v>
      </c>
      <c r="D746" t="s">
        <v>8980</v>
      </c>
      <c r="E746" t="s">
        <v>8981</v>
      </c>
      <c r="L746" t="s">
        <v>102</v>
      </c>
      <c r="M746" t="s">
        <v>75</v>
      </c>
      <c r="R746" t="s">
        <v>8982</v>
      </c>
      <c r="W746" t="s">
        <v>8981</v>
      </c>
      <c r="X746" t="s">
        <v>8983</v>
      </c>
      <c r="Y746" t="s">
        <v>1077</v>
      </c>
      <c r="Z746" t="s">
        <v>77</v>
      </c>
      <c r="AA746" t="str">
        <f>"10532-2050"</f>
        <v>10532-2050</v>
      </c>
      <c r="AB746" t="s">
        <v>78</v>
      </c>
      <c r="AC746" t="s">
        <v>79</v>
      </c>
      <c r="AD746" t="s">
        <v>75</v>
      </c>
      <c r="AE746" t="s">
        <v>80</v>
      </c>
      <c r="AG746" t="s">
        <v>81</v>
      </c>
    </row>
    <row r="747" spans="1:33" x14ac:dyDescent="0.25">
      <c r="A747" t="str">
        <f>"1265509947"</f>
        <v>1265509947</v>
      </c>
      <c r="B747" t="str">
        <f>"00535135"</f>
        <v>00535135</v>
      </c>
      <c r="C747" t="s">
        <v>8984</v>
      </c>
      <c r="D747" t="s">
        <v>8985</v>
      </c>
      <c r="E747" t="s">
        <v>8986</v>
      </c>
      <c r="L747" t="s">
        <v>83</v>
      </c>
      <c r="M747" t="s">
        <v>75</v>
      </c>
      <c r="W747" t="s">
        <v>8986</v>
      </c>
      <c r="X747" t="s">
        <v>8987</v>
      </c>
      <c r="Y747" t="s">
        <v>227</v>
      </c>
      <c r="Z747" t="s">
        <v>77</v>
      </c>
      <c r="AA747" t="str">
        <f>"10601-2214"</f>
        <v>10601-2214</v>
      </c>
      <c r="AB747" t="s">
        <v>78</v>
      </c>
      <c r="AC747" t="s">
        <v>79</v>
      </c>
      <c r="AD747" t="s">
        <v>75</v>
      </c>
      <c r="AE747" t="s">
        <v>80</v>
      </c>
      <c r="AG747" t="s">
        <v>81</v>
      </c>
    </row>
    <row r="748" spans="1:33" x14ac:dyDescent="0.25">
      <c r="A748" t="str">
        <f>"1275752594"</f>
        <v>1275752594</v>
      </c>
      <c r="B748" t="str">
        <f>"01989371"</f>
        <v>01989371</v>
      </c>
      <c r="C748" t="s">
        <v>8988</v>
      </c>
      <c r="D748" t="s">
        <v>8989</v>
      </c>
      <c r="E748" t="s">
        <v>8990</v>
      </c>
      <c r="L748" t="s">
        <v>74</v>
      </c>
      <c r="M748" t="s">
        <v>75</v>
      </c>
      <c r="R748" t="s">
        <v>8990</v>
      </c>
      <c r="W748" t="s">
        <v>8990</v>
      </c>
      <c r="X748" t="s">
        <v>4424</v>
      </c>
      <c r="Y748" t="s">
        <v>131</v>
      </c>
      <c r="Z748" t="s">
        <v>77</v>
      </c>
      <c r="AA748" t="str">
        <f>"10471-2915"</f>
        <v>10471-2915</v>
      </c>
      <c r="AB748" t="s">
        <v>78</v>
      </c>
      <c r="AC748" t="s">
        <v>79</v>
      </c>
      <c r="AD748" t="s">
        <v>75</v>
      </c>
      <c r="AE748" t="s">
        <v>80</v>
      </c>
      <c r="AG748" t="s">
        <v>81</v>
      </c>
    </row>
    <row r="749" spans="1:33" x14ac:dyDescent="0.25">
      <c r="A749" t="str">
        <f>"1760481030"</f>
        <v>1760481030</v>
      </c>
      <c r="B749" t="str">
        <f>"01369960"</f>
        <v>01369960</v>
      </c>
      <c r="C749" t="s">
        <v>8991</v>
      </c>
      <c r="D749" t="s">
        <v>8992</v>
      </c>
      <c r="E749" t="s">
        <v>8993</v>
      </c>
      <c r="G749" t="s">
        <v>6930</v>
      </c>
      <c r="H749" t="s">
        <v>6931</v>
      </c>
      <c r="J749" t="s">
        <v>6932</v>
      </c>
      <c r="L749" t="s">
        <v>83</v>
      </c>
      <c r="M749" t="s">
        <v>75</v>
      </c>
      <c r="R749" t="s">
        <v>8994</v>
      </c>
      <c r="W749" t="s">
        <v>8995</v>
      </c>
      <c r="X749" t="s">
        <v>8996</v>
      </c>
      <c r="Y749" t="s">
        <v>97</v>
      </c>
      <c r="Z749" t="s">
        <v>77</v>
      </c>
      <c r="AA749" t="str">
        <f>"10003-1759"</f>
        <v>10003-1759</v>
      </c>
      <c r="AB749" t="s">
        <v>78</v>
      </c>
      <c r="AC749" t="s">
        <v>79</v>
      </c>
      <c r="AD749" t="s">
        <v>75</v>
      </c>
      <c r="AE749" t="s">
        <v>80</v>
      </c>
      <c r="AG749" t="s">
        <v>81</v>
      </c>
    </row>
    <row r="750" spans="1:33" x14ac:dyDescent="0.25">
      <c r="A750" t="str">
        <f>"1346390069"</f>
        <v>1346390069</v>
      </c>
      <c r="B750" t="str">
        <f>"01407923"</f>
        <v>01407923</v>
      </c>
      <c r="C750" t="s">
        <v>8997</v>
      </c>
      <c r="D750" t="s">
        <v>8998</v>
      </c>
      <c r="E750" t="s">
        <v>8999</v>
      </c>
      <c r="G750" t="s">
        <v>6930</v>
      </c>
      <c r="H750" t="s">
        <v>6931</v>
      </c>
      <c r="J750" t="s">
        <v>6932</v>
      </c>
      <c r="L750" t="s">
        <v>83</v>
      </c>
      <c r="M750" t="s">
        <v>75</v>
      </c>
      <c r="R750" t="s">
        <v>9000</v>
      </c>
      <c r="W750" t="s">
        <v>8999</v>
      </c>
      <c r="X750" t="s">
        <v>545</v>
      </c>
      <c r="Y750" t="s">
        <v>139</v>
      </c>
      <c r="Z750" t="s">
        <v>77</v>
      </c>
      <c r="AA750" t="str">
        <f>"11366-1919"</f>
        <v>11366-1919</v>
      </c>
      <c r="AB750" t="s">
        <v>78</v>
      </c>
      <c r="AC750" t="s">
        <v>79</v>
      </c>
      <c r="AD750" t="s">
        <v>75</v>
      </c>
      <c r="AE750" t="s">
        <v>80</v>
      </c>
      <c r="AG750" t="s">
        <v>81</v>
      </c>
    </row>
    <row r="751" spans="1:33" x14ac:dyDescent="0.25">
      <c r="A751" t="str">
        <f>"1952305559"</f>
        <v>1952305559</v>
      </c>
      <c r="B751" t="str">
        <f>"01407987"</f>
        <v>01407987</v>
      </c>
      <c r="C751" t="s">
        <v>9001</v>
      </c>
      <c r="D751" t="s">
        <v>9002</v>
      </c>
      <c r="E751" t="s">
        <v>9003</v>
      </c>
      <c r="G751" t="s">
        <v>6930</v>
      </c>
      <c r="H751" t="s">
        <v>6931</v>
      </c>
      <c r="J751" t="s">
        <v>6932</v>
      </c>
      <c r="L751" t="s">
        <v>83</v>
      </c>
      <c r="M751" t="s">
        <v>85</v>
      </c>
      <c r="R751" t="s">
        <v>9004</v>
      </c>
      <c r="W751" t="s">
        <v>9003</v>
      </c>
      <c r="X751" t="s">
        <v>9005</v>
      </c>
      <c r="Y751" t="s">
        <v>97</v>
      </c>
      <c r="Z751" t="s">
        <v>77</v>
      </c>
      <c r="AA751" t="str">
        <f>"10011-2172"</f>
        <v>10011-2172</v>
      </c>
      <c r="AB751" t="s">
        <v>78</v>
      </c>
      <c r="AC751" t="s">
        <v>79</v>
      </c>
      <c r="AD751" t="s">
        <v>75</v>
      </c>
      <c r="AE751" t="s">
        <v>80</v>
      </c>
      <c r="AG751" t="s">
        <v>81</v>
      </c>
    </row>
    <row r="752" spans="1:33" x14ac:dyDescent="0.25">
      <c r="A752" t="str">
        <f>"1154566412"</f>
        <v>1154566412</v>
      </c>
      <c r="B752" t="str">
        <f>"03717315"</f>
        <v>03717315</v>
      </c>
      <c r="C752" t="s">
        <v>9006</v>
      </c>
      <c r="D752" t="s">
        <v>9007</v>
      </c>
      <c r="E752" t="s">
        <v>9008</v>
      </c>
      <c r="G752" t="s">
        <v>6367</v>
      </c>
      <c r="H752" t="s">
        <v>4625</v>
      </c>
      <c r="J752" t="s">
        <v>6368</v>
      </c>
      <c r="L752" t="s">
        <v>83</v>
      </c>
      <c r="M752" t="s">
        <v>85</v>
      </c>
      <c r="R752" t="s">
        <v>9009</v>
      </c>
      <c r="W752" t="s">
        <v>9008</v>
      </c>
      <c r="X752" t="s">
        <v>1822</v>
      </c>
      <c r="Y752" t="s">
        <v>1823</v>
      </c>
      <c r="Z752" t="s">
        <v>77</v>
      </c>
      <c r="AA752" t="str">
        <f>"10941-4028"</f>
        <v>10941-4028</v>
      </c>
      <c r="AB752" t="s">
        <v>78</v>
      </c>
      <c r="AC752" t="s">
        <v>79</v>
      </c>
      <c r="AD752" t="s">
        <v>75</v>
      </c>
      <c r="AE752" t="s">
        <v>80</v>
      </c>
      <c r="AG752" t="s">
        <v>81</v>
      </c>
    </row>
    <row r="753" spans="1:33" x14ac:dyDescent="0.25">
      <c r="A753" t="str">
        <f>"1346223591"</f>
        <v>1346223591</v>
      </c>
      <c r="B753" t="str">
        <f>"01754723"</f>
        <v>01754723</v>
      </c>
      <c r="C753" t="s">
        <v>9010</v>
      </c>
      <c r="D753" t="s">
        <v>9011</v>
      </c>
      <c r="E753" t="s">
        <v>9012</v>
      </c>
      <c r="G753" t="s">
        <v>6367</v>
      </c>
      <c r="H753" t="s">
        <v>4625</v>
      </c>
      <c r="J753" t="s">
        <v>6368</v>
      </c>
      <c r="L753" t="s">
        <v>83</v>
      </c>
      <c r="M753" t="s">
        <v>85</v>
      </c>
      <c r="R753" t="s">
        <v>9013</v>
      </c>
      <c r="W753" t="s">
        <v>9012</v>
      </c>
      <c r="X753" t="s">
        <v>6187</v>
      </c>
      <c r="Y753" t="s">
        <v>1823</v>
      </c>
      <c r="Z753" t="s">
        <v>77</v>
      </c>
      <c r="AA753" t="str">
        <f>"10941-4013"</f>
        <v>10941-4013</v>
      </c>
      <c r="AB753" t="s">
        <v>78</v>
      </c>
      <c r="AC753" t="s">
        <v>79</v>
      </c>
      <c r="AD753" t="s">
        <v>75</v>
      </c>
      <c r="AE753" t="s">
        <v>80</v>
      </c>
      <c r="AG753" t="s">
        <v>81</v>
      </c>
    </row>
    <row r="754" spans="1:33" x14ac:dyDescent="0.25">
      <c r="A754" t="str">
        <f>"1962497115"</f>
        <v>1962497115</v>
      </c>
      <c r="B754" t="str">
        <f>"01601101"</f>
        <v>01601101</v>
      </c>
      <c r="C754" t="s">
        <v>9014</v>
      </c>
      <c r="D754" t="s">
        <v>9015</v>
      </c>
      <c r="E754" t="s">
        <v>9016</v>
      </c>
      <c r="G754" t="s">
        <v>6367</v>
      </c>
      <c r="H754" t="s">
        <v>4625</v>
      </c>
      <c r="J754" t="s">
        <v>6368</v>
      </c>
      <c r="L754" t="s">
        <v>83</v>
      </c>
      <c r="M754" t="s">
        <v>75</v>
      </c>
      <c r="R754" t="s">
        <v>9017</v>
      </c>
      <c r="W754" t="s">
        <v>9016</v>
      </c>
      <c r="X754" t="s">
        <v>1677</v>
      </c>
      <c r="Y754" t="s">
        <v>316</v>
      </c>
      <c r="Z754" t="s">
        <v>77</v>
      </c>
      <c r="AA754" t="str">
        <f>"10801-5635"</f>
        <v>10801-5635</v>
      </c>
      <c r="AB754" t="s">
        <v>78</v>
      </c>
      <c r="AC754" t="s">
        <v>79</v>
      </c>
      <c r="AD754" t="s">
        <v>75</v>
      </c>
      <c r="AE754" t="s">
        <v>80</v>
      </c>
      <c r="AG754" t="s">
        <v>81</v>
      </c>
    </row>
    <row r="755" spans="1:33" x14ac:dyDescent="0.25">
      <c r="A755" t="str">
        <f>"1508030974"</f>
        <v>1508030974</v>
      </c>
      <c r="B755" t="str">
        <f>"02959608"</f>
        <v>02959608</v>
      </c>
      <c r="C755" t="s">
        <v>9018</v>
      </c>
      <c r="D755" t="s">
        <v>9019</v>
      </c>
      <c r="E755" t="s">
        <v>9020</v>
      </c>
      <c r="G755" t="s">
        <v>6367</v>
      </c>
      <c r="H755" t="s">
        <v>4625</v>
      </c>
      <c r="J755" t="s">
        <v>6368</v>
      </c>
      <c r="L755" t="s">
        <v>83</v>
      </c>
      <c r="M755" t="s">
        <v>85</v>
      </c>
      <c r="R755" t="s">
        <v>9021</v>
      </c>
      <c r="W755" t="s">
        <v>9020</v>
      </c>
      <c r="X755" t="s">
        <v>1822</v>
      </c>
      <c r="Y755" t="s">
        <v>1823</v>
      </c>
      <c r="Z755" t="s">
        <v>77</v>
      </c>
      <c r="AA755" t="str">
        <f>"10941-4028"</f>
        <v>10941-4028</v>
      </c>
      <c r="AB755" t="s">
        <v>78</v>
      </c>
      <c r="AC755" t="s">
        <v>79</v>
      </c>
      <c r="AD755" t="s">
        <v>75</v>
      </c>
      <c r="AE755" t="s">
        <v>80</v>
      </c>
      <c r="AG755" t="s">
        <v>81</v>
      </c>
    </row>
    <row r="756" spans="1:33" x14ac:dyDescent="0.25">
      <c r="A756" t="str">
        <f>"1073954871"</f>
        <v>1073954871</v>
      </c>
      <c r="B756" t="str">
        <f>"03832991"</f>
        <v>03832991</v>
      </c>
      <c r="C756" t="s">
        <v>9022</v>
      </c>
      <c r="D756" t="s">
        <v>9023</v>
      </c>
      <c r="E756" t="s">
        <v>9024</v>
      </c>
      <c r="L756" t="s">
        <v>84</v>
      </c>
      <c r="M756" t="s">
        <v>75</v>
      </c>
      <c r="R756" t="s">
        <v>9025</v>
      </c>
      <c r="W756" t="s">
        <v>9024</v>
      </c>
      <c r="X756" t="s">
        <v>2838</v>
      </c>
      <c r="Y756" t="s">
        <v>97</v>
      </c>
      <c r="Z756" t="s">
        <v>77</v>
      </c>
      <c r="AA756" t="str">
        <f>"10003-3105"</f>
        <v>10003-3105</v>
      </c>
      <c r="AB756" t="s">
        <v>78</v>
      </c>
      <c r="AC756" t="s">
        <v>79</v>
      </c>
      <c r="AD756" t="s">
        <v>75</v>
      </c>
      <c r="AE756" t="s">
        <v>80</v>
      </c>
      <c r="AG756" t="s">
        <v>81</v>
      </c>
    </row>
    <row r="757" spans="1:33" x14ac:dyDescent="0.25">
      <c r="A757" t="str">
        <f>"1003865601"</f>
        <v>1003865601</v>
      </c>
      <c r="B757" t="str">
        <f>"03946738"</f>
        <v>03946738</v>
      </c>
      <c r="C757" t="s">
        <v>9026</v>
      </c>
      <c r="D757" t="s">
        <v>9027</v>
      </c>
      <c r="E757" t="s">
        <v>9028</v>
      </c>
      <c r="L757" t="s">
        <v>84</v>
      </c>
      <c r="M757" t="s">
        <v>75</v>
      </c>
      <c r="R757" t="s">
        <v>9029</v>
      </c>
      <c r="W757" t="s">
        <v>9028</v>
      </c>
      <c r="X757" t="s">
        <v>9030</v>
      </c>
      <c r="Y757" t="s">
        <v>9031</v>
      </c>
      <c r="Z757" t="s">
        <v>156</v>
      </c>
      <c r="AA757" t="str">
        <f>"08618-4514"</f>
        <v>08618-4514</v>
      </c>
      <c r="AB757" t="s">
        <v>78</v>
      </c>
      <c r="AC757" t="s">
        <v>79</v>
      </c>
      <c r="AD757" t="s">
        <v>75</v>
      </c>
      <c r="AE757" t="s">
        <v>80</v>
      </c>
      <c r="AG757" t="s">
        <v>81</v>
      </c>
    </row>
    <row r="758" spans="1:33" x14ac:dyDescent="0.25">
      <c r="A758" t="str">
        <f>"1306997937"</f>
        <v>1306997937</v>
      </c>
      <c r="C758" t="s">
        <v>9032</v>
      </c>
      <c r="H758" t="s">
        <v>9033</v>
      </c>
      <c r="J758" t="s">
        <v>9034</v>
      </c>
      <c r="K758" t="s">
        <v>99</v>
      </c>
      <c r="L758" t="s">
        <v>102</v>
      </c>
      <c r="M758" t="s">
        <v>75</v>
      </c>
      <c r="R758" t="s">
        <v>9035</v>
      </c>
      <c r="S758" t="s">
        <v>9036</v>
      </c>
      <c r="T758" t="s">
        <v>97</v>
      </c>
      <c r="U758" t="s">
        <v>77</v>
      </c>
      <c r="V758" t="str">
        <f>"10023"</f>
        <v>10023</v>
      </c>
      <c r="AC758" t="s">
        <v>79</v>
      </c>
      <c r="AD758" t="s">
        <v>75</v>
      </c>
      <c r="AE758" t="s">
        <v>103</v>
      </c>
      <c r="AG758" t="s">
        <v>81</v>
      </c>
    </row>
    <row r="759" spans="1:33" x14ac:dyDescent="0.25">
      <c r="A759" t="str">
        <f>"1356379622"</f>
        <v>1356379622</v>
      </c>
      <c r="B759" t="str">
        <f>"00984212"</f>
        <v>00984212</v>
      </c>
      <c r="C759" t="s">
        <v>9037</v>
      </c>
      <c r="D759" t="s">
        <v>9038</v>
      </c>
      <c r="E759" t="s">
        <v>9039</v>
      </c>
      <c r="H759" t="s">
        <v>9040</v>
      </c>
      <c r="J759" t="s">
        <v>9041</v>
      </c>
      <c r="L759" t="s">
        <v>83</v>
      </c>
      <c r="M759" t="s">
        <v>75</v>
      </c>
      <c r="R759" t="s">
        <v>9042</v>
      </c>
      <c r="W759" t="s">
        <v>9043</v>
      </c>
      <c r="X759" t="s">
        <v>9044</v>
      </c>
      <c r="Y759" t="s">
        <v>180</v>
      </c>
      <c r="Z759" t="s">
        <v>77</v>
      </c>
      <c r="AA759" t="str">
        <f>"10703-2903"</f>
        <v>10703-2903</v>
      </c>
      <c r="AB759" t="s">
        <v>78</v>
      </c>
      <c r="AC759" t="s">
        <v>79</v>
      </c>
      <c r="AD759" t="s">
        <v>75</v>
      </c>
      <c r="AE759" t="s">
        <v>80</v>
      </c>
      <c r="AG759" t="s">
        <v>81</v>
      </c>
    </row>
    <row r="760" spans="1:33" x14ac:dyDescent="0.25">
      <c r="A760" t="str">
        <f>"1376636787"</f>
        <v>1376636787</v>
      </c>
      <c r="B760" t="str">
        <f>"01438706"</f>
        <v>01438706</v>
      </c>
      <c r="C760" t="s">
        <v>9045</v>
      </c>
      <c r="D760" t="s">
        <v>5080</v>
      </c>
      <c r="E760" t="s">
        <v>5081</v>
      </c>
      <c r="G760" t="s">
        <v>8269</v>
      </c>
      <c r="H760" t="s">
        <v>8270</v>
      </c>
      <c r="J760" t="s">
        <v>9046</v>
      </c>
      <c r="L760" t="s">
        <v>84</v>
      </c>
      <c r="M760" t="s">
        <v>75</v>
      </c>
      <c r="R760" t="s">
        <v>5082</v>
      </c>
      <c r="W760" t="s">
        <v>5083</v>
      </c>
      <c r="X760" t="s">
        <v>4501</v>
      </c>
      <c r="Y760" t="s">
        <v>131</v>
      </c>
      <c r="Z760" t="s">
        <v>77</v>
      </c>
      <c r="AA760" t="str">
        <f>"10463-5181"</f>
        <v>10463-5181</v>
      </c>
      <c r="AB760" t="s">
        <v>78</v>
      </c>
      <c r="AC760" t="s">
        <v>79</v>
      </c>
      <c r="AD760" t="s">
        <v>75</v>
      </c>
      <c r="AE760" t="s">
        <v>80</v>
      </c>
      <c r="AG760" t="s">
        <v>81</v>
      </c>
    </row>
    <row r="761" spans="1:33" x14ac:dyDescent="0.25">
      <c r="A761" t="str">
        <f>"1386735488"</f>
        <v>1386735488</v>
      </c>
      <c r="B761" t="str">
        <f>"00249945"</f>
        <v>00249945</v>
      </c>
      <c r="C761" t="s">
        <v>9047</v>
      </c>
      <c r="D761" t="s">
        <v>9048</v>
      </c>
      <c r="E761" t="s">
        <v>9049</v>
      </c>
      <c r="H761" t="s">
        <v>9050</v>
      </c>
      <c r="J761" t="s">
        <v>9051</v>
      </c>
      <c r="L761" t="s">
        <v>84</v>
      </c>
      <c r="M761" t="s">
        <v>75</v>
      </c>
      <c r="W761" t="s">
        <v>9049</v>
      </c>
      <c r="X761" t="s">
        <v>5425</v>
      </c>
      <c r="Y761" t="s">
        <v>131</v>
      </c>
      <c r="Z761" t="s">
        <v>77</v>
      </c>
      <c r="AA761" t="str">
        <f>"10461-2377"</f>
        <v>10461-2377</v>
      </c>
      <c r="AB761" t="s">
        <v>78</v>
      </c>
      <c r="AC761" t="s">
        <v>79</v>
      </c>
      <c r="AD761" t="s">
        <v>75</v>
      </c>
      <c r="AE761" t="s">
        <v>80</v>
      </c>
      <c r="AG761" t="s">
        <v>81</v>
      </c>
    </row>
    <row r="762" spans="1:33" x14ac:dyDescent="0.25">
      <c r="A762" t="str">
        <f>"1457472730"</f>
        <v>1457472730</v>
      </c>
      <c r="B762" t="str">
        <f>"02959479"</f>
        <v>02959479</v>
      </c>
      <c r="C762" t="s">
        <v>9052</v>
      </c>
      <c r="D762" t="s">
        <v>9053</v>
      </c>
      <c r="E762" t="s">
        <v>9054</v>
      </c>
      <c r="H762" t="s">
        <v>8818</v>
      </c>
      <c r="J762" t="s">
        <v>9055</v>
      </c>
      <c r="L762" t="s">
        <v>105</v>
      </c>
      <c r="M762" t="s">
        <v>75</v>
      </c>
      <c r="R762" t="s">
        <v>9056</v>
      </c>
      <c r="W762" t="s">
        <v>9057</v>
      </c>
      <c r="X762" t="s">
        <v>9058</v>
      </c>
      <c r="Y762" t="s">
        <v>97</v>
      </c>
      <c r="Z762" t="s">
        <v>77</v>
      </c>
      <c r="AA762" t="str">
        <f>"10025-3569"</f>
        <v>10025-3569</v>
      </c>
      <c r="AB762" t="s">
        <v>125</v>
      </c>
      <c r="AC762" t="s">
        <v>79</v>
      </c>
      <c r="AD762" t="s">
        <v>75</v>
      </c>
      <c r="AE762" t="s">
        <v>80</v>
      </c>
      <c r="AG762" t="s">
        <v>81</v>
      </c>
    </row>
    <row r="763" spans="1:33" x14ac:dyDescent="0.25">
      <c r="A763" t="str">
        <f>"1871550715"</f>
        <v>1871550715</v>
      </c>
      <c r="B763" t="str">
        <f>"01434064"</f>
        <v>01434064</v>
      </c>
      <c r="C763" t="s">
        <v>9059</v>
      </c>
      <c r="D763" t="s">
        <v>1599</v>
      </c>
      <c r="E763" t="s">
        <v>1600</v>
      </c>
      <c r="G763" t="s">
        <v>6930</v>
      </c>
      <c r="H763" t="s">
        <v>6931</v>
      </c>
      <c r="J763" t="s">
        <v>6932</v>
      </c>
      <c r="L763" t="s">
        <v>83</v>
      </c>
      <c r="M763" t="s">
        <v>75</v>
      </c>
      <c r="R763" t="s">
        <v>1598</v>
      </c>
      <c r="W763" t="s">
        <v>1600</v>
      </c>
      <c r="X763" t="s">
        <v>1531</v>
      </c>
      <c r="Y763" t="s">
        <v>97</v>
      </c>
      <c r="Z763" t="s">
        <v>77</v>
      </c>
      <c r="AA763" t="str">
        <f>"10036-8005"</f>
        <v>10036-8005</v>
      </c>
      <c r="AB763" t="s">
        <v>108</v>
      </c>
      <c r="AC763" t="s">
        <v>79</v>
      </c>
      <c r="AD763" t="s">
        <v>75</v>
      </c>
      <c r="AE763" t="s">
        <v>80</v>
      </c>
      <c r="AG763" t="s">
        <v>81</v>
      </c>
    </row>
    <row r="764" spans="1:33" x14ac:dyDescent="0.25">
      <c r="A764" t="str">
        <f>"1215020607"</f>
        <v>1215020607</v>
      </c>
      <c r="B764" t="str">
        <f>"00995377"</f>
        <v>00995377</v>
      </c>
      <c r="C764" t="s">
        <v>9060</v>
      </c>
      <c r="D764" t="s">
        <v>5006</v>
      </c>
      <c r="E764" t="s">
        <v>5007</v>
      </c>
      <c r="G764" t="s">
        <v>8269</v>
      </c>
      <c r="H764" t="s">
        <v>8270</v>
      </c>
      <c r="J764" t="s">
        <v>9061</v>
      </c>
      <c r="L764" t="s">
        <v>84</v>
      </c>
      <c r="M764" t="s">
        <v>75</v>
      </c>
      <c r="R764" t="s">
        <v>5008</v>
      </c>
      <c r="W764" t="s">
        <v>5009</v>
      </c>
      <c r="X764" t="s">
        <v>5010</v>
      </c>
      <c r="Y764" t="s">
        <v>131</v>
      </c>
      <c r="Z764" t="s">
        <v>77</v>
      </c>
      <c r="AA764" t="str">
        <f>"10463-5180"</f>
        <v>10463-5180</v>
      </c>
      <c r="AB764" t="s">
        <v>78</v>
      </c>
      <c r="AC764" t="s">
        <v>79</v>
      </c>
      <c r="AD764" t="s">
        <v>75</v>
      </c>
      <c r="AE764" t="s">
        <v>80</v>
      </c>
      <c r="AG764" t="s">
        <v>81</v>
      </c>
    </row>
    <row r="765" spans="1:33" x14ac:dyDescent="0.25">
      <c r="A765" t="str">
        <f>"1235307760"</f>
        <v>1235307760</v>
      </c>
      <c r="B765" t="str">
        <f>"03692591"</f>
        <v>03692591</v>
      </c>
      <c r="C765" t="s">
        <v>9062</v>
      </c>
      <c r="D765" t="s">
        <v>3269</v>
      </c>
      <c r="E765" t="s">
        <v>3270</v>
      </c>
      <c r="G765" t="s">
        <v>6474</v>
      </c>
      <c r="H765" t="s">
        <v>252</v>
      </c>
      <c r="J765" t="s">
        <v>628</v>
      </c>
      <c r="L765" t="s">
        <v>74</v>
      </c>
      <c r="M765" t="s">
        <v>75</v>
      </c>
      <c r="R765" t="s">
        <v>3271</v>
      </c>
      <c r="W765" t="s">
        <v>3272</v>
      </c>
      <c r="X765" t="s">
        <v>3273</v>
      </c>
      <c r="Y765" t="s">
        <v>97</v>
      </c>
      <c r="Z765" t="s">
        <v>77</v>
      </c>
      <c r="AA765" t="str">
        <f>"10016-6402"</f>
        <v>10016-6402</v>
      </c>
      <c r="AB765" t="s">
        <v>78</v>
      </c>
      <c r="AC765" t="s">
        <v>79</v>
      </c>
      <c r="AD765" t="s">
        <v>75</v>
      </c>
      <c r="AE765" t="s">
        <v>80</v>
      </c>
      <c r="AG765" t="s">
        <v>81</v>
      </c>
    </row>
    <row r="766" spans="1:33" x14ac:dyDescent="0.25">
      <c r="A766" t="str">
        <f>"1376849521"</f>
        <v>1376849521</v>
      </c>
      <c r="B766" t="str">
        <f>"03306723"</f>
        <v>03306723</v>
      </c>
      <c r="C766" t="s">
        <v>9063</v>
      </c>
      <c r="D766" t="s">
        <v>2732</v>
      </c>
      <c r="E766" t="s">
        <v>2733</v>
      </c>
      <c r="G766" t="s">
        <v>6474</v>
      </c>
      <c r="H766" t="s">
        <v>252</v>
      </c>
      <c r="J766" t="s">
        <v>628</v>
      </c>
      <c r="L766" t="s">
        <v>74</v>
      </c>
      <c r="M766" t="s">
        <v>85</v>
      </c>
      <c r="R766" t="s">
        <v>2734</v>
      </c>
      <c r="W766" t="s">
        <v>2733</v>
      </c>
      <c r="X766" t="s">
        <v>1785</v>
      </c>
      <c r="Y766" t="s">
        <v>1743</v>
      </c>
      <c r="Z766" t="s">
        <v>77</v>
      </c>
      <c r="AA766" t="str">
        <f>"12110-2454"</f>
        <v>12110-2454</v>
      </c>
      <c r="AB766" t="s">
        <v>78</v>
      </c>
      <c r="AC766" t="s">
        <v>79</v>
      </c>
      <c r="AD766" t="s">
        <v>75</v>
      </c>
      <c r="AE766" t="s">
        <v>80</v>
      </c>
      <c r="AG766" t="s">
        <v>81</v>
      </c>
    </row>
    <row r="767" spans="1:33" x14ac:dyDescent="0.25">
      <c r="A767" t="str">
        <f>"1598795908"</f>
        <v>1598795908</v>
      </c>
      <c r="B767" t="str">
        <f>"03127048"</f>
        <v>03127048</v>
      </c>
      <c r="C767" t="s">
        <v>9064</v>
      </c>
      <c r="D767" t="s">
        <v>9065</v>
      </c>
      <c r="E767" t="s">
        <v>9066</v>
      </c>
      <c r="G767" t="s">
        <v>7985</v>
      </c>
      <c r="H767" t="s">
        <v>3624</v>
      </c>
      <c r="J767" t="s">
        <v>3625</v>
      </c>
      <c r="L767" t="s">
        <v>74</v>
      </c>
      <c r="M767" t="s">
        <v>75</v>
      </c>
      <c r="R767" t="s">
        <v>9067</v>
      </c>
      <c r="W767" t="s">
        <v>9066</v>
      </c>
      <c r="X767" t="s">
        <v>9068</v>
      </c>
      <c r="Y767" t="s">
        <v>97</v>
      </c>
      <c r="Z767" t="s">
        <v>77</v>
      </c>
      <c r="AA767" t="str">
        <f>"10022-1202"</f>
        <v>10022-1202</v>
      </c>
      <c r="AB767" t="s">
        <v>108</v>
      </c>
      <c r="AC767" t="s">
        <v>79</v>
      </c>
      <c r="AD767" t="s">
        <v>75</v>
      </c>
      <c r="AE767" t="s">
        <v>80</v>
      </c>
      <c r="AG767" t="s">
        <v>81</v>
      </c>
    </row>
    <row r="768" spans="1:33" x14ac:dyDescent="0.25">
      <c r="A768" t="str">
        <f>"1699833095"</f>
        <v>1699833095</v>
      </c>
      <c r="B768" t="str">
        <f>"03077236"</f>
        <v>03077236</v>
      </c>
      <c r="C768" t="s">
        <v>9069</v>
      </c>
      <c r="D768" t="s">
        <v>9070</v>
      </c>
      <c r="E768" t="s">
        <v>9071</v>
      </c>
      <c r="G768" t="s">
        <v>7985</v>
      </c>
      <c r="H768" t="s">
        <v>3624</v>
      </c>
      <c r="J768" t="s">
        <v>3625</v>
      </c>
      <c r="L768" t="s">
        <v>74</v>
      </c>
      <c r="M768" t="s">
        <v>75</v>
      </c>
      <c r="R768" t="s">
        <v>9072</v>
      </c>
      <c r="W768" t="s">
        <v>9071</v>
      </c>
      <c r="X768" t="s">
        <v>9068</v>
      </c>
      <c r="Y768" t="s">
        <v>97</v>
      </c>
      <c r="Z768" t="s">
        <v>77</v>
      </c>
      <c r="AA768" t="str">
        <f>"10022-1202"</f>
        <v>10022-1202</v>
      </c>
      <c r="AB768" t="s">
        <v>108</v>
      </c>
      <c r="AC768" t="s">
        <v>79</v>
      </c>
      <c r="AD768" t="s">
        <v>75</v>
      </c>
      <c r="AE768" t="s">
        <v>80</v>
      </c>
      <c r="AG768" t="s">
        <v>81</v>
      </c>
    </row>
    <row r="769" spans="1:33" x14ac:dyDescent="0.25">
      <c r="A769" t="str">
        <f>"1730154386"</f>
        <v>1730154386</v>
      </c>
      <c r="B769" t="str">
        <f>"03127108"</f>
        <v>03127108</v>
      </c>
      <c r="C769" t="s">
        <v>9073</v>
      </c>
      <c r="D769" t="s">
        <v>9074</v>
      </c>
      <c r="E769" t="s">
        <v>9075</v>
      </c>
      <c r="G769" t="s">
        <v>7985</v>
      </c>
      <c r="H769" t="s">
        <v>3624</v>
      </c>
      <c r="J769" t="s">
        <v>3625</v>
      </c>
      <c r="L769" t="s">
        <v>74</v>
      </c>
      <c r="M769" t="s">
        <v>75</v>
      </c>
      <c r="R769" t="s">
        <v>9076</v>
      </c>
      <c r="W769" t="s">
        <v>9077</v>
      </c>
      <c r="X769" t="s">
        <v>9068</v>
      </c>
      <c r="Y769" t="s">
        <v>97</v>
      </c>
      <c r="Z769" t="s">
        <v>77</v>
      </c>
      <c r="AA769" t="str">
        <f>"10022-1202"</f>
        <v>10022-1202</v>
      </c>
      <c r="AB769" t="s">
        <v>108</v>
      </c>
      <c r="AC769" t="s">
        <v>79</v>
      </c>
      <c r="AD769" t="s">
        <v>75</v>
      </c>
      <c r="AE769" t="s">
        <v>80</v>
      </c>
      <c r="AG769" t="s">
        <v>81</v>
      </c>
    </row>
    <row r="770" spans="1:33" x14ac:dyDescent="0.25">
      <c r="A770" t="str">
        <f>"1609877331"</f>
        <v>1609877331</v>
      </c>
      <c r="B770" t="str">
        <f>"02632126"</f>
        <v>02632126</v>
      </c>
      <c r="C770" t="s">
        <v>9078</v>
      </c>
      <c r="D770" t="s">
        <v>9079</v>
      </c>
      <c r="E770" t="s">
        <v>9080</v>
      </c>
      <c r="G770" t="s">
        <v>6367</v>
      </c>
      <c r="H770" t="s">
        <v>4625</v>
      </c>
      <c r="J770" t="s">
        <v>6368</v>
      </c>
      <c r="L770" t="s">
        <v>83</v>
      </c>
      <c r="M770" t="s">
        <v>85</v>
      </c>
      <c r="R770" t="s">
        <v>9081</v>
      </c>
      <c r="W770" t="s">
        <v>9080</v>
      </c>
      <c r="X770" t="s">
        <v>1822</v>
      </c>
      <c r="Y770" t="s">
        <v>1823</v>
      </c>
      <c r="Z770" t="s">
        <v>77</v>
      </c>
      <c r="AA770" t="str">
        <f>"10941-4028"</f>
        <v>10941-4028</v>
      </c>
      <c r="AB770" t="s">
        <v>78</v>
      </c>
      <c r="AC770" t="s">
        <v>79</v>
      </c>
      <c r="AD770" t="s">
        <v>75</v>
      </c>
      <c r="AE770" t="s">
        <v>80</v>
      </c>
      <c r="AG770" t="s">
        <v>81</v>
      </c>
    </row>
    <row r="771" spans="1:33" x14ac:dyDescent="0.25">
      <c r="A771" t="str">
        <f>"1891769774"</f>
        <v>1891769774</v>
      </c>
      <c r="B771" t="str">
        <f>"02555402"</f>
        <v>02555402</v>
      </c>
      <c r="C771" t="s">
        <v>9082</v>
      </c>
      <c r="D771" t="s">
        <v>9083</v>
      </c>
      <c r="E771" t="s">
        <v>9084</v>
      </c>
      <c r="G771" t="s">
        <v>6367</v>
      </c>
      <c r="H771" t="s">
        <v>4625</v>
      </c>
      <c r="J771" t="s">
        <v>6368</v>
      </c>
      <c r="L771" t="s">
        <v>83</v>
      </c>
      <c r="M771" t="s">
        <v>75</v>
      </c>
      <c r="R771" t="s">
        <v>9085</v>
      </c>
      <c r="W771" t="s">
        <v>9084</v>
      </c>
      <c r="X771" t="s">
        <v>1843</v>
      </c>
      <c r="Y771" t="s">
        <v>153</v>
      </c>
      <c r="Z771" t="s">
        <v>77</v>
      </c>
      <c r="AA771" t="str">
        <f>"12601-1154"</f>
        <v>12601-1154</v>
      </c>
      <c r="AB771" t="s">
        <v>78</v>
      </c>
      <c r="AC771" t="s">
        <v>79</v>
      </c>
      <c r="AD771" t="s">
        <v>75</v>
      </c>
      <c r="AE771" t="s">
        <v>80</v>
      </c>
      <c r="AG771" t="s">
        <v>81</v>
      </c>
    </row>
    <row r="772" spans="1:33" x14ac:dyDescent="0.25">
      <c r="A772" t="str">
        <f>"1710987326"</f>
        <v>1710987326</v>
      </c>
      <c r="B772" t="str">
        <f>"01931644"</f>
        <v>01931644</v>
      </c>
      <c r="C772" t="s">
        <v>9086</v>
      </c>
      <c r="D772" t="s">
        <v>9087</v>
      </c>
      <c r="E772" t="s">
        <v>9088</v>
      </c>
      <c r="G772" t="s">
        <v>6930</v>
      </c>
      <c r="H772" t="s">
        <v>6931</v>
      </c>
      <c r="J772" t="s">
        <v>6932</v>
      </c>
      <c r="L772" t="s">
        <v>83</v>
      </c>
      <c r="M772" t="s">
        <v>75</v>
      </c>
      <c r="R772" t="s">
        <v>9089</v>
      </c>
      <c r="W772" t="s">
        <v>9088</v>
      </c>
      <c r="X772" t="s">
        <v>1531</v>
      </c>
      <c r="Y772" t="s">
        <v>97</v>
      </c>
      <c r="Z772" t="s">
        <v>77</v>
      </c>
      <c r="AA772" t="str">
        <f>"10036-8005"</f>
        <v>10036-8005</v>
      </c>
      <c r="AB772" t="s">
        <v>108</v>
      </c>
      <c r="AC772" t="s">
        <v>79</v>
      </c>
      <c r="AD772" t="s">
        <v>75</v>
      </c>
      <c r="AE772" t="s">
        <v>80</v>
      </c>
      <c r="AG772" t="s">
        <v>81</v>
      </c>
    </row>
    <row r="773" spans="1:33" x14ac:dyDescent="0.25">
      <c r="A773" t="str">
        <f>"1831155407"</f>
        <v>1831155407</v>
      </c>
      <c r="B773" t="str">
        <f>"01931699"</f>
        <v>01931699</v>
      </c>
      <c r="C773" t="s">
        <v>9090</v>
      </c>
      <c r="D773" t="s">
        <v>1662</v>
      </c>
      <c r="E773" t="s">
        <v>1661</v>
      </c>
      <c r="G773" t="s">
        <v>6930</v>
      </c>
      <c r="H773" t="s">
        <v>6931</v>
      </c>
      <c r="J773" t="s">
        <v>6932</v>
      </c>
      <c r="L773" t="s">
        <v>83</v>
      </c>
      <c r="M773" t="s">
        <v>75</v>
      </c>
      <c r="R773" t="s">
        <v>1661</v>
      </c>
      <c r="W773" t="s">
        <v>1663</v>
      </c>
      <c r="X773" t="s">
        <v>1531</v>
      </c>
      <c r="Y773" t="s">
        <v>97</v>
      </c>
      <c r="Z773" t="s">
        <v>77</v>
      </c>
      <c r="AA773" t="str">
        <f>"10036-8005"</f>
        <v>10036-8005</v>
      </c>
      <c r="AB773" t="s">
        <v>108</v>
      </c>
      <c r="AC773" t="s">
        <v>79</v>
      </c>
      <c r="AD773" t="s">
        <v>75</v>
      </c>
      <c r="AE773" t="s">
        <v>80</v>
      </c>
      <c r="AG773" t="s">
        <v>81</v>
      </c>
    </row>
    <row r="774" spans="1:33" x14ac:dyDescent="0.25">
      <c r="A774" t="str">
        <f>"1497755763"</f>
        <v>1497755763</v>
      </c>
      <c r="B774" t="str">
        <f>"01931837"</f>
        <v>01931837</v>
      </c>
      <c r="C774" t="s">
        <v>9091</v>
      </c>
      <c r="D774" t="s">
        <v>1595</v>
      </c>
      <c r="E774" t="s">
        <v>1596</v>
      </c>
      <c r="G774" t="s">
        <v>6930</v>
      </c>
      <c r="H774" t="s">
        <v>6931</v>
      </c>
      <c r="J774" t="s">
        <v>6932</v>
      </c>
      <c r="L774" t="s">
        <v>74</v>
      </c>
      <c r="M774" t="s">
        <v>75</v>
      </c>
      <c r="R774" t="s">
        <v>1594</v>
      </c>
      <c r="W774" t="s">
        <v>1597</v>
      </c>
      <c r="X774" t="s">
        <v>1531</v>
      </c>
      <c r="Y774" t="s">
        <v>97</v>
      </c>
      <c r="Z774" t="s">
        <v>77</v>
      </c>
      <c r="AA774" t="str">
        <f>"10036-8005"</f>
        <v>10036-8005</v>
      </c>
      <c r="AB774" t="s">
        <v>108</v>
      </c>
      <c r="AC774" t="s">
        <v>79</v>
      </c>
      <c r="AD774" t="s">
        <v>75</v>
      </c>
      <c r="AE774" t="s">
        <v>80</v>
      </c>
      <c r="AG774" t="s">
        <v>81</v>
      </c>
    </row>
    <row r="775" spans="1:33" x14ac:dyDescent="0.25">
      <c r="A775" t="str">
        <f>"1083687214"</f>
        <v>1083687214</v>
      </c>
      <c r="B775" t="str">
        <f>"01931915"</f>
        <v>01931915</v>
      </c>
      <c r="C775" t="s">
        <v>9092</v>
      </c>
      <c r="D775" t="s">
        <v>9093</v>
      </c>
      <c r="E775" t="s">
        <v>9094</v>
      </c>
      <c r="G775" t="s">
        <v>6930</v>
      </c>
      <c r="H775" t="s">
        <v>6931</v>
      </c>
      <c r="J775" t="s">
        <v>6932</v>
      </c>
      <c r="L775" t="s">
        <v>83</v>
      </c>
      <c r="M775" t="s">
        <v>75</v>
      </c>
      <c r="R775" t="s">
        <v>9094</v>
      </c>
      <c r="W775" t="s">
        <v>9094</v>
      </c>
      <c r="X775" t="s">
        <v>1531</v>
      </c>
      <c r="Y775" t="s">
        <v>97</v>
      </c>
      <c r="Z775" t="s">
        <v>77</v>
      </c>
      <c r="AA775" t="str">
        <f>"10036-8005"</f>
        <v>10036-8005</v>
      </c>
      <c r="AB775" t="s">
        <v>108</v>
      </c>
      <c r="AC775" t="s">
        <v>79</v>
      </c>
      <c r="AD775" t="s">
        <v>75</v>
      </c>
      <c r="AE775" t="s">
        <v>80</v>
      </c>
      <c r="AG775" t="s">
        <v>81</v>
      </c>
    </row>
    <row r="776" spans="1:33" x14ac:dyDescent="0.25">
      <c r="A776" t="str">
        <f>"1669449112"</f>
        <v>1669449112</v>
      </c>
      <c r="B776" t="str">
        <f>"01931951"</f>
        <v>01931951</v>
      </c>
      <c r="C776" t="s">
        <v>9095</v>
      </c>
      <c r="D776" t="s">
        <v>5331</v>
      </c>
      <c r="E776" t="s">
        <v>5332</v>
      </c>
      <c r="G776" t="s">
        <v>6930</v>
      </c>
      <c r="H776" t="s">
        <v>6931</v>
      </c>
      <c r="J776" t="s">
        <v>6932</v>
      </c>
      <c r="L776" t="s">
        <v>83</v>
      </c>
      <c r="M776" t="s">
        <v>75</v>
      </c>
      <c r="R776" t="s">
        <v>5333</v>
      </c>
      <c r="W776" t="s">
        <v>5332</v>
      </c>
      <c r="X776" t="s">
        <v>1531</v>
      </c>
      <c r="Y776" t="s">
        <v>97</v>
      </c>
      <c r="Z776" t="s">
        <v>77</v>
      </c>
      <c r="AA776" t="str">
        <f>"10036-8005"</f>
        <v>10036-8005</v>
      </c>
      <c r="AB776" t="s">
        <v>108</v>
      </c>
      <c r="AC776" t="s">
        <v>79</v>
      </c>
      <c r="AD776" t="s">
        <v>75</v>
      </c>
      <c r="AE776" t="s">
        <v>80</v>
      </c>
      <c r="AG776" t="s">
        <v>81</v>
      </c>
    </row>
    <row r="777" spans="1:33" x14ac:dyDescent="0.25">
      <c r="A777" t="str">
        <f>"1457570772"</f>
        <v>1457570772</v>
      </c>
      <c r="B777" t="str">
        <f>"03681216"</f>
        <v>03681216</v>
      </c>
      <c r="C777" t="s">
        <v>9096</v>
      </c>
      <c r="D777" t="s">
        <v>9097</v>
      </c>
      <c r="E777" t="s">
        <v>9098</v>
      </c>
      <c r="L777" t="s">
        <v>105</v>
      </c>
      <c r="M777" t="s">
        <v>75</v>
      </c>
      <c r="R777" t="s">
        <v>9098</v>
      </c>
      <c r="W777" t="s">
        <v>9098</v>
      </c>
      <c r="X777" t="s">
        <v>4424</v>
      </c>
      <c r="Y777" t="s">
        <v>131</v>
      </c>
      <c r="Z777" t="s">
        <v>77</v>
      </c>
      <c r="AA777" t="str">
        <f>"10471-2915"</f>
        <v>10471-2915</v>
      </c>
      <c r="AB777" t="s">
        <v>78</v>
      </c>
      <c r="AC777" t="s">
        <v>79</v>
      </c>
      <c r="AD777" t="s">
        <v>75</v>
      </c>
      <c r="AE777" t="s">
        <v>80</v>
      </c>
      <c r="AG777" t="s">
        <v>81</v>
      </c>
    </row>
    <row r="778" spans="1:33" x14ac:dyDescent="0.25">
      <c r="A778" t="str">
        <f>"1487619839"</f>
        <v>1487619839</v>
      </c>
      <c r="B778" t="str">
        <f>"01589371"</f>
        <v>01589371</v>
      </c>
      <c r="C778" t="s">
        <v>9099</v>
      </c>
      <c r="D778" t="s">
        <v>9100</v>
      </c>
      <c r="E778" t="s">
        <v>9101</v>
      </c>
      <c r="L778" t="s">
        <v>74</v>
      </c>
      <c r="M778" t="s">
        <v>75</v>
      </c>
      <c r="R778" t="s">
        <v>9102</v>
      </c>
      <c r="W778" t="s">
        <v>9101</v>
      </c>
      <c r="X778" t="s">
        <v>9103</v>
      </c>
      <c r="Y778" t="s">
        <v>97</v>
      </c>
      <c r="Z778" t="s">
        <v>77</v>
      </c>
      <c r="AA778" t="str">
        <f>"10025-1716"</f>
        <v>10025-1716</v>
      </c>
      <c r="AB778" t="s">
        <v>78</v>
      </c>
      <c r="AC778" t="s">
        <v>79</v>
      </c>
      <c r="AD778" t="s">
        <v>75</v>
      </c>
      <c r="AE778" t="s">
        <v>80</v>
      </c>
      <c r="AG778" t="s">
        <v>81</v>
      </c>
    </row>
    <row r="779" spans="1:33" x14ac:dyDescent="0.25">
      <c r="A779" t="str">
        <f>"1518125707"</f>
        <v>1518125707</v>
      </c>
      <c r="B779" t="str">
        <f>"02267641"</f>
        <v>02267641</v>
      </c>
      <c r="C779" t="s">
        <v>9104</v>
      </c>
      <c r="D779" t="s">
        <v>9105</v>
      </c>
      <c r="E779" t="s">
        <v>9106</v>
      </c>
      <c r="L779" t="s">
        <v>102</v>
      </c>
      <c r="M779" t="s">
        <v>75</v>
      </c>
      <c r="R779" t="s">
        <v>9107</v>
      </c>
      <c r="W779" t="s">
        <v>9106</v>
      </c>
      <c r="X779" t="s">
        <v>4419</v>
      </c>
      <c r="Y779" t="s">
        <v>1077</v>
      </c>
      <c r="Z779" t="s">
        <v>77</v>
      </c>
      <c r="AA779" t="str">
        <f>"10532-2018"</f>
        <v>10532-2018</v>
      </c>
      <c r="AB779" t="s">
        <v>78</v>
      </c>
      <c r="AC779" t="s">
        <v>79</v>
      </c>
      <c r="AD779" t="s">
        <v>75</v>
      </c>
      <c r="AE779" t="s">
        <v>80</v>
      </c>
      <c r="AG779" t="s">
        <v>81</v>
      </c>
    </row>
    <row r="780" spans="1:33" x14ac:dyDescent="0.25">
      <c r="A780" t="str">
        <f>"1942471552"</f>
        <v>1942471552</v>
      </c>
      <c r="B780" t="str">
        <f>"03365579"</f>
        <v>03365579</v>
      </c>
      <c r="C780" t="s">
        <v>9108</v>
      </c>
      <c r="D780" t="s">
        <v>9109</v>
      </c>
      <c r="E780" t="s">
        <v>9110</v>
      </c>
      <c r="G780" t="s">
        <v>6524</v>
      </c>
      <c r="H780" t="s">
        <v>6525</v>
      </c>
      <c r="J780" t="s">
        <v>6526</v>
      </c>
      <c r="L780" t="s">
        <v>105</v>
      </c>
      <c r="M780" t="s">
        <v>75</v>
      </c>
      <c r="R780" t="s">
        <v>9111</v>
      </c>
      <c r="W780" t="s">
        <v>9110</v>
      </c>
      <c r="X780" t="s">
        <v>9112</v>
      </c>
      <c r="Y780" t="s">
        <v>87</v>
      </c>
      <c r="Z780" t="s">
        <v>77</v>
      </c>
      <c r="AA780" t="str">
        <f>"11201-5988"</f>
        <v>11201-5988</v>
      </c>
      <c r="AB780" t="s">
        <v>78</v>
      </c>
      <c r="AC780" t="s">
        <v>79</v>
      </c>
      <c r="AD780" t="s">
        <v>75</v>
      </c>
      <c r="AE780" t="s">
        <v>80</v>
      </c>
      <c r="AG780" t="s">
        <v>81</v>
      </c>
    </row>
    <row r="781" spans="1:33" x14ac:dyDescent="0.25">
      <c r="A781" t="str">
        <f>"1104802487"</f>
        <v>1104802487</v>
      </c>
      <c r="B781" t="str">
        <f>"01845963"</f>
        <v>01845963</v>
      </c>
      <c r="C781" t="s">
        <v>9113</v>
      </c>
      <c r="D781" t="s">
        <v>9114</v>
      </c>
      <c r="E781" t="s">
        <v>9115</v>
      </c>
      <c r="G781" t="s">
        <v>9113</v>
      </c>
      <c r="H781" t="s">
        <v>3712</v>
      </c>
      <c r="J781" t="s">
        <v>3713</v>
      </c>
      <c r="L781" t="s">
        <v>105</v>
      </c>
      <c r="M781" t="s">
        <v>75</v>
      </c>
      <c r="R781" t="s">
        <v>9116</v>
      </c>
      <c r="W781" t="s">
        <v>9117</v>
      </c>
      <c r="X781" t="s">
        <v>203</v>
      </c>
      <c r="Y781" t="s">
        <v>87</v>
      </c>
      <c r="Z781" t="s">
        <v>77</v>
      </c>
      <c r="AA781" t="str">
        <f>"11203-2054"</f>
        <v>11203-2054</v>
      </c>
      <c r="AB781" t="s">
        <v>78</v>
      </c>
      <c r="AC781" t="s">
        <v>79</v>
      </c>
      <c r="AD781" t="s">
        <v>75</v>
      </c>
      <c r="AE781" t="s">
        <v>80</v>
      </c>
      <c r="AG781" t="s">
        <v>81</v>
      </c>
    </row>
    <row r="782" spans="1:33" x14ac:dyDescent="0.25">
      <c r="A782" t="str">
        <f>"1619201241"</f>
        <v>1619201241</v>
      </c>
      <c r="B782" t="str">
        <f>"03705635"</f>
        <v>03705635</v>
      </c>
      <c r="C782" t="s">
        <v>9118</v>
      </c>
      <c r="D782" t="s">
        <v>9119</v>
      </c>
      <c r="E782" t="s">
        <v>9120</v>
      </c>
      <c r="G782" t="s">
        <v>9118</v>
      </c>
      <c r="H782" t="s">
        <v>3712</v>
      </c>
      <c r="J782" t="s">
        <v>3713</v>
      </c>
      <c r="L782" t="s">
        <v>74</v>
      </c>
      <c r="M782" t="s">
        <v>75</v>
      </c>
      <c r="R782" t="s">
        <v>9121</v>
      </c>
      <c r="W782" t="s">
        <v>9120</v>
      </c>
      <c r="X782" t="s">
        <v>9122</v>
      </c>
      <c r="Y782" t="s">
        <v>87</v>
      </c>
      <c r="Z782" t="s">
        <v>77</v>
      </c>
      <c r="AA782" t="str">
        <f>"11201-3026"</f>
        <v>11201-3026</v>
      </c>
      <c r="AB782" t="s">
        <v>78</v>
      </c>
      <c r="AC782" t="s">
        <v>79</v>
      </c>
      <c r="AD782" t="s">
        <v>75</v>
      </c>
      <c r="AE782" t="s">
        <v>80</v>
      </c>
      <c r="AG782" t="s">
        <v>81</v>
      </c>
    </row>
    <row r="783" spans="1:33" x14ac:dyDescent="0.25">
      <c r="A783" t="str">
        <f>"1821247735"</f>
        <v>1821247735</v>
      </c>
      <c r="B783" t="str">
        <f>"03699438"</f>
        <v>03699438</v>
      </c>
      <c r="C783" t="s">
        <v>9123</v>
      </c>
      <c r="D783" t="s">
        <v>9124</v>
      </c>
      <c r="E783" t="s">
        <v>9125</v>
      </c>
      <c r="G783" t="s">
        <v>9123</v>
      </c>
      <c r="H783" t="s">
        <v>3712</v>
      </c>
      <c r="J783" t="s">
        <v>3713</v>
      </c>
      <c r="L783" t="s">
        <v>74</v>
      </c>
      <c r="M783" t="s">
        <v>75</v>
      </c>
      <c r="R783" t="s">
        <v>9126</v>
      </c>
      <c r="W783" t="s">
        <v>9125</v>
      </c>
      <c r="X783" t="s">
        <v>9127</v>
      </c>
      <c r="Y783" t="s">
        <v>87</v>
      </c>
      <c r="Z783" t="s">
        <v>77</v>
      </c>
      <c r="AA783" t="str">
        <f>"11233-3402"</f>
        <v>11233-3402</v>
      </c>
      <c r="AB783" t="s">
        <v>78</v>
      </c>
      <c r="AC783" t="s">
        <v>79</v>
      </c>
      <c r="AD783" t="s">
        <v>75</v>
      </c>
      <c r="AE783" t="s">
        <v>80</v>
      </c>
      <c r="AG783" t="s">
        <v>81</v>
      </c>
    </row>
    <row r="784" spans="1:33" x14ac:dyDescent="0.25">
      <c r="A784" t="str">
        <f>"1104954239"</f>
        <v>1104954239</v>
      </c>
      <c r="B784" t="str">
        <f>"01890037"</f>
        <v>01890037</v>
      </c>
      <c r="C784" t="s">
        <v>9128</v>
      </c>
      <c r="D784" t="s">
        <v>9129</v>
      </c>
      <c r="E784" t="s">
        <v>9130</v>
      </c>
      <c r="G784" t="s">
        <v>9128</v>
      </c>
      <c r="H784" t="s">
        <v>3712</v>
      </c>
      <c r="J784" t="s">
        <v>3713</v>
      </c>
      <c r="L784" t="s">
        <v>105</v>
      </c>
      <c r="M784" t="s">
        <v>75</v>
      </c>
      <c r="R784" t="s">
        <v>9131</v>
      </c>
      <c r="W784" t="s">
        <v>9132</v>
      </c>
      <c r="X784" t="s">
        <v>9133</v>
      </c>
      <c r="Y784" t="s">
        <v>87</v>
      </c>
      <c r="Z784" t="s">
        <v>77</v>
      </c>
      <c r="AA784" t="str">
        <f>"11229-1209"</f>
        <v>11229-1209</v>
      </c>
      <c r="AB784" t="s">
        <v>78</v>
      </c>
      <c r="AC784" t="s">
        <v>79</v>
      </c>
      <c r="AD784" t="s">
        <v>75</v>
      </c>
      <c r="AE784" t="s">
        <v>80</v>
      </c>
      <c r="AG784" t="s">
        <v>81</v>
      </c>
    </row>
    <row r="785" spans="1:33" x14ac:dyDescent="0.25">
      <c r="A785" t="str">
        <f>"1326075888"</f>
        <v>1326075888</v>
      </c>
      <c r="B785" t="str">
        <f>"01557744"</f>
        <v>01557744</v>
      </c>
      <c r="C785" t="s">
        <v>9134</v>
      </c>
      <c r="D785" t="s">
        <v>9135</v>
      </c>
      <c r="E785" t="s">
        <v>9136</v>
      </c>
      <c r="G785" t="s">
        <v>9134</v>
      </c>
      <c r="H785" t="s">
        <v>3712</v>
      </c>
      <c r="J785" t="s">
        <v>3713</v>
      </c>
      <c r="L785" t="s">
        <v>105</v>
      </c>
      <c r="M785" t="s">
        <v>75</v>
      </c>
      <c r="R785" t="s">
        <v>9137</v>
      </c>
      <c r="W785" t="s">
        <v>9136</v>
      </c>
      <c r="X785" t="s">
        <v>9133</v>
      </c>
      <c r="Y785" t="s">
        <v>87</v>
      </c>
      <c r="Z785" t="s">
        <v>77</v>
      </c>
      <c r="AA785" t="str">
        <f>"11229-1209"</f>
        <v>11229-1209</v>
      </c>
      <c r="AB785" t="s">
        <v>78</v>
      </c>
      <c r="AC785" t="s">
        <v>79</v>
      </c>
      <c r="AD785" t="s">
        <v>75</v>
      </c>
      <c r="AE785" t="s">
        <v>80</v>
      </c>
      <c r="AG785" t="s">
        <v>81</v>
      </c>
    </row>
    <row r="786" spans="1:33" x14ac:dyDescent="0.25">
      <c r="A786" t="str">
        <f>"1609886746"</f>
        <v>1609886746</v>
      </c>
      <c r="B786" t="str">
        <f>"01123037"</f>
        <v>01123037</v>
      </c>
      <c r="C786" t="s">
        <v>9138</v>
      </c>
      <c r="D786" t="s">
        <v>9139</v>
      </c>
      <c r="E786" t="s">
        <v>9140</v>
      </c>
      <c r="G786" t="s">
        <v>9138</v>
      </c>
      <c r="H786" t="s">
        <v>3712</v>
      </c>
      <c r="J786" t="s">
        <v>3713</v>
      </c>
      <c r="L786" t="s">
        <v>105</v>
      </c>
      <c r="M786" t="s">
        <v>85</v>
      </c>
      <c r="R786" t="s">
        <v>9141</v>
      </c>
      <c r="W786" t="s">
        <v>9140</v>
      </c>
      <c r="X786" t="s">
        <v>9142</v>
      </c>
      <c r="Y786" t="s">
        <v>87</v>
      </c>
      <c r="Z786" t="s">
        <v>77</v>
      </c>
      <c r="AA786" t="str">
        <f>"11212"</f>
        <v>11212</v>
      </c>
      <c r="AB786" t="s">
        <v>78</v>
      </c>
      <c r="AC786" t="s">
        <v>79</v>
      </c>
      <c r="AD786" t="s">
        <v>75</v>
      </c>
      <c r="AE786" t="s">
        <v>80</v>
      </c>
      <c r="AG786" t="s">
        <v>81</v>
      </c>
    </row>
    <row r="787" spans="1:33" x14ac:dyDescent="0.25">
      <c r="A787" t="str">
        <f>"1336353556"</f>
        <v>1336353556</v>
      </c>
      <c r="B787" t="str">
        <f>"03243423"</f>
        <v>03243423</v>
      </c>
      <c r="C787" t="s">
        <v>9143</v>
      </c>
      <c r="D787" t="s">
        <v>4939</v>
      </c>
      <c r="E787" t="s">
        <v>4940</v>
      </c>
      <c r="G787" t="s">
        <v>6800</v>
      </c>
      <c r="H787" t="s">
        <v>6801</v>
      </c>
      <c r="I787">
        <v>6381</v>
      </c>
      <c r="J787" t="s">
        <v>6802</v>
      </c>
      <c r="L787" t="s">
        <v>74</v>
      </c>
      <c r="M787" t="s">
        <v>85</v>
      </c>
      <c r="R787" t="s">
        <v>4941</v>
      </c>
      <c r="W787" t="s">
        <v>4940</v>
      </c>
      <c r="X787" t="s">
        <v>3538</v>
      </c>
      <c r="Y787" t="s">
        <v>131</v>
      </c>
      <c r="Z787" t="s">
        <v>77</v>
      </c>
      <c r="AA787" t="str">
        <f>"10461-5726"</f>
        <v>10461-5726</v>
      </c>
      <c r="AB787" t="s">
        <v>78</v>
      </c>
      <c r="AC787" t="s">
        <v>79</v>
      </c>
      <c r="AD787" t="s">
        <v>75</v>
      </c>
      <c r="AE787" t="s">
        <v>80</v>
      </c>
      <c r="AG787" t="s">
        <v>81</v>
      </c>
    </row>
    <row r="788" spans="1:33" x14ac:dyDescent="0.25">
      <c r="A788" t="str">
        <f>"1588826168"</f>
        <v>1588826168</v>
      </c>
      <c r="B788" t="str">
        <f>"03527011"</f>
        <v>03527011</v>
      </c>
      <c r="C788" t="s">
        <v>9144</v>
      </c>
      <c r="D788" t="s">
        <v>9145</v>
      </c>
      <c r="E788" t="s">
        <v>9146</v>
      </c>
      <c r="G788" t="s">
        <v>6800</v>
      </c>
      <c r="H788" t="s">
        <v>6801</v>
      </c>
      <c r="I788">
        <v>6381</v>
      </c>
      <c r="J788" t="s">
        <v>6802</v>
      </c>
      <c r="L788" t="s">
        <v>74</v>
      </c>
      <c r="M788" t="s">
        <v>75</v>
      </c>
      <c r="R788" t="s">
        <v>5308</v>
      </c>
      <c r="W788" t="s">
        <v>9146</v>
      </c>
      <c r="X788" t="s">
        <v>1423</v>
      </c>
      <c r="Y788" t="s">
        <v>97</v>
      </c>
      <c r="Z788" t="s">
        <v>77</v>
      </c>
      <c r="AA788" t="str">
        <f>"10003-5105"</f>
        <v>10003-5105</v>
      </c>
      <c r="AB788" t="s">
        <v>78</v>
      </c>
      <c r="AC788" t="s">
        <v>79</v>
      </c>
      <c r="AD788" t="s">
        <v>75</v>
      </c>
      <c r="AE788" t="s">
        <v>80</v>
      </c>
      <c r="AG788" t="s">
        <v>81</v>
      </c>
    </row>
    <row r="789" spans="1:33" x14ac:dyDescent="0.25">
      <c r="A789" t="str">
        <f>"1083639827"</f>
        <v>1083639827</v>
      </c>
      <c r="B789" t="str">
        <f>"03520385"</f>
        <v>03520385</v>
      </c>
      <c r="C789" t="s">
        <v>9147</v>
      </c>
      <c r="D789" t="s">
        <v>9148</v>
      </c>
      <c r="E789" t="s">
        <v>9149</v>
      </c>
      <c r="G789" t="s">
        <v>6800</v>
      </c>
      <c r="H789" t="s">
        <v>6801</v>
      </c>
      <c r="I789">
        <v>6381</v>
      </c>
      <c r="J789" t="s">
        <v>6802</v>
      </c>
      <c r="L789" t="s">
        <v>74</v>
      </c>
      <c r="M789" t="s">
        <v>75</v>
      </c>
      <c r="R789" t="s">
        <v>9150</v>
      </c>
      <c r="W789" t="s">
        <v>9149</v>
      </c>
      <c r="X789" t="s">
        <v>9151</v>
      </c>
      <c r="Y789" t="s">
        <v>97</v>
      </c>
      <c r="Z789" t="s">
        <v>77</v>
      </c>
      <c r="AA789" t="str">
        <f>"10001-2320"</f>
        <v>10001-2320</v>
      </c>
      <c r="AB789" t="s">
        <v>136</v>
      </c>
      <c r="AC789" t="s">
        <v>79</v>
      </c>
      <c r="AD789" t="s">
        <v>75</v>
      </c>
      <c r="AE789" t="s">
        <v>80</v>
      </c>
      <c r="AG789" t="s">
        <v>81</v>
      </c>
    </row>
    <row r="790" spans="1:33" x14ac:dyDescent="0.25">
      <c r="A790" t="str">
        <f>"1952304958"</f>
        <v>1952304958</v>
      </c>
      <c r="B790" t="str">
        <f>"03522492"</f>
        <v>03522492</v>
      </c>
      <c r="C790" t="s">
        <v>9152</v>
      </c>
      <c r="D790" t="s">
        <v>9153</v>
      </c>
      <c r="E790" t="s">
        <v>9154</v>
      </c>
      <c r="G790" t="s">
        <v>6800</v>
      </c>
      <c r="H790" t="s">
        <v>6801</v>
      </c>
      <c r="I790">
        <v>6381</v>
      </c>
      <c r="J790" t="s">
        <v>6802</v>
      </c>
      <c r="L790" t="s">
        <v>74</v>
      </c>
      <c r="M790" t="s">
        <v>75</v>
      </c>
      <c r="R790" t="s">
        <v>9155</v>
      </c>
      <c r="W790" t="s">
        <v>9154</v>
      </c>
      <c r="X790" t="s">
        <v>3458</v>
      </c>
      <c r="Y790" t="s">
        <v>87</v>
      </c>
      <c r="Z790" t="s">
        <v>77</v>
      </c>
      <c r="AA790" t="str">
        <f>"11201-4300"</f>
        <v>11201-4300</v>
      </c>
      <c r="AB790" t="s">
        <v>136</v>
      </c>
      <c r="AC790" t="s">
        <v>79</v>
      </c>
      <c r="AD790" t="s">
        <v>75</v>
      </c>
      <c r="AE790" t="s">
        <v>80</v>
      </c>
      <c r="AG790" t="s">
        <v>81</v>
      </c>
    </row>
    <row r="791" spans="1:33" x14ac:dyDescent="0.25">
      <c r="A791" t="str">
        <f>"1760414569"</f>
        <v>1760414569</v>
      </c>
      <c r="B791" t="str">
        <f>"01157588"</f>
        <v>01157588</v>
      </c>
      <c r="C791" t="s">
        <v>9156</v>
      </c>
      <c r="D791" t="s">
        <v>9157</v>
      </c>
      <c r="E791" t="s">
        <v>9158</v>
      </c>
      <c r="G791" t="s">
        <v>7985</v>
      </c>
      <c r="H791" t="s">
        <v>3624</v>
      </c>
      <c r="J791" t="s">
        <v>3625</v>
      </c>
      <c r="L791" t="s">
        <v>74</v>
      </c>
      <c r="M791" t="s">
        <v>75</v>
      </c>
      <c r="R791" t="s">
        <v>9159</v>
      </c>
      <c r="W791" t="s">
        <v>9158</v>
      </c>
      <c r="X791" t="s">
        <v>9160</v>
      </c>
      <c r="Y791" t="s">
        <v>87</v>
      </c>
      <c r="Z791" t="s">
        <v>77</v>
      </c>
      <c r="AA791" t="str">
        <f>"11217-3702"</f>
        <v>11217-3702</v>
      </c>
      <c r="AB791" t="s">
        <v>108</v>
      </c>
      <c r="AC791" t="s">
        <v>79</v>
      </c>
      <c r="AD791" t="s">
        <v>75</v>
      </c>
      <c r="AE791" t="s">
        <v>80</v>
      </c>
      <c r="AG791" t="s">
        <v>81</v>
      </c>
    </row>
    <row r="792" spans="1:33" x14ac:dyDescent="0.25">
      <c r="A792" t="str">
        <f>"1861422271"</f>
        <v>1861422271</v>
      </c>
      <c r="B792" t="str">
        <f>"03127075"</f>
        <v>03127075</v>
      </c>
      <c r="C792" t="s">
        <v>9161</v>
      </c>
      <c r="D792" t="s">
        <v>9162</v>
      </c>
      <c r="E792" t="s">
        <v>9163</v>
      </c>
      <c r="G792" t="s">
        <v>7985</v>
      </c>
      <c r="H792" t="s">
        <v>3624</v>
      </c>
      <c r="J792" t="s">
        <v>3625</v>
      </c>
      <c r="L792" t="s">
        <v>74</v>
      </c>
      <c r="M792" t="s">
        <v>75</v>
      </c>
      <c r="R792" t="s">
        <v>9164</v>
      </c>
      <c r="W792" t="s">
        <v>9163</v>
      </c>
      <c r="X792" t="s">
        <v>9068</v>
      </c>
      <c r="Y792" t="s">
        <v>97</v>
      </c>
      <c r="Z792" t="s">
        <v>77</v>
      </c>
      <c r="AA792" t="str">
        <f>"10022-1202"</f>
        <v>10022-1202</v>
      </c>
      <c r="AB792" t="s">
        <v>108</v>
      </c>
      <c r="AC792" t="s">
        <v>79</v>
      </c>
      <c r="AD792" t="s">
        <v>75</v>
      </c>
      <c r="AE792" t="s">
        <v>80</v>
      </c>
      <c r="AG792" t="s">
        <v>81</v>
      </c>
    </row>
    <row r="793" spans="1:33" x14ac:dyDescent="0.25">
      <c r="A793" t="str">
        <f>"1801964283"</f>
        <v>1801964283</v>
      </c>
      <c r="B793" t="str">
        <f>"03354574"</f>
        <v>03354574</v>
      </c>
      <c r="C793" t="s">
        <v>9165</v>
      </c>
      <c r="D793" t="s">
        <v>9166</v>
      </c>
      <c r="E793" t="s">
        <v>9167</v>
      </c>
      <c r="G793" t="s">
        <v>9165</v>
      </c>
      <c r="H793" t="s">
        <v>6463</v>
      </c>
      <c r="I793">
        <v>1375</v>
      </c>
      <c r="J793" t="s">
        <v>9168</v>
      </c>
      <c r="L793" t="s">
        <v>102</v>
      </c>
      <c r="M793" t="s">
        <v>75</v>
      </c>
      <c r="R793" t="s">
        <v>9167</v>
      </c>
      <c r="W793" t="s">
        <v>9167</v>
      </c>
      <c r="X793" t="s">
        <v>9169</v>
      </c>
      <c r="Y793" t="s">
        <v>216</v>
      </c>
      <c r="Z793" t="s">
        <v>77</v>
      </c>
      <c r="AA793" t="str">
        <f>"11691-4100"</f>
        <v>11691-4100</v>
      </c>
      <c r="AB793" t="s">
        <v>113</v>
      </c>
      <c r="AC793" t="s">
        <v>79</v>
      </c>
      <c r="AD793" t="s">
        <v>75</v>
      </c>
      <c r="AE793" t="s">
        <v>80</v>
      </c>
      <c r="AG793" t="s">
        <v>81</v>
      </c>
    </row>
    <row r="794" spans="1:33" x14ac:dyDescent="0.25">
      <c r="A794" t="str">
        <f>"1861739211"</f>
        <v>1861739211</v>
      </c>
      <c r="B794" t="str">
        <f>"03567737"</f>
        <v>03567737</v>
      </c>
      <c r="C794" t="s">
        <v>9170</v>
      </c>
      <c r="D794" t="s">
        <v>9171</v>
      </c>
      <c r="E794" t="s">
        <v>9172</v>
      </c>
      <c r="G794" t="s">
        <v>9170</v>
      </c>
      <c r="H794" t="s">
        <v>6463</v>
      </c>
      <c r="I794">
        <v>1329</v>
      </c>
      <c r="J794" t="s">
        <v>9173</v>
      </c>
      <c r="L794" t="s">
        <v>102</v>
      </c>
      <c r="M794" t="s">
        <v>75</v>
      </c>
      <c r="R794" t="s">
        <v>9174</v>
      </c>
      <c r="W794" t="s">
        <v>9172</v>
      </c>
      <c r="X794" t="s">
        <v>9175</v>
      </c>
      <c r="Y794" t="s">
        <v>97</v>
      </c>
      <c r="Z794" t="s">
        <v>77</v>
      </c>
      <c r="AA794" t="str">
        <f>"10025"</f>
        <v>10025</v>
      </c>
      <c r="AB794" t="s">
        <v>113</v>
      </c>
      <c r="AC794" t="s">
        <v>79</v>
      </c>
      <c r="AD794" t="s">
        <v>75</v>
      </c>
      <c r="AE794" t="s">
        <v>80</v>
      </c>
      <c r="AG794" t="s">
        <v>81</v>
      </c>
    </row>
    <row r="795" spans="1:33" x14ac:dyDescent="0.25">
      <c r="A795" t="str">
        <f>"1881038610"</f>
        <v>1881038610</v>
      </c>
      <c r="C795" t="s">
        <v>9176</v>
      </c>
      <c r="G795" t="s">
        <v>9176</v>
      </c>
      <c r="H795" t="s">
        <v>9177</v>
      </c>
      <c r="J795" t="s">
        <v>9178</v>
      </c>
      <c r="K795" t="s">
        <v>99</v>
      </c>
      <c r="L795" t="s">
        <v>102</v>
      </c>
      <c r="M795" t="s">
        <v>75</v>
      </c>
      <c r="R795" t="s">
        <v>9179</v>
      </c>
      <c r="S795" t="s">
        <v>5828</v>
      </c>
      <c r="T795" t="s">
        <v>131</v>
      </c>
      <c r="U795" t="s">
        <v>77</v>
      </c>
      <c r="V795" t="str">
        <f>"104593233"</f>
        <v>104593233</v>
      </c>
      <c r="AC795" t="s">
        <v>79</v>
      </c>
      <c r="AD795" t="s">
        <v>75</v>
      </c>
      <c r="AE795" t="s">
        <v>103</v>
      </c>
      <c r="AG795" t="s">
        <v>81</v>
      </c>
    </row>
    <row r="796" spans="1:33" x14ac:dyDescent="0.25">
      <c r="A796" t="str">
        <f>"1881936425"</f>
        <v>1881936425</v>
      </c>
      <c r="C796" t="s">
        <v>9180</v>
      </c>
      <c r="G796" t="s">
        <v>9180</v>
      </c>
      <c r="H796" t="s">
        <v>9177</v>
      </c>
      <c r="J796" t="s">
        <v>9181</v>
      </c>
      <c r="K796" t="s">
        <v>99</v>
      </c>
      <c r="L796" t="s">
        <v>102</v>
      </c>
      <c r="M796" t="s">
        <v>75</v>
      </c>
      <c r="R796" t="s">
        <v>9182</v>
      </c>
      <c r="S796" t="s">
        <v>5828</v>
      </c>
      <c r="T796" t="s">
        <v>131</v>
      </c>
      <c r="U796" t="s">
        <v>77</v>
      </c>
      <c r="V796" t="str">
        <f>"104593233"</f>
        <v>104593233</v>
      </c>
      <c r="AC796" t="s">
        <v>79</v>
      </c>
      <c r="AD796" t="s">
        <v>75</v>
      </c>
      <c r="AE796" t="s">
        <v>103</v>
      </c>
      <c r="AG796" t="s">
        <v>81</v>
      </c>
    </row>
    <row r="797" spans="1:33" x14ac:dyDescent="0.25">
      <c r="A797" t="str">
        <f>"1568798932"</f>
        <v>1568798932</v>
      </c>
      <c r="B797" t="str">
        <f>"03191206"</f>
        <v>03191206</v>
      </c>
      <c r="C797" t="s">
        <v>9183</v>
      </c>
      <c r="D797" t="s">
        <v>9184</v>
      </c>
      <c r="E797" t="s">
        <v>9185</v>
      </c>
      <c r="G797" t="s">
        <v>6380</v>
      </c>
      <c r="H797" t="s">
        <v>4625</v>
      </c>
      <c r="J797" t="s">
        <v>6381</v>
      </c>
      <c r="L797" t="s">
        <v>74</v>
      </c>
      <c r="M797" t="s">
        <v>85</v>
      </c>
      <c r="R797" t="s">
        <v>9185</v>
      </c>
      <c r="W797" t="s">
        <v>9185</v>
      </c>
      <c r="X797" t="s">
        <v>6503</v>
      </c>
      <c r="Y797" t="s">
        <v>1823</v>
      </c>
      <c r="Z797" t="s">
        <v>77</v>
      </c>
      <c r="AA797" t="str">
        <f>"10941-7001"</f>
        <v>10941-7001</v>
      </c>
      <c r="AB797" t="s">
        <v>78</v>
      </c>
      <c r="AC797" t="s">
        <v>79</v>
      </c>
      <c r="AD797" t="s">
        <v>75</v>
      </c>
      <c r="AE797" t="s">
        <v>80</v>
      </c>
      <c r="AG797" t="s">
        <v>81</v>
      </c>
    </row>
    <row r="798" spans="1:33" x14ac:dyDescent="0.25">
      <c r="A798" t="str">
        <f>"1235379496"</f>
        <v>1235379496</v>
      </c>
      <c r="B798" t="str">
        <f>"03210377"</f>
        <v>03210377</v>
      </c>
      <c r="C798" t="s">
        <v>9186</v>
      </c>
      <c r="D798" t="s">
        <v>9187</v>
      </c>
      <c r="E798" t="s">
        <v>9188</v>
      </c>
      <c r="G798" t="s">
        <v>6380</v>
      </c>
      <c r="H798" t="s">
        <v>4625</v>
      </c>
      <c r="J798" t="s">
        <v>6381</v>
      </c>
      <c r="L798" t="s">
        <v>83</v>
      </c>
      <c r="M798" t="s">
        <v>85</v>
      </c>
      <c r="R798" t="s">
        <v>9189</v>
      </c>
      <c r="W798" t="s">
        <v>9188</v>
      </c>
      <c r="X798" t="s">
        <v>9190</v>
      </c>
      <c r="Y798" t="s">
        <v>153</v>
      </c>
      <c r="Z798" t="s">
        <v>77</v>
      </c>
      <c r="AA798" t="str">
        <f>"12601-1363"</f>
        <v>12601-1363</v>
      </c>
      <c r="AB798" t="s">
        <v>78</v>
      </c>
      <c r="AC798" t="s">
        <v>79</v>
      </c>
      <c r="AD798" t="s">
        <v>75</v>
      </c>
      <c r="AE798" t="s">
        <v>80</v>
      </c>
      <c r="AG798" t="s">
        <v>81</v>
      </c>
    </row>
    <row r="799" spans="1:33" x14ac:dyDescent="0.25">
      <c r="A799" t="str">
        <f>"1598984601"</f>
        <v>1598984601</v>
      </c>
      <c r="B799" t="str">
        <f>"03221712"</f>
        <v>03221712</v>
      </c>
      <c r="C799" t="s">
        <v>9191</v>
      </c>
      <c r="D799" t="s">
        <v>9192</v>
      </c>
      <c r="E799" t="s">
        <v>9193</v>
      </c>
      <c r="G799" t="s">
        <v>6380</v>
      </c>
      <c r="H799" t="s">
        <v>4625</v>
      </c>
      <c r="J799" t="s">
        <v>6381</v>
      </c>
      <c r="L799" t="s">
        <v>83</v>
      </c>
      <c r="M799" t="s">
        <v>85</v>
      </c>
      <c r="R799" t="s">
        <v>9194</v>
      </c>
      <c r="W799" t="s">
        <v>9195</v>
      </c>
      <c r="X799" t="s">
        <v>1822</v>
      </c>
      <c r="Y799" t="s">
        <v>1823</v>
      </c>
      <c r="Z799" t="s">
        <v>77</v>
      </c>
      <c r="AA799" t="str">
        <f>"10941-4028"</f>
        <v>10941-4028</v>
      </c>
      <c r="AB799" t="s">
        <v>78</v>
      </c>
      <c r="AC799" t="s">
        <v>79</v>
      </c>
      <c r="AD799" t="s">
        <v>75</v>
      </c>
      <c r="AE799" t="s">
        <v>80</v>
      </c>
      <c r="AG799" t="s">
        <v>81</v>
      </c>
    </row>
    <row r="800" spans="1:33" x14ac:dyDescent="0.25">
      <c r="A800" t="str">
        <f>"1417158023"</f>
        <v>1417158023</v>
      </c>
      <c r="B800" t="str">
        <f>"03228939"</f>
        <v>03228939</v>
      </c>
      <c r="C800" t="s">
        <v>9196</v>
      </c>
      <c r="D800" t="s">
        <v>9197</v>
      </c>
      <c r="E800" t="s">
        <v>9198</v>
      </c>
      <c r="G800" t="s">
        <v>6380</v>
      </c>
      <c r="H800" t="s">
        <v>4625</v>
      </c>
      <c r="J800" t="s">
        <v>6381</v>
      </c>
      <c r="L800" t="s">
        <v>84</v>
      </c>
      <c r="M800" t="s">
        <v>85</v>
      </c>
      <c r="R800" t="s">
        <v>9199</v>
      </c>
      <c r="W800" t="s">
        <v>9198</v>
      </c>
      <c r="X800" t="s">
        <v>1822</v>
      </c>
      <c r="Y800" t="s">
        <v>1823</v>
      </c>
      <c r="Z800" t="s">
        <v>77</v>
      </c>
      <c r="AA800" t="str">
        <f>"10941-4028"</f>
        <v>10941-4028</v>
      </c>
      <c r="AB800" t="s">
        <v>78</v>
      </c>
      <c r="AC800" t="s">
        <v>79</v>
      </c>
      <c r="AD800" t="s">
        <v>75</v>
      </c>
      <c r="AE800" t="s">
        <v>80</v>
      </c>
      <c r="AG800" t="s">
        <v>81</v>
      </c>
    </row>
    <row r="801" spans="1:33" x14ac:dyDescent="0.25">
      <c r="A801" t="str">
        <f>"1043310634"</f>
        <v>1043310634</v>
      </c>
      <c r="B801" t="str">
        <f>"03235274"</f>
        <v>03235274</v>
      </c>
      <c r="C801" t="s">
        <v>9200</v>
      </c>
      <c r="D801" t="s">
        <v>9201</v>
      </c>
      <c r="E801" t="s">
        <v>9202</v>
      </c>
      <c r="G801" t="s">
        <v>6380</v>
      </c>
      <c r="H801" t="s">
        <v>4625</v>
      </c>
      <c r="J801" t="s">
        <v>6381</v>
      </c>
      <c r="L801" t="s">
        <v>83</v>
      </c>
      <c r="M801" t="s">
        <v>85</v>
      </c>
      <c r="R801" t="s">
        <v>6092</v>
      </c>
      <c r="W801" t="s">
        <v>9202</v>
      </c>
      <c r="X801" t="s">
        <v>1822</v>
      </c>
      <c r="Y801" t="s">
        <v>1823</v>
      </c>
      <c r="Z801" t="s">
        <v>77</v>
      </c>
      <c r="AA801" t="str">
        <f>"10941-4028"</f>
        <v>10941-4028</v>
      </c>
      <c r="AB801" t="s">
        <v>78</v>
      </c>
      <c r="AC801" t="s">
        <v>79</v>
      </c>
      <c r="AD801" t="s">
        <v>75</v>
      </c>
      <c r="AE801" t="s">
        <v>80</v>
      </c>
      <c r="AG801" t="s">
        <v>81</v>
      </c>
    </row>
    <row r="802" spans="1:33" x14ac:dyDescent="0.25">
      <c r="A802" t="str">
        <f>"1316276827"</f>
        <v>1316276827</v>
      </c>
      <c r="B802" t="str">
        <f>"03244566"</f>
        <v>03244566</v>
      </c>
      <c r="C802" t="s">
        <v>9203</v>
      </c>
      <c r="D802" t="s">
        <v>9204</v>
      </c>
      <c r="E802" t="s">
        <v>5257</v>
      </c>
      <c r="G802" t="s">
        <v>6380</v>
      </c>
      <c r="H802" t="s">
        <v>4625</v>
      </c>
      <c r="J802" t="s">
        <v>6381</v>
      </c>
      <c r="L802" t="s">
        <v>83</v>
      </c>
      <c r="M802" t="s">
        <v>85</v>
      </c>
      <c r="R802" t="s">
        <v>5257</v>
      </c>
      <c r="W802" t="s">
        <v>5257</v>
      </c>
      <c r="X802" t="s">
        <v>6503</v>
      </c>
      <c r="Y802" t="s">
        <v>1823</v>
      </c>
      <c r="Z802" t="s">
        <v>77</v>
      </c>
      <c r="AA802" t="str">
        <f>"10941-7001"</f>
        <v>10941-7001</v>
      </c>
      <c r="AB802" t="s">
        <v>78</v>
      </c>
      <c r="AC802" t="s">
        <v>79</v>
      </c>
      <c r="AD802" t="s">
        <v>75</v>
      </c>
      <c r="AE802" t="s">
        <v>80</v>
      </c>
      <c r="AG802" t="s">
        <v>81</v>
      </c>
    </row>
    <row r="803" spans="1:33" x14ac:dyDescent="0.25">
      <c r="A803" t="str">
        <f>"1952310468"</f>
        <v>1952310468</v>
      </c>
      <c r="B803" t="str">
        <f>"03255052"</f>
        <v>03255052</v>
      </c>
      <c r="C803" t="s">
        <v>9205</v>
      </c>
      <c r="D803" t="s">
        <v>9206</v>
      </c>
      <c r="E803" t="s">
        <v>9207</v>
      </c>
      <c r="G803" t="s">
        <v>6380</v>
      </c>
      <c r="H803" t="s">
        <v>4625</v>
      </c>
      <c r="J803" t="s">
        <v>6381</v>
      </c>
      <c r="L803" t="s">
        <v>83</v>
      </c>
      <c r="M803" t="s">
        <v>85</v>
      </c>
      <c r="R803" t="s">
        <v>9208</v>
      </c>
      <c r="W803" t="s">
        <v>9209</v>
      </c>
      <c r="X803" t="s">
        <v>6503</v>
      </c>
      <c r="Y803" t="s">
        <v>1823</v>
      </c>
      <c r="Z803" t="s">
        <v>77</v>
      </c>
      <c r="AA803" t="str">
        <f>"10941-7001"</f>
        <v>10941-7001</v>
      </c>
      <c r="AB803" t="s">
        <v>78</v>
      </c>
      <c r="AC803" t="s">
        <v>79</v>
      </c>
      <c r="AD803" t="s">
        <v>75</v>
      </c>
      <c r="AE803" t="s">
        <v>80</v>
      </c>
      <c r="AG803" t="s">
        <v>81</v>
      </c>
    </row>
    <row r="804" spans="1:33" x14ac:dyDescent="0.25">
      <c r="A804" t="str">
        <f>"1639365463"</f>
        <v>1639365463</v>
      </c>
      <c r="B804" t="str">
        <f>"03259969"</f>
        <v>03259969</v>
      </c>
      <c r="C804" t="s">
        <v>9210</v>
      </c>
      <c r="D804" t="s">
        <v>9211</v>
      </c>
      <c r="E804" t="s">
        <v>9212</v>
      </c>
      <c r="G804" t="s">
        <v>6380</v>
      </c>
      <c r="H804" t="s">
        <v>4625</v>
      </c>
      <c r="J804" t="s">
        <v>6381</v>
      </c>
      <c r="L804" t="s">
        <v>74</v>
      </c>
      <c r="M804" t="s">
        <v>85</v>
      </c>
      <c r="R804" t="s">
        <v>9212</v>
      </c>
      <c r="W804" t="s">
        <v>9212</v>
      </c>
      <c r="X804" t="s">
        <v>1822</v>
      </c>
      <c r="Y804" t="s">
        <v>1823</v>
      </c>
      <c r="Z804" t="s">
        <v>77</v>
      </c>
      <c r="AA804" t="str">
        <f>"10941-4028"</f>
        <v>10941-4028</v>
      </c>
      <c r="AB804" t="s">
        <v>78</v>
      </c>
      <c r="AC804" t="s">
        <v>79</v>
      </c>
      <c r="AD804" t="s">
        <v>75</v>
      </c>
      <c r="AE804" t="s">
        <v>80</v>
      </c>
      <c r="AG804" t="s">
        <v>81</v>
      </c>
    </row>
    <row r="805" spans="1:33" x14ac:dyDescent="0.25">
      <c r="A805" t="str">
        <f>"1811986649"</f>
        <v>1811986649</v>
      </c>
      <c r="B805" t="str">
        <f>"02650764"</f>
        <v>02650764</v>
      </c>
      <c r="C805" t="s">
        <v>9213</v>
      </c>
      <c r="D805" t="s">
        <v>9214</v>
      </c>
      <c r="E805" t="s">
        <v>9215</v>
      </c>
      <c r="G805" t="s">
        <v>6380</v>
      </c>
      <c r="H805" t="s">
        <v>4625</v>
      </c>
      <c r="J805" t="s">
        <v>6381</v>
      </c>
      <c r="L805" t="s">
        <v>74</v>
      </c>
      <c r="M805" t="s">
        <v>85</v>
      </c>
      <c r="R805" t="s">
        <v>9216</v>
      </c>
      <c r="W805" t="s">
        <v>9215</v>
      </c>
      <c r="X805" t="s">
        <v>1843</v>
      </c>
      <c r="Y805" t="s">
        <v>153</v>
      </c>
      <c r="Z805" t="s">
        <v>77</v>
      </c>
      <c r="AA805" t="str">
        <f>"12601-1154"</f>
        <v>12601-1154</v>
      </c>
      <c r="AB805" t="s">
        <v>78</v>
      </c>
      <c r="AC805" t="s">
        <v>79</v>
      </c>
      <c r="AD805" t="s">
        <v>75</v>
      </c>
      <c r="AE805" t="s">
        <v>80</v>
      </c>
      <c r="AG805" t="s">
        <v>81</v>
      </c>
    </row>
    <row r="806" spans="1:33" x14ac:dyDescent="0.25">
      <c r="A806" t="str">
        <f>"1013995620"</f>
        <v>1013995620</v>
      </c>
      <c r="B806" t="str">
        <f>"02651581"</f>
        <v>02651581</v>
      </c>
      <c r="C806" t="s">
        <v>9217</v>
      </c>
      <c r="D806" t="s">
        <v>9218</v>
      </c>
      <c r="E806" t="s">
        <v>9219</v>
      </c>
      <c r="G806" t="s">
        <v>6380</v>
      </c>
      <c r="H806" t="s">
        <v>4625</v>
      </c>
      <c r="J806" t="s">
        <v>6381</v>
      </c>
      <c r="L806" t="s">
        <v>84</v>
      </c>
      <c r="M806" t="s">
        <v>85</v>
      </c>
      <c r="R806" t="s">
        <v>9220</v>
      </c>
      <c r="W806" t="s">
        <v>9219</v>
      </c>
      <c r="X806" t="s">
        <v>1822</v>
      </c>
      <c r="Y806" t="s">
        <v>1823</v>
      </c>
      <c r="Z806" t="s">
        <v>77</v>
      </c>
      <c r="AA806" t="str">
        <f>"10941-4028"</f>
        <v>10941-4028</v>
      </c>
      <c r="AB806" t="s">
        <v>78</v>
      </c>
      <c r="AC806" t="s">
        <v>79</v>
      </c>
      <c r="AD806" t="s">
        <v>75</v>
      </c>
      <c r="AE806" t="s">
        <v>80</v>
      </c>
      <c r="AG806" t="s">
        <v>81</v>
      </c>
    </row>
    <row r="807" spans="1:33" x14ac:dyDescent="0.25">
      <c r="A807" t="str">
        <f>"1578546735"</f>
        <v>1578546735</v>
      </c>
      <c r="B807" t="str">
        <f>"02654373"</f>
        <v>02654373</v>
      </c>
      <c r="C807" t="s">
        <v>9221</v>
      </c>
      <c r="D807" t="s">
        <v>9222</v>
      </c>
      <c r="E807" t="s">
        <v>9223</v>
      </c>
      <c r="G807" t="s">
        <v>6380</v>
      </c>
      <c r="H807" t="s">
        <v>4625</v>
      </c>
      <c r="J807" t="s">
        <v>6381</v>
      </c>
      <c r="L807" t="s">
        <v>83</v>
      </c>
      <c r="M807" t="s">
        <v>85</v>
      </c>
      <c r="R807" t="s">
        <v>9224</v>
      </c>
      <c r="W807" t="s">
        <v>9223</v>
      </c>
      <c r="X807" t="s">
        <v>1822</v>
      </c>
      <c r="Y807" t="s">
        <v>1823</v>
      </c>
      <c r="Z807" t="s">
        <v>77</v>
      </c>
      <c r="AA807" t="str">
        <f>"10941-4028"</f>
        <v>10941-4028</v>
      </c>
      <c r="AB807" t="s">
        <v>78</v>
      </c>
      <c r="AC807" t="s">
        <v>79</v>
      </c>
      <c r="AD807" t="s">
        <v>75</v>
      </c>
      <c r="AE807" t="s">
        <v>80</v>
      </c>
      <c r="AG807" t="s">
        <v>81</v>
      </c>
    </row>
    <row r="808" spans="1:33" x14ac:dyDescent="0.25">
      <c r="A808" t="str">
        <f>"1871575019"</f>
        <v>1871575019</v>
      </c>
      <c r="B808" t="str">
        <f>"02654873"</f>
        <v>02654873</v>
      </c>
      <c r="C808" t="s">
        <v>9225</v>
      </c>
      <c r="D808" t="s">
        <v>9226</v>
      </c>
      <c r="E808" t="s">
        <v>9227</v>
      </c>
      <c r="G808" t="s">
        <v>6380</v>
      </c>
      <c r="H808" t="s">
        <v>4625</v>
      </c>
      <c r="J808" t="s">
        <v>6381</v>
      </c>
      <c r="L808" t="s">
        <v>83</v>
      </c>
      <c r="M808" t="s">
        <v>85</v>
      </c>
      <c r="R808" t="s">
        <v>9227</v>
      </c>
      <c r="W808" t="s">
        <v>9228</v>
      </c>
      <c r="X808" t="s">
        <v>1822</v>
      </c>
      <c r="Y808" t="s">
        <v>1823</v>
      </c>
      <c r="Z808" t="s">
        <v>77</v>
      </c>
      <c r="AA808" t="str">
        <f>"10941-4028"</f>
        <v>10941-4028</v>
      </c>
      <c r="AB808" t="s">
        <v>78</v>
      </c>
      <c r="AC808" t="s">
        <v>79</v>
      </c>
      <c r="AD808" t="s">
        <v>75</v>
      </c>
      <c r="AE808" t="s">
        <v>80</v>
      </c>
      <c r="AG808" t="s">
        <v>81</v>
      </c>
    </row>
    <row r="809" spans="1:33" x14ac:dyDescent="0.25">
      <c r="A809" t="str">
        <f>"1831183227"</f>
        <v>1831183227</v>
      </c>
      <c r="B809" t="str">
        <f>"02657647"</f>
        <v>02657647</v>
      </c>
      <c r="C809" t="s">
        <v>9229</v>
      </c>
      <c r="D809" t="s">
        <v>4884</v>
      </c>
      <c r="E809" t="s">
        <v>4885</v>
      </c>
      <c r="G809" t="s">
        <v>6380</v>
      </c>
      <c r="H809" t="s">
        <v>4625</v>
      </c>
      <c r="J809" t="s">
        <v>6381</v>
      </c>
      <c r="L809" t="s">
        <v>83</v>
      </c>
      <c r="M809" t="s">
        <v>85</v>
      </c>
      <c r="R809" t="s">
        <v>4886</v>
      </c>
      <c r="W809" t="s">
        <v>4887</v>
      </c>
      <c r="X809" t="s">
        <v>1822</v>
      </c>
      <c r="Y809" t="s">
        <v>1823</v>
      </c>
      <c r="Z809" t="s">
        <v>77</v>
      </c>
      <c r="AA809" t="str">
        <f>"10941-4028"</f>
        <v>10941-4028</v>
      </c>
      <c r="AB809" t="s">
        <v>78</v>
      </c>
      <c r="AC809" t="s">
        <v>79</v>
      </c>
      <c r="AD809" t="s">
        <v>75</v>
      </c>
      <c r="AE809" t="s">
        <v>80</v>
      </c>
      <c r="AG809" t="s">
        <v>81</v>
      </c>
    </row>
    <row r="810" spans="1:33" x14ac:dyDescent="0.25">
      <c r="A810" t="str">
        <f>"1689619710"</f>
        <v>1689619710</v>
      </c>
      <c r="B810" t="str">
        <f>"02659465"</f>
        <v>02659465</v>
      </c>
      <c r="C810" t="s">
        <v>9230</v>
      </c>
      <c r="D810" t="s">
        <v>9231</v>
      </c>
      <c r="E810" t="s">
        <v>9232</v>
      </c>
      <c r="G810" t="s">
        <v>6380</v>
      </c>
      <c r="H810" t="s">
        <v>4625</v>
      </c>
      <c r="J810" t="s">
        <v>6381</v>
      </c>
      <c r="L810" t="s">
        <v>83</v>
      </c>
      <c r="M810" t="s">
        <v>85</v>
      </c>
      <c r="R810" t="s">
        <v>9233</v>
      </c>
      <c r="W810" t="s">
        <v>9234</v>
      </c>
      <c r="X810" t="s">
        <v>9235</v>
      </c>
      <c r="Y810" t="s">
        <v>2220</v>
      </c>
      <c r="Z810" t="s">
        <v>77</v>
      </c>
      <c r="AA810" t="str">
        <f>"10924-6768"</f>
        <v>10924-6768</v>
      </c>
      <c r="AB810" t="s">
        <v>78</v>
      </c>
      <c r="AC810" t="s">
        <v>79</v>
      </c>
      <c r="AD810" t="s">
        <v>75</v>
      </c>
      <c r="AE810" t="s">
        <v>80</v>
      </c>
      <c r="AG810" t="s">
        <v>81</v>
      </c>
    </row>
    <row r="811" spans="1:33" x14ac:dyDescent="0.25">
      <c r="A811" t="str">
        <f>"1063494185"</f>
        <v>1063494185</v>
      </c>
      <c r="B811" t="str">
        <f>"02660066"</f>
        <v>02660066</v>
      </c>
      <c r="C811" t="s">
        <v>9236</v>
      </c>
      <c r="D811" t="s">
        <v>9237</v>
      </c>
      <c r="E811" t="s">
        <v>9238</v>
      </c>
      <c r="G811" t="s">
        <v>6380</v>
      </c>
      <c r="H811" t="s">
        <v>4625</v>
      </c>
      <c r="J811" t="s">
        <v>6381</v>
      </c>
      <c r="L811" t="s">
        <v>83</v>
      </c>
      <c r="M811" t="s">
        <v>85</v>
      </c>
      <c r="R811" t="s">
        <v>9239</v>
      </c>
      <c r="W811" t="s">
        <v>9240</v>
      </c>
      <c r="X811" t="s">
        <v>1822</v>
      </c>
      <c r="Y811" t="s">
        <v>1823</v>
      </c>
      <c r="Z811" t="s">
        <v>77</v>
      </c>
      <c r="AA811" t="str">
        <f>"10941-4028"</f>
        <v>10941-4028</v>
      </c>
      <c r="AB811" t="s">
        <v>78</v>
      </c>
      <c r="AC811" t="s">
        <v>79</v>
      </c>
      <c r="AD811" t="s">
        <v>75</v>
      </c>
      <c r="AE811" t="s">
        <v>80</v>
      </c>
      <c r="AG811" t="s">
        <v>81</v>
      </c>
    </row>
    <row r="812" spans="1:33" x14ac:dyDescent="0.25">
      <c r="A812" t="str">
        <f>"1427030691"</f>
        <v>1427030691</v>
      </c>
      <c r="B812" t="str">
        <f>"02675712"</f>
        <v>02675712</v>
      </c>
      <c r="C812" t="s">
        <v>9241</v>
      </c>
      <c r="D812" t="s">
        <v>9242</v>
      </c>
      <c r="E812" t="s">
        <v>9243</v>
      </c>
      <c r="G812" t="s">
        <v>6380</v>
      </c>
      <c r="H812" t="s">
        <v>4625</v>
      </c>
      <c r="J812" t="s">
        <v>6381</v>
      </c>
      <c r="L812" t="s">
        <v>83</v>
      </c>
      <c r="M812" t="s">
        <v>85</v>
      </c>
      <c r="R812" t="s">
        <v>9244</v>
      </c>
      <c r="W812" t="s">
        <v>9245</v>
      </c>
      <c r="X812" t="s">
        <v>1822</v>
      </c>
      <c r="Y812" t="s">
        <v>1823</v>
      </c>
      <c r="Z812" t="s">
        <v>77</v>
      </c>
      <c r="AA812" t="str">
        <f>"10941-4028"</f>
        <v>10941-4028</v>
      </c>
      <c r="AB812" t="s">
        <v>78</v>
      </c>
      <c r="AC812" t="s">
        <v>79</v>
      </c>
      <c r="AD812" t="s">
        <v>75</v>
      </c>
      <c r="AE812" t="s">
        <v>80</v>
      </c>
      <c r="AG812" t="s">
        <v>81</v>
      </c>
    </row>
    <row r="813" spans="1:33" x14ac:dyDescent="0.25">
      <c r="A813" t="str">
        <f>"1144202979"</f>
        <v>1144202979</v>
      </c>
      <c r="B813" t="str">
        <f>"02675730"</f>
        <v>02675730</v>
      </c>
      <c r="C813" t="s">
        <v>9246</v>
      </c>
      <c r="D813" t="s">
        <v>9247</v>
      </c>
      <c r="E813" t="s">
        <v>9248</v>
      </c>
      <c r="G813" t="s">
        <v>6380</v>
      </c>
      <c r="H813" t="s">
        <v>4625</v>
      </c>
      <c r="J813" t="s">
        <v>6381</v>
      </c>
      <c r="L813" t="s">
        <v>83</v>
      </c>
      <c r="M813" t="s">
        <v>85</v>
      </c>
      <c r="R813" t="s">
        <v>9249</v>
      </c>
      <c r="W813" t="s">
        <v>9248</v>
      </c>
      <c r="X813" t="s">
        <v>1822</v>
      </c>
      <c r="Y813" t="s">
        <v>1823</v>
      </c>
      <c r="Z813" t="s">
        <v>77</v>
      </c>
      <c r="AA813" t="str">
        <f>"10941-4028"</f>
        <v>10941-4028</v>
      </c>
      <c r="AB813" t="s">
        <v>78</v>
      </c>
      <c r="AC813" t="s">
        <v>79</v>
      </c>
      <c r="AD813" t="s">
        <v>75</v>
      </c>
      <c r="AE813" t="s">
        <v>80</v>
      </c>
      <c r="AG813" t="s">
        <v>81</v>
      </c>
    </row>
    <row r="814" spans="1:33" x14ac:dyDescent="0.25">
      <c r="A814" t="str">
        <f>"1063494821"</f>
        <v>1063494821</v>
      </c>
      <c r="B814" t="str">
        <f>"02681996"</f>
        <v>02681996</v>
      </c>
      <c r="C814" t="s">
        <v>9250</v>
      </c>
      <c r="D814" t="s">
        <v>9251</v>
      </c>
      <c r="E814" t="s">
        <v>9252</v>
      </c>
      <c r="G814" t="s">
        <v>6380</v>
      </c>
      <c r="H814" t="s">
        <v>4625</v>
      </c>
      <c r="J814" t="s">
        <v>6381</v>
      </c>
      <c r="L814" t="s">
        <v>83</v>
      </c>
      <c r="M814" t="s">
        <v>85</v>
      </c>
      <c r="R814" t="s">
        <v>5595</v>
      </c>
      <c r="W814" t="s">
        <v>9252</v>
      </c>
      <c r="X814" t="s">
        <v>1822</v>
      </c>
      <c r="Y814" t="s">
        <v>1823</v>
      </c>
      <c r="Z814" t="s">
        <v>77</v>
      </c>
      <c r="AA814" t="str">
        <f>"10941-4028"</f>
        <v>10941-4028</v>
      </c>
      <c r="AB814" t="s">
        <v>78</v>
      </c>
      <c r="AC814" t="s">
        <v>79</v>
      </c>
      <c r="AD814" t="s">
        <v>75</v>
      </c>
      <c r="AE814" t="s">
        <v>80</v>
      </c>
      <c r="AG814" t="s">
        <v>81</v>
      </c>
    </row>
    <row r="815" spans="1:33" x14ac:dyDescent="0.25">
      <c r="A815" t="str">
        <f>"1154316131"</f>
        <v>1154316131</v>
      </c>
      <c r="B815" t="str">
        <f>"02685707"</f>
        <v>02685707</v>
      </c>
      <c r="C815" t="s">
        <v>9253</v>
      </c>
      <c r="D815" t="s">
        <v>9254</v>
      </c>
      <c r="E815" t="s">
        <v>9255</v>
      </c>
      <c r="G815" t="s">
        <v>6380</v>
      </c>
      <c r="H815" t="s">
        <v>4625</v>
      </c>
      <c r="J815" t="s">
        <v>6381</v>
      </c>
      <c r="L815" t="s">
        <v>83</v>
      </c>
      <c r="M815" t="s">
        <v>85</v>
      </c>
      <c r="R815" t="s">
        <v>9256</v>
      </c>
      <c r="W815" t="s">
        <v>9257</v>
      </c>
      <c r="X815" t="s">
        <v>1822</v>
      </c>
      <c r="Y815" t="s">
        <v>1823</v>
      </c>
      <c r="Z815" t="s">
        <v>77</v>
      </c>
      <c r="AA815" t="str">
        <f>"10941-4028"</f>
        <v>10941-4028</v>
      </c>
      <c r="AB815" t="s">
        <v>78</v>
      </c>
      <c r="AC815" t="s">
        <v>79</v>
      </c>
      <c r="AD815" t="s">
        <v>75</v>
      </c>
      <c r="AE815" t="s">
        <v>80</v>
      </c>
      <c r="AG815" t="s">
        <v>81</v>
      </c>
    </row>
    <row r="816" spans="1:33" x14ac:dyDescent="0.25">
      <c r="A816" t="str">
        <f>"1639160187"</f>
        <v>1639160187</v>
      </c>
      <c r="B816" t="str">
        <f>"02695449"</f>
        <v>02695449</v>
      </c>
      <c r="C816" t="s">
        <v>9258</v>
      </c>
      <c r="D816" t="s">
        <v>9259</v>
      </c>
      <c r="E816" t="s">
        <v>9260</v>
      </c>
      <c r="G816" t="s">
        <v>6380</v>
      </c>
      <c r="H816" t="s">
        <v>4625</v>
      </c>
      <c r="J816" t="s">
        <v>6381</v>
      </c>
      <c r="L816" t="s">
        <v>83</v>
      </c>
      <c r="M816" t="s">
        <v>85</v>
      </c>
      <c r="R816" t="s">
        <v>9261</v>
      </c>
      <c r="W816" t="s">
        <v>9262</v>
      </c>
      <c r="X816" t="s">
        <v>6028</v>
      </c>
      <c r="Y816" t="s">
        <v>1823</v>
      </c>
      <c r="Z816" t="s">
        <v>77</v>
      </c>
      <c r="AA816" t="str">
        <f>"10941-4019"</f>
        <v>10941-4019</v>
      </c>
      <c r="AB816" t="s">
        <v>78</v>
      </c>
      <c r="AC816" t="s">
        <v>79</v>
      </c>
      <c r="AD816" t="s">
        <v>75</v>
      </c>
      <c r="AE816" t="s">
        <v>80</v>
      </c>
      <c r="AG816" t="s">
        <v>81</v>
      </c>
    </row>
    <row r="817" spans="1:33" x14ac:dyDescent="0.25">
      <c r="A817" t="str">
        <f>"1669453031"</f>
        <v>1669453031</v>
      </c>
      <c r="B817" t="str">
        <f>"02716883"</f>
        <v>02716883</v>
      </c>
      <c r="C817" t="s">
        <v>9263</v>
      </c>
      <c r="D817" t="s">
        <v>9264</v>
      </c>
      <c r="E817" t="s">
        <v>9265</v>
      </c>
      <c r="G817" t="s">
        <v>6380</v>
      </c>
      <c r="H817" t="s">
        <v>4625</v>
      </c>
      <c r="J817" t="s">
        <v>6381</v>
      </c>
      <c r="L817" t="s">
        <v>83</v>
      </c>
      <c r="M817" t="s">
        <v>75</v>
      </c>
      <c r="R817" t="s">
        <v>9266</v>
      </c>
      <c r="W817" t="s">
        <v>9265</v>
      </c>
      <c r="X817" t="s">
        <v>9267</v>
      </c>
      <c r="Y817" t="s">
        <v>1823</v>
      </c>
      <c r="Z817" t="s">
        <v>77</v>
      </c>
      <c r="AA817" t="str">
        <f>"10941-4060"</f>
        <v>10941-4060</v>
      </c>
      <c r="AB817" t="s">
        <v>78</v>
      </c>
      <c r="AC817" t="s">
        <v>79</v>
      </c>
      <c r="AD817" t="s">
        <v>75</v>
      </c>
      <c r="AE817" t="s">
        <v>80</v>
      </c>
      <c r="AG817" t="s">
        <v>81</v>
      </c>
    </row>
    <row r="818" spans="1:33" x14ac:dyDescent="0.25">
      <c r="A818" t="str">
        <f>"1396728465"</f>
        <v>1396728465</v>
      </c>
      <c r="B818" t="str">
        <f>"02741055"</f>
        <v>02741055</v>
      </c>
      <c r="C818" t="s">
        <v>9268</v>
      </c>
      <c r="D818" t="s">
        <v>9269</v>
      </c>
      <c r="E818" t="s">
        <v>9270</v>
      </c>
      <c r="G818" t="s">
        <v>6380</v>
      </c>
      <c r="H818" t="s">
        <v>4625</v>
      </c>
      <c r="J818" t="s">
        <v>6381</v>
      </c>
      <c r="L818" t="s">
        <v>74</v>
      </c>
      <c r="M818" t="s">
        <v>85</v>
      </c>
      <c r="R818" t="s">
        <v>9271</v>
      </c>
      <c r="W818" t="s">
        <v>9272</v>
      </c>
      <c r="X818" t="s">
        <v>1822</v>
      </c>
      <c r="Y818" t="s">
        <v>1823</v>
      </c>
      <c r="Z818" t="s">
        <v>77</v>
      </c>
      <c r="AA818" t="str">
        <f>"10941-4028"</f>
        <v>10941-4028</v>
      </c>
      <c r="AB818" t="s">
        <v>78</v>
      </c>
      <c r="AC818" t="s">
        <v>79</v>
      </c>
      <c r="AD818" t="s">
        <v>75</v>
      </c>
      <c r="AE818" t="s">
        <v>80</v>
      </c>
      <c r="AG818" t="s">
        <v>81</v>
      </c>
    </row>
    <row r="819" spans="1:33" x14ac:dyDescent="0.25">
      <c r="A819" t="str">
        <f>"1184038606"</f>
        <v>1184038606</v>
      </c>
      <c r="B819" t="str">
        <f>"03911997"</f>
        <v>03911997</v>
      </c>
      <c r="C819" t="s">
        <v>9273</v>
      </c>
      <c r="D819" t="s">
        <v>1559</v>
      </c>
      <c r="E819" t="s">
        <v>1560</v>
      </c>
      <c r="G819" t="s">
        <v>6930</v>
      </c>
      <c r="H819" t="s">
        <v>6931</v>
      </c>
      <c r="J819" t="s">
        <v>6932</v>
      </c>
      <c r="L819" t="s">
        <v>83</v>
      </c>
      <c r="M819" t="s">
        <v>75</v>
      </c>
      <c r="R819" t="s">
        <v>1558</v>
      </c>
      <c r="W819" t="s">
        <v>1561</v>
      </c>
      <c r="X819" t="s">
        <v>1531</v>
      </c>
      <c r="Y819" t="s">
        <v>97</v>
      </c>
      <c r="Z819" t="s">
        <v>77</v>
      </c>
      <c r="AA819" t="str">
        <f>"10036-8005"</f>
        <v>10036-8005</v>
      </c>
      <c r="AB819" t="s">
        <v>108</v>
      </c>
      <c r="AC819" t="s">
        <v>79</v>
      </c>
      <c r="AD819" t="s">
        <v>75</v>
      </c>
      <c r="AE819" t="s">
        <v>80</v>
      </c>
      <c r="AG819" t="s">
        <v>81</v>
      </c>
    </row>
    <row r="820" spans="1:33" x14ac:dyDescent="0.25">
      <c r="A820" t="str">
        <f>"1033166434"</f>
        <v>1033166434</v>
      </c>
      <c r="B820" t="str">
        <f>"02567059"</f>
        <v>02567059</v>
      </c>
      <c r="C820" t="s">
        <v>9274</v>
      </c>
      <c r="D820" t="s">
        <v>3587</v>
      </c>
      <c r="E820" t="s">
        <v>3588</v>
      </c>
      <c r="H820" t="s">
        <v>9275</v>
      </c>
      <c r="L820" t="s">
        <v>105</v>
      </c>
      <c r="M820" t="s">
        <v>75</v>
      </c>
      <c r="R820" t="s">
        <v>3589</v>
      </c>
      <c r="W820" t="s">
        <v>3590</v>
      </c>
      <c r="X820" t="s">
        <v>3591</v>
      </c>
      <c r="Y820" t="s">
        <v>216</v>
      </c>
      <c r="Z820" t="s">
        <v>77</v>
      </c>
      <c r="AA820" t="str">
        <f>"11691-4420"</f>
        <v>11691-4420</v>
      </c>
      <c r="AB820" t="s">
        <v>125</v>
      </c>
      <c r="AC820" t="s">
        <v>79</v>
      </c>
      <c r="AD820" t="s">
        <v>75</v>
      </c>
      <c r="AE820" t="s">
        <v>80</v>
      </c>
      <c r="AG820" t="s">
        <v>81</v>
      </c>
    </row>
    <row r="821" spans="1:33" x14ac:dyDescent="0.25">
      <c r="A821" t="str">
        <f>"1053374868"</f>
        <v>1053374868</v>
      </c>
      <c r="B821" t="str">
        <f>"00389744"</f>
        <v>00389744</v>
      </c>
      <c r="C821" t="s">
        <v>9276</v>
      </c>
      <c r="D821" t="s">
        <v>9277</v>
      </c>
      <c r="E821" t="s">
        <v>9278</v>
      </c>
      <c r="H821" t="s">
        <v>9279</v>
      </c>
      <c r="L821" t="s">
        <v>83</v>
      </c>
      <c r="M821" t="s">
        <v>75</v>
      </c>
      <c r="R821" t="s">
        <v>9280</v>
      </c>
      <c r="W821" t="s">
        <v>9278</v>
      </c>
      <c r="X821" t="s">
        <v>9281</v>
      </c>
      <c r="Y821" t="s">
        <v>240</v>
      </c>
      <c r="Z821" t="s">
        <v>77</v>
      </c>
      <c r="AA821" t="str">
        <f>"11530-4803"</f>
        <v>11530-4803</v>
      </c>
      <c r="AB821" t="s">
        <v>78</v>
      </c>
      <c r="AC821" t="s">
        <v>79</v>
      </c>
      <c r="AD821" t="s">
        <v>75</v>
      </c>
      <c r="AE821" t="s">
        <v>80</v>
      </c>
      <c r="AG821" t="s">
        <v>81</v>
      </c>
    </row>
    <row r="822" spans="1:33" x14ac:dyDescent="0.25">
      <c r="A822" t="str">
        <f>"1487813051"</f>
        <v>1487813051</v>
      </c>
      <c r="B822" t="str">
        <f>"03734452"</f>
        <v>03734452</v>
      </c>
      <c r="C822" t="s">
        <v>9282</v>
      </c>
      <c r="D822" t="s">
        <v>9283</v>
      </c>
      <c r="E822" t="s">
        <v>9284</v>
      </c>
      <c r="G822" t="s">
        <v>6800</v>
      </c>
      <c r="H822" t="s">
        <v>6801</v>
      </c>
      <c r="I822">
        <v>6381</v>
      </c>
      <c r="J822" t="s">
        <v>6802</v>
      </c>
      <c r="L822" t="s">
        <v>105</v>
      </c>
      <c r="M822" t="s">
        <v>85</v>
      </c>
      <c r="R822" t="s">
        <v>9285</v>
      </c>
      <c r="W822" t="s">
        <v>9284</v>
      </c>
      <c r="X822" t="s">
        <v>3458</v>
      </c>
      <c r="Y822" t="s">
        <v>87</v>
      </c>
      <c r="Z822" t="s">
        <v>77</v>
      </c>
      <c r="AA822" t="str">
        <f>"11201-4300"</f>
        <v>11201-4300</v>
      </c>
      <c r="AB822" t="s">
        <v>78</v>
      </c>
      <c r="AC822" t="s">
        <v>79</v>
      </c>
      <c r="AD822" t="s">
        <v>75</v>
      </c>
      <c r="AE822" t="s">
        <v>80</v>
      </c>
      <c r="AG822" t="s">
        <v>81</v>
      </c>
    </row>
    <row r="823" spans="1:33" x14ac:dyDescent="0.25">
      <c r="A823" t="str">
        <f>"1154587566"</f>
        <v>1154587566</v>
      </c>
      <c r="B823" t="str">
        <f>"03015065"</f>
        <v>03015065</v>
      </c>
      <c r="C823" t="s">
        <v>9286</v>
      </c>
      <c r="D823" t="s">
        <v>9287</v>
      </c>
      <c r="E823" t="s">
        <v>9288</v>
      </c>
      <c r="G823" t="s">
        <v>6380</v>
      </c>
      <c r="H823" t="s">
        <v>4625</v>
      </c>
      <c r="J823" t="s">
        <v>6381</v>
      </c>
      <c r="L823" t="s">
        <v>84</v>
      </c>
      <c r="M823" t="s">
        <v>85</v>
      </c>
      <c r="R823" t="s">
        <v>9288</v>
      </c>
      <c r="W823" t="s">
        <v>9288</v>
      </c>
      <c r="X823" t="s">
        <v>1822</v>
      </c>
      <c r="Y823" t="s">
        <v>1823</v>
      </c>
      <c r="Z823" t="s">
        <v>77</v>
      </c>
      <c r="AA823" t="str">
        <f>"10941-4028"</f>
        <v>10941-4028</v>
      </c>
      <c r="AB823" t="s">
        <v>78</v>
      </c>
      <c r="AC823" t="s">
        <v>79</v>
      </c>
      <c r="AD823" t="s">
        <v>75</v>
      </c>
      <c r="AE823" t="s">
        <v>80</v>
      </c>
      <c r="AG823" t="s">
        <v>81</v>
      </c>
    </row>
    <row r="824" spans="1:33" x14ac:dyDescent="0.25">
      <c r="A824" t="str">
        <f>"1487602017"</f>
        <v>1487602017</v>
      </c>
      <c r="B824" t="str">
        <f>"03019601"</f>
        <v>03019601</v>
      </c>
      <c r="C824" t="s">
        <v>9289</v>
      </c>
      <c r="D824" t="s">
        <v>9290</v>
      </c>
      <c r="E824" t="s">
        <v>9291</v>
      </c>
      <c r="G824" t="s">
        <v>6380</v>
      </c>
      <c r="H824" t="s">
        <v>4625</v>
      </c>
      <c r="J824" t="s">
        <v>6381</v>
      </c>
      <c r="L824" t="s">
        <v>83</v>
      </c>
      <c r="M824" t="s">
        <v>85</v>
      </c>
      <c r="R824" t="s">
        <v>9291</v>
      </c>
      <c r="W824" t="s">
        <v>9292</v>
      </c>
      <c r="X824" t="s">
        <v>1822</v>
      </c>
      <c r="Y824" t="s">
        <v>1823</v>
      </c>
      <c r="Z824" t="s">
        <v>77</v>
      </c>
      <c r="AA824" t="str">
        <f>"10941-4028"</f>
        <v>10941-4028</v>
      </c>
      <c r="AB824" t="s">
        <v>78</v>
      </c>
      <c r="AC824" t="s">
        <v>79</v>
      </c>
      <c r="AD824" t="s">
        <v>75</v>
      </c>
      <c r="AE824" t="s">
        <v>80</v>
      </c>
      <c r="AG824" t="s">
        <v>81</v>
      </c>
    </row>
    <row r="825" spans="1:33" x14ac:dyDescent="0.25">
      <c r="A825" t="str">
        <f>"1548216658"</f>
        <v>1548216658</v>
      </c>
      <c r="B825" t="str">
        <f>"03019770"</f>
        <v>03019770</v>
      </c>
      <c r="C825" t="s">
        <v>9293</v>
      </c>
      <c r="D825" t="s">
        <v>9294</v>
      </c>
      <c r="E825" t="s">
        <v>9295</v>
      </c>
      <c r="G825" t="s">
        <v>6380</v>
      </c>
      <c r="H825" t="s">
        <v>4625</v>
      </c>
      <c r="J825" t="s">
        <v>6381</v>
      </c>
      <c r="L825" t="s">
        <v>83</v>
      </c>
      <c r="M825" t="s">
        <v>85</v>
      </c>
      <c r="R825" t="s">
        <v>9296</v>
      </c>
      <c r="W825" t="s">
        <v>9297</v>
      </c>
      <c r="X825" t="s">
        <v>2902</v>
      </c>
      <c r="Y825" t="s">
        <v>2903</v>
      </c>
      <c r="Z825" t="s">
        <v>77</v>
      </c>
      <c r="AA825" t="str">
        <f>"12775-6049"</f>
        <v>12775-6049</v>
      </c>
      <c r="AB825" t="s">
        <v>78</v>
      </c>
      <c r="AC825" t="s">
        <v>79</v>
      </c>
      <c r="AD825" t="s">
        <v>75</v>
      </c>
      <c r="AE825" t="s">
        <v>80</v>
      </c>
      <c r="AG825" t="s">
        <v>81</v>
      </c>
    </row>
    <row r="826" spans="1:33" x14ac:dyDescent="0.25">
      <c r="A826" t="str">
        <f>"1861681926"</f>
        <v>1861681926</v>
      </c>
      <c r="B826" t="str">
        <f>"02886340"</f>
        <v>02886340</v>
      </c>
      <c r="C826" t="s">
        <v>9298</v>
      </c>
      <c r="D826" t="s">
        <v>9299</v>
      </c>
      <c r="E826" t="s">
        <v>9300</v>
      </c>
      <c r="G826" t="s">
        <v>6380</v>
      </c>
      <c r="H826" t="s">
        <v>4625</v>
      </c>
      <c r="J826" t="s">
        <v>6381</v>
      </c>
      <c r="L826" t="s">
        <v>84</v>
      </c>
      <c r="M826" t="s">
        <v>85</v>
      </c>
      <c r="R826" t="s">
        <v>9301</v>
      </c>
      <c r="W826" t="s">
        <v>9300</v>
      </c>
      <c r="X826" t="s">
        <v>9302</v>
      </c>
      <c r="Y826" t="s">
        <v>2221</v>
      </c>
      <c r="Z826" t="s">
        <v>77</v>
      </c>
      <c r="AA826" t="str">
        <f>"12701-1919"</f>
        <v>12701-1919</v>
      </c>
      <c r="AB826" t="s">
        <v>78</v>
      </c>
      <c r="AC826" t="s">
        <v>79</v>
      </c>
      <c r="AD826" t="s">
        <v>75</v>
      </c>
      <c r="AE826" t="s">
        <v>80</v>
      </c>
      <c r="AG826" t="s">
        <v>81</v>
      </c>
    </row>
    <row r="827" spans="1:33" x14ac:dyDescent="0.25">
      <c r="A827" t="str">
        <f>"1417158072"</f>
        <v>1417158072</v>
      </c>
      <c r="B827" t="str">
        <f>"02890724"</f>
        <v>02890724</v>
      </c>
      <c r="C827" t="s">
        <v>9303</v>
      </c>
      <c r="D827" t="s">
        <v>9304</v>
      </c>
      <c r="E827" t="s">
        <v>9305</v>
      </c>
      <c r="G827" t="s">
        <v>6380</v>
      </c>
      <c r="H827" t="s">
        <v>4625</v>
      </c>
      <c r="J827" t="s">
        <v>6381</v>
      </c>
      <c r="L827" t="s">
        <v>83</v>
      </c>
      <c r="M827" t="s">
        <v>85</v>
      </c>
      <c r="R827" t="s">
        <v>9306</v>
      </c>
      <c r="W827" t="s">
        <v>9305</v>
      </c>
      <c r="X827" t="s">
        <v>1822</v>
      </c>
      <c r="Y827" t="s">
        <v>1823</v>
      </c>
      <c r="Z827" t="s">
        <v>77</v>
      </c>
      <c r="AA827" t="str">
        <f>"10941-4028"</f>
        <v>10941-4028</v>
      </c>
      <c r="AB827" t="s">
        <v>78</v>
      </c>
      <c r="AC827" t="s">
        <v>79</v>
      </c>
      <c r="AD827" t="s">
        <v>75</v>
      </c>
      <c r="AE827" t="s">
        <v>80</v>
      </c>
      <c r="AG827" t="s">
        <v>81</v>
      </c>
    </row>
    <row r="828" spans="1:33" x14ac:dyDescent="0.25">
      <c r="A828" t="str">
        <f>"1497831986"</f>
        <v>1497831986</v>
      </c>
      <c r="B828" t="str">
        <f>"00663103"</f>
        <v>00663103</v>
      </c>
      <c r="C828" t="s">
        <v>9307</v>
      </c>
      <c r="D828" t="s">
        <v>9308</v>
      </c>
      <c r="E828" t="s">
        <v>9309</v>
      </c>
      <c r="H828" t="s">
        <v>9310</v>
      </c>
      <c r="L828" t="s">
        <v>83</v>
      </c>
      <c r="M828" t="s">
        <v>75</v>
      </c>
      <c r="R828" t="s">
        <v>9311</v>
      </c>
      <c r="W828" t="s">
        <v>9309</v>
      </c>
      <c r="X828" t="s">
        <v>9312</v>
      </c>
      <c r="Y828" t="s">
        <v>179</v>
      </c>
      <c r="Z828" t="s">
        <v>77</v>
      </c>
      <c r="AA828" t="str">
        <f>"11550-3601"</f>
        <v>11550-3601</v>
      </c>
      <c r="AB828" t="s">
        <v>78</v>
      </c>
      <c r="AC828" t="s">
        <v>79</v>
      </c>
      <c r="AD828" t="s">
        <v>75</v>
      </c>
      <c r="AE828" t="s">
        <v>80</v>
      </c>
      <c r="AG828" t="s">
        <v>81</v>
      </c>
    </row>
    <row r="829" spans="1:33" x14ac:dyDescent="0.25">
      <c r="A829" t="str">
        <f>"1548279094"</f>
        <v>1548279094</v>
      </c>
      <c r="B829" t="str">
        <f>"02558345"</f>
        <v>02558345</v>
      </c>
      <c r="C829" t="s">
        <v>9313</v>
      </c>
      <c r="D829" t="s">
        <v>9314</v>
      </c>
      <c r="E829" t="s">
        <v>9315</v>
      </c>
      <c r="G829" t="s">
        <v>9316</v>
      </c>
      <c r="H829" t="s">
        <v>9317</v>
      </c>
      <c r="J829" t="s">
        <v>9318</v>
      </c>
      <c r="L829" t="s">
        <v>94</v>
      </c>
      <c r="M829" t="s">
        <v>75</v>
      </c>
      <c r="R829" t="s">
        <v>9319</v>
      </c>
      <c r="W829" t="s">
        <v>9315</v>
      </c>
      <c r="X829" t="s">
        <v>9320</v>
      </c>
      <c r="Y829" t="s">
        <v>179</v>
      </c>
      <c r="Z829" t="s">
        <v>77</v>
      </c>
      <c r="AA829" t="str">
        <f>"11550-5610"</f>
        <v>11550-5610</v>
      </c>
      <c r="AB829" t="s">
        <v>78</v>
      </c>
      <c r="AC829" t="s">
        <v>79</v>
      </c>
      <c r="AD829" t="s">
        <v>75</v>
      </c>
      <c r="AE829" t="s">
        <v>80</v>
      </c>
      <c r="AG829" t="s">
        <v>81</v>
      </c>
    </row>
    <row r="830" spans="1:33" x14ac:dyDescent="0.25">
      <c r="A830" t="str">
        <f>"1679519656"</f>
        <v>1679519656</v>
      </c>
      <c r="B830" t="str">
        <f>"02471850"</f>
        <v>02471850</v>
      </c>
      <c r="C830" t="s">
        <v>9321</v>
      </c>
      <c r="D830" t="s">
        <v>9322</v>
      </c>
      <c r="E830" t="s">
        <v>9323</v>
      </c>
      <c r="H830" t="s">
        <v>9324</v>
      </c>
      <c r="L830" t="s">
        <v>84</v>
      </c>
      <c r="M830" t="s">
        <v>75</v>
      </c>
      <c r="R830" t="s">
        <v>9325</v>
      </c>
      <c r="W830" t="s">
        <v>9323</v>
      </c>
      <c r="X830" t="s">
        <v>9326</v>
      </c>
      <c r="Y830" t="s">
        <v>214</v>
      </c>
      <c r="Z830" t="s">
        <v>77</v>
      </c>
      <c r="AA830" t="str">
        <f>"11801-3963"</f>
        <v>11801-3963</v>
      </c>
      <c r="AB830" t="s">
        <v>78</v>
      </c>
      <c r="AC830" t="s">
        <v>79</v>
      </c>
      <c r="AD830" t="s">
        <v>75</v>
      </c>
      <c r="AE830" t="s">
        <v>80</v>
      </c>
      <c r="AG830" t="s">
        <v>81</v>
      </c>
    </row>
    <row r="831" spans="1:33" x14ac:dyDescent="0.25">
      <c r="A831" t="str">
        <f>"1730134339"</f>
        <v>1730134339</v>
      </c>
      <c r="B831" t="str">
        <f>"01369891"</f>
        <v>01369891</v>
      </c>
      <c r="C831" t="s">
        <v>9327</v>
      </c>
      <c r="D831" t="s">
        <v>9328</v>
      </c>
      <c r="E831" t="s">
        <v>9329</v>
      </c>
      <c r="H831" t="s">
        <v>9330</v>
      </c>
      <c r="L831" t="s">
        <v>83</v>
      </c>
      <c r="M831" t="s">
        <v>75</v>
      </c>
      <c r="R831" t="s">
        <v>9331</v>
      </c>
      <c r="W831" t="s">
        <v>9329</v>
      </c>
      <c r="X831" t="s">
        <v>9332</v>
      </c>
      <c r="Y831" t="s">
        <v>179</v>
      </c>
      <c r="Z831" t="s">
        <v>77</v>
      </c>
      <c r="AA831" t="str">
        <f>"11550-4600"</f>
        <v>11550-4600</v>
      </c>
      <c r="AB831" t="s">
        <v>78</v>
      </c>
      <c r="AC831" t="s">
        <v>79</v>
      </c>
      <c r="AD831" t="s">
        <v>75</v>
      </c>
      <c r="AE831" t="s">
        <v>80</v>
      </c>
      <c r="AG831" t="s">
        <v>81</v>
      </c>
    </row>
    <row r="832" spans="1:33" x14ac:dyDescent="0.25">
      <c r="A832" t="str">
        <f>"1902982739"</f>
        <v>1902982739</v>
      </c>
      <c r="B832" t="str">
        <f>"01649389"</f>
        <v>01649389</v>
      </c>
      <c r="C832" t="s">
        <v>9333</v>
      </c>
      <c r="D832" t="s">
        <v>586</v>
      </c>
      <c r="E832" t="s">
        <v>587</v>
      </c>
      <c r="H832" t="s">
        <v>9334</v>
      </c>
      <c r="L832" t="s">
        <v>84</v>
      </c>
      <c r="M832" t="s">
        <v>75</v>
      </c>
      <c r="R832" t="s">
        <v>588</v>
      </c>
      <c r="W832" t="s">
        <v>587</v>
      </c>
      <c r="X832" t="s">
        <v>589</v>
      </c>
      <c r="Y832" t="s">
        <v>129</v>
      </c>
      <c r="Z832" t="s">
        <v>77</v>
      </c>
      <c r="AA832" t="str">
        <f>"11372-2111"</f>
        <v>11372-2111</v>
      </c>
      <c r="AB832" t="s">
        <v>78</v>
      </c>
      <c r="AC832" t="s">
        <v>79</v>
      </c>
      <c r="AD832" t="s">
        <v>75</v>
      </c>
      <c r="AE832" t="s">
        <v>80</v>
      </c>
      <c r="AG832" t="s">
        <v>81</v>
      </c>
    </row>
    <row r="833" spans="1:33" x14ac:dyDescent="0.25">
      <c r="A833" t="str">
        <f>"1982631644"</f>
        <v>1982631644</v>
      </c>
      <c r="B833" t="str">
        <f>"00306652"</f>
        <v>00306652</v>
      </c>
      <c r="C833" t="s">
        <v>9335</v>
      </c>
      <c r="D833" t="s">
        <v>9336</v>
      </c>
      <c r="E833" t="s">
        <v>9337</v>
      </c>
      <c r="H833" t="s">
        <v>9338</v>
      </c>
      <c r="L833" t="s">
        <v>105</v>
      </c>
      <c r="M833" t="s">
        <v>75</v>
      </c>
      <c r="R833" t="s">
        <v>9339</v>
      </c>
      <c r="W833" t="s">
        <v>9337</v>
      </c>
      <c r="X833" t="s">
        <v>9340</v>
      </c>
      <c r="Y833" t="s">
        <v>4861</v>
      </c>
      <c r="Z833" t="s">
        <v>156</v>
      </c>
      <c r="AA833" t="str">
        <f>"07631-3108"</f>
        <v>07631-3108</v>
      </c>
      <c r="AB833" t="s">
        <v>78</v>
      </c>
      <c r="AC833" t="s">
        <v>79</v>
      </c>
      <c r="AD833" t="s">
        <v>75</v>
      </c>
      <c r="AE833" t="s">
        <v>80</v>
      </c>
      <c r="AG833" t="s">
        <v>81</v>
      </c>
    </row>
    <row r="834" spans="1:33" x14ac:dyDescent="0.25">
      <c r="A834" t="str">
        <f>"1306153747"</f>
        <v>1306153747</v>
      </c>
      <c r="B834" t="str">
        <f>"03654928"</f>
        <v>03654928</v>
      </c>
      <c r="C834" t="s">
        <v>9341</v>
      </c>
      <c r="D834" t="s">
        <v>9342</v>
      </c>
      <c r="E834" t="s">
        <v>9343</v>
      </c>
      <c r="G834" t="s">
        <v>6800</v>
      </c>
      <c r="H834" t="s">
        <v>6801</v>
      </c>
      <c r="I834">
        <v>6381</v>
      </c>
      <c r="J834" t="s">
        <v>6802</v>
      </c>
      <c r="L834" t="s">
        <v>74</v>
      </c>
      <c r="M834" t="s">
        <v>75</v>
      </c>
      <c r="R834" t="s">
        <v>9344</v>
      </c>
      <c r="W834" t="s">
        <v>9343</v>
      </c>
      <c r="X834" t="s">
        <v>2997</v>
      </c>
      <c r="Y834" t="s">
        <v>87</v>
      </c>
      <c r="Z834" t="s">
        <v>77</v>
      </c>
      <c r="AA834" t="str">
        <f>"11201-4333"</f>
        <v>11201-4333</v>
      </c>
      <c r="AB834" t="s">
        <v>109</v>
      </c>
      <c r="AC834" t="s">
        <v>79</v>
      </c>
      <c r="AD834" t="s">
        <v>75</v>
      </c>
      <c r="AE834" t="s">
        <v>80</v>
      </c>
      <c r="AG834" t="s">
        <v>81</v>
      </c>
    </row>
    <row r="835" spans="1:33" x14ac:dyDescent="0.25">
      <c r="A835" t="str">
        <f>"1962770263"</f>
        <v>1962770263</v>
      </c>
      <c r="B835" t="str">
        <f>"03724581"</f>
        <v>03724581</v>
      </c>
      <c r="C835" t="s">
        <v>9345</v>
      </c>
      <c r="D835" t="s">
        <v>9346</v>
      </c>
      <c r="E835" t="s">
        <v>9347</v>
      </c>
      <c r="G835" t="s">
        <v>6800</v>
      </c>
      <c r="H835" t="s">
        <v>6801</v>
      </c>
      <c r="I835">
        <v>6381</v>
      </c>
      <c r="J835" t="s">
        <v>6802</v>
      </c>
      <c r="L835" t="s">
        <v>74</v>
      </c>
      <c r="M835" t="s">
        <v>75</v>
      </c>
      <c r="R835" t="s">
        <v>9348</v>
      </c>
      <c r="W835" t="s">
        <v>9347</v>
      </c>
      <c r="X835" t="s">
        <v>2997</v>
      </c>
      <c r="Y835" t="s">
        <v>87</v>
      </c>
      <c r="Z835" t="s">
        <v>77</v>
      </c>
      <c r="AA835" t="str">
        <f>"11201-4333"</f>
        <v>11201-4333</v>
      </c>
      <c r="AB835" t="s">
        <v>109</v>
      </c>
      <c r="AC835" t="s">
        <v>79</v>
      </c>
      <c r="AD835" t="s">
        <v>75</v>
      </c>
      <c r="AE835" t="s">
        <v>80</v>
      </c>
      <c r="AG835" t="s">
        <v>81</v>
      </c>
    </row>
    <row r="836" spans="1:33" x14ac:dyDescent="0.25">
      <c r="A836" t="str">
        <f>"1154618171"</f>
        <v>1154618171</v>
      </c>
      <c r="B836" t="str">
        <f>"03764041"</f>
        <v>03764041</v>
      </c>
      <c r="C836" t="s">
        <v>9349</v>
      </c>
      <c r="D836" t="s">
        <v>9350</v>
      </c>
      <c r="E836" t="s">
        <v>9351</v>
      </c>
      <c r="G836" t="s">
        <v>6800</v>
      </c>
      <c r="H836" t="s">
        <v>6801</v>
      </c>
      <c r="I836">
        <v>6381</v>
      </c>
      <c r="J836" t="s">
        <v>6802</v>
      </c>
      <c r="L836" t="s">
        <v>74</v>
      </c>
      <c r="M836" t="s">
        <v>75</v>
      </c>
      <c r="R836" t="s">
        <v>9351</v>
      </c>
      <c r="W836" t="s">
        <v>9351</v>
      </c>
      <c r="X836" t="s">
        <v>9151</v>
      </c>
      <c r="Y836" t="s">
        <v>97</v>
      </c>
      <c r="Z836" t="s">
        <v>77</v>
      </c>
      <c r="AA836" t="str">
        <f>"10001-2320"</f>
        <v>10001-2320</v>
      </c>
      <c r="AB836" t="s">
        <v>109</v>
      </c>
      <c r="AC836" t="s">
        <v>79</v>
      </c>
      <c r="AD836" t="s">
        <v>75</v>
      </c>
      <c r="AE836" t="s">
        <v>80</v>
      </c>
      <c r="AG836" t="s">
        <v>81</v>
      </c>
    </row>
    <row r="837" spans="1:33" x14ac:dyDescent="0.25">
      <c r="A837" t="str">
        <f>"1255344644"</f>
        <v>1255344644</v>
      </c>
      <c r="B837" t="str">
        <f>"03021749"</f>
        <v>03021749</v>
      </c>
      <c r="C837" t="s">
        <v>9352</v>
      </c>
      <c r="D837" t="s">
        <v>9353</v>
      </c>
      <c r="E837" t="s">
        <v>9354</v>
      </c>
      <c r="G837" t="s">
        <v>6380</v>
      </c>
      <c r="H837" t="s">
        <v>4625</v>
      </c>
      <c r="J837" t="s">
        <v>6381</v>
      </c>
      <c r="L837" t="s">
        <v>83</v>
      </c>
      <c r="M837" t="s">
        <v>85</v>
      </c>
      <c r="R837" t="s">
        <v>9355</v>
      </c>
      <c r="W837" t="s">
        <v>9356</v>
      </c>
      <c r="X837" t="s">
        <v>1822</v>
      </c>
      <c r="Y837" t="s">
        <v>1823</v>
      </c>
      <c r="Z837" t="s">
        <v>77</v>
      </c>
      <c r="AA837" t="str">
        <f>"10941-4028"</f>
        <v>10941-4028</v>
      </c>
      <c r="AB837" t="s">
        <v>78</v>
      </c>
      <c r="AC837" t="s">
        <v>79</v>
      </c>
      <c r="AD837" t="s">
        <v>75</v>
      </c>
      <c r="AE837" t="s">
        <v>80</v>
      </c>
      <c r="AG837" t="s">
        <v>81</v>
      </c>
    </row>
    <row r="838" spans="1:33" x14ac:dyDescent="0.25">
      <c r="A838" t="str">
        <f>"1780888354"</f>
        <v>1780888354</v>
      </c>
      <c r="B838" t="str">
        <f>"03450800"</f>
        <v>03450800</v>
      </c>
      <c r="C838" t="s">
        <v>9357</v>
      </c>
      <c r="D838" t="s">
        <v>9358</v>
      </c>
      <c r="E838" t="s">
        <v>9359</v>
      </c>
      <c r="G838" t="s">
        <v>6380</v>
      </c>
      <c r="H838" t="s">
        <v>4625</v>
      </c>
      <c r="J838" t="s">
        <v>6381</v>
      </c>
      <c r="L838" t="s">
        <v>83</v>
      </c>
      <c r="M838" t="s">
        <v>85</v>
      </c>
      <c r="R838" t="s">
        <v>9359</v>
      </c>
      <c r="W838" t="s">
        <v>9359</v>
      </c>
      <c r="X838" t="s">
        <v>258</v>
      </c>
      <c r="Y838" t="s">
        <v>131</v>
      </c>
      <c r="Z838" t="s">
        <v>77</v>
      </c>
      <c r="AA838" t="str">
        <f>"10467-2401"</f>
        <v>10467-2401</v>
      </c>
      <c r="AB838" t="s">
        <v>78</v>
      </c>
      <c r="AC838" t="s">
        <v>79</v>
      </c>
      <c r="AD838" t="s">
        <v>75</v>
      </c>
      <c r="AE838" t="s">
        <v>80</v>
      </c>
      <c r="AG838" t="s">
        <v>81</v>
      </c>
    </row>
    <row r="839" spans="1:33" x14ac:dyDescent="0.25">
      <c r="A839" t="str">
        <f>"1033437827"</f>
        <v>1033437827</v>
      </c>
      <c r="B839" t="str">
        <f>"03452802"</f>
        <v>03452802</v>
      </c>
      <c r="C839" t="s">
        <v>9360</v>
      </c>
      <c r="D839" t="s">
        <v>9361</v>
      </c>
      <c r="E839" t="s">
        <v>9362</v>
      </c>
      <c r="G839" t="s">
        <v>6380</v>
      </c>
      <c r="H839" t="s">
        <v>4625</v>
      </c>
      <c r="J839" t="s">
        <v>6381</v>
      </c>
      <c r="L839" t="s">
        <v>84</v>
      </c>
      <c r="M839" t="s">
        <v>85</v>
      </c>
      <c r="R839" t="s">
        <v>9362</v>
      </c>
      <c r="W839" t="s">
        <v>9362</v>
      </c>
      <c r="X839" t="s">
        <v>2902</v>
      </c>
      <c r="Y839" t="s">
        <v>2903</v>
      </c>
      <c r="Z839" t="s">
        <v>77</v>
      </c>
      <c r="AA839" t="str">
        <f>"12775-6049"</f>
        <v>12775-6049</v>
      </c>
      <c r="AB839" t="s">
        <v>78</v>
      </c>
      <c r="AC839" t="s">
        <v>79</v>
      </c>
      <c r="AD839" t="s">
        <v>75</v>
      </c>
      <c r="AE839" t="s">
        <v>80</v>
      </c>
      <c r="AG839" t="s">
        <v>81</v>
      </c>
    </row>
    <row r="840" spans="1:33" x14ac:dyDescent="0.25">
      <c r="A840" t="str">
        <f>"1629351838"</f>
        <v>1629351838</v>
      </c>
      <c r="B840" t="str">
        <f>"03457238"</f>
        <v>03457238</v>
      </c>
      <c r="C840" t="s">
        <v>9363</v>
      </c>
      <c r="D840" t="s">
        <v>9364</v>
      </c>
      <c r="E840" t="s">
        <v>9365</v>
      </c>
      <c r="G840" t="s">
        <v>6380</v>
      </c>
      <c r="H840" t="s">
        <v>4625</v>
      </c>
      <c r="J840" t="s">
        <v>6381</v>
      </c>
      <c r="L840" t="s">
        <v>83</v>
      </c>
      <c r="M840" t="s">
        <v>85</v>
      </c>
      <c r="R840" t="s">
        <v>9366</v>
      </c>
      <c r="W840" t="s">
        <v>9365</v>
      </c>
      <c r="X840" t="s">
        <v>7037</v>
      </c>
      <c r="Y840" t="s">
        <v>1797</v>
      </c>
      <c r="Z840" t="s">
        <v>77</v>
      </c>
      <c r="AA840" t="str">
        <f>"12550-3150"</f>
        <v>12550-3150</v>
      </c>
      <c r="AB840" t="s">
        <v>78</v>
      </c>
      <c r="AC840" t="s">
        <v>79</v>
      </c>
      <c r="AD840" t="s">
        <v>75</v>
      </c>
      <c r="AE840" t="s">
        <v>80</v>
      </c>
      <c r="AG840" t="s">
        <v>81</v>
      </c>
    </row>
    <row r="841" spans="1:33" x14ac:dyDescent="0.25">
      <c r="A841" t="str">
        <f>"1750607602"</f>
        <v>1750607602</v>
      </c>
      <c r="B841" t="str">
        <f>"03461016"</f>
        <v>03461016</v>
      </c>
      <c r="C841" t="s">
        <v>9367</v>
      </c>
      <c r="D841" t="s">
        <v>9368</v>
      </c>
      <c r="E841" t="s">
        <v>9369</v>
      </c>
      <c r="G841" t="s">
        <v>6380</v>
      </c>
      <c r="H841" t="s">
        <v>4625</v>
      </c>
      <c r="J841" t="s">
        <v>6381</v>
      </c>
      <c r="L841" t="s">
        <v>83</v>
      </c>
      <c r="M841" t="s">
        <v>85</v>
      </c>
      <c r="R841" t="s">
        <v>9370</v>
      </c>
      <c r="W841" t="s">
        <v>9369</v>
      </c>
      <c r="X841" t="s">
        <v>1822</v>
      </c>
      <c r="Y841" t="s">
        <v>1823</v>
      </c>
      <c r="Z841" t="s">
        <v>77</v>
      </c>
      <c r="AA841" t="str">
        <f>"10941-4028"</f>
        <v>10941-4028</v>
      </c>
      <c r="AB841" t="s">
        <v>78</v>
      </c>
      <c r="AC841" t="s">
        <v>79</v>
      </c>
      <c r="AD841" t="s">
        <v>75</v>
      </c>
      <c r="AE841" t="s">
        <v>80</v>
      </c>
      <c r="AG841" t="s">
        <v>81</v>
      </c>
    </row>
    <row r="842" spans="1:33" x14ac:dyDescent="0.25">
      <c r="A842" t="str">
        <f>"1932433208"</f>
        <v>1932433208</v>
      </c>
      <c r="B842" t="str">
        <f>"03461061"</f>
        <v>03461061</v>
      </c>
      <c r="C842" t="s">
        <v>9371</v>
      </c>
      <c r="D842" t="s">
        <v>9372</v>
      </c>
      <c r="E842" t="s">
        <v>4527</v>
      </c>
      <c r="G842" t="s">
        <v>6380</v>
      </c>
      <c r="H842" t="s">
        <v>4625</v>
      </c>
      <c r="J842" t="s">
        <v>6381</v>
      </c>
      <c r="L842" t="s">
        <v>84</v>
      </c>
      <c r="M842" t="s">
        <v>85</v>
      </c>
      <c r="R842" t="s">
        <v>4527</v>
      </c>
      <c r="W842" t="s">
        <v>9373</v>
      </c>
      <c r="X842" t="s">
        <v>6187</v>
      </c>
      <c r="Y842" t="s">
        <v>1823</v>
      </c>
      <c r="Z842" t="s">
        <v>77</v>
      </c>
      <c r="AA842" t="str">
        <f>"10941-4013"</f>
        <v>10941-4013</v>
      </c>
      <c r="AB842" t="s">
        <v>78</v>
      </c>
      <c r="AC842" t="s">
        <v>79</v>
      </c>
      <c r="AD842" t="s">
        <v>75</v>
      </c>
      <c r="AE842" t="s">
        <v>80</v>
      </c>
      <c r="AG842" t="s">
        <v>81</v>
      </c>
    </row>
    <row r="843" spans="1:33" x14ac:dyDescent="0.25">
      <c r="A843" t="str">
        <f>"1467610675"</f>
        <v>1467610675</v>
      </c>
      <c r="B843" t="str">
        <f>"03467190"</f>
        <v>03467190</v>
      </c>
      <c r="C843" t="s">
        <v>9374</v>
      </c>
      <c r="D843" t="s">
        <v>9375</v>
      </c>
      <c r="E843" t="s">
        <v>9376</v>
      </c>
      <c r="G843" t="s">
        <v>6380</v>
      </c>
      <c r="H843" t="s">
        <v>4625</v>
      </c>
      <c r="J843" t="s">
        <v>6381</v>
      </c>
      <c r="L843" t="s">
        <v>83</v>
      </c>
      <c r="M843" t="s">
        <v>85</v>
      </c>
      <c r="R843" t="s">
        <v>9377</v>
      </c>
      <c r="W843" t="s">
        <v>9376</v>
      </c>
      <c r="X843" t="s">
        <v>6503</v>
      </c>
      <c r="Y843" t="s">
        <v>1823</v>
      </c>
      <c r="Z843" t="s">
        <v>77</v>
      </c>
      <c r="AA843" t="str">
        <f>"10941-7001"</f>
        <v>10941-7001</v>
      </c>
      <c r="AB843" t="s">
        <v>78</v>
      </c>
      <c r="AC843" t="s">
        <v>79</v>
      </c>
      <c r="AD843" t="s">
        <v>75</v>
      </c>
      <c r="AE843" t="s">
        <v>80</v>
      </c>
      <c r="AG843" t="s">
        <v>81</v>
      </c>
    </row>
    <row r="844" spans="1:33" x14ac:dyDescent="0.25">
      <c r="A844" t="str">
        <f>"1093966061"</f>
        <v>1093966061</v>
      </c>
      <c r="B844" t="str">
        <f>"03470317"</f>
        <v>03470317</v>
      </c>
      <c r="C844" t="s">
        <v>9378</v>
      </c>
      <c r="D844" t="s">
        <v>9379</v>
      </c>
      <c r="E844" t="s">
        <v>9380</v>
      </c>
      <c r="G844" t="s">
        <v>6380</v>
      </c>
      <c r="H844" t="s">
        <v>4625</v>
      </c>
      <c r="J844" t="s">
        <v>6381</v>
      </c>
      <c r="L844" t="s">
        <v>83</v>
      </c>
      <c r="M844" t="s">
        <v>85</v>
      </c>
      <c r="R844" t="s">
        <v>9381</v>
      </c>
      <c r="W844" t="s">
        <v>9380</v>
      </c>
      <c r="X844" t="s">
        <v>2902</v>
      </c>
      <c r="Y844" t="s">
        <v>2903</v>
      </c>
      <c r="Z844" t="s">
        <v>77</v>
      </c>
      <c r="AA844" t="str">
        <f>"12775-6049"</f>
        <v>12775-6049</v>
      </c>
      <c r="AB844" t="s">
        <v>78</v>
      </c>
      <c r="AC844" t="s">
        <v>79</v>
      </c>
      <c r="AD844" t="s">
        <v>75</v>
      </c>
      <c r="AE844" t="s">
        <v>80</v>
      </c>
      <c r="AG844" t="s">
        <v>81</v>
      </c>
    </row>
    <row r="845" spans="1:33" x14ac:dyDescent="0.25">
      <c r="A845" t="str">
        <f>"1043550676"</f>
        <v>1043550676</v>
      </c>
      <c r="B845" t="str">
        <f>"03617347"</f>
        <v>03617347</v>
      </c>
      <c r="C845" t="s">
        <v>9382</v>
      </c>
      <c r="D845" t="s">
        <v>9383</v>
      </c>
      <c r="E845" t="s">
        <v>9384</v>
      </c>
      <c r="L845" t="s">
        <v>84</v>
      </c>
      <c r="M845" t="s">
        <v>85</v>
      </c>
      <c r="R845" t="s">
        <v>9385</v>
      </c>
      <c r="W845" t="s">
        <v>9384</v>
      </c>
      <c r="X845" t="s">
        <v>1010</v>
      </c>
      <c r="Y845" t="s">
        <v>97</v>
      </c>
      <c r="Z845" t="s">
        <v>77</v>
      </c>
      <c r="AA845" t="str">
        <f>"10035-3832"</f>
        <v>10035-3832</v>
      </c>
      <c r="AB845" t="s">
        <v>78</v>
      </c>
      <c r="AC845" t="s">
        <v>79</v>
      </c>
      <c r="AD845" t="s">
        <v>75</v>
      </c>
      <c r="AE845" t="s">
        <v>80</v>
      </c>
      <c r="AG845" t="s">
        <v>81</v>
      </c>
    </row>
    <row r="846" spans="1:33" x14ac:dyDescent="0.25">
      <c r="A846" t="str">
        <f>"1033437496"</f>
        <v>1033437496</v>
      </c>
      <c r="B846" t="str">
        <f>"03768178"</f>
        <v>03768178</v>
      </c>
      <c r="C846" t="s">
        <v>9386</v>
      </c>
      <c r="D846" t="s">
        <v>9387</v>
      </c>
      <c r="E846" t="s">
        <v>9388</v>
      </c>
      <c r="L846" t="s">
        <v>84</v>
      </c>
      <c r="M846" t="s">
        <v>85</v>
      </c>
      <c r="R846" t="s">
        <v>9389</v>
      </c>
      <c r="W846" t="s">
        <v>9388</v>
      </c>
      <c r="X846" t="s">
        <v>9390</v>
      </c>
      <c r="Y846" t="s">
        <v>233</v>
      </c>
      <c r="Z846" t="s">
        <v>77</v>
      </c>
      <c r="AA846" t="str">
        <f>"12401-6449"</f>
        <v>12401-6449</v>
      </c>
      <c r="AB846" t="s">
        <v>78</v>
      </c>
      <c r="AC846" t="s">
        <v>79</v>
      </c>
      <c r="AD846" t="s">
        <v>75</v>
      </c>
      <c r="AE846" t="s">
        <v>80</v>
      </c>
      <c r="AG846" t="s">
        <v>81</v>
      </c>
    </row>
    <row r="847" spans="1:33" x14ac:dyDescent="0.25">
      <c r="A847" t="str">
        <f>"1508282518"</f>
        <v>1508282518</v>
      </c>
      <c r="C847" t="s">
        <v>9391</v>
      </c>
      <c r="K847" t="s">
        <v>99</v>
      </c>
      <c r="L847" t="s">
        <v>74</v>
      </c>
      <c r="M847" t="s">
        <v>75</v>
      </c>
      <c r="R847" t="s">
        <v>9392</v>
      </c>
      <c r="S847" t="s">
        <v>9393</v>
      </c>
      <c r="T847" t="s">
        <v>87</v>
      </c>
      <c r="U847" t="s">
        <v>77</v>
      </c>
      <c r="V847" t="str">
        <f>"112262276"</f>
        <v>112262276</v>
      </c>
      <c r="AC847" t="s">
        <v>79</v>
      </c>
      <c r="AD847" t="s">
        <v>75</v>
      </c>
      <c r="AE847" t="s">
        <v>103</v>
      </c>
      <c r="AG847" t="s">
        <v>81</v>
      </c>
    </row>
    <row r="848" spans="1:33" x14ac:dyDescent="0.25">
      <c r="A848" t="str">
        <f>"1588955165"</f>
        <v>1588955165</v>
      </c>
      <c r="B848" t="str">
        <f>"03950534"</f>
        <v>03950534</v>
      </c>
      <c r="C848" t="s">
        <v>9394</v>
      </c>
      <c r="D848" t="s">
        <v>9395</v>
      </c>
      <c r="E848" t="s">
        <v>9396</v>
      </c>
      <c r="L848" t="s">
        <v>84</v>
      </c>
      <c r="M848" t="s">
        <v>75</v>
      </c>
      <c r="R848" t="s">
        <v>9396</v>
      </c>
      <c r="W848" t="s">
        <v>9397</v>
      </c>
      <c r="X848" t="s">
        <v>1010</v>
      </c>
      <c r="Y848" t="s">
        <v>97</v>
      </c>
      <c r="Z848" t="s">
        <v>77</v>
      </c>
      <c r="AA848" t="str">
        <f>"10035-3832"</f>
        <v>10035-3832</v>
      </c>
      <c r="AB848" t="s">
        <v>78</v>
      </c>
      <c r="AC848" t="s">
        <v>79</v>
      </c>
      <c r="AD848" t="s">
        <v>75</v>
      </c>
      <c r="AE848" t="s">
        <v>80</v>
      </c>
      <c r="AG848" t="s">
        <v>81</v>
      </c>
    </row>
    <row r="849" spans="1:33" x14ac:dyDescent="0.25">
      <c r="A849" t="str">
        <f>"1255311841"</f>
        <v>1255311841</v>
      </c>
      <c r="B849" t="str">
        <f>"02256059"</f>
        <v>02256059</v>
      </c>
      <c r="C849" t="s">
        <v>9398</v>
      </c>
      <c r="D849" t="s">
        <v>9399</v>
      </c>
      <c r="E849" t="s">
        <v>9400</v>
      </c>
      <c r="G849" t="s">
        <v>9398</v>
      </c>
      <c r="H849" t="s">
        <v>9401</v>
      </c>
      <c r="L849" t="s">
        <v>84</v>
      </c>
      <c r="M849" t="s">
        <v>75</v>
      </c>
      <c r="R849" t="s">
        <v>9402</v>
      </c>
      <c r="W849" t="s">
        <v>9400</v>
      </c>
      <c r="X849" t="s">
        <v>9403</v>
      </c>
      <c r="Y849" t="s">
        <v>254</v>
      </c>
      <c r="Z849" t="s">
        <v>77</v>
      </c>
      <c r="AA849" t="str">
        <f>"11374-4511"</f>
        <v>11374-4511</v>
      </c>
      <c r="AB849" t="s">
        <v>78</v>
      </c>
      <c r="AC849" t="s">
        <v>79</v>
      </c>
      <c r="AD849" t="s">
        <v>75</v>
      </c>
      <c r="AE849" t="s">
        <v>80</v>
      </c>
      <c r="AG849" t="s">
        <v>81</v>
      </c>
    </row>
    <row r="850" spans="1:33" x14ac:dyDescent="0.25">
      <c r="C850" t="s">
        <v>9404</v>
      </c>
      <c r="G850" t="s">
        <v>9404</v>
      </c>
      <c r="H850" t="s">
        <v>9405</v>
      </c>
      <c r="K850" t="s">
        <v>206</v>
      </c>
      <c r="L850" t="s">
        <v>100</v>
      </c>
      <c r="M850" t="s">
        <v>75</v>
      </c>
      <c r="N850" t="s">
        <v>9406</v>
      </c>
      <c r="O850" t="s">
        <v>9407</v>
      </c>
      <c r="P850" t="s">
        <v>8566</v>
      </c>
      <c r="Q850" t="str">
        <f>"11106"</f>
        <v>11106</v>
      </c>
      <c r="AC850" t="s">
        <v>79</v>
      </c>
      <c r="AD850" t="s">
        <v>75</v>
      </c>
      <c r="AE850" t="s">
        <v>101</v>
      </c>
      <c r="AG850" t="s">
        <v>81</v>
      </c>
    </row>
    <row r="851" spans="1:33" x14ac:dyDescent="0.25">
      <c r="C851" t="s">
        <v>9408</v>
      </c>
      <c r="G851" t="s">
        <v>9408</v>
      </c>
      <c r="H851" t="s">
        <v>9409</v>
      </c>
      <c r="K851" t="s">
        <v>99</v>
      </c>
      <c r="L851" t="s">
        <v>100</v>
      </c>
      <c r="M851" t="s">
        <v>75</v>
      </c>
      <c r="N851" t="s">
        <v>9410</v>
      </c>
      <c r="O851" t="s">
        <v>9411</v>
      </c>
      <c r="P851" t="s">
        <v>8566</v>
      </c>
      <c r="Q851" t="str">
        <f>"10952"</f>
        <v>10952</v>
      </c>
      <c r="AC851" t="s">
        <v>79</v>
      </c>
      <c r="AD851" t="s">
        <v>75</v>
      </c>
      <c r="AE851" t="s">
        <v>101</v>
      </c>
      <c r="AG851" t="s">
        <v>81</v>
      </c>
    </row>
    <row r="852" spans="1:33" x14ac:dyDescent="0.25">
      <c r="C852" t="s">
        <v>9412</v>
      </c>
      <c r="G852" t="s">
        <v>9412</v>
      </c>
      <c r="H852" t="s">
        <v>9413</v>
      </c>
      <c r="K852" t="s">
        <v>99</v>
      </c>
      <c r="L852" t="s">
        <v>100</v>
      </c>
      <c r="M852" t="s">
        <v>75</v>
      </c>
      <c r="N852" t="s">
        <v>9414</v>
      </c>
      <c r="O852" t="s">
        <v>6410</v>
      </c>
      <c r="P852" t="s">
        <v>8566</v>
      </c>
      <c r="Q852" t="str">
        <f>"10023"</f>
        <v>10023</v>
      </c>
      <c r="AC852" t="s">
        <v>79</v>
      </c>
      <c r="AD852" t="s">
        <v>75</v>
      </c>
      <c r="AE852" t="s">
        <v>101</v>
      </c>
      <c r="AG852" t="s">
        <v>81</v>
      </c>
    </row>
    <row r="853" spans="1:33" x14ac:dyDescent="0.25">
      <c r="C853" t="s">
        <v>9415</v>
      </c>
      <c r="G853" t="s">
        <v>9415</v>
      </c>
      <c r="H853" t="s">
        <v>9416</v>
      </c>
      <c r="K853" t="s">
        <v>206</v>
      </c>
      <c r="L853" t="s">
        <v>100</v>
      </c>
      <c r="M853" t="s">
        <v>75</v>
      </c>
      <c r="N853" t="s">
        <v>9417</v>
      </c>
      <c r="O853" t="s">
        <v>9407</v>
      </c>
      <c r="P853" t="s">
        <v>8566</v>
      </c>
      <c r="Q853" t="str">
        <f>"11102"</f>
        <v>11102</v>
      </c>
      <c r="AC853" t="s">
        <v>79</v>
      </c>
      <c r="AD853" t="s">
        <v>75</v>
      </c>
      <c r="AE853" t="s">
        <v>101</v>
      </c>
      <c r="AG853" t="s">
        <v>81</v>
      </c>
    </row>
    <row r="854" spans="1:33" x14ac:dyDescent="0.25">
      <c r="C854" t="s">
        <v>9418</v>
      </c>
      <c r="G854" t="s">
        <v>9418</v>
      </c>
      <c r="H854" t="s">
        <v>9419</v>
      </c>
      <c r="K854" t="s">
        <v>206</v>
      </c>
      <c r="L854" t="s">
        <v>100</v>
      </c>
      <c r="M854" t="s">
        <v>75</v>
      </c>
      <c r="N854" t="s">
        <v>9420</v>
      </c>
      <c r="O854" t="s">
        <v>9421</v>
      </c>
      <c r="P854" t="s">
        <v>8566</v>
      </c>
      <c r="Q854" t="str">
        <f>"11747"</f>
        <v>11747</v>
      </c>
      <c r="AC854" t="s">
        <v>79</v>
      </c>
      <c r="AD854" t="s">
        <v>75</v>
      </c>
      <c r="AE854" t="s">
        <v>101</v>
      </c>
      <c r="AG854" t="s">
        <v>81</v>
      </c>
    </row>
    <row r="855" spans="1:33" x14ac:dyDescent="0.25">
      <c r="A855" t="str">
        <f>"1548295884"</f>
        <v>1548295884</v>
      </c>
      <c r="B855" t="str">
        <f>"00982669"</f>
        <v>00982669</v>
      </c>
      <c r="C855" t="s">
        <v>9422</v>
      </c>
      <c r="D855" t="s">
        <v>9423</v>
      </c>
      <c r="E855" t="s">
        <v>9424</v>
      </c>
      <c r="G855" t="s">
        <v>9422</v>
      </c>
      <c r="H855" t="s">
        <v>9425</v>
      </c>
      <c r="L855" t="s">
        <v>84</v>
      </c>
      <c r="M855" t="s">
        <v>75</v>
      </c>
      <c r="R855" t="s">
        <v>9426</v>
      </c>
      <c r="W855" t="s">
        <v>9424</v>
      </c>
      <c r="X855" t="s">
        <v>9427</v>
      </c>
      <c r="Y855" t="s">
        <v>129</v>
      </c>
      <c r="Z855" t="s">
        <v>77</v>
      </c>
      <c r="AA855" t="str">
        <f>"11372-1749"</f>
        <v>11372-1749</v>
      </c>
      <c r="AB855" t="s">
        <v>78</v>
      </c>
      <c r="AC855" t="s">
        <v>79</v>
      </c>
      <c r="AD855" t="s">
        <v>75</v>
      </c>
      <c r="AE855" t="s">
        <v>80</v>
      </c>
      <c r="AG855" t="s">
        <v>81</v>
      </c>
    </row>
    <row r="856" spans="1:33" x14ac:dyDescent="0.25">
      <c r="A856" t="str">
        <f>"1215992177"</f>
        <v>1215992177</v>
      </c>
      <c r="B856" t="str">
        <f>"01410553"</f>
        <v>01410553</v>
      </c>
      <c r="C856" t="s">
        <v>9428</v>
      </c>
      <c r="D856" t="s">
        <v>9429</v>
      </c>
      <c r="E856" t="s">
        <v>9430</v>
      </c>
      <c r="G856" t="s">
        <v>9428</v>
      </c>
      <c r="H856" t="s">
        <v>9431</v>
      </c>
      <c r="L856" t="s">
        <v>83</v>
      </c>
      <c r="M856" t="s">
        <v>75</v>
      </c>
      <c r="R856" t="s">
        <v>9432</v>
      </c>
      <c r="W856" t="s">
        <v>9430</v>
      </c>
      <c r="X856" t="s">
        <v>9433</v>
      </c>
      <c r="Y856" t="s">
        <v>394</v>
      </c>
      <c r="Z856" t="s">
        <v>77</v>
      </c>
      <c r="AA856" t="str">
        <f>"11104-2254"</f>
        <v>11104-2254</v>
      </c>
      <c r="AB856" t="s">
        <v>78</v>
      </c>
      <c r="AC856" t="s">
        <v>79</v>
      </c>
      <c r="AD856" t="s">
        <v>75</v>
      </c>
      <c r="AE856" t="s">
        <v>80</v>
      </c>
      <c r="AG856" t="s">
        <v>81</v>
      </c>
    </row>
    <row r="857" spans="1:33" x14ac:dyDescent="0.25">
      <c r="A857" t="str">
        <f>"1255491288"</f>
        <v>1255491288</v>
      </c>
      <c r="B857" t="str">
        <f>"01586910"</f>
        <v>01586910</v>
      </c>
      <c r="C857" t="s">
        <v>9434</v>
      </c>
      <c r="D857" t="s">
        <v>9435</v>
      </c>
      <c r="E857" t="s">
        <v>9436</v>
      </c>
      <c r="G857" t="s">
        <v>9434</v>
      </c>
      <c r="H857" t="s">
        <v>9437</v>
      </c>
      <c r="L857" t="s">
        <v>83</v>
      </c>
      <c r="M857" t="s">
        <v>75</v>
      </c>
      <c r="R857" t="s">
        <v>9438</v>
      </c>
      <c r="W857" t="s">
        <v>9436</v>
      </c>
      <c r="X857" t="s">
        <v>9439</v>
      </c>
      <c r="Y857" t="s">
        <v>6206</v>
      </c>
      <c r="Z857" t="s">
        <v>77</v>
      </c>
      <c r="AA857" t="str">
        <f>"11746-5524"</f>
        <v>11746-5524</v>
      </c>
      <c r="AB857" t="s">
        <v>78</v>
      </c>
      <c r="AC857" t="s">
        <v>79</v>
      </c>
      <c r="AD857" t="s">
        <v>75</v>
      </c>
      <c r="AE857" t="s">
        <v>80</v>
      </c>
      <c r="AG857" t="s">
        <v>81</v>
      </c>
    </row>
    <row r="858" spans="1:33" x14ac:dyDescent="0.25">
      <c r="A858" t="str">
        <f>"1124009832"</f>
        <v>1124009832</v>
      </c>
      <c r="B858" t="str">
        <f>"02967164"</f>
        <v>02967164</v>
      </c>
      <c r="C858" t="s">
        <v>9440</v>
      </c>
      <c r="D858" t="s">
        <v>9441</v>
      </c>
      <c r="E858" t="s">
        <v>9442</v>
      </c>
      <c r="G858" t="s">
        <v>6380</v>
      </c>
      <c r="H858" t="s">
        <v>4625</v>
      </c>
      <c r="J858" t="s">
        <v>6381</v>
      </c>
      <c r="L858" t="s">
        <v>83</v>
      </c>
      <c r="M858" t="s">
        <v>85</v>
      </c>
      <c r="R858" t="s">
        <v>9443</v>
      </c>
      <c r="W858" t="s">
        <v>9444</v>
      </c>
      <c r="X858" t="s">
        <v>1822</v>
      </c>
      <c r="Y858" t="s">
        <v>1823</v>
      </c>
      <c r="Z858" t="s">
        <v>77</v>
      </c>
      <c r="AA858" t="str">
        <f>"10941-4028"</f>
        <v>10941-4028</v>
      </c>
      <c r="AB858" t="s">
        <v>78</v>
      </c>
      <c r="AC858" t="s">
        <v>79</v>
      </c>
      <c r="AD858" t="s">
        <v>75</v>
      </c>
      <c r="AE858" t="s">
        <v>80</v>
      </c>
      <c r="AG858" t="s">
        <v>81</v>
      </c>
    </row>
    <row r="859" spans="1:33" x14ac:dyDescent="0.25">
      <c r="A859" t="str">
        <f>"1164697611"</f>
        <v>1164697611</v>
      </c>
      <c r="B859" t="str">
        <f>"02970950"</f>
        <v>02970950</v>
      </c>
      <c r="C859" t="s">
        <v>9445</v>
      </c>
      <c r="D859" t="s">
        <v>4955</v>
      </c>
      <c r="E859" t="s">
        <v>4956</v>
      </c>
      <c r="G859" t="s">
        <v>6380</v>
      </c>
      <c r="H859" t="s">
        <v>4625</v>
      </c>
      <c r="J859" t="s">
        <v>6381</v>
      </c>
      <c r="L859" t="s">
        <v>83</v>
      </c>
      <c r="M859" t="s">
        <v>85</v>
      </c>
      <c r="R859" t="s">
        <v>4957</v>
      </c>
      <c r="W859" t="s">
        <v>4958</v>
      </c>
      <c r="X859" t="s">
        <v>1822</v>
      </c>
      <c r="Y859" t="s">
        <v>1823</v>
      </c>
      <c r="Z859" t="s">
        <v>77</v>
      </c>
      <c r="AA859" t="str">
        <f>"10941-4028"</f>
        <v>10941-4028</v>
      </c>
      <c r="AB859" t="s">
        <v>78</v>
      </c>
      <c r="AC859" t="s">
        <v>79</v>
      </c>
      <c r="AD859" t="s">
        <v>75</v>
      </c>
      <c r="AE859" t="s">
        <v>80</v>
      </c>
      <c r="AG859" t="s">
        <v>81</v>
      </c>
    </row>
    <row r="860" spans="1:33" x14ac:dyDescent="0.25">
      <c r="A860" t="str">
        <f>"1497797708"</f>
        <v>1497797708</v>
      </c>
      <c r="B860" t="str">
        <f>"00699418"</f>
        <v>00699418</v>
      </c>
      <c r="C860" t="s">
        <v>9446</v>
      </c>
      <c r="D860" t="s">
        <v>1524</v>
      </c>
      <c r="E860" t="s">
        <v>1525</v>
      </c>
      <c r="G860" t="s">
        <v>9446</v>
      </c>
      <c r="H860" t="s">
        <v>9447</v>
      </c>
      <c r="L860" t="s">
        <v>84</v>
      </c>
      <c r="M860" t="s">
        <v>85</v>
      </c>
      <c r="R860" t="s">
        <v>1523</v>
      </c>
      <c r="W860" t="s">
        <v>1525</v>
      </c>
      <c r="X860" t="s">
        <v>1526</v>
      </c>
      <c r="Y860" t="s">
        <v>394</v>
      </c>
      <c r="Z860" t="s">
        <v>77</v>
      </c>
      <c r="AA860" t="str">
        <f>"11104-2062"</f>
        <v>11104-2062</v>
      </c>
      <c r="AB860" t="s">
        <v>78</v>
      </c>
      <c r="AC860" t="s">
        <v>79</v>
      </c>
      <c r="AD860" t="s">
        <v>75</v>
      </c>
      <c r="AE860" t="s">
        <v>80</v>
      </c>
      <c r="AG860" t="s">
        <v>81</v>
      </c>
    </row>
    <row r="861" spans="1:33" x14ac:dyDescent="0.25">
      <c r="A861" t="str">
        <f>"1225093180"</f>
        <v>1225093180</v>
      </c>
      <c r="B861" t="str">
        <f>"01952065"</f>
        <v>01952065</v>
      </c>
      <c r="C861" t="s">
        <v>9448</v>
      </c>
      <c r="D861" t="s">
        <v>9449</v>
      </c>
      <c r="E861" t="s">
        <v>9450</v>
      </c>
      <c r="H861" t="s">
        <v>9451</v>
      </c>
      <c r="L861" t="s">
        <v>84</v>
      </c>
      <c r="M861" t="s">
        <v>85</v>
      </c>
      <c r="R861" t="s">
        <v>9452</v>
      </c>
      <c r="W861" t="s">
        <v>9450</v>
      </c>
      <c r="X861" t="s">
        <v>9453</v>
      </c>
      <c r="Y861" t="s">
        <v>216</v>
      </c>
      <c r="Z861" t="s">
        <v>77</v>
      </c>
      <c r="AA861" t="str">
        <f>"11691-2803"</f>
        <v>11691-2803</v>
      </c>
      <c r="AB861" t="s">
        <v>78</v>
      </c>
      <c r="AC861" t="s">
        <v>79</v>
      </c>
      <c r="AD861" t="s">
        <v>75</v>
      </c>
      <c r="AE861" t="s">
        <v>80</v>
      </c>
      <c r="AG861" t="s">
        <v>81</v>
      </c>
    </row>
    <row r="862" spans="1:33" x14ac:dyDescent="0.25">
      <c r="A862" t="str">
        <f>"1972624120"</f>
        <v>1972624120</v>
      </c>
      <c r="B862" t="str">
        <f>"03082579"</f>
        <v>03082579</v>
      </c>
      <c r="C862" t="s">
        <v>9454</v>
      </c>
      <c r="D862" t="s">
        <v>9455</v>
      </c>
      <c r="E862" t="s">
        <v>9456</v>
      </c>
      <c r="G862" t="s">
        <v>6380</v>
      </c>
      <c r="H862" t="s">
        <v>4625</v>
      </c>
      <c r="J862" t="s">
        <v>6381</v>
      </c>
      <c r="L862" t="s">
        <v>83</v>
      </c>
      <c r="M862" t="s">
        <v>85</v>
      </c>
      <c r="R862" t="s">
        <v>9457</v>
      </c>
      <c r="W862" t="s">
        <v>9456</v>
      </c>
      <c r="X862" t="s">
        <v>2010</v>
      </c>
      <c r="Y862" t="s">
        <v>135</v>
      </c>
      <c r="Z862" t="s">
        <v>77</v>
      </c>
      <c r="AA862" t="str">
        <f>"14263-0001"</f>
        <v>14263-0001</v>
      </c>
      <c r="AB862" t="s">
        <v>78</v>
      </c>
      <c r="AC862" t="s">
        <v>79</v>
      </c>
      <c r="AD862" t="s">
        <v>75</v>
      </c>
      <c r="AE862" t="s">
        <v>80</v>
      </c>
      <c r="AG862" t="s">
        <v>81</v>
      </c>
    </row>
    <row r="863" spans="1:33" x14ac:dyDescent="0.25">
      <c r="A863" t="str">
        <f>"1619174240"</f>
        <v>1619174240</v>
      </c>
      <c r="B863" t="str">
        <f>"03106530"</f>
        <v>03106530</v>
      </c>
      <c r="C863" t="s">
        <v>9458</v>
      </c>
      <c r="D863" t="s">
        <v>9459</v>
      </c>
      <c r="E863" t="s">
        <v>9460</v>
      </c>
      <c r="G863" t="s">
        <v>6380</v>
      </c>
      <c r="H863" t="s">
        <v>4625</v>
      </c>
      <c r="J863" t="s">
        <v>6381</v>
      </c>
      <c r="L863" t="s">
        <v>84</v>
      </c>
      <c r="M863" t="s">
        <v>85</v>
      </c>
      <c r="R863" t="s">
        <v>9461</v>
      </c>
      <c r="W863" t="s">
        <v>9462</v>
      </c>
      <c r="X863" t="s">
        <v>4641</v>
      </c>
      <c r="Y863" t="s">
        <v>1823</v>
      </c>
      <c r="Z863" t="s">
        <v>77</v>
      </c>
      <c r="AA863" t="str">
        <f>"10940-4133"</f>
        <v>10940-4133</v>
      </c>
      <c r="AB863" t="s">
        <v>78</v>
      </c>
      <c r="AC863" t="s">
        <v>79</v>
      </c>
      <c r="AD863" t="s">
        <v>75</v>
      </c>
      <c r="AE863" t="s">
        <v>80</v>
      </c>
      <c r="AG863" t="s">
        <v>81</v>
      </c>
    </row>
    <row r="864" spans="1:33" x14ac:dyDescent="0.25">
      <c r="A864" t="str">
        <f>"1588788608"</f>
        <v>1588788608</v>
      </c>
      <c r="B864" t="str">
        <f>"02946798"</f>
        <v>02946798</v>
      </c>
      <c r="C864" t="s">
        <v>9463</v>
      </c>
      <c r="D864" t="s">
        <v>9464</v>
      </c>
      <c r="E864" t="s">
        <v>9465</v>
      </c>
      <c r="G864" t="s">
        <v>6494</v>
      </c>
      <c r="H864" t="s">
        <v>6495</v>
      </c>
      <c r="J864" t="s">
        <v>6496</v>
      </c>
      <c r="L864" t="s">
        <v>84</v>
      </c>
      <c r="M864" t="s">
        <v>85</v>
      </c>
      <c r="R864" t="s">
        <v>9466</v>
      </c>
      <c r="W864" t="s">
        <v>9465</v>
      </c>
      <c r="X864" t="s">
        <v>2850</v>
      </c>
      <c r="Y864" t="s">
        <v>131</v>
      </c>
      <c r="Z864" t="s">
        <v>77</v>
      </c>
      <c r="AA864" t="str">
        <f>"10460-5980"</f>
        <v>10460-5980</v>
      </c>
      <c r="AB864" t="s">
        <v>78</v>
      </c>
      <c r="AC864" t="s">
        <v>79</v>
      </c>
      <c r="AD864" t="s">
        <v>75</v>
      </c>
      <c r="AE864" t="s">
        <v>80</v>
      </c>
      <c r="AG864" t="s">
        <v>81</v>
      </c>
    </row>
    <row r="865" spans="1:33" x14ac:dyDescent="0.25">
      <c r="A865" t="str">
        <f>"1639198906"</f>
        <v>1639198906</v>
      </c>
      <c r="B865" t="str">
        <f>"02546298"</f>
        <v>02546298</v>
      </c>
      <c r="C865" t="s">
        <v>9467</v>
      </c>
      <c r="D865" t="s">
        <v>9468</v>
      </c>
      <c r="E865" t="s">
        <v>9469</v>
      </c>
      <c r="G865" t="s">
        <v>6494</v>
      </c>
      <c r="H865" t="s">
        <v>6495</v>
      </c>
      <c r="J865" t="s">
        <v>6496</v>
      </c>
      <c r="L865" t="s">
        <v>83</v>
      </c>
      <c r="M865" t="s">
        <v>85</v>
      </c>
      <c r="R865" t="s">
        <v>9470</v>
      </c>
      <c r="W865" t="s">
        <v>9469</v>
      </c>
      <c r="X865" t="s">
        <v>9471</v>
      </c>
      <c r="Y865" t="s">
        <v>97</v>
      </c>
      <c r="Z865" t="s">
        <v>77</v>
      </c>
      <c r="AA865" t="str">
        <f>"10009-7813"</f>
        <v>10009-7813</v>
      </c>
      <c r="AB865" t="s">
        <v>82</v>
      </c>
      <c r="AC865" t="s">
        <v>79</v>
      </c>
      <c r="AD865" t="s">
        <v>75</v>
      </c>
      <c r="AE865" t="s">
        <v>80</v>
      </c>
      <c r="AG865" t="s">
        <v>81</v>
      </c>
    </row>
    <row r="866" spans="1:33" x14ac:dyDescent="0.25">
      <c r="A866" t="str">
        <f>"1659571982"</f>
        <v>1659571982</v>
      </c>
      <c r="B866" t="str">
        <f>"03347091"</f>
        <v>03347091</v>
      </c>
      <c r="C866" t="s">
        <v>9472</v>
      </c>
      <c r="D866" t="s">
        <v>9473</v>
      </c>
      <c r="E866" t="s">
        <v>9474</v>
      </c>
      <c r="G866" t="s">
        <v>6494</v>
      </c>
      <c r="H866" t="s">
        <v>6495</v>
      </c>
      <c r="J866" t="s">
        <v>6496</v>
      </c>
      <c r="L866" t="s">
        <v>105</v>
      </c>
      <c r="M866" t="s">
        <v>75</v>
      </c>
      <c r="R866" t="s">
        <v>9475</v>
      </c>
      <c r="W866" t="s">
        <v>9474</v>
      </c>
      <c r="X866" t="s">
        <v>9471</v>
      </c>
      <c r="Y866" t="s">
        <v>97</v>
      </c>
      <c r="Z866" t="s">
        <v>77</v>
      </c>
      <c r="AA866" t="str">
        <f>"10009-7813"</f>
        <v>10009-7813</v>
      </c>
      <c r="AB866" t="s">
        <v>113</v>
      </c>
      <c r="AC866" t="s">
        <v>79</v>
      </c>
      <c r="AD866" t="s">
        <v>75</v>
      </c>
      <c r="AE866" t="s">
        <v>80</v>
      </c>
      <c r="AG866" t="s">
        <v>81</v>
      </c>
    </row>
    <row r="867" spans="1:33" x14ac:dyDescent="0.25">
      <c r="A867" t="str">
        <f>"1033296439"</f>
        <v>1033296439</v>
      </c>
      <c r="B867" t="str">
        <f>"01125819"</f>
        <v>01125819</v>
      </c>
      <c r="C867" t="s">
        <v>9476</v>
      </c>
      <c r="D867" t="s">
        <v>5697</v>
      </c>
      <c r="E867" t="s">
        <v>5698</v>
      </c>
      <c r="G867" t="s">
        <v>9477</v>
      </c>
      <c r="H867" t="s">
        <v>4867</v>
      </c>
      <c r="I867">
        <v>135</v>
      </c>
      <c r="J867" t="s">
        <v>5634</v>
      </c>
      <c r="L867" t="s">
        <v>83</v>
      </c>
      <c r="M867" t="s">
        <v>75</v>
      </c>
      <c r="R867" t="s">
        <v>5699</v>
      </c>
      <c r="W867" t="s">
        <v>5698</v>
      </c>
      <c r="X867" t="s">
        <v>4490</v>
      </c>
      <c r="Y867" t="s">
        <v>180</v>
      </c>
      <c r="Z867" t="s">
        <v>77</v>
      </c>
      <c r="AA867" t="str">
        <f>"10701-4080"</f>
        <v>10701-4080</v>
      </c>
      <c r="AB867" t="s">
        <v>78</v>
      </c>
      <c r="AC867" t="s">
        <v>79</v>
      </c>
      <c r="AD867" t="s">
        <v>75</v>
      </c>
      <c r="AE867" t="s">
        <v>80</v>
      </c>
      <c r="AG867" t="s">
        <v>81</v>
      </c>
    </row>
    <row r="868" spans="1:33" x14ac:dyDescent="0.25">
      <c r="A868" t="str">
        <f>"1730491903"</f>
        <v>1730491903</v>
      </c>
      <c r="B868" t="str">
        <f>"03733286"</f>
        <v>03733286</v>
      </c>
      <c r="C868" t="s">
        <v>9478</v>
      </c>
      <c r="D868" t="s">
        <v>9479</v>
      </c>
      <c r="E868" t="s">
        <v>9480</v>
      </c>
      <c r="G868" t="s">
        <v>6494</v>
      </c>
      <c r="H868" t="s">
        <v>6495</v>
      </c>
      <c r="J868" t="s">
        <v>6496</v>
      </c>
      <c r="L868" t="s">
        <v>83</v>
      </c>
      <c r="M868" t="s">
        <v>75</v>
      </c>
      <c r="R868" t="s">
        <v>9481</v>
      </c>
      <c r="W868" t="s">
        <v>9480</v>
      </c>
      <c r="X868" t="s">
        <v>3228</v>
      </c>
      <c r="Y868" t="s">
        <v>97</v>
      </c>
      <c r="Z868" t="s">
        <v>77</v>
      </c>
      <c r="AA868" t="str">
        <f>"10036-2904"</f>
        <v>10036-2904</v>
      </c>
      <c r="AB868" t="s">
        <v>108</v>
      </c>
      <c r="AC868" t="s">
        <v>79</v>
      </c>
      <c r="AD868" t="s">
        <v>75</v>
      </c>
      <c r="AE868" t="s">
        <v>80</v>
      </c>
      <c r="AG868" t="s">
        <v>81</v>
      </c>
    </row>
    <row r="869" spans="1:33" x14ac:dyDescent="0.25">
      <c r="A869" t="str">
        <f>"1083849954"</f>
        <v>1083849954</v>
      </c>
      <c r="B869" t="str">
        <f>"03391504"</f>
        <v>03391504</v>
      </c>
      <c r="C869" t="s">
        <v>9482</v>
      </c>
      <c r="D869" t="s">
        <v>9483</v>
      </c>
      <c r="E869" t="s">
        <v>9484</v>
      </c>
      <c r="G869" t="s">
        <v>6494</v>
      </c>
      <c r="H869" t="s">
        <v>6495</v>
      </c>
      <c r="J869" t="s">
        <v>6496</v>
      </c>
      <c r="L869" t="s">
        <v>74</v>
      </c>
      <c r="M869" t="s">
        <v>75</v>
      </c>
      <c r="R869" t="s">
        <v>9485</v>
      </c>
      <c r="W869" t="s">
        <v>9486</v>
      </c>
      <c r="X869" t="s">
        <v>3005</v>
      </c>
      <c r="Y869" t="s">
        <v>97</v>
      </c>
      <c r="Z869" t="s">
        <v>77</v>
      </c>
      <c r="AA869" t="str">
        <f>"10037-3320"</f>
        <v>10037-3320</v>
      </c>
      <c r="AB869" t="s">
        <v>108</v>
      </c>
      <c r="AC869" t="s">
        <v>79</v>
      </c>
      <c r="AD869" t="s">
        <v>75</v>
      </c>
      <c r="AE869" t="s">
        <v>80</v>
      </c>
      <c r="AG869" t="s">
        <v>81</v>
      </c>
    </row>
    <row r="870" spans="1:33" x14ac:dyDescent="0.25">
      <c r="A870" t="str">
        <f>"1164868659"</f>
        <v>1164868659</v>
      </c>
      <c r="B870" t="str">
        <f>"03583433"</f>
        <v>03583433</v>
      </c>
      <c r="C870" t="s">
        <v>9487</v>
      </c>
      <c r="D870" t="s">
        <v>9488</v>
      </c>
      <c r="E870" t="s">
        <v>9489</v>
      </c>
      <c r="G870" t="s">
        <v>9487</v>
      </c>
      <c r="H870" t="s">
        <v>7233</v>
      </c>
      <c r="J870" t="s">
        <v>9490</v>
      </c>
      <c r="L870" t="s">
        <v>102</v>
      </c>
      <c r="M870" t="s">
        <v>75</v>
      </c>
      <c r="R870" t="s">
        <v>9491</v>
      </c>
      <c r="W870" t="s">
        <v>9489</v>
      </c>
      <c r="X870" t="s">
        <v>9492</v>
      </c>
      <c r="Y870" t="s">
        <v>131</v>
      </c>
      <c r="Z870" t="s">
        <v>77</v>
      </c>
      <c r="AA870" t="str">
        <f>"10466-2314"</f>
        <v>10466-2314</v>
      </c>
      <c r="AB870" t="s">
        <v>114</v>
      </c>
      <c r="AC870" t="s">
        <v>79</v>
      </c>
      <c r="AD870" t="s">
        <v>75</v>
      </c>
      <c r="AE870" t="s">
        <v>80</v>
      </c>
      <c r="AG870" t="s">
        <v>81</v>
      </c>
    </row>
    <row r="871" spans="1:33" x14ac:dyDescent="0.25">
      <c r="A871" t="str">
        <f>"1265429922"</f>
        <v>1265429922</v>
      </c>
      <c r="B871" t="str">
        <f>"02605810"</f>
        <v>02605810</v>
      </c>
      <c r="C871" t="s">
        <v>9493</v>
      </c>
      <c r="D871" t="s">
        <v>9494</v>
      </c>
      <c r="E871" t="s">
        <v>9495</v>
      </c>
      <c r="G871" t="s">
        <v>6380</v>
      </c>
      <c r="H871" t="s">
        <v>4625</v>
      </c>
      <c r="J871" t="s">
        <v>6381</v>
      </c>
      <c r="L871" t="s">
        <v>83</v>
      </c>
      <c r="M871" t="s">
        <v>85</v>
      </c>
      <c r="R871" t="s">
        <v>9496</v>
      </c>
      <c r="W871" t="s">
        <v>9495</v>
      </c>
      <c r="X871" t="s">
        <v>4462</v>
      </c>
      <c r="Y871" t="s">
        <v>1823</v>
      </c>
      <c r="Z871" t="s">
        <v>77</v>
      </c>
      <c r="AA871" t="str">
        <f>"10941-4057"</f>
        <v>10941-4057</v>
      </c>
      <c r="AB871" t="s">
        <v>78</v>
      </c>
      <c r="AC871" t="s">
        <v>79</v>
      </c>
      <c r="AD871" t="s">
        <v>75</v>
      </c>
      <c r="AE871" t="s">
        <v>80</v>
      </c>
      <c r="AG871" t="s">
        <v>81</v>
      </c>
    </row>
    <row r="872" spans="1:33" x14ac:dyDescent="0.25">
      <c r="A872" t="str">
        <f>"1669461851"</f>
        <v>1669461851</v>
      </c>
      <c r="B872" t="str">
        <f>"02610520"</f>
        <v>02610520</v>
      </c>
      <c r="C872" t="s">
        <v>9497</v>
      </c>
      <c r="D872" t="s">
        <v>9498</v>
      </c>
      <c r="E872" t="s">
        <v>9499</v>
      </c>
      <c r="G872" t="s">
        <v>6380</v>
      </c>
      <c r="H872" t="s">
        <v>4625</v>
      </c>
      <c r="J872" t="s">
        <v>6381</v>
      </c>
      <c r="L872" t="s">
        <v>83</v>
      </c>
      <c r="M872" t="s">
        <v>85</v>
      </c>
      <c r="R872" t="s">
        <v>9500</v>
      </c>
      <c r="W872" t="s">
        <v>9501</v>
      </c>
      <c r="X872" t="s">
        <v>6503</v>
      </c>
      <c r="Y872" t="s">
        <v>1823</v>
      </c>
      <c r="Z872" t="s">
        <v>77</v>
      </c>
      <c r="AA872" t="str">
        <f>"10941-7001"</f>
        <v>10941-7001</v>
      </c>
      <c r="AB872" t="s">
        <v>78</v>
      </c>
      <c r="AC872" t="s">
        <v>79</v>
      </c>
      <c r="AD872" t="s">
        <v>75</v>
      </c>
      <c r="AE872" t="s">
        <v>80</v>
      </c>
      <c r="AG872" t="s">
        <v>81</v>
      </c>
    </row>
    <row r="873" spans="1:33" x14ac:dyDescent="0.25">
      <c r="A873" t="str">
        <f>"1033191226"</f>
        <v>1033191226</v>
      </c>
      <c r="B873" t="str">
        <f>"02614395"</f>
        <v>02614395</v>
      </c>
      <c r="C873" t="s">
        <v>9502</v>
      </c>
      <c r="D873" t="s">
        <v>9503</v>
      </c>
      <c r="E873" t="s">
        <v>9504</v>
      </c>
      <c r="G873" t="s">
        <v>6380</v>
      </c>
      <c r="H873" t="s">
        <v>4625</v>
      </c>
      <c r="J873" t="s">
        <v>6381</v>
      </c>
      <c r="L873" t="s">
        <v>84</v>
      </c>
      <c r="M873" t="s">
        <v>85</v>
      </c>
      <c r="R873" t="s">
        <v>9505</v>
      </c>
      <c r="W873" t="s">
        <v>9504</v>
      </c>
      <c r="X873" t="s">
        <v>1822</v>
      </c>
      <c r="Y873" t="s">
        <v>1823</v>
      </c>
      <c r="Z873" t="s">
        <v>77</v>
      </c>
      <c r="AA873" t="str">
        <f>"10941-4028"</f>
        <v>10941-4028</v>
      </c>
      <c r="AB873" t="s">
        <v>78</v>
      </c>
      <c r="AC873" t="s">
        <v>79</v>
      </c>
      <c r="AD873" t="s">
        <v>75</v>
      </c>
      <c r="AE873" t="s">
        <v>80</v>
      </c>
      <c r="AG873" t="s">
        <v>81</v>
      </c>
    </row>
    <row r="874" spans="1:33" x14ac:dyDescent="0.25">
      <c r="A874" t="str">
        <f>"1982646253"</f>
        <v>1982646253</v>
      </c>
      <c r="B874" t="str">
        <f>"00905739"</f>
        <v>00905739</v>
      </c>
      <c r="C874" t="s">
        <v>9506</v>
      </c>
      <c r="D874" t="s">
        <v>9507</v>
      </c>
      <c r="E874" t="s">
        <v>9508</v>
      </c>
      <c r="G874" t="s">
        <v>9506</v>
      </c>
      <c r="H874" t="s">
        <v>9509</v>
      </c>
      <c r="L874" t="s">
        <v>83</v>
      </c>
      <c r="M874" t="s">
        <v>85</v>
      </c>
      <c r="R874" t="s">
        <v>9510</v>
      </c>
      <c r="W874" t="s">
        <v>9508</v>
      </c>
      <c r="X874" t="s">
        <v>9511</v>
      </c>
      <c r="Y874" t="s">
        <v>394</v>
      </c>
      <c r="Z874" t="s">
        <v>77</v>
      </c>
      <c r="AA874" t="str">
        <f>"11104-2046"</f>
        <v>11104-2046</v>
      </c>
      <c r="AB874" t="s">
        <v>78</v>
      </c>
      <c r="AC874" t="s">
        <v>79</v>
      </c>
      <c r="AD874" t="s">
        <v>75</v>
      </c>
      <c r="AE874" t="s">
        <v>80</v>
      </c>
      <c r="AG874" t="s">
        <v>81</v>
      </c>
    </row>
    <row r="875" spans="1:33" x14ac:dyDescent="0.25">
      <c r="A875" t="str">
        <f>"1407917289"</f>
        <v>1407917289</v>
      </c>
      <c r="B875" t="str">
        <f>"03174912"</f>
        <v>03174912</v>
      </c>
      <c r="C875" t="s">
        <v>9512</v>
      </c>
      <c r="D875" t="s">
        <v>3068</v>
      </c>
      <c r="E875" t="s">
        <v>3069</v>
      </c>
      <c r="G875" t="s">
        <v>9513</v>
      </c>
      <c r="H875" t="s">
        <v>9514</v>
      </c>
      <c r="J875" t="s">
        <v>9515</v>
      </c>
      <c r="L875" t="s">
        <v>84</v>
      </c>
      <c r="M875" t="s">
        <v>85</v>
      </c>
      <c r="R875" t="s">
        <v>3070</v>
      </c>
      <c r="W875" t="s">
        <v>3071</v>
      </c>
      <c r="X875" t="s">
        <v>3064</v>
      </c>
      <c r="Y875" t="s">
        <v>87</v>
      </c>
      <c r="Z875" t="s">
        <v>77</v>
      </c>
      <c r="AA875" t="str">
        <f>"11216-3903"</f>
        <v>11216-3903</v>
      </c>
      <c r="AB875" t="s">
        <v>78</v>
      </c>
      <c r="AC875" t="s">
        <v>79</v>
      </c>
      <c r="AD875" t="s">
        <v>75</v>
      </c>
      <c r="AE875" t="s">
        <v>80</v>
      </c>
      <c r="AG875" t="s">
        <v>81</v>
      </c>
    </row>
    <row r="876" spans="1:33" x14ac:dyDescent="0.25">
      <c r="A876" t="str">
        <f>"1578764916"</f>
        <v>1578764916</v>
      </c>
      <c r="B876" t="str">
        <f>"03267558"</f>
        <v>03267558</v>
      </c>
      <c r="C876" t="s">
        <v>9513</v>
      </c>
      <c r="D876" t="s">
        <v>9516</v>
      </c>
      <c r="E876" t="s">
        <v>9517</v>
      </c>
      <c r="G876" t="s">
        <v>9513</v>
      </c>
      <c r="H876" t="s">
        <v>9514</v>
      </c>
      <c r="J876" t="s">
        <v>9515</v>
      </c>
      <c r="L876" t="s">
        <v>74</v>
      </c>
      <c r="M876" t="s">
        <v>85</v>
      </c>
      <c r="W876" t="s">
        <v>9517</v>
      </c>
      <c r="X876" t="s">
        <v>5366</v>
      </c>
      <c r="Y876" t="s">
        <v>131</v>
      </c>
      <c r="Z876" t="s">
        <v>77</v>
      </c>
      <c r="AA876" t="str">
        <f>"10457-6305"</f>
        <v>10457-6305</v>
      </c>
      <c r="AB876" t="s">
        <v>78</v>
      </c>
      <c r="AC876" t="s">
        <v>79</v>
      </c>
      <c r="AD876" t="s">
        <v>75</v>
      </c>
      <c r="AE876" t="s">
        <v>80</v>
      </c>
      <c r="AG876" t="s">
        <v>81</v>
      </c>
    </row>
    <row r="877" spans="1:33" x14ac:dyDescent="0.25">
      <c r="A877" t="str">
        <f>"1730231911"</f>
        <v>1730231911</v>
      </c>
      <c r="B877" t="str">
        <f>"01931979"</f>
        <v>01931979</v>
      </c>
      <c r="C877" t="s">
        <v>9518</v>
      </c>
      <c r="D877" t="s">
        <v>9519</v>
      </c>
      <c r="E877" t="s">
        <v>9520</v>
      </c>
      <c r="G877" t="s">
        <v>6930</v>
      </c>
      <c r="H877" t="s">
        <v>6931</v>
      </c>
      <c r="J877" t="s">
        <v>6932</v>
      </c>
      <c r="L877" t="s">
        <v>83</v>
      </c>
      <c r="M877" t="s">
        <v>75</v>
      </c>
      <c r="R877" t="s">
        <v>9521</v>
      </c>
      <c r="W877" t="s">
        <v>9520</v>
      </c>
      <c r="X877" t="s">
        <v>1531</v>
      </c>
      <c r="Y877" t="s">
        <v>97</v>
      </c>
      <c r="Z877" t="s">
        <v>77</v>
      </c>
      <c r="AA877" t="str">
        <f>"10036-8005"</f>
        <v>10036-8005</v>
      </c>
      <c r="AB877" t="s">
        <v>108</v>
      </c>
      <c r="AC877" t="s">
        <v>79</v>
      </c>
      <c r="AD877" t="s">
        <v>75</v>
      </c>
      <c r="AE877" t="s">
        <v>80</v>
      </c>
      <c r="AG877" t="s">
        <v>81</v>
      </c>
    </row>
    <row r="878" spans="1:33" x14ac:dyDescent="0.25">
      <c r="A878" t="str">
        <f>"1578566485"</f>
        <v>1578566485</v>
      </c>
      <c r="B878" t="str">
        <f>"00744394"</f>
        <v>00744394</v>
      </c>
      <c r="C878" t="s">
        <v>9522</v>
      </c>
      <c r="D878" t="s">
        <v>1633</v>
      </c>
      <c r="E878" t="s">
        <v>1634</v>
      </c>
      <c r="G878" t="s">
        <v>6930</v>
      </c>
      <c r="H878" t="s">
        <v>6931</v>
      </c>
      <c r="J878" t="s">
        <v>6932</v>
      </c>
      <c r="L878" t="s">
        <v>74</v>
      </c>
      <c r="M878" t="s">
        <v>75</v>
      </c>
      <c r="R878" t="s">
        <v>1632</v>
      </c>
      <c r="W878" t="s">
        <v>1634</v>
      </c>
      <c r="X878" t="s">
        <v>1635</v>
      </c>
      <c r="Y878" t="s">
        <v>231</v>
      </c>
      <c r="Z878" t="s">
        <v>77</v>
      </c>
      <c r="AA878" t="str">
        <f>"11779-2375"</f>
        <v>11779-2375</v>
      </c>
      <c r="AB878" t="s">
        <v>108</v>
      </c>
      <c r="AC878" t="s">
        <v>79</v>
      </c>
      <c r="AD878" t="s">
        <v>75</v>
      </c>
      <c r="AE878" t="s">
        <v>80</v>
      </c>
      <c r="AG878" t="s">
        <v>81</v>
      </c>
    </row>
    <row r="879" spans="1:33" x14ac:dyDescent="0.25">
      <c r="A879" t="str">
        <f>"1598793796"</f>
        <v>1598793796</v>
      </c>
      <c r="B879" t="str">
        <f>"00969264"</f>
        <v>00969264</v>
      </c>
      <c r="C879" t="s">
        <v>9523</v>
      </c>
      <c r="D879" t="s">
        <v>9524</v>
      </c>
      <c r="E879" t="s">
        <v>9525</v>
      </c>
      <c r="G879" t="s">
        <v>6930</v>
      </c>
      <c r="H879" t="s">
        <v>6931</v>
      </c>
      <c r="J879" t="s">
        <v>6932</v>
      </c>
      <c r="L879" t="s">
        <v>74</v>
      </c>
      <c r="M879" t="s">
        <v>75</v>
      </c>
      <c r="R879" t="s">
        <v>9526</v>
      </c>
      <c r="W879" t="s">
        <v>9527</v>
      </c>
      <c r="X879" t="s">
        <v>1531</v>
      </c>
      <c r="Y879" t="s">
        <v>97</v>
      </c>
      <c r="Z879" t="s">
        <v>77</v>
      </c>
      <c r="AA879" t="str">
        <f>"10036-8005"</f>
        <v>10036-8005</v>
      </c>
      <c r="AB879" t="s">
        <v>78</v>
      </c>
      <c r="AC879" t="s">
        <v>79</v>
      </c>
      <c r="AD879" t="s">
        <v>75</v>
      </c>
      <c r="AE879" t="s">
        <v>80</v>
      </c>
      <c r="AG879" t="s">
        <v>81</v>
      </c>
    </row>
    <row r="880" spans="1:33" x14ac:dyDescent="0.25">
      <c r="A880" t="str">
        <f>"1295704559"</f>
        <v>1295704559</v>
      </c>
      <c r="B880" t="str">
        <f>"00719255"</f>
        <v>00719255</v>
      </c>
      <c r="C880" t="s">
        <v>9528</v>
      </c>
      <c r="D880" t="s">
        <v>1637</v>
      </c>
      <c r="E880" t="s">
        <v>1638</v>
      </c>
      <c r="G880" t="s">
        <v>6930</v>
      </c>
      <c r="H880" t="s">
        <v>6931</v>
      </c>
      <c r="J880" t="s">
        <v>6932</v>
      </c>
      <c r="L880" t="s">
        <v>83</v>
      </c>
      <c r="M880" t="s">
        <v>75</v>
      </c>
      <c r="R880" t="s">
        <v>1636</v>
      </c>
      <c r="W880" t="s">
        <v>1638</v>
      </c>
      <c r="X880" t="s">
        <v>1531</v>
      </c>
      <c r="Y880" t="s">
        <v>97</v>
      </c>
      <c r="Z880" t="s">
        <v>77</v>
      </c>
      <c r="AA880" t="str">
        <f>"10036-8005"</f>
        <v>10036-8005</v>
      </c>
      <c r="AB880" t="s">
        <v>108</v>
      </c>
      <c r="AC880" t="s">
        <v>79</v>
      </c>
      <c r="AD880" t="s">
        <v>75</v>
      </c>
      <c r="AE880" t="s">
        <v>80</v>
      </c>
      <c r="AG880" t="s">
        <v>81</v>
      </c>
    </row>
    <row r="881" spans="1:33" x14ac:dyDescent="0.25">
      <c r="A881" t="str">
        <f>"1225235385"</f>
        <v>1225235385</v>
      </c>
      <c r="B881" t="str">
        <f>"02986730"</f>
        <v>02986730</v>
      </c>
      <c r="C881" t="s">
        <v>9529</v>
      </c>
      <c r="D881" t="s">
        <v>9530</v>
      </c>
      <c r="E881" t="s">
        <v>9531</v>
      </c>
      <c r="G881" t="s">
        <v>6380</v>
      </c>
      <c r="H881" t="s">
        <v>4625</v>
      </c>
      <c r="J881" t="s">
        <v>6381</v>
      </c>
      <c r="L881" t="s">
        <v>84</v>
      </c>
      <c r="M881" t="s">
        <v>85</v>
      </c>
      <c r="R881" t="s">
        <v>9531</v>
      </c>
      <c r="W881" t="s">
        <v>9531</v>
      </c>
      <c r="X881" t="s">
        <v>1822</v>
      </c>
      <c r="Y881" t="s">
        <v>1823</v>
      </c>
      <c r="Z881" t="s">
        <v>77</v>
      </c>
      <c r="AA881" t="str">
        <f>"10941-4028"</f>
        <v>10941-4028</v>
      </c>
      <c r="AB881" t="s">
        <v>78</v>
      </c>
      <c r="AC881" t="s">
        <v>79</v>
      </c>
      <c r="AD881" t="s">
        <v>75</v>
      </c>
      <c r="AE881" t="s">
        <v>80</v>
      </c>
      <c r="AG881" t="s">
        <v>81</v>
      </c>
    </row>
    <row r="882" spans="1:33" x14ac:dyDescent="0.25">
      <c r="A882" t="str">
        <f>"1114123742"</f>
        <v>1114123742</v>
      </c>
      <c r="B882" t="str">
        <f>"02991160"</f>
        <v>02991160</v>
      </c>
      <c r="C882" t="s">
        <v>9532</v>
      </c>
      <c r="D882" t="s">
        <v>9533</v>
      </c>
      <c r="E882" t="s">
        <v>9534</v>
      </c>
      <c r="G882" t="s">
        <v>6380</v>
      </c>
      <c r="H882" t="s">
        <v>4625</v>
      </c>
      <c r="J882" t="s">
        <v>6381</v>
      </c>
      <c r="L882" t="s">
        <v>84</v>
      </c>
      <c r="M882" t="s">
        <v>85</v>
      </c>
      <c r="R882" t="s">
        <v>9535</v>
      </c>
      <c r="W882" t="s">
        <v>9536</v>
      </c>
      <c r="X882" t="s">
        <v>1822</v>
      </c>
      <c r="Y882" t="s">
        <v>1823</v>
      </c>
      <c r="Z882" t="s">
        <v>77</v>
      </c>
      <c r="AA882" t="str">
        <f>"10941-4028"</f>
        <v>10941-4028</v>
      </c>
      <c r="AB882" t="s">
        <v>78</v>
      </c>
      <c r="AC882" t="s">
        <v>79</v>
      </c>
      <c r="AD882" t="s">
        <v>75</v>
      </c>
      <c r="AE882" t="s">
        <v>80</v>
      </c>
      <c r="AG882" t="s">
        <v>81</v>
      </c>
    </row>
    <row r="883" spans="1:33" x14ac:dyDescent="0.25">
      <c r="A883" t="str">
        <f>"1346418407"</f>
        <v>1346418407</v>
      </c>
      <c r="B883" t="str">
        <f>"02974665"</f>
        <v>02974665</v>
      </c>
      <c r="C883" t="s">
        <v>9537</v>
      </c>
      <c r="D883" t="s">
        <v>9538</v>
      </c>
      <c r="E883" t="s">
        <v>9539</v>
      </c>
      <c r="G883" t="s">
        <v>6380</v>
      </c>
      <c r="H883" t="s">
        <v>4625</v>
      </c>
      <c r="J883" t="s">
        <v>6381</v>
      </c>
      <c r="L883" t="s">
        <v>74</v>
      </c>
      <c r="M883" t="s">
        <v>85</v>
      </c>
      <c r="R883" t="s">
        <v>9540</v>
      </c>
      <c r="W883" t="s">
        <v>9540</v>
      </c>
      <c r="X883" t="s">
        <v>1822</v>
      </c>
      <c r="Y883" t="s">
        <v>1823</v>
      </c>
      <c r="Z883" t="s">
        <v>77</v>
      </c>
      <c r="AA883" t="str">
        <f>"10941-4028"</f>
        <v>10941-4028</v>
      </c>
      <c r="AB883" t="s">
        <v>78</v>
      </c>
      <c r="AC883" t="s">
        <v>79</v>
      </c>
      <c r="AD883" t="s">
        <v>75</v>
      </c>
      <c r="AE883" t="s">
        <v>80</v>
      </c>
      <c r="AG883" t="s">
        <v>81</v>
      </c>
    </row>
    <row r="884" spans="1:33" x14ac:dyDescent="0.25">
      <c r="A884" t="str">
        <f>"1265720619"</f>
        <v>1265720619</v>
      </c>
      <c r="B884" t="str">
        <f>"03422259"</f>
        <v>03422259</v>
      </c>
      <c r="C884" t="s">
        <v>9541</v>
      </c>
      <c r="D884" t="s">
        <v>9542</v>
      </c>
      <c r="E884" t="s">
        <v>9543</v>
      </c>
      <c r="G884" t="s">
        <v>6494</v>
      </c>
      <c r="H884" t="s">
        <v>6495</v>
      </c>
      <c r="J884" t="s">
        <v>6496</v>
      </c>
      <c r="L884" t="s">
        <v>84</v>
      </c>
      <c r="M884" t="s">
        <v>75</v>
      </c>
      <c r="R884" t="s">
        <v>9543</v>
      </c>
      <c r="W884" t="s">
        <v>9543</v>
      </c>
      <c r="X884" t="s">
        <v>9544</v>
      </c>
      <c r="Y884" t="s">
        <v>3642</v>
      </c>
      <c r="Z884" t="s">
        <v>77</v>
      </c>
      <c r="AA884" t="str">
        <f>"11552-1536"</f>
        <v>11552-1536</v>
      </c>
      <c r="AB884" t="s">
        <v>78</v>
      </c>
      <c r="AC884" t="s">
        <v>79</v>
      </c>
      <c r="AD884" t="s">
        <v>75</v>
      </c>
      <c r="AE884" t="s">
        <v>80</v>
      </c>
      <c r="AG884" t="s">
        <v>81</v>
      </c>
    </row>
    <row r="885" spans="1:33" x14ac:dyDescent="0.25">
      <c r="A885" t="str">
        <f>"1366766354"</f>
        <v>1366766354</v>
      </c>
      <c r="B885" t="str">
        <f>"03227149"</f>
        <v>03227149</v>
      </c>
      <c r="C885" t="s">
        <v>9545</v>
      </c>
      <c r="D885" t="s">
        <v>9546</v>
      </c>
      <c r="E885" t="s">
        <v>9547</v>
      </c>
      <c r="G885" t="s">
        <v>6494</v>
      </c>
      <c r="H885" t="s">
        <v>6495</v>
      </c>
      <c r="J885" t="s">
        <v>6496</v>
      </c>
      <c r="L885" t="s">
        <v>74</v>
      </c>
      <c r="M885" t="s">
        <v>85</v>
      </c>
      <c r="R885" t="s">
        <v>9548</v>
      </c>
      <c r="W885" t="s">
        <v>9549</v>
      </c>
      <c r="X885" t="s">
        <v>9550</v>
      </c>
      <c r="Y885" t="s">
        <v>87</v>
      </c>
      <c r="Z885" t="s">
        <v>77</v>
      </c>
      <c r="AA885" t="str">
        <f>"11222-2539"</f>
        <v>11222-2539</v>
      </c>
      <c r="AB885" t="s">
        <v>82</v>
      </c>
      <c r="AC885" t="s">
        <v>79</v>
      </c>
      <c r="AD885" t="s">
        <v>75</v>
      </c>
      <c r="AE885" t="s">
        <v>80</v>
      </c>
      <c r="AG885" t="s">
        <v>81</v>
      </c>
    </row>
    <row r="886" spans="1:33" x14ac:dyDescent="0.25">
      <c r="A886" t="str">
        <f>"1497862197"</f>
        <v>1497862197</v>
      </c>
      <c r="B886" t="str">
        <f>"02791835"</f>
        <v>02791835</v>
      </c>
      <c r="C886" t="s">
        <v>9551</v>
      </c>
      <c r="D886" t="s">
        <v>9552</v>
      </c>
      <c r="E886" t="s">
        <v>9553</v>
      </c>
      <c r="G886" t="s">
        <v>6494</v>
      </c>
      <c r="H886" t="s">
        <v>6495</v>
      </c>
      <c r="J886" t="s">
        <v>6496</v>
      </c>
      <c r="L886" t="s">
        <v>74</v>
      </c>
      <c r="M886" t="s">
        <v>85</v>
      </c>
      <c r="R886" t="s">
        <v>9553</v>
      </c>
      <c r="W886" t="s">
        <v>9554</v>
      </c>
      <c r="X886" t="s">
        <v>9471</v>
      </c>
      <c r="Y886" t="s">
        <v>97</v>
      </c>
      <c r="Z886" t="s">
        <v>77</v>
      </c>
      <c r="AA886" t="str">
        <f>"10009-7813"</f>
        <v>10009-7813</v>
      </c>
      <c r="AB886" t="s">
        <v>82</v>
      </c>
      <c r="AC886" t="s">
        <v>79</v>
      </c>
      <c r="AD886" t="s">
        <v>75</v>
      </c>
      <c r="AE886" t="s">
        <v>80</v>
      </c>
      <c r="AG886" t="s">
        <v>81</v>
      </c>
    </row>
    <row r="887" spans="1:33" x14ac:dyDescent="0.25">
      <c r="A887" t="str">
        <f>"1700872082"</f>
        <v>1700872082</v>
      </c>
      <c r="B887" t="str">
        <f>"00735373"</f>
        <v>00735373</v>
      </c>
      <c r="C887" t="s">
        <v>9555</v>
      </c>
      <c r="D887" t="s">
        <v>9556</v>
      </c>
      <c r="E887" t="s">
        <v>9557</v>
      </c>
      <c r="G887" t="s">
        <v>9555</v>
      </c>
      <c r="H887" t="s">
        <v>9558</v>
      </c>
      <c r="J887" t="s">
        <v>9559</v>
      </c>
      <c r="L887" t="s">
        <v>84</v>
      </c>
      <c r="M887" t="s">
        <v>75</v>
      </c>
      <c r="R887" t="s">
        <v>9560</v>
      </c>
      <c r="W887" t="s">
        <v>9561</v>
      </c>
      <c r="X887" t="s">
        <v>9562</v>
      </c>
      <c r="Y887" t="s">
        <v>129</v>
      </c>
      <c r="Z887" t="s">
        <v>77</v>
      </c>
      <c r="AA887" t="str">
        <f>"11372-5804"</f>
        <v>11372-5804</v>
      </c>
      <c r="AB887" t="s">
        <v>78</v>
      </c>
      <c r="AC887" t="s">
        <v>79</v>
      </c>
      <c r="AD887" t="s">
        <v>75</v>
      </c>
      <c r="AE887" t="s">
        <v>80</v>
      </c>
      <c r="AG887" t="s">
        <v>81</v>
      </c>
    </row>
    <row r="888" spans="1:33" x14ac:dyDescent="0.25">
      <c r="A888" t="str">
        <f>"1699773291"</f>
        <v>1699773291</v>
      </c>
      <c r="B888" t="str">
        <f>"00759673"</f>
        <v>00759673</v>
      </c>
      <c r="C888" t="s">
        <v>9563</v>
      </c>
      <c r="D888" t="s">
        <v>9564</v>
      </c>
      <c r="E888" t="s">
        <v>9565</v>
      </c>
      <c r="G888" t="s">
        <v>9563</v>
      </c>
      <c r="H888" t="s">
        <v>9566</v>
      </c>
      <c r="L888" t="s">
        <v>84</v>
      </c>
      <c r="M888" t="s">
        <v>75</v>
      </c>
      <c r="R888" t="s">
        <v>9567</v>
      </c>
      <c r="W888" t="s">
        <v>9565</v>
      </c>
      <c r="X888" t="s">
        <v>926</v>
      </c>
      <c r="Y888" t="s">
        <v>236</v>
      </c>
      <c r="Z888" t="s">
        <v>77</v>
      </c>
      <c r="AA888" t="str">
        <f>"11102-3544"</f>
        <v>11102-3544</v>
      </c>
      <c r="AB888" t="s">
        <v>78</v>
      </c>
      <c r="AC888" t="s">
        <v>79</v>
      </c>
      <c r="AD888" t="s">
        <v>75</v>
      </c>
      <c r="AE888" t="s">
        <v>80</v>
      </c>
      <c r="AG888" t="s">
        <v>81</v>
      </c>
    </row>
    <row r="889" spans="1:33" x14ac:dyDescent="0.25">
      <c r="A889" t="str">
        <f>"1942226410"</f>
        <v>1942226410</v>
      </c>
      <c r="B889" t="str">
        <f>"01630524"</f>
        <v>01630524</v>
      </c>
      <c r="C889" t="s">
        <v>9568</v>
      </c>
      <c r="D889" t="s">
        <v>9569</v>
      </c>
      <c r="E889" t="s">
        <v>9570</v>
      </c>
      <c r="G889" t="s">
        <v>9568</v>
      </c>
      <c r="H889" t="s">
        <v>9571</v>
      </c>
      <c r="L889" t="s">
        <v>84</v>
      </c>
      <c r="M889" t="s">
        <v>75</v>
      </c>
      <c r="R889" t="s">
        <v>9572</v>
      </c>
      <c r="W889" t="s">
        <v>9570</v>
      </c>
      <c r="X889" t="s">
        <v>9573</v>
      </c>
      <c r="Y889" t="s">
        <v>236</v>
      </c>
      <c r="Z889" t="s">
        <v>77</v>
      </c>
      <c r="AA889" t="str">
        <f>"11102-3255"</f>
        <v>11102-3255</v>
      </c>
      <c r="AB889" t="s">
        <v>78</v>
      </c>
      <c r="AC889" t="s">
        <v>79</v>
      </c>
      <c r="AD889" t="s">
        <v>75</v>
      </c>
      <c r="AE889" t="s">
        <v>80</v>
      </c>
      <c r="AG889" t="s">
        <v>81</v>
      </c>
    </row>
    <row r="890" spans="1:33" x14ac:dyDescent="0.25">
      <c r="A890" t="str">
        <f>"1689720450"</f>
        <v>1689720450</v>
      </c>
      <c r="B890" t="str">
        <f>"01675878"</f>
        <v>01675878</v>
      </c>
      <c r="C890" t="s">
        <v>9574</v>
      </c>
      <c r="D890" t="s">
        <v>9575</v>
      </c>
      <c r="E890" t="s">
        <v>9576</v>
      </c>
      <c r="G890" t="s">
        <v>9574</v>
      </c>
      <c r="H890" t="s">
        <v>9577</v>
      </c>
      <c r="L890" t="s">
        <v>74</v>
      </c>
      <c r="M890" t="s">
        <v>75</v>
      </c>
      <c r="R890" t="s">
        <v>9578</v>
      </c>
      <c r="W890" t="s">
        <v>9579</v>
      </c>
      <c r="X890" t="s">
        <v>9580</v>
      </c>
      <c r="Y890" t="s">
        <v>165</v>
      </c>
      <c r="Z890" t="s">
        <v>77</v>
      </c>
      <c r="AA890" t="str">
        <f>"11004-1312"</f>
        <v>11004-1312</v>
      </c>
      <c r="AB890" t="s">
        <v>78</v>
      </c>
      <c r="AC890" t="s">
        <v>79</v>
      </c>
      <c r="AD890" t="s">
        <v>75</v>
      </c>
      <c r="AE890" t="s">
        <v>80</v>
      </c>
      <c r="AG890" t="s">
        <v>81</v>
      </c>
    </row>
    <row r="891" spans="1:33" x14ac:dyDescent="0.25">
      <c r="A891" t="str">
        <f>"1033205117"</f>
        <v>1033205117</v>
      </c>
      <c r="B891" t="str">
        <f>"00920356"</f>
        <v>00920356</v>
      </c>
      <c r="C891" t="s">
        <v>9581</v>
      </c>
      <c r="D891" t="s">
        <v>9582</v>
      </c>
      <c r="E891" t="s">
        <v>9583</v>
      </c>
      <c r="G891" t="s">
        <v>9581</v>
      </c>
      <c r="H891" t="s">
        <v>9584</v>
      </c>
      <c r="L891" t="s">
        <v>84</v>
      </c>
      <c r="M891" t="s">
        <v>75</v>
      </c>
      <c r="R891" t="s">
        <v>9585</v>
      </c>
      <c r="W891" t="s">
        <v>9583</v>
      </c>
      <c r="X891" t="s">
        <v>9586</v>
      </c>
      <c r="Y891" t="s">
        <v>236</v>
      </c>
      <c r="Z891" t="s">
        <v>77</v>
      </c>
      <c r="AA891" t="str">
        <f>"11103-4260"</f>
        <v>11103-4260</v>
      </c>
      <c r="AB891" t="s">
        <v>78</v>
      </c>
      <c r="AC891" t="s">
        <v>79</v>
      </c>
      <c r="AD891" t="s">
        <v>75</v>
      </c>
      <c r="AE891" t="s">
        <v>80</v>
      </c>
      <c r="AG891" t="s">
        <v>81</v>
      </c>
    </row>
    <row r="892" spans="1:33" x14ac:dyDescent="0.25">
      <c r="A892" t="str">
        <f>"1588677504"</f>
        <v>1588677504</v>
      </c>
      <c r="B892" t="str">
        <f>"02784343"</f>
        <v>02784343</v>
      </c>
      <c r="C892" t="s">
        <v>9587</v>
      </c>
      <c r="D892" t="s">
        <v>9588</v>
      </c>
      <c r="E892" t="s">
        <v>9589</v>
      </c>
      <c r="G892" t="s">
        <v>9587</v>
      </c>
      <c r="H892" t="s">
        <v>9590</v>
      </c>
      <c r="L892" t="s">
        <v>94</v>
      </c>
      <c r="M892" t="s">
        <v>75</v>
      </c>
      <c r="R892" t="s">
        <v>9591</v>
      </c>
      <c r="W892" t="s">
        <v>9589</v>
      </c>
      <c r="X892" t="s">
        <v>4836</v>
      </c>
      <c r="Y892" t="s">
        <v>3733</v>
      </c>
      <c r="Z892" t="s">
        <v>77</v>
      </c>
      <c r="AA892" t="str">
        <f>"11559-1216"</f>
        <v>11559-1216</v>
      </c>
      <c r="AB892" t="s">
        <v>78</v>
      </c>
      <c r="AC892" t="s">
        <v>79</v>
      </c>
      <c r="AD892" t="s">
        <v>75</v>
      </c>
      <c r="AE892" t="s">
        <v>80</v>
      </c>
      <c r="AG892" t="s">
        <v>81</v>
      </c>
    </row>
    <row r="893" spans="1:33" x14ac:dyDescent="0.25">
      <c r="A893" t="str">
        <f>"1528328598"</f>
        <v>1528328598</v>
      </c>
      <c r="B893" t="str">
        <f>"03820422"</f>
        <v>03820422</v>
      </c>
      <c r="C893" t="s">
        <v>9592</v>
      </c>
      <c r="D893" t="s">
        <v>9593</v>
      </c>
      <c r="E893" t="s">
        <v>9594</v>
      </c>
      <c r="G893" t="s">
        <v>6800</v>
      </c>
      <c r="H893" t="s">
        <v>6801</v>
      </c>
      <c r="I893">
        <v>6381</v>
      </c>
      <c r="J893" t="s">
        <v>6802</v>
      </c>
      <c r="L893" t="s">
        <v>74</v>
      </c>
      <c r="M893" t="s">
        <v>75</v>
      </c>
      <c r="R893" t="s">
        <v>9595</v>
      </c>
      <c r="W893" t="s">
        <v>9594</v>
      </c>
      <c r="X893" t="s">
        <v>3538</v>
      </c>
      <c r="Y893" t="s">
        <v>131</v>
      </c>
      <c r="Z893" t="s">
        <v>77</v>
      </c>
      <c r="AA893" t="str">
        <f>"10461-5726"</f>
        <v>10461-5726</v>
      </c>
      <c r="AB893" t="s">
        <v>109</v>
      </c>
      <c r="AC893" t="s">
        <v>79</v>
      </c>
      <c r="AD893" t="s">
        <v>75</v>
      </c>
      <c r="AE893" t="s">
        <v>80</v>
      </c>
      <c r="AG893" t="s">
        <v>81</v>
      </c>
    </row>
    <row r="894" spans="1:33" x14ac:dyDescent="0.25">
      <c r="A894" t="str">
        <f>"1891105839"</f>
        <v>1891105839</v>
      </c>
      <c r="B894" t="str">
        <f>"03860006"</f>
        <v>03860006</v>
      </c>
      <c r="C894" t="s">
        <v>9596</v>
      </c>
      <c r="D894" t="s">
        <v>9597</v>
      </c>
      <c r="E894" t="s">
        <v>9598</v>
      </c>
      <c r="G894" t="s">
        <v>6800</v>
      </c>
      <c r="H894" t="s">
        <v>6801</v>
      </c>
      <c r="I894">
        <v>6381</v>
      </c>
      <c r="J894" t="s">
        <v>6802</v>
      </c>
      <c r="L894" t="s">
        <v>74</v>
      </c>
      <c r="M894" t="s">
        <v>75</v>
      </c>
      <c r="R894" t="s">
        <v>9598</v>
      </c>
      <c r="W894" t="s">
        <v>9598</v>
      </c>
      <c r="X894" t="s">
        <v>9151</v>
      </c>
      <c r="Y894" t="s">
        <v>97</v>
      </c>
      <c r="Z894" t="s">
        <v>77</v>
      </c>
      <c r="AA894" t="str">
        <f>"10001-2320"</f>
        <v>10001-2320</v>
      </c>
      <c r="AB894" t="s">
        <v>109</v>
      </c>
      <c r="AC894" t="s">
        <v>79</v>
      </c>
      <c r="AD894" t="s">
        <v>75</v>
      </c>
      <c r="AE894" t="s">
        <v>80</v>
      </c>
      <c r="AG894" t="s">
        <v>81</v>
      </c>
    </row>
    <row r="895" spans="1:33" x14ac:dyDescent="0.25">
      <c r="A895" t="str">
        <f>"1194823724"</f>
        <v>1194823724</v>
      </c>
      <c r="B895" t="str">
        <f>"03797486"</f>
        <v>03797486</v>
      </c>
      <c r="C895" t="s">
        <v>9599</v>
      </c>
      <c r="D895" t="s">
        <v>9600</v>
      </c>
      <c r="E895" t="s">
        <v>9601</v>
      </c>
      <c r="G895" t="s">
        <v>6494</v>
      </c>
      <c r="H895" t="s">
        <v>6495</v>
      </c>
      <c r="J895" t="s">
        <v>6496</v>
      </c>
      <c r="L895" t="s">
        <v>84</v>
      </c>
      <c r="M895" t="s">
        <v>75</v>
      </c>
      <c r="R895" t="s">
        <v>9601</v>
      </c>
      <c r="W895" t="s">
        <v>9601</v>
      </c>
      <c r="X895" t="s">
        <v>2808</v>
      </c>
      <c r="Y895" t="s">
        <v>97</v>
      </c>
      <c r="Z895" t="s">
        <v>77</v>
      </c>
      <c r="AA895" t="str">
        <f>"10025-6450"</f>
        <v>10025-6450</v>
      </c>
      <c r="AB895" t="s">
        <v>78</v>
      </c>
      <c r="AC895" t="s">
        <v>79</v>
      </c>
      <c r="AD895" t="s">
        <v>75</v>
      </c>
      <c r="AE895" t="s">
        <v>80</v>
      </c>
      <c r="AG895" t="s">
        <v>81</v>
      </c>
    </row>
    <row r="896" spans="1:33" x14ac:dyDescent="0.25">
      <c r="A896" t="str">
        <f>"1205979051"</f>
        <v>1205979051</v>
      </c>
      <c r="B896" t="str">
        <f>"02822273"</f>
        <v>02822273</v>
      </c>
      <c r="C896" t="s">
        <v>9602</v>
      </c>
      <c r="D896" t="s">
        <v>9603</v>
      </c>
      <c r="E896" t="s">
        <v>9604</v>
      </c>
      <c r="G896" t="s">
        <v>6494</v>
      </c>
      <c r="H896" t="s">
        <v>6495</v>
      </c>
      <c r="J896" t="s">
        <v>6496</v>
      </c>
      <c r="L896" t="s">
        <v>74</v>
      </c>
      <c r="M896" t="s">
        <v>85</v>
      </c>
      <c r="R896" t="s">
        <v>9605</v>
      </c>
      <c r="W896" t="s">
        <v>9604</v>
      </c>
      <c r="X896" t="s">
        <v>9606</v>
      </c>
      <c r="Y896" t="s">
        <v>87</v>
      </c>
      <c r="Z896" t="s">
        <v>77</v>
      </c>
      <c r="AA896" t="str">
        <f>"11201-5207"</f>
        <v>11201-5207</v>
      </c>
      <c r="AB896" t="s">
        <v>82</v>
      </c>
      <c r="AC896" t="s">
        <v>79</v>
      </c>
      <c r="AD896" t="s">
        <v>75</v>
      </c>
      <c r="AE896" t="s">
        <v>80</v>
      </c>
      <c r="AG896" t="s">
        <v>81</v>
      </c>
    </row>
    <row r="897" spans="1:33" x14ac:dyDescent="0.25">
      <c r="A897" t="str">
        <f>"1285924944"</f>
        <v>1285924944</v>
      </c>
      <c r="B897" t="str">
        <f>"04034635"</f>
        <v>04034635</v>
      </c>
      <c r="C897" t="s">
        <v>9607</v>
      </c>
      <c r="D897" t="s">
        <v>9608</v>
      </c>
      <c r="E897" t="s">
        <v>9609</v>
      </c>
      <c r="G897" t="s">
        <v>6494</v>
      </c>
      <c r="H897" t="s">
        <v>6495</v>
      </c>
      <c r="J897" t="s">
        <v>6496</v>
      </c>
      <c r="L897" t="s">
        <v>83</v>
      </c>
      <c r="M897" t="s">
        <v>75</v>
      </c>
      <c r="R897" t="s">
        <v>9610</v>
      </c>
      <c r="W897" t="s">
        <v>9609</v>
      </c>
      <c r="X897" t="s">
        <v>9611</v>
      </c>
      <c r="Y897" t="s">
        <v>97</v>
      </c>
      <c r="Z897" t="s">
        <v>77</v>
      </c>
      <c r="AA897" t="str">
        <f>"10025-6450"</f>
        <v>10025-6450</v>
      </c>
      <c r="AB897" t="s">
        <v>78</v>
      </c>
      <c r="AC897" t="s">
        <v>79</v>
      </c>
      <c r="AD897" t="s">
        <v>75</v>
      </c>
      <c r="AE897" t="s">
        <v>80</v>
      </c>
      <c r="AG897" t="s">
        <v>81</v>
      </c>
    </row>
    <row r="898" spans="1:33" x14ac:dyDescent="0.25">
      <c r="A898" t="str">
        <f>"1306041223"</f>
        <v>1306041223</v>
      </c>
      <c r="B898" t="str">
        <f>"03785068"</f>
        <v>03785068</v>
      </c>
      <c r="C898" t="s">
        <v>9612</v>
      </c>
      <c r="D898" t="s">
        <v>9613</v>
      </c>
      <c r="E898" t="s">
        <v>9614</v>
      </c>
      <c r="G898" t="s">
        <v>6494</v>
      </c>
      <c r="H898" t="s">
        <v>6495</v>
      </c>
      <c r="J898" t="s">
        <v>6496</v>
      </c>
      <c r="L898" t="s">
        <v>84</v>
      </c>
      <c r="M898" t="s">
        <v>75</v>
      </c>
      <c r="R898" t="s">
        <v>9615</v>
      </c>
      <c r="W898" t="s">
        <v>9614</v>
      </c>
      <c r="X898" t="s">
        <v>2808</v>
      </c>
      <c r="Y898" t="s">
        <v>97</v>
      </c>
      <c r="Z898" t="s">
        <v>77</v>
      </c>
      <c r="AA898" t="str">
        <f>"10025-6450"</f>
        <v>10025-6450</v>
      </c>
      <c r="AB898" t="s">
        <v>78</v>
      </c>
      <c r="AC898" t="s">
        <v>79</v>
      </c>
      <c r="AD898" t="s">
        <v>75</v>
      </c>
      <c r="AE898" t="s">
        <v>80</v>
      </c>
      <c r="AG898" t="s">
        <v>81</v>
      </c>
    </row>
    <row r="899" spans="1:33" x14ac:dyDescent="0.25">
      <c r="A899" t="str">
        <f>"1326063702"</f>
        <v>1326063702</v>
      </c>
      <c r="B899" t="str">
        <f>"02490655"</f>
        <v>02490655</v>
      </c>
      <c r="C899" t="s">
        <v>9616</v>
      </c>
      <c r="D899" t="s">
        <v>9617</v>
      </c>
      <c r="E899" t="s">
        <v>9618</v>
      </c>
      <c r="G899" t="s">
        <v>6494</v>
      </c>
      <c r="H899" t="s">
        <v>6495</v>
      </c>
      <c r="J899" t="s">
        <v>6496</v>
      </c>
      <c r="L899" t="s">
        <v>83</v>
      </c>
      <c r="M899" t="s">
        <v>75</v>
      </c>
      <c r="R899" t="s">
        <v>9619</v>
      </c>
      <c r="W899" t="s">
        <v>9618</v>
      </c>
      <c r="X899" t="s">
        <v>2808</v>
      </c>
      <c r="Y899" t="s">
        <v>97</v>
      </c>
      <c r="Z899" t="s">
        <v>77</v>
      </c>
      <c r="AA899" t="str">
        <f>"10025-6450"</f>
        <v>10025-6450</v>
      </c>
      <c r="AB899" t="s">
        <v>108</v>
      </c>
      <c r="AC899" t="s">
        <v>79</v>
      </c>
      <c r="AD899" t="s">
        <v>75</v>
      </c>
      <c r="AE899" t="s">
        <v>80</v>
      </c>
      <c r="AG899" t="s">
        <v>81</v>
      </c>
    </row>
    <row r="900" spans="1:33" x14ac:dyDescent="0.25">
      <c r="A900" t="str">
        <f>"1407045594"</f>
        <v>1407045594</v>
      </c>
      <c r="B900" t="str">
        <f>"02791922"</f>
        <v>02791922</v>
      </c>
      <c r="C900" t="s">
        <v>9620</v>
      </c>
      <c r="D900" t="s">
        <v>9621</v>
      </c>
      <c r="E900" t="s">
        <v>9622</v>
      </c>
      <c r="G900" t="s">
        <v>6494</v>
      </c>
      <c r="H900" t="s">
        <v>6495</v>
      </c>
      <c r="J900" t="s">
        <v>6496</v>
      </c>
      <c r="L900" t="s">
        <v>74</v>
      </c>
      <c r="M900" t="s">
        <v>85</v>
      </c>
      <c r="R900" t="s">
        <v>9623</v>
      </c>
      <c r="W900" t="s">
        <v>9622</v>
      </c>
      <c r="X900" t="s">
        <v>9624</v>
      </c>
      <c r="Y900" t="s">
        <v>97</v>
      </c>
      <c r="Z900" t="s">
        <v>77</v>
      </c>
      <c r="AA900" t="str">
        <f>"10017-2406"</f>
        <v>10017-2406</v>
      </c>
      <c r="AB900" t="s">
        <v>82</v>
      </c>
      <c r="AC900" t="s">
        <v>79</v>
      </c>
      <c r="AD900" t="s">
        <v>75</v>
      </c>
      <c r="AE900" t="s">
        <v>80</v>
      </c>
      <c r="AG900" t="s">
        <v>81</v>
      </c>
    </row>
    <row r="901" spans="1:33" x14ac:dyDescent="0.25">
      <c r="A901" t="str">
        <f>"1407978836"</f>
        <v>1407978836</v>
      </c>
      <c r="B901" t="str">
        <f>"02955806"</f>
        <v>02955806</v>
      </c>
      <c r="C901" t="s">
        <v>9625</v>
      </c>
      <c r="D901" t="s">
        <v>9626</v>
      </c>
      <c r="E901" t="s">
        <v>9627</v>
      </c>
      <c r="G901" t="s">
        <v>6494</v>
      </c>
      <c r="H901" t="s">
        <v>6495</v>
      </c>
      <c r="J901" t="s">
        <v>6496</v>
      </c>
      <c r="L901" t="s">
        <v>74</v>
      </c>
      <c r="M901" t="s">
        <v>85</v>
      </c>
      <c r="R901" t="s">
        <v>9628</v>
      </c>
      <c r="W901" t="s">
        <v>9627</v>
      </c>
      <c r="X901" t="s">
        <v>2808</v>
      </c>
      <c r="Y901" t="s">
        <v>97</v>
      </c>
      <c r="Z901" t="s">
        <v>77</v>
      </c>
      <c r="AA901" t="str">
        <f>"10025-6450"</f>
        <v>10025-6450</v>
      </c>
      <c r="AB901" t="s">
        <v>82</v>
      </c>
      <c r="AC901" t="s">
        <v>79</v>
      </c>
      <c r="AD901" t="s">
        <v>75</v>
      </c>
      <c r="AE901" t="s">
        <v>80</v>
      </c>
      <c r="AG901" t="s">
        <v>81</v>
      </c>
    </row>
    <row r="902" spans="1:33" x14ac:dyDescent="0.25">
      <c r="A902" t="str">
        <f>"1124131560"</f>
        <v>1124131560</v>
      </c>
      <c r="B902" t="str">
        <f>"01735937"</f>
        <v>01735937</v>
      </c>
      <c r="C902" t="s">
        <v>9629</v>
      </c>
      <c r="D902" t="s">
        <v>9630</v>
      </c>
      <c r="E902" t="s">
        <v>9631</v>
      </c>
      <c r="H902" t="s">
        <v>9632</v>
      </c>
      <c r="L902" t="s">
        <v>143</v>
      </c>
      <c r="M902" t="s">
        <v>75</v>
      </c>
      <c r="R902" t="s">
        <v>9633</v>
      </c>
      <c r="W902" t="s">
        <v>9631</v>
      </c>
      <c r="X902" t="s">
        <v>9634</v>
      </c>
      <c r="Y902" t="s">
        <v>155</v>
      </c>
      <c r="Z902" t="s">
        <v>77</v>
      </c>
      <c r="AA902" t="str">
        <f>"10305-3401"</f>
        <v>10305-3401</v>
      </c>
      <c r="AB902" t="s">
        <v>78</v>
      </c>
      <c r="AC902" t="s">
        <v>79</v>
      </c>
      <c r="AD902" t="s">
        <v>75</v>
      </c>
      <c r="AE902" t="s">
        <v>80</v>
      </c>
      <c r="AG902" t="s">
        <v>81</v>
      </c>
    </row>
    <row r="903" spans="1:33" x14ac:dyDescent="0.25">
      <c r="A903" t="str">
        <f>"1205817335"</f>
        <v>1205817335</v>
      </c>
      <c r="B903" t="str">
        <f>"01203534"</f>
        <v>01203534</v>
      </c>
      <c r="C903" t="s">
        <v>9635</v>
      </c>
      <c r="D903" t="s">
        <v>9636</v>
      </c>
      <c r="E903" t="s">
        <v>9637</v>
      </c>
      <c r="H903" t="s">
        <v>9638</v>
      </c>
      <c r="L903" t="s">
        <v>83</v>
      </c>
      <c r="M903" t="s">
        <v>75</v>
      </c>
      <c r="R903" t="s">
        <v>9639</v>
      </c>
      <c r="W903" t="s">
        <v>9637</v>
      </c>
      <c r="X903" t="s">
        <v>9640</v>
      </c>
      <c r="Y903" t="s">
        <v>218</v>
      </c>
      <c r="Z903" t="s">
        <v>77</v>
      </c>
      <c r="AA903" t="str">
        <f>"11570-1078"</f>
        <v>11570-1078</v>
      </c>
      <c r="AB903" t="s">
        <v>78</v>
      </c>
      <c r="AC903" t="s">
        <v>79</v>
      </c>
      <c r="AD903" t="s">
        <v>75</v>
      </c>
      <c r="AE903" t="s">
        <v>80</v>
      </c>
      <c r="AG903" t="s">
        <v>81</v>
      </c>
    </row>
    <row r="904" spans="1:33" x14ac:dyDescent="0.25">
      <c r="A904" t="str">
        <f>"1699777946"</f>
        <v>1699777946</v>
      </c>
      <c r="B904" t="str">
        <f>"01932049"</f>
        <v>01932049</v>
      </c>
      <c r="C904" t="s">
        <v>9641</v>
      </c>
      <c r="D904" t="s">
        <v>1643</v>
      </c>
      <c r="E904" t="s">
        <v>1642</v>
      </c>
      <c r="G904" t="s">
        <v>6930</v>
      </c>
      <c r="H904" t="s">
        <v>6931</v>
      </c>
      <c r="J904" t="s">
        <v>6932</v>
      </c>
      <c r="L904" t="s">
        <v>83</v>
      </c>
      <c r="M904" t="s">
        <v>75</v>
      </c>
      <c r="R904" t="s">
        <v>1642</v>
      </c>
      <c r="W904" t="s">
        <v>1644</v>
      </c>
      <c r="X904" t="s">
        <v>1531</v>
      </c>
      <c r="Y904" t="s">
        <v>97</v>
      </c>
      <c r="Z904" t="s">
        <v>77</v>
      </c>
      <c r="AA904" t="str">
        <f t="shared" ref="AA904:AA911" si="4">"10036-8005"</f>
        <v>10036-8005</v>
      </c>
      <c r="AB904" t="s">
        <v>108</v>
      </c>
      <c r="AC904" t="s">
        <v>79</v>
      </c>
      <c r="AD904" t="s">
        <v>75</v>
      </c>
      <c r="AE904" t="s">
        <v>80</v>
      </c>
      <c r="AG904" t="s">
        <v>81</v>
      </c>
    </row>
    <row r="905" spans="1:33" x14ac:dyDescent="0.25">
      <c r="A905" t="str">
        <f>"1295707701"</f>
        <v>1295707701</v>
      </c>
      <c r="B905" t="str">
        <f>"02113899"</f>
        <v>02113899</v>
      </c>
      <c r="C905" t="s">
        <v>9642</v>
      </c>
      <c r="D905" t="s">
        <v>9643</v>
      </c>
      <c r="E905" t="s">
        <v>9644</v>
      </c>
      <c r="G905" t="s">
        <v>6930</v>
      </c>
      <c r="H905" t="s">
        <v>6931</v>
      </c>
      <c r="J905" t="s">
        <v>6932</v>
      </c>
      <c r="L905" t="s">
        <v>83</v>
      </c>
      <c r="M905" t="s">
        <v>75</v>
      </c>
      <c r="R905" t="s">
        <v>9644</v>
      </c>
      <c r="W905" t="s">
        <v>9644</v>
      </c>
      <c r="X905" t="s">
        <v>1531</v>
      </c>
      <c r="Y905" t="s">
        <v>97</v>
      </c>
      <c r="Z905" t="s">
        <v>77</v>
      </c>
      <c r="AA905" t="str">
        <f t="shared" si="4"/>
        <v>10036-8005</v>
      </c>
      <c r="AB905" t="s">
        <v>108</v>
      </c>
      <c r="AC905" t="s">
        <v>79</v>
      </c>
      <c r="AD905" t="s">
        <v>75</v>
      </c>
      <c r="AE905" t="s">
        <v>80</v>
      </c>
      <c r="AG905" t="s">
        <v>81</v>
      </c>
    </row>
    <row r="906" spans="1:33" x14ac:dyDescent="0.25">
      <c r="A906" t="str">
        <f>"1639143811"</f>
        <v>1639143811</v>
      </c>
      <c r="B906" t="str">
        <f>"02113977"</f>
        <v>02113977</v>
      </c>
      <c r="C906" t="s">
        <v>9645</v>
      </c>
      <c r="D906" t="s">
        <v>1542</v>
      </c>
      <c r="E906" t="s">
        <v>1541</v>
      </c>
      <c r="G906" t="s">
        <v>6930</v>
      </c>
      <c r="H906" t="s">
        <v>6931</v>
      </c>
      <c r="J906" t="s">
        <v>6932</v>
      </c>
      <c r="L906" t="s">
        <v>74</v>
      </c>
      <c r="M906" t="s">
        <v>75</v>
      </c>
      <c r="R906" t="s">
        <v>1541</v>
      </c>
      <c r="W906" t="s">
        <v>1543</v>
      </c>
      <c r="X906" t="s">
        <v>1531</v>
      </c>
      <c r="Y906" t="s">
        <v>97</v>
      </c>
      <c r="Z906" t="s">
        <v>77</v>
      </c>
      <c r="AA906" t="str">
        <f t="shared" si="4"/>
        <v>10036-8005</v>
      </c>
      <c r="AB906" t="s">
        <v>108</v>
      </c>
      <c r="AC906" t="s">
        <v>79</v>
      </c>
      <c r="AD906" t="s">
        <v>75</v>
      </c>
      <c r="AE906" t="s">
        <v>80</v>
      </c>
      <c r="AG906" t="s">
        <v>81</v>
      </c>
    </row>
    <row r="907" spans="1:33" x14ac:dyDescent="0.25">
      <c r="A907" t="str">
        <f>"1639246879"</f>
        <v>1639246879</v>
      </c>
      <c r="B907" t="str">
        <f>"02114029"</f>
        <v>02114029</v>
      </c>
      <c r="C907" t="s">
        <v>9646</v>
      </c>
      <c r="D907" t="s">
        <v>1553</v>
      </c>
      <c r="E907" t="s">
        <v>1554</v>
      </c>
      <c r="G907" t="s">
        <v>6930</v>
      </c>
      <c r="H907" t="s">
        <v>6931</v>
      </c>
      <c r="J907" t="s">
        <v>6932</v>
      </c>
      <c r="L907" t="s">
        <v>83</v>
      </c>
      <c r="M907" t="s">
        <v>75</v>
      </c>
      <c r="R907" t="s">
        <v>1552</v>
      </c>
      <c r="W907" t="s">
        <v>1552</v>
      </c>
      <c r="X907" t="s">
        <v>1531</v>
      </c>
      <c r="Y907" t="s">
        <v>97</v>
      </c>
      <c r="Z907" t="s">
        <v>77</v>
      </c>
      <c r="AA907" t="str">
        <f t="shared" si="4"/>
        <v>10036-8005</v>
      </c>
      <c r="AB907" t="s">
        <v>108</v>
      </c>
      <c r="AC907" t="s">
        <v>79</v>
      </c>
      <c r="AD907" t="s">
        <v>75</v>
      </c>
      <c r="AE907" t="s">
        <v>80</v>
      </c>
      <c r="AG907" t="s">
        <v>81</v>
      </c>
    </row>
    <row r="908" spans="1:33" x14ac:dyDescent="0.25">
      <c r="A908" t="str">
        <f>"1932171428"</f>
        <v>1932171428</v>
      </c>
      <c r="B908" t="str">
        <f>"02114116"</f>
        <v>02114116</v>
      </c>
      <c r="C908" t="s">
        <v>9647</v>
      </c>
      <c r="D908" t="s">
        <v>1566</v>
      </c>
      <c r="E908" t="s">
        <v>1567</v>
      </c>
      <c r="G908" t="s">
        <v>6930</v>
      </c>
      <c r="H908" t="s">
        <v>6931</v>
      </c>
      <c r="J908" t="s">
        <v>6932</v>
      </c>
      <c r="L908" t="s">
        <v>74</v>
      </c>
      <c r="M908" t="s">
        <v>75</v>
      </c>
      <c r="R908" t="s">
        <v>1565</v>
      </c>
      <c r="W908" t="s">
        <v>1567</v>
      </c>
      <c r="X908" t="s">
        <v>1531</v>
      </c>
      <c r="Y908" t="s">
        <v>97</v>
      </c>
      <c r="Z908" t="s">
        <v>77</v>
      </c>
      <c r="AA908" t="str">
        <f t="shared" si="4"/>
        <v>10036-8005</v>
      </c>
      <c r="AB908" t="s">
        <v>108</v>
      </c>
      <c r="AC908" t="s">
        <v>79</v>
      </c>
      <c r="AD908" t="s">
        <v>75</v>
      </c>
      <c r="AE908" t="s">
        <v>80</v>
      </c>
      <c r="AG908" t="s">
        <v>81</v>
      </c>
    </row>
    <row r="909" spans="1:33" x14ac:dyDescent="0.25">
      <c r="A909" t="str">
        <f>"1902806359"</f>
        <v>1902806359</v>
      </c>
      <c r="B909" t="str">
        <f>"02114134"</f>
        <v>02114134</v>
      </c>
      <c r="C909" t="s">
        <v>9648</v>
      </c>
      <c r="D909" t="s">
        <v>9649</v>
      </c>
      <c r="E909" t="s">
        <v>9650</v>
      </c>
      <c r="G909" t="s">
        <v>6930</v>
      </c>
      <c r="H909" t="s">
        <v>6931</v>
      </c>
      <c r="J909" t="s">
        <v>6932</v>
      </c>
      <c r="L909" t="s">
        <v>83</v>
      </c>
      <c r="M909" t="s">
        <v>75</v>
      </c>
      <c r="R909" t="s">
        <v>9650</v>
      </c>
      <c r="W909" t="s">
        <v>9650</v>
      </c>
      <c r="X909" t="s">
        <v>1177</v>
      </c>
      <c r="Y909" t="s">
        <v>97</v>
      </c>
      <c r="Z909" t="s">
        <v>77</v>
      </c>
      <c r="AA909" t="str">
        <f t="shared" si="4"/>
        <v>10036-8005</v>
      </c>
      <c r="AB909" t="s">
        <v>108</v>
      </c>
      <c r="AC909" t="s">
        <v>79</v>
      </c>
      <c r="AD909" t="s">
        <v>75</v>
      </c>
      <c r="AE909" t="s">
        <v>80</v>
      </c>
      <c r="AG909" t="s">
        <v>81</v>
      </c>
    </row>
    <row r="910" spans="1:33" x14ac:dyDescent="0.25">
      <c r="A910" t="str">
        <f>"1124028402"</f>
        <v>1124028402</v>
      </c>
      <c r="B910" t="str">
        <f>"02114152"</f>
        <v>02114152</v>
      </c>
      <c r="C910" t="s">
        <v>9651</v>
      </c>
      <c r="D910" t="s">
        <v>1583</v>
      </c>
      <c r="E910" t="s">
        <v>1062</v>
      </c>
      <c r="G910" t="s">
        <v>6930</v>
      </c>
      <c r="H910" t="s">
        <v>6931</v>
      </c>
      <c r="J910" t="s">
        <v>6932</v>
      </c>
      <c r="L910" t="s">
        <v>83</v>
      </c>
      <c r="M910" t="s">
        <v>75</v>
      </c>
      <c r="R910" t="s">
        <v>1582</v>
      </c>
      <c r="W910" t="s">
        <v>1062</v>
      </c>
      <c r="X910" t="s">
        <v>1531</v>
      </c>
      <c r="Y910" t="s">
        <v>97</v>
      </c>
      <c r="Z910" t="s">
        <v>77</v>
      </c>
      <c r="AA910" t="str">
        <f t="shared" si="4"/>
        <v>10036-8005</v>
      </c>
      <c r="AB910" t="s">
        <v>108</v>
      </c>
      <c r="AC910" t="s">
        <v>79</v>
      </c>
      <c r="AD910" t="s">
        <v>75</v>
      </c>
      <c r="AE910" t="s">
        <v>80</v>
      </c>
      <c r="AG910" t="s">
        <v>81</v>
      </c>
    </row>
    <row r="911" spans="1:33" x14ac:dyDescent="0.25">
      <c r="A911" t="str">
        <f>"1801863543"</f>
        <v>1801863543</v>
      </c>
      <c r="B911" t="str">
        <f>"02114161"</f>
        <v>02114161</v>
      </c>
      <c r="C911" t="s">
        <v>9652</v>
      </c>
      <c r="D911" t="s">
        <v>9653</v>
      </c>
      <c r="E911" t="s">
        <v>9654</v>
      </c>
      <c r="G911" t="s">
        <v>6930</v>
      </c>
      <c r="H911" t="s">
        <v>6931</v>
      </c>
      <c r="J911" t="s">
        <v>6932</v>
      </c>
      <c r="L911" t="s">
        <v>83</v>
      </c>
      <c r="M911" t="s">
        <v>75</v>
      </c>
      <c r="R911" t="s">
        <v>9655</v>
      </c>
      <c r="W911" t="s">
        <v>9656</v>
      </c>
      <c r="X911" t="s">
        <v>1531</v>
      </c>
      <c r="Y911" t="s">
        <v>97</v>
      </c>
      <c r="Z911" t="s">
        <v>77</v>
      </c>
      <c r="AA911" t="str">
        <f t="shared" si="4"/>
        <v>10036-8005</v>
      </c>
      <c r="AB911" t="s">
        <v>108</v>
      </c>
      <c r="AC911" t="s">
        <v>79</v>
      </c>
      <c r="AD911" t="s">
        <v>75</v>
      </c>
      <c r="AE911" t="s">
        <v>80</v>
      </c>
      <c r="AG911" t="s">
        <v>81</v>
      </c>
    </row>
    <row r="912" spans="1:33" x14ac:dyDescent="0.25">
      <c r="A912" t="str">
        <f>"1841231123"</f>
        <v>1841231123</v>
      </c>
      <c r="B912" t="str">
        <f>"01945211"</f>
        <v>01945211</v>
      </c>
      <c r="C912" t="s">
        <v>9657</v>
      </c>
      <c r="D912" t="s">
        <v>9658</v>
      </c>
      <c r="E912" t="s">
        <v>9659</v>
      </c>
      <c r="L912" t="s">
        <v>83</v>
      </c>
      <c r="M912" t="s">
        <v>75</v>
      </c>
      <c r="R912" t="s">
        <v>9660</v>
      </c>
      <c r="W912" t="s">
        <v>9659</v>
      </c>
      <c r="X912" t="s">
        <v>272</v>
      </c>
      <c r="Y912" t="s">
        <v>97</v>
      </c>
      <c r="Z912" t="s">
        <v>77</v>
      </c>
      <c r="AA912" t="str">
        <f>"10029-6501"</f>
        <v>10029-6501</v>
      </c>
      <c r="AB912" t="s">
        <v>78</v>
      </c>
      <c r="AC912" t="s">
        <v>79</v>
      </c>
      <c r="AD912" t="s">
        <v>75</v>
      </c>
      <c r="AE912" t="s">
        <v>80</v>
      </c>
      <c r="AG912" t="s">
        <v>81</v>
      </c>
    </row>
    <row r="913" spans="1:33" x14ac:dyDescent="0.25">
      <c r="A913" t="str">
        <f>"1003094723"</f>
        <v>1003094723</v>
      </c>
      <c r="B913" t="str">
        <f>"03416213"</f>
        <v>03416213</v>
      </c>
      <c r="C913" t="s">
        <v>9661</v>
      </c>
      <c r="D913" t="s">
        <v>9662</v>
      </c>
      <c r="E913" t="s">
        <v>9663</v>
      </c>
      <c r="G913" t="s">
        <v>9513</v>
      </c>
      <c r="H913" t="s">
        <v>9514</v>
      </c>
      <c r="J913" t="s">
        <v>9515</v>
      </c>
      <c r="L913" t="s">
        <v>105</v>
      </c>
      <c r="M913" t="s">
        <v>75</v>
      </c>
      <c r="R913" t="s">
        <v>9664</v>
      </c>
      <c r="W913" t="s">
        <v>9663</v>
      </c>
      <c r="X913" t="s">
        <v>5567</v>
      </c>
      <c r="Y913" t="s">
        <v>5568</v>
      </c>
      <c r="Z913" t="s">
        <v>77</v>
      </c>
      <c r="AA913" t="str">
        <f>"11788-2420"</f>
        <v>11788-2420</v>
      </c>
      <c r="AB913" t="s">
        <v>78</v>
      </c>
      <c r="AC913" t="s">
        <v>79</v>
      </c>
      <c r="AD913" t="s">
        <v>75</v>
      </c>
      <c r="AE913" t="s">
        <v>80</v>
      </c>
      <c r="AG913" t="s">
        <v>81</v>
      </c>
    </row>
    <row r="914" spans="1:33" x14ac:dyDescent="0.25">
      <c r="A914" t="str">
        <f>"1972765915"</f>
        <v>1972765915</v>
      </c>
      <c r="B914" t="str">
        <f>"03466864"</f>
        <v>03466864</v>
      </c>
      <c r="C914" t="s">
        <v>9665</v>
      </c>
      <c r="D914" t="s">
        <v>9666</v>
      </c>
      <c r="E914" t="s">
        <v>9667</v>
      </c>
      <c r="G914" t="s">
        <v>9513</v>
      </c>
      <c r="H914" t="s">
        <v>9514</v>
      </c>
      <c r="J914" t="s">
        <v>9515</v>
      </c>
      <c r="L914" t="s">
        <v>105</v>
      </c>
      <c r="M914" t="s">
        <v>85</v>
      </c>
      <c r="R914" t="s">
        <v>9668</v>
      </c>
      <c r="W914" t="s">
        <v>9667</v>
      </c>
      <c r="X914" t="s">
        <v>9669</v>
      </c>
      <c r="Y914" t="s">
        <v>97</v>
      </c>
      <c r="Z914" t="s">
        <v>77</v>
      </c>
      <c r="AA914" t="str">
        <f>"10019-3231"</f>
        <v>10019-3231</v>
      </c>
      <c r="AB914" t="s">
        <v>78</v>
      </c>
      <c r="AC914" t="s">
        <v>79</v>
      </c>
      <c r="AD914" t="s">
        <v>75</v>
      </c>
      <c r="AE914" t="s">
        <v>80</v>
      </c>
      <c r="AG914" t="s">
        <v>81</v>
      </c>
    </row>
    <row r="915" spans="1:33" x14ac:dyDescent="0.25">
      <c r="A915" t="str">
        <f>"1275827735"</f>
        <v>1275827735</v>
      </c>
      <c r="B915" t="str">
        <f>"03527364"</f>
        <v>03527364</v>
      </c>
      <c r="C915" t="s">
        <v>9670</v>
      </c>
      <c r="D915" t="s">
        <v>4056</v>
      </c>
      <c r="E915" t="s">
        <v>4057</v>
      </c>
      <c r="G915" t="s">
        <v>9513</v>
      </c>
      <c r="H915" t="s">
        <v>9514</v>
      </c>
      <c r="J915" t="s">
        <v>9515</v>
      </c>
      <c r="L915" t="s">
        <v>83</v>
      </c>
      <c r="M915" t="s">
        <v>85</v>
      </c>
      <c r="R915" t="s">
        <v>4058</v>
      </c>
      <c r="W915" t="s">
        <v>4057</v>
      </c>
      <c r="X915" t="s">
        <v>4059</v>
      </c>
      <c r="Y915" t="s">
        <v>131</v>
      </c>
      <c r="Z915" t="s">
        <v>77</v>
      </c>
      <c r="AA915" t="str">
        <f>"10465-2319"</f>
        <v>10465-2319</v>
      </c>
      <c r="AB915" t="s">
        <v>78</v>
      </c>
      <c r="AC915" t="s">
        <v>79</v>
      </c>
      <c r="AD915" t="s">
        <v>75</v>
      </c>
      <c r="AE915" t="s">
        <v>80</v>
      </c>
      <c r="AG915" t="s">
        <v>81</v>
      </c>
    </row>
    <row r="916" spans="1:33" x14ac:dyDescent="0.25">
      <c r="A916" t="str">
        <f>"1710044730"</f>
        <v>1710044730</v>
      </c>
      <c r="B916" t="str">
        <f>"03690659"</f>
        <v>03690659</v>
      </c>
      <c r="C916" t="s">
        <v>9671</v>
      </c>
      <c r="D916" t="s">
        <v>9672</v>
      </c>
      <c r="E916" t="s">
        <v>9673</v>
      </c>
      <c r="G916" t="s">
        <v>9513</v>
      </c>
      <c r="H916" t="s">
        <v>9514</v>
      </c>
      <c r="J916" t="s">
        <v>9515</v>
      </c>
      <c r="L916" t="s">
        <v>74</v>
      </c>
      <c r="M916" t="s">
        <v>75</v>
      </c>
      <c r="R916" t="s">
        <v>9674</v>
      </c>
      <c r="W916" t="s">
        <v>9673</v>
      </c>
      <c r="X916" t="s">
        <v>9675</v>
      </c>
      <c r="Y916" t="s">
        <v>97</v>
      </c>
      <c r="Z916" t="s">
        <v>77</v>
      </c>
      <c r="AA916" t="str">
        <f>"10023-2301"</f>
        <v>10023-2301</v>
      </c>
      <c r="AB916" t="s">
        <v>78</v>
      </c>
      <c r="AC916" t="s">
        <v>79</v>
      </c>
      <c r="AD916" t="s">
        <v>75</v>
      </c>
      <c r="AE916" t="s">
        <v>80</v>
      </c>
      <c r="AG916" t="s">
        <v>81</v>
      </c>
    </row>
    <row r="917" spans="1:33" x14ac:dyDescent="0.25">
      <c r="A917" t="str">
        <f>"1336341122"</f>
        <v>1336341122</v>
      </c>
      <c r="B917" t="str">
        <f>"03817865"</f>
        <v>03817865</v>
      </c>
      <c r="C917" t="s">
        <v>9676</v>
      </c>
      <c r="D917" t="s">
        <v>9677</v>
      </c>
      <c r="E917" t="s">
        <v>9678</v>
      </c>
      <c r="G917" t="s">
        <v>9513</v>
      </c>
      <c r="H917" t="s">
        <v>9514</v>
      </c>
      <c r="J917" t="s">
        <v>9515</v>
      </c>
      <c r="L917" t="s">
        <v>74</v>
      </c>
      <c r="M917" t="s">
        <v>75</v>
      </c>
      <c r="R917" t="s">
        <v>9679</v>
      </c>
      <c r="W917" t="s">
        <v>9678</v>
      </c>
      <c r="X917" t="s">
        <v>9680</v>
      </c>
      <c r="Y917" t="s">
        <v>87</v>
      </c>
      <c r="Z917" t="s">
        <v>77</v>
      </c>
      <c r="AA917" t="str">
        <f>"11232-1151"</f>
        <v>11232-1151</v>
      </c>
      <c r="AB917" t="s">
        <v>78</v>
      </c>
      <c r="AC917" t="s">
        <v>79</v>
      </c>
      <c r="AD917" t="s">
        <v>75</v>
      </c>
      <c r="AE917" t="s">
        <v>80</v>
      </c>
      <c r="AG917" t="s">
        <v>81</v>
      </c>
    </row>
    <row r="918" spans="1:33" x14ac:dyDescent="0.25">
      <c r="A918" t="str">
        <f>"1508915612"</f>
        <v>1508915612</v>
      </c>
      <c r="C918" t="s">
        <v>9681</v>
      </c>
      <c r="G918" t="s">
        <v>9513</v>
      </c>
      <c r="H918" t="s">
        <v>9514</v>
      </c>
      <c r="J918" t="s">
        <v>9515</v>
      </c>
      <c r="K918" t="s">
        <v>99</v>
      </c>
      <c r="L918" t="s">
        <v>74</v>
      </c>
      <c r="M918" t="s">
        <v>75</v>
      </c>
      <c r="AC918" t="s">
        <v>79</v>
      </c>
      <c r="AD918" t="s">
        <v>75</v>
      </c>
      <c r="AE918" t="s">
        <v>103</v>
      </c>
      <c r="AG918" t="s">
        <v>81</v>
      </c>
    </row>
    <row r="919" spans="1:33" x14ac:dyDescent="0.25">
      <c r="A919" t="str">
        <f>"1841398781"</f>
        <v>1841398781</v>
      </c>
      <c r="C919" t="s">
        <v>9682</v>
      </c>
      <c r="G919" t="s">
        <v>9513</v>
      </c>
      <c r="H919" t="s">
        <v>9514</v>
      </c>
      <c r="J919" t="s">
        <v>9515</v>
      </c>
      <c r="K919" t="s">
        <v>99</v>
      </c>
      <c r="L919" t="s">
        <v>74</v>
      </c>
      <c r="M919" t="s">
        <v>75</v>
      </c>
      <c r="R919" t="s">
        <v>9683</v>
      </c>
      <c r="S919" t="s">
        <v>9684</v>
      </c>
      <c r="T919" t="s">
        <v>131</v>
      </c>
      <c r="U919" t="s">
        <v>77</v>
      </c>
      <c r="V919" t="str">
        <f>"104593610"</f>
        <v>104593610</v>
      </c>
      <c r="AC919" t="s">
        <v>79</v>
      </c>
      <c r="AD919" t="s">
        <v>75</v>
      </c>
      <c r="AE919" t="s">
        <v>103</v>
      </c>
      <c r="AG919" t="s">
        <v>81</v>
      </c>
    </row>
    <row r="920" spans="1:33" x14ac:dyDescent="0.25">
      <c r="A920" t="str">
        <f>"1124102942"</f>
        <v>1124102942</v>
      </c>
      <c r="B920" t="str">
        <f>"02785371"</f>
        <v>02785371</v>
      </c>
      <c r="C920" t="s">
        <v>9685</v>
      </c>
      <c r="D920" t="s">
        <v>9686</v>
      </c>
      <c r="E920" t="s">
        <v>9687</v>
      </c>
      <c r="G920" t="s">
        <v>9688</v>
      </c>
      <c r="H920" t="s">
        <v>9689</v>
      </c>
      <c r="J920" t="s">
        <v>9690</v>
      </c>
      <c r="L920" t="s">
        <v>74</v>
      </c>
      <c r="M920" t="s">
        <v>75</v>
      </c>
      <c r="R920" t="s">
        <v>9691</v>
      </c>
      <c r="W920" t="s">
        <v>9687</v>
      </c>
      <c r="X920" t="s">
        <v>9692</v>
      </c>
      <c r="Y920" t="s">
        <v>97</v>
      </c>
      <c r="Z920" t="s">
        <v>77</v>
      </c>
      <c r="AA920" t="str">
        <f>"10027-4436"</f>
        <v>10027-4436</v>
      </c>
      <c r="AB920" t="s">
        <v>78</v>
      </c>
      <c r="AC920" t="s">
        <v>79</v>
      </c>
      <c r="AD920" t="s">
        <v>75</v>
      </c>
      <c r="AE920" t="s">
        <v>80</v>
      </c>
      <c r="AG920" t="s">
        <v>81</v>
      </c>
    </row>
    <row r="921" spans="1:33" x14ac:dyDescent="0.25">
      <c r="A921" t="str">
        <f>"1790953396"</f>
        <v>1790953396</v>
      </c>
      <c r="B921" t="str">
        <f>"03347880"</f>
        <v>03347880</v>
      </c>
      <c r="C921" t="s">
        <v>9693</v>
      </c>
      <c r="D921" t="s">
        <v>9694</v>
      </c>
      <c r="E921" t="s">
        <v>9695</v>
      </c>
      <c r="G921" t="s">
        <v>9688</v>
      </c>
      <c r="H921" t="s">
        <v>9689</v>
      </c>
      <c r="J921" t="s">
        <v>9690</v>
      </c>
      <c r="L921" t="s">
        <v>94</v>
      </c>
      <c r="M921" t="s">
        <v>75</v>
      </c>
      <c r="W921" t="s">
        <v>9695</v>
      </c>
      <c r="X921" t="s">
        <v>9696</v>
      </c>
      <c r="Y921" t="s">
        <v>97</v>
      </c>
      <c r="Z921" t="s">
        <v>77</v>
      </c>
      <c r="AA921" t="str">
        <f>"10035-3018"</f>
        <v>10035-3018</v>
      </c>
      <c r="AB921" t="s">
        <v>78</v>
      </c>
      <c r="AC921" t="s">
        <v>79</v>
      </c>
      <c r="AD921" t="s">
        <v>75</v>
      </c>
      <c r="AE921" t="s">
        <v>80</v>
      </c>
      <c r="AG921" t="s">
        <v>81</v>
      </c>
    </row>
    <row r="922" spans="1:33" x14ac:dyDescent="0.25">
      <c r="A922" t="str">
        <f>"1265429096"</f>
        <v>1265429096</v>
      </c>
      <c r="B922" t="str">
        <f>"00942172"</f>
        <v>00942172</v>
      </c>
      <c r="C922" t="s">
        <v>9697</v>
      </c>
      <c r="D922" t="s">
        <v>9698</v>
      </c>
      <c r="E922" t="s">
        <v>9699</v>
      </c>
      <c r="G922" t="s">
        <v>6800</v>
      </c>
      <c r="H922" t="s">
        <v>6801</v>
      </c>
      <c r="I922">
        <v>6381</v>
      </c>
      <c r="J922" t="s">
        <v>6802</v>
      </c>
      <c r="L922" t="s">
        <v>74</v>
      </c>
      <c r="M922" t="s">
        <v>75</v>
      </c>
      <c r="R922" t="s">
        <v>9700</v>
      </c>
      <c r="W922" t="s">
        <v>9699</v>
      </c>
      <c r="X922" t="s">
        <v>9151</v>
      </c>
      <c r="Y922" t="s">
        <v>97</v>
      </c>
      <c r="Z922" t="s">
        <v>77</v>
      </c>
      <c r="AA922" t="str">
        <f>"10001-2382"</f>
        <v>10001-2382</v>
      </c>
      <c r="AB922" t="s">
        <v>128</v>
      </c>
      <c r="AC922" t="s">
        <v>79</v>
      </c>
      <c r="AD922" t="s">
        <v>75</v>
      </c>
      <c r="AE922" t="s">
        <v>80</v>
      </c>
      <c r="AG922" t="s">
        <v>81</v>
      </c>
    </row>
    <row r="923" spans="1:33" x14ac:dyDescent="0.25">
      <c r="A923" t="str">
        <f>"1114989076"</f>
        <v>1114989076</v>
      </c>
      <c r="B923" t="str">
        <f>"01190147"</f>
        <v>01190147</v>
      </c>
      <c r="C923" t="s">
        <v>9701</v>
      </c>
      <c r="D923" t="s">
        <v>5319</v>
      </c>
      <c r="E923" t="s">
        <v>5320</v>
      </c>
      <c r="G923" t="s">
        <v>6800</v>
      </c>
      <c r="H923" t="s">
        <v>6801</v>
      </c>
      <c r="I923">
        <v>6381</v>
      </c>
      <c r="J923" t="s">
        <v>6802</v>
      </c>
      <c r="L923" t="s">
        <v>74</v>
      </c>
      <c r="M923" t="s">
        <v>85</v>
      </c>
      <c r="R923" t="s">
        <v>5321</v>
      </c>
      <c r="W923" t="s">
        <v>5320</v>
      </c>
      <c r="X923" t="s">
        <v>251</v>
      </c>
      <c r="Y923" t="s">
        <v>87</v>
      </c>
      <c r="Z923" t="s">
        <v>77</v>
      </c>
      <c r="AA923" t="str">
        <f>"11203-1809"</f>
        <v>11203-1809</v>
      </c>
      <c r="AB923" t="s">
        <v>78</v>
      </c>
      <c r="AC923" t="s">
        <v>79</v>
      </c>
      <c r="AD923" t="s">
        <v>75</v>
      </c>
      <c r="AE923" t="s">
        <v>80</v>
      </c>
      <c r="AG923" t="s">
        <v>81</v>
      </c>
    </row>
    <row r="924" spans="1:33" x14ac:dyDescent="0.25">
      <c r="A924" t="str">
        <f>"1972523116"</f>
        <v>1972523116</v>
      </c>
      <c r="B924" t="str">
        <f>"01365888"</f>
        <v>01365888</v>
      </c>
      <c r="C924" t="s">
        <v>9702</v>
      </c>
      <c r="D924" t="s">
        <v>9703</v>
      </c>
      <c r="E924" t="s">
        <v>9704</v>
      </c>
      <c r="G924" t="s">
        <v>6800</v>
      </c>
      <c r="H924" t="s">
        <v>6801</v>
      </c>
      <c r="I924">
        <v>6381</v>
      </c>
      <c r="J924" t="s">
        <v>6802</v>
      </c>
      <c r="L924" t="s">
        <v>83</v>
      </c>
      <c r="M924" t="s">
        <v>85</v>
      </c>
      <c r="R924" t="s">
        <v>9705</v>
      </c>
      <c r="W924" t="s">
        <v>9704</v>
      </c>
      <c r="X924" t="s">
        <v>5307</v>
      </c>
      <c r="Y924" t="s">
        <v>97</v>
      </c>
      <c r="Z924" t="s">
        <v>77</v>
      </c>
      <c r="AA924" t="str">
        <f>"10003"</f>
        <v>10003</v>
      </c>
      <c r="AB924" t="s">
        <v>78</v>
      </c>
      <c r="AC924" t="s">
        <v>79</v>
      </c>
      <c r="AD924" t="s">
        <v>75</v>
      </c>
      <c r="AE924" t="s">
        <v>80</v>
      </c>
      <c r="AG924" t="s">
        <v>81</v>
      </c>
    </row>
    <row r="925" spans="1:33" x14ac:dyDescent="0.25">
      <c r="A925" t="str">
        <f>"1205949864"</f>
        <v>1205949864</v>
      </c>
      <c r="B925" t="str">
        <f>"02874913"</f>
        <v>02874913</v>
      </c>
      <c r="C925" t="s">
        <v>9706</v>
      </c>
      <c r="D925" t="s">
        <v>9707</v>
      </c>
      <c r="E925" t="s">
        <v>9708</v>
      </c>
      <c r="G925" t="s">
        <v>6930</v>
      </c>
      <c r="H925" t="s">
        <v>6931</v>
      </c>
      <c r="J925" t="s">
        <v>6932</v>
      </c>
      <c r="L925" t="s">
        <v>83</v>
      </c>
      <c r="M925" t="s">
        <v>75</v>
      </c>
      <c r="R925" t="s">
        <v>9709</v>
      </c>
      <c r="W925" t="s">
        <v>9710</v>
      </c>
      <c r="X925" t="s">
        <v>1531</v>
      </c>
      <c r="Y925" t="s">
        <v>97</v>
      </c>
      <c r="Z925" t="s">
        <v>77</v>
      </c>
      <c r="AA925" t="str">
        <f>"10036-8005"</f>
        <v>10036-8005</v>
      </c>
      <c r="AB925" t="s">
        <v>108</v>
      </c>
      <c r="AC925" t="s">
        <v>79</v>
      </c>
      <c r="AD925" t="s">
        <v>75</v>
      </c>
      <c r="AE925" t="s">
        <v>80</v>
      </c>
      <c r="AG925" t="s">
        <v>81</v>
      </c>
    </row>
    <row r="926" spans="1:33" x14ac:dyDescent="0.25">
      <c r="A926" t="str">
        <f>"1043419534"</f>
        <v>1043419534</v>
      </c>
      <c r="B926" t="str">
        <f>"02920010"</f>
        <v>02920010</v>
      </c>
      <c r="C926" t="s">
        <v>9711</v>
      </c>
      <c r="D926" t="s">
        <v>9712</v>
      </c>
      <c r="E926" t="s">
        <v>9713</v>
      </c>
      <c r="G926" t="s">
        <v>6930</v>
      </c>
      <c r="H926" t="s">
        <v>6931</v>
      </c>
      <c r="J926" t="s">
        <v>6932</v>
      </c>
      <c r="L926" t="s">
        <v>83</v>
      </c>
      <c r="M926" t="s">
        <v>75</v>
      </c>
      <c r="R926" t="s">
        <v>9713</v>
      </c>
      <c r="W926" t="s">
        <v>9713</v>
      </c>
      <c r="X926" t="s">
        <v>1531</v>
      </c>
      <c r="Y926" t="s">
        <v>97</v>
      </c>
      <c r="Z926" t="s">
        <v>77</v>
      </c>
      <c r="AA926" t="str">
        <f>"10036-8005"</f>
        <v>10036-8005</v>
      </c>
      <c r="AB926" t="s">
        <v>108</v>
      </c>
      <c r="AC926" t="s">
        <v>79</v>
      </c>
      <c r="AD926" t="s">
        <v>75</v>
      </c>
      <c r="AE926" t="s">
        <v>80</v>
      </c>
      <c r="AG926" t="s">
        <v>81</v>
      </c>
    </row>
    <row r="927" spans="1:33" x14ac:dyDescent="0.25">
      <c r="A927" t="str">
        <f>"1932364999"</f>
        <v>1932364999</v>
      </c>
      <c r="B927" t="str">
        <f>"03097812"</f>
        <v>03097812</v>
      </c>
      <c r="C927" t="s">
        <v>9714</v>
      </c>
      <c r="D927" t="s">
        <v>9715</v>
      </c>
      <c r="E927" t="s">
        <v>9716</v>
      </c>
      <c r="G927" t="s">
        <v>6930</v>
      </c>
      <c r="H927" t="s">
        <v>6931</v>
      </c>
      <c r="J927" t="s">
        <v>6932</v>
      </c>
      <c r="L927" t="s">
        <v>83</v>
      </c>
      <c r="M927" t="s">
        <v>75</v>
      </c>
      <c r="R927" t="s">
        <v>9717</v>
      </c>
      <c r="W927" t="s">
        <v>9716</v>
      </c>
      <c r="X927" t="s">
        <v>1531</v>
      </c>
      <c r="Y927" t="s">
        <v>97</v>
      </c>
      <c r="Z927" t="s">
        <v>77</v>
      </c>
      <c r="AA927" t="str">
        <f>"10036-8005"</f>
        <v>10036-8005</v>
      </c>
      <c r="AB927" t="s">
        <v>108</v>
      </c>
      <c r="AC927" t="s">
        <v>79</v>
      </c>
      <c r="AD927" t="s">
        <v>75</v>
      </c>
      <c r="AE927" t="s">
        <v>80</v>
      </c>
      <c r="AG927" t="s">
        <v>81</v>
      </c>
    </row>
    <row r="928" spans="1:33" x14ac:dyDescent="0.25">
      <c r="A928" t="str">
        <f>"1952634164"</f>
        <v>1952634164</v>
      </c>
      <c r="B928" t="str">
        <f>"03189035"</f>
        <v>03189035</v>
      </c>
      <c r="C928" t="s">
        <v>9718</v>
      </c>
      <c r="D928" t="s">
        <v>9719</v>
      </c>
      <c r="E928" t="s">
        <v>9720</v>
      </c>
      <c r="G928" t="s">
        <v>6930</v>
      </c>
      <c r="H928" t="s">
        <v>6931</v>
      </c>
      <c r="J928" t="s">
        <v>6932</v>
      </c>
      <c r="L928" t="s">
        <v>83</v>
      </c>
      <c r="M928" t="s">
        <v>75</v>
      </c>
      <c r="R928" t="s">
        <v>9721</v>
      </c>
      <c r="W928" t="s">
        <v>9720</v>
      </c>
      <c r="X928" t="s">
        <v>1531</v>
      </c>
      <c r="Y928" t="s">
        <v>97</v>
      </c>
      <c r="Z928" t="s">
        <v>77</v>
      </c>
      <c r="AA928" t="str">
        <f>"10036-8005"</f>
        <v>10036-8005</v>
      </c>
      <c r="AB928" t="s">
        <v>108</v>
      </c>
      <c r="AC928" t="s">
        <v>79</v>
      </c>
      <c r="AD928" t="s">
        <v>75</v>
      </c>
      <c r="AE928" t="s">
        <v>80</v>
      </c>
      <c r="AG928" t="s">
        <v>81</v>
      </c>
    </row>
    <row r="929" spans="1:33" x14ac:dyDescent="0.25">
      <c r="A929" t="str">
        <f>"1194722876"</f>
        <v>1194722876</v>
      </c>
      <c r="B929" t="str">
        <f>"03735164"</f>
        <v>03735164</v>
      </c>
      <c r="C929" t="s">
        <v>9722</v>
      </c>
      <c r="D929" t="s">
        <v>9723</v>
      </c>
      <c r="E929" t="s">
        <v>9724</v>
      </c>
      <c r="G929" t="s">
        <v>6800</v>
      </c>
      <c r="H929" t="s">
        <v>6801</v>
      </c>
      <c r="I929">
        <v>6381</v>
      </c>
      <c r="J929" t="s">
        <v>6802</v>
      </c>
      <c r="L929" t="s">
        <v>94</v>
      </c>
      <c r="M929" t="s">
        <v>75</v>
      </c>
      <c r="R929" t="s">
        <v>9725</v>
      </c>
      <c r="W929" t="s">
        <v>9724</v>
      </c>
      <c r="X929" t="s">
        <v>9726</v>
      </c>
      <c r="Y929" t="s">
        <v>131</v>
      </c>
      <c r="Z929" t="s">
        <v>77</v>
      </c>
      <c r="AA929" t="str">
        <f>"10461-5726"</f>
        <v>10461-5726</v>
      </c>
      <c r="AB929" t="s">
        <v>78</v>
      </c>
      <c r="AC929" t="s">
        <v>79</v>
      </c>
      <c r="AD929" t="s">
        <v>75</v>
      </c>
      <c r="AE929" t="s">
        <v>80</v>
      </c>
      <c r="AG929" t="s">
        <v>81</v>
      </c>
    </row>
    <row r="930" spans="1:33" x14ac:dyDescent="0.25">
      <c r="A930" t="str">
        <f>"1326103581"</f>
        <v>1326103581</v>
      </c>
      <c r="B930" t="str">
        <f>"03077561"</f>
        <v>03077561</v>
      </c>
      <c r="C930" t="s">
        <v>9727</v>
      </c>
      <c r="D930" t="s">
        <v>9728</v>
      </c>
      <c r="E930" t="s">
        <v>9729</v>
      </c>
      <c r="G930" t="s">
        <v>6800</v>
      </c>
      <c r="H930" t="s">
        <v>6801</v>
      </c>
      <c r="I930">
        <v>6381</v>
      </c>
      <c r="J930" t="s">
        <v>6802</v>
      </c>
      <c r="L930" t="s">
        <v>74</v>
      </c>
      <c r="M930" t="s">
        <v>85</v>
      </c>
      <c r="R930" t="s">
        <v>9729</v>
      </c>
      <c r="W930" t="s">
        <v>9729</v>
      </c>
      <c r="X930" t="s">
        <v>9730</v>
      </c>
      <c r="Y930" t="s">
        <v>97</v>
      </c>
      <c r="Z930" t="s">
        <v>77</v>
      </c>
      <c r="AA930" t="str">
        <f>"10024-3512"</f>
        <v>10024-3512</v>
      </c>
      <c r="AB930" t="s">
        <v>78</v>
      </c>
      <c r="AC930" t="s">
        <v>79</v>
      </c>
      <c r="AD930" t="s">
        <v>75</v>
      </c>
      <c r="AE930" t="s">
        <v>80</v>
      </c>
      <c r="AG930" t="s">
        <v>81</v>
      </c>
    </row>
    <row r="931" spans="1:33" x14ac:dyDescent="0.25">
      <c r="A931" t="str">
        <f>"1639207350"</f>
        <v>1639207350</v>
      </c>
      <c r="B931" t="str">
        <f>"03276166"</f>
        <v>03276166</v>
      </c>
      <c r="C931" t="s">
        <v>9731</v>
      </c>
      <c r="D931" t="s">
        <v>9732</v>
      </c>
      <c r="E931" t="s">
        <v>9733</v>
      </c>
      <c r="G931" t="s">
        <v>6800</v>
      </c>
      <c r="H931" t="s">
        <v>6801</v>
      </c>
      <c r="I931">
        <v>6381</v>
      </c>
      <c r="J931" t="s">
        <v>6802</v>
      </c>
      <c r="L931" t="s">
        <v>105</v>
      </c>
      <c r="M931" t="s">
        <v>75</v>
      </c>
      <c r="R931" t="s">
        <v>9734</v>
      </c>
      <c r="W931" t="s">
        <v>9733</v>
      </c>
      <c r="X931" t="s">
        <v>203</v>
      </c>
      <c r="Y931" t="s">
        <v>87</v>
      </c>
      <c r="Z931" t="s">
        <v>77</v>
      </c>
      <c r="AA931" t="str">
        <f>"11203-2054"</f>
        <v>11203-2054</v>
      </c>
      <c r="AB931" t="s">
        <v>78</v>
      </c>
      <c r="AC931" t="s">
        <v>79</v>
      </c>
      <c r="AD931" t="s">
        <v>75</v>
      </c>
      <c r="AE931" t="s">
        <v>80</v>
      </c>
      <c r="AG931" t="s">
        <v>81</v>
      </c>
    </row>
    <row r="932" spans="1:33" x14ac:dyDescent="0.25">
      <c r="A932" t="str">
        <f>"1679624639"</f>
        <v>1679624639</v>
      </c>
      <c r="B932" t="str">
        <f>"02688773"</f>
        <v>02688773</v>
      </c>
      <c r="C932" t="s">
        <v>9735</v>
      </c>
      <c r="D932" t="s">
        <v>9736</v>
      </c>
      <c r="E932" t="s">
        <v>9737</v>
      </c>
      <c r="G932" t="s">
        <v>6800</v>
      </c>
      <c r="H932" t="s">
        <v>6801</v>
      </c>
      <c r="I932">
        <v>6381</v>
      </c>
      <c r="J932" t="s">
        <v>6802</v>
      </c>
      <c r="L932" t="s">
        <v>74</v>
      </c>
      <c r="M932" t="s">
        <v>85</v>
      </c>
      <c r="R932" t="s">
        <v>9738</v>
      </c>
      <c r="W932" t="s">
        <v>9739</v>
      </c>
      <c r="X932" t="s">
        <v>9740</v>
      </c>
      <c r="Y932" t="s">
        <v>91</v>
      </c>
      <c r="Z932" t="s">
        <v>77</v>
      </c>
      <c r="AA932" t="str">
        <f>"11373-3701"</f>
        <v>11373-3701</v>
      </c>
      <c r="AB932" t="s">
        <v>82</v>
      </c>
      <c r="AC932" t="s">
        <v>79</v>
      </c>
      <c r="AD932" t="s">
        <v>75</v>
      </c>
      <c r="AE932" t="s">
        <v>80</v>
      </c>
      <c r="AG932" t="s">
        <v>81</v>
      </c>
    </row>
    <row r="933" spans="1:33" x14ac:dyDescent="0.25">
      <c r="A933" t="str">
        <f>"1033360664"</f>
        <v>1033360664</v>
      </c>
      <c r="B933" t="str">
        <f>"03823118"</f>
        <v>03823118</v>
      </c>
      <c r="C933" t="s">
        <v>9741</v>
      </c>
      <c r="D933" t="s">
        <v>9742</v>
      </c>
      <c r="E933" t="s">
        <v>9743</v>
      </c>
      <c r="G933" t="s">
        <v>6800</v>
      </c>
      <c r="H933" t="s">
        <v>6801</v>
      </c>
      <c r="I933">
        <v>6381</v>
      </c>
      <c r="J933" t="s">
        <v>6802</v>
      </c>
      <c r="L933" t="s">
        <v>74</v>
      </c>
      <c r="M933" t="s">
        <v>75</v>
      </c>
      <c r="R933" t="s">
        <v>9743</v>
      </c>
      <c r="W933" t="s">
        <v>9743</v>
      </c>
      <c r="X933" t="s">
        <v>8686</v>
      </c>
      <c r="Y933" t="s">
        <v>145</v>
      </c>
      <c r="Z933" t="s">
        <v>77</v>
      </c>
      <c r="AA933" t="str">
        <f>"11361-3241"</f>
        <v>11361-3241</v>
      </c>
      <c r="AB933" t="s">
        <v>109</v>
      </c>
      <c r="AC933" t="s">
        <v>79</v>
      </c>
      <c r="AD933" t="s">
        <v>75</v>
      </c>
      <c r="AE933" t="s">
        <v>80</v>
      </c>
      <c r="AG933" t="s">
        <v>81</v>
      </c>
    </row>
    <row r="934" spans="1:33" x14ac:dyDescent="0.25">
      <c r="A934" t="str">
        <f>"1124005970"</f>
        <v>1124005970</v>
      </c>
      <c r="B934" t="str">
        <f>"02511017"</f>
        <v>02511017</v>
      </c>
      <c r="C934" t="s">
        <v>9744</v>
      </c>
      <c r="D934" t="s">
        <v>9745</v>
      </c>
      <c r="E934" t="s">
        <v>9746</v>
      </c>
      <c r="G934" t="s">
        <v>6800</v>
      </c>
      <c r="H934" t="s">
        <v>6801</v>
      </c>
      <c r="I934">
        <v>6381</v>
      </c>
      <c r="J934" t="s">
        <v>6802</v>
      </c>
      <c r="L934" t="s">
        <v>74</v>
      </c>
      <c r="M934" t="s">
        <v>85</v>
      </c>
      <c r="R934" t="s">
        <v>9747</v>
      </c>
      <c r="W934" t="s">
        <v>9748</v>
      </c>
      <c r="X934" t="s">
        <v>9749</v>
      </c>
      <c r="Y934" t="s">
        <v>87</v>
      </c>
      <c r="Z934" t="s">
        <v>77</v>
      </c>
      <c r="AA934" t="str">
        <f>"11209-5105"</f>
        <v>11209-5105</v>
      </c>
      <c r="AB934" t="s">
        <v>82</v>
      </c>
      <c r="AC934" t="s">
        <v>79</v>
      </c>
      <c r="AD934" t="s">
        <v>75</v>
      </c>
      <c r="AE934" t="s">
        <v>80</v>
      </c>
      <c r="AG934" t="s">
        <v>81</v>
      </c>
    </row>
    <row r="935" spans="1:33" x14ac:dyDescent="0.25">
      <c r="A935" t="str">
        <f>"1205085784"</f>
        <v>1205085784</v>
      </c>
      <c r="B935" t="str">
        <f>"03585224"</f>
        <v>03585224</v>
      </c>
      <c r="C935" t="s">
        <v>9750</v>
      </c>
      <c r="D935" t="s">
        <v>9751</v>
      </c>
      <c r="E935" t="s">
        <v>9752</v>
      </c>
      <c r="G935" t="s">
        <v>6800</v>
      </c>
      <c r="H935" t="s">
        <v>6801</v>
      </c>
      <c r="I935">
        <v>6381</v>
      </c>
      <c r="J935" t="s">
        <v>6802</v>
      </c>
      <c r="L935" t="s">
        <v>74</v>
      </c>
      <c r="M935" t="s">
        <v>75</v>
      </c>
      <c r="R935" t="s">
        <v>9752</v>
      </c>
      <c r="W935" t="s">
        <v>9752</v>
      </c>
      <c r="X935" t="s">
        <v>8509</v>
      </c>
      <c r="Y935" t="s">
        <v>145</v>
      </c>
      <c r="Z935" t="s">
        <v>77</v>
      </c>
      <c r="AA935" t="str">
        <f>"11361-3241"</f>
        <v>11361-3241</v>
      </c>
      <c r="AB935" t="s">
        <v>114</v>
      </c>
      <c r="AC935" t="s">
        <v>79</v>
      </c>
      <c r="AD935" t="s">
        <v>75</v>
      </c>
      <c r="AE935" t="s">
        <v>80</v>
      </c>
      <c r="AG935" t="s">
        <v>81</v>
      </c>
    </row>
    <row r="936" spans="1:33" x14ac:dyDescent="0.25">
      <c r="A936" t="str">
        <f>"1336479344"</f>
        <v>1336479344</v>
      </c>
      <c r="B936" t="str">
        <f>"00710590"</f>
        <v>00710590</v>
      </c>
      <c r="C936" t="s">
        <v>9753</v>
      </c>
      <c r="D936" t="s">
        <v>9754</v>
      </c>
      <c r="E936" t="s">
        <v>9755</v>
      </c>
      <c r="G936" t="s">
        <v>6800</v>
      </c>
      <c r="H936" t="s">
        <v>6801</v>
      </c>
      <c r="I936">
        <v>6381</v>
      </c>
      <c r="J936" t="s">
        <v>6802</v>
      </c>
      <c r="L936" t="s">
        <v>102</v>
      </c>
      <c r="M936" t="s">
        <v>75</v>
      </c>
      <c r="R936" t="s">
        <v>9756</v>
      </c>
      <c r="W936" t="s">
        <v>9755</v>
      </c>
      <c r="X936" t="s">
        <v>9757</v>
      </c>
      <c r="Y936" t="s">
        <v>4662</v>
      </c>
      <c r="Z936" t="s">
        <v>77</v>
      </c>
      <c r="AA936" t="str">
        <f>"10566-3809"</f>
        <v>10566-3809</v>
      </c>
      <c r="AB936" t="s">
        <v>82</v>
      </c>
      <c r="AC936" t="s">
        <v>79</v>
      </c>
      <c r="AD936" t="s">
        <v>75</v>
      </c>
      <c r="AE936" t="s">
        <v>80</v>
      </c>
      <c r="AG936" t="s">
        <v>81</v>
      </c>
    </row>
    <row r="937" spans="1:33" x14ac:dyDescent="0.25">
      <c r="A937" t="str">
        <f>"1437232303"</f>
        <v>1437232303</v>
      </c>
      <c r="B937" t="str">
        <f>"02556843"</f>
        <v>02556843</v>
      </c>
      <c r="C937" t="s">
        <v>9758</v>
      </c>
      <c r="D937" t="s">
        <v>9759</v>
      </c>
      <c r="E937" t="s">
        <v>9760</v>
      </c>
      <c r="G937" t="s">
        <v>6800</v>
      </c>
      <c r="H937" t="s">
        <v>6801</v>
      </c>
      <c r="I937">
        <v>6381</v>
      </c>
      <c r="J937" t="s">
        <v>6802</v>
      </c>
      <c r="L937" t="s">
        <v>74</v>
      </c>
      <c r="M937" t="s">
        <v>75</v>
      </c>
      <c r="R937" t="s">
        <v>9761</v>
      </c>
      <c r="W937" t="s">
        <v>9760</v>
      </c>
      <c r="X937" t="s">
        <v>3193</v>
      </c>
      <c r="Y937" t="s">
        <v>288</v>
      </c>
      <c r="Z937" t="s">
        <v>77</v>
      </c>
      <c r="AA937" t="str">
        <f>"11520-3074"</f>
        <v>11520-3074</v>
      </c>
      <c r="AB937" t="s">
        <v>82</v>
      </c>
      <c r="AC937" t="s">
        <v>79</v>
      </c>
      <c r="AD937" t="s">
        <v>75</v>
      </c>
      <c r="AE937" t="s">
        <v>80</v>
      </c>
      <c r="AG937" t="s">
        <v>81</v>
      </c>
    </row>
    <row r="938" spans="1:33" x14ac:dyDescent="0.25">
      <c r="A938" t="str">
        <f>"1134281975"</f>
        <v>1134281975</v>
      </c>
      <c r="B938" t="str">
        <f>"01621705"</f>
        <v>01621705</v>
      </c>
      <c r="C938" t="s">
        <v>9762</v>
      </c>
      <c r="D938" t="s">
        <v>9763</v>
      </c>
      <c r="E938" t="s">
        <v>9764</v>
      </c>
      <c r="H938" t="s">
        <v>564</v>
      </c>
      <c r="I938">
        <v>1205</v>
      </c>
      <c r="J938" t="s">
        <v>9765</v>
      </c>
      <c r="L938" t="s">
        <v>84</v>
      </c>
      <c r="M938" t="s">
        <v>85</v>
      </c>
      <c r="R938" t="s">
        <v>9766</v>
      </c>
      <c r="W938" t="s">
        <v>9764</v>
      </c>
      <c r="X938" t="s">
        <v>258</v>
      </c>
      <c r="Y938" t="s">
        <v>131</v>
      </c>
      <c r="Z938" t="s">
        <v>77</v>
      </c>
      <c r="AA938" t="str">
        <f>"10467-2401"</f>
        <v>10467-2401</v>
      </c>
      <c r="AB938" t="s">
        <v>78</v>
      </c>
      <c r="AC938" t="s">
        <v>79</v>
      </c>
      <c r="AD938" t="s">
        <v>75</v>
      </c>
      <c r="AE938" t="s">
        <v>80</v>
      </c>
      <c r="AG938" t="s">
        <v>81</v>
      </c>
    </row>
    <row r="939" spans="1:33" x14ac:dyDescent="0.25">
      <c r="A939" t="str">
        <f>"1306892534"</f>
        <v>1306892534</v>
      </c>
      <c r="C939" t="s">
        <v>9767</v>
      </c>
      <c r="H939" t="s">
        <v>564</v>
      </c>
      <c r="I939">
        <v>1345</v>
      </c>
      <c r="J939" t="s">
        <v>9768</v>
      </c>
      <c r="K939" t="s">
        <v>99</v>
      </c>
      <c r="L939" t="s">
        <v>74</v>
      </c>
      <c r="M939" t="s">
        <v>75</v>
      </c>
      <c r="R939" t="s">
        <v>9769</v>
      </c>
      <c r="S939" t="s">
        <v>9770</v>
      </c>
      <c r="T939" t="s">
        <v>87</v>
      </c>
      <c r="U939" t="s">
        <v>77</v>
      </c>
      <c r="V939" t="str">
        <f>"112011903"</f>
        <v>112011903</v>
      </c>
      <c r="AC939" t="s">
        <v>79</v>
      </c>
      <c r="AD939" t="s">
        <v>75</v>
      </c>
      <c r="AE939" t="s">
        <v>103</v>
      </c>
      <c r="AG939" t="s">
        <v>81</v>
      </c>
    </row>
    <row r="940" spans="1:33" x14ac:dyDescent="0.25">
      <c r="A940" t="str">
        <f>"1427485614"</f>
        <v>1427485614</v>
      </c>
      <c r="B940" t="str">
        <f>"03812580"</f>
        <v>03812580</v>
      </c>
      <c r="C940" t="s">
        <v>9771</v>
      </c>
      <c r="D940" t="s">
        <v>9772</v>
      </c>
      <c r="E940" t="s">
        <v>9773</v>
      </c>
      <c r="G940" t="s">
        <v>9774</v>
      </c>
      <c r="H940" t="s">
        <v>9775</v>
      </c>
      <c r="J940" t="s">
        <v>9776</v>
      </c>
      <c r="L940" t="s">
        <v>74</v>
      </c>
      <c r="M940" t="s">
        <v>75</v>
      </c>
      <c r="R940" t="s">
        <v>9777</v>
      </c>
      <c r="W940" t="s">
        <v>9773</v>
      </c>
      <c r="X940" t="s">
        <v>9778</v>
      </c>
      <c r="Y940" t="s">
        <v>268</v>
      </c>
      <c r="Z940" t="s">
        <v>77</v>
      </c>
      <c r="AA940" t="str">
        <f>"11362-2532"</f>
        <v>11362-2532</v>
      </c>
      <c r="AB940" t="s">
        <v>114</v>
      </c>
      <c r="AC940" t="s">
        <v>79</v>
      </c>
      <c r="AD940" t="s">
        <v>75</v>
      </c>
      <c r="AE940" t="s">
        <v>80</v>
      </c>
      <c r="AG940" t="s">
        <v>81</v>
      </c>
    </row>
    <row r="941" spans="1:33" x14ac:dyDescent="0.25">
      <c r="A941" t="str">
        <f>"1376609925"</f>
        <v>1376609925</v>
      </c>
      <c r="B941" t="str">
        <f>"01833792"</f>
        <v>01833792</v>
      </c>
      <c r="C941" t="s">
        <v>9779</v>
      </c>
      <c r="D941" t="s">
        <v>9780</v>
      </c>
      <c r="E941" t="s">
        <v>9781</v>
      </c>
      <c r="G941" t="s">
        <v>9779</v>
      </c>
      <c r="H941" t="s">
        <v>7233</v>
      </c>
      <c r="J941" t="s">
        <v>9782</v>
      </c>
      <c r="L941" t="s">
        <v>74</v>
      </c>
      <c r="M941" t="s">
        <v>85</v>
      </c>
      <c r="R941" t="s">
        <v>9783</v>
      </c>
      <c r="W941" t="s">
        <v>9781</v>
      </c>
      <c r="X941" t="s">
        <v>9784</v>
      </c>
      <c r="Y941" t="s">
        <v>87</v>
      </c>
      <c r="Z941" t="s">
        <v>77</v>
      </c>
      <c r="AA941" t="str">
        <f>"11221-1809"</f>
        <v>11221-1809</v>
      </c>
      <c r="AB941" t="s">
        <v>78</v>
      </c>
      <c r="AC941" t="s">
        <v>79</v>
      </c>
      <c r="AD941" t="s">
        <v>75</v>
      </c>
      <c r="AE941" t="s">
        <v>80</v>
      </c>
      <c r="AG941" t="s">
        <v>81</v>
      </c>
    </row>
    <row r="942" spans="1:33" x14ac:dyDescent="0.25">
      <c r="A942" t="str">
        <f>"1932324662"</f>
        <v>1932324662</v>
      </c>
      <c r="B942" t="str">
        <f>"03523291"</f>
        <v>03523291</v>
      </c>
      <c r="C942" t="s">
        <v>9785</v>
      </c>
      <c r="D942" t="s">
        <v>9786</v>
      </c>
      <c r="E942" t="s">
        <v>9787</v>
      </c>
      <c r="G942" t="s">
        <v>9785</v>
      </c>
      <c r="H942" t="s">
        <v>6463</v>
      </c>
      <c r="I942">
        <v>1356</v>
      </c>
      <c r="J942" t="s">
        <v>9788</v>
      </c>
      <c r="L942" t="s">
        <v>143</v>
      </c>
      <c r="M942" t="s">
        <v>85</v>
      </c>
      <c r="R942" t="s">
        <v>9789</v>
      </c>
      <c r="W942" t="s">
        <v>9787</v>
      </c>
      <c r="X942" t="s">
        <v>9790</v>
      </c>
      <c r="Y942" t="s">
        <v>97</v>
      </c>
      <c r="Z942" t="s">
        <v>77</v>
      </c>
      <c r="AA942" t="str">
        <f>"10025-2956"</f>
        <v>10025-2956</v>
      </c>
      <c r="AB942" t="s">
        <v>78</v>
      </c>
      <c r="AC942" t="s">
        <v>79</v>
      </c>
      <c r="AD942" t="s">
        <v>75</v>
      </c>
      <c r="AE942" t="s">
        <v>80</v>
      </c>
      <c r="AG942" t="s">
        <v>81</v>
      </c>
    </row>
    <row r="943" spans="1:33" x14ac:dyDescent="0.25">
      <c r="A943" t="str">
        <f>"1316938988"</f>
        <v>1316938988</v>
      </c>
      <c r="B943" t="str">
        <f>"01697805"</f>
        <v>01697805</v>
      </c>
      <c r="C943" t="s">
        <v>9791</v>
      </c>
      <c r="D943" t="s">
        <v>2972</v>
      </c>
      <c r="E943" t="s">
        <v>2973</v>
      </c>
      <c r="G943" t="s">
        <v>6474</v>
      </c>
      <c r="H943" t="s">
        <v>252</v>
      </c>
      <c r="J943" t="s">
        <v>628</v>
      </c>
      <c r="L943" t="s">
        <v>94</v>
      </c>
      <c r="M943" t="s">
        <v>85</v>
      </c>
      <c r="R943" t="s">
        <v>2974</v>
      </c>
      <c r="W943" t="s">
        <v>2973</v>
      </c>
      <c r="X943" t="s">
        <v>1786</v>
      </c>
      <c r="Y943" t="s">
        <v>1742</v>
      </c>
      <c r="Z943" t="s">
        <v>77</v>
      </c>
      <c r="AA943" t="str">
        <f>"12304-1009"</f>
        <v>12304-1009</v>
      </c>
      <c r="AB943" t="s">
        <v>78</v>
      </c>
      <c r="AC943" t="s">
        <v>79</v>
      </c>
      <c r="AD943" t="s">
        <v>75</v>
      </c>
      <c r="AE943" t="s">
        <v>80</v>
      </c>
      <c r="AG943" t="s">
        <v>81</v>
      </c>
    </row>
    <row r="944" spans="1:33" x14ac:dyDescent="0.25">
      <c r="A944" t="str">
        <f>"1720064157"</f>
        <v>1720064157</v>
      </c>
      <c r="B944" t="str">
        <f>"01722729"</f>
        <v>01722729</v>
      </c>
      <c r="C944" t="s">
        <v>9792</v>
      </c>
      <c r="D944" t="s">
        <v>3290</v>
      </c>
      <c r="E944" t="s">
        <v>3291</v>
      </c>
      <c r="G944" t="s">
        <v>6474</v>
      </c>
      <c r="H944" t="s">
        <v>252</v>
      </c>
      <c r="J944" t="s">
        <v>628</v>
      </c>
      <c r="L944" t="s">
        <v>94</v>
      </c>
      <c r="M944" t="s">
        <v>85</v>
      </c>
      <c r="R944" t="s">
        <v>3292</v>
      </c>
      <c r="W944" t="s">
        <v>3291</v>
      </c>
      <c r="X944" t="s">
        <v>3293</v>
      </c>
      <c r="Y944" t="s">
        <v>152</v>
      </c>
      <c r="Z944" t="s">
        <v>77</v>
      </c>
      <c r="AA944" t="str">
        <f>"11375-5553"</f>
        <v>11375-5553</v>
      </c>
      <c r="AB944" t="s">
        <v>78</v>
      </c>
      <c r="AC944" t="s">
        <v>79</v>
      </c>
      <c r="AD944" t="s">
        <v>75</v>
      </c>
      <c r="AE944" t="s">
        <v>80</v>
      </c>
      <c r="AG944" t="s">
        <v>81</v>
      </c>
    </row>
    <row r="945" spans="1:33" x14ac:dyDescent="0.25">
      <c r="A945" t="str">
        <f>"1184907628"</f>
        <v>1184907628</v>
      </c>
      <c r="B945" t="str">
        <f>"03568710"</f>
        <v>03568710</v>
      </c>
      <c r="C945" t="s">
        <v>9793</v>
      </c>
      <c r="D945" t="s">
        <v>9794</v>
      </c>
      <c r="E945" t="s">
        <v>9795</v>
      </c>
      <c r="G945" t="s">
        <v>9793</v>
      </c>
      <c r="H945" t="s">
        <v>6463</v>
      </c>
      <c r="I945">
        <v>1372</v>
      </c>
      <c r="J945" t="s">
        <v>9796</v>
      </c>
      <c r="L945" t="s">
        <v>74</v>
      </c>
      <c r="M945" t="s">
        <v>75</v>
      </c>
      <c r="R945" t="s">
        <v>9795</v>
      </c>
      <c r="W945" t="s">
        <v>9795</v>
      </c>
      <c r="X945" t="s">
        <v>9175</v>
      </c>
      <c r="Y945" t="s">
        <v>97</v>
      </c>
      <c r="Z945" t="s">
        <v>77</v>
      </c>
      <c r="AA945" t="str">
        <f>"10025"</f>
        <v>10025</v>
      </c>
      <c r="AB945" t="s">
        <v>113</v>
      </c>
      <c r="AC945" t="s">
        <v>79</v>
      </c>
      <c r="AD945" t="s">
        <v>75</v>
      </c>
      <c r="AE945" t="s">
        <v>80</v>
      </c>
      <c r="AG945" t="s">
        <v>81</v>
      </c>
    </row>
    <row r="946" spans="1:33" x14ac:dyDescent="0.25">
      <c r="A946" t="str">
        <f>"1316243140"</f>
        <v>1316243140</v>
      </c>
      <c r="B946" t="str">
        <f>"03300938"</f>
        <v>03300938</v>
      </c>
      <c r="C946" t="s">
        <v>9797</v>
      </c>
      <c r="D946" t="s">
        <v>9798</v>
      </c>
      <c r="E946" t="s">
        <v>9799</v>
      </c>
      <c r="G946" t="s">
        <v>9797</v>
      </c>
      <c r="H946" t="s">
        <v>9800</v>
      </c>
      <c r="J946" t="s">
        <v>9801</v>
      </c>
      <c r="L946" t="s">
        <v>102</v>
      </c>
      <c r="M946" t="s">
        <v>75</v>
      </c>
      <c r="R946" t="s">
        <v>9802</v>
      </c>
      <c r="W946" t="s">
        <v>9799</v>
      </c>
      <c r="X946" t="s">
        <v>9803</v>
      </c>
      <c r="Y946" t="s">
        <v>2673</v>
      </c>
      <c r="Z946" t="s">
        <v>77</v>
      </c>
      <c r="AA946" t="str">
        <f>"11717-4908"</f>
        <v>11717-4908</v>
      </c>
      <c r="AB946" t="s">
        <v>114</v>
      </c>
      <c r="AC946" t="s">
        <v>79</v>
      </c>
      <c r="AD946" t="s">
        <v>75</v>
      </c>
      <c r="AE946" t="s">
        <v>80</v>
      </c>
      <c r="AG946" t="s">
        <v>81</v>
      </c>
    </row>
    <row r="947" spans="1:33" x14ac:dyDescent="0.25">
      <c r="A947" t="str">
        <f>"1386088342"</f>
        <v>1386088342</v>
      </c>
      <c r="C947" t="s">
        <v>9804</v>
      </c>
      <c r="G947" t="s">
        <v>9804</v>
      </c>
      <c r="H947" t="s">
        <v>6463</v>
      </c>
      <c r="I947">
        <v>1334</v>
      </c>
      <c r="J947" t="s">
        <v>9805</v>
      </c>
      <c r="K947" t="s">
        <v>99</v>
      </c>
      <c r="L947" t="s">
        <v>102</v>
      </c>
      <c r="M947" t="s">
        <v>75</v>
      </c>
      <c r="R947" t="s">
        <v>9806</v>
      </c>
      <c r="S947" t="s">
        <v>7543</v>
      </c>
      <c r="T947" t="s">
        <v>97</v>
      </c>
      <c r="U947" t="s">
        <v>77</v>
      </c>
      <c r="V947" t="str">
        <f>"100252956"</f>
        <v>100252956</v>
      </c>
      <c r="AC947" t="s">
        <v>79</v>
      </c>
      <c r="AD947" t="s">
        <v>75</v>
      </c>
      <c r="AE947" t="s">
        <v>103</v>
      </c>
      <c r="AG947" t="s">
        <v>81</v>
      </c>
    </row>
    <row r="948" spans="1:33" x14ac:dyDescent="0.25">
      <c r="A948" t="str">
        <f>"1811096506"</f>
        <v>1811096506</v>
      </c>
      <c r="B948" t="str">
        <f>"01678642"</f>
        <v>01678642</v>
      </c>
      <c r="C948" t="s">
        <v>9807</v>
      </c>
      <c r="D948" t="s">
        <v>9808</v>
      </c>
      <c r="E948" t="s">
        <v>9809</v>
      </c>
      <c r="L948" t="s">
        <v>74</v>
      </c>
      <c r="M948" t="s">
        <v>75</v>
      </c>
      <c r="R948" t="s">
        <v>9810</v>
      </c>
      <c r="W948" t="s">
        <v>9809</v>
      </c>
      <c r="X948" t="s">
        <v>9811</v>
      </c>
      <c r="Y948" t="s">
        <v>97</v>
      </c>
      <c r="Z948" t="s">
        <v>77</v>
      </c>
      <c r="AA948" t="str">
        <f>"10024-6107"</f>
        <v>10024-6107</v>
      </c>
      <c r="AB948" t="s">
        <v>78</v>
      </c>
      <c r="AC948" t="s">
        <v>79</v>
      </c>
      <c r="AD948" t="s">
        <v>75</v>
      </c>
      <c r="AE948" t="s">
        <v>80</v>
      </c>
      <c r="AG948" t="s">
        <v>81</v>
      </c>
    </row>
    <row r="949" spans="1:33" x14ac:dyDescent="0.25">
      <c r="A949" t="str">
        <f>"1104811991"</f>
        <v>1104811991</v>
      </c>
      <c r="B949" t="str">
        <f>"02108950"</f>
        <v>02108950</v>
      </c>
      <c r="C949" t="s">
        <v>9812</v>
      </c>
      <c r="D949" t="s">
        <v>9813</v>
      </c>
      <c r="E949" t="s">
        <v>9814</v>
      </c>
      <c r="L949" t="s">
        <v>84</v>
      </c>
      <c r="M949" t="s">
        <v>75</v>
      </c>
      <c r="R949" t="s">
        <v>9815</v>
      </c>
      <c r="W949" t="s">
        <v>9814</v>
      </c>
      <c r="X949" t="s">
        <v>130</v>
      </c>
      <c r="Y949" t="s">
        <v>131</v>
      </c>
      <c r="Z949" t="s">
        <v>77</v>
      </c>
      <c r="AA949" t="str">
        <f>"10461-1119"</f>
        <v>10461-1119</v>
      </c>
      <c r="AB949" t="s">
        <v>93</v>
      </c>
      <c r="AC949" t="s">
        <v>79</v>
      </c>
      <c r="AD949" t="s">
        <v>75</v>
      </c>
      <c r="AE949" t="s">
        <v>80</v>
      </c>
      <c r="AG949" t="s">
        <v>81</v>
      </c>
    </row>
    <row r="950" spans="1:33" x14ac:dyDescent="0.25">
      <c r="A950" t="str">
        <f>"1083634166"</f>
        <v>1083634166</v>
      </c>
      <c r="B950" t="str">
        <f>"02324743"</f>
        <v>02324743</v>
      </c>
      <c r="C950" t="s">
        <v>9816</v>
      </c>
      <c r="D950" t="s">
        <v>3571</v>
      </c>
      <c r="E950" t="s">
        <v>3572</v>
      </c>
      <c r="L950" t="s">
        <v>83</v>
      </c>
      <c r="M950" t="s">
        <v>85</v>
      </c>
      <c r="R950" t="s">
        <v>3573</v>
      </c>
      <c r="W950" t="s">
        <v>3572</v>
      </c>
      <c r="X950" t="s">
        <v>538</v>
      </c>
      <c r="Y950" t="s">
        <v>91</v>
      </c>
      <c r="Z950" t="s">
        <v>77</v>
      </c>
      <c r="AA950" t="str">
        <f>"11373-5071"</f>
        <v>11373-5071</v>
      </c>
      <c r="AB950" t="s">
        <v>78</v>
      </c>
      <c r="AC950" t="s">
        <v>79</v>
      </c>
      <c r="AD950" t="s">
        <v>75</v>
      </c>
      <c r="AE950" t="s">
        <v>80</v>
      </c>
      <c r="AG950" t="s">
        <v>81</v>
      </c>
    </row>
    <row r="951" spans="1:33" x14ac:dyDescent="0.25">
      <c r="A951" t="str">
        <f>"1609969013"</f>
        <v>1609969013</v>
      </c>
      <c r="B951" t="str">
        <f>"01886731"</f>
        <v>01886731</v>
      </c>
      <c r="C951" t="s">
        <v>9817</v>
      </c>
      <c r="D951" t="s">
        <v>5702</v>
      </c>
      <c r="E951" t="s">
        <v>5703</v>
      </c>
      <c r="G951" t="s">
        <v>8269</v>
      </c>
      <c r="H951" t="s">
        <v>8270</v>
      </c>
      <c r="J951" t="s">
        <v>9818</v>
      </c>
      <c r="L951" t="s">
        <v>84</v>
      </c>
      <c r="M951" t="s">
        <v>75</v>
      </c>
      <c r="R951" t="s">
        <v>5704</v>
      </c>
      <c r="W951" t="s">
        <v>5703</v>
      </c>
      <c r="X951" t="s">
        <v>5705</v>
      </c>
      <c r="Y951" t="s">
        <v>131</v>
      </c>
      <c r="Z951" t="s">
        <v>77</v>
      </c>
      <c r="AA951" t="str">
        <f>"10463-3815"</f>
        <v>10463-3815</v>
      </c>
      <c r="AB951" t="s">
        <v>78</v>
      </c>
      <c r="AC951" t="s">
        <v>79</v>
      </c>
      <c r="AD951" t="s">
        <v>75</v>
      </c>
      <c r="AE951" t="s">
        <v>80</v>
      </c>
      <c r="AG951" t="s">
        <v>81</v>
      </c>
    </row>
    <row r="952" spans="1:33" x14ac:dyDescent="0.25">
      <c r="A952" t="str">
        <f>"1699744318"</f>
        <v>1699744318</v>
      </c>
      <c r="B952" t="str">
        <f>"02500801"</f>
        <v>02500801</v>
      </c>
      <c r="C952" t="s">
        <v>9819</v>
      </c>
      <c r="D952" t="s">
        <v>9820</v>
      </c>
      <c r="E952" t="s">
        <v>9821</v>
      </c>
      <c r="G952" t="s">
        <v>8260</v>
      </c>
      <c r="H952" t="s">
        <v>8261</v>
      </c>
      <c r="J952" t="s">
        <v>8262</v>
      </c>
      <c r="L952" t="s">
        <v>84</v>
      </c>
      <c r="M952" t="s">
        <v>75</v>
      </c>
      <c r="R952" t="s">
        <v>9822</v>
      </c>
      <c r="W952" t="s">
        <v>9821</v>
      </c>
      <c r="X952" t="s">
        <v>1766</v>
      </c>
      <c r="Y952" t="s">
        <v>180</v>
      </c>
      <c r="Z952" t="s">
        <v>77</v>
      </c>
      <c r="AA952" t="str">
        <f>"10704-3062"</f>
        <v>10704-3062</v>
      </c>
      <c r="AB952" t="s">
        <v>78</v>
      </c>
      <c r="AC952" t="s">
        <v>79</v>
      </c>
      <c r="AD952" t="s">
        <v>75</v>
      </c>
      <c r="AE952" t="s">
        <v>80</v>
      </c>
      <c r="AG952" t="s">
        <v>81</v>
      </c>
    </row>
    <row r="953" spans="1:33" x14ac:dyDescent="0.25">
      <c r="A953" t="str">
        <f>"1700929809"</f>
        <v>1700929809</v>
      </c>
      <c r="B953" t="str">
        <f>"00582738"</f>
        <v>00582738</v>
      </c>
      <c r="C953" t="s">
        <v>9823</v>
      </c>
      <c r="D953" t="s">
        <v>5326</v>
      </c>
      <c r="E953" t="s">
        <v>5327</v>
      </c>
      <c r="H953" t="s">
        <v>9824</v>
      </c>
      <c r="J953" t="s">
        <v>9825</v>
      </c>
      <c r="L953" t="s">
        <v>105</v>
      </c>
      <c r="M953" t="s">
        <v>75</v>
      </c>
      <c r="R953" t="s">
        <v>5328</v>
      </c>
      <c r="W953" t="s">
        <v>5327</v>
      </c>
      <c r="X953" t="s">
        <v>5329</v>
      </c>
      <c r="Y953" t="s">
        <v>180</v>
      </c>
      <c r="Z953" t="s">
        <v>77</v>
      </c>
      <c r="AA953" t="str">
        <f>"10701-1322"</f>
        <v>10701-1322</v>
      </c>
      <c r="AB953" t="s">
        <v>78</v>
      </c>
      <c r="AC953" t="s">
        <v>79</v>
      </c>
      <c r="AD953" t="s">
        <v>75</v>
      </c>
      <c r="AE953" t="s">
        <v>80</v>
      </c>
      <c r="AG953" t="s">
        <v>81</v>
      </c>
    </row>
    <row r="954" spans="1:33" x14ac:dyDescent="0.25">
      <c r="A954" t="str">
        <f>"1700979119"</f>
        <v>1700979119</v>
      </c>
      <c r="B954" t="str">
        <f>"02611085"</f>
        <v>02611085</v>
      </c>
      <c r="C954" t="s">
        <v>9826</v>
      </c>
      <c r="D954" t="s">
        <v>5376</v>
      </c>
      <c r="E954" t="s">
        <v>5377</v>
      </c>
      <c r="G954" t="s">
        <v>8269</v>
      </c>
      <c r="H954" t="s">
        <v>8270</v>
      </c>
      <c r="J954" t="s">
        <v>9827</v>
      </c>
      <c r="L954" t="s">
        <v>84</v>
      </c>
      <c r="M954" t="s">
        <v>75</v>
      </c>
      <c r="R954" t="s">
        <v>5378</v>
      </c>
      <c r="W954" t="s">
        <v>5379</v>
      </c>
      <c r="X954" t="s">
        <v>4501</v>
      </c>
      <c r="Y954" t="s">
        <v>131</v>
      </c>
      <c r="Z954" t="s">
        <v>77</v>
      </c>
      <c r="AA954" t="str">
        <f>"10463-5180"</f>
        <v>10463-5180</v>
      </c>
      <c r="AB954" t="s">
        <v>78</v>
      </c>
      <c r="AC954" t="s">
        <v>79</v>
      </c>
      <c r="AD954" t="s">
        <v>75</v>
      </c>
      <c r="AE954" t="s">
        <v>80</v>
      </c>
      <c r="AG954" t="s">
        <v>81</v>
      </c>
    </row>
    <row r="955" spans="1:33" x14ac:dyDescent="0.25">
      <c r="C955" t="s">
        <v>9828</v>
      </c>
      <c r="H955" t="s">
        <v>9829</v>
      </c>
      <c r="J955" t="s">
        <v>9830</v>
      </c>
      <c r="K955" t="s">
        <v>206</v>
      </c>
      <c r="L955" t="s">
        <v>100</v>
      </c>
      <c r="M955" t="s">
        <v>75</v>
      </c>
      <c r="N955" t="s">
        <v>9831</v>
      </c>
      <c r="O955" t="s">
        <v>296</v>
      </c>
      <c r="P955" t="s">
        <v>77</v>
      </c>
      <c r="Q955" t="str">
        <f>"10463"</f>
        <v>10463</v>
      </c>
      <c r="AC955" t="s">
        <v>79</v>
      </c>
      <c r="AD955" t="s">
        <v>75</v>
      </c>
      <c r="AE955" t="s">
        <v>101</v>
      </c>
      <c r="AG955" t="s">
        <v>81</v>
      </c>
    </row>
    <row r="956" spans="1:33" x14ac:dyDescent="0.25">
      <c r="A956" t="str">
        <f>"1912296641"</f>
        <v>1912296641</v>
      </c>
      <c r="B956" t="str">
        <f>"03395104"</f>
        <v>03395104</v>
      </c>
      <c r="C956" t="s">
        <v>9832</v>
      </c>
      <c r="D956" t="s">
        <v>5545</v>
      </c>
      <c r="E956" t="s">
        <v>5546</v>
      </c>
      <c r="G956" t="s">
        <v>8269</v>
      </c>
      <c r="H956" t="s">
        <v>8270</v>
      </c>
      <c r="J956" t="s">
        <v>9833</v>
      </c>
      <c r="L956" t="s">
        <v>84</v>
      </c>
      <c r="M956" t="s">
        <v>75</v>
      </c>
      <c r="R956" t="s">
        <v>5547</v>
      </c>
      <c r="W956" t="s">
        <v>5546</v>
      </c>
      <c r="X956" t="s">
        <v>4501</v>
      </c>
      <c r="Y956" t="s">
        <v>131</v>
      </c>
      <c r="Z956" t="s">
        <v>77</v>
      </c>
      <c r="AA956" t="str">
        <f>"10463-5180"</f>
        <v>10463-5180</v>
      </c>
      <c r="AB956" t="s">
        <v>78</v>
      </c>
      <c r="AC956" t="s">
        <v>79</v>
      </c>
      <c r="AD956" t="s">
        <v>75</v>
      </c>
      <c r="AE956" t="s">
        <v>80</v>
      </c>
      <c r="AG956" t="s">
        <v>81</v>
      </c>
    </row>
    <row r="957" spans="1:33" x14ac:dyDescent="0.25">
      <c r="A957" t="str">
        <f>"1124058268"</f>
        <v>1124058268</v>
      </c>
      <c r="B957" t="str">
        <f>"02142923"</f>
        <v>02142923</v>
      </c>
      <c r="C957" t="s">
        <v>9834</v>
      </c>
      <c r="D957" t="s">
        <v>9835</v>
      </c>
      <c r="E957" t="s">
        <v>9836</v>
      </c>
      <c r="G957" t="s">
        <v>9837</v>
      </c>
      <c r="H957" t="s">
        <v>9838</v>
      </c>
      <c r="J957" t="s">
        <v>9839</v>
      </c>
      <c r="L957" t="s">
        <v>84</v>
      </c>
      <c r="M957" t="s">
        <v>75</v>
      </c>
      <c r="R957" t="s">
        <v>9840</v>
      </c>
      <c r="W957" t="s">
        <v>9841</v>
      </c>
      <c r="X957" t="s">
        <v>9842</v>
      </c>
      <c r="Y957" t="s">
        <v>97</v>
      </c>
      <c r="Z957" t="s">
        <v>77</v>
      </c>
      <c r="AA957" t="str">
        <f>"10029-4007"</f>
        <v>10029-4007</v>
      </c>
      <c r="AB957" t="s">
        <v>78</v>
      </c>
      <c r="AC957" t="s">
        <v>79</v>
      </c>
      <c r="AD957" t="s">
        <v>75</v>
      </c>
      <c r="AE957" t="s">
        <v>80</v>
      </c>
      <c r="AG957" t="s">
        <v>81</v>
      </c>
    </row>
    <row r="958" spans="1:33" x14ac:dyDescent="0.25">
      <c r="A958" t="str">
        <f>"1649263369"</f>
        <v>1649263369</v>
      </c>
      <c r="B958" t="str">
        <f>"01605494"</f>
        <v>01605494</v>
      </c>
      <c r="C958" t="s">
        <v>9843</v>
      </c>
      <c r="D958" t="s">
        <v>9844</v>
      </c>
      <c r="E958" t="s">
        <v>9845</v>
      </c>
      <c r="G958" t="s">
        <v>9837</v>
      </c>
      <c r="H958" t="s">
        <v>9838</v>
      </c>
      <c r="J958" t="s">
        <v>9839</v>
      </c>
      <c r="L958" t="s">
        <v>84</v>
      </c>
      <c r="M958" t="s">
        <v>85</v>
      </c>
      <c r="R958" t="s">
        <v>9846</v>
      </c>
      <c r="W958" t="s">
        <v>9845</v>
      </c>
      <c r="X958" t="s">
        <v>258</v>
      </c>
      <c r="Y958" t="s">
        <v>131</v>
      </c>
      <c r="Z958" t="s">
        <v>77</v>
      </c>
      <c r="AA958" t="str">
        <f>"10467-2401"</f>
        <v>10467-2401</v>
      </c>
      <c r="AB958" t="s">
        <v>78</v>
      </c>
      <c r="AC958" t="s">
        <v>79</v>
      </c>
      <c r="AD958" t="s">
        <v>75</v>
      </c>
      <c r="AE958" t="s">
        <v>80</v>
      </c>
      <c r="AG958" t="s">
        <v>81</v>
      </c>
    </row>
    <row r="959" spans="1:33" x14ac:dyDescent="0.25">
      <c r="A959" t="str">
        <f>"1922150515"</f>
        <v>1922150515</v>
      </c>
      <c r="B959" t="str">
        <f>"01590481"</f>
        <v>01590481</v>
      </c>
      <c r="C959" t="s">
        <v>9847</v>
      </c>
      <c r="D959" t="s">
        <v>5817</v>
      </c>
      <c r="E959" t="s">
        <v>5818</v>
      </c>
      <c r="G959" t="s">
        <v>6800</v>
      </c>
      <c r="H959" t="s">
        <v>6801</v>
      </c>
      <c r="I959">
        <v>6381</v>
      </c>
      <c r="J959" t="s">
        <v>6802</v>
      </c>
      <c r="L959" t="s">
        <v>105</v>
      </c>
      <c r="M959" t="s">
        <v>75</v>
      </c>
      <c r="R959" t="s">
        <v>5819</v>
      </c>
      <c r="W959" t="s">
        <v>5820</v>
      </c>
      <c r="X959" t="s">
        <v>5821</v>
      </c>
      <c r="Y959" t="s">
        <v>97</v>
      </c>
      <c r="Z959" t="s">
        <v>77</v>
      </c>
      <c r="AA959" t="str">
        <f>"10011-8557"</f>
        <v>10011-8557</v>
      </c>
      <c r="AB959" t="s">
        <v>78</v>
      </c>
      <c r="AC959" t="s">
        <v>79</v>
      </c>
      <c r="AD959" t="s">
        <v>75</v>
      </c>
      <c r="AE959" t="s">
        <v>80</v>
      </c>
      <c r="AG959" t="s">
        <v>81</v>
      </c>
    </row>
    <row r="960" spans="1:33" x14ac:dyDescent="0.25">
      <c r="A960" t="str">
        <f>"1659605186"</f>
        <v>1659605186</v>
      </c>
      <c r="B960" t="str">
        <f>"03364927"</f>
        <v>03364927</v>
      </c>
      <c r="C960" t="s">
        <v>9848</v>
      </c>
      <c r="D960" t="s">
        <v>9849</v>
      </c>
      <c r="E960" t="s">
        <v>9850</v>
      </c>
      <c r="G960" t="s">
        <v>8615</v>
      </c>
      <c r="H960" t="s">
        <v>8616</v>
      </c>
      <c r="J960" t="s">
        <v>8617</v>
      </c>
      <c r="L960" t="s">
        <v>84</v>
      </c>
      <c r="M960" t="s">
        <v>85</v>
      </c>
      <c r="R960" t="s">
        <v>9851</v>
      </c>
      <c r="W960" t="s">
        <v>9852</v>
      </c>
      <c r="X960" t="s">
        <v>86</v>
      </c>
      <c r="Y960" t="s">
        <v>87</v>
      </c>
      <c r="Z960" t="s">
        <v>77</v>
      </c>
      <c r="AA960" t="str">
        <f>"11220-2553"</f>
        <v>11220-2553</v>
      </c>
      <c r="AB960" t="s">
        <v>78</v>
      </c>
      <c r="AC960" t="s">
        <v>79</v>
      </c>
      <c r="AD960" t="s">
        <v>75</v>
      </c>
      <c r="AE960" t="s">
        <v>80</v>
      </c>
      <c r="AG960" t="s">
        <v>81</v>
      </c>
    </row>
    <row r="961" spans="1:33" x14ac:dyDescent="0.25">
      <c r="A961" t="str">
        <f>"1942520424"</f>
        <v>1942520424</v>
      </c>
      <c r="B961" t="str">
        <f>"03662508"</f>
        <v>03662508</v>
      </c>
      <c r="C961" t="s">
        <v>9853</v>
      </c>
      <c r="D961" t="s">
        <v>9854</v>
      </c>
      <c r="E961" t="s">
        <v>9855</v>
      </c>
      <c r="G961" t="s">
        <v>8615</v>
      </c>
      <c r="H961" t="s">
        <v>8616</v>
      </c>
      <c r="J961" t="s">
        <v>8617</v>
      </c>
      <c r="L961" t="s">
        <v>84</v>
      </c>
      <c r="M961" t="s">
        <v>75</v>
      </c>
      <c r="R961" t="s">
        <v>9856</v>
      </c>
      <c r="W961" t="s">
        <v>9855</v>
      </c>
      <c r="X961" t="s">
        <v>8630</v>
      </c>
      <c r="Y961" t="s">
        <v>97</v>
      </c>
      <c r="Z961" t="s">
        <v>77</v>
      </c>
      <c r="AA961" t="str">
        <f>"10038-4737"</f>
        <v>10038-4737</v>
      </c>
      <c r="AB961" t="s">
        <v>78</v>
      </c>
      <c r="AC961" t="s">
        <v>79</v>
      </c>
      <c r="AD961" t="s">
        <v>75</v>
      </c>
      <c r="AE961" t="s">
        <v>80</v>
      </c>
      <c r="AG961" t="s">
        <v>81</v>
      </c>
    </row>
    <row r="962" spans="1:33" x14ac:dyDescent="0.25">
      <c r="A962" t="str">
        <f>"1760496350"</f>
        <v>1760496350</v>
      </c>
      <c r="B962" t="str">
        <f>"01845289"</f>
        <v>01845289</v>
      </c>
      <c r="C962" t="s">
        <v>9857</v>
      </c>
      <c r="D962" t="s">
        <v>9858</v>
      </c>
      <c r="E962" t="s">
        <v>9859</v>
      </c>
      <c r="G962" t="s">
        <v>8615</v>
      </c>
      <c r="H962" t="s">
        <v>8616</v>
      </c>
      <c r="J962" t="s">
        <v>8617</v>
      </c>
      <c r="L962" t="s">
        <v>83</v>
      </c>
      <c r="M962" t="s">
        <v>75</v>
      </c>
      <c r="R962" t="s">
        <v>9859</v>
      </c>
      <c r="W962" t="s">
        <v>9860</v>
      </c>
      <c r="X962" t="s">
        <v>8630</v>
      </c>
      <c r="Y962" t="s">
        <v>97</v>
      </c>
      <c r="Z962" t="s">
        <v>77</v>
      </c>
      <c r="AA962" t="str">
        <f>"10038-4737"</f>
        <v>10038-4737</v>
      </c>
      <c r="AB962" t="s">
        <v>78</v>
      </c>
      <c r="AC962" t="s">
        <v>79</v>
      </c>
      <c r="AD962" t="s">
        <v>75</v>
      </c>
      <c r="AE962" t="s">
        <v>80</v>
      </c>
      <c r="AG962" t="s">
        <v>81</v>
      </c>
    </row>
    <row r="963" spans="1:33" x14ac:dyDescent="0.25">
      <c r="A963" t="str">
        <f>"1093793044"</f>
        <v>1093793044</v>
      </c>
      <c r="B963" t="str">
        <f>"02612673"</f>
        <v>02612673</v>
      </c>
      <c r="C963" t="s">
        <v>9861</v>
      </c>
      <c r="D963" t="s">
        <v>9862</v>
      </c>
      <c r="E963" t="s">
        <v>9863</v>
      </c>
      <c r="G963" t="s">
        <v>8615</v>
      </c>
      <c r="H963" t="s">
        <v>8616</v>
      </c>
      <c r="J963" t="s">
        <v>8617</v>
      </c>
      <c r="L963" t="s">
        <v>74</v>
      </c>
      <c r="M963" t="s">
        <v>75</v>
      </c>
      <c r="R963" t="s">
        <v>9864</v>
      </c>
      <c r="W963" t="s">
        <v>9863</v>
      </c>
      <c r="X963" t="s">
        <v>8630</v>
      </c>
      <c r="Y963" t="s">
        <v>97</v>
      </c>
      <c r="Z963" t="s">
        <v>77</v>
      </c>
      <c r="AA963" t="str">
        <f>"10038-4737"</f>
        <v>10038-4737</v>
      </c>
      <c r="AB963" t="s">
        <v>109</v>
      </c>
      <c r="AC963" t="s">
        <v>79</v>
      </c>
      <c r="AD963" t="s">
        <v>75</v>
      </c>
      <c r="AE963" t="s">
        <v>80</v>
      </c>
      <c r="AG963" t="s">
        <v>81</v>
      </c>
    </row>
    <row r="964" spans="1:33" x14ac:dyDescent="0.25">
      <c r="A964" t="str">
        <f>"1174679179"</f>
        <v>1174679179</v>
      </c>
      <c r="B964" t="str">
        <f>"02154658"</f>
        <v>02154658</v>
      </c>
      <c r="C964" t="s">
        <v>9865</v>
      </c>
      <c r="D964" t="s">
        <v>9866</v>
      </c>
      <c r="E964" t="s">
        <v>9867</v>
      </c>
      <c r="G964" t="s">
        <v>9688</v>
      </c>
      <c r="H964" t="s">
        <v>9689</v>
      </c>
      <c r="J964" t="s">
        <v>9690</v>
      </c>
      <c r="L964" t="s">
        <v>84</v>
      </c>
      <c r="M964" t="s">
        <v>75</v>
      </c>
      <c r="R964" t="s">
        <v>2572</v>
      </c>
      <c r="W964" t="s">
        <v>9867</v>
      </c>
      <c r="X964" t="s">
        <v>9868</v>
      </c>
      <c r="Y964" t="s">
        <v>178</v>
      </c>
      <c r="Z964" t="s">
        <v>77</v>
      </c>
      <c r="AA964" t="str">
        <f>"11021-5316"</f>
        <v>11021-5316</v>
      </c>
      <c r="AB964" t="s">
        <v>78</v>
      </c>
      <c r="AC964" t="s">
        <v>79</v>
      </c>
      <c r="AD964" t="s">
        <v>75</v>
      </c>
      <c r="AE964" t="s">
        <v>80</v>
      </c>
      <c r="AG964" t="s">
        <v>81</v>
      </c>
    </row>
    <row r="965" spans="1:33" x14ac:dyDescent="0.25">
      <c r="A965" t="str">
        <f>"1801978234"</f>
        <v>1801978234</v>
      </c>
      <c r="B965" t="str">
        <f>"02476593"</f>
        <v>02476593</v>
      </c>
      <c r="C965" t="s">
        <v>9869</v>
      </c>
      <c r="D965" t="s">
        <v>9870</v>
      </c>
      <c r="E965" t="s">
        <v>9871</v>
      </c>
      <c r="G965" t="s">
        <v>9688</v>
      </c>
      <c r="H965" t="s">
        <v>9689</v>
      </c>
      <c r="J965" t="s">
        <v>9690</v>
      </c>
      <c r="L965" t="s">
        <v>105</v>
      </c>
      <c r="M965" t="s">
        <v>75</v>
      </c>
      <c r="R965" t="s">
        <v>9872</v>
      </c>
      <c r="W965" t="s">
        <v>9871</v>
      </c>
      <c r="X965" t="s">
        <v>9873</v>
      </c>
      <c r="Y965" t="s">
        <v>131</v>
      </c>
      <c r="Z965" t="s">
        <v>77</v>
      </c>
      <c r="AA965" t="str">
        <f>"10463-3309"</f>
        <v>10463-3309</v>
      </c>
      <c r="AB965" t="s">
        <v>78</v>
      </c>
      <c r="AC965" t="s">
        <v>79</v>
      </c>
      <c r="AD965" t="s">
        <v>75</v>
      </c>
      <c r="AE965" t="s">
        <v>80</v>
      </c>
      <c r="AG965" t="s">
        <v>81</v>
      </c>
    </row>
    <row r="966" spans="1:33" x14ac:dyDescent="0.25">
      <c r="A966" t="str">
        <f>"1508101304"</f>
        <v>1508101304</v>
      </c>
      <c r="C966" t="s">
        <v>9874</v>
      </c>
      <c r="G966" t="s">
        <v>6800</v>
      </c>
      <c r="H966" t="s">
        <v>6801</v>
      </c>
      <c r="I966">
        <v>6381</v>
      </c>
      <c r="J966" t="s">
        <v>6802</v>
      </c>
      <c r="K966" t="s">
        <v>99</v>
      </c>
      <c r="L966" t="s">
        <v>102</v>
      </c>
      <c r="M966" t="s">
        <v>75</v>
      </c>
      <c r="R966" t="s">
        <v>9875</v>
      </c>
      <c r="S966" t="s">
        <v>9876</v>
      </c>
      <c r="T966" t="s">
        <v>97</v>
      </c>
      <c r="U966" t="s">
        <v>77</v>
      </c>
      <c r="V966" t="str">
        <f>"100012320"</f>
        <v>100012320</v>
      </c>
      <c r="AC966" t="s">
        <v>79</v>
      </c>
      <c r="AD966" t="s">
        <v>75</v>
      </c>
      <c r="AE966" t="s">
        <v>103</v>
      </c>
      <c r="AG966" t="s">
        <v>81</v>
      </c>
    </row>
    <row r="967" spans="1:33" x14ac:dyDescent="0.25">
      <c r="A967" t="str">
        <f>"1528123734"</f>
        <v>1528123734</v>
      </c>
      <c r="B967" t="str">
        <f>"02297932"</f>
        <v>02297932</v>
      </c>
      <c r="C967" t="s">
        <v>9877</v>
      </c>
      <c r="D967" t="s">
        <v>9878</v>
      </c>
      <c r="E967" t="s">
        <v>9879</v>
      </c>
      <c r="G967" t="s">
        <v>6800</v>
      </c>
      <c r="H967" t="s">
        <v>6801</v>
      </c>
      <c r="I967">
        <v>6381</v>
      </c>
      <c r="J967" t="s">
        <v>6802</v>
      </c>
      <c r="L967" t="s">
        <v>74</v>
      </c>
      <c r="M967" t="s">
        <v>75</v>
      </c>
      <c r="R967" t="s">
        <v>9880</v>
      </c>
      <c r="W967" t="s">
        <v>9881</v>
      </c>
      <c r="X967" t="s">
        <v>9882</v>
      </c>
      <c r="Y967" t="s">
        <v>4526</v>
      </c>
      <c r="Z967" t="s">
        <v>156</v>
      </c>
      <c r="AA967" t="str">
        <f>"07666-4303"</f>
        <v>07666-4303</v>
      </c>
      <c r="AB967" t="s">
        <v>128</v>
      </c>
      <c r="AC967" t="s">
        <v>79</v>
      </c>
      <c r="AD967" t="s">
        <v>75</v>
      </c>
      <c r="AE967" t="s">
        <v>80</v>
      </c>
      <c r="AG967" t="s">
        <v>81</v>
      </c>
    </row>
    <row r="968" spans="1:33" x14ac:dyDescent="0.25">
      <c r="A968" t="str">
        <f>"1528270741"</f>
        <v>1528270741</v>
      </c>
      <c r="B968" t="str">
        <f>"02871254"</f>
        <v>02871254</v>
      </c>
      <c r="C968" t="s">
        <v>9883</v>
      </c>
      <c r="D968" t="s">
        <v>9884</v>
      </c>
      <c r="E968" t="s">
        <v>9885</v>
      </c>
      <c r="G968" t="s">
        <v>6800</v>
      </c>
      <c r="H968" t="s">
        <v>6801</v>
      </c>
      <c r="I968">
        <v>6381</v>
      </c>
      <c r="J968" t="s">
        <v>6802</v>
      </c>
      <c r="L968" t="s">
        <v>143</v>
      </c>
      <c r="M968" t="s">
        <v>75</v>
      </c>
      <c r="R968" t="s">
        <v>9886</v>
      </c>
      <c r="W968" t="s">
        <v>9885</v>
      </c>
      <c r="X968" t="s">
        <v>9887</v>
      </c>
      <c r="Y968" t="s">
        <v>227</v>
      </c>
      <c r="Z968" t="s">
        <v>77</v>
      </c>
      <c r="AA968" t="str">
        <f>"10601"</f>
        <v>10601</v>
      </c>
      <c r="AB968" t="s">
        <v>78</v>
      </c>
      <c r="AC968" t="s">
        <v>79</v>
      </c>
      <c r="AD968" t="s">
        <v>75</v>
      </c>
      <c r="AE968" t="s">
        <v>80</v>
      </c>
      <c r="AG968" t="s">
        <v>81</v>
      </c>
    </row>
    <row r="969" spans="1:33" x14ac:dyDescent="0.25">
      <c r="A969" t="str">
        <f>"1558312223"</f>
        <v>1558312223</v>
      </c>
      <c r="B969" t="str">
        <f>"01571246"</f>
        <v>01571246</v>
      </c>
      <c r="C969" t="s">
        <v>9888</v>
      </c>
      <c r="D969" t="s">
        <v>9889</v>
      </c>
      <c r="E969" t="s">
        <v>9890</v>
      </c>
      <c r="G969" t="s">
        <v>6800</v>
      </c>
      <c r="H969" t="s">
        <v>6801</v>
      </c>
      <c r="I969">
        <v>6381</v>
      </c>
      <c r="J969" t="s">
        <v>6802</v>
      </c>
      <c r="L969" t="s">
        <v>74</v>
      </c>
      <c r="M969" t="s">
        <v>75</v>
      </c>
      <c r="R969" t="s">
        <v>9891</v>
      </c>
      <c r="W969" t="s">
        <v>9890</v>
      </c>
      <c r="X969" t="s">
        <v>9151</v>
      </c>
      <c r="Y969" t="s">
        <v>97</v>
      </c>
      <c r="Z969" t="s">
        <v>77</v>
      </c>
      <c r="AA969" t="str">
        <f>"10001-2382"</f>
        <v>10001-2382</v>
      </c>
      <c r="AB969" t="s">
        <v>78</v>
      </c>
      <c r="AC969" t="s">
        <v>79</v>
      </c>
      <c r="AD969" t="s">
        <v>75</v>
      </c>
      <c r="AE969" t="s">
        <v>80</v>
      </c>
      <c r="AG969" t="s">
        <v>81</v>
      </c>
    </row>
    <row r="970" spans="1:33" x14ac:dyDescent="0.25">
      <c r="A970" t="str">
        <f>"1679777692"</f>
        <v>1679777692</v>
      </c>
      <c r="C970" t="s">
        <v>9892</v>
      </c>
      <c r="G970" t="s">
        <v>6800</v>
      </c>
      <c r="H970" t="s">
        <v>6801</v>
      </c>
      <c r="I970">
        <v>6381</v>
      </c>
      <c r="J970" t="s">
        <v>6802</v>
      </c>
      <c r="K970" t="s">
        <v>99</v>
      </c>
      <c r="L970" t="s">
        <v>102</v>
      </c>
      <c r="M970" t="s">
        <v>75</v>
      </c>
      <c r="R970" t="s">
        <v>9893</v>
      </c>
      <c r="S970" t="s">
        <v>6229</v>
      </c>
      <c r="T970" t="s">
        <v>97</v>
      </c>
      <c r="U970" t="s">
        <v>77</v>
      </c>
      <c r="V970" t="str">
        <f>"100012320"</f>
        <v>100012320</v>
      </c>
      <c r="AC970" t="s">
        <v>79</v>
      </c>
      <c r="AD970" t="s">
        <v>75</v>
      </c>
      <c r="AE970" t="s">
        <v>103</v>
      </c>
      <c r="AG970" t="s">
        <v>81</v>
      </c>
    </row>
    <row r="971" spans="1:33" x14ac:dyDescent="0.25">
      <c r="A971" t="str">
        <f>"1720493356"</f>
        <v>1720493356</v>
      </c>
      <c r="B971" t="str">
        <f>"03910776"</f>
        <v>03910776</v>
      </c>
      <c r="C971" t="s">
        <v>9894</v>
      </c>
      <c r="D971" t="s">
        <v>9895</v>
      </c>
      <c r="E971" t="s">
        <v>9896</v>
      </c>
      <c r="G971" t="s">
        <v>6930</v>
      </c>
      <c r="H971" t="s">
        <v>6931</v>
      </c>
      <c r="J971" t="s">
        <v>6932</v>
      </c>
      <c r="L971" t="s">
        <v>74</v>
      </c>
      <c r="M971" t="s">
        <v>75</v>
      </c>
      <c r="R971" t="s">
        <v>9897</v>
      </c>
      <c r="W971" t="s">
        <v>9896</v>
      </c>
      <c r="X971" t="s">
        <v>1531</v>
      </c>
      <c r="Y971" t="s">
        <v>97</v>
      </c>
      <c r="Z971" t="s">
        <v>77</v>
      </c>
      <c r="AA971" t="str">
        <f t="shared" ref="AA971:AA977" si="5">"10036-8005"</f>
        <v>10036-8005</v>
      </c>
      <c r="AB971" t="s">
        <v>108</v>
      </c>
      <c r="AC971" t="s">
        <v>79</v>
      </c>
      <c r="AD971" t="s">
        <v>75</v>
      </c>
      <c r="AE971" t="s">
        <v>80</v>
      </c>
      <c r="AG971" t="s">
        <v>81</v>
      </c>
    </row>
    <row r="972" spans="1:33" x14ac:dyDescent="0.25">
      <c r="A972" t="str">
        <f>"1013321074"</f>
        <v>1013321074</v>
      </c>
      <c r="B972" t="str">
        <f>"03910785"</f>
        <v>03910785</v>
      </c>
      <c r="C972" t="s">
        <v>9898</v>
      </c>
      <c r="D972" t="s">
        <v>1536</v>
      </c>
      <c r="E972" t="s">
        <v>1537</v>
      </c>
      <c r="G972" t="s">
        <v>6930</v>
      </c>
      <c r="H972" t="s">
        <v>6931</v>
      </c>
      <c r="J972" t="s">
        <v>6932</v>
      </c>
      <c r="L972" t="s">
        <v>83</v>
      </c>
      <c r="M972" t="s">
        <v>75</v>
      </c>
      <c r="R972" t="s">
        <v>1535</v>
      </c>
      <c r="W972" t="s">
        <v>1537</v>
      </c>
      <c r="X972" t="s">
        <v>1531</v>
      </c>
      <c r="Y972" t="s">
        <v>97</v>
      </c>
      <c r="Z972" t="s">
        <v>77</v>
      </c>
      <c r="AA972" t="str">
        <f t="shared" si="5"/>
        <v>10036-8005</v>
      </c>
      <c r="AB972" t="s">
        <v>108</v>
      </c>
      <c r="AC972" t="s">
        <v>79</v>
      </c>
      <c r="AD972" t="s">
        <v>75</v>
      </c>
      <c r="AE972" t="s">
        <v>80</v>
      </c>
      <c r="AG972" t="s">
        <v>81</v>
      </c>
    </row>
    <row r="973" spans="1:33" x14ac:dyDescent="0.25">
      <c r="A973" t="str">
        <f>"1023422987"</f>
        <v>1023422987</v>
      </c>
      <c r="B973" t="str">
        <f>"03910794"</f>
        <v>03910794</v>
      </c>
      <c r="C973" t="s">
        <v>9899</v>
      </c>
      <c r="D973" t="s">
        <v>9900</v>
      </c>
      <c r="E973" t="s">
        <v>9901</v>
      </c>
      <c r="G973" t="s">
        <v>6930</v>
      </c>
      <c r="H973" t="s">
        <v>6931</v>
      </c>
      <c r="J973" t="s">
        <v>6932</v>
      </c>
      <c r="L973" t="s">
        <v>74</v>
      </c>
      <c r="M973" t="s">
        <v>75</v>
      </c>
      <c r="R973" t="s">
        <v>9902</v>
      </c>
      <c r="W973" t="s">
        <v>9903</v>
      </c>
      <c r="X973" t="s">
        <v>1531</v>
      </c>
      <c r="Y973" t="s">
        <v>97</v>
      </c>
      <c r="Z973" t="s">
        <v>77</v>
      </c>
      <c r="AA973" t="str">
        <f t="shared" si="5"/>
        <v>10036-8005</v>
      </c>
      <c r="AB973" t="s">
        <v>108</v>
      </c>
      <c r="AC973" t="s">
        <v>79</v>
      </c>
      <c r="AD973" t="s">
        <v>75</v>
      </c>
      <c r="AE973" t="s">
        <v>80</v>
      </c>
      <c r="AG973" t="s">
        <v>81</v>
      </c>
    </row>
    <row r="974" spans="1:33" x14ac:dyDescent="0.25">
      <c r="A974" t="str">
        <f>"1265846430"</f>
        <v>1265846430</v>
      </c>
      <c r="B974" t="str">
        <f>"03910809"</f>
        <v>03910809</v>
      </c>
      <c r="C974" t="s">
        <v>9904</v>
      </c>
      <c r="D974" t="s">
        <v>1556</v>
      </c>
      <c r="E974" t="s">
        <v>1557</v>
      </c>
      <c r="G974" t="s">
        <v>6930</v>
      </c>
      <c r="H974" t="s">
        <v>6931</v>
      </c>
      <c r="J974" t="s">
        <v>6932</v>
      </c>
      <c r="L974" t="s">
        <v>74</v>
      </c>
      <c r="M974" t="s">
        <v>75</v>
      </c>
      <c r="R974" t="s">
        <v>1555</v>
      </c>
      <c r="W974" t="s">
        <v>1557</v>
      </c>
      <c r="X974" t="s">
        <v>1531</v>
      </c>
      <c r="Y974" t="s">
        <v>97</v>
      </c>
      <c r="Z974" t="s">
        <v>77</v>
      </c>
      <c r="AA974" t="str">
        <f t="shared" si="5"/>
        <v>10036-8005</v>
      </c>
      <c r="AB974" t="s">
        <v>108</v>
      </c>
      <c r="AC974" t="s">
        <v>79</v>
      </c>
      <c r="AD974" t="s">
        <v>75</v>
      </c>
      <c r="AE974" t="s">
        <v>80</v>
      </c>
      <c r="AG974" t="s">
        <v>81</v>
      </c>
    </row>
    <row r="975" spans="1:33" x14ac:dyDescent="0.25">
      <c r="A975" t="str">
        <f>"1063827665"</f>
        <v>1063827665</v>
      </c>
      <c r="B975" t="str">
        <f>"03910818"</f>
        <v>03910818</v>
      </c>
      <c r="C975" t="s">
        <v>9905</v>
      </c>
      <c r="D975" t="s">
        <v>9906</v>
      </c>
      <c r="E975" t="s">
        <v>9907</v>
      </c>
      <c r="G975" t="s">
        <v>6930</v>
      </c>
      <c r="H975" t="s">
        <v>6931</v>
      </c>
      <c r="J975" t="s">
        <v>6932</v>
      </c>
      <c r="L975" t="s">
        <v>74</v>
      </c>
      <c r="M975" t="s">
        <v>75</v>
      </c>
      <c r="R975" t="s">
        <v>9908</v>
      </c>
      <c r="W975" t="s">
        <v>9907</v>
      </c>
      <c r="X975" t="s">
        <v>1531</v>
      </c>
      <c r="Y975" t="s">
        <v>97</v>
      </c>
      <c r="Z975" t="s">
        <v>77</v>
      </c>
      <c r="AA975" t="str">
        <f t="shared" si="5"/>
        <v>10036-8005</v>
      </c>
      <c r="AB975" t="s">
        <v>108</v>
      </c>
      <c r="AC975" t="s">
        <v>79</v>
      </c>
      <c r="AD975" t="s">
        <v>75</v>
      </c>
      <c r="AE975" t="s">
        <v>80</v>
      </c>
      <c r="AG975" t="s">
        <v>81</v>
      </c>
    </row>
    <row r="976" spans="1:33" x14ac:dyDescent="0.25">
      <c r="A976" t="str">
        <f>"1710392808"</f>
        <v>1710392808</v>
      </c>
      <c r="B976" t="str">
        <f>"03910827"</f>
        <v>03910827</v>
      </c>
      <c r="C976" t="s">
        <v>9909</v>
      </c>
      <c r="D976" t="s">
        <v>9910</v>
      </c>
      <c r="E976" t="s">
        <v>9911</v>
      </c>
      <c r="G976" t="s">
        <v>6930</v>
      </c>
      <c r="H976" t="s">
        <v>6931</v>
      </c>
      <c r="J976" t="s">
        <v>6932</v>
      </c>
      <c r="L976" t="s">
        <v>74</v>
      </c>
      <c r="M976" t="s">
        <v>75</v>
      </c>
      <c r="R976" t="s">
        <v>9912</v>
      </c>
      <c r="W976" t="s">
        <v>9911</v>
      </c>
      <c r="X976" t="s">
        <v>1531</v>
      </c>
      <c r="Y976" t="s">
        <v>97</v>
      </c>
      <c r="Z976" t="s">
        <v>77</v>
      </c>
      <c r="AA976" t="str">
        <f t="shared" si="5"/>
        <v>10036-8005</v>
      </c>
      <c r="AB976" t="s">
        <v>108</v>
      </c>
      <c r="AC976" t="s">
        <v>79</v>
      </c>
      <c r="AD976" t="s">
        <v>75</v>
      </c>
      <c r="AE976" t="s">
        <v>80</v>
      </c>
      <c r="AG976" t="s">
        <v>81</v>
      </c>
    </row>
    <row r="977" spans="1:33" x14ac:dyDescent="0.25">
      <c r="A977" t="str">
        <f>"1548673833"</f>
        <v>1548673833</v>
      </c>
      <c r="B977" t="str">
        <f>"03911979"</f>
        <v>03911979</v>
      </c>
      <c r="C977" t="s">
        <v>9913</v>
      </c>
      <c r="D977" t="s">
        <v>9914</v>
      </c>
      <c r="E977" t="s">
        <v>9915</v>
      </c>
      <c r="G977" t="s">
        <v>6930</v>
      </c>
      <c r="H977" t="s">
        <v>6931</v>
      </c>
      <c r="J977" t="s">
        <v>6932</v>
      </c>
      <c r="L977" t="s">
        <v>74</v>
      </c>
      <c r="M977" t="s">
        <v>75</v>
      </c>
      <c r="R977" t="s">
        <v>9916</v>
      </c>
      <c r="W977" t="s">
        <v>9915</v>
      </c>
      <c r="X977" t="s">
        <v>1531</v>
      </c>
      <c r="Y977" t="s">
        <v>97</v>
      </c>
      <c r="Z977" t="s">
        <v>77</v>
      </c>
      <c r="AA977" t="str">
        <f t="shared" si="5"/>
        <v>10036-8005</v>
      </c>
      <c r="AB977" t="s">
        <v>108</v>
      </c>
      <c r="AC977" t="s">
        <v>79</v>
      </c>
      <c r="AD977" t="s">
        <v>75</v>
      </c>
      <c r="AE977" t="s">
        <v>80</v>
      </c>
      <c r="AG977" t="s">
        <v>81</v>
      </c>
    </row>
    <row r="978" spans="1:33" x14ac:dyDescent="0.25">
      <c r="A978" t="str">
        <f>"1023276730"</f>
        <v>1023276730</v>
      </c>
      <c r="B978" t="str">
        <f>"02993108"</f>
        <v>02993108</v>
      </c>
      <c r="C978" t="s">
        <v>9917</v>
      </c>
      <c r="D978" t="s">
        <v>9918</v>
      </c>
      <c r="E978" t="s">
        <v>9919</v>
      </c>
      <c r="G978" t="s">
        <v>6380</v>
      </c>
      <c r="H978" t="s">
        <v>4625</v>
      </c>
      <c r="J978" t="s">
        <v>6381</v>
      </c>
      <c r="L978" t="s">
        <v>83</v>
      </c>
      <c r="M978" t="s">
        <v>85</v>
      </c>
      <c r="R978" t="s">
        <v>9920</v>
      </c>
      <c r="W978" t="s">
        <v>9919</v>
      </c>
      <c r="X978" t="s">
        <v>1822</v>
      </c>
      <c r="Y978" t="s">
        <v>1823</v>
      </c>
      <c r="Z978" t="s">
        <v>77</v>
      </c>
      <c r="AA978" t="str">
        <f>"10941-4028"</f>
        <v>10941-4028</v>
      </c>
      <c r="AB978" t="s">
        <v>78</v>
      </c>
      <c r="AC978" t="s">
        <v>79</v>
      </c>
      <c r="AD978" t="s">
        <v>75</v>
      </c>
      <c r="AE978" t="s">
        <v>80</v>
      </c>
      <c r="AG978" t="s">
        <v>81</v>
      </c>
    </row>
    <row r="979" spans="1:33" x14ac:dyDescent="0.25">
      <c r="A979" t="str">
        <f>"1992769632"</f>
        <v>1992769632</v>
      </c>
      <c r="B979" t="str">
        <f>"04025412"</f>
        <v>04025412</v>
      </c>
      <c r="C979" t="s">
        <v>9921</v>
      </c>
      <c r="D979" t="s">
        <v>9922</v>
      </c>
      <c r="E979" t="s">
        <v>9923</v>
      </c>
      <c r="G979" t="s">
        <v>6278</v>
      </c>
      <c r="H979" t="s">
        <v>6279</v>
      </c>
      <c r="J979" t="s">
        <v>6280</v>
      </c>
      <c r="L979" t="s">
        <v>74</v>
      </c>
      <c r="M979" t="s">
        <v>85</v>
      </c>
      <c r="R979" t="s">
        <v>9924</v>
      </c>
      <c r="W979" t="s">
        <v>9923</v>
      </c>
      <c r="X979" t="s">
        <v>1776</v>
      </c>
      <c r="Y979" t="s">
        <v>1777</v>
      </c>
      <c r="Z979" t="s">
        <v>77</v>
      </c>
      <c r="AA979" t="str">
        <f>"12078-1203"</f>
        <v>12078-1203</v>
      </c>
      <c r="AB979" t="s">
        <v>78</v>
      </c>
      <c r="AC979" t="s">
        <v>79</v>
      </c>
      <c r="AD979" t="s">
        <v>75</v>
      </c>
      <c r="AE979" t="s">
        <v>80</v>
      </c>
      <c r="AG979" t="s">
        <v>81</v>
      </c>
    </row>
    <row r="980" spans="1:33" x14ac:dyDescent="0.25">
      <c r="A980" t="str">
        <f>"1194166249"</f>
        <v>1194166249</v>
      </c>
      <c r="B980" t="str">
        <f>"03865941"</f>
        <v>03865941</v>
      </c>
      <c r="C980" t="s">
        <v>9925</v>
      </c>
      <c r="D980" t="s">
        <v>9926</v>
      </c>
      <c r="E980" t="s">
        <v>9927</v>
      </c>
      <c r="G980" t="s">
        <v>6524</v>
      </c>
      <c r="H980" t="s">
        <v>6525</v>
      </c>
      <c r="J980" t="s">
        <v>6526</v>
      </c>
      <c r="L980" t="s">
        <v>94</v>
      </c>
      <c r="M980" t="s">
        <v>75</v>
      </c>
      <c r="R980" t="s">
        <v>9928</v>
      </c>
      <c r="W980" t="s">
        <v>9929</v>
      </c>
      <c r="X980" t="s">
        <v>8602</v>
      </c>
      <c r="Y980" t="s">
        <v>97</v>
      </c>
      <c r="Z980" t="s">
        <v>77</v>
      </c>
      <c r="AA980" t="str">
        <f>"10036-3917"</f>
        <v>10036-3917</v>
      </c>
      <c r="AB980" t="s">
        <v>78</v>
      </c>
      <c r="AC980" t="s">
        <v>79</v>
      </c>
      <c r="AD980" t="s">
        <v>75</v>
      </c>
      <c r="AE980" t="s">
        <v>80</v>
      </c>
      <c r="AG980" t="s">
        <v>81</v>
      </c>
    </row>
    <row r="981" spans="1:33" x14ac:dyDescent="0.25">
      <c r="A981" t="str">
        <f>"1588984538"</f>
        <v>1588984538</v>
      </c>
      <c r="B981" t="str">
        <f>"03440966"</f>
        <v>03440966</v>
      </c>
      <c r="C981" t="s">
        <v>9930</v>
      </c>
      <c r="D981" t="s">
        <v>9931</v>
      </c>
      <c r="E981" t="s">
        <v>9932</v>
      </c>
      <c r="G981" t="s">
        <v>6524</v>
      </c>
      <c r="H981" t="s">
        <v>6525</v>
      </c>
      <c r="J981" t="s">
        <v>6526</v>
      </c>
      <c r="L981" t="s">
        <v>84</v>
      </c>
      <c r="M981" t="s">
        <v>85</v>
      </c>
      <c r="R981" t="s">
        <v>9933</v>
      </c>
      <c r="W981" t="s">
        <v>9934</v>
      </c>
      <c r="X981" t="s">
        <v>6528</v>
      </c>
      <c r="Y981" t="s">
        <v>97</v>
      </c>
      <c r="Z981" t="s">
        <v>77</v>
      </c>
      <c r="AA981" t="str">
        <f>"10035-3523"</f>
        <v>10035-3523</v>
      </c>
      <c r="AB981" t="s">
        <v>78</v>
      </c>
      <c r="AC981" t="s">
        <v>79</v>
      </c>
      <c r="AD981" t="s">
        <v>75</v>
      </c>
      <c r="AE981" t="s">
        <v>80</v>
      </c>
      <c r="AG981" t="s">
        <v>81</v>
      </c>
    </row>
    <row r="982" spans="1:33" x14ac:dyDescent="0.25">
      <c r="A982" t="str">
        <f>"1972622579"</f>
        <v>1972622579</v>
      </c>
      <c r="B982" t="str">
        <f>"03644520"</f>
        <v>03644520</v>
      </c>
      <c r="C982" t="s">
        <v>9935</v>
      </c>
      <c r="D982" t="s">
        <v>9936</v>
      </c>
      <c r="E982" t="s">
        <v>9937</v>
      </c>
      <c r="G982" t="s">
        <v>6524</v>
      </c>
      <c r="H982" t="s">
        <v>6525</v>
      </c>
      <c r="J982" t="s">
        <v>6526</v>
      </c>
      <c r="L982" t="s">
        <v>74</v>
      </c>
      <c r="M982" t="s">
        <v>75</v>
      </c>
      <c r="R982" t="s">
        <v>9938</v>
      </c>
      <c r="W982" t="s">
        <v>9937</v>
      </c>
      <c r="X982" t="s">
        <v>6528</v>
      </c>
      <c r="Y982" t="s">
        <v>97</v>
      </c>
      <c r="Z982" t="s">
        <v>77</v>
      </c>
      <c r="AA982" t="str">
        <f>"10035-3523"</f>
        <v>10035-3523</v>
      </c>
      <c r="AB982" t="s">
        <v>78</v>
      </c>
      <c r="AC982" t="s">
        <v>79</v>
      </c>
      <c r="AD982" t="s">
        <v>75</v>
      </c>
      <c r="AE982" t="s">
        <v>80</v>
      </c>
      <c r="AG982" t="s">
        <v>81</v>
      </c>
    </row>
    <row r="983" spans="1:33" x14ac:dyDescent="0.25">
      <c r="A983" t="str">
        <f>"1285075697"</f>
        <v>1285075697</v>
      </c>
      <c r="B983" t="str">
        <f>"03768307"</f>
        <v>03768307</v>
      </c>
      <c r="C983" t="s">
        <v>9939</v>
      </c>
      <c r="D983" t="s">
        <v>9940</v>
      </c>
      <c r="E983" t="s">
        <v>9941</v>
      </c>
      <c r="G983" t="s">
        <v>6494</v>
      </c>
      <c r="H983" t="s">
        <v>6495</v>
      </c>
      <c r="J983" t="s">
        <v>6496</v>
      </c>
      <c r="L983" t="s">
        <v>105</v>
      </c>
      <c r="M983" t="s">
        <v>75</v>
      </c>
      <c r="R983" t="s">
        <v>9942</v>
      </c>
      <c r="W983" t="s">
        <v>9941</v>
      </c>
      <c r="X983" t="s">
        <v>7539</v>
      </c>
      <c r="Y983" t="s">
        <v>97</v>
      </c>
      <c r="Z983" t="s">
        <v>77</v>
      </c>
      <c r="AA983" t="str">
        <f>"10025-5752"</f>
        <v>10025-5752</v>
      </c>
      <c r="AB983" t="s">
        <v>78</v>
      </c>
      <c r="AC983" t="s">
        <v>79</v>
      </c>
      <c r="AD983" t="s">
        <v>75</v>
      </c>
      <c r="AE983" t="s">
        <v>80</v>
      </c>
      <c r="AG983" t="s">
        <v>81</v>
      </c>
    </row>
    <row r="984" spans="1:33" x14ac:dyDescent="0.25">
      <c r="A984" t="str">
        <f>"1356629877"</f>
        <v>1356629877</v>
      </c>
      <c r="B984" t="str">
        <f>"03375573"</f>
        <v>03375573</v>
      </c>
      <c r="C984" t="s">
        <v>9943</v>
      </c>
      <c r="D984" t="s">
        <v>9944</v>
      </c>
      <c r="E984" t="s">
        <v>9945</v>
      </c>
      <c r="G984" t="s">
        <v>6494</v>
      </c>
      <c r="H984" t="s">
        <v>6495</v>
      </c>
      <c r="J984" t="s">
        <v>6496</v>
      </c>
      <c r="L984" t="s">
        <v>143</v>
      </c>
      <c r="M984" t="s">
        <v>75</v>
      </c>
      <c r="R984" t="s">
        <v>9946</v>
      </c>
      <c r="W984" t="s">
        <v>9945</v>
      </c>
      <c r="X984" t="s">
        <v>7539</v>
      </c>
      <c r="Y984" t="s">
        <v>97</v>
      </c>
      <c r="Z984" t="s">
        <v>77</v>
      </c>
      <c r="AA984" t="str">
        <f>"10025-5752"</f>
        <v>10025-5752</v>
      </c>
      <c r="AB984" t="s">
        <v>113</v>
      </c>
      <c r="AC984" t="s">
        <v>79</v>
      </c>
      <c r="AD984" t="s">
        <v>75</v>
      </c>
      <c r="AE984" t="s">
        <v>80</v>
      </c>
      <c r="AG984" t="s">
        <v>81</v>
      </c>
    </row>
    <row r="985" spans="1:33" x14ac:dyDescent="0.25">
      <c r="A985" t="str">
        <f>"1356692206"</f>
        <v>1356692206</v>
      </c>
      <c r="B985" t="str">
        <f>"03603436"</f>
        <v>03603436</v>
      </c>
      <c r="C985" t="s">
        <v>9947</v>
      </c>
      <c r="D985" t="s">
        <v>9948</v>
      </c>
      <c r="E985" t="s">
        <v>9949</v>
      </c>
      <c r="G985" t="s">
        <v>6494</v>
      </c>
      <c r="H985" t="s">
        <v>6495</v>
      </c>
      <c r="J985" t="s">
        <v>6496</v>
      </c>
      <c r="L985" t="s">
        <v>84</v>
      </c>
      <c r="M985" t="s">
        <v>75</v>
      </c>
      <c r="R985" t="s">
        <v>9949</v>
      </c>
      <c r="W985" t="s">
        <v>9949</v>
      </c>
      <c r="X985" t="s">
        <v>7539</v>
      </c>
      <c r="Y985" t="s">
        <v>97</v>
      </c>
      <c r="Z985" t="s">
        <v>77</v>
      </c>
      <c r="AA985" t="str">
        <f>"10025-5752"</f>
        <v>10025-5752</v>
      </c>
      <c r="AB985" t="s">
        <v>78</v>
      </c>
      <c r="AC985" t="s">
        <v>79</v>
      </c>
      <c r="AD985" t="s">
        <v>75</v>
      </c>
      <c r="AE985" t="s">
        <v>80</v>
      </c>
      <c r="AG985" t="s">
        <v>81</v>
      </c>
    </row>
    <row r="986" spans="1:33" x14ac:dyDescent="0.25">
      <c r="A986" t="str">
        <f>"1649263609"</f>
        <v>1649263609</v>
      </c>
      <c r="B986" t="str">
        <f>"02632144"</f>
        <v>02632144</v>
      </c>
      <c r="C986" t="s">
        <v>9950</v>
      </c>
      <c r="D986" t="s">
        <v>9951</v>
      </c>
      <c r="E986" t="s">
        <v>9952</v>
      </c>
      <c r="G986" t="s">
        <v>6380</v>
      </c>
      <c r="H986" t="s">
        <v>4625</v>
      </c>
      <c r="J986" t="s">
        <v>6381</v>
      </c>
      <c r="L986" t="s">
        <v>83</v>
      </c>
      <c r="M986" t="s">
        <v>85</v>
      </c>
      <c r="R986" t="s">
        <v>9953</v>
      </c>
      <c r="W986" t="s">
        <v>9954</v>
      </c>
      <c r="X986" t="s">
        <v>1822</v>
      </c>
      <c r="Y986" t="s">
        <v>1823</v>
      </c>
      <c r="Z986" t="s">
        <v>77</v>
      </c>
      <c r="AA986" t="str">
        <f>"10941-4028"</f>
        <v>10941-4028</v>
      </c>
      <c r="AB986" t="s">
        <v>78</v>
      </c>
      <c r="AC986" t="s">
        <v>79</v>
      </c>
      <c r="AD986" t="s">
        <v>75</v>
      </c>
      <c r="AE986" t="s">
        <v>80</v>
      </c>
      <c r="AG986" t="s">
        <v>81</v>
      </c>
    </row>
    <row r="987" spans="1:33" x14ac:dyDescent="0.25">
      <c r="A987" t="str">
        <f>"1891079059"</f>
        <v>1891079059</v>
      </c>
      <c r="C987" t="s">
        <v>9955</v>
      </c>
      <c r="K987" t="s">
        <v>99</v>
      </c>
      <c r="L987" t="s">
        <v>102</v>
      </c>
      <c r="M987" t="s">
        <v>75</v>
      </c>
      <c r="R987" t="s">
        <v>9956</v>
      </c>
      <c r="S987" t="s">
        <v>9957</v>
      </c>
      <c r="T987" t="s">
        <v>97</v>
      </c>
      <c r="U987" t="s">
        <v>77</v>
      </c>
      <c r="V987" t="str">
        <f>"100143223"</f>
        <v>100143223</v>
      </c>
      <c r="AC987" t="s">
        <v>79</v>
      </c>
      <c r="AD987" t="s">
        <v>75</v>
      </c>
      <c r="AE987" t="s">
        <v>103</v>
      </c>
      <c r="AG987" t="s">
        <v>81</v>
      </c>
    </row>
    <row r="988" spans="1:33" x14ac:dyDescent="0.25">
      <c r="A988" t="str">
        <f>"1073950218"</f>
        <v>1073950218</v>
      </c>
      <c r="C988" t="s">
        <v>9958</v>
      </c>
      <c r="G988" t="s">
        <v>9958</v>
      </c>
      <c r="H988" t="s">
        <v>9959</v>
      </c>
      <c r="J988" t="s">
        <v>9960</v>
      </c>
      <c r="K988" t="s">
        <v>99</v>
      </c>
      <c r="L988" t="s">
        <v>102</v>
      </c>
      <c r="M988" t="s">
        <v>75</v>
      </c>
      <c r="R988" t="s">
        <v>9961</v>
      </c>
      <c r="S988" t="s">
        <v>7543</v>
      </c>
      <c r="T988" t="s">
        <v>97</v>
      </c>
      <c r="U988" t="s">
        <v>77</v>
      </c>
      <c r="V988" t="str">
        <f>"100252956"</f>
        <v>100252956</v>
      </c>
      <c r="AC988" t="s">
        <v>79</v>
      </c>
      <c r="AD988" t="s">
        <v>75</v>
      </c>
      <c r="AE988" t="s">
        <v>103</v>
      </c>
      <c r="AG988" t="s">
        <v>81</v>
      </c>
    </row>
    <row r="989" spans="1:33" x14ac:dyDescent="0.25">
      <c r="A989" t="str">
        <f>"1083057954"</f>
        <v>1083057954</v>
      </c>
      <c r="C989" t="s">
        <v>9962</v>
      </c>
      <c r="G989" t="s">
        <v>9962</v>
      </c>
      <c r="H989" t="s">
        <v>9800</v>
      </c>
      <c r="J989" t="s">
        <v>9963</v>
      </c>
      <c r="K989" t="s">
        <v>99</v>
      </c>
      <c r="L989" t="s">
        <v>102</v>
      </c>
      <c r="M989" t="s">
        <v>75</v>
      </c>
      <c r="R989" t="s">
        <v>9964</v>
      </c>
      <c r="S989" t="s">
        <v>9965</v>
      </c>
      <c r="T989" t="s">
        <v>97</v>
      </c>
      <c r="U989" t="s">
        <v>77</v>
      </c>
      <c r="V989" t="str">
        <f>"100313501"</f>
        <v>100313501</v>
      </c>
      <c r="AC989" t="s">
        <v>79</v>
      </c>
      <c r="AD989" t="s">
        <v>75</v>
      </c>
      <c r="AE989" t="s">
        <v>103</v>
      </c>
      <c r="AG989" t="s">
        <v>81</v>
      </c>
    </row>
    <row r="990" spans="1:33" x14ac:dyDescent="0.25">
      <c r="A990" t="str">
        <f>"1124361928"</f>
        <v>1124361928</v>
      </c>
      <c r="C990" t="s">
        <v>9966</v>
      </c>
      <c r="G990" t="s">
        <v>9966</v>
      </c>
      <c r="H990" t="s">
        <v>9967</v>
      </c>
      <c r="J990" t="s">
        <v>9968</v>
      </c>
      <c r="K990" t="s">
        <v>99</v>
      </c>
      <c r="L990" t="s">
        <v>102</v>
      </c>
      <c r="M990" t="s">
        <v>75</v>
      </c>
      <c r="R990" t="s">
        <v>9969</v>
      </c>
      <c r="S990" t="s">
        <v>9970</v>
      </c>
      <c r="T990" t="s">
        <v>131</v>
      </c>
      <c r="U990" t="s">
        <v>77</v>
      </c>
      <c r="V990" t="str">
        <f>"10459"</f>
        <v>10459</v>
      </c>
      <c r="AC990" t="s">
        <v>79</v>
      </c>
      <c r="AD990" t="s">
        <v>75</v>
      </c>
      <c r="AE990" t="s">
        <v>103</v>
      </c>
      <c r="AG990" t="s">
        <v>81</v>
      </c>
    </row>
    <row r="991" spans="1:33" x14ac:dyDescent="0.25">
      <c r="A991" t="str">
        <f>"1134555808"</f>
        <v>1134555808</v>
      </c>
      <c r="C991" t="s">
        <v>9971</v>
      </c>
      <c r="G991" t="s">
        <v>9971</v>
      </c>
      <c r="H991" t="s">
        <v>9967</v>
      </c>
      <c r="J991" t="s">
        <v>9972</v>
      </c>
      <c r="K991" t="s">
        <v>99</v>
      </c>
      <c r="L991" t="s">
        <v>102</v>
      </c>
      <c r="M991" t="s">
        <v>75</v>
      </c>
      <c r="R991" t="s">
        <v>9973</v>
      </c>
      <c r="S991" t="s">
        <v>5828</v>
      </c>
      <c r="T991" t="s">
        <v>131</v>
      </c>
      <c r="U991" t="s">
        <v>77</v>
      </c>
      <c r="V991" t="str">
        <f>"104593233"</f>
        <v>104593233</v>
      </c>
      <c r="AC991" t="s">
        <v>79</v>
      </c>
      <c r="AD991" t="s">
        <v>75</v>
      </c>
      <c r="AE991" t="s">
        <v>103</v>
      </c>
      <c r="AG991" t="s">
        <v>81</v>
      </c>
    </row>
    <row r="992" spans="1:33" x14ac:dyDescent="0.25">
      <c r="A992" t="str">
        <f>"1265556641"</f>
        <v>1265556641</v>
      </c>
      <c r="B992" t="str">
        <f>"02860644"</f>
        <v>02860644</v>
      </c>
      <c r="C992" t="s">
        <v>9974</v>
      </c>
      <c r="D992" t="s">
        <v>9975</v>
      </c>
      <c r="E992" t="s">
        <v>9976</v>
      </c>
      <c r="G992" t="s">
        <v>6380</v>
      </c>
      <c r="H992" t="s">
        <v>4625</v>
      </c>
      <c r="J992" t="s">
        <v>6381</v>
      </c>
      <c r="L992" t="s">
        <v>83</v>
      </c>
      <c r="M992" t="s">
        <v>85</v>
      </c>
      <c r="R992" t="s">
        <v>9977</v>
      </c>
      <c r="W992" t="s">
        <v>9976</v>
      </c>
      <c r="X992" t="s">
        <v>5605</v>
      </c>
      <c r="Y992" t="s">
        <v>2598</v>
      </c>
      <c r="Z992" t="s">
        <v>77</v>
      </c>
      <c r="AA992" t="str">
        <f>"12771-2607"</f>
        <v>12771-2607</v>
      </c>
      <c r="AB992" t="s">
        <v>78</v>
      </c>
      <c r="AC992" t="s">
        <v>79</v>
      </c>
      <c r="AD992" t="s">
        <v>75</v>
      </c>
      <c r="AE992" t="s">
        <v>80</v>
      </c>
      <c r="AG992" t="s">
        <v>81</v>
      </c>
    </row>
    <row r="993" spans="1:33" x14ac:dyDescent="0.25">
      <c r="A993" t="str">
        <f>"1609289685"</f>
        <v>1609289685</v>
      </c>
      <c r="B993" t="str">
        <f>"03911988"</f>
        <v>03911988</v>
      </c>
      <c r="C993" t="s">
        <v>9978</v>
      </c>
      <c r="D993" t="s">
        <v>9979</v>
      </c>
      <c r="E993" t="s">
        <v>9980</v>
      </c>
      <c r="G993" t="s">
        <v>6930</v>
      </c>
      <c r="H993" t="s">
        <v>6931</v>
      </c>
      <c r="J993" t="s">
        <v>6932</v>
      </c>
      <c r="L993" t="s">
        <v>102</v>
      </c>
      <c r="M993" t="s">
        <v>75</v>
      </c>
      <c r="R993" t="s">
        <v>9981</v>
      </c>
      <c r="W993" t="s">
        <v>9980</v>
      </c>
      <c r="X993" t="s">
        <v>1531</v>
      </c>
      <c r="Y993" t="s">
        <v>97</v>
      </c>
      <c r="Z993" t="s">
        <v>77</v>
      </c>
      <c r="AA993" t="str">
        <f>"10036-8005"</f>
        <v>10036-8005</v>
      </c>
      <c r="AB993" t="s">
        <v>108</v>
      </c>
      <c r="AC993" t="s">
        <v>79</v>
      </c>
      <c r="AD993" t="s">
        <v>75</v>
      </c>
      <c r="AE993" t="s">
        <v>80</v>
      </c>
      <c r="AG993" t="s">
        <v>81</v>
      </c>
    </row>
    <row r="994" spans="1:33" x14ac:dyDescent="0.25">
      <c r="C994" t="s">
        <v>9982</v>
      </c>
      <c r="G994" t="s">
        <v>9477</v>
      </c>
      <c r="H994" t="s">
        <v>4867</v>
      </c>
      <c r="I994">
        <v>135</v>
      </c>
      <c r="J994" t="s">
        <v>5634</v>
      </c>
      <c r="K994" t="s">
        <v>99</v>
      </c>
      <c r="L994" t="s">
        <v>100</v>
      </c>
      <c r="M994" t="s">
        <v>75</v>
      </c>
      <c r="N994" t="s">
        <v>9983</v>
      </c>
      <c r="O994" t="s">
        <v>9984</v>
      </c>
      <c r="P994" t="s">
        <v>77</v>
      </c>
      <c r="Q994" t="str">
        <f>"10803"</f>
        <v>10803</v>
      </c>
      <c r="AC994" t="s">
        <v>79</v>
      </c>
      <c r="AD994" t="s">
        <v>75</v>
      </c>
      <c r="AE994" t="s">
        <v>101</v>
      </c>
      <c r="AG994" t="s">
        <v>81</v>
      </c>
    </row>
    <row r="995" spans="1:33" x14ac:dyDescent="0.25">
      <c r="C995" t="s">
        <v>9985</v>
      </c>
      <c r="G995" t="s">
        <v>9477</v>
      </c>
      <c r="H995" t="s">
        <v>4867</v>
      </c>
      <c r="I995">
        <v>135</v>
      </c>
      <c r="J995" t="s">
        <v>5634</v>
      </c>
      <c r="K995" t="s">
        <v>99</v>
      </c>
      <c r="L995" t="s">
        <v>100</v>
      </c>
      <c r="M995" t="s">
        <v>75</v>
      </c>
      <c r="N995" t="s">
        <v>9986</v>
      </c>
      <c r="O995" t="s">
        <v>296</v>
      </c>
      <c r="P995" t="s">
        <v>77</v>
      </c>
      <c r="Q995" t="str">
        <f>"10461"</f>
        <v>10461</v>
      </c>
      <c r="AC995" t="s">
        <v>79</v>
      </c>
      <c r="AD995" t="s">
        <v>75</v>
      </c>
      <c r="AE995" t="s">
        <v>101</v>
      </c>
      <c r="AG995" t="s">
        <v>81</v>
      </c>
    </row>
    <row r="996" spans="1:33" x14ac:dyDescent="0.25">
      <c r="C996" t="s">
        <v>9987</v>
      </c>
      <c r="G996" t="s">
        <v>9477</v>
      </c>
      <c r="H996" t="s">
        <v>4867</v>
      </c>
      <c r="I996">
        <v>135</v>
      </c>
      <c r="J996" t="s">
        <v>5634</v>
      </c>
      <c r="K996" t="s">
        <v>99</v>
      </c>
      <c r="L996" t="s">
        <v>100</v>
      </c>
      <c r="M996" t="s">
        <v>75</v>
      </c>
      <c r="N996" t="s">
        <v>9988</v>
      </c>
      <c r="O996" t="s">
        <v>296</v>
      </c>
      <c r="P996" t="s">
        <v>77</v>
      </c>
      <c r="Q996" t="str">
        <f>"10463"</f>
        <v>10463</v>
      </c>
      <c r="AC996" t="s">
        <v>79</v>
      </c>
      <c r="AD996" t="s">
        <v>75</v>
      </c>
      <c r="AE996" t="s">
        <v>101</v>
      </c>
      <c r="AG996" t="s">
        <v>81</v>
      </c>
    </row>
    <row r="997" spans="1:33" x14ac:dyDescent="0.25">
      <c r="C997" t="s">
        <v>9989</v>
      </c>
      <c r="G997" t="s">
        <v>9477</v>
      </c>
      <c r="H997" t="s">
        <v>4867</v>
      </c>
      <c r="I997">
        <v>135</v>
      </c>
      <c r="J997" t="s">
        <v>5634</v>
      </c>
      <c r="K997" t="s">
        <v>99</v>
      </c>
      <c r="L997" t="s">
        <v>100</v>
      </c>
      <c r="M997" t="s">
        <v>75</v>
      </c>
      <c r="N997" t="s">
        <v>9990</v>
      </c>
      <c r="O997" t="s">
        <v>9991</v>
      </c>
      <c r="P997" t="s">
        <v>77</v>
      </c>
      <c r="Q997" t="str">
        <f>"10573"</f>
        <v>10573</v>
      </c>
      <c r="AC997" t="s">
        <v>79</v>
      </c>
      <c r="AD997" t="s">
        <v>75</v>
      </c>
      <c r="AE997" t="s">
        <v>101</v>
      </c>
      <c r="AG997" t="s">
        <v>81</v>
      </c>
    </row>
    <row r="998" spans="1:33" x14ac:dyDescent="0.25">
      <c r="A998" t="str">
        <f>"1578834958"</f>
        <v>1578834958</v>
      </c>
      <c r="B998" t="str">
        <f>"03566910"</f>
        <v>03566910</v>
      </c>
      <c r="C998" t="s">
        <v>9992</v>
      </c>
      <c r="D998" t="s">
        <v>9993</v>
      </c>
      <c r="E998" t="s">
        <v>9994</v>
      </c>
      <c r="G998" t="s">
        <v>9992</v>
      </c>
      <c r="H998" t="s">
        <v>6463</v>
      </c>
      <c r="I998">
        <v>1401</v>
      </c>
      <c r="J998" t="s">
        <v>9995</v>
      </c>
      <c r="L998" t="s">
        <v>74</v>
      </c>
      <c r="M998" t="s">
        <v>75</v>
      </c>
      <c r="R998" t="s">
        <v>9996</v>
      </c>
      <c r="W998" t="s">
        <v>9994</v>
      </c>
      <c r="X998" t="s">
        <v>9175</v>
      </c>
      <c r="Y998" t="s">
        <v>97</v>
      </c>
      <c r="Z998" t="s">
        <v>77</v>
      </c>
      <c r="AA998" t="str">
        <f>"10025"</f>
        <v>10025</v>
      </c>
      <c r="AB998" t="s">
        <v>113</v>
      </c>
      <c r="AC998" t="s">
        <v>79</v>
      </c>
      <c r="AD998" t="s">
        <v>75</v>
      </c>
      <c r="AE998" t="s">
        <v>80</v>
      </c>
      <c r="AG998" t="s">
        <v>81</v>
      </c>
    </row>
    <row r="999" spans="1:33" x14ac:dyDescent="0.25">
      <c r="A999" t="str">
        <f>"1659617470"</f>
        <v>1659617470</v>
      </c>
      <c r="C999" t="s">
        <v>9997</v>
      </c>
      <c r="G999" t="s">
        <v>9997</v>
      </c>
      <c r="H999" t="s">
        <v>6463</v>
      </c>
      <c r="I999">
        <v>1353</v>
      </c>
      <c r="J999" t="s">
        <v>9998</v>
      </c>
      <c r="K999" t="s">
        <v>99</v>
      </c>
      <c r="L999" t="s">
        <v>102</v>
      </c>
      <c r="M999" t="s">
        <v>75</v>
      </c>
      <c r="R999" t="s">
        <v>9999</v>
      </c>
      <c r="S999" t="s">
        <v>10000</v>
      </c>
      <c r="T999" t="s">
        <v>131</v>
      </c>
      <c r="U999" t="s">
        <v>77</v>
      </c>
      <c r="V999" t="str">
        <f>"104714012"</f>
        <v>104714012</v>
      </c>
      <c r="AC999" t="s">
        <v>79</v>
      </c>
      <c r="AD999" t="s">
        <v>75</v>
      </c>
      <c r="AE999" t="s">
        <v>103</v>
      </c>
      <c r="AG999" t="s">
        <v>81</v>
      </c>
    </row>
    <row r="1000" spans="1:33" x14ac:dyDescent="0.25">
      <c r="A1000" t="str">
        <f>"1770733875"</f>
        <v>1770733875</v>
      </c>
      <c r="B1000" t="str">
        <f>"00712487"</f>
        <v>00712487</v>
      </c>
      <c r="C1000" t="s">
        <v>10001</v>
      </c>
      <c r="D1000" t="s">
        <v>10002</v>
      </c>
      <c r="E1000" t="s">
        <v>10003</v>
      </c>
      <c r="G1000" t="s">
        <v>10001</v>
      </c>
      <c r="H1000" t="s">
        <v>9967</v>
      </c>
      <c r="J1000" t="s">
        <v>10004</v>
      </c>
      <c r="L1000" t="s">
        <v>94</v>
      </c>
      <c r="M1000" t="s">
        <v>75</v>
      </c>
      <c r="R1000" t="s">
        <v>10005</v>
      </c>
      <c r="W1000" t="s">
        <v>10006</v>
      </c>
      <c r="X1000" t="s">
        <v>5828</v>
      </c>
      <c r="Y1000" t="s">
        <v>131</v>
      </c>
      <c r="Z1000" t="s">
        <v>77</v>
      </c>
      <c r="AA1000" t="str">
        <f>"10459-3233"</f>
        <v>10459-3233</v>
      </c>
      <c r="AB1000" t="s">
        <v>78</v>
      </c>
      <c r="AC1000" t="s">
        <v>79</v>
      </c>
      <c r="AD1000" t="s">
        <v>75</v>
      </c>
      <c r="AE1000" t="s">
        <v>80</v>
      </c>
      <c r="AG1000" t="s">
        <v>81</v>
      </c>
    </row>
    <row r="1001" spans="1:33" x14ac:dyDescent="0.25">
      <c r="C1001" t="s">
        <v>10007</v>
      </c>
      <c r="G1001" t="s">
        <v>10007</v>
      </c>
      <c r="H1001" t="s">
        <v>6463</v>
      </c>
      <c r="I1001">
        <v>1398</v>
      </c>
      <c r="J1001" t="s">
        <v>10008</v>
      </c>
      <c r="K1001" t="s">
        <v>99</v>
      </c>
      <c r="L1001" t="s">
        <v>100</v>
      </c>
      <c r="M1001" t="s">
        <v>75</v>
      </c>
      <c r="N1001" t="s">
        <v>10009</v>
      </c>
      <c r="O1001" t="s">
        <v>77</v>
      </c>
      <c r="P1001" t="s">
        <v>6461</v>
      </c>
      <c r="Q1001" t="str">
        <f>"10025"</f>
        <v>10025</v>
      </c>
      <c r="AC1001" t="s">
        <v>79</v>
      </c>
      <c r="AD1001" t="s">
        <v>75</v>
      </c>
      <c r="AE1001" t="s">
        <v>101</v>
      </c>
      <c r="AG1001" t="s">
        <v>81</v>
      </c>
    </row>
    <row r="1002" spans="1:33" x14ac:dyDescent="0.25">
      <c r="C1002" t="s">
        <v>10010</v>
      </c>
      <c r="G1002" t="s">
        <v>10010</v>
      </c>
      <c r="H1002" t="s">
        <v>6463</v>
      </c>
      <c r="I1002">
        <v>1413</v>
      </c>
      <c r="J1002" t="s">
        <v>10011</v>
      </c>
      <c r="K1002" t="s">
        <v>99</v>
      </c>
      <c r="L1002" t="s">
        <v>100</v>
      </c>
      <c r="M1002" t="s">
        <v>75</v>
      </c>
      <c r="N1002" t="s">
        <v>10009</v>
      </c>
      <c r="O1002" t="s">
        <v>77</v>
      </c>
      <c r="P1002" t="s">
        <v>6461</v>
      </c>
      <c r="Q1002" t="str">
        <f>"10025"</f>
        <v>10025</v>
      </c>
      <c r="AC1002" t="s">
        <v>79</v>
      </c>
      <c r="AD1002" t="s">
        <v>75</v>
      </c>
      <c r="AE1002" t="s">
        <v>101</v>
      </c>
      <c r="AG1002" t="s">
        <v>81</v>
      </c>
    </row>
    <row r="1003" spans="1:33" x14ac:dyDescent="0.25">
      <c r="C1003" t="s">
        <v>10012</v>
      </c>
      <c r="G1003" t="s">
        <v>10012</v>
      </c>
      <c r="H1003" t="s">
        <v>6463</v>
      </c>
      <c r="I1003">
        <v>1388</v>
      </c>
      <c r="J1003" t="s">
        <v>10013</v>
      </c>
      <c r="K1003" t="s">
        <v>99</v>
      </c>
      <c r="L1003" t="s">
        <v>100</v>
      </c>
      <c r="M1003" t="s">
        <v>75</v>
      </c>
      <c r="N1003" t="s">
        <v>10009</v>
      </c>
      <c r="O1003" t="s">
        <v>77</v>
      </c>
      <c r="P1003" t="s">
        <v>6461</v>
      </c>
      <c r="Q1003" t="str">
        <f>"10025"</f>
        <v>10025</v>
      </c>
      <c r="AC1003" t="s">
        <v>79</v>
      </c>
      <c r="AD1003" t="s">
        <v>75</v>
      </c>
      <c r="AE1003" t="s">
        <v>101</v>
      </c>
      <c r="AG1003" t="s">
        <v>81</v>
      </c>
    </row>
    <row r="1004" spans="1:33" x14ac:dyDescent="0.25">
      <c r="C1004" t="s">
        <v>10014</v>
      </c>
      <c r="G1004" t="s">
        <v>10014</v>
      </c>
      <c r="H1004" t="s">
        <v>9967</v>
      </c>
      <c r="J1004" t="s">
        <v>10015</v>
      </c>
      <c r="K1004" t="s">
        <v>99</v>
      </c>
      <c r="L1004" t="s">
        <v>100</v>
      </c>
      <c r="M1004" t="s">
        <v>75</v>
      </c>
      <c r="N1004" t="s">
        <v>10016</v>
      </c>
      <c r="O1004" t="s">
        <v>296</v>
      </c>
      <c r="P1004" t="s">
        <v>6461</v>
      </c>
      <c r="Q1004" t="str">
        <f>"10459"</f>
        <v>10459</v>
      </c>
      <c r="AC1004" t="s">
        <v>79</v>
      </c>
      <c r="AD1004" t="s">
        <v>75</v>
      </c>
      <c r="AE1004" t="s">
        <v>101</v>
      </c>
      <c r="AG1004" t="s">
        <v>81</v>
      </c>
    </row>
    <row r="1005" spans="1:33" x14ac:dyDescent="0.25">
      <c r="C1005" t="s">
        <v>10017</v>
      </c>
      <c r="G1005" t="s">
        <v>10017</v>
      </c>
      <c r="H1005" t="s">
        <v>6463</v>
      </c>
      <c r="I1005">
        <v>1322</v>
      </c>
      <c r="J1005" t="s">
        <v>10018</v>
      </c>
      <c r="K1005" t="s">
        <v>99</v>
      </c>
      <c r="L1005" t="s">
        <v>100</v>
      </c>
      <c r="M1005" t="s">
        <v>75</v>
      </c>
      <c r="N1005" t="s">
        <v>10009</v>
      </c>
      <c r="O1005" t="s">
        <v>77</v>
      </c>
      <c r="P1005" t="s">
        <v>6461</v>
      </c>
      <c r="Q1005" t="str">
        <f>"10025"</f>
        <v>10025</v>
      </c>
      <c r="AC1005" t="s">
        <v>79</v>
      </c>
      <c r="AD1005" t="s">
        <v>75</v>
      </c>
      <c r="AE1005" t="s">
        <v>101</v>
      </c>
      <c r="AG1005" t="s">
        <v>81</v>
      </c>
    </row>
    <row r="1006" spans="1:33" x14ac:dyDescent="0.25">
      <c r="C1006" t="s">
        <v>10019</v>
      </c>
      <c r="G1006" t="s">
        <v>10019</v>
      </c>
      <c r="H1006" t="s">
        <v>9967</v>
      </c>
      <c r="J1006" t="s">
        <v>10020</v>
      </c>
      <c r="K1006" t="s">
        <v>99</v>
      </c>
      <c r="L1006" t="s">
        <v>100</v>
      </c>
      <c r="M1006" t="s">
        <v>75</v>
      </c>
      <c r="N1006" t="s">
        <v>10016</v>
      </c>
      <c r="O1006" t="s">
        <v>296</v>
      </c>
      <c r="P1006" t="s">
        <v>6461</v>
      </c>
      <c r="Q1006" t="str">
        <f>"10459"</f>
        <v>10459</v>
      </c>
      <c r="AC1006" t="s">
        <v>79</v>
      </c>
      <c r="AD1006" t="s">
        <v>75</v>
      </c>
      <c r="AE1006" t="s">
        <v>101</v>
      </c>
      <c r="AG1006" t="s">
        <v>81</v>
      </c>
    </row>
    <row r="1007" spans="1:33" x14ac:dyDescent="0.25">
      <c r="C1007" t="s">
        <v>10021</v>
      </c>
      <c r="G1007" t="s">
        <v>10021</v>
      </c>
      <c r="H1007" t="s">
        <v>6463</v>
      </c>
      <c r="I1007">
        <v>1318</v>
      </c>
      <c r="J1007" t="s">
        <v>10022</v>
      </c>
      <c r="K1007" t="s">
        <v>99</v>
      </c>
      <c r="L1007" t="s">
        <v>100</v>
      </c>
      <c r="M1007" t="s">
        <v>75</v>
      </c>
      <c r="N1007" t="s">
        <v>10009</v>
      </c>
      <c r="O1007" t="s">
        <v>77</v>
      </c>
      <c r="P1007" t="s">
        <v>6461</v>
      </c>
      <c r="Q1007" t="str">
        <f>"10025"</f>
        <v>10025</v>
      </c>
      <c r="AC1007" t="s">
        <v>79</v>
      </c>
      <c r="AD1007" t="s">
        <v>75</v>
      </c>
      <c r="AE1007" t="s">
        <v>101</v>
      </c>
      <c r="AG1007" t="s">
        <v>81</v>
      </c>
    </row>
    <row r="1008" spans="1:33" x14ac:dyDescent="0.25">
      <c r="A1008" t="str">
        <f>"1962606772"</f>
        <v>1962606772</v>
      </c>
      <c r="B1008" t="str">
        <f>"03644539"</f>
        <v>03644539</v>
      </c>
      <c r="C1008" t="s">
        <v>10023</v>
      </c>
      <c r="D1008" t="s">
        <v>10024</v>
      </c>
      <c r="E1008" t="s">
        <v>10025</v>
      </c>
      <c r="G1008" t="s">
        <v>6524</v>
      </c>
      <c r="H1008" t="s">
        <v>6525</v>
      </c>
      <c r="J1008" t="s">
        <v>6526</v>
      </c>
      <c r="L1008" t="s">
        <v>74</v>
      </c>
      <c r="M1008" t="s">
        <v>75</v>
      </c>
      <c r="R1008" t="s">
        <v>10026</v>
      </c>
      <c r="W1008" t="s">
        <v>10025</v>
      </c>
      <c r="X1008" t="s">
        <v>6528</v>
      </c>
      <c r="Y1008" t="s">
        <v>97</v>
      </c>
      <c r="Z1008" t="s">
        <v>77</v>
      </c>
      <c r="AA1008" t="str">
        <f>"10035-3523"</f>
        <v>10035-3523</v>
      </c>
      <c r="AB1008" t="s">
        <v>78</v>
      </c>
      <c r="AC1008" t="s">
        <v>79</v>
      </c>
      <c r="AD1008" t="s">
        <v>75</v>
      </c>
      <c r="AE1008" t="s">
        <v>80</v>
      </c>
      <c r="AG1008" t="s">
        <v>81</v>
      </c>
    </row>
    <row r="1009" spans="1:33" x14ac:dyDescent="0.25">
      <c r="A1009" t="str">
        <f>"1457513392"</f>
        <v>1457513392</v>
      </c>
      <c r="B1009" t="str">
        <f>"03644548"</f>
        <v>03644548</v>
      </c>
      <c r="C1009" t="s">
        <v>10027</v>
      </c>
      <c r="D1009" t="s">
        <v>10028</v>
      </c>
      <c r="E1009" t="s">
        <v>10029</v>
      </c>
      <c r="G1009" t="s">
        <v>6524</v>
      </c>
      <c r="H1009" t="s">
        <v>6525</v>
      </c>
      <c r="J1009" t="s">
        <v>6526</v>
      </c>
      <c r="L1009" t="s">
        <v>74</v>
      </c>
      <c r="M1009" t="s">
        <v>75</v>
      </c>
      <c r="R1009" t="s">
        <v>10030</v>
      </c>
      <c r="W1009" t="s">
        <v>10029</v>
      </c>
      <c r="X1009" t="s">
        <v>6528</v>
      </c>
      <c r="Y1009" t="s">
        <v>97</v>
      </c>
      <c r="Z1009" t="s">
        <v>77</v>
      </c>
      <c r="AA1009" t="str">
        <f>"10035-3523"</f>
        <v>10035-3523</v>
      </c>
      <c r="AB1009" t="s">
        <v>78</v>
      </c>
      <c r="AC1009" t="s">
        <v>79</v>
      </c>
      <c r="AD1009" t="s">
        <v>75</v>
      </c>
      <c r="AE1009" t="s">
        <v>80</v>
      </c>
      <c r="AG1009" t="s">
        <v>81</v>
      </c>
    </row>
    <row r="1010" spans="1:33" x14ac:dyDescent="0.25">
      <c r="A1010" t="str">
        <f>"1568675957"</f>
        <v>1568675957</v>
      </c>
      <c r="B1010" t="str">
        <f>"01753382"</f>
        <v>01753382</v>
      </c>
      <c r="C1010" t="s">
        <v>10031</v>
      </c>
      <c r="D1010" t="s">
        <v>5553</v>
      </c>
      <c r="E1010" t="s">
        <v>5554</v>
      </c>
      <c r="G1010" t="s">
        <v>6278</v>
      </c>
      <c r="H1010" t="s">
        <v>6279</v>
      </c>
      <c r="J1010" t="s">
        <v>6280</v>
      </c>
      <c r="L1010" t="s">
        <v>84</v>
      </c>
      <c r="M1010" t="s">
        <v>85</v>
      </c>
      <c r="R1010" t="s">
        <v>5555</v>
      </c>
      <c r="W1010" t="s">
        <v>5554</v>
      </c>
      <c r="X1010" t="s">
        <v>5556</v>
      </c>
      <c r="Y1010" t="s">
        <v>97</v>
      </c>
      <c r="Z1010" t="s">
        <v>77</v>
      </c>
      <c r="AA1010" t="str">
        <f>"10011-6352"</f>
        <v>10011-6352</v>
      </c>
      <c r="AB1010" t="s">
        <v>78</v>
      </c>
      <c r="AC1010" t="s">
        <v>79</v>
      </c>
      <c r="AD1010" t="s">
        <v>75</v>
      </c>
      <c r="AE1010" t="s">
        <v>80</v>
      </c>
      <c r="AG1010" t="s">
        <v>81</v>
      </c>
    </row>
    <row r="1011" spans="1:33" x14ac:dyDescent="0.25">
      <c r="A1011" t="str">
        <f>"1669436606"</f>
        <v>1669436606</v>
      </c>
      <c r="B1011" t="str">
        <f>"01970401"</f>
        <v>01970401</v>
      </c>
      <c r="C1011" t="s">
        <v>10032</v>
      </c>
      <c r="D1011" t="s">
        <v>10033</v>
      </c>
      <c r="E1011" t="s">
        <v>10034</v>
      </c>
      <c r="G1011" t="s">
        <v>9837</v>
      </c>
      <c r="H1011" t="s">
        <v>9838</v>
      </c>
      <c r="J1011" t="s">
        <v>9839</v>
      </c>
      <c r="L1011" t="s">
        <v>84</v>
      </c>
      <c r="M1011" t="s">
        <v>85</v>
      </c>
      <c r="R1011" t="s">
        <v>10035</v>
      </c>
      <c r="W1011" t="s">
        <v>10034</v>
      </c>
      <c r="X1011" t="s">
        <v>10036</v>
      </c>
      <c r="Y1011" t="s">
        <v>97</v>
      </c>
      <c r="Z1011" t="s">
        <v>77</v>
      </c>
      <c r="AA1011" t="str">
        <f>"10002-2301"</f>
        <v>10002-2301</v>
      </c>
      <c r="AB1011" t="s">
        <v>78</v>
      </c>
      <c r="AC1011" t="s">
        <v>79</v>
      </c>
      <c r="AD1011" t="s">
        <v>75</v>
      </c>
      <c r="AE1011" t="s">
        <v>80</v>
      </c>
      <c r="AG1011" t="s">
        <v>81</v>
      </c>
    </row>
    <row r="1012" spans="1:33" x14ac:dyDescent="0.25">
      <c r="A1012" t="str">
        <f>"1972562908"</f>
        <v>1972562908</v>
      </c>
      <c r="B1012" t="str">
        <f>"00556001"</f>
        <v>00556001</v>
      </c>
      <c r="C1012" t="s">
        <v>10037</v>
      </c>
      <c r="D1012" t="s">
        <v>10038</v>
      </c>
      <c r="E1012" t="s">
        <v>10039</v>
      </c>
      <c r="G1012" t="s">
        <v>9837</v>
      </c>
      <c r="H1012" t="s">
        <v>9838</v>
      </c>
      <c r="J1012" t="s">
        <v>9839</v>
      </c>
      <c r="L1012" t="s">
        <v>84</v>
      </c>
      <c r="M1012" t="s">
        <v>85</v>
      </c>
      <c r="R1012" t="s">
        <v>10040</v>
      </c>
      <c r="W1012" t="s">
        <v>10039</v>
      </c>
      <c r="X1012" t="s">
        <v>6188</v>
      </c>
      <c r="Y1012" t="s">
        <v>153</v>
      </c>
      <c r="Z1012" t="s">
        <v>77</v>
      </c>
      <c r="AA1012" t="str">
        <f>"12603-2895"</f>
        <v>12603-2895</v>
      </c>
      <c r="AB1012" t="s">
        <v>78</v>
      </c>
      <c r="AC1012" t="s">
        <v>79</v>
      </c>
      <c r="AD1012" t="s">
        <v>75</v>
      </c>
      <c r="AE1012" t="s">
        <v>80</v>
      </c>
      <c r="AG1012" t="s">
        <v>81</v>
      </c>
    </row>
    <row r="1013" spans="1:33" x14ac:dyDescent="0.25">
      <c r="A1013" t="str">
        <f>"1871713727"</f>
        <v>1871713727</v>
      </c>
      <c r="B1013" t="str">
        <f>"03719766"</f>
        <v>03719766</v>
      </c>
      <c r="C1013" t="s">
        <v>10041</v>
      </c>
      <c r="D1013" t="s">
        <v>10042</v>
      </c>
      <c r="E1013" t="s">
        <v>10043</v>
      </c>
      <c r="G1013" t="s">
        <v>6494</v>
      </c>
      <c r="H1013" t="s">
        <v>6495</v>
      </c>
      <c r="J1013" t="s">
        <v>6496</v>
      </c>
      <c r="L1013" t="s">
        <v>74</v>
      </c>
      <c r="M1013" t="s">
        <v>75</v>
      </c>
      <c r="R1013" t="s">
        <v>10044</v>
      </c>
      <c r="W1013" t="s">
        <v>10043</v>
      </c>
      <c r="X1013" t="s">
        <v>2808</v>
      </c>
      <c r="Y1013" t="s">
        <v>97</v>
      </c>
      <c r="Z1013" t="s">
        <v>77</v>
      </c>
      <c r="AA1013" t="str">
        <f>"10025-6450"</f>
        <v>10025-6450</v>
      </c>
      <c r="AB1013" t="s">
        <v>108</v>
      </c>
      <c r="AC1013" t="s">
        <v>79</v>
      </c>
      <c r="AD1013" t="s">
        <v>75</v>
      </c>
      <c r="AE1013" t="s">
        <v>80</v>
      </c>
      <c r="AG1013" t="s">
        <v>81</v>
      </c>
    </row>
    <row r="1014" spans="1:33" x14ac:dyDescent="0.25">
      <c r="A1014" t="str">
        <f>"1932275617"</f>
        <v>1932275617</v>
      </c>
      <c r="B1014" t="str">
        <f>"01626833"</f>
        <v>01626833</v>
      </c>
      <c r="C1014" t="s">
        <v>10045</v>
      </c>
      <c r="D1014" t="s">
        <v>10046</v>
      </c>
      <c r="E1014" t="s">
        <v>10047</v>
      </c>
      <c r="G1014" t="s">
        <v>6494</v>
      </c>
      <c r="H1014" t="s">
        <v>6495</v>
      </c>
      <c r="J1014" t="s">
        <v>6496</v>
      </c>
      <c r="L1014" t="s">
        <v>84</v>
      </c>
      <c r="M1014" t="s">
        <v>85</v>
      </c>
      <c r="R1014" t="s">
        <v>10048</v>
      </c>
      <c r="W1014" t="s">
        <v>10047</v>
      </c>
      <c r="X1014" t="s">
        <v>822</v>
      </c>
      <c r="Y1014" t="s">
        <v>97</v>
      </c>
      <c r="Z1014" t="s">
        <v>77</v>
      </c>
      <c r="AA1014" t="str">
        <f>"10025"</f>
        <v>10025</v>
      </c>
      <c r="AB1014" t="s">
        <v>78</v>
      </c>
      <c r="AC1014" t="s">
        <v>79</v>
      </c>
      <c r="AD1014" t="s">
        <v>75</v>
      </c>
      <c r="AE1014" t="s">
        <v>80</v>
      </c>
      <c r="AG1014" t="s">
        <v>81</v>
      </c>
    </row>
    <row r="1015" spans="1:33" x14ac:dyDescent="0.25">
      <c r="A1015" t="str">
        <f>"1952329260"</f>
        <v>1952329260</v>
      </c>
      <c r="B1015" t="str">
        <f>"03039838"</f>
        <v>03039838</v>
      </c>
      <c r="C1015" t="s">
        <v>10049</v>
      </c>
      <c r="D1015" t="s">
        <v>10050</v>
      </c>
      <c r="E1015" t="s">
        <v>10051</v>
      </c>
      <c r="G1015" t="s">
        <v>6494</v>
      </c>
      <c r="H1015" t="s">
        <v>6495</v>
      </c>
      <c r="J1015" t="s">
        <v>6496</v>
      </c>
      <c r="L1015" t="s">
        <v>105</v>
      </c>
      <c r="M1015" t="s">
        <v>75</v>
      </c>
      <c r="R1015" t="s">
        <v>10051</v>
      </c>
      <c r="W1015" t="s">
        <v>10051</v>
      </c>
      <c r="X1015" t="s">
        <v>7539</v>
      </c>
      <c r="Y1015" t="s">
        <v>97</v>
      </c>
      <c r="Z1015" t="s">
        <v>77</v>
      </c>
      <c r="AA1015" t="str">
        <f>"10025-5752"</f>
        <v>10025-5752</v>
      </c>
      <c r="AB1015" t="s">
        <v>113</v>
      </c>
      <c r="AC1015" t="s">
        <v>79</v>
      </c>
      <c r="AD1015" t="s">
        <v>75</v>
      </c>
      <c r="AE1015" t="s">
        <v>80</v>
      </c>
      <c r="AG1015" t="s">
        <v>81</v>
      </c>
    </row>
    <row r="1016" spans="1:33" x14ac:dyDescent="0.25">
      <c r="A1016" t="str">
        <f>"1952334666"</f>
        <v>1952334666</v>
      </c>
      <c r="B1016" t="str">
        <f>"02157440"</f>
        <v>02157440</v>
      </c>
      <c r="C1016" t="s">
        <v>10052</v>
      </c>
      <c r="D1016" t="s">
        <v>10053</v>
      </c>
      <c r="E1016" t="s">
        <v>10054</v>
      </c>
      <c r="G1016" t="s">
        <v>6494</v>
      </c>
      <c r="H1016" t="s">
        <v>6495</v>
      </c>
      <c r="J1016" t="s">
        <v>6496</v>
      </c>
      <c r="L1016" t="s">
        <v>84</v>
      </c>
      <c r="M1016" t="s">
        <v>85</v>
      </c>
      <c r="R1016" t="s">
        <v>10055</v>
      </c>
      <c r="W1016" t="s">
        <v>10054</v>
      </c>
      <c r="X1016" t="s">
        <v>2808</v>
      </c>
      <c r="Y1016" t="s">
        <v>97</v>
      </c>
      <c r="Z1016" t="s">
        <v>77</v>
      </c>
      <c r="AA1016" t="str">
        <f>"10025-6450"</f>
        <v>10025-6450</v>
      </c>
      <c r="AB1016" t="s">
        <v>78</v>
      </c>
      <c r="AC1016" t="s">
        <v>79</v>
      </c>
      <c r="AD1016" t="s">
        <v>75</v>
      </c>
      <c r="AE1016" t="s">
        <v>80</v>
      </c>
      <c r="AG1016" t="s">
        <v>81</v>
      </c>
    </row>
    <row r="1017" spans="1:33" x14ac:dyDescent="0.25">
      <c r="A1017" t="str">
        <f>"1316116155"</f>
        <v>1316116155</v>
      </c>
      <c r="C1017" t="s">
        <v>10056</v>
      </c>
      <c r="G1017" t="s">
        <v>10057</v>
      </c>
      <c r="H1017" t="s">
        <v>10058</v>
      </c>
      <c r="J1017" t="s">
        <v>10059</v>
      </c>
      <c r="K1017" t="s">
        <v>206</v>
      </c>
      <c r="L1017" t="s">
        <v>102</v>
      </c>
      <c r="M1017" t="s">
        <v>75</v>
      </c>
      <c r="R1017" t="s">
        <v>10060</v>
      </c>
      <c r="S1017" t="s">
        <v>10061</v>
      </c>
      <c r="T1017" t="s">
        <v>87</v>
      </c>
      <c r="U1017" t="s">
        <v>77</v>
      </c>
      <c r="V1017" t="str">
        <f>"11229"</f>
        <v>11229</v>
      </c>
      <c r="AC1017" t="s">
        <v>79</v>
      </c>
      <c r="AD1017" t="s">
        <v>75</v>
      </c>
      <c r="AE1017" t="s">
        <v>103</v>
      </c>
      <c r="AG1017" t="s">
        <v>81</v>
      </c>
    </row>
    <row r="1018" spans="1:33" x14ac:dyDescent="0.25">
      <c r="A1018" t="str">
        <f>"1336109701"</f>
        <v>1336109701</v>
      </c>
      <c r="B1018" t="str">
        <f>"02070620"</f>
        <v>02070620</v>
      </c>
      <c r="C1018" t="s">
        <v>10062</v>
      </c>
      <c r="D1018" t="s">
        <v>10063</v>
      </c>
      <c r="E1018" t="s">
        <v>10064</v>
      </c>
      <c r="G1018" t="s">
        <v>10065</v>
      </c>
      <c r="H1018" t="s">
        <v>10066</v>
      </c>
      <c r="J1018" t="s">
        <v>10067</v>
      </c>
      <c r="L1018" t="s">
        <v>84</v>
      </c>
      <c r="M1018" t="s">
        <v>85</v>
      </c>
      <c r="R1018" t="s">
        <v>10068</v>
      </c>
      <c r="W1018" t="s">
        <v>10064</v>
      </c>
      <c r="X1018" t="s">
        <v>10069</v>
      </c>
      <c r="Y1018" t="s">
        <v>87</v>
      </c>
      <c r="Z1018" t="s">
        <v>77</v>
      </c>
      <c r="AA1018" t="str">
        <f>"11201-5509"</f>
        <v>11201-5509</v>
      </c>
      <c r="AB1018" t="s">
        <v>78</v>
      </c>
      <c r="AC1018" t="s">
        <v>79</v>
      </c>
      <c r="AD1018" t="s">
        <v>75</v>
      </c>
      <c r="AE1018" t="s">
        <v>80</v>
      </c>
      <c r="AG1018" t="s">
        <v>81</v>
      </c>
    </row>
    <row r="1019" spans="1:33" x14ac:dyDescent="0.25">
      <c r="C1019" t="s">
        <v>10070</v>
      </c>
      <c r="G1019" t="s">
        <v>10070</v>
      </c>
      <c r="H1019" t="s">
        <v>6463</v>
      </c>
      <c r="I1019">
        <v>1421</v>
      </c>
      <c r="J1019" t="s">
        <v>10071</v>
      </c>
      <c r="K1019" t="s">
        <v>99</v>
      </c>
      <c r="L1019" t="s">
        <v>100</v>
      </c>
      <c r="M1019" t="s">
        <v>75</v>
      </c>
      <c r="N1019" t="s">
        <v>10009</v>
      </c>
      <c r="O1019" t="s">
        <v>77</v>
      </c>
      <c r="P1019" t="s">
        <v>6461</v>
      </c>
      <c r="Q1019" t="str">
        <f>"10025"</f>
        <v>10025</v>
      </c>
      <c r="AC1019" t="s">
        <v>79</v>
      </c>
      <c r="AD1019" t="s">
        <v>75</v>
      </c>
      <c r="AE1019" t="s">
        <v>101</v>
      </c>
      <c r="AG1019" t="s">
        <v>81</v>
      </c>
    </row>
    <row r="1020" spans="1:33" x14ac:dyDescent="0.25">
      <c r="C1020" t="s">
        <v>10072</v>
      </c>
      <c r="G1020" t="s">
        <v>10072</v>
      </c>
      <c r="H1020" t="s">
        <v>6463</v>
      </c>
      <c r="I1020">
        <v>1333</v>
      </c>
      <c r="J1020" t="s">
        <v>10073</v>
      </c>
      <c r="K1020" t="s">
        <v>99</v>
      </c>
      <c r="L1020" t="s">
        <v>100</v>
      </c>
      <c r="M1020" t="s">
        <v>75</v>
      </c>
      <c r="N1020" t="s">
        <v>10009</v>
      </c>
      <c r="O1020" t="s">
        <v>77</v>
      </c>
      <c r="P1020" t="s">
        <v>6461</v>
      </c>
      <c r="Q1020" t="str">
        <f>"10025"</f>
        <v>10025</v>
      </c>
      <c r="AC1020" t="s">
        <v>79</v>
      </c>
      <c r="AD1020" t="s">
        <v>75</v>
      </c>
      <c r="AE1020" t="s">
        <v>101</v>
      </c>
      <c r="AG1020" t="s">
        <v>81</v>
      </c>
    </row>
    <row r="1021" spans="1:33" x14ac:dyDescent="0.25">
      <c r="C1021" t="s">
        <v>10074</v>
      </c>
      <c r="G1021" t="s">
        <v>10074</v>
      </c>
      <c r="H1021" t="s">
        <v>9800</v>
      </c>
      <c r="J1021" t="s">
        <v>10075</v>
      </c>
      <c r="K1021" t="s">
        <v>99</v>
      </c>
      <c r="L1021" t="s">
        <v>100</v>
      </c>
      <c r="M1021" t="s">
        <v>75</v>
      </c>
      <c r="N1021" t="s">
        <v>10076</v>
      </c>
      <c r="O1021" t="s">
        <v>296</v>
      </c>
      <c r="P1021" t="s">
        <v>6461</v>
      </c>
      <c r="Q1021" t="str">
        <f>"10456"</f>
        <v>10456</v>
      </c>
      <c r="AC1021" t="s">
        <v>79</v>
      </c>
      <c r="AD1021" t="s">
        <v>75</v>
      </c>
      <c r="AE1021" t="s">
        <v>101</v>
      </c>
      <c r="AG1021" t="s">
        <v>81</v>
      </c>
    </row>
    <row r="1022" spans="1:33" x14ac:dyDescent="0.25">
      <c r="C1022" t="s">
        <v>10077</v>
      </c>
      <c r="G1022" t="s">
        <v>10077</v>
      </c>
      <c r="H1022" t="s">
        <v>10078</v>
      </c>
      <c r="J1022" t="s">
        <v>10079</v>
      </c>
      <c r="K1022" t="s">
        <v>99</v>
      </c>
      <c r="L1022" t="s">
        <v>100</v>
      </c>
      <c r="M1022" t="s">
        <v>75</v>
      </c>
      <c r="N1022" t="s">
        <v>10080</v>
      </c>
      <c r="O1022" t="s">
        <v>77</v>
      </c>
      <c r="P1022" t="s">
        <v>6461</v>
      </c>
      <c r="Q1022" t="str">
        <f>"10029"</f>
        <v>10029</v>
      </c>
      <c r="AC1022" t="s">
        <v>79</v>
      </c>
      <c r="AD1022" t="s">
        <v>75</v>
      </c>
      <c r="AE1022" t="s">
        <v>101</v>
      </c>
      <c r="AG1022" t="s">
        <v>81</v>
      </c>
    </row>
    <row r="1023" spans="1:33" x14ac:dyDescent="0.25">
      <c r="C1023" t="s">
        <v>10081</v>
      </c>
      <c r="G1023" t="s">
        <v>10081</v>
      </c>
      <c r="H1023" t="s">
        <v>6463</v>
      </c>
      <c r="J1023" t="s">
        <v>10082</v>
      </c>
      <c r="K1023" t="s">
        <v>99</v>
      </c>
      <c r="L1023" t="s">
        <v>100</v>
      </c>
      <c r="M1023" t="s">
        <v>75</v>
      </c>
      <c r="N1023" t="s">
        <v>10009</v>
      </c>
      <c r="O1023" t="s">
        <v>77</v>
      </c>
      <c r="P1023" t="s">
        <v>6461</v>
      </c>
      <c r="Q1023" t="str">
        <f>"10025"</f>
        <v>10025</v>
      </c>
      <c r="AC1023" t="s">
        <v>79</v>
      </c>
      <c r="AD1023" t="s">
        <v>75</v>
      </c>
      <c r="AE1023" t="s">
        <v>101</v>
      </c>
      <c r="AG1023" t="s">
        <v>81</v>
      </c>
    </row>
    <row r="1024" spans="1:33" x14ac:dyDescent="0.25">
      <c r="C1024" t="s">
        <v>10083</v>
      </c>
      <c r="G1024" t="s">
        <v>10083</v>
      </c>
      <c r="H1024" t="s">
        <v>9967</v>
      </c>
      <c r="J1024" t="s">
        <v>10084</v>
      </c>
      <c r="K1024" t="s">
        <v>99</v>
      </c>
      <c r="L1024" t="s">
        <v>100</v>
      </c>
      <c r="M1024" t="s">
        <v>75</v>
      </c>
      <c r="N1024" t="s">
        <v>10016</v>
      </c>
      <c r="O1024" t="s">
        <v>296</v>
      </c>
      <c r="P1024" t="s">
        <v>6461</v>
      </c>
      <c r="Q1024" t="str">
        <f>"10459"</f>
        <v>10459</v>
      </c>
      <c r="AC1024" t="s">
        <v>79</v>
      </c>
      <c r="AD1024" t="s">
        <v>75</v>
      </c>
      <c r="AE1024" t="s">
        <v>101</v>
      </c>
      <c r="AG1024" t="s">
        <v>81</v>
      </c>
    </row>
    <row r="1025" spans="1:33" x14ac:dyDescent="0.25">
      <c r="A1025" t="str">
        <f>"1952494221"</f>
        <v>1952494221</v>
      </c>
      <c r="B1025" t="str">
        <f>"01838453"</f>
        <v>01838453</v>
      </c>
      <c r="C1025" t="s">
        <v>10085</v>
      </c>
      <c r="D1025" t="s">
        <v>10086</v>
      </c>
      <c r="E1025" t="s">
        <v>10087</v>
      </c>
      <c r="L1025" t="s">
        <v>105</v>
      </c>
      <c r="M1025" t="s">
        <v>75</v>
      </c>
      <c r="R1025" t="s">
        <v>10088</v>
      </c>
      <c r="W1025" t="s">
        <v>10087</v>
      </c>
      <c r="X1025" t="s">
        <v>8048</v>
      </c>
      <c r="Y1025" t="s">
        <v>97</v>
      </c>
      <c r="Z1025" t="s">
        <v>77</v>
      </c>
      <c r="AA1025" t="str">
        <f>"10020-1201"</f>
        <v>10020-1201</v>
      </c>
      <c r="AB1025" t="s">
        <v>78</v>
      </c>
      <c r="AC1025" t="s">
        <v>79</v>
      </c>
      <c r="AD1025" t="s">
        <v>75</v>
      </c>
      <c r="AE1025" t="s">
        <v>80</v>
      </c>
      <c r="AG1025" t="s">
        <v>81</v>
      </c>
    </row>
    <row r="1026" spans="1:33" x14ac:dyDescent="0.25">
      <c r="A1026" t="str">
        <f>"1760475875"</f>
        <v>1760475875</v>
      </c>
      <c r="B1026" t="str">
        <f>"02605750"</f>
        <v>02605750</v>
      </c>
      <c r="C1026" t="s">
        <v>10089</v>
      </c>
      <c r="D1026" t="s">
        <v>10090</v>
      </c>
      <c r="E1026" t="s">
        <v>10091</v>
      </c>
      <c r="G1026" t="s">
        <v>6380</v>
      </c>
      <c r="H1026" t="s">
        <v>4625</v>
      </c>
      <c r="J1026" t="s">
        <v>6381</v>
      </c>
      <c r="L1026" t="s">
        <v>83</v>
      </c>
      <c r="M1026" t="s">
        <v>85</v>
      </c>
      <c r="R1026" t="s">
        <v>10092</v>
      </c>
      <c r="W1026" t="s">
        <v>10092</v>
      </c>
      <c r="X1026" t="s">
        <v>4462</v>
      </c>
      <c r="Y1026" t="s">
        <v>1823</v>
      </c>
      <c r="Z1026" t="s">
        <v>77</v>
      </c>
      <c r="AA1026" t="str">
        <f>"10941-4057"</f>
        <v>10941-4057</v>
      </c>
      <c r="AB1026" t="s">
        <v>78</v>
      </c>
      <c r="AC1026" t="s">
        <v>79</v>
      </c>
      <c r="AD1026" t="s">
        <v>75</v>
      </c>
      <c r="AE1026" t="s">
        <v>80</v>
      </c>
      <c r="AG1026" t="s">
        <v>81</v>
      </c>
    </row>
    <row r="1027" spans="1:33" x14ac:dyDescent="0.25">
      <c r="A1027" t="str">
        <f>"1700199064"</f>
        <v>1700199064</v>
      </c>
      <c r="B1027" t="str">
        <f>"03284351"</f>
        <v>03284351</v>
      </c>
      <c r="C1027" t="s">
        <v>10093</v>
      </c>
      <c r="D1027" t="s">
        <v>10094</v>
      </c>
      <c r="E1027" t="s">
        <v>10095</v>
      </c>
      <c r="G1027" t="s">
        <v>6930</v>
      </c>
      <c r="H1027" t="s">
        <v>6931</v>
      </c>
      <c r="J1027" t="s">
        <v>6932</v>
      </c>
      <c r="L1027" t="s">
        <v>74</v>
      </c>
      <c r="M1027" t="s">
        <v>75</v>
      </c>
      <c r="R1027" t="s">
        <v>10096</v>
      </c>
      <c r="W1027" t="s">
        <v>10095</v>
      </c>
      <c r="X1027" t="s">
        <v>1531</v>
      </c>
      <c r="Y1027" t="s">
        <v>97</v>
      </c>
      <c r="Z1027" t="s">
        <v>77</v>
      </c>
      <c r="AA1027" t="str">
        <f t="shared" ref="AA1027:AA1039" si="6">"10036-8005"</f>
        <v>10036-8005</v>
      </c>
      <c r="AB1027" t="s">
        <v>108</v>
      </c>
      <c r="AC1027" t="s">
        <v>79</v>
      </c>
      <c r="AD1027" t="s">
        <v>75</v>
      </c>
      <c r="AE1027" t="s">
        <v>80</v>
      </c>
      <c r="AG1027" t="s">
        <v>81</v>
      </c>
    </row>
    <row r="1028" spans="1:33" x14ac:dyDescent="0.25">
      <c r="A1028" t="str">
        <f>"1427361070"</f>
        <v>1427361070</v>
      </c>
      <c r="B1028" t="str">
        <f>"03284535"</f>
        <v>03284535</v>
      </c>
      <c r="C1028" t="s">
        <v>10097</v>
      </c>
      <c r="D1028" t="s">
        <v>1630</v>
      </c>
      <c r="E1028" t="s">
        <v>1631</v>
      </c>
      <c r="G1028" t="s">
        <v>6930</v>
      </c>
      <c r="H1028" t="s">
        <v>6931</v>
      </c>
      <c r="J1028" t="s">
        <v>6932</v>
      </c>
      <c r="L1028" t="s">
        <v>83</v>
      </c>
      <c r="M1028" t="s">
        <v>75</v>
      </c>
      <c r="R1028" t="s">
        <v>1629</v>
      </c>
      <c r="W1028" t="s">
        <v>1631</v>
      </c>
      <c r="X1028" t="s">
        <v>1531</v>
      </c>
      <c r="Y1028" t="s">
        <v>97</v>
      </c>
      <c r="Z1028" t="s">
        <v>77</v>
      </c>
      <c r="AA1028" t="str">
        <f t="shared" si="6"/>
        <v>10036-8005</v>
      </c>
      <c r="AB1028" t="s">
        <v>108</v>
      </c>
      <c r="AC1028" t="s">
        <v>79</v>
      </c>
      <c r="AD1028" t="s">
        <v>75</v>
      </c>
      <c r="AE1028" t="s">
        <v>80</v>
      </c>
      <c r="AG1028" t="s">
        <v>81</v>
      </c>
    </row>
    <row r="1029" spans="1:33" x14ac:dyDescent="0.25">
      <c r="A1029" t="str">
        <f>"1841260593"</f>
        <v>1841260593</v>
      </c>
      <c r="B1029" t="str">
        <f>"03383057"</f>
        <v>03383057</v>
      </c>
      <c r="C1029" t="s">
        <v>10098</v>
      </c>
      <c r="D1029" t="s">
        <v>10099</v>
      </c>
      <c r="E1029" t="s">
        <v>10100</v>
      </c>
      <c r="G1029" t="s">
        <v>6930</v>
      </c>
      <c r="H1029" t="s">
        <v>6931</v>
      </c>
      <c r="J1029" t="s">
        <v>6932</v>
      </c>
      <c r="L1029" t="s">
        <v>74</v>
      </c>
      <c r="M1029" t="s">
        <v>75</v>
      </c>
      <c r="R1029" t="s">
        <v>10101</v>
      </c>
      <c r="W1029" t="s">
        <v>10100</v>
      </c>
      <c r="X1029" t="s">
        <v>1531</v>
      </c>
      <c r="Y1029" t="s">
        <v>97</v>
      </c>
      <c r="Z1029" t="s">
        <v>77</v>
      </c>
      <c r="AA1029" t="str">
        <f t="shared" si="6"/>
        <v>10036-8005</v>
      </c>
      <c r="AB1029" t="s">
        <v>108</v>
      </c>
      <c r="AC1029" t="s">
        <v>79</v>
      </c>
      <c r="AD1029" t="s">
        <v>75</v>
      </c>
      <c r="AE1029" t="s">
        <v>80</v>
      </c>
      <c r="AG1029" t="s">
        <v>81</v>
      </c>
    </row>
    <row r="1030" spans="1:33" x14ac:dyDescent="0.25">
      <c r="A1030" t="str">
        <f>"1396896338"</f>
        <v>1396896338</v>
      </c>
      <c r="B1030" t="str">
        <f>"03441265"</f>
        <v>03441265</v>
      </c>
      <c r="C1030" t="s">
        <v>10102</v>
      </c>
      <c r="D1030" t="s">
        <v>1654</v>
      </c>
      <c r="E1030" t="s">
        <v>1655</v>
      </c>
      <c r="G1030" t="s">
        <v>6930</v>
      </c>
      <c r="H1030" t="s">
        <v>6931</v>
      </c>
      <c r="J1030" t="s">
        <v>6932</v>
      </c>
      <c r="L1030" t="s">
        <v>83</v>
      </c>
      <c r="M1030" t="s">
        <v>75</v>
      </c>
      <c r="R1030" t="s">
        <v>1653</v>
      </c>
      <c r="W1030" t="s">
        <v>1655</v>
      </c>
      <c r="X1030" t="s">
        <v>1177</v>
      </c>
      <c r="Y1030" t="s">
        <v>97</v>
      </c>
      <c r="Z1030" t="s">
        <v>77</v>
      </c>
      <c r="AA1030" t="str">
        <f t="shared" si="6"/>
        <v>10036-8005</v>
      </c>
      <c r="AB1030" t="s">
        <v>108</v>
      </c>
      <c r="AC1030" t="s">
        <v>79</v>
      </c>
      <c r="AD1030" t="s">
        <v>75</v>
      </c>
      <c r="AE1030" t="s">
        <v>80</v>
      </c>
      <c r="AG1030" t="s">
        <v>81</v>
      </c>
    </row>
    <row r="1031" spans="1:33" x14ac:dyDescent="0.25">
      <c r="A1031" t="str">
        <f>"1487919452"</f>
        <v>1487919452</v>
      </c>
      <c r="B1031" t="str">
        <f>"03492257"</f>
        <v>03492257</v>
      </c>
      <c r="C1031" t="s">
        <v>10103</v>
      </c>
      <c r="D1031" t="s">
        <v>1575</v>
      </c>
      <c r="E1031" t="s">
        <v>1576</v>
      </c>
      <c r="G1031" t="s">
        <v>6930</v>
      </c>
      <c r="H1031" t="s">
        <v>6931</v>
      </c>
      <c r="J1031" t="s">
        <v>6932</v>
      </c>
      <c r="L1031" t="s">
        <v>83</v>
      </c>
      <c r="M1031" t="s">
        <v>75</v>
      </c>
      <c r="R1031" t="s">
        <v>1574</v>
      </c>
      <c r="W1031" t="s">
        <v>1576</v>
      </c>
      <c r="X1031" t="s">
        <v>1531</v>
      </c>
      <c r="Y1031" t="s">
        <v>97</v>
      </c>
      <c r="Z1031" t="s">
        <v>77</v>
      </c>
      <c r="AA1031" t="str">
        <f t="shared" si="6"/>
        <v>10036-8005</v>
      </c>
      <c r="AB1031" t="s">
        <v>108</v>
      </c>
      <c r="AC1031" t="s">
        <v>79</v>
      </c>
      <c r="AD1031" t="s">
        <v>75</v>
      </c>
      <c r="AE1031" t="s">
        <v>80</v>
      </c>
      <c r="AG1031" t="s">
        <v>81</v>
      </c>
    </row>
    <row r="1032" spans="1:33" x14ac:dyDescent="0.25">
      <c r="A1032" t="str">
        <f>"1063481059"</f>
        <v>1063481059</v>
      </c>
      <c r="B1032" t="str">
        <f>"03551553"</f>
        <v>03551553</v>
      </c>
      <c r="C1032" t="s">
        <v>10104</v>
      </c>
      <c r="D1032" t="s">
        <v>1612</v>
      </c>
      <c r="E1032" t="s">
        <v>1613</v>
      </c>
      <c r="G1032" t="s">
        <v>6930</v>
      </c>
      <c r="H1032" t="s">
        <v>6931</v>
      </c>
      <c r="J1032" t="s">
        <v>6932</v>
      </c>
      <c r="L1032" t="s">
        <v>83</v>
      </c>
      <c r="M1032" t="s">
        <v>75</v>
      </c>
      <c r="R1032" t="s">
        <v>1611</v>
      </c>
      <c r="W1032" t="s">
        <v>1613</v>
      </c>
      <c r="X1032" t="s">
        <v>1531</v>
      </c>
      <c r="Y1032" t="s">
        <v>97</v>
      </c>
      <c r="Z1032" t="s">
        <v>77</v>
      </c>
      <c r="AA1032" t="str">
        <f t="shared" si="6"/>
        <v>10036-8005</v>
      </c>
      <c r="AB1032" t="s">
        <v>108</v>
      </c>
      <c r="AC1032" t="s">
        <v>79</v>
      </c>
      <c r="AD1032" t="s">
        <v>75</v>
      </c>
      <c r="AE1032" t="s">
        <v>80</v>
      </c>
      <c r="AG1032" t="s">
        <v>81</v>
      </c>
    </row>
    <row r="1033" spans="1:33" x14ac:dyDescent="0.25">
      <c r="A1033" t="str">
        <f>"1316109184"</f>
        <v>1316109184</v>
      </c>
      <c r="B1033" t="str">
        <f>"03577548"</f>
        <v>03577548</v>
      </c>
      <c r="C1033" t="s">
        <v>10105</v>
      </c>
      <c r="D1033" t="s">
        <v>1550</v>
      </c>
      <c r="E1033" t="s">
        <v>1551</v>
      </c>
      <c r="G1033" t="s">
        <v>6930</v>
      </c>
      <c r="H1033" t="s">
        <v>6931</v>
      </c>
      <c r="J1033" t="s">
        <v>6932</v>
      </c>
      <c r="L1033" t="s">
        <v>83</v>
      </c>
      <c r="M1033" t="s">
        <v>75</v>
      </c>
      <c r="R1033" t="s">
        <v>1549</v>
      </c>
      <c r="W1033" t="s">
        <v>1551</v>
      </c>
      <c r="X1033" t="s">
        <v>1531</v>
      </c>
      <c r="Y1033" t="s">
        <v>97</v>
      </c>
      <c r="Z1033" t="s">
        <v>77</v>
      </c>
      <c r="AA1033" t="str">
        <f t="shared" si="6"/>
        <v>10036-8005</v>
      </c>
      <c r="AB1033" t="s">
        <v>108</v>
      </c>
      <c r="AC1033" t="s">
        <v>79</v>
      </c>
      <c r="AD1033" t="s">
        <v>75</v>
      </c>
      <c r="AE1033" t="s">
        <v>80</v>
      </c>
      <c r="AG1033" t="s">
        <v>81</v>
      </c>
    </row>
    <row r="1034" spans="1:33" x14ac:dyDescent="0.25">
      <c r="A1034" t="str">
        <f>"1043289085"</f>
        <v>1043289085</v>
      </c>
      <c r="B1034" t="str">
        <f>"03638731"</f>
        <v>03638731</v>
      </c>
      <c r="C1034" t="s">
        <v>10106</v>
      </c>
      <c r="D1034" t="s">
        <v>10107</v>
      </c>
      <c r="E1034" t="s">
        <v>10108</v>
      </c>
      <c r="G1034" t="s">
        <v>6930</v>
      </c>
      <c r="H1034" t="s">
        <v>6931</v>
      </c>
      <c r="J1034" t="s">
        <v>6932</v>
      </c>
      <c r="L1034" t="s">
        <v>83</v>
      </c>
      <c r="M1034" t="s">
        <v>75</v>
      </c>
      <c r="R1034" t="s">
        <v>10109</v>
      </c>
      <c r="W1034" t="s">
        <v>10108</v>
      </c>
      <c r="X1034" t="s">
        <v>1531</v>
      </c>
      <c r="Y1034" t="s">
        <v>97</v>
      </c>
      <c r="Z1034" t="s">
        <v>77</v>
      </c>
      <c r="AA1034" t="str">
        <f t="shared" si="6"/>
        <v>10036-8005</v>
      </c>
      <c r="AB1034" t="s">
        <v>78</v>
      </c>
      <c r="AC1034" t="s">
        <v>79</v>
      </c>
      <c r="AD1034" t="s">
        <v>75</v>
      </c>
      <c r="AE1034" t="s">
        <v>80</v>
      </c>
      <c r="AG1034" t="s">
        <v>81</v>
      </c>
    </row>
    <row r="1035" spans="1:33" x14ac:dyDescent="0.25">
      <c r="A1035" t="str">
        <f>"1891047494"</f>
        <v>1891047494</v>
      </c>
      <c r="B1035" t="str">
        <f>"03743359"</f>
        <v>03743359</v>
      </c>
      <c r="C1035" t="s">
        <v>10110</v>
      </c>
      <c r="D1035" t="s">
        <v>10111</v>
      </c>
      <c r="E1035" t="s">
        <v>10112</v>
      </c>
      <c r="G1035" t="s">
        <v>6930</v>
      </c>
      <c r="H1035" t="s">
        <v>6931</v>
      </c>
      <c r="J1035" t="s">
        <v>6932</v>
      </c>
      <c r="L1035" t="s">
        <v>83</v>
      </c>
      <c r="M1035" t="s">
        <v>75</v>
      </c>
      <c r="R1035" t="s">
        <v>10113</v>
      </c>
      <c r="W1035" t="s">
        <v>10112</v>
      </c>
      <c r="X1035" t="s">
        <v>1531</v>
      </c>
      <c r="Y1035" t="s">
        <v>97</v>
      </c>
      <c r="Z1035" t="s">
        <v>77</v>
      </c>
      <c r="AA1035" t="str">
        <f t="shared" si="6"/>
        <v>10036-8005</v>
      </c>
      <c r="AB1035" t="s">
        <v>108</v>
      </c>
      <c r="AC1035" t="s">
        <v>79</v>
      </c>
      <c r="AD1035" t="s">
        <v>75</v>
      </c>
      <c r="AE1035" t="s">
        <v>80</v>
      </c>
      <c r="AG1035" t="s">
        <v>81</v>
      </c>
    </row>
    <row r="1036" spans="1:33" x14ac:dyDescent="0.25">
      <c r="A1036" t="str">
        <f>"1023422581"</f>
        <v>1023422581</v>
      </c>
      <c r="B1036" t="str">
        <f>"03870826"</f>
        <v>03870826</v>
      </c>
      <c r="C1036" t="s">
        <v>10114</v>
      </c>
      <c r="D1036" t="s">
        <v>10115</v>
      </c>
      <c r="E1036" t="s">
        <v>10116</v>
      </c>
      <c r="G1036" t="s">
        <v>6930</v>
      </c>
      <c r="H1036" t="s">
        <v>6931</v>
      </c>
      <c r="J1036" t="s">
        <v>6932</v>
      </c>
      <c r="L1036" t="s">
        <v>74</v>
      </c>
      <c r="M1036" t="s">
        <v>75</v>
      </c>
      <c r="R1036" t="s">
        <v>10117</v>
      </c>
      <c r="W1036" t="s">
        <v>10116</v>
      </c>
      <c r="X1036" t="s">
        <v>1531</v>
      </c>
      <c r="Y1036" t="s">
        <v>97</v>
      </c>
      <c r="Z1036" t="s">
        <v>77</v>
      </c>
      <c r="AA1036" t="str">
        <f t="shared" si="6"/>
        <v>10036-8005</v>
      </c>
      <c r="AB1036" t="s">
        <v>108</v>
      </c>
      <c r="AC1036" t="s">
        <v>79</v>
      </c>
      <c r="AD1036" t="s">
        <v>75</v>
      </c>
      <c r="AE1036" t="s">
        <v>80</v>
      </c>
      <c r="AG1036" t="s">
        <v>81</v>
      </c>
    </row>
    <row r="1037" spans="1:33" x14ac:dyDescent="0.25">
      <c r="A1037" t="str">
        <f>"1043447220"</f>
        <v>1043447220</v>
      </c>
      <c r="B1037" t="str">
        <f>"03321193"</f>
        <v>03321193</v>
      </c>
      <c r="C1037" t="s">
        <v>10118</v>
      </c>
      <c r="D1037" t="s">
        <v>10119</v>
      </c>
      <c r="E1037" t="s">
        <v>10120</v>
      </c>
      <c r="G1037" t="s">
        <v>6930</v>
      </c>
      <c r="H1037" t="s">
        <v>6931</v>
      </c>
      <c r="J1037" t="s">
        <v>6932</v>
      </c>
      <c r="L1037" t="s">
        <v>83</v>
      </c>
      <c r="M1037" t="s">
        <v>75</v>
      </c>
      <c r="R1037" t="s">
        <v>10121</v>
      </c>
      <c r="W1037" t="s">
        <v>10122</v>
      </c>
      <c r="X1037" t="s">
        <v>1531</v>
      </c>
      <c r="Y1037" t="s">
        <v>97</v>
      </c>
      <c r="Z1037" t="s">
        <v>77</v>
      </c>
      <c r="AA1037" t="str">
        <f t="shared" si="6"/>
        <v>10036-8005</v>
      </c>
      <c r="AB1037" t="s">
        <v>108</v>
      </c>
      <c r="AC1037" t="s">
        <v>79</v>
      </c>
      <c r="AD1037" t="s">
        <v>75</v>
      </c>
      <c r="AE1037" t="s">
        <v>80</v>
      </c>
      <c r="AG1037" t="s">
        <v>81</v>
      </c>
    </row>
    <row r="1038" spans="1:33" x14ac:dyDescent="0.25">
      <c r="A1038" t="str">
        <f>"1083029946"</f>
        <v>1083029946</v>
      </c>
      <c r="B1038" t="str">
        <f>"03910703"</f>
        <v>03910703</v>
      </c>
      <c r="C1038" t="s">
        <v>10123</v>
      </c>
      <c r="D1038" t="s">
        <v>10124</v>
      </c>
      <c r="E1038" t="s">
        <v>10125</v>
      </c>
      <c r="G1038" t="s">
        <v>6930</v>
      </c>
      <c r="H1038" t="s">
        <v>6931</v>
      </c>
      <c r="J1038" t="s">
        <v>6932</v>
      </c>
      <c r="L1038" t="s">
        <v>74</v>
      </c>
      <c r="M1038" t="s">
        <v>75</v>
      </c>
      <c r="R1038" t="s">
        <v>10126</v>
      </c>
      <c r="W1038" t="s">
        <v>10125</v>
      </c>
      <c r="X1038" t="s">
        <v>1531</v>
      </c>
      <c r="Y1038" t="s">
        <v>97</v>
      </c>
      <c r="Z1038" t="s">
        <v>77</v>
      </c>
      <c r="AA1038" t="str">
        <f t="shared" si="6"/>
        <v>10036-8005</v>
      </c>
      <c r="AB1038" t="s">
        <v>108</v>
      </c>
      <c r="AC1038" t="s">
        <v>79</v>
      </c>
      <c r="AD1038" t="s">
        <v>75</v>
      </c>
      <c r="AE1038" t="s">
        <v>80</v>
      </c>
      <c r="AG1038" t="s">
        <v>81</v>
      </c>
    </row>
    <row r="1039" spans="1:33" x14ac:dyDescent="0.25">
      <c r="A1039" t="str">
        <f>"1700190535"</f>
        <v>1700190535</v>
      </c>
      <c r="B1039" t="str">
        <f>"03910712"</f>
        <v>03910712</v>
      </c>
      <c r="C1039" t="s">
        <v>10127</v>
      </c>
      <c r="D1039" t="s">
        <v>1602</v>
      </c>
      <c r="E1039" t="s">
        <v>1603</v>
      </c>
      <c r="G1039" t="s">
        <v>6930</v>
      </c>
      <c r="H1039" t="s">
        <v>6931</v>
      </c>
      <c r="J1039" t="s">
        <v>6932</v>
      </c>
      <c r="L1039" t="s">
        <v>74</v>
      </c>
      <c r="M1039" t="s">
        <v>75</v>
      </c>
      <c r="R1039" t="s">
        <v>1601</v>
      </c>
      <c r="W1039" t="s">
        <v>1603</v>
      </c>
      <c r="X1039" t="s">
        <v>1531</v>
      </c>
      <c r="Y1039" t="s">
        <v>97</v>
      </c>
      <c r="Z1039" t="s">
        <v>77</v>
      </c>
      <c r="AA1039" t="str">
        <f t="shared" si="6"/>
        <v>10036-8005</v>
      </c>
      <c r="AB1039" t="s">
        <v>108</v>
      </c>
      <c r="AC1039" t="s">
        <v>79</v>
      </c>
      <c r="AD1039" t="s">
        <v>75</v>
      </c>
      <c r="AE1039" t="s">
        <v>80</v>
      </c>
      <c r="AG1039" t="s">
        <v>81</v>
      </c>
    </row>
    <row r="1040" spans="1:33" x14ac:dyDescent="0.25">
      <c r="A1040" t="str">
        <f>"1972675353"</f>
        <v>1972675353</v>
      </c>
      <c r="B1040" t="str">
        <f>"01839523"</f>
        <v>01839523</v>
      </c>
      <c r="C1040" t="s">
        <v>10128</v>
      </c>
      <c r="D1040" t="s">
        <v>2747</v>
      </c>
      <c r="E1040" t="s">
        <v>2748</v>
      </c>
      <c r="G1040" t="s">
        <v>6474</v>
      </c>
      <c r="H1040" t="s">
        <v>252</v>
      </c>
      <c r="J1040" t="s">
        <v>628</v>
      </c>
      <c r="L1040" t="s">
        <v>83</v>
      </c>
      <c r="M1040" t="s">
        <v>85</v>
      </c>
      <c r="R1040" t="s">
        <v>2749</v>
      </c>
      <c r="W1040" t="s">
        <v>2748</v>
      </c>
      <c r="X1040" t="s">
        <v>2750</v>
      </c>
      <c r="Y1040" t="s">
        <v>97</v>
      </c>
      <c r="Z1040" t="s">
        <v>77</v>
      </c>
      <c r="AA1040" t="str">
        <f>"10025-1716"</f>
        <v>10025-1716</v>
      </c>
      <c r="AB1040" t="s">
        <v>78</v>
      </c>
      <c r="AC1040" t="s">
        <v>79</v>
      </c>
      <c r="AD1040" t="s">
        <v>75</v>
      </c>
      <c r="AE1040" t="s">
        <v>80</v>
      </c>
      <c r="AG1040" t="s">
        <v>81</v>
      </c>
    </row>
    <row r="1041" spans="1:33" x14ac:dyDescent="0.25">
      <c r="A1041" t="str">
        <f>"1942205091"</f>
        <v>1942205091</v>
      </c>
      <c r="B1041" t="str">
        <f>"01863496"</f>
        <v>01863496</v>
      </c>
      <c r="C1041" t="s">
        <v>10129</v>
      </c>
      <c r="D1041" t="s">
        <v>3266</v>
      </c>
      <c r="E1041" t="s">
        <v>3267</v>
      </c>
      <c r="G1041" t="s">
        <v>6474</v>
      </c>
      <c r="H1041" t="s">
        <v>252</v>
      </c>
      <c r="J1041" t="s">
        <v>628</v>
      </c>
      <c r="L1041" t="s">
        <v>94</v>
      </c>
      <c r="M1041" t="s">
        <v>85</v>
      </c>
      <c r="R1041" t="s">
        <v>3267</v>
      </c>
      <c r="W1041" t="s">
        <v>3267</v>
      </c>
      <c r="X1041" t="s">
        <v>3268</v>
      </c>
      <c r="Y1041" t="s">
        <v>87</v>
      </c>
      <c r="Z1041" t="s">
        <v>77</v>
      </c>
      <c r="AA1041" t="str">
        <f>"11201-1000"</f>
        <v>11201-1000</v>
      </c>
      <c r="AB1041" t="s">
        <v>78</v>
      </c>
      <c r="AC1041" t="s">
        <v>79</v>
      </c>
      <c r="AD1041" t="s">
        <v>75</v>
      </c>
      <c r="AE1041" t="s">
        <v>80</v>
      </c>
      <c r="AG1041" t="s">
        <v>81</v>
      </c>
    </row>
    <row r="1042" spans="1:33" x14ac:dyDescent="0.25">
      <c r="A1042" t="str">
        <f>"1205827680"</f>
        <v>1205827680</v>
      </c>
      <c r="B1042" t="str">
        <f>"02229674"</f>
        <v>02229674</v>
      </c>
      <c r="C1042" t="s">
        <v>10130</v>
      </c>
      <c r="D1042" t="s">
        <v>3287</v>
      </c>
      <c r="E1042" t="s">
        <v>3288</v>
      </c>
      <c r="G1042" t="s">
        <v>6474</v>
      </c>
      <c r="H1042" t="s">
        <v>252</v>
      </c>
      <c r="J1042" t="s">
        <v>628</v>
      </c>
      <c r="L1042" t="s">
        <v>83</v>
      </c>
      <c r="M1042" t="s">
        <v>85</v>
      </c>
      <c r="R1042" t="s">
        <v>3289</v>
      </c>
      <c r="W1042" t="s">
        <v>3288</v>
      </c>
      <c r="X1042" t="s">
        <v>266</v>
      </c>
      <c r="Y1042" t="s">
        <v>161</v>
      </c>
      <c r="Z1042" t="s">
        <v>77</v>
      </c>
      <c r="AA1042" t="str">
        <f>"11040-1436"</f>
        <v>11040-1436</v>
      </c>
      <c r="AB1042" t="s">
        <v>78</v>
      </c>
      <c r="AC1042" t="s">
        <v>79</v>
      </c>
      <c r="AD1042" t="s">
        <v>75</v>
      </c>
      <c r="AE1042" t="s">
        <v>80</v>
      </c>
      <c r="AG1042" t="s">
        <v>81</v>
      </c>
    </row>
    <row r="1043" spans="1:33" x14ac:dyDescent="0.25">
      <c r="A1043" t="str">
        <f>"1790882520"</f>
        <v>1790882520</v>
      </c>
      <c r="B1043" t="str">
        <f>"01839587"</f>
        <v>01839587</v>
      </c>
      <c r="C1043" t="s">
        <v>10131</v>
      </c>
      <c r="D1043" t="s">
        <v>10132</v>
      </c>
      <c r="E1043" t="s">
        <v>10133</v>
      </c>
      <c r="L1043" t="s">
        <v>105</v>
      </c>
      <c r="M1043" t="s">
        <v>75</v>
      </c>
      <c r="W1043" t="s">
        <v>10133</v>
      </c>
      <c r="X1043" t="s">
        <v>10134</v>
      </c>
      <c r="Y1043" t="s">
        <v>87</v>
      </c>
      <c r="Z1043" t="s">
        <v>77</v>
      </c>
      <c r="AA1043" t="str">
        <f>"11224-1410"</f>
        <v>11224-1410</v>
      </c>
      <c r="AB1043" t="s">
        <v>78</v>
      </c>
      <c r="AC1043" t="s">
        <v>79</v>
      </c>
      <c r="AD1043" t="s">
        <v>75</v>
      </c>
      <c r="AE1043" t="s">
        <v>80</v>
      </c>
      <c r="AG1043" t="s">
        <v>81</v>
      </c>
    </row>
    <row r="1044" spans="1:33" x14ac:dyDescent="0.25">
      <c r="A1044" t="str">
        <f>"1013909472"</f>
        <v>1013909472</v>
      </c>
      <c r="B1044" t="str">
        <f>"01842373"</f>
        <v>01842373</v>
      </c>
      <c r="C1044" t="s">
        <v>10135</v>
      </c>
      <c r="D1044" t="s">
        <v>10136</v>
      </c>
      <c r="E1044" t="s">
        <v>10137</v>
      </c>
      <c r="L1044" t="s">
        <v>105</v>
      </c>
      <c r="M1044" t="s">
        <v>85</v>
      </c>
      <c r="R1044" t="s">
        <v>10138</v>
      </c>
      <c r="W1044" t="s">
        <v>10137</v>
      </c>
      <c r="X1044" t="s">
        <v>10139</v>
      </c>
      <c r="Y1044" t="s">
        <v>87</v>
      </c>
      <c r="Z1044" t="s">
        <v>77</v>
      </c>
      <c r="AA1044" t="str">
        <f>"11223-2329"</f>
        <v>11223-2329</v>
      </c>
      <c r="AB1044" t="s">
        <v>78</v>
      </c>
      <c r="AC1044" t="s">
        <v>79</v>
      </c>
      <c r="AD1044" t="s">
        <v>75</v>
      </c>
      <c r="AE1044" t="s">
        <v>80</v>
      </c>
      <c r="AG1044" t="s">
        <v>81</v>
      </c>
    </row>
    <row r="1045" spans="1:33" x14ac:dyDescent="0.25">
      <c r="A1045" t="str">
        <f>"1699973859"</f>
        <v>1699973859</v>
      </c>
      <c r="B1045" t="str">
        <f>"02034628"</f>
        <v>02034628</v>
      </c>
      <c r="C1045" t="s">
        <v>10140</v>
      </c>
      <c r="D1045" t="s">
        <v>10141</v>
      </c>
      <c r="E1045" t="s">
        <v>10142</v>
      </c>
      <c r="L1045" t="s">
        <v>74</v>
      </c>
      <c r="M1045" t="s">
        <v>75</v>
      </c>
      <c r="R1045" t="s">
        <v>10143</v>
      </c>
      <c r="W1045" t="s">
        <v>10142</v>
      </c>
      <c r="X1045" t="s">
        <v>10144</v>
      </c>
      <c r="Y1045" t="s">
        <v>4952</v>
      </c>
      <c r="Z1045" t="s">
        <v>77</v>
      </c>
      <c r="AA1045" t="str">
        <f>"11577-2215"</f>
        <v>11577-2215</v>
      </c>
      <c r="AB1045" t="s">
        <v>78</v>
      </c>
      <c r="AC1045" t="s">
        <v>79</v>
      </c>
      <c r="AD1045" t="s">
        <v>75</v>
      </c>
      <c r="AE1045" t="s">
        <v>80</v>
      </c>
      <c r="AG1045" t="s">
        <v>81</v>
      </c>
    </row>
    <row r="1046" spans="1:33" x14ac:dyDescent="0.25">
      <c r="A1046" t="str">
        <f>"1124184940"</f>
        <v>1124184940</v>
      </c>
      <c r="B1046" t="str">
        <f>"02854828"</f>
        <v>02854828</v>
      </c>
      <c r="C1046" t="s">
        <v>10145</v>
      </c>
      <c r="D1046" t="s">
        <v>10146</v>
      </c>
      <c r="E1046" t="s">
        <v>10147</v>
      </c>
      <c r="L1046" t="s">
        <v>105</v>
      </c>
      <c r="M1046" t="s">
        <v>75</v>
      </c>
      <c r="R1046" t="s">
        <v>10148</v>
      </c>
      <c r="W1046" t="s">
        <v>10149</v>
      </c>
      <c r="X1046" t="s">
        <v>10150</v>
      </c>
      <c r="Y1046" t="s">
        <v>10151</v>
      </c>
      <c r="Z1046" t="s">
        <v>77</v>
      </c>
      <c r="AA1046" t="str">
        <f>"11362-1199"</f>
        <v>11362-1199</v>
      </c>
      <c r="AB1046" t="s">
        <v>78</v>
      </c>
      <c r="AC1046" t="s">
        <v>79</v>
      </c>
      <c r="AD1046" t="s">
        <v>75</v>
      </c>
      <c r="AE1046" t="s">
        <v>80</v>
      </c>
      <c r="AG1046" t="s">
        <v>81</v>
      </c>
    </row>
    <row r="1047" spans="1:33" x14ac:dyDescent="0.25">
      <c r="A1047" t="str">
        <f>"1518041557"</f>
        <v>1518041557</v>
      </c>
      <c r="B1047" t="str">
        <f>"00305239"</f>
        <v>00305239</v>
      </c>
      <c r="C1047" t="s">
        <v>10152</v>
      </c>
      <c r="D1047" t="s">
        <v>10153</v>
      </c>
      <c r="E1047" t="s">
        <v>10154</v>
      </c>
      <c r="L1047" t="s">
        <v>105</v>
      </c>
      <c r="M1047" t="s">
        <v>75</v>
      </c>
      <c r="R1047" t="s">
        <v>10155</v>
      </c>
      <c r="W1047" t="s">
        <v>10156</v>
      </c>
      <c r="X1047" t="s">
        <v>8048</v>
      </c>
      <c r="Y1047" t="s">
        <v>97</v>
      </c>
      <c r="Z1047" t="s">
        <v>77</v>
      </c>
      <c r="AA1047" t="str">
        <f>"10020-1201"</f>
        <v>10020-1201</v>
      </c>
      <c r="AB1047" t="s">
        <v>78</v>
      </c>
      <c r="AC1047" t="s">
        <v>79</v>
      </c>
      <c r="AD1047" t="s">
        <v>75</v>
      </c>
      <c r="AE1047" t="s">
        <v>80</v>
      </c>
      <c r="AG1047" t="s">
        <v>81</v>
      </c>
    </row>
    <row r="1048" spans="1:33" x14ac:dyDescent="0.25">
      <c r="A1048" t="str">
        <f>"1780813816"</f>
        <v>1780813816</v>
      </c>
      <c r="B1048" t="str">
        <f>"03366676"</f>
        <v>03366676</v>
      </c>
      <c r="C1048" t="s">
        <v>10157</v>
      </c>
      <c r="D1048" t="s">
        <v>10158</v>
      </c>
      <c r="E1048" t="s">
        <v>10159</v>
      </c>
      <c r="L1048" t="s">
        <v>105</v>
      </c>
      <c r="M1048" t="s">
        <v>75</v>
      </c>
      <c r="R1048" t="s">
        <v>10160</v>
      </c>
      <c r="W1048" t="s">
        <v>10159</v>
      </c>
      <c r="X1048" t="s">
        <v>8048</v>
      </c>
      <c r="Y1048" t="s">
        <v>97</v>
      </c>
      <c r="Z1048" t="s">
        <v>77</v>
      </c>
      <c r="AA1048" t="str">
        <f>"10020-1201"</f>
        <v>10020-1201</v>
      </c>
      <c r="AB1048" t="s">
        <v>78</v>
      </c>
      <c r="AC1048" t="s">
        <v>79</v>
      </c>
      <c r="AD1048" t="s">
        <v>75</v>
      </c>
      <c r="AE1048" t="s">
        <v>80</v>
      </c>
      <c r="AG1048" t="s">
        <v>81</v>
      </c>
    </row>
    <row r="1049" spans="1:33" x14ac:dyDescent="0.25">
      <c r="A1049" t="str">
        <f>"1548541881"</f>
        <v>1548541881</v>
      </c>
      <c r="B1049" t="str">
        <f>"03649034"</f>
        <v>03649034</v>
      </c>
      <c r="C1049" t="s">
        <v>10161</v>
      </c>
      <c r="D1049" t="s">
        <v>10162</v>
      </c>
      <c r="E1049" t="s">
        <v>10163</v>
      </c>
      <c r="L1049" t="s">
        <v>74</v>
      </c>
      <c r="M1049" t="s">
        <v>75</v>
      </c>
      <c r="R1049" t="s">
        <v>10163</v>
      </c>
      <c r="W1049" t="s">
        <v>10163</v>
      </c>
      <c r="X1049" t="s">
        <v>10164</v>
      </c>
      <c r="Y1049" t="s">
        <v>87</v>
      </c>
      <c r="Z1049" t="s">
        <v>77</v>
      </c>
      <c r="AA1049" t="str">
        <f>"11223-2329"</f>
        <v>11223-2329</v>
      </c>
      <c r="AB1049" t="s">
        <v>78</v>
      </c>
      <c r="AC1049" t="s">
        <v>79</v>
      </c>
      <c r="AD1049" t="s">
        <v>75</v>
      </c>
      <c r="AE1049" t="s">
        <v>80</v>
      </c>
      <c r="AG1049" t="s">
        <v>81</v>
      </c>
    </row>
    <row r="1050" spans="1:33" x14ac:dyDescent="0.25">
      <c r="A1050" t="str">
        <f>"1003867235"</f>
        <v>1003867235</v>
      </c>
      <c r="B1050" t="str">
        <f>"00961459"</f>
        <v>00961459</v>
      </c>
      <c r="C1050" t="s">
        <v>10165</v>
      </c>
      <c r="D1050" t="s">
        <v>10166</v>
      </c>
      <c r="E1050" t="s">
        <v>10167</v>
      </c>
      <c r="L1050" t="s">
        <v>102</v>
      </c>
      <c r="M1050" t="s">
        <v>75</v>
      </c>
      <c r="R1050" t="s">
        <v>10168</v>
      </c>
      <c r="W1050" t="s">
        <v>10167</v>
      </c>
      <c r="X1050" t="s">
        <v>8983</v>
      </c>
      <c r="Y1050" t="s">
        <v>1077</v>
      </c>
      <c r="Z1050" t="s">
        <v>77</v>
      </c>
      <c r="AA1050" t="str">
        <f>"10532-2050"</f>
        <v>10532-2050</v>
      </c>
      <c r="AB1050" t="s">
        <v>78</v>
      </c>
      <c r="AC1050" t="s">
        <v>79</v>
      </c>
      <c r="AD1050" t="s">
        <v>75</v>
      </c>
      <c r="AE1050" t="s">
        <v>80</v>
      </c>
      <c r="AG1050" t="s">
        <v>81</v>
      </c>
    </row>
    <row r="1051" spans="1:33" x14ac:dyDescent="0.25">
      <c r="A1051" t="str">
        <f>"1023033131"</f>
        <v>1023033131</v>
      </c>
      <c r="B1051" t="str">
        <f>"02875652"</f>
        <v>02875652</v>
      </c>
      <c r="C1051" t="s">
        <v>10169</v>
      </c>
      <c r="D1051" t="s">
        <v>10170</v>
      </c>
      <c r="E1051" t="s">
        <v>10171</v>
      </c>
      <c r="L1051" t="s">
        <v>105</v>
      </c>
      <c r="M1051" t="s">
        <v>75</v>
      </c>
      <c r="R1051" t="s">
        <v>10171</v>
      </c>
      <c r="W1051" t="s">
        <v>10171</v>
      </c>
      <c r="X1051" t="s">
        <v>4777</v>
      </c>
      <c r="Y1051" t="s">
        <v>146</v>
      </c>
      <c r="Z1051" t="s">
        <v>77</v>
      </c>
      <c r="AA1051" t="str">
        <f>"10595-1530"</f>
        <v>10595-1530</v>
      </c>
      <c r="AB1051" t="s">
        <v>78</v>
      </c>
      <c r="AC1051" t="s">
        <v>79</v>
      </c>
      <c r="AD1051" t="s">
        <v>75</v>
      </c>
      <c r="AE1051" t="s">
        <v>80</v>
      </c>
      <c r="AG1051" t="s">
        <v>81</v>
      </c>
    </row>
    <row r="1052" spans="1:33" x14ac:dyDescent="0.25">
      <c r="A1052" t="str">
        <f>"1033364930"</f>
        <v>1033364930</v>
      </c>
      <c r="B1052" t="str">
        <f>"03657325"</f>
        <v>03657325</v>
      </c>
      <c r="C1052" t="s">
        <v>10172</v>
      </c>
      <c r="D1052" t="s">
        <v>10173</v>
      </c>
      <c r="E1052" t="s">
        <v>10174</v>
      </c>
      <c r="L1052" t="s">
        <v>74</v>
      </c>
      <c r="M1052" t="s">
        <v>75</v>
      </c>
      <c r="R1052" t="s">
        <v>10175</v>
      </c>
      <c r="W1052" t="s">
        <v>10174</v>
      </c>
      <c r="X1052" t="s">
        <v>7774</v>
      </c>
      <c r="Y1052" t="s">
        <v>1077</v>
      </c>
      <c r="Z1052" t="s">
        <v>77</v>
      </c>
      <c r="AA1052" t="str">
        <f>"10532-1313"</f>
        <v>10532-1313</v>
      </c>
      <c r="AB1052" t="s">
        <v>78</v>
      </c>
      <c r="AC1052" t="s">
        <v>79</v>
      </c>
      <c r="AD1052" t="s">
        <v>75</v>
      </c>
      <c r="AE1052" t="s">
        <v>80</v>
      </c>
      <c r="AG1052" t="s">
        <v>81</v>
      </c>
    </row>
    <row r="1053" spans="1:33" x14ac:dyDescent="0.25">
      <c r="A1053" t="str">
        <f>"1063421329"</f>
        <v>1063421329</v>
      </c>
      <c r="B1053" t="str">
        <f>"02340678"</f>
        <v>02340678</v>
      </c>
      <c r="C1053" t="s">
        <v>10176</v>
      </c>
      <c r="D1053" t="s">
        <v>10177</v>
      </c>
      <c r="E1053" t="s">
        <v>10178</v>
      </c>
      <c r="L1053" t="s">
        <v>105</v>
      </c>
      <c r="M1053" t="s">
        <v>75</v>
      </c>
      <c r="R1053" t="s">
        <v>10179</v>
      </c>
      <c r="W1053" t="s">
        <v>10178</v>
      </c>
      <c r="X1053" t="s">
        <v>4837</v>
      </c>
      <c r="Y1053" t="s">
        <v>131</v>
      </c>
      <c r="Z1053" t="s">
        <v>77</v>
      </c>
      <c r="AA1053" t="str">
        <f>"10463-1205"</f>
        <v>10463-1205</v>
      </c>
      <c r="AB1053" t="s">
        <v>78</v>
      </c>
      <c r="AC1053" t="s">
        <v>79</v>
      </c>
      <c r="AD1053" t="s">
        <v>75</v>
      </c>
      <c r="AE1053" t="s">
        <v>80</v>
      </c>
      <c r="AG1053" t="s">
        <v>81</v>
      </c>
    </row>
    <row r="1054" spans="1:33" x14ac:dyDescent="0.25">
      <c r="A1054" t="str">
        <f>"1093808339"</f>
        <v>1093808339</v>
      </c>
      <c r="B1054" t="str">
        <f>"03718283"</f>
        <v>03718283</v>
      </c>
      <c r="C1054" t="s">
        <v>10180</v>
      </c>
      <c r="D1054" t="s">
        <v>10181</v>
      </c>
      <c r="E1054" t="s">
        <v>10182</v>
      </c>
      <c r="L1054" t="s">
        <v>74</v>
      </c>
      <c r="M1054" t="s">
        <v>75</v>
      </c>
      <c r="R1054" t="s">
        <v>10182</v>
      </c>
      <c r="W1054" t="s">
        <v>10182</v>
      </c>
      <c r="X1054" t="s">
        <v>4423</v>
      </c>
      <c r="Y1054" t="s">
        <v>131</v>
      </c>
      <c r="Z1054" t="s">
        <v>77</v>
      </c>
      <c r="AA1054" t="str">
        <f>"10461-3525"</f>
        <v>10461-3525</v>
      </c>
      <c r="AB1054" t="s">
        <v>78</v>
      </c>
      <c r="AC1054" t="s">
        <v>79</v>
      </c>
      <c r="AD1054" t="s">
        <v>75</v>
      </c>
      <c r="AE1054" t="s">
        <v>80</v>
      </c>
      <c r="AG1054" t="s">
        <v>81</v>
      </c>
    </row>
    <row r="1055" spans="1:33" x14ac:dyDescent="0.25">
      <c r="A1055" t="str">
        <f>"1154499390"</f>
        <v>1154499390</v>
      </c>
      <c r="B1055" t="str">
        <f>"02778352"</f>
        <v>02778352</v>
      </c>
      <c r="C1055" t="s">
        <v>10183</v>
      </c>
      <c r="D1055" t="s">
        <v>10184</v>
      </c>
      <c r="E1055" t="s">
        <v>10185</v>
      </c>
      <c r="L1055" t="s">
        <v>143</v>
      </c>
      <c r="M1055" t="s">
        <v>85</v>
      </c>
      <c r="R1055" t="s">
        <v>10185</v>
      </c>
      <c r="W1055" t="s">
        <v>10186</v>
      </c>
      <c r="X1055" t="s">
        <v>627</v>
      </c>
      <c r="Y1055" t="s">
        <v>131</v>
      </c>
      <c r="Z1055" t="s">
        <v>77</v>
      </c>
      <c r="AA1055" t="str">
        <f>"10452-2001"</f>
        <v>10452-2001</v>
      </c>
      <c r="AB1055" t="s">
        <v>78</v>
      </c>
      <c r="AC1055" t="s">
        <v>79</v>
      </c>
      <c r="AD1055" t="s">
        <v>75</v>
      </c>
      <c r="AE1055" t="s">
        <v>80</v>
      </c>
      <c r="AG1055" t="s">
        <v>81</v>
      </c>
    </row>
    <row r="1056" spans="1:33" x14ac:dyDescent="0.25">
      <c r="A1056" t="str">
        <f>"1407833502"</f>
        <v>1407833502</v>
      </c>
      <c r="B1056" t="str">
        <f>"02645247"</f>
        <v>02645247</v>
      </c>
      <c r="C1056" t="s">
        <v>10187</v>
      </c>
      <c r="D1056" t="s">
        <v>10188</v>
      </c>
      <c r="E1056" t="s">
        <v>10189</v>
      </c>
      <c r="G1056" t="s">
        <v>10187</v>
      </c>
      <c r="H1056" t="s">
        <v>10190</v>
      </c>
      <c r="J1056" t="s">
        <v>10191</v>
      </c>
      <c r="L1056" t="s">
        <v>94</v>
      </c>
      <c r="M1056" t="s">
        <v>75</v>
      </c>
      <c r="R1056" t="s">
        <v>10192</v>
      </c>
      <c r="W1056" t="s">
        <v>10193</v>
      </c>
      <c r="X1056" t="s">
        <v>1822</v>
      </c>
      <c r="Y1056" t="s">
        <v>1823</v>
      </c>
      <c r="Z1056" t="s">
        <v>77</v>
      </c>
      <c r="AA1056" t="str">
        <f>"10941-4028"</f>
        <v>10941-4028</v>
      </c>
      <c r="AB1056" t="s">
        <v>78</v>
      </c>
      <c r="AC1056" t="s">
        <v>79</v>
      </c>
      <c r="AD1056" t="s">
        <v>75</v>
      </c>
      <c r="AE1056" t="s">
        <v>80</v>
      </c>
      <c r="AG1056" t="s">
        <v>81</v>
      </c>
    </row>
    <row r="1057" spans="1:33" x14ac:dyDescent="0.25">
      <c r="A1057" t="str">
        <f>"1821195512"</f>
        <v>1821195512</v>
      </c>
      <c r="B1057" t="str">
        <f>"02662426"</f>
        <v>02662426</v>
      </c>
      <c r="C1057" t="s">
        <v>10194</v>
      </c>
      <c r="D1057" t="s">
        <v>10195</v>
      </c>
      <c r="E1057" t="s">
        <v>10196</v>
      </c>
      <c r="G1057" t="s">
        <v>10194</v>
      </c>
      <c r="H1057" t="s">
        <v>10197</v>
      </c>
      <c r="J1057" t="s">
        <v>10198</v>
      </c>
      <c r="L1057" t="s">
        <v>74</v>
      </c>
      <c r="M1057" t="s">
        <v>75</v>
      </c>
      <c r="R1057" t="s">
        <v>10199</v>
      </c>
      <c r="W1057" t="s">
        <v>10196</v>
      </c>
      <c r="X1057" t="s">
        <v>1181</v>
      </c>
      <c r="Y1057" t="s">
        <v>131</v>
      </c>
      <c r="Z1057" t="s">
        <v>77</v>
      </c>
      <c r="AA1057" t="str">
        <f>"10456-4145"</f>
        <v>10456-4145</v>
      </c>
      <c r="AB1057" t="s">
        <v>78</v>
      </c>
      <c r="AC1057" t="s">
        <v>79</v>
      </c>
      <c r="AD1057" t="s">
        <v>75</v>
      </c>
      <c r="AE1057" t="s">
        <v>80</v>
      </c>
      <c r="AG1057" t="s">
        <v>81</v>
      </c>
    </row>
    <row r="1058" spans="1:33" x14ac:dyDescent="0.25">
      <c r="A1058" t="str">
        <f>"1770763245"</f>
        <v>1770763245</v>
      </c>
      <c r="B1058" t="str">
        <f>"02928045"</f>
        <v>02928045</v>
      </c>
      <c r="C1058" t="s">
        <v>10200</v>
      </c>
      <c r="D1058" t="s">
        <v>10201</v>
      </c>
      <c r="E1058" t="s">
        <v>10202</v>
      </c>
      <c r="G1058" t="s">
        <v>10200</v>
      </c>
      <c r="H1058" t="s">
        <v>10203</v>
      </c>
      <c r="J1058" t="s">
        <v>10204</v>
      </c>
      <c r="L1058" t="s">
        <v>74</v>
      </c>
      <c r="M1058" t="s">
        <v>75</v>
      </c>
      <c r="R1058" t="s">
        <v>10205</v>
      </c>
      <c r="W1058" t="s">
        <v>10206</v>
      </c>
      <c r="X1058" t="s">
        <v>3020</v>
      </c>
      <c r="Y1058" t="s">
        <v>131</v>
      </c>
      <c r="Z1058" t="s">
        <v>77</v>
      </c>
      <c r="AA1058" t="str">
        <f>"10475-1603"</f>
        <v>10475-1603</v>
      </c>
      <c r="AB1058" t="s">
        <v>78</v>
      </c>
      <c r="AC1058" t="s">
        <v>79</v>
      </c>
      <c r="AD1058" t="s">
        <v>75</v>
      </c>
      <c r="AE1058" t="s">
        <v>80</v>
      </c>
      <c r="AG1058" t="s">
        <v>81</v>
      </c>
    </row>
    <row r="1059" spans="1:33" x14ac:dyDescent="0.25">
      <c r="C1059" t="s">
        <v>10207</v>
      </c>
      <c r="G1059" t="s">
        <v>10207</v>
      </c>
      <c r="H1059" t="s">
        <v>10208</v>
      </c>
      <c r="J1059" t="s">
        <v>10209</v>
      </c>
      <c r="K1059" t="s">
        <v>206</v>
      </c>
      <c r="L1059" t="s">
        <v>100</v>
      </c>
      <c r="M1059" t="s">
        <v>75</v>
      </c>
      <c r="N1059" t="s">
        <v>10210</v>
      </c>
      <c r="O1059" t="s">
        <v>6410</v>
      </c>
      <c r="P1059" t="s">
        <v>77</v>
      </c>
      <c r="Q1059" t="str">
        <f>"10025"</f>
        <v>10025</v>
      </c>
      <c r="AC1059" t="s">
        <v>79</v>
      </c>
      <c r="AD1059" t="s">
        <v>75</v>
      </c>
      <c r="AE1059" t="s">
        <v>101</v>
      </c>
      <c r="AG1059" t="s">
        <v>81</v>
      </c>
    </row>
    <row r="1060" spans="1:33" x14ac:dyDescent="0.25">
      <c r="A1060" t="str">
        <f>"1467788240"</f>
        <v>1467788240</v>
      </c>
      <c r="B1060" t="str">
        <f>"01640046"</f>
        <v>01640046</v>
      </c>
      <c r="C1060" t="s">
        <v>10211</v>
      </c>
      <c r="D1060" t="s">
        <v>10212</v>
      </c>
      <c r="E1060" t="s">
        <v>10213</v>
      </c>
      <c r="G1060" t="s">
        <v>10211</v>
      </c>
      <c r="H1060" t="s">
        <v>10214</v>
      </c>
      <c r="J1060" t="s">
        <v>10215</v>
      </c>
      <c r="L1060" t="s">
        <v>74</v>
      </c>
      <c r="M1060" t="s">
        <v>75</v>
      </c>
      <c r="R1060" t="s">
        <v>10216</v>
      </c>
      <c r="W1060" t="s">
        <v>10217</v>
      </c>
      <c r="X1060" t="s">
        <v>200</v>
      </c>
      <c r="Y1060" t="s">
        <v>97</v>
      </c>
      <c r="Z1060" t="s">
        <v>77</v>
      </c>
      <c r="AA1060" t="str">
        <f>"10032-3720"</f>
        <v>10032-3720</v>
      </c>
      <c r="AB1060" t="s">
        <v>82</v>
      </c>
      <c r="AC1060" t="s">
        <v>79</v>
      </c>
      <c r="AD1060" t="s">
        <v>75</v>
      </c>
      <c r="AE1060" t="s">
        <v>80</v>
      </c>
      <c r="AG1060" t="s">
        <v>81</v>
      </c>
    </row>
    <row r="1061" spans="1:33" x14ac:dyDescent="0.25">
      <c r="A1061" t="str">
        <f>"1508917493"</f>
        <v>1508917493</v>
      </c>
      <c r="B1061" t="str">
        <f>"04160770"</f>
        <v>04160770</v>
      </c>
      <c r="C1061" t="s">
        <v>10218</v>
      </c>
      <c r="D1061" t="s">
        <v>10219</v>
      </c>
      <c r="E1061" t="s">
        <v>10220</v>
      </c>
      <c r="G1061" t="s">
        <v>10218</v>
      </c>
      <c r="H1061" t="s">
        <v>10221</v>
      </c>
      <c r="J1061" t="s">
        <v>10222</v>
      </c>
      <c r="L1061" t="s">
        <v>102</v>
      </c>
      <c r="M1061" t="s">
        <v>75</v>
      </c>
      <c r="R1061" t="s">
        <v>10220</v>
      </c>
      <c r="W1061" t="s">
        <v>10220</v>
      </c>
      <c r="X1061" t="s">
        <v>1881</v>
      </c>
      <c r="Y1061" t="s">
        <v>97</v>
      </c>
      <c r="Z1061" t="s">
        <v>77</v>
      </c>
      <c r="AA1061" t="str">
        <f>"10119-0206"</f>
        <v>10119-0206</v>
      </c>
      <c r="AB1061" t="s">
        <v>78</v>
      </c>
      <c r="AC1061" t="s">
        <v>79</v>
      </c>
      <c r="AD1061" t="s">
        <v>75</v>
      </c>
      <c r="AE1061" t="s">
        <v>80</v>
      </c>
      <c r="AG1061" t="s">
        <v>81</v>
      </c>
    </row>
    <row r="1062" spans="1:33" x14ac:dyDescent="0.25">
      <c r="A1062" t="str">
        <f>"1508924937"</f>
        <v>1508924937</v>
      </c>
      <c r="B1062" t="str">
        <f>"02433425"</f>
        <v>02433425</v>
      </c>
      <c r="C1062" t="s">
        <v>10223</v>
      </c>
      <c r="D1062" t="s">
        <v>10224</v>
      </c>
      <c r="E1062" t="s">
        <v>10225</v>
      </c>
      <c r="G1062" t="s">
        <v>10223</v>
      </c>
      <c r="H1062" t="s">
        <v>10226</v>
      </c>
      <c r="J1062" t="s">
        <v>10227</v>
      </c>
      <c r="L1062" t="s">
        <v>74</v>
      </c>
      <c r="M1062" t="s">
        <v>75</v>
      </c>
      <c r="R1062" t="s">
        <v>10228</v>
      </c>
      <c r="W1062" t="s">
        <v>10225</v>
      </c>
      <c r="X1062" t="s">
        <v>10229</v>
      </c>
      <c r="Y1062" t="s">
        <v>97</v>
      </c>
      <c r="Z1062" t="s">
        <v>77</v>
      </c>
      <c r="AA1062" t="str">
        <f>"10119-0002"</f>
        <v>10119-0002</v>
      </c>
      <c r="AB1062" t="s">
        <v>78</v>
      </c>
      <c r="AC1062" t="s">
        <v>79</v>
      </c>
      <c r="AD1062" t="s">
        <v>75</v>
      </c>
      <c r="AE1062" t="s">
        <v>80</v>
      </c>
      <c r="AG1062" t="s">
        <v>81</v>
      </c>
    </row>
    <row r="1063" spans="1:33" x14ac:dyDescent="0.25">
      <c r="A1063" t="str">
        <f>"1740493634"</f>
        <v>1740493634</v>
      </c>
      <c r="B1063" t="str">
        <f>"02919831"</f>
        <v>02919831</v>
      </c>
      <c r="C1063" t="s">
        <v>10230</v>
      </c>
      <c r="D1063" t="s">
        <v>10231</v>
      </c>
      <c r="E1063" t="s">
        <v>10232</v>
      </c>
      <c r="G1063" t="s">
        <v>10230</v>
      </c>
      <c r="H1063" t="s">
        <v>10233</v>
      </c>
      <c r="J1063" t="s">
        <v>10234</v>
      </c>
      <c r="L1063" t="s">
        <v>74</v>
      </c>
      <c r="M1063" t="s">
        <v>75</v>
      </c>
      <c r="R1063" t="s">
        <v>10235</v>
      </c>
      <c r="W1063" t="s">
        <v>10232</v>
      </c>
      <c r="X1063" t="s">
        <v>181</v>
      </c>
      <c r="Y1063" t="s">
        <v>97</v>
      </c>
      <c r="Z1063" t="s">
        <v>77</v>
      </c>
      <c r="AA1063" t="str">
        <f>"10025-1716"</f>
        <v>10025-1716</v>
      </c>
      <c r="AB1063" t="s">
        <v>78</v>
      </c>
      <c r="AC1063" t="s">
        <v>79</v>
      </c>
      <c r="AD1063" t="s">
        <v>75</v>
      </c>
      <c r="AE1063" t="s">
        <v>80</v>
      </c>
      <c r="AG1063" t="s">
        <v>81</v>
      </c>
    </row>
    <row r="1064" spans="1:33" x14ac:dyDescent="0.25">
      <c r="C1064" t="s">
        <v>10236</v>
      </c>
      <c r="G1064" t="s">
        <v>10236</v>
      </c>
      <c r="H1064" t="s">
        <v>10237</v>
      </c>
      <c r="J1064" t="s">
        <v>10238</v>
      </c>
      <c r="K1064" t="s">
        <v>206</v>
      </c>
      <c r="L1064" t="s">
        <v>100</v>
      </c>
      <c r="M1064" t="s">
        <v>75</v>
      </c>
      <c r="N1064" t="s">
        <v>10239</v>
      </c>
      <c r="O1064" t="s">
        <v>6410</v>
      </c>
      <c r="P1064" t="s">
        <v>77</v>
      </c>
      <c r="Q1064" t="str">
        <f>"10040"</f>
        <v>10040</v>
      </c>
      <c r="AC1064" t="s">
        <v>79</v>
      </c>
      <c r="AD1064" t="s">
        <v>75</v>
      </c>
      <c r="AE1064" t="s">
        <v>101</v>
      </c>
      <c r="AG1064" t="s">
        <v>81</v>
      </c>
    </row>
    <row r="1065" spans="1:33" x14ac:dyDescent="0.25">
      <c r="A1065" t="str">
        <f>"1861585911"</f>
        <v>1861585911</v>
      </c>
      <c r="B1065" t="str">
        <f>"02286377"</f>
        <v>02286377</v>
      </c>
      <c r="C1065" t="s">
        <v>10240</v>
      </c>
      <c r="D1065" t="s">
        <v>3863</v>
      </c>
      <c r="E1065" t="s">
        <v>3864</v>
      </c>
      <c r="G1065" t="s">
        <v>10240</v>
      </c>
      <c r="H1065" t="s">
        <v>10241</v>
      </c>
      <c r="J1065" t="s">
        <v>10242</v>
      </c>
      <c r="L1065" t="s">
        <v>105</v>
      </c>
      <c r="M1065" t="s">
        <v>75</v>
      </c>
      <c r="R1065" t="s">
        <v>3865</v>
      </c>
      <c r="W1065" t="s">
        <v>3864</v>
      </c>
      <c r="X1065" t="s">
        <v>3866</v>
      </c>
      <c r="Y1065" t="s">
        <v>97</v>
      </c>
      <c r="Z1065" t="s">
        <v>77</v>
      </c>
      <c r="AA1065" t="str">
        <f>"10040-3403"</f>
        <v>10040-3403</v>
      </c>
      <c r="AB1065" t="s">
        <v>78</v>
      </c>
      <c r="AC1065" t="s">
        <v>79</v>
      </c>
      <c r="AD1065" t="s">
        <v>75</v>
      </c>
      <c r="AE1065" t="s">
        <v>80</v>
      </c>
      <c r="AG1065" t="s">
        <v>81</v>
      </c>
    </row>
    <row r="1066" spans="1:33" x14ac:dyDescent="0.25">
      <c r="A1066" t="str">
        <f>"1881845600"</f>
        <v>1881845600</v>
      </c>
      <c r="B1066" t="str">
        <f>"03325922"</f>
        <v>03325922</v>
      </c>
      <c r="C1066" t="s">
        <v>10243</v>
      </c>
      <c r="D1066" t="s">
        <v>10244</v>
      </c>
      <c r="E1066" t="s">
        <v>10245</v>
      </c>
      <c r="G1066" t="s">
        <v>10243</v>
      </c>
      <c r="H1066" t="s">
        <v>10246</v>
      </c>
      <c r="J1066" t="s">
        <v>10247</v>
      </c>
      <c r="L1066" t="s">
        <v>74</v>
      </c>
      <c r="M1066" t="s">
        <v>75</v>
      </c>
      <c r="R1066" t="s">
        <v>10245</v>
      </c>
      <c r="W1066" t="s">
        <v>10245</v>
      </c>
      <c r="X1066" t="s">
        <v>637</v>
      </c>
      <c r="Y1066" t="s">
        <v>97</v>
      </c>
      <c r="Z1066" t="s">
        <v>77</v>
      </c>
      <c r="AA1066" t="str">
        <f>"10170-1699"</f>
        <v>10170-1699</v>
      </c>
      <c r="AB1066" t="s">
        <v>78</v>
      </c>
      <c r="AC1066" t="s">
        <v>79</v>
      </c>
      <c r="AD1066" t="s">
        <v>75</v>
      </c>
      <c r="AE1066" t="s">
        <v>80</v>
      </c>
      <c r="AG1066" t="s">
        <v>81</v>
      </c>
    </row>
    <row r="1067" spans="1:33" x14ac:dyDescent="0.25">
      <c r="A1067" t="str">
        <f>"1902997364"</f>
        <v>1902997364</v>
      </c>
      <c r="C1067" t="s">
        <v>10248</v>
      </c>
      <c r="G1067" t="s">
        <v>10248</v>
      </c>
      <c r="H1067" t="s">
        <v>7754</v>
      </c>
      <c r="J1067" t="s">
        <v>10249</v>
      </c>
      <c r="K1067" t="s">
        <v>206</v>
      </c>
      <c r="L1067" t="s">
        <v>102</v>
      </c>
      <c r="M1067" t="s">
        <v>75</v>
      </c>
      <c r="R1067" t="s">
        <v>10250</v>
      </c>
      <c r="S1067" t="s">
        <v>10251</v>
      </c>
      <c r="T1067" t="s">
        <v>182</v>
      </c>
      <c r="U1067" t="s">
        <v>77</v>
      </c>
      <c r="V1067" t="str">
        <f>"115014198"</f>
        <v>115014198</v>
      </c>
      <c r="AC1067" t="s">
        <v>79</v>
      </c>
      <c r="AD1067" t="s">
        <v>75</v>
      </c>
      <c r="AE1067" t="s">
        <v>103</v>
      </c>
      <c r="AG1067" t="s">
        <v>81</v>
      </c>
    </row>
    <row r="1068" spans="1:33" x14ac:dyDescent="0.25">
      <c r="A1068" t="str">
        <f>"1376650382"</f>
        <v>1376650382</v>
      </c>
      <c r="B1068" t="str">
        <f>"00757819"</f>
        <v>00757819</v>
      </c>
      <c r="C1068" t="s">
        <v>10252</v>
      </c>
      <c r="D1068" t="s">
        <v>10253</v>
      </c>
      <c r="E1068" t="s">
        <v>10254</v>
      </c>
      <c r="G1068" t="s">
        <v>10255</v>
      </c>
      <c r="H1068" t="s">
        <v>10256</v>
      </c>
      <c r="J1068" t="s">
        <v>10257</v>
      </c>
      <c r="L1068" t="s">
        <v>83</v>
      </c>
      <c r="M1068" t="s">
        <v>75</v>
      </c>
      <c r="R1068" t="s">
        <v>10258</v>
      </c>
      <c r="W1068" t="s">
        <v>10254</v>
      </c>
      <c r="X1068" t="s">
        <v>1748</v>
      </c>
      <c r="Y1068" t="s">
        <v>135</v>
      </c>
      <c r="Z1068" t="s">
        <v>77</v>
      </c>
      <c r="AA1068" t="str">
        <f>"14209-1120"</f>
        <v>14209-1120</v>
      </c>
      <c r="AB1068" t="s">
        <v>78</v>
      </c>
      <c r="AC1068" t="s">
        <v>79</v>
      </c>
      <c r="AD1068" t="s">
        <v>75</v>
      </c>
      <c r="AE1068" t="s">
        <v>80</v>
      </c>
      <c r="AG1068" t="s">
        <v>81</v>
      </c>
    </row>
    <row r="1069" spans="1:33" x14ac:dyDescent="0.25">
      <c r="A1069" t="str">
        <f>"1598033987"</f>
        <v>1598033987</v>
      </c>
      <c r="B1069" t="str">
        <f>"03540338"</f>
        <v>03540338</v>
      </c>
      <c r="C1069" t="s">
        <v>10259</v>
      </c>
      <c r="D1069" t="s">
        <v>10260</v>
      </c>
      <c r="E1069" t="s">
        <v>10261</v>
      </c>
      <c r="G1069" t="s">
        <v>10262</v>
      </c>
      <c r="H1069" t="s">
        <v>10263</v>
      </c>
      <c r="J1069" t="s">
        <v>10264</v>
      </c>
      <c r="L1069" t="s">
        <v>102</v>
      </c>
      <c r="M1069" t="s">
        <v>75</v>
      </c>
      <c r="R1069" t="s">
        <v>10265</v>
      </c>
      <c r="W1069" t="s">
        <v>10261</v>
      </c>
      <c r="X1069" t="s">
        <v>10266</v>
      </c>
      <c r="Y1069" t="s">
        <v>87</v>
      </c>
      <c r="Z1069" t="s">
        <v>77</v>
      </c>
      <c r="AA1069" t="str">
        <f>"11203-1821"</f>
        <v>11203-1821</v>
      </c>
      <c r="AB1069" t="s">
        <v>127</v>
      </c>
      <c r="AC1069" t="s">
        <v>79</v>
      </c>
      <c r="AD1069" t="s">
        <v>75</v>
      </c>
      <c r="AE1069" t="s">
        <v>80</v>
      </c>
      <c r="AG1069" t="s">
        <v>81</v>
      </c>
    </row>
    <row r="1070" spans="1:33" x14ac:dyDescent="0.25">
      <c r="A1070" t="str">
        <f>"1558373217"</f>
        <v>1558373217</v>
      </c>
      <c r="B1070" t="str">
        <f>"00904201"</f>
        <v>00904201</v>
      </c>
      <c r="C1070" t="s">
        <v>10267</v>
      </c>
      <c r="D1070" t="s">
        <v>10268</v>
      </c>
      <c r="E1070" t="s">
        <v>10269</v>
      </c>
      <c r="G1070" t="s">
        <v>6800</v>
      </c>
      <c r="H1070" t="s">
        <v>6801</v>
      </c>
      <c r="I1070">
        <v>6381</v>
      </c>
      <c r="J1070" t="s">
        <v>6802</v>
      </c>
      <c r="L1070" t="s">
        <v>83</v>
      </c>
      <c r="M1070" t="s">
        <v>75</v>
      </c>
      <c r="R1070" t="s">
        <v>10270</v>
      </c>
      <c r="W1070" t="s">
        <v>10269</v>
      </c>
      <c r="X1070" t="s">
        <v>10271</v>
      </c>
      <c r="Y1070" t="s">
        <v>87</v>
      </c>
      <c r="Z1070" t="s">
        <v>77</v>
      </c>
      <c r="AA1070" t="str">
        <f>"11223-0001"</f>
        <v>11223-0001</v>
      </c>
      <c r="AB1070" t="s">
        <v>128</v>
      </c>
      <c r="AC1070" t="s">
        <v>79</v>
      </c>
      <c r="AD1070" t="s">
        <v>75</v>
      </c>
      <c r="AE1070" t="s">
        <v>80</v>
      </c>
      <c r="AG1070" t="s">
        <v>81</v>
      </c>
    </row>
    <row r="1071" spans="1:33" x14ac:dyDescent="0.25">
      <c r="A1071" t="str">
        <f>"1710206529"</f>
        <v>1710206529</v>
      </c>
      <c r="B1071" t="str">
        <f>"03784663"</f>
        <v>03784663</v>
      </c>
      <c r="C1071" t="s">
        <v>10272</v>
      </c>
      <c r="D1071" t="s">
        <v>10273</v>
      </c>
      <c r="E1071" t="s">
        <v>10274</v>
      </c>
      <c r="G1071" t="s">
        <v>6800</v>
      </c>
      <c r="H1071" t="s">
        <v>6801</v>
      </c>
      <c r="I1071">
        <v>6381</v>
      </c>
      <c r="J1071" t="s">
        <v>6802</v>
      </c>
      <c r="L1071" t="s">
        <v>84</v>
      </c>
      <c r="M1071" t="s">
        <v>75</v>
      </c>
      <c r="R1071" t="s">
        <v>10275</v>
      </c>
      <c r="W1071" t="s">
        <v>10274</v>
      </c>
      <c r="X1071" t="s">
        <v>2997</v>
      </c>
      <c r="Y1071" t="s">
        <v>87</v>
      </c>
      <c r="Z1071" t="s">
        <v>77</v>
      </c>
      <c r="AA1071" t="str">
        <f>"11201-4333"</f>
        <v>11201-4333</v>
      </c>
      <c r="AB1071" t="s">
        <v>78</v>
      </c>
      <c r="AC1071" t="s">
        <v>79</v>
      </c>
      <c r="AD1071" t="s">
        <v>75</v>
      </c>
      <c r="AE1071" t="s">
        <v>80</v>
      </c>
      <c r="AG1071" t="s">
        <v>81</v>
      </c>
    </row>
    <row r="1072" spans="1:33" x14ac:dyDescent="0.25">
      <c r="A1072" t="str">
        <f>"1225083546"</f>
        <v>1225083546</v>
      </c>
      <c r="B1072" t="str">
        <f>"02751155"</f>
        <v>02751155</v>
      </c>
      <c r="C1072" t="s">
        <v>10276</v>
      </c>
      <c r="D1072" t="s">
        <v>10277</v>
      </c>
      <c r="E1072" t="s">
        <v>10278</v>
      </c>
      <c r="G1072" t="s">
        <v>8248</v>
      </c>
      <c r="H1072" t="s">
        <v>8249</v>
      </c>
      <c r="I1072">
        <v>2626</v>
      </c>
      <c r="J1072" t="s">
        <v>8250</v>
      </c>
      <c r="L1072" t="s">
        <v>84</v>
      </c>
      <c r="M1072" t="s">
        <v>75</v>
      </c>
      <c r="R1072" t="s">
        <v>10279</v>
      </c>
      <c r="W1072" t="s">
        <v>10280</v>
      </c>
      <c r="X1072" t="s">
        <v>10281</v>
      </c>
      <c r="Y1072" t="s">
        <v>155</v>
      </c>
      <c r="Z1072" t="s">
        <v>77</v>
      </c>
      <c r="AA1072" t="str">
        <f>"10314-6623"</f>
        <v>10314-6623</v>
      </c>
      <c r="AB1072" t="s">
        <v>78</v>
      </c>
      <c r="AC1072" t="s">
        <v>79</v>
      </c>
      <c r="AD1072" t="s">
        <v>75</v>
      </c>
      <c r="AE1072" t="s">
        <v>80</v>
      </c>
      <c r="AG1072" t="s">
        <v>81</v>
      </c>
    </row>
    <row r="1073" spans="1:33" x14ac:dyDescent="0.25">
      <c r="A1073" t="str">
        <f>"1235439456"</f>
        <v>1235439456</v>
      </c>
      <c r="B1073" t="str">
        <f>"03291105"</f>
        <v>03291105</v>
      </c>
      <c r="C1073" t="s">
        <v>10282</v>
      </c>
      <c r="D1073" t="s">
        <v>10283</v>
      </c>
      <c r="E1073" t="s">
        <v>10284</v>
      </c>
      <c r="G1073" t="s">
        <v>8248</v>
      </c>
      <c r="H1073" t="s">
        <v>8249</v>
      </c>
      <c r="I1073">
        <v>2626</v>
      </c>
      <c r="J1073" t="s">
        <v>8250</v>
      </c>
      <c r="L1073" t="s">
        <v>84</v>
      </c>
      <c r="M1073" t="s">
        <v>75</v>
      </c>
      <c r="R1073" t="s">
        <v>10285</v>
      </c>
      <c r="W1073" t="s">
        <v>10284</v>
      </c>
      <c r="X1073" t="s">
        <v>10281</v>
      </c>
      <c r="Y1073" t="s">
        <v>155</v>
      </c>
      <c r="Z1073" t="s">
        <v>77</v>
      </c>
      <c r="AA1073" t="str">
        <f>"10314-6623"</f>
        <v>10314-6623</v>
      </c>
      <c r="AB1073" t="s">
        <v>78</v>
      </c>
      <c r="AC1073" t="s">
        <v>79</v>
      </c>
      <c r="AD1073" t="s">
        <v>75</v>
      </c>
      <c r="AE1073" t="s">
        <v>80</v>
      </c>
      <c r="AG1073" t="s">
        <v>81</v>
      </c>
    </row>
    <row r="1074" spans="1:33" x14ac:dyDescent="0.25">
      <c r="A1074" t="str">
        <f>"1265403653"</f>
        <v>1265403653</v>
      </c>
      <c r="B1074" t="str">
        <f>"02821272"</f>
        <v>02821272</v>
      </c>
      <c r="C1074" t="s">
        <v>10286</v>
      </c>
      <c r="D1074" t="s">
        <v>10287</v>
      </c>
      <c r="E1074" t="s">
        <v>10288</v>
      </c>
      <c r="G1074" t="s">
        <v>8248</v>
      </c>
      <c r="H1074" t="s">
        <v>8249</v>
      </c>
      <c r="I1074">
        <v>2626</v>
      </c>
      <c r="J1074" t="s">
        <v>8250</v>
      </c>
      <c r="L1074" t="s">
        <v>84</v>
      </c>
      <c r="M1074" t="s">
        <v>75</v>
      </c>
      <c r="R1074" t="s">
        <v>10289</v>
      </c>
      <c r="W1074" t="s">
        <v>10290</v>
      </c>
      <c r="X1074" t="s">
        <v>10281</v>
      </c>
      <c r="Y1074" t="s">
        <v>155</v>
      </c>
      <c r="Z1074" t="s">
        <v>77</v>
      </c>
      <c r="AA1074" t="str">
        <f>"10314-6623"</f>
        <v>10314-6623</v>
      </c>
      <c r="AB1074" t="s">
        <v>78</v>
      </c>
      <c r="AC1074" t="s">
        <v>79</v>
      </c>
      <c r="AD1074" t="s">
        <v>75</v>
      </c>
      <c r="AE1074" t="s">
        <v>80</v>
      </c>
      <c r="AG1074" t="s">
        <v>81</v>
      </c>
    </row>
    <row r="1075" spans="1:33" x14ac:dyDescent="0.25">
      <c r="A1075" t="str">
        <f>"1275584138"</f>
        <v>1275584138</v>
      </c>
      <c r="B1075" t="str">
        <f>"01714387"</f>
        <v>01714387</v>
      </c>
      <c r="C1075" t="s">
        <v>10291</v>
      </c>
      <c r="D1075" t="s">
        <v>10292</v>
      </c>
      <c r="E1075" t="s">
        <v>10293</v>
      </c>
      <c r="G1075" t="s">
        <v>8248</v>
      </c>
      <c r="H1075" t="s">
        <v>8249</v>
      </c>
      <c r="I1075">
        <v>2626</v>
      </c>
      <c r="J1075" t="s">
        <v>8250</v>
      </c>
      <c r="L1075" t="s">
        <v>84</v>
      </c>
      <c r="M1075" t="s">
        <v>75</v>
      </c>
      <c r="R1075" t="s">
        <v>10294</v>
      </c>
      <c r="W1075" t="s">
        <v>10293</v>
      </c>
      <c r="X1075" t="s">
        <v>10295</v>
      </c>
      <c r="Y1075" t="s">
        <v>155</v>
      </c>
      <c r="Z1075" t="s">
        <v>77</v>
      </c>
      <c r="AA1075" t="str">
        <f>"10310-2512"</f>
        <v>10310-2512</v>
      </c>
      <c r="AB1075" t="s">
        <v>78</v>
      </c>
      <c r="AC1075" t="s">
        <v>79</v>
      </c>
      <c r="AD1075" t="s">
        <v>75</v>
      </c>
      <c r="AE1075" t="s">
        <v>80</v>
      </c>
      <c r="AG1075" t="s">
        <v>81</v>
      </c>
    </row>
    <row r="1076" spans="1:33" x14ac:dyDescent="0.25">
      <c r="A1076" t="str">
        <f>"1306897327"</f>
        <v>1306897327</v>
      </c>
      <c r="B1076" t="str">
        <f>"02696697"</f>
        <v>02696697</v>
      </c>
      <c r="C1076" t="s">
        <v>10296</v>
      </c>
      <c r="D1076" t="s">
        <v>10297</v>
      </c>
      <c r="E1076" t="s">
        <v>10298</v>
      </c>
      <c r="G1076" t="s">
        <v>8248</v>
      </c>
      <c r="H1076" t="s">
        <v>8249</v>
      </c>
      <c r="I1076">
        <v>2626</v>
      </c>
      <c r="J1076" t="s">
        <v>8250</v>
      </c>
      <c r="L1076" t="s">
        <v>84</v>
      </c>
      <c r="M1076" t="s">
        <v>75</v>
      </c>
      <c r="R1076" t="s">
        <v>10299</v>
      </c>
      <c r="W1076" t="s">
        <v>10300</v>
      </c>
      <c r="X1076" t="s">
        <v>10281</v>
      </c>
      <c r="Y1076" t="s">
        <v>155</v>
      </c>
      <c r="Z1076" t="s">
        <v>77</v>
      </c>
      <c r="AA1076" t="str">
        <f>"10314-6623"</f>
        <v>10314-6623</v>
      </c>
      <c r="AB1076" t="s">
        <v>78</v>
      </c>
      <c r="AC1076" t="s">
        <v>79</v>
      </c>
      <c r="AD1076" t="s">
        <v>75</v>
      </c>
      <c r="AE1076" t="s">
        <v>80</v>
      </c>
      <c r="AG1076" t="s">
        <v>81</v>
      </c>
    </row>
    <row r="1077" spans="1:33" x14ac:dyDescent="0.25">
      <c r="A1077" t="str">
        <f>"1376512715"</f>
        <v>1376512715</v>
      </c>
      <c r="B1077" t="str">
        <f>"01745486"</f>
        <v>01745486</v>
      </c>
      <c r="C1077" t="s">
        <v>10301</v>
      </c>
      <c r="D1077" t="s">
        <v>10302</v>
      </c>
      <c r="E1077" t="s">
        <v>10303</v>
      </c>
      <c r="G1077" t="s">
        <v>8248</v>
      </c>
      <c r="H1077" t="s">
        <v>8249</v>
      </c>
      <c r="I1077">
        <v>2626</v>
      </c>
      <c r="J1077" t="s">
        <v>8250</v>
      </c>
      <c r="L1077" t="s">
        <v>94</v>
      </c>
      <c r="M1077" t="s">
        <v>75</v>
      </c>
      <c r="R1077" t="s">
        <v>10304</v>
      </c>
      <c r="W1077" t="s">
        <v>10303</v>
      </c>
      <c r="X1077" t="s">
        <v>1686</v>
      </c>
      <c r="Y1077" t="s">
        <v>155</v>
      </c>
      <c r="Z1077" t="s">
        <v>77</v>
      </c>
      <c r="AA1077" t="str">
        <f>"10304-4409"</f>
        <v>10304-4409</v>
      </c>
      <c r="AB1077" t="s">
        <v>78</v>
      </c>
      <c r="AC1077" t="s">
        <v>79</v>
      </c>
      <c r="AD1077" t="s">
        <v>75</v>
      </c>
      <c r="AE1077" t="s">
        <v>80</v>
      </c>
      <c r="AG1077" t="s">
        <v>81</v>
      </c>
    </row>
    <row r="1078" spans="1:33" x14ac:dyDescent="0.25">
      <c r="A1078" t="str">
        <f>"1588638142"</f>
        <v>1588638142</v>
      </c>
      <c r="B1078" t="str">
        <f>"01977980"</f>
        <v>01977980</v>
      </c>
      <c r="C1078" t="s">
        <v>10305</v>
      </c>
      <c r="D1078" t="s">
        <v>10306</v>
      </c>
      <c r="E1078" t="s">
        <v>10307</v>
      </c>
      <c r="G1078" t="s">
        <v>8248</v>
      </c>
      <c r="H1078" t="s">
        <v>8249</v>
      </c>
      <c r="I1078">
        <v>2626</v>
      </c>
      <c r="J1078" t="s">
        <v>8250</v>
      </c>
      <c r="L1078" t="s">
        <v>83</v>
      </c>
      <c r="M1078" t="s">
        <v>75</v>
      </c>
      <c r="R1078" t="s">
        <v>10307</v>
      </c>
      <c r="W1078" t="s">
        <v>10307</v>
      </c>
      <c r="X1078" t="s">
        <v>10308</v>
      </c>
      <c r="Y1078" t="s">
        <v>155</v>
      </c>
      <c r="Z1078" t="s">
        <v>77</v>
      </c>
      <c r="AA1078" t="str">
        <f>"10314-5166"</f>
        <v>10314-5166</v>
      </c>
      <c r="AB1078" t="s">
        <v>128</v>
      </c>
      <c r="AC1078" t="s">
        <v>79</v>
      </c>
      <c r="AD1078" t="s">
        <v>75</v>
      </c>
      <c r="AE1078" t="s">
        <v>80</v>
      </c>
      <c r="AG1078" t="s">
        <v>81</v>
      </c>
    </row>
    <row r="1079" spans="1:33" x14ac:dyDescent="0.25">
      <c r="A1079" t="str">
        <f>"1588722417"</f>
        <v>1588722417</v>
      </c>
      <c r="B1079" t="str">
        <f>"02840357"</f>
        <v>02840357</v>
      </c>
      <c r="C1079" t="s">
        <v>10309</v>
      </c>
      <c r="D1079" t="s">
        <v>10310</v>
      </c>
      <c r="E1079" t="s">
        <v>10311</v>
      </c>
      <c r="G1079" t="s">
        <v>8248</v>
      </c>
      <c r="H1079" t="s">
        <v>8249</v>
      </c>
      <c r="I1079">
        <v>2626</v>
      </c>
      <c r="J1079" t="s">
        <v>8250</v>
      </c>
      <c r="L1079" t="s">
        <v>84</v>
      </c>
      <c r="M1079" t="s">
        <v>75</v>
      </c>
      <c r="R1079" t="s">
        <v>10312</v>
      </c>
      <c r="W1079" t="s">
        <v>10311</v>
      </c>
      <c r="X1079" t="s">
        <v>10281</v>
      </c>
      <c r="Y1079" t="s">
        <v>155</v>
      </c>
      <c r="Z1079" t="s">
        <v>77</v>
      </c>
      <c r="AA1079" t="str">
        <f>"10314-6623"</f>
        <v>10314-6623</v>
      </c>
      <c r="AB1079" t="s">
        <v>78</v>
      </c>
      <c r="AC1079" t="s">
        <v>79</v>
      </c>
      <c r="AD1079" t="s">
        <v>75</v>
      </c>
      <c r="AE1079" t="s">
        <v>80</v>
      </c>
      <c r="AG1079" t="s">
        <v>81</v>
      </c>
    </row>
    <row r="1080" spans="1:33" x14ac:dyDescent="0.25">
      <c r="A1080" t="str">
        <f>"1699846337"</f>
        <v>1699846337</v>
      </c>
      <c r="B1080" t="str">
        <f>"00631407"</f>
        <v>00631407</v>
      </c>
      <c r="C1080" t="s">
        <v>10313</v>
      </c>
      <c r="D1080" t="s">
        <v>10314</v>
      </c>
      <c r="E1080" t="s">
        <v>10315</v>
      </c>
      <c r="G1080" t="s">
        <v>8248</v>
      </c>
      <c r="H1080" t="s">
        <v>8249</v>
      </c>
      <c r="I1080">
        <v>2626</v>
      </c>
      <c r="J1080" t="s">
        <v>8250</v>
      </c>
      <c r="L1080" t="s">
        <v>94</v>
      </c>
      <c r="M1080" t="s">
        <v>75</v>
      </c>
      <c r="R1080" t="s">
        <v>10316</v>
      </c>
      <c r="W1080" t="s">
        <v>10315</v>
      </c>
      <c r="X1080" t="s">
        <v>10317</v>
      </c>
      <c r="Y1080" t="s">
        <v>87</v>
      </c>
      <c r="Z1080" t="s">
        <v>77</v>
      </c>
      <c r="AA1080" t="str">
        <f>"11201-2712"</f>
        <v>11201-2712</v>
      </c>
      <c r="AB1080" t="s">
        <v>78</v>
      </c>
      <c r="AC1080" t="s">
        <v>79</v>
      </c>
      <c r="AD1080" t="s">
        <v>75</v>
      </c>
      <c r="AE1080" t="s">
        <v>80</v>
      </c>
      <c r="AG1080" t="s">
        <v>81</v>
      </c>
    </row>
    <row r="1081" spans="1:33" x14ac:dyDescent="0.25">
      <c r="A1081" t="str">
        <f>"1790767572"</f>
        <v>1790767572</v>
      </c>
      <c r="B1081" t="str">
        <f>"03479536"</f>
        <v>03479536</v>
      </c>
      <c r="C1081" t="s">
        <v>10318</v>
      </c>
      <c r="D1081" t="s">
        <v>10319</v>
      </c>
      <c r="E1081" t="s">
        <v>10320</v>
      </c>
      <c r="G1081" t="s">
        <v>9837</v>
      </c>
      <c r="H1081" t="s">
        <v>9838</v>
      </c>
      <c r="J1081" t="s">
        <v>9839</v>
      </c>
      <c r="L1081" t="s">
        <v>84</v>
      </c>
      <c r="M1081" t="s">
        <v>85</v>
      </c>
      <c r="R1081" t="s">
        <v>10321</v>
      </c>
      <c r="W1081" t="s">
        <v>10322</v>
      </c>
      <c r="X1081" t="s">
        <v>9842</v>
      </c>
      <c r="Y1081" t="s">
        <v>97</v>
      </c>
      <c r="Z1081" t="s">
        <v>77</v>
      </c>
      <c r="AA1081" t="str">
        <f>"10029-4007"</f>
        <v>10029-4007</v>
      </c>
      <c r="AB1081" t="s">
        <v>78</v>
      </c>
      <c r="AC1081" t="s">
        <v>79</v>
      </c>
      <c r="AD1081" t="s">
        <v>75</v>
      </c>
      <c r="AE1081" t="s">
        <v>80</v>
      </c>
      <c r="AG1081" t="s">
        <v>81</v>
      </c>
    </row>
    <row r="1082" spans="1:33" x14ac:dyDescent="0.25">
      <c r="A1082" t="str">
        <f>"1225021009"</f>
        <v>1225021009</v>
      </c>
      <c r="B1082" t="str">
        <f>"02404382"</f>
        <v>02404382</v>
      </c>
      <c r="C1082" t="s">
        <v>10323</v>
      </c>
      <c r="D1082" t="s">
        <v>10324</v>
      </c>
      <c r="E1082" t="s">
        <v>10325</v>
      </c>
      <c r="G1082" t="s">
        <v>9837</v>
      </c>
      <c r="H1082" t="s">
        <v>9838</v>
      </c>
      <c r="J1082" t="s">
        <v>9839</v>
      </c>
      <c r="L1082" t="s">
        <v>84</v>
      </c>
      <c r="M1082" t="s">
        <v>85</v>
      </c>
      <c r="R1082" t="s">
        <v>10326</v>
      </c>
      <c r="W1082" t="s">
        <v>10327</v>
      </c>
      <c r="X1082" t="s">
        <v>9842</v>
      </c>
      <c r="Y1082" t="s">
        <v>97</v>
      </c>
      <c r="Z1082" t="s">
        <v>77</v>
      </c>
      <c r="AA1082" t="str">
        <f>"10029-4007"</f>
        <v>10029-4007</v>
      </c>
      <c r="AB1082" t="s">
        <v>78</v>
      </c>
      <c r="AC1082" t="s">
        <v>79</v>
      </c>
      <c r="AD1082" t="s">
        <v>75</v>
      </c>
      <c r="AE1082" t="s">
        <v>80</v>
      </c>
      <c r="AG1082" t="s">
        <v>81</v>
      </c>
    </row>
    <row r="1083" spans="1:33" x14ac:dyDescent="0.25">
      <c r="A1083" t="str">
        <f>"1235112558"</f>
        <v>1235112558</v>
      </c>
      <c r="B1083" t="str">
        <f>"02192170"</f>
        <v>02192170</v>
      </c>
      <c r="C1083" t="s">
        <v>10328</v>
      </c>
      <c r="D1083" t="s">
        <v>10329</v>
      </c>
      <c r="E1083" t="s">
        <v>10330</v>
      </c>
      <c r="G1083" t="s">
        <v>9837</v>
      </c>
      <c r="H1083" t="s">
        <v>9838</v>
      </c>
      <c r="J1083" t="s">
        <v>9839</v>
      </c>
      <c r="L1083" t="s">
        <v>84</v>
      </c>
      <c r="M1083" t="s">
        <v>85</v>
      </c>
      <c r="R1083" t="s">
        <v>10331</v>
      </c>
      <c r="W1083" t="s">
        <v>10330</v>
      </c>
      <c r="X1083" t="s">
        <v>10332</v>
      </c>
      <c r="Y1083" t="s">
        <v>97</v>
      </c>
      <c r="Z1083" t="s">
        <v>77</v>
      </c>
      <c r="AA1083" t="str">
        <f>"10002-2301"</f>
        <v>10002-2301</v>
      </c>
      <c r="AB1083" t="s">
        <v>78</v>
      </c>
      <c r="AC1083" t="s">
        <v>79</v>
      </c>
      <c r="AD1083" t="s">
        <v>75</v>
      </c>
      <c r="AE1083" t="s">
        <v>80</v>
      </c>
      <c r="AG1083" t="s">
        <v>81</v>
      </c>
    </row>
    <row r="1084" spans="1:33" x14ac:dyDescent="0.25">
      <c r="A1084" t="str">
        <f>"1295739944"</f>
        <v>1295739944</v>
      </c>
      <c r="B1084" t="str">
        <f>"01970456"</f>
        <v>01970456</v>
      </c>
      <c r="C1084" t="s">
        <v>10333</v>
      </c>
      <c r="D1084" t="s">
        <v>10334</v>
      </c>
      <c r="E1084" t="s">
        <v>10335</v>
      </c>
      <c r="G1084" t="s">
        <v>9837</v>
      </c>
      <c r="H1084" t="s">
        <v>9838</v>
      </c>
      <c r="J1084" t="s">
        <v>9839</v>
      </c>
      <c r="L1084" t="s">
        <v>84</v>
      </c>
      <c r="M1084" t="s">
        <v>85</v>
      </c>
      <c r="R1084" t="s">
        <v>10336</v>
      </c>
      <c r="W1084" t="s">
        <v>10337</v>
      </c>
      <c r="X1084" t="s">
        <v>9842</v>
      </c>
      <c r="Y1084" t="s">
        <v>97</v>
      </c>
      <c r="Z1084" t="s">
        <v>77</v>
      </c>
      <c r="AA1084" t="str">
        <f>"10029-4007"</f>
        <v>10029-4007</v>
      </c>
      <c r="AB1084" t="s">
        <v>78</v>
      </c>
      <c r="AC1084" t="s">
        <v>79</v>
      </c>
      <c r="AD1084" t="s">
        <v>75</v>
      </c>
      <c r="AE1084" t="s">
        <v>80</v>
      </c>
      <c r="AG1084" t="s">
        <v>81</v>
      </c>
    </row>
    <row r="1085" spans="1:33" x14ac:dyDescent="0.25">
      <c r="A1085" t="str">
        <f>"1619979259"</f>
        <v>1619979259</v>
      </c>
      <c r="B1085" t="str">
        <f>"01782489"</f>
        <v>01782489</v>
      </c>
      <c r="C1085" t="s">
        <v>10338</v>
      </c>
      <c r="D1085" t="s">
        <v>10339</v>
      </c>
      <c r="E1085" t="s">
        <v>10340</v>
      </c>
      <c r="G1085" t="s">
        <v>9837</v>
      </c>
      <c r="H1085" t="s">
        <v>9838</v>
      </c>
      <c r="J1085" t="s">
        <v>9839</v>
      </c>
      <c r="L1085" t="s">
        <v>84</v>
      </c>
      <c r="M1085" t="s">
        <v>85</v>
      </c>
      <c r="R1085" t="s">
        <v>10341</v>
      </c>
      <c r="W1085" t="s">
        <v>10340</v>
      </c>
      <c r="X1085" t="s">
        <v>9842</v>
      </c>
      <c r="Y1085" t="s">
        <v>97</v>
      </c>
      <c r="Z1085" t="s">
        <v>77</v>
      </c>
      <c r="AA1085" t="str">
        <f>"10029-4007"</f>
        <v>10029-4007</v>
      </c>
      <c r="AB1085" t="s">
        <v>78</v>
      </c>
      <c r="AC1085" t="s">
        <v>79</v>
      </c>
      <c r="AD1085" t="s">
        <v>75</v>
      </c>
      <c r="AE1085" t="s">
        <v>80</v>
      </c>
      <c r="AG1085" t="s">
        <v>81</v>
      </c>
    </row>
    <row r="1086" spans="1:33" x14ac:dyDescent="0.25">
      <c r="A1086" t="str">
        <f>"1770588410"</f>
        <v>1770588410</v>
      </c>
      <c r="B1086" t="str">
        <f>"00908723"</f>
        <v>00908723</v>
      </c>
      <c r="C1086" t="s">
        <v>10342</v>
      </c>
      <c r="D1086" t="s">
        <v>10343</v>
      </c>
      <c r="E1086" t="s">
        <v>10344</v>
      </c>
      <c r="G1086" t="s">
        <v>9837</v>
      </c>
      <c r="H1086" t="s">
        <v>9838</v>
      </c>
      <c r="J1086" t="s">
        <v>9839</v>
      </c>
      <c r="L1086" t="s">
        <v>83</v>
      </c>
      <c r="M1086" t="s">
        <v>85</v>
      </c>
      <c r="R1086" t="s">
        <v>10345</v>
      </c>
      <c r="W1086" t="s">
        <v>10344</v>
      </c>
      <c r="X1086" t="s">
        <v>9842</v>
      </c>
      <c r="Y1086" t="s">
        <v>97</v>
      </c>
      <c r="Z1086" t="s">
        <v>77</v>
      </c>
      <c r="AA1086" t="str">
        <f>"10029-4007"</f>
        <v>10029-4007</v>
      </c>
      <c r="AB1086" t="s">
        <v>114</v>
      </c>
      <c r="AC1086" t="s">
        <v>79</v>
      </c>
      <c r="AD1086" t="s">
        <v>75</v>
      </c>
      <c r="AE1086" t="s">
        <v>80</v>
      </c>
      <c r="AG1086" t="s">
        <v>81</v>
      </c>
    </row>
    <row r="1087" spans="1:33" x14ac:dyDescent="0.25">
      <c r="A1087" t="str">
        <f>"1982733614"</f>
        <v>1982733614</v>
      </c>
      <c r="C1087" t="s">
        <v>10346</v>
      </c>
      <c r="K1087" t="s">
        <v>99</v>
      </c>
      <c r="L1087" t="s">
        <v>102</v>
      </c>
      <c r="M1087" t="s">
        <v>75</v>
      </c>
      <c r="R1087" t="s">
        <v>10347</v>
      </c>
      <c r="S1087" t="s">
        <v>10348</v>
      </c>
      <c r="T1087" t="s">
        <v>97</v>
      </c>
      <c r="U1087" t="s">
        <v>77</v>
      </c>
      <c r="V1087" t="str">
        <f>"100166023"</f>
        <v>100166023</v>
      </c>
      <c r="AC1087" t="s">
        <v>79</v>
      </c>
      <c r="AD1087" t="s">
        <v>75</v>
      </c>
      <c r="AE1087" t="s">
        <v>103</v>
      </c>
      <c r="AG1087" t="s">
        <v>81</v>
      </c>
    </row>
    <row r="1088" spans="1:33" x14ac:dyDescent="0.25">
      <c r="A1088" t="str">
        <f>"1982823514"</f>
        <v>1982823514</v>
      </c>
      <c r="B1088" t="str">
        <f>"03797766"</f>
        <v>03797766</v>
      </c>
      <c r="C1088" t="s">
        <v>10349</v>
      </c>
      <c r="D1088" t="s">
        <v>10350</v>
      </c>
      <c r="E1088" t="s">
        <v>10351</v>
      </c>
      <c r="L1088" t="s">
        <v>74</v>
      </c>
      <c r="M1088" t="s">
        <v>75</v>
      </c>
      <c r="R1088" t="s">
        <v>10351</v>
      </c>
      <c r="W1088" t="s">
        <v>10351</v>
      </c>
      <c r="X1088" t="s">
        <v>329</v>
      </c>
      <c r="Y1088" t="s">
        <v>97</v>
      </c>
      <c r="Z1088" t="s">
        <v>77</v>
      </c>
      <c r="AA1088" t="str">
        <f>"10029-6504"</f>
        <v>10029-6504</v>
      </c>
      <c r="AB1088" t="s">
        <v>78</v>
      </c>
      <c r="AC1088" t="s">
        <v>79</v>
      </c>
      <c r="AD1088" t="s">
        <v>75</v>
      </c>
      <c r="AE1088" t="s">
        <v>80</v>
      </c>
      <c r="AG1088" t="s">
        <v>81</v>
      </c>
    </row>
    <row r="1089" spans="1:33" x14ac:dyDescent="0.25">
      <c r="A1089" t="str">
        <f>"1982833646"</f>
        <v>1982833646</v>
      </c>
      <c r="B1089" t="str">
        <f>"03497918"</f>
        <v>03497918</v>
      </c>
      <c r="C1089" t="s">
        <v>10352</v>
      </c>
      <c r="D1089" t="s">
        <v>4469</v>
      </c>
      <c r="E1089" t="s">
        <v>4470</v>
      </c>
      <c r="L1089" t="s">
        <v>84</v>
      </c>
      <c r="M1089" t="s">
        <v>75</v>
      </c>
      <c r="R1089" t="s">
        <v>4471</v>
      </c>
      <c r="W1089" t="s">
        <v>4472</v>
      </c>
      <c r="X1089" t="s">
        <v>4473</v>
      </c>
      <c r="Y1089" t="s">
        <v>217</v>
      </c>
      <c r="Z1089" t="s">
        <v>77</v>
      </c>
      <c r="AA1089" t="str">
        <f>"11557-1405"</f>
        <v>11557-1405</v>
      </c>
      <c r="AB1089" t="s">
        <v>78</v>
      </c>
      <c r="AC1089" t="s">
        <v>79</v>
      </c>
      <c r="AD1089" t="s">
        <v>75</v>
      </c>
      <c r="AE1089" t="s">
        <v>80</v>
      </c>
      <c r="AG1089" t="s">
        <v>81</v>
      </c>
    </row>
    <row r="1090" spans="1:33" x14ac:dyDescent="0.25">
      <c r="A1090" t="str">
        <f>"1982857470"</f>
        <v>1982857470</v>
      </c>
      <c r="C1090" t="s">
        <v>10353</v>
      </c>
      <c r="K1090" t="s">
        <v>99</v>
      </c>
      <c r="L1090" t="s">
        <v>74</v>
      </c>
      <c r="M1090" t="s">
        <v>75</v>
      </c>
      <c r="R1090" t="s">
        <v>10354</v>
      </c>
      <c r="S1090" t="s">
        <v>10355</v>
      </c>
      <c r="T1090" t="s">
        <v>97</v>
      </c>
      <c r="U1090" t="s">
        <v>77</v>
      </c>
      <c r="V1090" t="str">
        <f>"10029"</f>
        <v>10029</v>
      </c>
      <c r="AC1090" t="s">
        <v>79</v>
      </c>
      <c r="AD1090" t="s">
        <v>75</v>
      </c>
      <c r="AE1090" t="s">
        <v>103</v>
      </c>
      <c r="AG1090" t="s">
        <v>81</v>
      </c>
    </row>
    <row r="1091" spans="1:33" x14ac:dyDescent="0.25">
      <c r="A1091" t="str">
        <f>"1982892725"</f>
        <v>1982892725</v>
      </c>
      <c r="B1091" t="str">
        <f>"04539231"</f>
        <v>04539231</v>
      </c>
      <c r="C1091" t="s">
        <v>10356</v>
      </c>
      <c r="D1091" t="s">
        <v>10357</v>
      </c>
      <c r="E1091" t="s">
        <v>10358</v>
      </c>
      <c r="L1091" t="s">
        <v>102</v>
      </c>
      <c r="M1091" t="s">
        <v>75</v>
      </c>
      <c r="R1091" t="s">
        <v>10358</v>
      </c>
      <c r="W1091" t="s">
        <v>10358</v>
      </c>
      <c r="AB1091" t="s">
        <v>78</v>
      </c>
      <c r="AC1091" t="s">
        <v>79</v>
      </c>
      <c r="AD1091" t="s">
        <v>75</v>
      </c>
      <c r="AE1091" t="s">
        <v>80</v>
      </c>
      <c r="AG1091" t="s">
        <v>81</v>
      </c>
    </row>
    <row r="1092" spans="1:33" x14ac:dyDescent="0.25">
      <c r="A1092" t="str">
        <f>"1982955845"</f>
        <v>1982955845</v>
      </c>
      <c r="B1092" t="str">
        <f>"03730389"</f>
        <v>03730389</v>
      </c>
      <c r="C1092" t="s">
        <v>10359</v>
      </c>
      <c r="D1092" t="s">
        <v>10360</v>
      </c>
      <c r="E1092" t="s">
        <v>10361</v>
      </c>
      <c r="L1092" t="s">
        <v>74</v>
      </c>
      <c r="M1092" t="s">
        <v>75</v>
      </c>
      <c r="R1092" t="s">
        <v>10362</v>
      </c>
      <c r="W1092" t="s">
        <v>10361</v>
      </c>
      <c r="X1092" t="s">
        <v>10363</v>
      </c>
      <c r="Y1092" t="s">
        <v>97</v>
      </c>
      <c r="Z1092" t="s">
        <v>77</v>
      </c>
      <c r="AA1092" t="str">
        <f>"10029-6508"</f>
        <v>10029-6508</v>
      </c>
      <c r="AB1092" t="s">
        <v>78</v>
      </c>
      <c r="AC1092" t="s">
        <v>79</v>
      </c>
      <c r="AD1092" t="s">
        <v>75</v>
      </c>
      <c r="AE1092" t="s">
        <v>80</v>
      </c>
      <c r="AG1092" t="s">
        <v>81</v>
      </c>
    </row>
    <row r="1093" spans="1:33" x14ac:dyDescent="0.25">
      <c r="A1093" t="str">
        <f>"1043235435"</f>
        <v>1043235435</v>
      </c>
      <c r="B1093" t="str">
        <f>"00279369"</f>
        <v>00279369</v>
      </c>
      <c r="C1093" t="s">
        <v>10364</v>
      </c>
      <c r="D1093" t="s">
        <v>10365</v>
      </c>
      <c r="E1093" t="s">
        <v>10366</v>
      </c>
      <c r="G1093" t="s">
        <v>9513</v>
      </c>
      <c r="H1093" t="s">
        <v>9514</v>
      </c>
      <c r="J1093" t="s">
        <v>9515</v>
      </c>
      <c r="L1093" t="s">
        <v>105</v>
      </c>
      <c r="M1093" t="s">
        <v>85</v>
      </c>
      <c r="R1093" t="s">
        <v>10367</v>
      </c>
      <c r="W1093" t="s">
        <v>10366</v>
      </c>
      <c r="X1093" t="s">
        <v>10368</v>
      </c>
      <c r="Y1093" t="s">
        <v>97</v>
      </c>
      <c r="Z1093" t="s">
        <v>77</v>
      </c>
      <c r="AA1093" t="str">
        <f>"10128-0724"</f>
        <v>10128-0724</v>
      </c>
      <c r="AB1093" t="s">
        <v>78</v>
      </c>
      <c r="AC1093" t="s">
        <v>79</v>
      </c>
      <c r="AD1093" t="s">
        <v>75</v>
      </c>
      <c r="AE1093" t="s">
        <v>80</v>
      </c>
      <c r="AG1093" t="s">
        <v>81</v>
      </c>
    </row>
    <row r="1094" spans="1:33" x14ac:dyDescent="0.25">
      <c r="A1094" t="str">
        <f>"1942439625"</f>
        <v>1942439625</v>
      </c>
      <c r="B1094" t="str">
        <f>"03479045"</f>
        <v>03479045</v>
      </c>
      <c r="C1094" t="s">
        <v>10369</v>
      </c>
      <c r="D1094" t="s">
        <v>10370</v>
      </c>
      <c r="E1094" t="s">
        <v>10371</v>
      </c>
      <c r="G1094" t="s">
        <v>6380</v>
      </c>
      <c r="H1094" t="s">
        <v>4625</v>
      </c>
      <c r="J1094" t="s">
        <v>6381</v>
      </c>
      <c r="L1094" t="s">
        <v>84</v>
      </c>
      <c r="M1094" t="s">
        <v>85</v>
      </c>
      <c r="R1094" t="s">
        <v>10371</v>
      </c>
      <c r="W1094" t="s">
        <v>10371</v>
      </c>
      <c r="X1094" t="s">
        <v>1822</v>
      </c>
      <c r="Y1094" t="s">
        <v>1823</v>
      </c>
      <c r="Z1094" t="s">
        <v>77</v>
      </c>
      <c r="AA1094" t="str">
        <f>"10941-4028"</f>
        <v>10941-4028</v>
      </c>
      <c r="AB1094" t="s">
        <v>78</v>
      </c>
      <c r="AC1094" t="s">
        <v>79</v>
      </c>
      <c r="AD1094" t="s">
        <v>75</v>
      </c>
      <c r="AE1094" t="s">
        <v>80</v>
      </c>
      <c r="AG1094" t="s">
        <v>81</v>
      </c>
    </row>
    <row r="1095" spans="1:33" x14ac:dyDescent="0.25">
      <c r="A1095" t="str">
        <f>"1346499944"</f>
        <v>1346499944</v>
      </c>
      <c r="B1095" t="str">
        <f>"03486739"</f>
        <v>03486739</v>
      </c>
      <c r="C1095" t="s">
        <v>10372</v>
      </c>
      <c r="D1095" t="s">
        <v>10373</v>
      </c>
      <c r="E1095" t="s">
        <v>10374</v>
      </c>
      <c r="G1095" t="s">
        <v>6380</v>
      </c>
      <c r="H1095" t="s">
        <v>4625</v>
      </c>
      <c r="J1095" t="s">
        <v>6381</v>
      </c>
      <c r="L1095" t="s">
        <v>94</v>
      </c>
      <c r="M1095" t="s">
        <v>85</v>
      </c>
      <c r="R1095" t="s">
        <v>10374</v>
      </c>
      <c r="W1095" t="s">
        <v>10374</v>
      </c>
      <c r="X1095" t="s">
        <v>1822</v>
      </c>
      <c r="Y1095" t="s">
        <v>1823</v>
      </c>
      <c r="Z1095" t="s">
        <v>77</v>
      </c>
      <c r="AA1095" t="str">
        <f>"10941-4028"</f>
        <v>10941-4028</v>
      </c>
      <c r="AB1095" t="s">
        <v>78</v>
      </c>
      <c r="AC1095" t="s">
        <v>79</v>
      </c>
      <c r="AD1095" t="s">
        <v>75</v>
      </c>
      <c r="AE1095" t="s">
        <v>80</v>
      </c>
      <c r="AG1095" t="s">
        <v>81</v>
      </c>
    </row>
    <row r="1096" spans="1:33" x14ac:dyDescent="0.25">
      <c r="A1096" t="str">
        <f>"1013323302"</f>
        <v>1013323302</v>
      </c>
      <c r="B1096" t="str">
        <f>"03910721"</f>
        <v>03910721</v>
      </c>
      <c r="C1096" t="s">
        <v>10375</v>
      </c>
      <c r="D1096" t="s">
        <v>10376</v>
      </c>
      <c r="E1096" t="s">
        <v>10377</v>
      </c>
      <c r="G1096" t="s">
        <v>6930</v>
      </c>
      <c r="H1096" t="s">
        <v>6931</v>
      </c>
      <c r="J1096" t="s">
        <v>6932</v>
      </c>
      <c r="L1096" t="s">
        <v>74</v>
      </c>
      <c r="M1096" t="s">
        <v>75</v>
      </c>
      <c r="R1096" t="s">
        <v>10377</v>
      </c>
      <c r="W1096" t="s">
        <v>10377</v>
      </c>
      <c r="X1096" t="s">
        <v>1531</v>
      </c>
      <c r="Y1096" t="s">
        <v>97</v>
      </c>
      <c r="Z1096" t="s">
        <v>77</v>
      </c>
      <c r="AA1096" t="str">
        <f>"10036-8005"</f>
        <v>10036-8005</v>
      </c>
      <c r="AB1096" t="s">
        <v>108</v>
      </c>
      <c r="AC1096" t="s">
        <v>79</v>
      </c>
      <c r="AD1096" t="s">
        <v>75</v>
      </c>
      <c r="AE1096" t="s">
        <v>80</v>
      </c>
      <c r="AG1096" t="s">
        <v>81</v>
      </c>
    </row>
    <row r="1097" spans="1:33" x14ac:dyDescent="0.25">
      <c r="A1097" t="str">
        <f>"1972918035"</f>
        <v>1972918035</v>
      </c>
      <c r="B1097" t="str">
        <f>"03910730"</f>
        <v>03910730</v>
      </c>
      <c r="C1097" t="s">
        <v>10378</v>
      </c>
      <c r="D1097" t="s">
        <v>10379</v>
      </c>
      <c r="E1097" t="s">
        <v>10380</v>
      </c>
      <c r="G1097" t="s">
        <v>6930</v>
      </c>
      <c r="H1097" t="s">
        <v>6931</v>
      </c>
      <c r="J1097" t="s">
        <v>6932</v>
      </c>
      <c r="L1097" t="s">
        <v>74</v>
      </c>
      <c r="M1097" t="s">
        <v>75</v>
      </c>
      <c r="R1097" t="s">
        <v>10381</v>
      </c>
      <c r="W1097" t="s">
        <v>10380</v>
      </c>
      <c r="X1097" t="s">
        <v>1531</v>
      </c>
      <c r="Y1097" t="s">
        <v>97</v>
      </c>
      <c r="Z1097" t="s">
        <v>77</v>
      </c>
      <c r="AA1097" t="str">
        <f>"10036-8005"</f>
        <v>10036-8005</v>
      </c>
      <c r="AB1097" t="s">
        <v>108</v>
      </c>
      <c r="AC1097" t="s">
        <v>79</v>
      </c>
      <c r="AD1097" t="s">
        <v>75</v>
      </c>
      <c r="AE1097" t="s">
        <v>80</v>
      </c>
      <c r="AG1097" t="s">
        <v>81</v>
      </c>
    </row>
    <row r="1098" spans="1:33" x14ac:dyDescent="0.25">
      <c r="A1098" t="str">
        <f>"1184038390"</f>
        <v>1184038390</v>
      </c>
      <c r="B1098" t="str">
        <f>"03910749"</f>
        <v>03910749</v>
      </c>
      <c r="C1098" t="s">
        <v>10382</v>
      </c>
      <c r="D1098" t="s">
        <v>10383</v>
      </c>
      <c r="E1098" t="s">
        <v>10384</v>
      </c>
      <c r="G1098" t="s">
        <v>6930</v>
      </c>
      <c r="H1098" t="s">
        <v>6931</v>
      </c>
      <c r="J1098" t="s">
        <v>6932</v>
      </c>
      <c r="L1098" t="s">
        <v>74</v>
      </c>
      <c r="M1098" t="s">
        <v>75</v>
      </c>
      <c r="R1098" t="s">
        <v>10385</v>
      </c>
      <c r="W1098" t="s">
        <v>10384</v>
      </c>
      <c r="X1098" t="s">
        <v>1531</v>
      </c>
      <c r="Y1098" t="s">
        <v>97</v>
      </c>
      <c r="Z1098" t="s">
        <v>77</v>
      </c>
      <c r="AA1098" t="str">
        <f>"10036-8005"</f>
        <v>10036-8005</v>
      </c>
      <c r="AB1098" t="s">
        <v>108</v>
      </c>
      <c r="AC1098" t="s">
        <v>79</v>
      </c>
      <c r="AD1098" t="s">
        <v>75</v>
      </c>
      <c r="AE1098" t="s">
        <v>80</v>
      </c>
      <c r="AG1098" t="s">
        <v>81</v>
      </c>
    </row>
    <row r="1099" spans="1:33" x14ac:dyDescent="0.25">
      <c r="A1099" t="str">
        <f>"1316354913"</f>
        <v>1316354913</v>
      </c>
      <c r="B1099" t="str">
        <f>"03910758"</f>
        <v>03910758</v>
      </c>
      <c r="C1099" t="s">
        <v>6929</v>
      </c>
      <c r="D1099" t="s">
        <v>10386</v>
      </c>
      <c r="E1099" t="s">
        <v>10387</v>
      </c>
      <c r="G1099" t="s">
        <v>6930</v>
      </c>
      <c r="H1099" t="s">
        <v>6931</v>
      </c>
      <c r="J1099" t="s">
        <v>6932</v>
      </c>
      <c r="L1099" t="s">
        <v>74</v>
      </c>
      <c r="M1099" t="s">
        <v>75</v>
      </c>
      <c r="R1099" t="s">
        <v>10388</v>
      </c>
      <c r="W1099" t="s">
        <v>10387</v>
      </c>
      <c r="X1099" t="s">
        <v>1531</v>
      </c>
      <c r="Y1099" t="s">
        <v>97</v>
      </c>
      <c r="Z1099" t="s">
        <v>77</v>
      </c>
      <c r="AA1099" t="str">
        <f>"10036-8005"</f>
        <v>10036-8005</v>
      </c>
      <c r="AB1099" t="s">
        <v>108</v>
      </c>
      <c r="AC1099" t="s">
        <v>79</v>
      </c>
      <c r="AD1099" t="s">
        <v>75</v>
      </c>
      <c r="AE1099" t="s">
        <v>80</v>
      </c>
      <c r="AG1099" t="s">
        <v>81</v>
      </c>
    </row>
    <row r="1100" spans="1:33" x14ac:dyDescent="0.25">
      <c r="A1100" t="str">
        <f>"1659494953"</f>
        <v>1659494953</v>
      </c>
      <c r="B1100" t="str">
        <f>"02146436"</f>
        <v>02146436</v>
      </c>
      <c r="C1100" t="s">
        <v>10389</v>
      </c>
      <c r="D1100" t="s">
        <v>10390</v>
      </c>
      <c r="E1100" t="s">
        <v>10391</v>
      </c>
      <c r="G1100" t="s">
        <v>6930</v>
      </c>
      <c r="H1100" t="s">
        <v>6931</v>
      </c>
      <c r="J1100" t="s">
        <v>6932</v>
      </c>
      <c r="L1100" t="s">
        <v>74</v>
      </c>
      <c r="M1100" t="s">
        <v>75</v>
      </c>
      <c r="R1100" t="s">
        <v>10392</v>
      </c>
      <c r="W1100" t="s">
        <v>10391</v>
      </c>
      <c r="X1100" t="s">
        <v>625</v>
      </c>
      <c r="Y1100" t="s">
        <v>131</v>
      </c>
      <c r="Z1100" t="s">
        <v>77</v>
      </c>
      <c r="AA1100" t="str">
        <f>"10457-7697"</f>
        <v>10457-7697</v>
      </c>
      <c r="AB1100" t="s">
        <v>125</v>
      </c>
      <c r="AC1100" t="s">
        <v>79</v>
      </c>
      <c r="AD1100" t="s">
        <v>75</v>
      </c>
      <c r="AE1100" t="s">
        <v>80</v>
      </c>
      <c r="AG1100" t="s">
        <v>81</v>
      </c>
    </row>
    <row r="1101" spans="1:33" x14ac:dyDescent="0.25">
      <c r="A1101" t="str">
        <f>"1285773200"</f>
        <v>1285773200</v>
      </c>
      <c r="B1101" t="str">
        <f>"03023461"</f>
        <v>03023461</v>
      </c>
      <c r="C1101" t="s">
        <v>10393</v>
      </c>
      <c r="D1101" t="s">
        <v>10394</v>
      </c>
      <c r="E1101" t="s">
        <v>10395</v>
      </c>
      <c r="G1101" t="s">
        <v>6380</v>
      </c>
      <c r="H1101" t="s">
        <v>4625</v>
      </c>
      <c r="J1101" t="s">
        <v>6381</v>
      </c>
      <c r="L1101" t="s">
        <v>83</v>
      </c>
      <c r="M1101" t="s">
        <v>85</v>
      </c>
      <c r="R1101" t="s">
        <v>10396</v>
      </c>
      <c r="W1101" t="s">
        <v>10397</v>
      </c>
      <c r="X1101" t="s">
        <v>1822</v>
      </c>
      <c r="Y1101" t="s">
        <v>1823</v>
      </c>
      <c r="Z1101" t="s">
        <v>77</v>
      </c>
      <c r="AA1101" t="str">
        <f>"10941-4028"</f>
        <v>10941-4028</v>
      </c>
      <c r="AB1101" t="s">
        <v>78</v>
      </c>
      <c r="AC1101" t="s">
        <v>79</v>
      </c>
      <c r="AD1101" t="s">
        <v>75</v>
      </c>
      <c r="AE1101" t="s">
        <v>80</v>
      </c>
      <c r="AG1101" t="s">
        <v>81</v>
      </c>
    </row>
    <row r="1102" spans="1:33" x14ac:dyDescent="0.25">
      <c r="A1102" t="str">
        <f>"1760600431"</f>
        <v>1760600431</v>
      </c>
      <c r="B1102" t="str">
        <f>"02867792"</f>
        <v>02867792</v>
      </c>
      <c r="C1102" t="s">
        <v>10398</v>
      </c>
      <c r="D1102" t="s">
        <v>10399</v>
      </c>
      <c r="E1102" t="s">
        <v>10400</v>
      </c>
      <c r="G1102" t="s">
        <v>6380</v>
      </c>
      <c r="H1102" t="s">
        <v>4625</v>
      </c>
      <c r="J1102" t="s">
        <v>6381</v>
      </c>
      <c r="L1102" t="s">
        <v>83</v>
      </c>
      <c r="M1102" t="s">
        <v>85</v>
      </c>
      <c r="R1102" t="s">
        <v>10401</v>
      </c>
      <c r="W1102" t="s">
        <v>10400</v>
      </c>
      <c r="X1102" t="s">
        <v>1822</v>
      </c>
      <c r="Y1102" t="s">
        <v>1823</v>
      </c>
      <c r="Z1102" t="s">
        <v>77</v>
      </c>
      <c r="AA1102" t="str">
        <f>"10941-4028"</f>
        <v>10941-4028</v>
      </c>
      <c r="AB1102" t="s">
        <v>78</v>
      </c>
      <c r="AC1102" t="s">
        <v>79</v>
      </c>
      <c r="AD1102" t="s">
        <v>75</v>
      </c>
      <c r="AE1102" t="s">
        <v>80</v>
      </c>
      <c r="AG1102" t="s">
        <v>81</v>
      </c>
    </row>
    <row r="1103" spans="1:33" x14ac:dyDescent="0.25">
      <c r="A1103" t="str">
        <f>"1891884946"</f>
        <v>1891884946</v>
      </c>
      <c r="B1103" t="str">
        <f>"02868904"</f>
        <v>02868904</v>
      </c>
      <c r="C1103" t="s">
        <v>10402</v>
      </c>
      <c r="D1103" t="s">
        <v>10403</v>
      </c>
      <c r="E1103" t="s">
        <v>10404</v>
      </c>
      <c r="G1103" t="s">
        <v>6380</v>
      </c>
      <c r="H1103" t="s">
        <v>4625</v>
      </c>
      <c r="J1103" t="s">
        <v>6381</v>
      </c>
      <c r="L1103" t="s">
        <v>83</v>
      </c>
      <c r="M1103" t="s">
        <v>85</v>
      </c>
      <c r="R1103" t="s">
        <v>10405</v>
      </c>
      <c r="W1103" t="s">
        <v>10405</v>
      </c>
      <c r="X1103" t="s">
        <v>10406</v>
      </c>
      <c r="Y1103" t="s">
        <v>2465</v>
      </c>
      <c r="Z1103" t="s">
        <v>77</v>
      </c>
      <c r="AA1103" t="str">
        <f>"11797-2038"</f>
        <v>11797-2038</v>
      </c>
      <c r="AB1103" t="s">
        <v>78</v>
      </c>
      <c r="AC1103" t="s">
        <v>79</v>
      </c>
      <c r="AD1103" t="s">
        <v>75</v>
      </c>
      <c r="AE1103" t="s">
        <v>80</v>
      </c>
      <c r="AG1103" t="s">
        <v>81</v>
      </c>
    </row>
    <row r="1104" spans="1:33" x14ac:dyDescent="0.25">
      <c r="A1104" t="str">
        <f>"1801920335"</f>
        <v>1801920335</v>
      </c>
      <c r="B1104" t="str">
        <f>"02882231"</f>
        <v>02882231</v>
      </c>
      <c r="C1104" t="s">
        <v>10407</v>
      </c>
      <c r="D1104" t="s">
        <v>10408</v>
      </c>
      <c r="E1104" t="s">
        <v>10409</v>
      </c>
      <c r="G1104" t="s">
        <v>6380</v>
      </c>
      <c r="H1104" t="s">
        <v>4625</v>
      </c>
      <c r="J1104" t="s">
        <v>6381</v>
      </c>
      <c r="L1104" t="s">
        <v>102</v>
      </c>
      <c r="M1104" t="s">
        <v>85</v>
      </c>
      <c r="R1104" t="s">
        <v>10410</v>
      </c>
      <c r="W1104" t="s">
        <v>10411</v>
      </c>
      <c r="X1104" t="s">
        <v>1822</v>
      </c>
      <c r="Y1104" t="s">
        <v>1823</v>
      </c>
      <c r="Z1104" t="s">
        <v>77</v>
      </c>
      <c r="AA1104" t="str">
        <f>"10941-4028"</f>
        <v>10941-4028</v>
      </c>
      <c r="AB1104" t="s">
        <v>78</v>
      </c>
      <c r="AC1104" t="s">
        <v>79</v>
      </c>
      <c r="AD1104" t="s">
        <v>75</v>
      </c>
      <c r="AE1104" t="s">
        <v>80</v>
      </c>
      <c r="AG1104" t="s">
        <v>81</v>
      </c>
    </row>
    <row r="1105" spans="1:33" x14ac:dyDescent="0.25">
      <c r="A1105" t="str">
        <f>"1558462333"</f>
        <v>1558462333</v>
      </c>
      <c r="B1105" t="str">
        <f>"02884513"</f>
        <v>02884513</v>
      </c>
      <c r="C1105" t="s">
        <v>10412</v>
      </c>
      <c r="D1105" t="s">
        <v>10413</v>
      </c>
      <c r="E1105" t="s">
        <v>10414</v>
      </c>
      <c r="G1105" t="s">
        <v>6380</v>
      </c>
      <c r="H1105" t="s">
        <v>4625</v>
      </c>
      <c r="J1105" t="s">
        <v>6381</v>
      </c>
      <c r="L1105" t="s">
        <v>84</v>
      </c>
      <c r="M1105" t="s">
        <v>85</v>
      </c>
      <c r="R1105" t="s">
        <v>10415</v>
      </c>
      <c r="W1105" t="s">
        <v>10416</v>
      </c>
      <c r="X1105" t="s">
        <v>1822</v>
      </c>
      <c r="Y1105" t="s">
        <v>1823</v>
      </c>
      <c r="Z1105" t="s">
        <v>77</v>
      </c>
      <c r="AA1105" t="str">
        <f>"10941-4028"</f>
        <v>10941-4028</v>
      </c>
      <c r="AB1105" t="s">
        <v>78</v>
      </c>
      <c r="AC1105" t="s">
        <v>79</v>
      </c>
      <c r="AD1105" t="s">
        <v>75</v>
      </c>
      <c r="AE1105" t="s">
        <v>80</v>
      </c>
      <c r="AG1105" t="s">
        <v>81</v>
      </c>
    </row>
    <row r="1106" spans="1:33" x14ac:dyDescent="0.25">
      <c r="A1106" t="str">
        <f>"1033400668"</f>
        <v>1033400668</v>
      </c>
      <c r="B1106" t="str">
        <f>"03923782"</f>
        <v>03923782</v>
      </c>
      <c r="C1106" t="s">
        <v>10417</v>
      </c>
      <c r="D1106" t="s">
        <v>10418</v>
      </c>
      <c r="E1106" t="s">
        <v>10419</v>
      </c>
      <c r="G1106" t="s">
        <v>6494</v>
      </c>
      <c r="H1106" t="s">
        <v>6495</v>
      </c>
      <c r="J1106" t="s">
        <v>6496</v>
      </c>
      <c r="L1106" t="s">
        <v>84</v>
      </c>
      <c r="M1106" t="s">
        <v>75</v>
      </c>
      <c r="R1106" t="s">
        <v>10420</v>
      </c>
      <c r="W1106" t="s">
        <v>10419</v>
      </c>
      <c r="X1106" t="s">
        <v>6014</v>
      </c>
      <c r="Y1106" t="s">
        <v>180</v>
      </c>
      <c r="Z1106" t="s">
        <v>77</v>
      </c>
      <c r="AA1106" t="str">
        <f>"10701-1330"</f>
        <v>10701-1330</v>
      </c>
      <c r="AB1106" t="s">
        <v>78</v>
      </c>
      <c r="AC1106" t="s">
        <v>79</v>
      </c>
      <c r="AD1106" t="s">
        <v>75</v>
      </c>
      <c r="AE1106" t="s">
        <v>80</v>
      </c>
      <c r="AG1106" t="s">
        <v>81</v>
      </c>
    </row>
    <row r="1107" spans="1:33" x14ac:dyDescent="0.25">
      <c r="A1107" t="str">
        <f>"1093731507"</f>
        <v>1093731507</v>
      </c>
      <c r="B1107" t="str">
        <f>"02455365"</f>
        <v>02455365</v>
      </c>
      <c r="C1107" t="s">
        <v>10421</v>
      </c>
      <c r="D1107" t="s">
        <v>10422</v>
      </c>
      <c r="E1107" t="s">
        <v>10423</v>
      </c>
      <c r="G1107" t="s">
        <v>6494</v>
      </c>
      <c r="H1107" t="s">
        <v>6495</v>
      </c>
      <c r="J1107" t="s">
        <v>6496</v>
      </c>
      <c r="L1107" t="s">
        <v>105</v>
      </c>
      <c r="M1107" t="s">
        <v>75</v>
      </c>
      <c r="R1107" t="s">
        <v>10423</v>
      </c>
      <c r="W1107" t="s">
        <v>10424</v>
      </c>
      <c r="X1107" t="s">
        <v>3228</v>
      </c>
      <c r="Y1107" t="s">
        <v>97</v>
      </c>
      <c r="Z1107" t="s">
        <v>77</v>
      </c>
      <c r="AA1107" t="str">
        <f>"10036-2904"</f>
        <v>10036-2904</v>
      </c>
      <c r="AB1107" t="s">
        <v>113</v>
      </c>
      <c r="AC1107" t="s">
        <v>79</v>
      </c>
      <c r="AD1107" t="s">
        <v>75</v>
      </c>
      <c r="AE1107" t="s">
        <v>80</v>
      </c>
      <c r="AG1107" t="s">
        <v>81</v>
      </c>
    </row>
    <row r="1108" spans="1:33" x14ac:dyDescent="0.25">
      <c r="A1108" t="str">
        <f>"1174771240"</f>
        <v>1174771240</v>
      </c>
      <c r="B1108" t="str">
        <f>"03275472"</f>
        <v>03275472</v>
      </c>
      <c r="C1108" t="s">
        <v>10425</v>
      </c>
      <c r="D1108" t="s">
        <v>3225</v>
      </c>
      <c r="E1108" t="s">
        <v>3226</v>
      </c>
      <c r="G1108" t="s">
        <v>6494</v>
      </c>
      <c r="H1108" t="s">
        <v>6495</v>
      </c>
      <c r="J1108" t="s">
        <v>6496</v>
      </c>
      <c r="L1108" t="s">
        <v>74</v>
      </c>
      <c r="M1108" t="s">
        <v>85</v>
      </c>
      <c r="R1108" t="s">
        <v>3227</v>
      </c>
      <c r="W1108" t="s">
        <v>3226</v>
      </c>
      <c r="X1108" t="s">
        <v>3228</v>
      </c>
      <c r="Y1108" t="s">
        <v>97</v>
      </c>
      <c r="Z1108" t="s">
        <v>77</v>
      </c>
      <c r="AA1108" t="str">
        <f>"10036-2904"</f>
        <v>10036-2904</v>
      </c>
      <c r="AB1108" t="s">
        <v>82</v>
      </c>
      <c r="AC1108" t="s">
        <v>79</v>
      </c>
      <c r="AD1108" t="s">
        <v>75</v>
      </c>
      <c r="AE1108" t="s">
        <v>80</v>
      </c>
      <c r="AG1108" t="s">
        <v>81</v>
      </c>
    </row>
    <row r="1109" spans="1:33" x14ac:dyDescent="0.25">
      <c r="A1109" t="str">
        <f>"1275795114"</f>
        <v>1275795114</v>
      </c>
      <c r="B1109" t="str">
        <f>"02589155"</f>
        <v>02589155</v>
      </c>
      <c r="C1109" t="s">
        <v>10426</v>
      </c>
      <c r="D1109" t="s">
        <v>5602</v>
      </c>
      <c r="E1109" t="s">
        <v>5603</v>
      </c>
      <c r="G1109" t="s">
        <v>6494</v>
      </c>
      <c r="H1109" t="s">
        <v>6495</v>
      </c>
      <c r="J1109" t="s">
        <v>6496</v>
      </c>
      <c r="L1109" t="s">
        <v>84</v>
      </c>
      <c r="M1109" t="s">
        <v>85</v>
      </c>
      <c r="R1109" t="s">
        <v>5604</v>
      </c>
      <c r="W1109" t="s">
        <v>5603</v>
      </c>
      <c r="X1109" t="s">
        <v>5085</v>
      </c>
      <c r="Y1109" t="s">
        <v>131</v>
      </c>
      <c r="Z1109" t="s">
        <v>77</v>
      </c>
      <c r="AA1109" t="str">
        <f>"10461-2301"</f>
        <v>10461-2301</v>
      </c>
      <c r="AB1109" t="s">
        <v>78</v>
      </c>
      <c r="AC1109" t="s">
        <v>79</v>
      </c>
      <c r="AD1109" t="s">
        <v>75</v>
      </c>
      <c r="AE1109" t="s">
        <v>80</v>
      </c>
      <c r="AG1109" t="s">
        <v>81</v>
      </c>
    </row>
    <row r="1110" spans="1:33" x14ac:dyDescent="0.25">
      <c r="A1110" t="str">
        <f>"1033224209"</f>
        <v>1033224209</v>
      </c>
      <c r="B1110" t="str">
        <f>"02606004"</f>
        <v>02606004</v>
      </c>
      <c r="C1110" t="s">
        <v>10427</v>
      </c>
      <c r="D1110" t="s">
        <v>10428</v>
      </c>
      <c r="E1110" t="s">
        <v>10429</v>
      </c>
      <c r="G1110" t="s">
        <v>6494</v>
      </c>
      <c r="H1110" t="s">
        <v>6495</v>
      </c>
      <c r="J1110" t="s">
        <v>6496</v>
      </c>
      <c r="L1110" t="s">
        <v>74</v>
      </c>
      <c r="M1110" t="s">
        <v>85</v>
      </c>
      <c r="R1110" t="s">
        <v>10429</v>
      </c>
      <c r="W1110" t="s">
        <v>10430</v>
      </c>
      <c r="X1110" t="s">
        <v>2808</v>
      </c>
      <c r="Y1110" t="s">
        <v>97</v>
      </c>
      <c r="Z1110" t="s">
        <v>77</v>
      </c>
      <c r="AA1110" t="str">
        <f>"10025-6450"</f>
        <v>10025-6450</v>
      </c>
      <c r="AB1110" t="s">
        <v>82</v>
      </c>
      <c r="AC1110" t="s">
        <v>79</v>
      </c>
      <c r="AD1110" t="s">
        <v>75</v>
      </c>
      <c r="AE1110" t="s">
        <v>80</v>
      </c>
      <c r="AG1110" t="s">
        <v>81</v>
      </c>
    </row>
    <row r="1111" spans="1:33" x14ac:dyDescent="0.25">
      <c r="A1111" t="str">
        <f>"1023270253"</f>
        <v>1023270253</v>
      </c>
      <c r="B1111" t="str">
        <f>"03470871"</f>
        <v>03470871</v>
      </c>
      <c r="C1111" t="s">
        <v>10431</v>
      </c>
      <c r="D1111" t="s">
        <v>10432</v>
      </c>
      <c r="E1111" t="s">
        <v>10433</v>
      </c>
      <c r="G1111" t="s">
        <v>6380</v>
      </c>
      <c r="H1111" t="s">
        <v>4625</v>
      </c>
      <c r="J1111" t="s">
        <v>6381</v>
      </c>
      <c r="L1111" t="s">
        <v>84</v>
      </c>
      <c r="M1111" t="s">
        <v>85</v>
      </c>
      <c r="R1111" t="s">
        <v>10434</v>
      </c>
      <c r="W1111" t="s">
        <v>10433</v>
      </c>
      <c r="X1111" t="s">
        <v>8773</v>
      </c>
      <c r="Y1111" t="s">
        <v>4642</v>
      </c>
      <c r="Z1111" t="s">
        <v>77</v>
      </c>
      <c r="AA1111" t="str">
        <f>"10990-4105"</f>
        <v>10990-4105</v>
      </c>
      <c r="AB1111" t="s">
        <v>78</v>
      </c>
      <c r="AC1111" t="s">
        <v>79</v>
      </c>
      <c r="AD1111" t="s">
        <v>75</v>
      </c>
      <c r="AE1111" t="s">
        <v>80</v>
      </c>
      <c r="AG1111" t="s">
        <v>81</v>
      </c>
    </row>
    <row r="1112" spans="1:33" x14ac:dyDescent="0.25">
      <c r="A1112" t="str">
        <f>"1083639058"</f>
        <v>1083639058</v>
      </c>
      <c r="B1112" t="str">
        <f>"03470922"</f>
        <v>03470922</v>
      </c>
      <c r="C1112" t="s">
        <v>10435</v>
      </c>
      <c r="D1112" t="s">
        <v>10436</v>
      </c>
      <c r="E1112" t="s">
        <v>10437</v>
      </c>
      <c r="G1112" t="s">
        <v>6380</v>
      </c>
      <c r="H1112" t="s">
        <v>4625</v>
      </c>
      <c r="J1112" t="s">
        <v>6381</v>
      </c>
      <c r="L1112" t="s">
        <v>83</v>
      </c>
      <c r="M1112" t="s">
        <v>85</v>
      </c>
      <c r="R1112" t="s">
        <v>10437</v>
      </c>
      <c r="W1112" t="s">
        <v>10437</v>
      </c>
      <c r="X1112" t="s">
        <v>5857</v>
      </c>
      <c r="Y1112" t="s">
        <v>4642</v>
      </c>
      <c r="Z1112" t="s">
        <v>77</v>
      </c>
      <c r="AA1112" t="str">
        <f>"10990-4105"</f>
        <v>10990-4105</v>
      </c>
      <c r="AB1112" t="s">
        <v>78</v>
      </c>
      <c r="AC1112" t="s">
        <v>79</v>
      </c>
      <c r="AD1112" t="s">
        <v>75</v>
      </c>
      <c r="AE1112" t="s">
        <v>80</v>
      </c>
      <c r="AG1112" t="s">
        <v>81</v>
      </c>
    </row>
    <row r="1113" spans="1:33" x14ac:dyDescent="0.25">
      <c r="A1113" t="str">
        <f>"1093958613"</f>
        <v>1093958613</v>
      </c>
      <c r="B1113" t="str">
        <f>"03470940"</f>
        <v>03470940</v>
      </c>
      <c r="C1113" t="s">
        <v>10438</v>
      </c>
      <c r="D1113" t="s">
        <v>10439</v>
      </c>
      <c r="E1113" t="s">
        <v>5390</v>
      </c>
      <c r="G1113" t="s">
        <v>6380</v>
      </c>
      <c r="H1113" t="s">
        <v>4625</v>
      </c>
      <c r="J1113" t="s">
        <v>6381</v>
      </c>
      <c r="L1113" t="s">
        <v>84</v>
      </c>
      <c r="M1113" t="s">
        <v>85</v>
      </c>
      <c r="R1113" t="s">
        <v>5390</v>
      </c>
      <c r="W1113" t="s">
        <v>5390</v>
      </c>
      <c r="X1113" t="s">
        <v>1822</v>
      </c>
      <c r="Y1113" t="s">
        <v>1823</v>
      </c>
      <c r="Z1113" t="s">
        <v>77</v>
      </c>
      <c r="AA1113" t="str">
        <f>"10941-4028"</f>
        <v>10941-4028</v>
      </c>
      <c r="AB1113" t="s">
        <v>78</v>
      </c>
      <c r="AC1113" t="s">
        <v>79</v>
      </c>
      <c r="AD1113" t="s">
        <v>75</v>
      </c>
      <c r="AE1113" t="s">
        <v>80</v>
      </c>
      <c r="AG1113" t="s">
        <v>81</v>
      </c>
    </row>
    <row r="1114" spans="1:33" x14ac:dyDescent="0.25">
      <c r="A1114" t="str">
        <f>"1295949279"</f>
        <v>1295949279</v>
      </c>
      <c r="B1114" t="str">
        <f>"02887185"</f>
        <v>02887185</v>
      </c>
      <c r="C1114" t="s">
        <v>10440</v>
      </c>
      <c r="D1114" t="s">
        <v>10441</v>
      </c>
      <c r="E1114" t="s">
        <v>10442</v>
      </c>
      <c r="G1114" t="s">
        <v>6367</v>
      </c>
      <c r="H1114" t="s">
        <v>4625</v>
      </c>
      <c r="J1114" t="s">
        <v>6368</v>
      </c>
      <c r="L1114" t="s">
        <v>83</v>
      </c>
      <c r="M1114" t="s">
        <v>85</v>
      </c>
      <c r="R1114" t="s">
        <v>10443</v>
      </c>
      <c r="W1114" t="s">
        <v>10442</v>
      </c>
      <c r="X1114" t="s">
        <v>2902</v>
      </c>
      <c r="Y1114" t="s">
        <v>2903</v>
      </c>
      <c r="Z1114" t="s">
        <v>77</v>
      </c>
      <c r="AA1114" t="str">
        <f>"12775-6049"</f>
        <v>12775-6049</v>
      </c>
      <c r="AB1114" t="s">
        <v>78</v>
      </c>
      <c r="AC1114" t="s">
        <v>79</v>
      </c>
      <c r="AD1114" t="s">
        <v>75</v>
      </c>
      <c r="AE1114" t="s">
        <v>80</v>
      </c>
      <c r="AG1114" t="s">
        <v>81</v>
      </c>
    </row>
    <row r="1115" spans="1:33" x14ac:dyDescent="0.25">
      <c r="A1115" t="str">
        <f>"1154349447"</f>
        <v>1154349447</v>
      </c>
      <c r="B1115" t="str">
        <f>"01740596"</f>
        <v>01740596</v>
      </c>
      <c r="C1115" t="s">
        <v>10444</v>
      </c>
      <c r="D1115" t="s">
        <v>1105</v>
      </c>
      <c r="E1115" t="s">
        <v>1106</v>
      </c>
      <c r="G1115" t="s">
        <v>8714</v>
      </c>
      <c r="H1115" t="s">
        <v>278</v>
      </c>
      <c r="I1115">
        <v>3132</v>
      </c>
      <c r="J1115" t="s">
        <v>8715</v>
      </c>
      <c r="L1115" t="s">
        <v>84</v>
      </c>
      <c r="M1115" t="s">
        <v>85</v>
      </c>
      <c r="R1115" t="s">
        <v>1104</v>
      </c>
      <c r="W1115" t="s">
        <v>1106</v>
      </c>
      <c r="X1115" t="s">
        <v>1107</v>
      </c>
      <c r="Y1115" t="s">
        <v>97</v>
      </c>
      <c r="Z1115" t="s">
        <v>77</v>
      </c>
      <c r="AA1115" t="str">
        <f>"10011-4612"</f>
        <v>10011-4612</v>
      </c>
      <c r="AB1115" t="s">
        <v>78</v>
      </c>
      <c r="AC1115" t="s">
        <v>79</v>
      </c>
      <c r="AD1115" t="s">
        <v>75</v>
      </c>
      <c r="AE1115" t="s">
        <v>80</v>
      </c>
      <c r="AG1115" t="s">
        <v>81</v>
      </c>
    </row>
    <row r="1116" spans="1:33" x14ac:dyDescent="0.25">
      <c r="A1116" t="str">
        <f>"1891753000"</f>
        <v>1891753000</v>
      </c>
      <c r="B1116" t="str">
        <f>"02746656"</f>
        <v>02746656</v>
      </c>
      <c r="C1116" t="s">
        <v>10445</v>
      </c>
      <c r="D1116" t="s">
        <v>1096</v>
      </c>
      <c r="E1116" t="s">
        <v>1097</v>
      </c>
      <c r="G1116" t="s">
        <v>8714</v>
      </c>
      <c r="H1116" t="s">
        <v>278</v>
      </c>
      <c r="I1116">
        <v>3132</v>
      </c>
      <c r="J1116" t="s">
        <v>8715</v>
      </c>
      <c r="L1116" t="s">
        <v>74</v>
      </c>
      <c r="M1116" t="s">
        <v>85</v>
      </c>
      <c r="R1116" t="s">
        <v>1095</v>
      </c>
      <c r="W1116" t="s">
        <v>1097</v>
      </c>
      <c r="X1116" t="s">
        <v>1098</v>
      </c>
      <c r="Y1116" t="s">
        <v>87</v>
      </c>
      <c r="Z1116" t="s">
        <v>77</v>
      </c>
      <c r="AA1116" t="str">
        <f>"11213-4845"</f>
        <v>11213-4845</v>
      </c>
      <c r="AB1116" t="s">
        <v>78</v>
      </c>
      <c r="AC1116" t="s">
        <v>79</v>
      </c>
      <c r="AD1116" t="s">
        <v>75</v>
      </c>
      <c r="AE1116" t="s">
        <v>80</v>
      </c>
      <c r="AG1116" t="s">
        <v>81</v>
      </c>
    </row>
    <row r="1117" spans="1:33" x14ac:dyDescent="0.25">
      <c r="A1117" t="str">
        <f>"1679771109"</f>
        <v>1679771109</v>
      </c>
      <c r="B1117" t="str">
        <f>"03741600"</f>
        <v>03741600</v>
      </c>
      <c r="C1117" t="s">
        <v>10446</v>
      </c>
      <c r="D1117" t="s">
        <v>5435</v>
      </c>
      <c r="E1117" t="s">
        <v>5436</v>
      </c>
      <c r="G1117" t="s">
        <v>8714</v>
      </c>
      <c r="H1117" t="s">
        <v>10447</v>
      </c>
      <c r="I1117">
        <v>3132</v>
      </c>
      <c r="J1117" t="s">
        <v>8715</v>
      </c>
      <c r="L1117" t="s">
        <v>74</v>
      </c>
      <c r="M1117" t="s">
        <v>85</v>
      </c>
      <c r="R1117" t="s">
        <v>5437</v>
      </c>
      <c r="W1117" t="s">
        <v>5436</v>
      </c>
      <c r="X1117" t="s">
        <v>5438</v>
      </c>
      <c r="Y1117" t="s">
        <v>1761</v>
      </c>
      <c r="Z1117" t="s">
        <v>77</v>
      </c>
      <c r="AA1117" t="str">
        <f>"12572-3104"</f>
        <v>12572-3104</v>
      </c>
      <c r="AB1117" t="s">
        <v>78</v>
      </c>
      <c r="AC1117" t="s">
        <v>79</v>
      </c>
      <c r="AD1117" t="s">
        <v>75</v>
      </c>
      <c r="AE1117" t="s">
        <v>80</v>
      </c>
      <c r="AG1117" t="s">
        <v>81</v>
      </c>
    </row>
    <row r="1118" spans="1:33" x14ac:dyDescent="0.25">
      <c r="A1118" t="str">
        <f>"1295867471"</f>
        <v>1295867471</v>
      </c>
      <c r="B1118" t="str">
        <f>"03808293"</f>
        <v>03808293</v>
      </c>
      <c r="C1118" t="s">
        <v>10448</v>
      </c>
      <c r="D1118" t="s">
        <v>5569</v>
      </c>
      <c r="E1118" t="s">
        <v>5570</v>
      </c>
      <c r="G1118" t="s">
        <v>8714</v>
      </c>
      <c r="H1118" t="s">
        <v>10449</v>
      </c>
      <c r="I1118">
        <v>3132</v>
      </c>
      <c r="J1118" t="s">
        <v>8715</v>
      </c>
      <c r="L1118" t="s">
        <v>74</v>
      </c>
      <c r="M1118" t="s">
        <v>75</v>
      </c>
      <c r="R1118" t="s">
        <v>5571</v>
      </c>
      <c r="W1118" t="s">
        <v>5570</v>
      </c>
      <c r="X1118" t="s">
        <v>280</v>
      </c>
      <c r="Y1118" t="s">
        <v>281</v>
      </c>
      <c r="Z1118" t="s">
        <v>77</v>
      </c>
      <c r="AA1118" t="str">
        <f>"11366-1950"</f>
        <v>11366-1950</v>
      </c>
      <c r="AB1118" t="s">
        <v>78</v>
      </c>
      <c r="AC1118" t="s">
        <v>79</v>
      </c>
      <c r="AD1118" t="s">
        <v>75</v>
      </c>
      <c r="AE1118" t="s">
        <v>80</v>
      </c>
      <c r="AG1118" t="s">
        <v>81</v>
      </c>
    </row>
    <row r="1119" spans="1:33" x14ac:dyDescent="0.25">
      <c r="A1119" t="str">
        <f>"1013015767"</f>
        <v>1013015767</v>
      </c>
      <c r="B1119" t="str">
        <f>"02876346"</f>
        <v>02876346</v>
      </c>
      <c r="C1119" t="s">
        <v>10450</v>
      </c>
      <c r="D1119" t="s">
        <v>5658</v>
      </c>
      <c r="E1119" t="s">
        <v>5659</v>
      </c>
      <c r="G1119" t="s">
        <v>8714</v>
      </c>
      <c r="H1119" t="s">
        <v>10451</v>
      </c>
      <c r="I1119">
        <v>3132</v>
      </c>
      <c r="J1119" t="s">
        <v>8715</v>
      </c>
      <c r="L1119" t="s">
        <v>74</v>
      </c>
      <c r="M1119" t="s">
        <v>75</v>
      </c>
      <c r="R1119" t="s">
        <v>5660</v>
      </c>
      <c r="W1119" t="s">
        <v>5659</v>
      </c>
      <c r="X1119" t="s">
        <v>2587</v>
      </c>
      <c r="Y1119" t="s">
        <v>97</v>
      </c>
      <c r="Z1119" t="s">
        <v>77</v>
      </c>
      <c r="AA1119" t="str">
        <f>"10003-3314"</f>
        <v>10003-3314</v>
      </c>
      <c r="AB1119" t="s">
        <v>78</v>
      </c>
      <c r="AC1119" t="s">
        <v>79</v>
      </c>
      <c r="AD1119" t="s">
        <v>75</v>
      </c>
      <c r="AE1119" t="s">
        <v>80</v>
      </c>
      <c r="AG1119" t="s">
        <v>81</v>
      </c>
    </row>
    <row r="1120" spans="1:33" x14ac:dyDescent="0.25">
      <c r="A1120" t="str">
        <f>"1184739237"</f>
        <v>1184739237</v>
      </c>
      <c r="B1120" t="str">
        <f>"03093038"</f>
        <v>03093038</v>
      </c>
      <c r="C1120" t="s">
        <v>10452</v>
      </c>
      <c r="D1120" t="s">
        <v>436</v>
      </c>
      <c r="E1120" t="s">
        <v>437</v>
      </c>
      <c r="G1120" t="s">
        <v>8714</v>
      </c>
      <c r="H1120" t="s">
        <v>8878</v>
      </c>
      <c r="I1120">
        <v>3132</v>
      </c>
      <c r="J1120" t="s">
        <v>8715</v>
      </c>
      <c r="L1120" t="s">
        <v>83</v>
      </c>
      <c r="M1120" t="s">
        <v>75</v>
      </c>
      <c r="R1120" t="s">
        <v>438</v>
      </c>
      <c r="W1120" t="s">
        <v>439</v>
      </c>
      <c r="X1120" t="s">
        <v>259</v>
      </c>
      <c r="Y1120" t="s">
        <v>139</v>
      </c>
      <c r="Z1120" t="s">
        <v>77</v>
      </c>
      <c r="AA1120" t="str">
        <f>"11355-2205"</f>
        <v>11355-2205</v>
      </c>
      <c r="AB1120" t="s">
        <v>78</v>
      </c>
      <c r="AC1120" t="s">
        <v>79</v>
      </c>
      <c r="AD1120" t="s">
        <v>75</v>
      </c>
      <c r="AE1120" t="s">
        <v>80</v>
      </c>
      <c r="AG1120" t="s">
        <v>81</v>
      </c>
    </row>
    <row r="1121" spans="1:33" x14ac:dyDescent="0.25">
      <c r="A1121" t="str">
        <f>"1184759177"</f>
        <v>1184759177</v>
      </c>
      <c r="B1121" t="str">
        <f>"03738429"</f>
        <v>03738429</v>
      </c>
      <c r="C1121" t="s">
        <v>10453</v>
      </c>
      <c r="D1121" t="s">
        <v>5560</v>
      </c>
      <c r="E1121" t="s">
        <v>5561</v>
      </c>
      <c r="G1121" t="s">
        <v>8714</v>
      </c>
      <c r="H1121" t="s">
        <v>10454</v>
      </c>
      <c r="I1121">
        <v>3132</v>
      </c>
      <c r="J1121" t="s">
        <v>8715</v>
      </c>
      <c r="L1121" t="s">
        <v>74</v>
      </c>
      <c r="M1121" t="s">
        <v>75</v>
      </c>
      <c r="R1121" t="s">
        <v>5561</v>
      </c>
      <c r="W1121" t="s">
        <v>5561</v>
      </c>
      <c r="X1121" t="s">
        <v>5562</v>
      </c>
      <c r="Y1121" t="s">
        <v>281</v>
      </c>
      <c r="Z1121" t="s">
        <v>77</v>
      </c>
      <c r="AA1121" t="str">
        <f>"11366-1950"</f>
        <v>11366-1950</v>
      </c>
      <c r="AB1121" t="s">
        <v>78</v>
      </c>
      <c r="AC1121" t="s">
        <v>79</v>
      </c>
      <c r="AD1121" t="s">
        <v>75</v>
      </c>
      <c r="AE1121" t="s">
        <v>80</v>
      </c>
      <c r="AG1121" t="s">
        <v>81</v>
      </c>
    </row>
    <row r="1122" spans="1:33" x14ac:dyDescent="0.25">
      <c r="A1122" t="str">
        <f>"1215093935"</f>
        <v>1215093935</v>
      </c>
      <c r="B1122" t="str">
        <f>"03572290"</f>
        <v>03572290</v>
      </c>
      <c r="C1122" t="s">
        <v>10455</v>
      </c>
      <c r="D1122" t="s">
        <v>5563</v>
      </c>
      <c r="E1122" t="s">
        <v>5564</v>
      </c>
      <c r="G1122" t="s">
        <v>8714</v>
      </c>
      <c r="H1122" t="s">
        <v>10456</v>
      </c>
      <c r="I1122">
        <v>3132</v>
      </c>
      <c r="J1122" t="s">
        <v>8715</v>
      </c>
      <c r="L1122" t="s">
        <v>74</v>
      </c>
      <c r="M1122" t="s">
        <v>85</v>
      </c>
      <c r="R1122" t="s">
        <v>5565</v>
      </c>
      <c r="W1122" t="s">
        <v>5566</v>
      </c>
      <c r="X1122" t="s">
        <v>5567</v>
      </c>
      <c r="Y1122" t="s">
        <v>5568</v>
      </c>
      <c r="Z1122" t="s">
        <v>77</v>
      </c>
      <c r="AA1122" t="str">
        <f>"11788-2420"</f>
        <v>11788-2420</v>
      </c>
      <c r="AB1122" t="s">
        <v>78</v>
      </c>
      <c r="AC1122" t="s">
        <v>79</v>
      </c>
      <c r="AD1122" t="s">
        <v>75</v>
      </c>
      <c r="AE1122" t="s">
        <v>80</v>
      </c>
      <c r="AG1122" t="s">
        <v>81</v>
      </c>
    </row>
    <row r="1123" spans="1:33" x14ac:dyDescent="0.25">
      <c r="A1123" t="str">
        <f>"1386717460"</f>
        <v>1386717460</v>
      </c>
      <c r="B1123" t="str">
        <f>"02855750"</f>
        <v>02855750</v>
      </c>
      <c r="C1123" t="s">
        <v>10457</v>
      </c>
      <c r="D1123" t="s">
        <v>5572</v>
      </c>
      <c r="E1123" t="s">
        <v>5573</v>
      </c>
      <c r="G1123" t="s">
        <v>8714</v>
      </c>
      <c r="H1123" t="s">
        <v>8878</v>
      </c>
      <c r="I1123">
        <v>3132</v>
      </c>
      <c r="J1123" t="s">
        <v>8715</v>
      </c>
      <c r="L1123" t="s">
        <v>74</v>
      </c>
      <c r="M1123" t="s">
        <v>75</v>
      </c>
      <c r="R1123" t="s">
        <v>5573</v>
      </c>
      <c r="W1123" t="s">
        <v>5573</v>
      </c>
      <c r="X1123" t="s">
        <v>280</v>
      </c>
      <c r="Y1123" t="s">
        <v>281</v>
      </c>
      <c r="Z1123" t="s">
        <v>77</v>
      </c>
      <c r="AA1123" t="str">
        <f>"11366-1950"</f>
        <v>11366-1950</v>
      </c>
      <c r="AB1123" t="s">
        <v>78</v>
      </c>
      <c r="AC1123" t="s">
        <v>79</v>
      </c>
      <c r="AD1123" t="s">
        <v>75</v>
      </c>
      <c r="AE1123" t="s">
        <v>80</v>
      </c>
      <c r="AG1123" t="s">
        <v>81</v>
      </c>
    </row>
    <row r="1124" spans="1:33" x14ac:dyDescent="0.25">
      <c r="A1124" t="str">
        <f>"1427140201"</f>
        <v>1427140201</v>
      </c>
      <c r="B1124" t="str">
        <f>"02406875"</f>
        <v>02406875</v>
      </c>
      <c r="C1124" t="s">
        <v>10458</v>
      </c>
      <c r="D1124" t="s">
        <v>5678</v>
      </c>
      <c r="E1124" t="s">
        <v>5679</v>
      </c>
      <c r="G1124" t="s">
        <v>8714</v>
      </c>
      <c r="H1124" t="s">
        <v>10459</v>
      </c>
      <c r="I1124">
        <v>3132</v>
      </c>
      <c r="J1124" t="s">
        <v>8715</v>
      </c>
      <c r="L1124" t="s">
        <v>84</v>
      </c>
      <c r="M1124" t="s">
        <v>85</v>
      </c>
      <c r="R1124" t="s">
        <v>5679</v>
      </c>
      <c r="W1124" t="s">
        <v>5680</v>
      </c>
      <c r="X1124" t="s">
        <v>5144</v>
      </c>
      <c r="Y1124" t="s">
        <v>153</v>
      </c>
      <c r="Z1124" t="s">
        <v>77</v>
      </c>
      <c r="AA1124" t="str">
        <f>"12601-1362"</f>
        <v>12601-1362</v>
      </c>
      <c r="AB1124" t="s">
        <v>78</v>
      </c>
      <c r="AC1124" t="s">
        <v>79</v>
      </c>
      <c r="AD1124" t="s">
        <v>75</v>
      </c>
      <c r="AE1124" t="s">
        <v>80</v>
      </c>
      <c r="AG1124" t="s">
        <v>81</v>
      </c>
    </row>
    <row r="1125" spans="1:33" x14ac:dyDescent="0.25">
      <c r="A1125" t="str">
        <f>"1437326055"</f>
        <v>1437326055</v>
      </c>
      <c r="B1125" t="str">
        <f>"02855723"</f>
        <v>02855723</v>
      </c>
      <c r="C1125" t="s">
        <v>10460</v>
      </c>
      <c r="D1125" t="s">
        <v>5574</v>
      </c>
      <c r="E1125" t="s">
        <v>5575</v>
      </c>
      <c r="G1125" t="s">
        <v>8714</v>
      </c>
      <c r="H1125" t="s">
        <v>10461</v>
      </c>
      <c r="I1125">
        <v>3132</v>
      </c>
      <c r="J1125" t="s">
        <v>8715</v>
      </c>
      <c r="L1125" t="s">
        <v>74</v>
      </c>
      <c r="M1125" t="s">
        <v>85</v>
      </c>
      <c r="R1125" t="s">
        <v>5576</v>
      </c>
      <c r="W1125" t="s">
        <v>5577</v>
      </c>
      <c r="X1125" t="s">
        <v>2587</v>
      </c>
      <c r="Y1125" t="s">
        <v>97</v>
      </c>
      <c r="Z1125" t="s">
        <v>77</v>
      </c>
      <c r="AA1125" t="str">
        <f>"10003-3314"</f>
        <v>10003-3314</v>
      </c>
      <c r="AB1125" t="s">
        <v>78</v>
      </c>
      <c r="AC1125" t="s">
        <v>79</v>
      </c>
      <c r="AD1125" t="s">
        <v>75</v>
      </c>
      <c r="AE1125" t="s">
        <v>80</v>
      </c>
      <c r="AG1125" t="s">
        <v>81</v>
      </c>
    </row>
    <row r="1126" spans="1:33" x14ac:dyDescent="0.25">
      <c r="A1126" t="str">
        <f>"1326469602"</f>
        <v>1326469602</v>
      </c>
      <c r="B1126" t="str">
        <f>"03768494"</f>
        <v>03768494</v>
      </c>
      <c r="C1126" t="s">
        <v>10462</v>
      </c>
      <c r="D1126" t="s">
        <v>10463</v>
      </c>
      <c r="E1126" t="s">
        <v>10464</v>
      </c>
      <c r="G1126" t="s">
        <v>6800</v>
      </c>
      <c r="H1126" t="s">
        <v>6801</v>
      </c>
      <c r="I1126">
        <v>6381</v>
      </c>
      <c r="J1126" t="s">
        <v>6802</v>
      </c>
      <c r="L1126" t="s">
        <v>74</v>
      </c>
      <c r="M1126" t="s">
        <v>75</v>
      </c>
      <c r="R1126" t="s">
        <v>10465</v>
      </c>
      <c r="W1126" t="s">
        <v>10464</v>
      </c>
      <c r="X1126" t="s">
        <v>9151</v>
      </c>
      <c r="Y1126" t="s">
        <v>97</v>
      </c>
      <c r="Z1126" t="s">
        <v>77</v>
      </c>
      <c r="AA1126" t="str">
        <f>"10001-2320"</f>
        <v>10001-2320</v>
      </c>
      <c r="AB1126" t="s">
        <v>109</v>
      </c>
      <c r="AC1126" t="s">
        <v>79</v>
      </c>
      <c r="AD1126" t="s">
        <v>75</v>
      </c>
      <c r="AE1126" t="s">
        <v>80</v>
      </c>
      <c r="AG1126" t="s">
        <v>81</v>
      </c>
    </row>
    <row r="1127" spans="1:33" x14ac:dyDescent="0.25">
      <c r="A1127" t="str">
        <f>"1659344570"</f>
        <v>1659344570</v>
      </c>
      <c r="B1127" t="str">
        <f>"02443667"</f>
        <v>02443667</v>
      </c>
      <c r="C1127" t="s">
        <v>10466</v>
      </c>
      <c r="D1127" t="s">
        <v>1585</v>
      </c>
      <c r="E1127" t="s">
        <v>1586</v>
      </c>
      <c r="G1127" t="s">
        <v>6930</v>
      </c>
      <c r="H1127" t="s">
        <v>6931</v>
      </c>
      <c r="J1127" t="s">
        <v>6932</v>
      </c>
      <c r="L1127" t="s">
        <v>83</v>
      </c>
      <c r="M1127" t="s">
        <v>75</v>
      </c>
      <c r="R1127" t="s">
        <v>1584</v>
      </c>
      <c r="W1127" t="s">
        <v>1586</v>
      </c>
      <c r="X1127" t="s">
        <v>1531</v>
      </c>
      <c r="Y1127" t="s">
        <v>97</v>
      </c>
      <c r="Z1127" t="s">
        <v>77</v>
      </c>
      <c r="AA1127" t="str">
        <f>"10036-8005"</f>
        <v>10036-8005</v>
      </c>
      <c r="AB1127" t="s">
        <v>108</v>
      </c>
      <c r="AC1127" t="s">
        <v>79</v>
      </c>
      <c r="AD1127" t="s">
        <v>75</v>
      </c>
      <c r="AE1127" t="s">
        <v>80</v>
      </c>
      <c r="AG1127" t="s">
        <v>81</v>
      </c>
    </row>
    <row r="1128" spans="1:33" x14ac:dyDescent="0.25">
      <c r="A1128" t="str">
        <f>"1710912670"</f>
        <v>1710912670</v>
      </c>
      <c r="B1128" t="str">
        <f>"02822411"</f>
        <v>02822411</v>
      </c>
      <c r="C1128" t="s">
        <v>10467</v>
      </c>
      <c r="D1128" t="s">
        <v>10468</v>
      </c>
      <c r="E1128" t="s">
        <v>10469</v>
      </c>
      <c r="G1128" t="s">
        <v>6380</v>
      </c>
      <c r="H1128" t="s">
        <v>4625</v>
      </c>
      <c r="J1128" t="s">
        <v>6381</v>
      </c>
      <c r="L1128" t="s">
        <v>83</v>
      </c>
      <c r="M1128" t="s">
        <v>85</v>
      </c>
      <c r="R1128" t="s">
        <v>10470</v>
      </c>
      <c r="W1128" t="s">
        <v>10469</v>
      </c>
      <c r="X1128" t="s">
        <v>5154</v>
      </c>
      <c r="Y1128" t="s">
        <v>1797</v>
      </c>
      <c r="Z1128" t="s">
        <v>77</v>
      </c>
      <c r="AA1128" t="str">
        <f>"12550-5263"</f>
        <v>12550-5263</v>
      </c>
      <c r="AB1128" t="s">
        <v>78</v>
      </c>
      <c r="AC1128" t="s">
        <v>79</v>
      </c>
      <c r="AD1128" t="s">
        <v>75</v>
      </c>
      <c r="AE1128" t="s">
        <v>80</v>
      </c>
      <c r="AG1128" t="s">
        <v>81</v>
      </c>
    </row>
    <row r="1129" spans="1:33" x14ac:dyDescent="0.25">
      <c r="A1129" t="str">
        <f>"1730119439"</f>
        <v>1730119439</v>
      </c>
      <c r="B1129" t="str">
        <f>"02829596"</f>
        <v>02829596</v>
      </c>
      <c r="C1129" t="s">
        <v>10471</v>
      </c>
      <c r="D1129" t="s">
        <v>10472</v>
      </c>
      <c r="E1129" t="s">
        <v>10473</v>
      </c>
      <c r="G1129" t="s">
        <v>6380</v>
      </c>
      <c r="H1129" t="s">
        <v>4625</v>
      </c>
      <c r="J1129" t="s">
        <v>6381</v>
      </c>
      <c r="L1129" t="s">
        <v>83</v>
      </c>
      <c r="M1129" t="s">
        <v>85</v>
      </c>
      <c r="R1129" t="s">
        <v>10474</v>
      </c>
      <c r="W1129" t="s">
        <v>10473</v>
      </c>
      <c r="X1129" t="s">
        <v>1822</v>
      </c>
      <c r="Y1129" t="s">
        <v>1823</v>
      </c>
      <c r="Z1129" t="s">
        <v>77</v>
      </c>
      <c r="AA1129" t="str">
        <f>"10941-4028"</f>
        <v>10941-4028</v>
      </c>
      <c r="AB1129" t="s">
        <v>78</v>
      </c>
      <c r="AC1129" t="s">
        <v>79</v>
      </c>
      <c r="AD1129" t="s">
        <v>75</v>
      </c>
      <c r="AE1129" t="s">
        <v>80</v>
      </c>
      <c r="AG1129" t="s">
        <v>81</v>
      </c>
    </row>
    <row r="1130" spans="1:33" x14ac:dyDescent="0.25">
      <c r="A1130" t="str">
        <f>"1477692929"</f>
        <v>1477692929</v>
      </c>
      <c r="B1130" t="str">
        <f>"02848355"</f>
        <v>02848355</v>
      </c>
      <c r="C1130" t="s">
        <v>10475</v>
      </c>
      <c r="D1130" t="s">
        <v>10476</v>
      </c>
      <c r="E1130" t="s">
        <v>10477</v>
      </c>
      <c r="G1130" t="s">
        <v>6380</v>
      </c>
      <c r="H1130" t="s">
        <v>4625</v>
      </c>
      <c r="J1130" t="s">
        <v>6381</v>
      </c>
      <c r="L1130" t="s">
        <v>84</v>
      </c>
      <c r="M1130" t="s">
        <v>85</v>
      </c>
      <c r="R1130" t="s">
        <v>10478</v>
      </c>
      <c r="W1130" t="s">
        <v>10477</v>
      </c>
      <c r="X1130" t="s">
        <v>1822</v>
      </c>
      <c r="Y1130" t="s">
        <v>1823</v>
      </c>
      <c r="Z1130" t="s">
        <v>77</v>
      </c>
      <c r="AA1130" t="str">
        <f>"10941-4028"</f>
        <v>10941-4028</v>
      </c>
      <c r="AB1130" t="s">
        <v>78</v>
      </c>
      <c r="AC1130" t="s">
        <v>79</v>
      </c>
      <c r="AD1130" t="s">
        <v>75</v>
      </c>
      <c r="AE1130" t="s">
        <v>80</v>
      </c>
      <c r="AG1130" t="s">
        <v>81</v>
      </c>
    </row>
    <row r="1131" spans="1:33" x14ac:dyDescent="0.25">
      <c r="A1131" t="str">
        <f>"1841374220"</f>
        <v>1841374220</v>
      </c>
      <c r="B1131" t="str">
        <f>"02831327"</f>
        <v>02831327</v>
      </c>
      <c r="C1131" t="s">
        <v>10479</v>
      </c>
      <c r="D1131" t="s">
        <v>10480</v>
      </c>
      <c r="E1131" t="s">
        <v>10481</v>
      </c>
      <c r="L1131" t="s">
        <v>74</v>
      </c>
      <c r="M1131" t="s">
        <v>75</v>
      </c>
      <c r="R1131" t="s">
        <v>10482</v>
      </c>
      <c r="W1131" t="s">
        <v>10481</v>
      </c>
      <c r="X1131" t="s">
        <v>272</v>
      </c>
      <c r="Y1131" t="s">
        <v>97</v>
      </c>
      <c r="Z1131" t="s">
        <v>77</v>
      </c>
      <c r="AA1131" t="str">
        <f>"10029-6501"</f>
        <v>10029-6501</v>
      </c>
      <c r="AB1131" t="s">
        <v>78</v>
      </c>
      <c r="AC1131" t="s">
        <v>79</v>
      </c>
      <c r="AD1131" t="s">
        <v>75</v>
      </c>
      <c r="AE1131" t="s">
        <v>80</v>
      </c>
      <c r="AG1131" t="s">
        <v>81</v>
      </c>
    </row>
    <row r="1132" spans="1:33" x14ac:dyDescent="0.25">
      <c r="A1132" t="str">
        <f>"1841394111"</f>
        <v>1841394111</v>
      </c>
      <c r="C1132" t="s">
        <v>10483</v>
      </c>
      <c r="K1132" t="s">
        <v>99</v>
      </c>
      <c r="L1132" t="s">
        <v>102</v>
      </c>
      <c r="M1132" t="s">
        <v>75</v>
      </c>
      <c r="R1132" t="s">
        <v>10484</v>
      </c>
      <c r="S1132" t="s">
        <v>10485</v>
      </c>
      <c r="T1132" t="s">
        <v>97</v>
      </c>
      <c r="U1132" t="s">
        <v>77</v>
      </c>
      <c r="V1132" t="str">
        <f>"10128"</f>
        <v>10128</v>
      </c>
      <c r="AC1132" t="s">
        <v>79</v>
      </c>
      <c r="AD1132" t="s">
        <v>75</v>
      </c>
      <c r="AE1132" t="s">
        <v>103</v>
      </c>
      <c r="AG1132" t="s">
        <v>81</v>
      </c>
    </row>
    <row r="1133" spans="1:33" x14ac:dyDescent="0.25">
      <c r="A1133" t="str">
        <f>"1841592326"</f>
        <v>1841592326</v>
      </c>
      <c r="C1133" t="s">
        <v>10486</v>
      </c>
      <c r="K1133" t="s">
        <v>99</v>
      </c>
      <c r="L1133" t="s">
        <v>102</v>
      </c>
      <c r="M1133" t="s">
        <v>75</v>
      </c>
      <c r="R1133" t="s">
        <v>10487</v>
      </c>
      <c r="S1133" t="s">
        <v>10488</v>
      </c>
      <c r="T1133" t="s">
        <v>97</v>
      </c>
      <c r="U1133" t="s">
        <v>77</v>
      </c>
      <c r="V1133" t="str">
        <f>"10032"</f>
        <v>10032</v>
      </c>
      <c r="AC1133" t="s">
        <v>79</v>
      </c>
      <c r="AD1133" t="s">
        <v>75</v>
      </c>
      <c r="AE1133" t="s">
        <v>103</v>
      </c>
      <c r="AG1133" t="s">
        <v>81</v>
      </c>
    </row>
    <row r="1134" spans="1:33" x14ac:dyDescent="0.25">
      <c r="C1134" t="s">
        <v>10489</v>
      </c>
      <c r="G1134" t="s">
        <v>10489</v>
      </c>
      <c r="H1134" t="s">
        <v>7233</v>
      </c>
      <c r="J1134" t="s">
        <v>10490</v>
      </c>
      <c r="K1134" t="s">
        <v>99</v>
      </c>
      <c r="L1134" t="s">
        <v>100</v>
      </c>
      <c r="M1134" t="s">
        <v>75</v>
      </c>
      <c r="N1134" t="s">
        <v>10491</v>
      </c>
      <c r="O1134" t="s">
        <v>77</v>
      </c>
      <c r="P1134" t="s">
        <v>6461</v>
      </c>
      <c r="Q1134" t="str">
        <f>"10029"</f>
        <v>10029</v>
      </c>
      <c r="AC1134" t="s">
        <v>79</v>
      </c>
      <c r="AD1134" t="s">
        <v>75</v>
      </c>
      <c r="AE1134" t="s">
        <v>101</v>
      </c>
      <c r="AG1134" t="s">
        <v>81</v>
      </c>
    </row>
    <row r="1135" spans="1:33" x14ac:dyDescent="0.25">
      <c r="A1135" t="str">
        <f>"1255377644"</f>
        <v>1255377644</v>
      </c>
      <c r="C1135" t="s">
        <v>10492</v>
      </c>
      <c r="G1135" t="s">
        <v>10492</v>
      </c>
      <c r="H1135" t="s">
        <v>6463</v>
      </c>
      <c r="I1135">
        <v>2042</v>
      </c>
      <c r="J1135" t="s">
        <v>10493</v>
      </c>
      <c r="K1135" t="s">
        <v>99</v>
      </c>
      <c r="L1135" t="s">
        <v>74</v>
      </c>
      <c r="M1135" t="s">
        <v>75</v>
      </c>
      <c r="R1135" t="s">
        <v>10494</v>
      </c>
      <c r="S1135" t="s">
        <v>10495</v>
      </c>
      <c r="T1135" t="s">
        <v>97</v>
      </c>
      <c r="U1135" t="s">
        <v>77</v>
      </c>
      <c r="V1135" t="str">
        <f>"100238146"</f>
        <v>100238146</v>
      </c>
      <c r="AC1135" t="s">
        <v>79</v>
      </c>
      <c r="AD1135" t="s">
        <v>75</v>
      </c>
      <c r="AE1135" t="s">
        <v>103</v>
      </c>
      <c r="AG1135" t="s">
        <v>81</v>
      </c>
    </row>
    <row r="1136" spans="1:33" x14ac:dyDescent="0.25">
      <c r="A1136" t="str">
        <f>"1134459464"</f>
        <v>1134459464</v>
      </c>
      <c r="B1136" t="str">
        <f>"02788576"</f>
        <v>02788576</v>
      </c>
      <c r="C1136" t="s">
        <v>10496</v>
      </c>
      <c r="D1136" t="s">
        <v>10497</v>
      </c>
      <c r="E1136" t="s">
        <v>10498</v>
      </c>
      <c r="G1136" t="s">
        <v>10496</v>
      </c>
      <c r="H1136" t="s">
        <v>6463</v>
      </c>
      <c r="J1136" t="s">
        <v>10499</v>
      </c>
      <c r="L1136" t="s">
        <v>74</v>
      </c>
      <c r="M1136" t="s">
        <v>75</v>
      </c>
      <c r="R1136" t="s">
        <v>10500</v>
      </c>
      <c r="W1136" t="s">
        <v>10498</v>
      </c>
      <c r="X1136" t="s">
        <v>7543</v>
      </c>
      <c r="Y1136" t="s">
        <v>97</v>
      </c>
      <c r="Z1136" t="s">
        <v>77</v>
      </c>
      <c r="AA1136" t="str">
        <f>"10025-2956"</f>
        <v>10025-2956</v>
      </c>
      <c r="AB1136" t="s">
        <v>113</v>
      </c>
      <c r="AC1136" t="s">
        <v>79</v>
      </c>
      <c r="AD1136" t="s">
        <v>75</v>
      </c>
      <c r="AE1136" t="s">
        <v>80</v>
      </c>
      <c r="AG1136" t="s">
        <v>81</v>
      </c>
    </row>
    <row r="1137" spans="1:33" x14ac:dyDescent="0.25">
      <c r="A1137" t="str">
        <f>"1174791412"</f>
        <v>1174791412</v>
      </c>
      <c r="B1137" t="str">
        <f>"03013650"</f>
        <v>03013650</v>
      </c>
      <c r="C1137" t="s">
        <v>10501</v>
      </c>
      <c r="D1137" t="s">
        <v>10502</v>
      </c>
      <c r="E1137" t="s">
        <v>10503</v>
      </c>
      <c r="L1137" t="s">
        <v>105</v>
      </c>
      <c r="M1137" t="s">
        <v>75</v>
      </c>
      <c r="R1137" t="s">
        <v>10504</v>
      </c>
      <c r="W1137" t="s">
        <v>10505</v>
      </c>
      <c r="X1137" t="s">
        <v>1163</v>
      </c>
      <c r="Y1137" t="s">
        <v>97</v>
      </c>
      <c r="Z1137" t="s">
        <v>77</v>
      </c>
      <c r="AA1137" t="str">
        <f>"10029-4413"</f>
        <v>10029-4413</v>
      </c>
      <c r="AB1137" t="s">
        <v>78</v>
      </c>
      <c r="AC1137" t="s">
        <v>79</v>
      </c>
      <c r="AD1137" t="s">
        <v>75</v>
      </c>
      <c r="AE1137" t="s">
        <v>80</v>
      </c>
      <c r="AG1137" t="s">
        <v>81</v>
      </c>
    </row>
    <row r="1138" spans="1:33" x14ac:dyDescent="0.25">
      <c r="A1138" t="str">
        <f>"1902194277"</f>
        <v>1902194277</v>
      </c>
      <c r="B1138" t="str">
        <f>"03916103"</f>
        <v>03916103</v>
      </c>
      <c r="C1138" t="s">
        <v>10506</v>
      </c>
      <c r="D1138" t="s">
        <v>10507</v>
      </c>
      <c r="E1138" t="s">
        <v>10508</v>
      </c>
      <c r="G1138" t="s">
        <v>6494</v>
      </c>
      <c r="H1138" t="s">
        <v>6495</v>
      </c>
      <c r="J1138" t="s">
        <v>6496</v>
      </c>
      <c r="L1138" t="s">
        <v>84</v>
      </c>
      <c r="M1138" t="s">
        <v>75</v>
      </c>
      <c r="R1138" t="s">
        <v>10509</v>
      </c>
      <c r="W1138" t="s">
        <v>10510</v>
      </c>
      <c r="X1138" t="s">
        <v>2587</v>
      </c>
      <c r="Y1138" t="s">
        <v>97</v>
      </c>
      <c r="Z1138" t="s">
        <v>77</v>
      </c>
      <c r="AA1138" t="str">
        <f>"10003-3314"</f>
        <v>10003-3314</v>
      </c>
      <c r="AB1138" t="s">
        <v>78</v>
      </c>
      <c r="AC1138" t="s">
        <v>79</v>
      </c>
      <c r="AD1138" t="s">
        <v>75</v>
      </c>
      <c r="AE1138" t="s">
        <v>80</v>
      </c>
      <c r="AG1138" t="s">
        <v>81</v>
      </c>
    </row>
    <row r="1139" spans="1:33" x14ac:dyDescent="0.25">
      <c r="A1139" t="str">
        <f>"1487611851"</f>
        <v>1487611851</v>
      </c>
      <c r="B1139" t="str">
        <f>"02114198"</f>
        <v>02114198</v>
      </c>
      <c r="C1139" t="s">
        <v>10511</v>
      </c>
      <c r="D1139" t="s">
        <v>1605</v>
      </c>
      <c r="E1139" t="s">
        <v>1604</v>
      </c>
      <c r="G1139" t="s">
        <v>6930</v>
      </c>
      <c r="H1139" t="s">
        <v>6931</v>
      </c>
      <c r="J1139" t="s">
        <v>6932</v>
      </c>
      <c r="L1139" t="s">
        <v>74</v>
      </c>
      <c r="M1139" t="s">
        <v>75</v>
      </c>
      <c r="R1139" t="s">
        <v>1604</v>
      </c>
      <c r="W1139" t="s">
        <v>1606</v>
      </c>
      <c r="X1139" t="s">
        <v>1604</v>
      </c>
      <c r="Y1139" t="s">
        <v>97</v>
      </c>
      <c r="Z1139" t="s">
        <v>77</v>
      </c>
      <c r="AA1139" t="str">
        <f>"10036-8005"</f>
        <v>10036-8005</v>
      </c>
      <c r="AB1139" t="s">
        <v>108</v>
      </c>
      <c r="AC1139" t="s">
        <v>79</v>
      </c>
      <c r="AD1139" t="s">
        <v>75</v>
      </c>
      <c r="AE1139" t="s">
        <v>80</v>
      </c>
      <c r="AG1139" t="s">
        <v>81</v>
      </c>
    </row>
    <row r="1140" spans="1:33" x14ac:dyDescent="0.25">
      <c r="A1140" t="str">
        <f>"1396710521"</f>
        <v>1396710521</v>
      </c>
      <c r="B1140" t="str">
        <f>"02114203"</f>
        <v>02114203</v>
      </c>
      <c r="C1140" t="s">
        <v>10512</v>
      </c>
      <c r="D1140" t="s">
        <v>10513</v>
      </c>
      <c r="E1140" t="s">
        <v>10514</v>
      </c>
      <c r="G1140" t="s">
        <v>6930</v>
      </c>
      <c r="H1140" t="s">
        <v>6931</v>
      </c>
      <c r="J1140" t="s">
        <v>6932</v>
      </c>
      <c r="L1140" t="s">
        <v>74</v>
      </c>
      <c r="M1140" t="s">
        <v>75</v>
      </c>
      <c r="R1140" t="s">
        <v>10514</v>
      </c>
      <c r="W1140" t="s">
        <v>10514</v>
      </c>
      <c r="X1140" t="s">
        <v>1531</v>
      </c>
      <c r="Y1140" t="s">
        <v>97</v>
      </c>
      <c r="Z1140" t="s">
        <v>77</v>
      </c>
      <c r="AA1140" t="str">
        <f>"10036-8005"</f>
        <v>10036-8005</v>
      </c>
      <c r="AB1140" t="s">
        <v>108</v>
      </c>
      <c r="AC1140" t="s">
        <v>79</v>
      </c>
      <c r="AD1140" t="s">
        <v>75</v>
      </c>
      <c r="AE1140" t="s">
        <v>80</v>
      </c>
      <c r="AG1140" t="s">
        <v>81</v>
      </c>
    </row>
    <row r="1141" spans="1:33" x14ac:dyDescent="0.25">
      <c r="A1141" t="str">
        <f>"1881737757"</f>
        <v>1881737757</v>
      </c>
      <c r="B1141" t="str">
        <f>"01925699"</f>
        <v>01925699</v>
      </c>
      <c r="C1141" t="s">
        <v>10515</v>
      </c>
      <c r="D1141" t="s">
        <v>10516</v>
      </c>
      <c r="E1141" t="s">
        <v>10517</v>
      </c>
      <c r="G1141" t="s">
        <v>8248</v>
      </c>
      <c r="H1141" t="s">
        <v>8249</v>
      </c>
      <c r="I1141">
        <v>2626</v>
      </c>
      <c r="J1141" t="s">
        <v>8250</v>
      </c>
      <c r="L1141" t="s">
        <v>84</v>
      </c>
      <c r="M1141" t="s">
        <v>75</v>
      </c>
      <c r="R1141" t="s">
        <v>10518</v>
      </c>
      <c r="W1141" t="s">
        <v>10517</v>
      </c>
      <c r="X1141" t="s">
        <v>10519</v>
      </c>
      <c r="Y1141" t="s">
        <v>87</v>
      </c>
      <c r="Z1141" t="s">
        <v>77</v>
      </c>
      <c r="AA1141" t="str">
        <f>"11230-1133"</f>
        <v>11230-1133</v>
      </c>
      <c r="AB1141" t="s">
        <v>78</v>
      </c>
      <c r="AC1141" t="s">
        <v>79</v>
      </c>
      <c r="AD1141" t="s">
        <v>75</v>
      </c>
      <c r="AE1141" t="s">
        <v>80</v>
      </c>
      <c r="AG1141" t="s">
        <v>81</v>
      </c>
    </row>
    <row r="1142" spans="1:33" x14ac:dyDescent="0.25">
      <c r="A1142" t="str">
        <f>"1417031105"</f>
        <v>1417031105</v>
      </c>
      <c r="B1142" t="str">
        <f>"04307420"</f>
        <v>04307420</v>
      </c>
      <c r="C1142" t="s">
        <v>10520</v>
      </c>
      <c r="D1142" t="s">
        <v>10521</v>
      </c>
      <c r="E1142" t="s">
        <v>10522</v>
      </c>
      <c r="G1142" t="s">
        <v>6800</v>
      </c>
      <c r="H1142" t="s">
        <v>6801</v>
      </c>
      <c r="I1142">
        <v>6381</v>
      </c>
      <c r="J1142" t="s">
        <v>6802</v>
      </c>
      <c r="L1142" t="s">
        <v>74</v>
      </c>
      <c r="M1142" t="s">
        <v>75</v>
      </c>
      <c r="R1142" t="s">
        <v>10523</v>
      </c>
      <c r="W1142" t="s">
        <v>10522</v>
      </c>
      <c r="X1142" t="s">
        <v>4769</v>
      </c>
      <c r="Y1142" t="s">
        <v>97</v>
      </c>
      <c r="Z1142" t="s">
        <v>77</v>
      </c>
      <c r="AA1142" t="str">
        <f>"10038-4812"</f>
        <v>10038-4812</v>
      </c>
      <c r="AB1142" t="s">
        <v>113</v>
      </c>
      <c r="AC1142" t="s">
        <v>79</v>
      </c>
      <c r="AD1142" t="s">
        <v>75</v>
      </c>
      <c r="AE1142" t="s">
        <v>80</v>
      </c>
      <c r="AG1142" t="s">
        <v>81</v>
      </c>
    </row>
    <row r="1143" spans="1:33" x14ac:dyDescent="0.25">
      <c r="A1143" t="str">
        <f>"1497953970"</f>
        <v>1497953970</v>
      </c>
      <c r="C1143" t="s">
        <v>10524</v>
      </c>
      <c r="G1143" t="s">
        <v>6800</v>
      </c>
      <c r="H1143" t="s">
        <v>6801</v>
      </c>
      <c r="I1143">
        <v>6381</v>
      </c>
      <c r="J1143" t="s">
        <v>6802</v>
      </c>
      <c r="K1143" t="s">
        <v>99</v>
      </c>
      <c r="L1143" t="s">
        <v>102</v>
      </c>
      <c r="M1143" t="s">
        <v>75</v>
      </c>
      <c r="R1143" t="s">
        <v>10525</v>
      </c>
      <c r="S1143" t="s">
        <v>10526</v>
      </c>
      <c r="T1143" t="s">
        <v>97</v>
      </c>
      <c r="U1143" t="s">
        <v>77</v>
      </c>
      <c r="V1143" t="str">
        <f>"100261253"</f>
        <v>100261253</v>
      </c>
      <c r="AC1143" t="s">
        <v>79</v>
      </c>
      <c r="AD1143" t="s">
        <v>75</v>
      </c>
      <c r="AE1143" t="s">
        <v>103</v>
      </c>
      <c r="AG1143" t="s">
        <v>81</v>
      </c>
    </row>
    <row r="1144" spans="1:33" x14ac:dyDescent="0.25">
      <c r="A1144" t="str">
        <f>"1356414619"</f>
        <v>1356414619</v>
      </c>
      <c r="B1144" t="str">
        <f>"00705977"</f>
        <v>00705977</v>
      </c>
      <c r="C1144" t="s">
        <v>10527</v>
      </c>
      <c r="D1144" t="s">
        <v>10528</v>
      </c>
      <c r="E1144" t="s">
        <v>10529</v>
      </c>
      <c r="L1144" t="s">
        <v>105</v>
      </c>
      <c r="M1144" t="s">
        <v>85</v>
      </c>
      <c r="R1144" t="s">
        <v>10530</v>
      </c>
      <c r="W1144" t="s">
        <v>10529</v>
      </c>
      <c r="Y1144" t="s">
        <v>139</v>
      </c>
      <c r="Z1144" t="s">
        <v>77</v>
      </c>
      <c r="AA1144" t="str">
        <f>"11355-5046"</f>
        <v>11355-5046</v>
      </c>
      <c r="AB1144" t="s">
        <v>78</v>
      </c>
      <c r="AC1144" t="s">
        <v>79</v>
      </c>
      <c r="AD1144" t="s">
        <v>75</v>
      </c>
      <c r="AE1144" t="s">
        <v>80</v>
      </c>
      <c r="AG1144" t="s">
        <v>81</v>
      </c>
    </row>
    <row r="1145" spans="1:33" x14ac:dyDescent="0.25">
      <c r="A1145" t="str">
        <f>"1366638769"</f>
        <v>1366638769</v>
      </c>
      <c r="B1145" t="str">
        <f>"01151413"</f>
        <v>01151413</v>
      </c>
      <c r="C1145" t="s">
        <v>10531</v>
      </c>
      <c r="D1145" t="s">
        <v>10532</v>
      </c>
      <c r="E1145" t="s">
        <v>10533</v>
      </c>
      <c r="L1145" t="s">
        <v>102</v>
      </c>
      <c r="M1145" t="s">
        <v>75</v>
      </c>
      <c r="R1145" t="s">
        <v>10534</v>
      </c>
      <c r="W1145" t="s">
        <v>10533</v>
      </c>
      <c r="AB1145" t="s">
        <v>78</v>
      </c>
      <c r="AC1145" t="s">
        <v>79</v>
      </c>
      <c r="AD1145" t="s">
        <v>75</v>
      </c>
      <c r="AE1145" t="s">
        <v>80</v>
      </c>
      <c r="AG1145" t="s">
        <v>81</v>
      </c>
    </row>
    <row r="1146" spans="1:33" x14ac:dyDescent="0.25">
      <c r="A1146" t="str">
        <f>"1871583641"</f>
        <v>1871583641</v>
      </c>
      <c r="B1146" t="str">
        <f>"02229385"</f>
        <v>02229385</v>
      </c>
      <c r="C1146" t="s">
        <v>10535</v>
      </c>
      <c r="D1146" t="s">
        <v>10536</v>
      </c>
      <c r="E1146" t="s">
        <v>10537</v>
      </c>
      <c r="G1146" t="s">
        <v>6800</v>
      </c>
      <c r="H1146" t="s">
        <v>6801</v>
      </c>
      <c r="I1146">
        <v>6381</v>
      </c>
      <c r="J1146" t="s">
        <v>6802</v>
      </c>
      <c r="L1146" t="s">
        <v>105</v>
      </c>
      <c r="M1146" t="s">
        <v>85</v>
      </c>
      <c r="R1146" t="s">
        <v>10538</v>
      </c>
      <c r="W1146" t="s">
        <v>10537</v>
      </c>
      <c r="X1146" t="s">
        <v>10539</v>
      </c>
      <c r="Y1146" t="s">
        <v>1779</v>
      </c>
      <c r="Z1146" t="s">
        <v>77</v>
      </c>
      <c r="AA1146" t="str">
        <f>"11572-1551"</f>
        <v>11572-1551</v>
      </c>
      <c r="AB1146" t="s">
        <v>78</v>
      </c>
      <c r="AC1146" t="s">
        <v>79</v>
      </c>
      <c r="AD1146" t="s">
        <v>75</v>
      </c>
      <c r="AE1146" t="s">
        <v>80</v>
      </c>
      <c r="AG1146" t="s">
        <v>81</v>
      </c>
    </row>
    <row r="1147" spans="1:33" x14ac:dyDescent="0.25">
      <c r="A1147" t="str">
        <f>"1770521205"</f>
        <v>1770521205</v>
      </c>
      <c r="B1147" t="str">
        <f>"02349957"</f>
        <v>02349957</v>
      </c>
      <c r="C1147" t="s">
        <v>10540</v>
      </c>
      <c r="D1147" t="s">
        <v>10541</v>
      </c>
      <c r="E1147" t="s">
        <v>10542</v>
      </c>
      <c r="G1147" t="s">
        <v>6800</v>
      </c>
      <c r="H1147" t="s">
        <v>6801</v>
      </c>
      <c r="I1147">
        <v>6381</v>
      </c>
      <c r="J1147" t="s">
        <v>6802</v>
      </c>
      <c r="L1147" t="s">
        <v>83</v>
      </c>
      <c r="M1147" t="s">
        <v>85</v>
      </c>
      <c r="R1147" t="s">
        <v>10543</v>
      </c>
      <c r="W1147" t="s">
        <v>10542</v>
      </c>
      <c r="Y1147" t="s">
        <v>87</v>
      </c>
      <c r="Z1147" t="s">
        <v>77</v>
      </c>
      <c r="AA1147" t="str">
        <f>"11212-3139"</f>
        <v>11212-3139</v>
      </c>
      <c r="AB1147" t="s">
        <v>78</v>
      </c>
      <c r="AC1147" t="s">
        <v>79</v>
      </c>
      <c r="AD1147" t="s">
        <v>75</v>
      </c>
      <c r="AE1147" t="s">
        <v>80</v>
      </c>
      <c r="AG1147" t="s">
        <v>81</v>
      </c>
    </row>
    <row r="1148" spans="1:33" x14ac:dyDescent="0.25">
      <c r="A1148" t="str">
        <f>"1851341820"</f>
        <v>1851341820</v>
      </c>
      <c r="B1148" t="str">
        <f>"01565737"</f>
        <v>01565737</v>
      </c>
      <c r="C1148" t="s">
        <v>10544</v>
      </c>
      <c r="D1148" t="s">
        <v>10545</v>
      </c>
      <c r="E1148" t="s">
        <v>10546</v>
      </c>
      <c r="L1148" t="s">
        <v>83</v>
      </c>
      <c r="M1148" t="s">
        <v>75</v>
      </c>
      <c r="R1148" t="s">
        <v>10547</v>
      </c>
      <c r="W1148" t="s">
        <v>10546</v>
      </c>
      <c r="X1148" t="s">
        <v>4561</v>
      </c>
      <c r="Y1148" t="s">
        <v>238</v>
      </c>
      <c r="Z1148" t="s">
        <v>77</v>
      </c>
      <c r="AA1148" t="str">
        <f>"11576"</f>
        <v>11576</v>
      </c>
      <c r="AB1148" t="s">
        <v>78</v>
      </c>
      <c r="AC1148" t="s">
        <v>79</v>
      </c>
      <c r="AD1148" t="s">
        <v>75</v>
      </c>
      <c r="AE1148" t="s">
        <v>80</v>
      </c>
      <c r="AG1148" t="s">
        <v>81</v>
      </c>
    </row>
    <row r="1149" spans="1:33" x14ac:dyDescent="0.25">
      <c r="A1149" t="str">
        <f>"1871530873"</f>
        <v>1871530873</v>
      </c>
      <c r="B1149" t="str">
        <f>"02568610"</f>
        <v>02568610</v>
      </c>
      <c r="C1149" t="s">
        <v>10548</v>
      </c>
      <c r="D1149" t="s">
        <v>10549</v>
      </c>
      <c r="E1149" t="s">
        <v>10550</v>
      </c>
      <c r="G1149" t="s">
        <v>10548</v>
      </c>
      <c r="H1149" t="s">
        <v>10551</v>
      </c>
      <c r="J1149" t="s">
        <v>10552</v>
      </c>
      <c r="L1149" t="s">
        <v>74</v>
      </c>
      <c r="M1149" t="s">
        <v>75</v>
      </c>
      <c r="R1149" t="s">
        <v>10553</v>
      </c>
      <c r="W1149" t="s">
        <v>10550</v>
      </c>
      <c r="X1149" t="s">
        <v>533</v>
      </c>
      <c r="Y1149" t="s">
        <v>131</v>
      </c>
      <c r="Z1149" t="s">
        <v>77</v>
      </c>
      <c r="AA1149" t="str">
        <f>"10460-4101"</f>
        <v>10460-4101</v>
      </c>
      <c r="AB1149" t="s">
        <v>78</v>
      </c>
      <c r="AC1149" t="s">
        <v>79</v>
      </c>
      <c r="AD1149" t="s">
        <v>75</v>
      </c>
      <c r="AE1149" t="s">
        <v>80</v>
      </c>
      <c r="AG1149" t="s">
        <v>81</v>
      </c>
    </row>
    <row r="1150" spans="1:33" x14ac:dyDescent="0.25">
      <c r="A1150" t="str">
        <f>"1609843341"</f>
        <v>1609843341</v>
      </c>
      <c r="B1150" t="str">
        <f>"02531744"</f>
        <v>02531744</v>
      </c>
      <c r="C1150" t="s">
        <v>10554</v>
      </c>
      <c r="D1150" t="s">
        <v>1545</v>
      </c>
      <c r="E1150" t="s">
        <v>1546</v>
      </c>
      <c r="G1150" t="s">
        <v>6930</v>
      </c>
      <c r="H1150" t="s">
        <v>6931</v>
      </c>
      <c r="J1150" t="s">
        <v>6932</v>
      </c>
      <c r="L1150" t="s">
        <v>83</v>
      </c>
      <c r="M1150" t="s">
        <v>75</v>
      </c>
      <c r="R1150" t="s">
        <v>1544</v>
      </c>
      <c r="W1150" t="s">
        <v>1546</v>
      </c>
      <c r="X1150" t="s">
        <v>1531</v>
      </c>
      <c r="Y1150" t="s">
        <v>97</v>
      </c>
      <c r="Z1150" t="s">
        <v>77</v>
      </c>
      <c r="AA1150" t="str">
        <f>"10036-8005"</f>
        <v>10036-8005</v>
      </c>
      <c r="AB1150" t="s">
        <v>108</v>
      </c>
      <c r="AC1150" t="s">
        <v>79</v>
      </c>
      <c r="AD1150" t="s">
        <v>75</v>
      </c>
      <c r="AE1150" t="s">
        <v>80</v>
      </c>
      <c r="AG1150" t="s">
        <v>81</v>
      </c>
    </row>
    <row r="1151" spans="1:33" x14ac:dyDescent="0.25">
      <c r="A1151" t="str">
        <f>"1154409613"</f>
        <v>1154409613</v>
      </c>
      <c r="B1151" t="str">
        <f>"02652555"</f>
        <v>02652555</v>
      </c>
      <c r="C1151" t="s">
        <v>10555</v>
      </c>
      <c r="D1151" t="s">
        <v>10556</v>
      </c>
      <c r="E1151" t="s">
        <v>10557</v>
      </c>
      <c r="G1151" t="s">
        <v>6930</v>
      </c>
      <c r="H1151" t="s">
        <v>6931</v>
      </c>
      <c r="J1151" t="s">
        <v>6932</v>
      </c>
      <c r="L1151" t="s">
        <v>83</v>
      </c>
      <c r="M1151" t="s">
        <v>75</v>
      </c>
      <c r="R1151" t="s">
        <v>10557</v>
      </c>
      <c r="W1151" t="s">
        <v>10557</v>
      </c>
      <c r="X1151" t="s">
        <v>10558</v>
      </c>
      <c r="Y1151" t="s">
        <v>97</v>
      </c>
      <c r="Z1151" t="s">
        <v>77</v>
      </c>
      <c r="AA1151" t="str">
        <f>"10036-8005"</f>
        <v>10036-8005</v>
      </c>
      <c r="AB1151" t="s">
        <v>108</v>
      </c>
      <c r="AC1151" t="s">
        <v>79</v>
      </c>
      <c r="AD1151" t="s">
        <v>75</v>
      </c>
      <c r="AE1151" t="s">
        <v>80</v>
      </c>
      <c r="AG1151" t="s">
        <v>81</v>
      </c>
    </row>
    <row r="1152" spans="1:33" x14ac:dyDescent="0.25">
      <c r="A1152" t="str">
        <f>"1891018875"</f>
        <v>1891018875</v>
      </c>
      <c r="B1152" t="str">
        <f>"03570418"</f>
        <v>03570418</v>
      </c>
      <c r="C1152" t="s">
        <v>10559</v>
      </c>
      <c r="D1152" t="s">
        <v>10560</v>
      </c>
      <c r="E1152" t="s">
        <v>10561</v>
      </c>
      <c r="G1152" t="s">
        <v>6800</v>
      </c>
      <c r="H1152" t="s">
        <v>6801</v>
      </c>
      <c r="I1152">
        <v>6381</v>
      </c>
      <c r="J1152" t="s">
        <v>6802</v>
      </c>
      <c r="L1152" t="s">
        <v>74</v>
      </c>
      <c r="M1152" t="s">
        <v>75</v>
      </c>
      <c r="R1152" t="s">
        <v>10562</v>
      </c>
      <c r="W1152" t="s">
        <v>10561</v>
      </c>
      <c r="X1152" t="s">
        <v>8686</v>
      </c>
      <c r="Y1152" t="s">
        <v>145</v>
      </c>
      <c r="Z1152" t="s">
        <v>77</v>
      </c>
      <c r="AA1152" t="str">
        <f>"11361-3241"</f>
        <v>11361-3241</v>
      </c>
      <c r="AB1152" t="s">
        <v>114</v>
      </c>
      <c r="AC1152" t="s">
        <v>79</v>
      </c>
      <c r="AD1152" t="s">
        <v>75</v>
      </c>
      <c r="AE1152" t="s">
        <v>80</v>
      </c>
      <c r="AG1152" t="s">
        <v>81</v>
      </c>
    </row>
    <row r="1153" spans="1:33" x14ac:dyDescent="0.25">
      <c r="A1153" t="str">
        <f>"1831421536"</f>
        <v>1831421536</v>
      </c>
      <c r="B1153" t="str">
        <f>"03575564"</f>
        <v>03575564</v>
      </c>
      <c r="C1153" t="s">
        <v>10563</v>
      </c>
      <c r="D1153" t="s">
        <v>10564</v>
      </c>
      <c r="E1153" t="s">
        <v>10565</v>
      </c>
      <c r="G1153" t="s">
        <v>6800</v>
      </c>
      <c r="H1153" t="s">
        <v>6801</v>
      </c>
      <c r="I1153">
        <v>6381</v>
      </c>
      <c r="J1153" t="s">
        <v>6802</v>
      </c>
      <c r="L1153" t="s">
        <v>74</v>
      </c>
      <c r="M1153" t="s">
        <v>75</v>
      </c>
      <c r="R1153" t="s">
        <v>10566</v>
      </c>
      <c r="W1153" t="s">
        <v>10565</v>
      </c>
      <c r="X1153" t="s">
        <v>9151</v>
      </c>
      <c r="Y1153" t="s">
        <v>97</v>
      </c>
      <c r="Z1153" t="s">
        <v>77</v>
      </c>
      <c r="AA1153" t="str">
        <f>"10001-2320"</f>
        <v>10001-2320</v>
      </c>
      <c r="AB1153" t="s">
        <v>114</v>
      </c>
      <c r="AC1153" t="s">
        <v>79</v>
      </c>
      <c r="AD1153" t="s">
        <v>75</v>
      </c>
      <c r="AE1153" t="s">
        <v>80</v>
      </c>
      <c r="AG1153" t="s">
        <v>81</v>
      </c>
    </row>
    <row r="1154" spans="1:33" x14ac:dyDescent="0.25">
      <c r="A1154" t="str">
        <f>"1053515056"</f>
        <v>1053515056</v>
      </c>
      <c r="B1154" t="str">
        <f>"03582767"</f>
        <v>03582767</v>
      </c>
      <c r="C1154" t="s">
        <v>10567</v>
      </c>
      <c r="D1154" t="s">
        <v>10568</v>
      </c>
      <c r="E1154" t="s">
        <v>10569</v>
      </c>
      <c r="G1154" t="s">
        <v>6800</v>
      </c>
      <c r="H1154" t="s">
        <v>6801</v>
      </c>
      <c r="I1154">
        <v>6381</v>
      </c>
      <c r="J1154" t="s">
        <v>6802</v>
      </c>
      <c r="L1154" t="s">
        <v>74</v>
      </c>
      <c r="M1154" t="s">
        <v>75</v>
      </c>
      <c r="R1154" t="s">
        <v>10570</v>
      </c>
      <c r="W1154" t="s">
        <v>10569</v>
      </c>
      <c r="X1154" t="s">
        <v>3458</v>
      </c>
      <c r="Y1154" t="s">
        <v>87</v>
      </c>
      <c r="Z1154" t="s">
        <v>77</v>
      </c>
      <c r="AA1154" t="str">
        <f>"11201-4300"</f>
        <v>11201-4300</v>
      </c>
      <c r="AB1154" t="s">
        <v>114</v>
      </c>
      <c r="AC1154" t="s">
        <v>79</v>
      </c>
      <c r="AD1154" t="s">
        <v>75</v>
      </c>
      <c r="AE1154" t="s">
        <v>80</v>
      </c>
      <c r="AG1154" t="s">
        <v>81</v>
      </c>
    </row>
    <row r="1155" spans="1:33" x14ac:dyDescent="0.25">
      <c r="A1155" t="str">
        <f>"1023261310"</f>
        <v>1023261310</v>
      </c>
      <c r="B1155" t="str">
        <f>"03608555"</f>
        <v>03608555</v>
      </c>
      <c r="C1155" t="s">
        <v>10571</v>
      </c>
      <c r="D1155" t="s">
        <v>10572</v>
      </c>
      <c r="E1155" t="s">
        <v>10573</v>
      </c>
      <c r="G1155" t="s">
        <v>6800</v>
      </c>
      <c r="H1155" t="s">
        <v>6801</v>
      </c>
      <c r="I1155">
        <v>6381</v>
      </c>
      <c r="J1155" t="s">
        <v>6802</v>
      </c>
      <c r="L1155" t="s">
        <v>74</v>
      </c>
      <c r="M1155" t="s">
        <v>85</v>
      </c>
      <c r="R1155" t="s">
        <v>10574</v>
      </c>
      <c r="W1155" t="s">
        <v>10573</v>
      </c>
      <c r="X1155" t="s">
        <v>8509</v>
      </c>
      <c r="Y1155" t="s">
        <v>145</v>
      </c>
      <c r="Z1155" t="s">
        <v>77</v>
      </c>
      <c r="AA1155" t="str">
        <f>"11361-3241"</f>
        <v>11361-3241</v>
      </c>
      <c r="AB1155" t="s">
        <v>78</v>
      </c>
      <c r="AC1155" t="s">
        <v>79</v>
      </c>
      <c r="AD1155" t="s">
        <v>75</v>
      </c>
      <c r="AE1155" t="s">
        <v>80</v>
      </c>
      <c r="AG1155" t="s">
        <v>81</v>
      </c>
    </row>
    <row r="1156" spans="1:33" x14ac:dyDescent="0.25">
      <c r="A1156" t="str">
        <f>"1245434158"</f>
        <v>1245434158</v>
      </c>
      <c r="C1156" t="s">
        <v>10575</v>
      </c>
      <c r="G1156" t="s">
        <v>6800</v>
      </c>
      <c r="H1156" t="s">
        <v>6801</v>
      </c>
      <c r="I1156">
        <v>6381</v>
      </c>
      <c r="J1156" t="s">
        <v>6802</v>
      </c>
      <c r="K1156" t="s">
        <v>99</v>
      </c>
      <c r="L1156" t="s">
        <v>74</v>
      </c>
      <c r="M1156" t="s">
        <v>75</v>
      </c>
      <c r="R1156" t="s">
        <v>10576</v>
      </c>
      <c r="S1156" t="s">
        <v>6229</v>
      </c>
      <c r="T1156" t="s">
        <v>97</v>
      </c>
      <c r="U1156" t="s">
        <v>77</v>
      </c>
      <c r="V1156" t="str">
        <f>"100012320"</f>
        <v>100012320</v>
      </c>
      <c r="AC1156" t="s">
        <v>79</v>
      </c>
      <c r="AD1156" t="s">
        <v>75</v>
      </c>
      <c r="AE1156" t="s">
        <v>103</v>
      </c>
      <c r="AG1156" t="s">
        <v>81</v>
      </c>
    </row>
    <row r="1157" spans="1:33" x14ac:dyDescent="0.25">
      <c r="A1157" t="str">
        <f>"1831417021"</f>
        <v>1831417021</v>
      </c>
      <c r="B1157" t="str">
        <f>"03744103"</f>
        <v>03744103</v>
      </c>
      <c r="C1157" t="s">
        <v>10577</v>
      </c>
      <c r="D1157" t="s">
        <v>10578</v>
      </c>
      <c r="E1157" t="s">
        <v>10579</v>
      </c>
      <c r="G1157" t="s">
        <v>10577</v>
      </c>
      <c r="H1157" t="s">
        <v>10580</v>
      </c>
      <c r="I1157">
        <v>1007</v>
      </c>
      <c r="J1157" t="s">
        <v>10581</v>
      </c>
      <c r="L1157" t="s">
        <v>74</v>
      </c>
      <c r="M1157" t="s">
        <v>75</v>
      </c>
      <c r="R1157" t="s">
        <v>10582</v>
      </c>
      <c r="W1157" t="s">
        <v>10583</v>
      </c>
      <c r="X1157" t="s">
        <v>333</v>
      </c>
      <c r="Y1157" t="s">
        <v>97</v>
      </c>
      <c r="Z1157" t="s">
        <v>77</v>
      </c>
      <c r="AA1157" t="str">
        <f>"10016-9196"</f>
        <v>10016-9196</v>
      </c>
      <c r="AB1157" t="s">
        <v>78</v>
      </c>
      <c r="AC1157" t="s">
        <v>79</v>
      </c>
      <c r="AD1157" t="s">
        <v>75</v>
      </c>
      <c r="AE1157" t="s">
        <v>80</v>
      </c>
      <c r="AG1157" t="s">
        <v>81</v>
      </c>
    </row>
    <row r="1158" spans="1:33" x14ac:dyDescent="0.25">
      <c r="A1158" t="str">
        <f>"1083818801"</f>
        <v>1083818801</v>
      </c>
      <c r="B1158" t="str">
        <f>"02821956"</f>
        <v>02821956</v>
      </c>
      <c r="C1158" t="s">
        <v>10584</v>
      </c>
      <c r="D1158" t="s">
        <v>10585</v>
      </c>
      <c r="E1158" t="s">
        <v>10586</v>
      </c>
      <c r="G1158" t="s">
        <v>6800</v>
      </c>
      <c r="H1158" t="s">
        <v>6801</v>
      </c>
      <c r="I1158">
        <v>6381</v>
      </c>
      <c r="J1158" t="s">
        <v>6802</v>
      </c>
      <c r="L1158" t="s">
        <v>74</v>
      </c>
      <c r="M1158" t="s">
        <v>75</v>
      </c>
      <c r="R1158" t="s">
        <v>10587</v>
      </c>
      <c r="W1158" t="s">
        <v>10586</v>
      </c>
      <c r="X1158" t="s">
        <v>2997</v>
      </c>
      <c r="Y1158" t="s">
        <v>87</v>
      </c>
      <c r="Z1158" t="s">
        <v>77</v>
      </c>
      <c r="AA1158" t="str">
        <f>"11201-4333"</f>
        <v>11201-4333</v>
      </c>
      <c r="AB1158" t="s">
        <v>109</v>
      </c>
      <c r="AC1158" t="s">
        <v>79</v>
      </c>
      <c r="AD1158" t="s">
        <v>75</v>
      </c>
      <c r="AE1158" t="s">
        <v>80</v>
      </c>
      <c r="AG1158" t="s">
        <v>81</v>
      </c>
    </row>
    <row r="1159" spans="1:33" x14ac:dyDescent="0.25">
      <c r="A1159" t="str">
        <f>"1346321072"</f>
        <v>1346321072</v>
      </c>
      <c r="B1159" t="str">
        <f>"02845018"</f>
        <v>02845018</v>
      </c>
      <c r="C1159" t="s">
        <v>10588</v>
      </c>
      <c r="D1159" t="s">
        <v>10589</v>
      </c>
      <c r="E1159" t="s">
        <v>10590</v>
      </c>
      <c r="G1159" t="s">
        <v>6800</v>
      </c>
      <c r="H1159" t="s">
        <v>6801</v>
      </c>
      <c r="I1159">
        <v>6381</v>
      </c>
      <c r="J1159" t="s">
        <v>6802</v>
      </c>
      <c r="L1159" t="s">
        <v>74</v>
      </c>
      <c r="M1159" t="s">
        <v>75</v>
      </c>
      <c r="R1159" t="s">
        <v>10591</v>
      </c>
      <c r="W1159" t="s">
        <v>10590</v>
      </c>
      <c r="X1159" t="s">
        <v>3458</v>
      </c>
      <c r="Y1159" t="s">
        <v>87</v>
      </c>
      <c r="Z1159" t="s">
        <v>77</v>
      </c>
      <c r="AA1159" t="str">
        <f>"11201-4300"</f>
        <v>11201-4300</v>
      </c>
      <c r="AB1159" t="s">
        <v>109</v>
      </c>
      <c r="AC1159" t="s">
        <v>79</v>
      </c>
      <c r="AD1159" t="s">
        <v>75</v>
      </c>
      <c r="AE1159" t="s">
        <v>80</v>
      </c>
      <c r="AG1159" t="s">
        <v>81</v>
      </c>
    </row>
    <row r="1160" spans="1:33" x14ac:dyDescent="0.25">
      <c r="A1160" t="str">
        <f>"1275667339"</f>
        <v>1275667339</v>
      </c>
      <c r="B1160" t="str">
        <f>"02862119"</f>
        <v>02862119</v>
      </c>
      <c r="C1160" t="s">
        <v>10592</v>
      </c>
      <c r="D1160" t="s">
        <v>10593</v>
      </c>
      <c r="E1160" t="s">
        <v>10594</v>
      </c>
      <c r="G1160" t="s">
        <v>6800</v>
      </c>
      <c r="H1160" t="s">
        <v>6801</v>
      </c>
      <c r="I1160">
        <v>6381</v>
      </c>
      <c r="J1160" t="s">
        <v>6802</v>
      </c>
      <c r="L1160" t="s">
        <v>74</v>
      </c>
      <c r="M1160" t="s">
        <v>75</v>
      </c>
      <c r="R1160" t="s">
        <v>10595</v>
      </c>
      <c r="W1160" t="s">
        <v>10594</v>
      </c>
      <c r="X1160" t="s">
        <v>8686</v>
      </c>
      <c r="Y1160" t="s">
        <v>145</v>
      </c>
      <c r="Z1160" t="s">
        <v>77</v>
      </c>
      <c r="AA1160" t="str">
        <f>"11361-3241"</f>
        <v>11361-3241</v>
      </c>
      <c r="AB1160" t="s">
        <v>109</v>
      </c>
      <c r="AC1160" t="s">
        <v>79</v>
      </c>
      <c r="AD1160" t="s">
        <v>75</v>
      </c>
      <c r="AE1160" t="s">
        <v>80</v>
      </c>
      <c r="AG1160" t="s">
        <v>81</v>
      </c>
    </row>
    <row r="1161" spans="1:33" x14ac:dyDescent="0.25">
      <c r="A1161" t="str">
        <f>"1851545503"</f>
        <v>1851545503</v>
      </c>
      <c r="B1161" t="str">
        <f>"03759322"</f>
        <v>03759322</v>
      </c>
      <c r="C1161" t="s">
        <v>10596</v>
      </c>
      <c r="D1161" t="s">
        <v>10597</v>
      </c>
      <c r="E1161" t="s">
        <v>10598</v>
      </c>
      <c r="L1161" t="s">
        <v>74</v>
      </c>
      <c r="M1161" t="s">
        <v>75</v>
      </c>
      <c r="R1161" t="s">
        <v>10599</v>
      </c>
      <c r="W1161" t="s">
        <v>10598</v>
      </c>
      <c r="X1161" t="s">
        <v>10600</v>
      </c>
      <c r="Y1161" t="s">
        <v>97</v>
      </c>
      <c r="Z1161" t="s">
        <v>77</v>
      </c>
      <c r="AA1161" t="str">
        <f>"10029-0312"</f>
        <v>10029-0312</v>
      </c>
      <c r="AB1161" t="s">
        <v>78</v>
      </c>
      <c r="AC1161" t="s">
        <v>79</v>
      </c>
      <c r="AD1161" t="s">
        <v>75</v>
      </c>
      <c r="AE1161" t="s">
        <v>80</v>
      </c>
      <c r="AG1161" t="s">
        <v>81</v>
      </c>
    </row>
    <row r="1162" spans="1:33" x14ac:dyDescent="0.25">
      <c r="A1162" t="str">
        <f>"1033418983"</f>
        <v>1033418983</v>
      </c>
      <c r="C1162" t="s">
        <v>10601</v>
      </c>
      <c r="G1162" t="s">
        <v>10601</v>
      </c>
      <c r="H1162" t="s">
        <v>7233</v>
      </c>
      <c r="J1162" t="s">
        <v>10602</v>
      </c>
      <c r="K1162" t="s">
        <v>99</v>
      </c>
      <c r="L1162" t="s">
        <v>102</v>
      </c>
      <c r="M1162" t="s">
        <v>75</v>
      </c>
      <c r="R1162" t="s">
        <v>10603</v>
      </c>
      <c r="S1162" t="s">
        <v>333</v>
      </c>
      <c r="T1162" t="s">
        <v>97</v>
      </c>
      <c r="U1162" t="s">
        <v>77</v>
      </c>
      <c r="V1162" t="str">
        <f>"100169196"</f>
        <v>100169196</v>
      </c>
      <c r="AC1162" t="s">
        <v>79</v>
      </c>
      <c r="AD1162" t="s">
        <v>75</v>
      </c>
      <c r="AE1162" t="s">
        <v>103</v>
      </c>
      <c r="AG1162" t="s">
        <v>81</v>
      </c>
    </row>
    <row r="1163" spans="1:33" x14ac:dyDescent="0.25">
      <c r="A1163" t="str">
        <f>"1083749477"</f>
        <v>1083749477</v>
      </c>
      <c r="B1163" t="str">
        <f>"02268615"</f>
        <v>02268615</v>
      </c>
      <c r="C1163" t="s">
        <v>10604</v>
      </c>
      <c r="D1163" t="s">
        <v>10605</v>
      </c>
      <c r="E1163" t="s">
        <v>10606</v>
      </c>
      <c r="G1163" t="s">
        <v>10604</v>
      </c>
      <c r="H1163" t="s">
        <v>6463</v>
      </c>
      <c r="I1163">
        <v>1357</v>
      </c>
      <c r="J1163" t="s">
        <v>10607</v>
      </c>
      <c r="L1163" t="s">
        <v>105</v>
      </c>
      <c r="M1163" t="s">
        <v>75</v>
      </c>
      <c r="R1163" t="s">
        <v>10608</v>
      </c>
      <c r="W1163" t="s">
        <v>10609</v>
      </c>
      <c r="X1163" t="s">
        <v>181</v>
      </c>
      <c r="Y1163" t="s">
        <v>97</v>
      </c>
      <c r="Z1163" t="s">
        <v>77</v>
      </c>
      <c r="AA1163" t="str">
        <f>"10025-1716"</f>
        <v>10025-1716</v>
      </c>
      <c r="AB1163" t="s">
        <v>78</v>
      </c>
      <c r="AC1163" t="s">
        <v>79</v>
      </c>
      <c r="AD1163" t="s">
        <v>75</v>
      </c>
      <c r="AE1163" t="s">
        <v>80</v>
      </c>
      <c r="AG1163" t="s">
        <v>81</v>
      </c>
    </row>
    <row r="1164" spans="1:33" x14ac:dyDescent="0.25">
      <c r="A1164" t="str">
        <f>"1114240355"</f>
        <v>1114240355</v>
      </c>
      <c r="B1164" t="str">
        <f>"03566887"</f>
        <v>03566887</v>
      </c>
      <c r="C1164" t="s">
        <v>10610</v>
      </c>
      <c r="D1164" t="s">
        <v>10611</v>
      </c>
      <c r="E1164" t="s">
        <v>10612</v>
      </c>
      <c r="G1164" t="s">
        <v>10610</v>
      </c>
      <c r="H1164" t="s">
        <v>6463</v>
      </c>
      <c r="I1164">
        <v>1367</v>
      </c>
      <c r="J1164" t="s">
        <v>10613</v>
      </c>
      <c r="L1164" t="s">
        <v>102</v>
      </c>
      <c r="M1164" t="s">
        <v>75</v>
      </c>
      <c r="R1164" t="s">
        <v>10614</v>
      </c>
      <c r="W1164" t="s">
        <v>10612</v>
      </c>
      <c r="X1164" t="s">
        <v>9175</v>
      </c>
      <c r="Y1164" t="s">
        <v>97</v>
      </c>
      <c r="Z1164" t="s">
        <v>77</v>
      </c>
      <c r="AA1164" t="str">
        <f>"10025"</f>
        <v>10025</v>
      </c>
      <c r="AB1164" t="s">
        <v>113</v>
      </c>
      <c r="AC1164" t="s">
        <v>79</v>
      </c>
      <c r="AD1164" t="s">
        <v>75</v>
      </c>
      <c r="AE1164" t="s">
        <v>80</v>
      </c>
      <c r="AG1164" t="s">
        <v>81</v>
      </c>
    </row>
    <row r="1165" spans="1:33" x14ac:dyDescent="0.25">
      <c r="A1165" t="str">
        <f>"1194064329"</f>
        <v>1194064329</v>
      </c>
      <c r="C1165" t="s">
        <v>10615</v>
      </c>
      <c r="G1165" t="s">
        <v>10615</v>
      </c>
      <c r="H1165" t="s">
        <v>6463</v>
      </c>
      <c r="I1165">
        <v>1402</v>
      </c>
      <c r="J1165" t="s">
        <v>10616</v>
      </c>
      <c r="K1165" t="s">
        <v>99</v>
      </c>
      <c r="L1165" t="s">
        <v>102</v>
      </c>
      <c r="M1165" t="s">
        <v>75</v>
      </c>
      <c r="R1165" t="s">
        <v>10617</v>
      </c>
      <c r="S1165" t="s">
        <v>7543</v>
      </c>
      <c r="T1165" t="s">
        <v>97</v>
      </c>
      <c r="U1165" t="s">
        <v>77</v>
      </c>
      <c r="V1165" t="str">
        <f>"100252956"</f>
        <v>100252956</v>
      </c>
      <c r="AC1165" t="s">
        <v>79</v>
      </c>
      <c r="AD1165" t="s">
        <v>75</v>
      </c>
      <c r="AE1165" t="s">
        <v>103</v>
      </c>
      <c r="AG1165" t="s">
        <v>81</v>
      </c>
    </row>
    <row r="1166" spans="1:33" x14ac:dyDescent="0.25">
      <c r="A1166" t="str">
        <f>"1265718118"</f>
        <v>1265718118</v>
      </c>
      <c r="B1166" t="str">
        <f>"03734250"</f>
        <v>03734250</v>
      </c>
      <c r="C1166" t="s">
        <v>10618</v>
      </c>
      <c r="D1166" t="s">
        <v>10619</v>
      </c>
      <c r="E1166" t="s">
        <v>10620</v>
      </c>
      <c r="G1166" t="s">
        <v>6380</v>
      </c>
      <c r="H1166" t="s">
        <v>4625</v>
      </c>
      <c r="J1166" t="s">
        <v>6381</v>
      </c>
      <c r="L1166" t="s">
        <v>84</v>
      </c>
      <c r="M1166" t="s">
        <v>85</v>
      </c>
      <c r="R1166" t="s">
        <v>10620</v>
      </c>
      <c r="W1166" t="s">
        <v>10620</v>
      </c>
      <c r="X1166" t="s">
        <v>1822</v>
      </c>
      <c r="Y1166" t="s">
        <v>1823</v>
      </c>
      <c r="Z1166" t="s">
        <v>77</v>
      </c>
      <c r="AA1166" t="str">
        <f>"10941-4028"</f>
        <v>10941-4028</v>
      </c>
      <c r="AB1166" t="s">
        <v>78</v>
      </c>
      <c r="AC1166" t="s">
        <v>79</v>
      </c>
      <c r="AD1166" t="s">
        <v>75</v>
      </c>
      <c r="AE1166" t="s">
        <v>80</v>
      </c>
      <c r="AG1166" t="s">
        <v>81</v>
      </c>
    </row>
    <row r="1167" spans="1:33" x14ac:dyDescent="0.25">
      <c r="A1167" t="str">
        <f>"1811934987"</f>
        <v>1811934987</v>
      </c>
      <c r="B1167" t="str">
        <f>"02757537"</f>
        <v>02757537</v>
      </c>
      <c r="C1167" t="s">
        <v>10621</v>
      </c>
      <c r="D1167" t="s">
        <v>10622</v>
      </c>
      <c r="E1167" t="s">
        <v>10623</v>
      </c>
      <c r="G1167" t="s">
        <v>6380</v>
      </c>
      <c r="H1167" t="s">
        <v>4625</v>
      </c>
      <c r="J1167" t="s">
        <v>6381</v>
      </c>
      <c r="L1167" t="s">
        <v>83</v>
      </c>
      <c r="M1167" t="s">
        <v>85</v>
      </c>
      <c r="R1167" t="s">
        <v>10624</v>
      </c>
      <c r="W1167" t="s">
        <v>10625</v>
      </c>
      <c r="X1167" t="s">
        <v>1822</v>
      </c>
      <c r="Y1167" t="s">
        <v>1823</v>
      </c>
      <c r="Z1167" t="s">
        <v>77</v>
      </c>
      <c r="AA1167" t="str">
        <f>"10941-4028"</f>
        <v>10941-4028</v>
      </c>
      <c r="AB1167" t="s">
        <v>78</v>
      </c>
      <c r="AC1167" t="s">
        <v>79</v>
      </c>
      <c r="AD1167" t="s">
        <v>75</v>
      </c>
      <c r="AE1167" t="s">
        <v>80</v>
      </c>
      <c r="AG1167" t="s">
        <v>81</v>
      </c>
    </row>
    <row r="1168" spans="1:33" x14ac:dyDescent="0.25">
      <c r="A1168" t="str">
        <f>"1588901458"</f>
        <v>1588901458</v>
      </c>
      <c r="C1168" t="s">
        <v>10626</v>
      </c>
      <c r="G1168" t="s">
        <v>6800</v>
      </c>
      <c r="H1168" t="s">
        <v>6801</v>
      </c>
      <c r="I1168">
        <v>6381</v>
      </c>
      <c r="J1168" t="s">
        <v>6802</v>
      </c>
      <c r="K1168" t="s">
        <v>99</v>
      </c>
      <c r="L1168" t="s">
        <v>74</v>
      </c>
      <c r="M1168" t="s">
        <v>75</v>
      </c>
      <c r="R1168" t="s">
        <v>10627</v>
      </c>
      <c r="S1168" t="s">
        <v>2870</v>
      </c>
      <c r="T1168" t="s">
        <v>131</v>
      </c>
      <c r="U1168" t="s">
        <v>77</v>
      </c>
      <c r="V1168" t="str">
        <f>"104521851"</f>
        <v>104521851</v>
      </c>
      <c r="AC1168" t="s">
        <v>79</v>
      </c>
      <c r="AD1168" t="s">
        <v>75</v>
      </c>
      <c r="AE1168" t="s">
        <v>103</v>
      </c>
      <c r="AG1168" t="s">
        <v>81</v>
      </c>
    </row>
    <row r="1169" spans="1:33" x14ac:dyDescent="0.25">
      <c r="A1169" t="str">
        <f>"1588916209"</f>
        <v>1588916209</v>
      </c>
      <c r="C1169" t="s">
        <v>10628</v>
      </c>
      <c r="G1169" t="s">
        <v>6800</v>
      </c>
      <c r="H1169" t="s">
        <v>6801</v>
      </c>
      <c r="I1169">
        <v>6381</v>
      </c>
      <c r="J1169" t="s">
        <v>6802</v>
      </c>
      <c r="K1169" t="s">
        <v>99</v>
      </c>
      <c r="L1169" t="s">
        <v>74</v>
      </c>
      <c r="M1169" t="s">
        <v>75</v>
      </c>
      <c r="R1169" t="s">
        <v>6228</v>
      </c>
      <c r="S1169" t="s">
        <v>6229</v>
      </c>
      <c r="T1169" t="s">
        <v>97</v>
      </c>
      <c r="U1169" t="s">
        <v>77</v>
      </c>
      <c r="V1169" t="str">
        <f>"100012320"</f>
        <v>100012320</v>
      </c>
      <c r="AC1169" t="s">
        <v>79</v>
      </c>
      <c r="AD1169" t="s">
        <v>75</v>
      </c>
      <c r="AE1169" t="s">
        <v>103</v>
      </c>
      <c r="AG1169" t="s">
        <v>81</v>
      </c>
    </row>
    <row r="1170" spans="1:33" x14ac:dyDescent="0.25">
      <c r="A1170" t="str">
        <f>"1740438373"</f>
        <v>1740438373</v>
      </c>
      <c r="C1170" t="s">
        <v>10629</v>
      </c>
      <c r="G1170" t="s">
        <v>6800</v>
      </c>
      <c r="H1170" t="s">
        <v>6801</v>
      </c>
      <c r="I1170">
        <v>6381</v>
      </c>
      <c r="J1170" t="s">
        <v>6802</v>
      </c>
      <c r="K1170" t="s">
        <v>99</v>
      </c>
      <c r="L1170" t="s">
        <v>102</v>
      </c>
      <c r="M1170" t="s">
        <v>75</v>
      </c>
      <c r="R1170" t="s">
        <v>10630</v>
      </c>
      <c r="S1170" t="s">
        <v>3538</v>
      </c>
      <c r="T1170" t="s">
        <v>131</v>
      </c>
      <c r="U1170" t="s">
        <v>77</v>
      </c>
      <c r="V1170" t="str">
        <f>"104615726"</f>
        <v>104615726</v>
      </c>
      <c r="AC1170" t="s">
        <v>79</v>
      </c>
      <c r="AD1170" t="s">
        <v>75</v>
      </c>
      <c r="AE1170" t="s">
        <v>103</v>
      </c>
      <c r="AG1170" t="s">
        <v>81</v>
      </c>
    </row>
    <row r="1171" spans="1:33" x14ac:dyDescent="0.25">
      <c r="A1171" t="str">
        <f>"1760811376"</f>
        <v>1760811376</v>
      </c>
      <c r="C1171" t="s">
        <v>10631</v>
      </c>
      <c r="G1171" t="s">
        <v>6800</v>
      </c>
      <c r="H1171" t="s">
        <v>6801</v>
      </c>
      <c r="I1171">
        <v>6381</v>
      </c>
      <c r="J1171" t="s">
        <v>6802</v>
      </c>
      <c r="K1171" t="s">
        <v>99</v>
      </c>
      <c r="L1171" t="s">
        <v>102</v>
      </c>
      <c r="M1171" t="s">
        <v>75</v>
      </c>
      <c r="R1171" t="s">
        <v>10632</v>
      </c>
      <c r="S1171" t="s">
        <v>6229</v>
      </c>
      <c r="T1171" t="s">
        <v>97</v>
      </c>
      <c r="U1171" t="s">
        <v>77</v>
      </c>
      <c r="V1171" t="str">
        <f>"100012320"</f>
        <v>100012320</v>
      </c>
      <c r="AC1171" t="s">
        <v>79</v>
      </c>
      <c r="AD1171" t="s">
        <v>75</v>
      </c>
      <c r="AE1171" t="s">
        <v>103</v>
      </c>
      <c r="AG1171" t="s">
        <v>81</v>
      </c>
    </row>
    <row r="1172" spans="1:33" x14ac:dyDescent="0.25">
      <c r="A1172" t="str">
        <f>"1811017767"</f>
        <v>1811017767</v>
      </c>
      <c r="C1172" t="s">
        <v>10633</v>
      </c>
      <c r="G1172" t="s">
        <v>6800</v>
      </c>
      <c r="H1172" t="s">
        <v>6801</v>
      </c>
      <c r="I1172">
        <v>6381</v>
      </c>
      <c r="J1172" t="s">
        <v>6802</v>
      </c>
      <c r="K1172" t="s">
        <v>99</v>
      </c>
      <c r="L1172" t="s">
        <v>74</v>
      </c>
      <c r="M1172" t="s">
        <v>75</v>
      </c>
      <c r="R1172" t="s">
        <v>10634</v>
      </c>
      <c r="S1172" t="s">
        <v>10635</v>
      </c>
      <c r="T1172" t="s">
        <v>4526</v>
      </c>
      <c r="U1172" t="s">
        <v>156</v>
      </c>
      <c r="V1172" t="str">
        <f>"076664316"</f>
        <v>076664316</v>
      </c>
      <c r="AC1172" t="s">
        <v>79</v>
      </c>
      <c r="AD1172" t="s">
        <v>75</v>
      </c>
      <c r="AE1172" t="s">
        <v>103</v>
      </c>
      <c r="AG1172" t="s">
        <v>81</v>
      </c>
    </row>
    <row r="1173" spans="1:33" x14ac:dyDescent="0.25">
      <c r="A1173" t="str">
        <f>"1811231079"</f>
        <v>1811231079</v>
      </c>
      <c r="C1173" t="s">
        <v>10636</v>
      </c>
      <c r="G1173" t="s">
        <v>6800</v>
      </c>
      <c r="H1173" t="s">
        <v>6801</v>
      </c>
      <c r="I1173">
        <v>6381</v>
      </c>
      <c r="J1173" t="s">
        <v>6802</v>
      </c>
      <c r="K1173" t="s">
        <v>99</v>
      </c>
      <c r="L1173" t="s">
        <v>102</v>
      </c>
      <c r="M1173" t="s">
        <v>75</v>
      </c>
      <c r="R1173" t="s">
        <v>10637</v>
      </c>
      <c r="S1173" t="s">
        <v>10638</v>
      </c>
      <c r="T1173" t="s">
        <v>227</v>
      </c>
      <c r="U1173" t="s">
        <v>77</v>
      </c>
      <c r="V1173" t="str">
        <f>"106033532"</f>
        <v>106033532</v>
      </c>
      <c r="AC1173" t="s">
        <v>79</v>
      </c>
      <c r="AD1173" t="s">
        <v>75</v>
      </c>
      <c r="AE1173" t="s">
        <v>103</v>
      </c>
      <c r="AG1173" t="s">
        <v>81</v>
      </c>
    </row>
    <row r="1174" spans="1:33" x14ac:dyDescent="0.25">
      <c r="A1174" t="str">
        <f>"1891035630"</f>
        <v>1891035630</v>
      </c>
      <c r="C1174" t="s">
        <v>10639</v>
      </c>
      <c r="G1174" t="s">
        <v>6800</v>
      </c>
      <c r="H1174" t="s">
        <v>6801</v>
      </c>
      <c r="I1174">
        <v>6381</v>
      </c>
      <c r="J1174" t="s">
        <v>6802</v>
      </c>
      <c r="K1174" t="s">
        <v>99</v>
      </c>
      <c r="L1174" t="s">
        <v>102</v>
      </c>
      <c r="M1174" t="s">
        <v>75</v>
      </c>
      <c r="R1174" t="s">
        <v>10640</v>
      </c>
      <c r="S1174" t="s">
        <v>10641</v>
      </c>
      <c r="T1174" t="s">
        <v>97</v>
      </c>
      <c r="U1174" t="s">
        <v>77</v>
      </c>
      <c r="V1174" t="str">
        <f>"100104514"</f>
        <v>100104514</v>
      </c>
      <c r="AC1174" t="s">
        <v>79</v>
      </c>
      <c r="AD1174" t="s">
        <v>75</v>
      </c>
      <c r="AE1174" t="s">
        <v>103</v>
      </c>
      <c r="AG1174" t="s">
        <v>81</v>
      </c>
    </row>
    <row r="1175" spans="1:33" x14ac:dyDescent="0.25">
      <c r="A1175" t="str">
        <f>"1205893146"</f>
        <v>1205893146</v>
      </c>
      <c r="B1175" t="str">
        <f>"00414026"</f>
        <v>00414026</v>
      </c>
      <c r="C1175" t="s">
        <v>10642</v>
      </c>
      <c r="D1175" t="s">
        <v>2357</v>
      </c>
      <c r="E1175" t="s">
        <v>2358</v>
      </c>
      <c r="G1175" t="s">
        <v>6800</v>
      </c>
      <c r="H1175" t="s">
        <v>6801</v>
      </c>
      <c r="I1175">
        <v>6381</v>
      </c>
      <c r="J1175" t="s">
        <v>6802</v>
      </c>
      <c r="L1175" t="s">
        <v>74</v>
      </c>
      <c r="M1175" t="s">
        <v>75</v>
      </c>
      <c r="R1175" t="s">
        <v>2356</v>
      </c>
      <c r="W1175" t="s">
        <v>2358</v>
      </c>
      <c r="X1175" t="s">
        <v>2359</v>
      </c>
      <c r="Y1175" t="s">
        <v>2360</v>
      </c>
      <c r="Z1175" t="s">
        <v>77</v>
      </c>
      <c r="AA1175" t="str">
        <f>"10583-3711"</f>
        <v>10583-3711</v>
      </c>
      <c r="AB1175" t="s">
        <v>128</v>
      </c>
      <c r="AC1175" t="s">
        <v>79</v>
      </c>
      <c r="AD1175" t="s">
        <v>75</v>
      </c>
      <c r="AE1175" t="s">
        <v>80</v>
      </c>
      <c r="AG1175" t="s">
        <v>81</v>
      </c>
    </row>
    <row r="1176" spans="1:33" x14ac:dyDescent="0.25">
      <c r="A1176" t="str">
        <f>"1306939723"</f>
        <v>1306939723</v>
      </c>
      <c r="B1176" t="str">
        <f>"00523744"</f>
        <v>00523744</v>
      </c>
      <c r="C1176" t="s">
        <v>10643</v>
      </c>
      <c r="D1176" t="s">
        <v>10644</v>
      </c>
      <c r="E1176" t="s">
        <v>10645</v>
      </c>
      <c r="G1176" t="s">
        <v>6800</v>
      </c>
      <c r="H1176" t="s">
        <v>6801</v>
      </c>
      <c r="I1176">
        <v>6381</v>
      </c>
      <c r="J1176" t="s">
        <v>6802</v>
      </c>
      <c r="L1176" t="s">
        <v>83</v>
      </c>
      <c r="M1176" t="s">
        <v>75</v>
      </c>
      <c r="R1176" t="s">
        <v>10646</v>
      </c>
      <c r="W1176" t="s">
        <v>10647</v>
      </c>
      <c r="X1176" t="s">
        <v>10648</v>
      </c>
      <c r="Y1176" t="s">
        <v>87</v>
      </c>
      <c r="Z1176" t="s">
        <v>77</v>
      </c>
      <c r="AA1176" t="str">
        <f>"11238-6054"</f>
        <v>11238-6054</v>
      </c>
      <c r="AB1176" t="s">
        <v>78</v>
      </c>
      <c r="AC1176" t="s">
        <v>79</v>
      </c>
      <c r="AD1176" t="s">
        <v>75</v>
      </c>
      <c r="AE1176" t="s">
        <v>80</v>
      </c>
      <c r="AG1176" t="s">
        <v>81</v>
      </c>
    </row>
    <row r="1177" spans="1:33" x14ac:dyDescent="0.25">
      <c r="A1177" t="str">
        <f>"1518950385"</f>
        <v>1518950385</v>
      </c>
      <c r="B1177" t="str">
        <f>"02579913"</f>
        <v>02579913</v>
      </c>
      <c r="C1177" t="s">
        <v>10649</v>
      </c>
      <c r="D1177" t="s">
        <v>10650</v>
      </c>
      <c r="E1177" t="s">
        <v>10651</v>
      </c>
      <c r="G1177" t="s">
        <v>10649</v>
      </c>
      <c r="H1177" t="s">
        <v>10652</v>
      </c>
      <c r="J1177" t="s">
        <v>10653</v>
      </c>
      <c r="L1177" t="s">
        <v>94</v>
      </c>
      <c r="M1177" t="s">
        <v>75</v>
      </c>
      <c r="R1177" t="s">
        <v>10654</v>
      </c>
      <c r="W1177" t="s">
        <v>10651</v>
      </c>
      <c r="X1177" t="s">
        <v>10655</v>
      </c>
      <c r="Y1177" t="s">
        <v>97</v>
      </c>
      <c r="Z1177" t="s">
        <v>77</v>
      </c>
      <c r="AA1177" t="str">
        <f>"10025-1716"</f>
        <v>10025-1716</v>
      </c>
      <c r="AB1177" t="s">
        <v>78</v>
      </c>
      <c r="AC1177" t="s">
        <v>79</v>
      </c>
      <c r="AD1177" t="s">
        <v>75</v>
      </c>
      <c r="AE1177" t="s">
        <v>80</v>
      </c>
      <c r="AG1177" t="s">
        <v>81</v>
      </c>
    </row>
    <row r="1178" spans="1:33" x14ac:dyDescent="0.25">
      <c r="A1178" t="str">
        <f>"1205892338"</f>
        <v>1205892338</v>
      </c>
      <c r="B1178" t="str">
        <f>"02114276"</f>
        <v>02114276</v>
      </c>
      <c r="C1178" t="s">
        <v>10656</v>
      </c>
      <c r="D1178" t="s">
        <v>1625</v>
      </c>
      <c r="E1178" t="s">
        <v>1624</v>
      </c>
      <c r="G1178" t="s">
        <v>6930</v>
      </c>
      <c r="H1178" t="s">
        <v>6931</v>
      </c>
      <c r="J1178" t="s">
        <v>6932</v>
      </c>
      <c r="L1178" t="s">
        <v>74</v>
      </c>
      <c r="M1178" t="s">
        <v>75</v>
      </c>
      <c r="R1178" t="s">
        <v>1624</v>
      </c>
      <c r="W1178" t="s">
        <v>1624</v>
      </c>
      <c r="X1178" t="s">
        <v>1531</v>
      </c>
      <c r="Y1178" t="s">
        <v>97</v>
      </c>
      <c r="Z1178" t="s">
        <v>77</v>
      </c>
      <c r="AA1178" t="str">
        <f>"10036-8005"</f>
        <v>10036-8005</v>
      </c>
      <c r="AB1178" t="s">
        <v>108</v>
      </c>
      <c r="AC1178" t="s">
        <v>79</v>
      </c>
      <c r="AD1178" t="s">
        <v>75</v>
      </c>
      <c r="AE1178" t="s">
        <v>80</v>
      </c>
      <c r="AG1178" t="s">
        <v>81</v>
      </c>
    </row>
    <row r="1179" spans="1:33" x14ac:dyDescent="0.25">
      <c r="A1179" t="str">
        <f>"1730220211"</f>
        <v>1730220211</v>
      </c>
      <c r="B1179" t="str">
        <f>"02114354"</f>
        <v>02114354</v>
      </c>
      <c r="C1179" t="s">
        <v>10657</v>
      </c>
      <c r="D1179" t="s">
        <v>10658</v>
      </c>
      <c r="E1179" t="s">
        <v>10659</v>
      </c>
      <c r="G1179" t="s">
        <v>6930</v>
      </c>
      <c r="H1179" t="s">
        <v>6931</v>
      </c>
      <c r="J1179" t="s">
        <v>6932</v>
      </c>
      <c r="L1179" t="s">
        <v>74</v>
      </c>
      <c r="M1179" t="s">
        <v>75</v>
      </c>
      <c r="R1179" t="s">
        <v>10660</v>
      </c>
      <c r="W1179" t="s">
        <v>10661</v>
      </c>
      <c r="X1179" t="s">
        <v>1177</v>
      </c>
      <c r="Y1179" t="s">
        <v>97</v>
      </c>
      <c r="Z1179" t="s">
        <v>77</v>
      </c>
      <c r="AA1179" t="str">
        <f>"10036-8005"</f>
        <v>10036-8005</v>
      </c>
      <c r="AB1179" t="s">
        <v>108</v>
      </c>
      <c r="AC1179" t="s">
        <v>79</v>
      </c>
      <c r="AD1179" t="s">
        <v>75</v>
      </c>
      <c r="AE1179" t="s">
        <v>80</v>
      </c>
      <c r="AG1179" t="s">
        <v>81</v>
      </c>
    </row>
    <row r="1180" spans="1:33" x14ac:dyDescent="0.25">
      <c r="A1180" t="str">
        <f>"1851359558"</f>
        <v>1851359558</v>
      </c>
      <c r="B1180" t="str">
        <f>"02114363"</f>
        <v>02114363</v>
      </c>
      <c r="C1180" t="s">
        <v>10662</v>
      </c>
      <c r="D1180" t="s">
        <v>10663</v>
      </c>
      <c r="E1180" t="s">
        <v>10664</v>
      </c>
      <c r="G1180" t="s">
        <v>6930</v>
      </c>
      <c r="H1180" t="s">
        <v>6931</v>
      </c>
      <c r="J1180" t="s">
        <v>6932</v>
      </c>
      <c r="L1180" t="s">
        <v>83</v>
      </c>
      <c r="M1180" t="s">
        <v>75</v>
      </c>
      <c r="R1180" t="s">
        <v>10664</v>
      </c>
      <c r="W1180" t="s">
        <v>10664</v>
      </c>
      <c r="X1180" t="s">
        <v>1531</v>
      </c>
      <c r="Y1180" t="s">
        <v>97</v>
      </c>
      <c r="Z1180" t="s">
        <v>77</v>
      </c>
      <c r="AA1180" t="str">
        <f>"10036-8005"</f>
        <v>10036-8005</v>
      </c>
      <c r="AB1180" t="s">
        <v>108</v>
      </c>
      <c r="AC1180" t="s">
        <v>79</v>
      </c>
      <c r="AD1180" t="s">
        <v>75</v>
      </c>
      <c r="AE1180" t="s">
        <v>80</v>
      </c>
      <c r="AG1180" t="s">
        <v>81</v>
      </c>
    </row>
    <row r="1181" spans="1:33" x14ac:dyDescent="0.25">
      <c r="A1181" t="str">
        <f>"1437180775"</f>
        <v>1437180775</v>
      </c>
      <c r="B1181" t="str">
        <f>"02159328"</f>
        <v>02159328</v>
      </c>
      <c r="C1181" t="s">
        <v>10665</v>
      </c>
      <c r="D1181" t="s">
        <v>791</v>
      </c>
      <c r="E1181" t="s">
        <v>792</v>
      </c>
      <c r="G1181" t="s">
        <v>6930</v>
      </c>
      <c r="H1181" t="s">
        <v>6931</v>
      </c>
      <c r="J1181" t="s">
        <v>6932</v>
      </c>
      <c r="L1181" t="s">
        <v>83</v>
      </c>
      <c r="M1181" t="s">
        <v>85</v>
      </c>
      <c r="R1181" t="s">
        <v>793</v>
      </c>
      <c r="W1181" t="s">
        <v>792</v>
      </c>
      <c r="X1181" t="s">
        <v>545</v>
      </c>
      <c r="Y1181" t="s">
        <v>139</v>
      </c>
      <c r="Z1181" t="s">
        <v>77</v>
      </c>
      <c r="AA1181" t="str">
        <f>"11366-1919"</f>
        <v>11366-1919</v>
      </c>
      <c r="AB1181" t="s">
        <v>78</v>
      </c>
      <c r="AC1181" t="s">
        <v>79</v>
      </c>
      <c r="AD1181" t="s">
        <v>75</v>
      </c>
      <c r="AE1181" t="s">
        <v>80</v>
      </c>
      <c r="AG1181" t="s">
        <v>81</v>
      </c>
    </row>
    <row r="1182" spans="1:33" x14ac:dyDescent="0.25">
      <c r="A1182" t="str">
        <f>"1942268834"</f>
        <v>1942268834</v>
      </c>
      <c r="B1182" t="str">
        <f>"02415401"</f>
        <v>02415401</v>
      </c>
      <c r="C1182" t="s">
        <v>10666</v>
      </c>
      <c r="D1182" t="s">
        <v>10667</v>
      </c>
      <c r="E1182" t="s">
        <v>10668</v>
      </c>
      <c r="G1182" t="s">
        <v>6930</v>
      </c>
      <c r="H1182" t="s">
        <v>6931</v>
      </c>
      <c r="J1182" t="s">
        <v>6932</v>
      </c>
      <c r="L1182" t="s">
        <v>83</v>
      </c>
      <c r="M1182" t="s">
        <v>75</v>
      </c>
      <c r="R1182" t="s">
        <v>10669</v>
      </c>
      <c r="W1182" t="s">
        <v>10668</v>
      </c>
      <c r="X1182" t="s">
        <v>1531</v>
      </c>
      <c r="Y1182" t="s">
        <v>97</v>
      </c>
      <c r="Z1182" t="s">
        <v>77</v>
      </c>
      <c r="AA1182" t="str">
        <f>"10036-8005"</f>
        <v>10036-8005</v>
      </c>
      <c r="AB1182" t="s">
        <v>108</v>
      </c>
      <c r="AC1182" t="s">
        <v>79</v>
      </c>
      <c r="AD1182" t="s">
        <v>75</v>
      </c>
      <c r="AE1182" t="s">
        <v>80</v>
      </c>
      <c r="AG1182" t="s">
        <v>81</v>
      </c>
    </row>
    <row r="1183" spans="1:33" x14ac:dyDescent="0.25">
      <c r="A1183" t="str">
        <f>"1275581209"</f>
        <v>1275581209</v>
      </c>
      <c r="B1183" t="str">
        <f>"02440504"</f>
        <v>02440504</v>
      </c>
      <c r="C1183" t="s">
        <v>10670</v>
      </c>
      <c r="D1183" t="s">
        <v>1608</v>
      </c>
      <c r="E1183" t="s">
        <v>1609</v>
      </c>
      <c r="G1183" t="s">
        <v>6930</v>
      </c>
      <c r="H1183" t="s">
        <v>6931</v>
      </c>
      <c r="J1183" t="s">
        <v>6932</v>
      </c>
      <c r="L1183" t="s">
        <v>83</v>
      </c>
      <c r="M1183" t="s">
        <v>75</v>
      </c>
      <c r="R1183" t="s">
        <v>1607</v>
      </c>
      <c r="W1183" t="s">
        <v>1609</v>
      </c>
      <c r="X1183" t="s">
        <v>1610</v>
      </c>
      <c r="Y1183" t="s">
        <v>131</v>
      </c>
      <c r="Z1183" t="s">
        <v>77</v>
      </c>
      <c r="AA1183" t="str">
        <f>"10467-8218"</f>
        <v>10467-8218</v>
      </c>
      <c r="AB1183" t="s">
        <v>108</v>
      </c>
      <c r="AC1183" t="s">
        <v>79</v>
      </c>
      <c r="AD1183" t="s">
        <v>75</v>
      </c>
      <c r="AE1183" t="s">
        <v>80</v>
      </c>
      <c r="AG1183" t="s">
        <v>81</v>
      </c>
    </row>
    <row r="1184" spans="1:33" x14ac:dyDescent="0.25">
      <c r="A1184" t="str">
        <f>"1821084203"</f>
        <v>1821084203</v>
      </c>
      <c r="B1184" t="str">
        <f>"02442377"</f>
        <v>02442377</v>
      </c>
      <c r="C1184" t="s">
        <v>10671</v>
      </c>
      <c r="D1184" t="s">
        <v>10672</v>
      </c>
      <c r="E1184" t="s">
        <v>10673</v>
      </c>
      <c r="G1184" t="s">
        <v>6930</v>
      </c>
      <c r="H1184" t="s">
        <v>6931</v>
      </c>
      <c r="J1184" t="s">
        <v>6932</v>
      </c>
      <c r="L1184" t="s">
        <v>83</v>
      </c>
      <c r="M1184" t="s">
        <v>75</v>
      </c>
      <c r="R1184" t="s">
        <v>10674</v>
      </c>
      <c r="W1184" t="s">
        <v>10673</v>
      </c>
      <c r="X1184" t="s">
        <v>1531</v>
      </c>
      <c r="Y1184" t="s">
        <v>97</v>
      </c>
      <c r="Z1184" t="s">
        <v>77</v>
      </c>
      <c r="AA1184" t="str">
        <f>"10036-8005"</f>
        <v>10036-8005</v>
      </c>
      <c r="AB1184" t="s">
        <v>108</v>
      </c>
      <c r="AC1184" t="s">
        <v>79</v>
      </c>
      <c r="AD1184" t="s">
        <v>75</v>
      </c>
      <c r="AE1184" t="s">
        <v>80</v>
      </c>
      <c r="AG1184" t="s">
        <v>81</v>
      </c>
    </row>
    <row r="1185" spans="1:33" x14ac:dyDescent="0.25">
      <c r="A1185" t="str">
        <f>"1285698688"</f>
        <v>1285698688</v>
      </c>
      <c r="B1185" t="str">
        <f>"02443552"</f>
        <v>02443552</v>
      </c>
      <c r="C1185" t="s">
        <v>10675</v>
      </c>
      <c r="D1185" t="s">
        <v>10676</v>
      </c>
      <c r="E1185" t="s">
        <v>10677</v>
      </c>
      <c r="G1185" t="s">
        <v>6930</v>
      </c>
      <c r="H1185" t="s">
        <v>6931</v>
      </c>
      <c r="J1185" t="s">
        <v>6932</v>
      </c>
      <c r="L1185" t="s">
        <v>83</v>
      </c>
      <c r="M1185" t="s">
        <v>75</v>
      </c>
      <c r="R1185" t="s">
        <v>10677</v>
      </c>
      <c r="W1185" t="s">
        <v>10677</v>
      </c>
      <c r="X1185" t="s">
        <v>1531</v>
      </c>
      <c r="Y1185" t="s">
        <v>97</v>
      </c>
      <c r="Z1185" t="s">
        <v>77</v>
      </c>
      <c r="AA1185" t="str">
        <f>"10036-8005"</f>
        <v>10036-8005</v>
      </c>
      <c r="AB1185" t="s">
        <v>108</v>
      </c>
      <c r="AC1185" t="s">
        <v>79</v>
      </c>
      <c r="AD1185" t="s">
        <v>75</v>
      </c>
      <c r="AE1185" t="s">
        <v>80</v>
      </c>
      <c r="AG1185" t="s">
        <v>81</v>
      </c>
    </row>
    <row r="1186" spans="1:33" x14ac:dyDescent="0.25">
      <c r="A1186" t="str">
        <f>"1194725606"</f>
        <v>1194725606</v>
      </c>
      <c r="B1186" t="str">
        <f>"02443589"</f>
        <v>02443589</v>
      </c>
      <c r="C1186" t="s">
        <v>10678</v>
      </c>
      <c r="D1186" t="s">
        <v>1640</v>
      </c>
      <c r="E1186" t="s">
        <v>1641</v>
      </c>
      <c r="G1186" t="s">
        <v>6930</v>
      </c>
      <c r="H1186" t="s">
        <v>6931</v>
      </c>
      <c r="J1186" t="s">
        <v>6932</v>
      </c>
      <c r="L1186" t="s">
        <v>74</v>
      </c>
      <c r="M1186" t="s">
        <v>75</v>
      </c>
      <c r="R1186" t="s">
        <v>1639</v>
      </c>
      <c r="W1186" t="s">
        <v>1641</v>
      </c>
      <c r="X1186" t="s">
        <v>1177</v>
      </c>
      <c r="Y1186" t="s">
        <v>97</v>
      </c>
      <c r="Z1186" t="s">
        <v>77</v>
      </c>
      <c r="AA1186" t="str">
        <f>"10036-8005"</f>
        <v>10036-8005</v>
      </c>
      <c r="AB1186" t="s">
        <v>108</v>
      </c>
      <c r="AC1186" t="s">
        <v>79</v>
      </c>
      <c r="AD1186" t="s">
        <v>75</v>
      </c>
      <c r="AE1186" t="s">
        <v>80</v>
      </c>
      <c r="AG1186" t="s">
        <v>81</v>
      </c>
    </row>
    <row r="1187" spans="1:33" x14ac:dyDescent="0.25">
      <c r="A1187" t="str">
        <f>"1235102468"</f>
        <v>1235102468</v>
      </c>
      <c r="B1187" t="str">
        <f>"02443621"</f>
        <v>02443621</v>
      </c>
      <c r="C1187" t="s">
        <v>10679</v>
      </c>
      <c r="D1187" t="s">
        <v>1673</v>
      </c>
      <c r="E1187" t="s">
        <v>1672</v>
      </c>
      <c r="G1187" t="s">
        <v>6930</v>
      </c>
      <c r="H1187" t="s">
        <v>6931</v>
      </c>
      <c r="J1187" t="s">
        <v>6932</v>
      </c>
      <c r="L1187" t="s">
        <v>83</v>
      </c>
      <c r="M1187" t="s">
        <v>75</v>
      </c>
      <c r="R1187" t="s">
        <v>1672</v>
      </c>
      <c r="W1187" t="s">
        <v>1672</v>
      </c>
      <c r="X1187" t="s">
        <v>1531</v>
      </c>
      <c r="Y1187" t="s">
        <v>97</v>
      </c>
      <c r="Z1187" t="s">
        <v>77</v>
      </c>
      <c r="AA1187" t="str">
        <f>"10036-8005"</f>
        <v>10036-8005</v>
      </c>
      <c r="AB1187" t="s">
        <v>108</v>
      </c>
      <c r="AC1187" t="s">
        <v>79</v>
      </c>
      <c r="AD1187" t="s">
        <v>75</v>
      </c>
      <c r="AE1187" t="s">
        <v>80</v>
      </c>
      <c r="AG1187" t="s">
        <v>81</v>
      </c>
    </row>
    <row r="1188" spans="1:33" x14ac:dyDescent="0.25">
      <c r="A1188" t="str">
        <f>"1992147920"</f>
        <v>1992147920</v>
      </c>
      <c r="B1188" t="str">
        <f>"03702590"</f>
        <v>03702590</v>
      </c>
      <c r="C1188" t="s">
        <v>10680</v>
      </c>
      <c r="D1188" t="s">
        <v>10681</v>
      </c>
      <c r="E1188" t="s">
        <v>10682</v>
      </c>
      <c r="G1188" t="s">
        <v>10680</v>
      </c>
      <c r="H1188" t="s">
        <v>3712</v>
      </c>
      <c r="J1188" t="s">
        <v>3713</v>
      </c>
      <c r="L1188" t="s">
        <v>74</v>
      </c>
      <c r="M1188" t="s">
        <v>75</v>
      </c>
      <c r="R1188" t="s">
        <v>10683</v>
      </c>
      <c r="W1188" t="s">
        <v>10682</v>
      </c>
      <c r="X1188" t="s">
        <v>10684</v>
      </c>
      <c r="Y1188" t="s">
        <v>87</v>
      </c>
      <c r="Z1188" t="s">
        <v>77</v>
      </c>
      <c r="AA1188" t="str">
        <f>"11233-3402"</f>
        <v>11233-3402</v>
      </c>
      <c r="AB1188" t="s">
        <v>78</v>
      </c>
      <c r="AC1188" t="s">
        <v>79</v>
      </c>
      <c r="AD1188" t="s">
        <v>75</v>
      </c>
      <c r="AE1188" t="s">
        <v>80</v>
      </c>
      <c r="AG1188" t="s">
        <v>81</v>
      </c>
    </row>
    <row r="1189" spans="1:33" x14ac:dyDescent="0.25">
      <c r="A1189" t="str">
        <f>"1366870453"</f>
        <v>1366870453</v>
      </c>
      <c r="B1189" t="str">
        <f>"03793386"</f>
        <v>03793386</v>
      </c>
      <c r="C1189" t="s">
        <v>10685</v>
      </c>
      <c r="D1189" t="s">
        <v>10686</v>
      </c>
      <c r="E1189" t="s">
        <v>10687</v>
      </c>
      <c r="G1189" t="s">
        <v>10685</v>
      </c>
      <c r="H1189" t="s">
        <v>3712</v>
      </c>
      <c r="J1189" t="s">
        <v>3713</v>
      </c>
      <c r="L1189" t="s">
        <v>74</v>
      </c>
      <c r="M1189" t="s">
        <v>75</v>
      </c>
      <c r="R1189" t="s">
        <v>10688</v>
      </c>
      <c r="W1189" t="s">
        <v>10687</v>
      </c>
      <c r="X1189" t="s">
        <v>10689</v>
      </c>
      <c r="Y1189" t="s">
        <v>10690</v>
      </c>
      <c r="Z1189" t="s">
        <v>77</v>
      </c>
      <c r="AA1189" t="str">
        <f>"11040-1023"</f>
        <v>11040-1023</v>
      </c>
      <c r="AB1189" t="s">
        <v>78</v>
      </c>
      <c r="AC1189" t="s">
        <v>79</v>
      </c>
      <c r="AD1189" t="s">
        <v>75</v>
      </c>
      <c r="AE1189" t="s">
        <v>80</v>
      </c>
      <c r="AG1189" t="s">
        <v>81</v>
      </c>
    </row>
    <row r="1190" spans="1:33" x14ac:dyDescent="0.25">
      <c r="A1190" t="str">
        <f>"1427102383"</f>
        <v>1427102383</v>
      </c>
      <c r="B1190" t="str">
        <f>"03354501"</f>
        <v>03354501</v>
      </c>
      <c r="C1190" t="s">
        <v>10691</v>
      </c>
      <c r="D1190" t="s">
        <v>10692</v>
      </c>
      <c r="E1190" t="s">
        <v>10693</v>
      </c>
      <c r="G1190" t="s">
        <v>10691</v>
      </c>
      <c r="H1190" t="s">
        <v>3712</v>
      </c>
      <c r="J1190" t="s">
        <v>3713</v>
      </c>
      <c r="L1190" t="s">
        <v>105</v>
      </c>
      <c r="M1190" t="s">
        <v>75</v>
      </c>
      <c r="R1190" t="s">
        <v>10694</v>
      </c>
      <c r="W1190" t="s">
        <v>10693</v>
      </c>
      <c r="X1190" t="s">
        <v>10695</v>
      </c>
      <c r="Y1190" t="s">
        <v>97</v>
      </c>
      <c r="Z1190" t="s">
        <v>77</v>
      </c>
      <c r="AA1190" t="str">
        <f>"10003-4709"</f>
        <v>10003-4709</v>
      </c>
      <c r="AB1190" t="s">
        <v>78</v>
      </c>
      <c r="AC1190" t="s">
        <v>79</v>
      </c>
      <c r="AD1190" t="s">
        <v>75</v>
      </c>
      <c r="AE1190" t="s">
        <v>80</v>
      </c>
      <c r="AG1190" t="s">
        <v>81</v>
      </c>
    </row>
    <row r="1191" spans="1:33" x14ac:dyDescent="0.25">
      <c r="A1191" t="str">
        <f>"1467603530"</f>
        <v>1467603530</v>
      </c>
      <c r="B1191" t="str">
        <f>"03733039"</f>
        <v>03733039</v>
      </c>
      <c r="C1191" t="s">
        <v>10696</v>
      </c>
      <c r="D1191" t="s">
        <v>10697</v>
      </c>
      <c r="E1191" t="s">
        <v>10698</v>
      </c>
      <c r="G1191" t="s">
        <v>6800</v>
      </c>
      <c r="H1191" t="s">
        <v>6801</v>
      </c>
      <c r="I1191">
        <v>6381</v>
      </c>
      <c r="J1191" t="s">
        <v>6802</v>
      </c>
      <c r="L1191" t="s">
        <v>74</v>
      </c>
      <c r="M1191" t="s">
        <v>75</v>
      </c>
      <c r="R1191" t="s">
        <v>10699</v>
      </c>
      <c r="W1191" t="s">
        <v>10698</v>
      </c>
      <c r="X1191" t="s">
        <v>3538</v>
      </c>
      <c r="Y1191" t="s">
        <v>131</v>
      </c>
      <c r="Z1191" t="s">
        <v>77</v>
      </c>
      <c r="AA1191" t="str">
        <f>"10461-5726"</f>
        <v>10461-5726</v>
      </c>
      <c r="AB1191" t="s">
        <v>109</v>
      </c>
      <c r="AC1191" t="s">
        <v>79</v>
      </c>
      <c r="AD1191" t="s">
        <v>75</v>
      </c>
      <c r="AE1191" t="s">
        <v>80</v>
      </c>
      <c r="AG1191" t="s">
        <v>81</v>
      </c>
    </row>
    <row r="1192" spans="1:33" x14ac:dyDescent="0.25">
      <c r="A1192" t="str">
        <f>"1629342001"</f>
        <v>1629342001</v>
      </c>
      <c r="B1192" t="str">
        <f>"03566492"</f>
        <v>03566492</v>
      </c>
      <c r="C1192" t="s">
        <v>10700</v>
      </c>
      <c r="D1192" t="s">
        <v>10701</v>
      </c>
      <c r="E1192" t="s">
        <v>10702</v>
      </c>
      <c r="G1192" t="s">
        <v>6800</v>
      </c>
      <c r="H1192" t="s">
        <v>6801</v>
      </c>
      <c r="I1192">
        <v>6381</v>
      </c>
      <c r="J1192" t="s">
        <v>6802</v>
      </c>
      <c r="L1192" t="s">
        <v>74</v>
      </c>
      <c r="M1192" t="s">
        <v>75</v>
      </c>
      <c r="R1192" t="s">
        <v>10703</v>
      </c>
      <c r="W1192" t="s">
        <v>10702</v>
      </c>
      <c r="X1192" t="s">
        <v>10704</v>
      </c>
      <c r="Y1192" t="s">
        <v>87</v>
      </c>
      <c r="Z1192" t="s">
        <v>77</v>
      </c>
      <c r="AA1192" t="str">
        <f>"11229-4004"</f>
        <v>11229-4004</v>
      </c>
      <c r="AB1192" t="s">
        <v>109</v>
      </c>
      <c r="AC1192" t="s">
        <v>79</v>
      </c>
      <c r="AD1192" t="s">
        <v>75</v>
      </c>
      <c r="AE1192" t="s">
        <v>80</v>
      </c>
      <c r="AG1192" t="s">
        <v>81</v>
      </c>
    </row>
    <row r="1193" spans="1:33" x14ac:dyDescent="0.25">
      <c r="A1193" t="str">
        <f>"1316207095"</f>
        <v>1316207095</v>
      </c>
      <c r="B1193" t="str">
        <f>"03570207"</f>
        <v>03570207</v>
      </c>
      <c r="C1193" t="s">
        <v>10705</v>
      </c>
      <c r="D1193" t="s">
        <v>10706</v>
      </c>
      <c r="E1193" t="s">
        <v>10707</v>
      </c>
      <c r="G1193" t="s">
        <v>6800</v>
      </c>
      <c r="H1193" t="s">
        <v>6801</v>
      </c>
      <c r="I1193">
        <v>6381</v>
      </c>
      <c r="J1193" t="s">
        <v>6802</v>
      </c>
      <c r="L1193" t="s">
        <v>74</v>
      </c>
      <c r="M1193" t="s">
        <v>75</v>
      </c>
      <c r="R1193" t="s">
        <v>10707</v>
      </c>
      <c r="W1193" t="s">
        <v>10707</v>
      </c>
      <c r="X1193" t="s">
        <v>3458</v>
      </c>
      <c r="Y1193" t="s">
        <v>87</v>
      </c>
      <c r="Z1193" t="s">
        <v>77</v>
      </c>
      <c r="AA1193" t="str">
        <f>"11201-4300"</f>
        <v>11201-4300</v>
      </c>
      <c r="AB1193" t="s">
        <v>109</v>
      </c>
      <c r="AC1193" t="s">
        <v>79</v>
      </c>
      <c r="AD1193" t="s">
        <v>75</v>
      </c>
      <c r="AE1193" t="s">
        <v>80</v>
      </c>
      <c r="AG1193" t="s">
        <v>81</v>
      </c>
    </row>
    <row r="1194" spans="1:33" x14ac:dyDescent="0.25">
      <c r="A1194" t="str">
        <f>"1841582715"</f>
        <v>1841582715</v>
      </c>
      <c r="B1194" t="str">
        <f>"03570216"</f>
        <v>03570216</v>
      </c>
      <c r="C1194" t="s">
        <v>10708</v>
      </c>
      <c r="D1194" t="s">
        <v>10709</v>
      </c>
      <c r="E1194" t="s">
        <v>10710</v>
      </c>
      <c r="G1194" t="s">
        <v>6800</v>
      </c>
      <c r="H1194" t="s">
        <v>6801</v>
      </c>
      <c r="I1194">
        <v>6381</v>
      </c>
      <c r="J1194" t="s">
        <v>6802</v>
      </c>
      <c r="L1194" t="s">
        <v>74</v>
      </c>
      <c r="M1194" t="s">
        <v>75</v>
      </c>
      <c r="R1194" t="s">
        <v>10710</v>
      </c>
      <c r="W1194" t="s">
        <v>10710</v>
      </c>
      <c r="X1194" t="s">
        <v>3538</v>
      </c>
      <c r="Y1194" t="s">
        <v>131</v>
      </c>
      <c r="Z1194" t="s">
        <v>77</v>
      </c>
      <c r="AA1194" t="str">
        <f>"10461-5726"</f>
        <v>10461-5726</v>
      </c>
      <c r="AB1194" t="s">
        <v>109</v>
      </c>
      <c r="AC1194" t="s">
        <v>79</v>
      </c>
      <c r="AD1194" t="s">
        <v>75</v>
      </c>
      <c r="AE1194" t="s">
        <v>80</v>
      </c>
      <c r="AG1194" t="s">
        <v>81</v>
      </c>
    </row>
    <row r="1195" spans="1:33" x14ac:dyDescent="0.25">
      <c r="A1195" t="str">
        <f>"1760651624"</f>
        <v>1760651624</v>
      </c>
      <c r="B1195" t="str">
        <f>"03570716"</f>
        <v>03570716</v>
      </c>
      <c r="C1195" t="s">
        <v>10711</v>
      </c>
      <c r="D1195" t="s">
        <v>10712</v>
      </c>
      <c r="E1195" t="s">
        <v>10713</v>
      </c>
      <c r="G1195" t="s">
        <v>6800</v>
      </c>
      <c r="H1195" t="s">
        <v>6801</v>
      </c>
      <c r="I1195">
        <v>6381</v>
      </c>
      <c r="J1195" t="s">
        <v>6802</v>
      </c>
      <c r="L1195" t="s">
        <v>74</v>
      </c>
      <c r="M1195" t="s">
        <v>75</v>
      </c>
      <c r="R1195" t="s">
        <v>10714</v>
      </c>
      <c r="W1195" t="s">
        <v>10713</v>
      </c>
      <c r="X1195" t="s">
        <v>10704</v>
      </c>
      <c r="Y1195" t="s">
        <v>87</v>
      </c>
      <c r="Z1195" t="s">
        <v>77</v>
      </c>
      <c r="AA1195" t="str">
        <f>"11229-4004"</f>
        <v>11229-4004</v>
      </c>
      <c r="AB1195" t="s">
        <v>109</v>
      </c>
      <c r="AC1195" t="s">
        <v>79</v>
      </c>
      <c r="AD1195" t="s">
        <v>75</v>
      </c>
      <c r="AE1195" t="s">
        <v>80</v>
      </c>
      <c r="AG1195" t="s">
        <v>81</v>
      </c>
    </row>
    <row r="1196" spans="1:33" x14ac:dyDescent="0.25">
      <c r="A1196" t="str">
        <f>"1457601536"</f>
        <v>1457601536</v>
      </c>
      <c r="B1196" t="str">
        <f>"03601310"</f>
        <v>03601310</v>
      </c>
      <c r="C1196" t="s">
        <v>10715</v>
      </c>
      <c r="D1196" t="s">
        <v>10716</v>
      </c>
      <c r="E1196" t="s">
        <v>10717</v>
      </c>
      <c r="G1196" t="s">
        <v>6800</v>
      </c>
      <c r="H1196" t="s">
        <v>6801</v>
      </c>
      <c r="I1196">
        <v>6381</v>
      </c>
      <c r="J1196" t="s">
        <v>6802</v>
      </c>
      <c r="L1196" t="s">
        <v>74</v>
      </c>
      <c r="M1196" t="s">
        <v>75</v>
      </c>
      <c r="R1196" t="s">
        <v>10718</v>
      </c>
      <c r="W1196" t="s">
        <v>10717</v>
      </c>
      <c r="X1196" t="s">
        <v>3538</v>
      </c>
      <c r="Y1196" t="s">
        <v>131</v>
      </c>
      <c r="Z1196" t="s">
        <v>77</v>
      </c>
      <c r="AA1196" t="str">
        <f>"10461-5726"</f>
        <v>10461-5726</v>
      </c>
      <c r="AB1196" t="s">
        <v>109</v>
      </c>
      <c r="AC1196" t="s">
        <v>79</v>
      </c>
      <c r="AD1196" t="s">
        <v>75</v>
      </c>
      <c r="AE1196" t="s">
        <v>80</v>
      </c>
      <c r="AG1196" t="s">
        <v>81</v>
      </c>
    </row>
    <row r="1197" spans="1:33" x14ac:dyDescent="0.25">
      <c r="A1197" t="str">
        <f>"1629303599"</f>
        <v>1629303599</v>
      </c>
      <c r="B1197" t="str">
        <f>"03610368"</f>
        <v>03610368</v>
      </c>
      <c r="C1197" t="s">
        <v>10719</v>
      </c>
      <c r="D1197" t="s">
        <v>10720</v>
      </c>
      <c r="E1197" t="s">
        <v>10721</v>
      </c>
      <c r="G1197" t="s">
        <v>6800</v>
      </c>
      <c r="H1197" t="s">
        <v>6801</v>
      </c>
      <c r="I1197">
        <v>6381</v>
      </c>
      <c r="J1197" t="s">
        <v>6802</v>
      </c>
      <c r="L1197" t="s">
        <v>74</v>
      </c>
      <c r="M1197" t="s">
        <v>75</v>
      </c>
      <c r="R1197" t="s">
        <v>10722</v>
      </c>
      <c r="W1197" t="s">
        <v>10721</v>
      </c>
      <c r="X1197" t="s">
        <v>10723</v>
      </c>
      <c r="Y1197" t="s">
        <v>3583</v>
      </c>
      <c r="Z1197" t="s">
        <v>77</v>
      </c>
      <c r="AA1197" t="str">
        <f>"11050-4408"</f>
        <v>11050-4408</v>
      </c>
      <c r="AB1197" t="s">
        <v>109</v>
      </c>
      <c r="AC1197" t="s">
        <v>79</v>
      </c>
      <c r="AD1197" t="s">
        <v>75</v>
      </c>
      <c r="AE1197" t="s">
        <v>80</v>
      </c>
      <c r="AG1197" t="s">
        <v>81</v>
      </c>
    </row>
    <row r="1198" spans="1:33" x14ac:dyDescent="0.25">
      <c r="A1198" t="str">
        <f>"1821232794"</f>
        <v>1821232794</v>
      </c>
      <c r="B1198" t="str">
        <f>"03647472"</f>
        <v>03647472</v>
      </c>
      <c r="C1198" t="s">
        <v>10724</v>
      </c>
      <c r="D1198" t="s">
        <v>10725</v>
      </c>
      <c r="E1198" t="s">
        <v>10726</v>
      </c>
      <c r="G1198" t="s">
        <v>6800</v>
      </c>
      <c r="H1198" t="s">
        <v>6801</v>
      </c>
      <c r="I1198">
        <v>6381</v>
      </c>
      <c r="J1198" t="s">
        <v>6802</v>
      </c>
      <c r="L1198" t="s">
        <v>74</v>
      </c>
      <c r="M1198" t="s">
        <v>75</v>
      </c>
      <c r="R1198" t="s">
        <v>10727</v>
      </c>
      <c r="W1198" t="s">
        <v>10726</v>
      </c>
      <c r="X1198" t="s">
        <v>10704</v>
      </c>
      <c r="Y1198" t="s">
        <v>87</v>
      </c>
      <c r="Z1198" t="s">
        <v>77</v>
      </c>
      <c r="AA1198" t="str">
        <f>"11229-4004"</f>
        <v>11229-4004</v>
      </c>
      <c r="AB1198" t="s">
        <v>109</v>
      </c>
      <c r="AC1198" t="s">
        <v>79</v>
      </c>
      <c r="AD1198" t="s">
        <v>75</v>
      </c>
      <c r="AE1198" t="s">
        <v>80</v>
      </c>
      <c r="AG1198" t="s">
        <v>81</v>
      </c>
    </row>
    <row r="1199" spans="1:33" x14ac:dyDescent="0.25">
      <c r="A1199" t="str">
        <f>"1154696888"</f>
        <v>1154696888</v>
      </c>
      <c r="B1199" t="str">
        <f>"03654919"</f>
        <v>03654919</v>
      </c>
      <c r="C1199" t="s">
        <v>10728</v>
      </c>
      <c r="D1199" t="s">
        <v>10729</v>
      </c>
      <c r="E1199" t="s">
        <v>10730</v>
      </c>
      <c r="G1199" t="s">
        <v>6800</v>
      </c>
      <c r="H1199" t="s">
        <v>6801</v>
      </c>
      <c r="I1199">
        <v>6381</v>
      </c>
      <c r="J1199" t="s">
        <v>6802</v>
      </c>
      <c r="L1199" t="s">
        <v>74</v>
      </c>
      <c r="M1199" t="s">
        <v>75</v>
      </c>
      <c r="R1199" t="s">
        <v>10730</v>
      </c>
      <c r="W1199" t="s">
        <v>10730</v>
      </c>
      <c r="X1199" t="s">
        <v>3538</v>
      </c>
      <c r="Y1199" t="s">
        <v>131</v>
      </c>
      <c r="Z1199" t="s">
        <v>77</v>
      </c>
      <c r="AA1199" t="str">
        <f>"10461-5726"</f>
        <v>10461-5726</v>
      </c>
      <c r="AB1199" t="s">
        <v>109</v>
      </c>
      <c r="AC1199" t="s">
        <v>79</v>
      </c>
      <c r="AD1199" t="s">
        <v>75</v>
      </c>
      <c r="AE1199" t="s">
        <v>80</v>
      </c>
      <c r="AG1199" t="s">
        <v>81</v>
      </c>
    </row>
    <row r="1200" spans="1:33" x14ac:dyDescent="0.25">
      <c r="A1200" t="str">
        <f>"1619281748"</f>
        <v>1619281748</v>
      </c>
      <c r="B1200" t="str">
        <f>"03268242"</f>
        <v>03268242</v>
      </c>
      <c r="C1200" t="s">
        <v>10731</v>
      </c>
      <c r="D1200" t="s">
        <v>10732</v>
      </c>
      <c r="E1200" t="s">
        <v>10733</v>
      </c>
      <c r="L1200" t="s">
        <v>84</v>
      </c>
      <c r="M1200" t="s">
        <v>85</v>
      </c>
      <c r="R1200" t="s">
        <v>10734</v>
      </c>
      <c r="W1200" t="s">
        <v>10733</v>
      </c>
      <c r="X1200" t="s">
        <v>10735</v>
      </c>
      <c r="Y1200" t="s">
        <v>97</v>
      </c>
      <c r="Z1200" t="s">
        <v>77</v>
      </c>
      <c r="AA1200" t="str">
        <f>"10035-2709"</f>
        <v>10035-2709</v>
      </c>
      <c r="AB1200" t="s">
        <v>78</v>
      </c>
      <c r="AC1200" t="s">
        <v>79</v>
      </c>
      <c r="AD1200" t="s">
        <v>75</v>
      </c>
      <c r="AE1200" t="s">
        <v>80</v>
      </c>
      <c r="AG1200" t="s">
        <v>81</v>
      </c>
    </row>
    <row r="1201" spans="1:33" x14ac:dyDescent="0.25">
      <c r="A1201" t="str">
        <f>"1134153992"</f>
        <v>1134153992</v>
      </c>
      <c r="B1201" t="str">
        <f>"02812375"</f>
        <v>02812375</v>
      </c>
      <c r="C1201" t="s">
        <v>10736</v>
      </c>
      <c r="D1201" t="s">
        <v>10737</v>
      </c>
      <c r="E1201" t="s">
        <v>10738</v>
      </c>
      <c r="G1201" t="s">
        <v>6494</v>
      </c>
      <c r="H1201" t="s">
        <v>6495</v>
      </c>
      <c r="J1201" t="s">
        <v>6496</v>
      </c>
      <c r="L1201" t="s">
        <v>83</v>
      </c>
      <c r="M1201" t="s">
        <v>75</v>
      </c>
      <c r="R1201" t="s">
        <v>10739</v>
      </c>
      <c r="W1201" t="s">
        <v>10738</v>
      </c>
      <c r="X1201" t="s">
        <v>443</v>
      </c>
      <c r="Y1201" t="s">
        <v>97</v>
      </c>
      <c r="Z1201" t="s">
        <v>77</v>
      </c>
      <c r="AA1201" t="str">
        <f>"10075-1850"</f>
        <v>10075-1850</v>
      </c>
      <c r="AB1201" t="s">
        <v>78</v>
      </c>
      <c r="AC1201" t="s">
        <v>79</v>
      </c>
      <c r="AD1201" t="s">
        <v>75</v>
      </c>
      <c r="AE1201" t="s">
        <v>80</v>
      </c>
      <c r="AG1201" t="s">
        <v>81</v>
      </c>
    </row>
    <row r="1202" spans="1:33" x14ac:dyDescent="0.25">
      <c r="A1202" t="str">
        <f>"1194805010"</f>
        <v>1194805010</v>
      </c>
      <c r="B1202" t="str">
        <f>"02476231"</f>
        <v>02476231</v>
      </c>
      <c r="C1202" t="s">
        <v>10740</v>
      </c>
      <c r="D1202" t="s">
        <v>10741</v>
      </c>
      <c r="E1202" t="s">
        <v>10742</v>
      </c>
      <c r="G1202" t="s">
        <v>6494</v>
      </c>
      <c r="H1202" t="s">
        <v>6495</v>
      </c>
      <c r="J1202" t="s">
        <v>6496</v>
      </c>
      <c r="L1202" t="s">
        <v>143</v>
      </c>
      <c r="M1202" t="s">
        <v>75</v>
      </c>
      <c r="R1202" t="s">
        <v>10743</v>
      </c>
      <c r="W1202" t="s">
        <v>10742</v>
      </c>
      <c r="X1202" t="s">
        <v>9471</v>
      </c>
      <c r="Y1202" t="s">
        <v>97</v>
      </c>
      <c r="Z1202" t="s">
        <v>77</v>
      </c>
      <c r="AA1202" t="str">
        <f>"10009-7813"</f>
        <v>10009-7813</v>
      </c>
      <c r="AB1202" t="s">
        <v>78</v>
      </c>
      <c r="AC1202" t="s">
        <v>79</v>
      </c>
      <c r="AD1202" t="s">
        <v>75</v>
      </c>
      <c r="AE1202" t="s">
        <v>80</v>
      </c>
      <c r="AG1202" t="s">
        <v>81</v>
      </c>
    </row>
    <row r="1203" spans="1:33" x14ac:dyDescent="0.25">
      <c r="A1203" t="str">
        <f>"1265454540"</f>
        <v>1265454540</v>
      </c>
      <c r="B1203" t="str">
        <f>"02207629"</f>
        <v>02207629</v>
      </c>
      <c r="C1203" t="s">
        <v>10744</v>
      </c>
      <c r="D1203" t="s">
        <v>10745</v>
      </c>
      <c r="E1203" t="s">
        <v>10746</v>
      </c>
      <c r="G1203" t="s">
        <v>9688</v>
      </c>
      <c r="H1203" t="s">
        <v>9689</v>
      </c>
      <c r="J1203" t="s">
        <v>9690</v>
      </c>
      <c r="L1203" t="s">
        <v>74</v>
      </c>
      <c r="M1203" t="s">
        <v>75</v>
      </c>
      <c r="R1203" t="s">
        <v>10747</v>
      </c>
      <c r="W1203" t="s">
        <v>10746</v>
      </c>
      <c r="X1203" t="s">
        <v>2703</v>
      </c>
      <c r="Y1203" t="s">
        <v>97</v>
      </c>
      <c r="Z1203" t="s">
        <v>77</v>
      </c>
      <c r="AA1203" t="str">
        <f>"10035-3018"</f>
        <v>10035-3018</v>
      </c>
      <c r="AB1203" t="s">
        <v>82</v>
      </c>
      <c r="AC1203" t="s">
        <v>79</v>
      </c>
      <c r="AD1203" t="s">
        <v>75</v>
      </c>
      <c r="AE1203" t="s">
        <v>80</v>
      </c>
      <c r="AG1203" t="s">
        <v>81</v>
      </c>
    </row>
    <row r="1204" spans="1:33" x14ac:dyDescent="0.25">
      <c r="A1204" t="str">
        <f>"1225099617"</f>
        <v>1225099617</v>
      </c>
      <c r="B1204" t="str">
        <f>"01402666"</f>
        <v>01402666</v>
      </c>
      <c r="C1204" t="s">
        <v>10748</v>
      </c>
      <c r="D1204" t="s">
        <v>10749</v>
      </c>
      <c r="E1204" t="s">
        <v>10750</v>
      </c>
      <c r="H1204" t="s">
        <v>10751</v>
      </c>
      <c r="L1204" t="s">
        <v>84</v>
      </c>
      <c r="M1204" t="s">
        <v>75</v>
      </c>
      <c r="R1204" t="s">
        <v>10752</v>
      </c>
      <c r="W1204" t="s">
        <v>10750</v>
      </c>
      <c r="X1204" t="s">
        <v>188</v>
      </c>
      <c r="Y1204" t="s">
        <v>164</v>
      </c>
      <c r="Z1204" t="s">
        <v>77</v>
      </c>
      <c r="AA1204" t="str">
        <f>"11554-1859"</f>
        <v>11554-1859</v>
      </c>
      <c r="AB1204" t="s">
        <v>78</v>
      </c>
      <c r="AC1204" t="s">
        <v>79</v>
      </c>
      <c r="AD1204" t="s">
        <v>75</v>
      </c>
      <c r="AE1204" t="s">
        <v>80</v>
      </c>
      <c r="AG1204" t="s">
        <v>81</v>
      </c>
    </row>
    <row r="1205" spans="1:33" x14ac:dyDescent="0.25">
      <c r="A1205" t="str">
        <f>"1386625556"</f>
        <v>1386625556</v>
      </c>
      <c r="B1205" t="str">
        <f>"01274804"</f>
        <v>01274804</v>
      </c>
      <c r="C1205" t="s">
        <v>10753</v>
      </c>
      <c r="D1205" t="s">
        <v>10754</v>
      </c>
      <c r="E1205" t="s">
        <v>10755</v>
      </c>
      <c r="H1205" t="s">
        <v>10756</v>
      </c>
      <c r="L1205" t="s">
        <v>83</v>
      </c>
      <c r="M1205" t="s">
        <v>75</v>
      </c>
      <c r="R1205" t="s">
        <v>10757</v>
      </c>
      <c r="W1205" t="s">
        <v>10755</v>
      </c>
      <c r="X1205" t="s">
        <v>2525</v>
      </c>
      <c r="Y1205" t="s">
        <v>227</v>
      </c>
      <c r="Z1205" t="s">
        <v>77</v>
      </c>
      <c r="AA1205" t="str">
        <f>"10601-1712"</f>
        <v>10601-1712</v>
      </c>
      <c r="AB1205" t="s">
        <v>78</v>
      </c>
      <c r="AC1205" t="s">
        <v>79</v>
      </c>
      <c r="AD1205" t="s">
        <v>75</v>
      </c>
      <c r="AE1205" t="s">
        <v>80</v>
      </c>
      <c r="AG1205" t="s">
        <v>81</v>
      </c>
    </row>
    <row r="1206" spans="1:33" x14ac:dyDescent="0.25">
      <c r="A1206" t="str">
        <f>"1285627216"</f>
        <v>1285627216</v>
      </c>
      <c r="B1206" t="str">
        <f>"02614597"</f>
        <v>02614597</v>
      </c>
      <c r="C1206" t="s">
        <v>10758</v>
      </c>
      <c r="D1206" t="s">
        <v>10759</v>
      </c>
      <c r="E1206" t="s">
        <v>10760</v>
      </c>
      <c r="G1206" t="s">
        <v>6380</v>
      </c>
      <c r="H1206" t="s">
        <v>4625</v>
      </c>
      <c r="J1206" t="s">
        <v>6381</v>
      </c>
      <c r="L1206" t="s">
        <v>83</v>
      </c>
      <c r="M1206" t="s">
        <v>85</v>
      </c>
      <c r="R1206" t="s">
        <v>10761</v>
      </c>
      <c r="W1206" t="s">
        <v>10760</v>
      </c>
      <c r="X1206" t="s">
        <v>1822</v>
      </c>
      <c r="Y1206" t="s">
        <v>1823</v>
      </c>
      <c r="Z1206" t="s">
        <v>77</v>
      </c>
      <c r="AA1206" t="str">
        <f>"10941-4028"</f>
        <v>10941-4028</v>
      </c>
      <c r="AB1206" t="s">
        <v>78</v>
      </c>
      <c r="AC1206" t="s">
        <v>79</v>
      </c>
      <c r="AD1206" t="s">
        <v>75</v>
      </c>
      <c r="AE1206" t="s">
        <v>80</v>
      </c>
      <c r="AG1206" t="s">
        <v>81</v>
      </c>
    </row>
    <row r="1207" spans="1:33" x14ac:dyDescent="0.25">
      <c r="A1207" t="str">
        <f>"1538141726"</f>
        <v>1538141726</v>
      </c>
      <c r="B1207" t="str">
        <f>"02614602"</f>
        <v>02614602</v>
      </c>
      <c r="C1207" t="s">
        <v>10762</v>
      </c>
      <c r="D1207" t="s">
        <v>10763</v>
      </c>
      <c r="E1207" t="s">
        <v>10764</v>
      </c>
      <c r="G1207" t="s">
        <v>6380</v>
      </c>
      <c r="H1207" t="s">
        <v>4625</v>
      </c>
      <c r="J1207" t="s">
        <v>6381</v>
      </c>
      <c r="L1207" t="s">
        <v>84</v>
      </c>
      <c r="M1207" t="s">
        <v>85</v>
      </c>
      <c r="R1207" t="s">
        <v>10765</v>
      </c>
      <c r="W1207" t="s">
        <v>10764</v>
      </c>
      <c r="X1207" t="s">
        <v>1822</v>
      </c>
      <c r="Y1207" t="s">
        <v>1823</v>
      </c>
      <c r="Z1207" t="s">
        <v>77</v>
      </c>
      <c r="AA1207" t="str">
        <f>"10941-4028"</f>
        <v>10941-4028</v>
      </c>
      <c r="AB1207" t="s">
        <v>78</v>
      </c>
      <c r="AC1207" t="s">
        <v>79</v>
      </c>
      <c r="AD1207" t="s">
        <v>75</v>
      </c>
      <c r="AE1207" t="s">
        <v>80</v>
      </c>
      <c r="AG1207" t="s">
        <v>81</v>
      </c>
    </row>
    <row r="1208" spans="1:33" x14ac:dyDescent="0.25">
      <c r="A1208" t="str">
        <f>"1871590661"</f>
        <v>1871590661</v>
      </c>
      <c r="B1208" t="str">
        <f>"02617307"</f>
        <v>02617307</v>
      </c>
      <c r="C1208" t="s">
        <v>10766</v>
      </c>
      <c r="D1208" t="s">
        <v>10767</v>
      </c>
      <c r="E1208" t="s">
        <v>10768</v>
      </c>
      <c r="G1208" t="s">
        <v>6380</v>
      </c>
      <c r="H1208" t="s">
        <v>4625</v>
      </c>
      <c r="J1208" t="s">
        <v>6381</v>
      </c>
      <c r="L1208" t="s">
        <v>83</v>
      </c>
      <c r="M1208" t="s">
        <v>85</v>
      </c>
      <c r="R1208" t="s">
        <v>10769</v>
      </c>
      <c r="W1208" t="s">
        <v>10768</v>
      </c>
      <c r="X1208" t="s">
        <v>6503</v>
      </c>
      <c r="Y1208" t="s">
        <v>1823</v>
      </c>
      <c r="Z1208" t="s">
        <v>77</v>
      </c>
      <c r="AA1208" t="str">
        <f>"10941-7001"</f>
        <v>10941-7001</v>
      </c>
      <c r="AB1208" t="s">
        <v>78</v>
      </c>
      <c r="AC1208" t="s">
        <v>79</v>
      </c>
      <c r="AD1208" t="s">
        <v>75</v>
      </c>
      <c r="AE1208" t="s">
        <v>80</v>
      </c>
      <c r="AG1208" t="s">
        <v>81</v>
      </c>
    </row>
    <row r="1209" spans="1:33" x14ac:dyDescent="0.25">
      <c r="A1209" t="str">
        <f>"1609863364"</f>
        <v>1609863364</v>
      </c>
      <c r="B1209" t="str">
        <f>"02618151"</f>
        <v>02618151</v>
      </c>
      <c r="C1209" t="s">
        <v>10770</v>
      </c>
      <c r="D1209" t="s">
        <v>10771</v>
      </c>
      <c r="E1209" t="s">
        <v>10772</v>
      </c>
      <c r="G1209" t="s">
        <v>6380</v>
      </c>
      <c r="H1209" t="s">
        <v>4625</v>
      </c>
      <c r="J1209" t="s">
        <v>6381</v>
      </c>
      <c r="L1209" t="s">
        <v>84</v>
      </c>
      <c r="M1209" t="s">
        <v>85</v>
      </c>
      <c r="R1209" t="s">
        <v>10773</v>
      </c>
      <c r="W1209" t="s">
        <v>10774</v>
      </c>
      <c r="X1209" t="s">
        <v>10775</v>
      </c>
      <c r="Y1209" t="s">
        <v>1823</v>
      </c>
      <c r="Z1209" t="s">
        <v>77</v>
      </c>
      <c r="AA1209" t="str">
        <f>"10941-4057"</f>
        <v>10941-4057</v>
      </c>
      <c r="AB1209" t="s">
        <v>78</v>
      </c>
      <c r="AC1209" t="s">
        <v>79</v>
      </c>
      <c r="AD1209" t="s">
        <v>75</v>
      </c>
      <c r="AE1209" t="s">
        <v>80</v>
      </c>
      <c r="AG1209" t="s">
        <v>81</v>
      </c>
    </row>
    <row r="1210" spans="1:33" x14ac:dyDescent="0.25">
      <c r="A1210" t="str">
        <f>"1295717486"</f>
        <v>1295717486</v>
      </c>
      <c r="B1210" t="str">
        <f>"02619996"</f>
        <v>02619996</v>
      </c>
      <c r="C1210" t="s">
        <v>10776</v>
      </c>
      <c r="D1210" t="s">
        <v>10777</v>
      </c>
      <c r="E1210" t="s">
        <v>10778</v>
      </c>
      <c r="G1210" t="s">
        <v>6380</v>
      </c>
      <c r="H1210" t="s">
        <v>4625</v>
      </c>
      <c r="J1210" t="s">
        <v>6381</v>
      </c>
      <c r="L1210" t="s">
        <v>84</v>
      </c>
      <c r="M1210" t="s">
        <v>85</v>
      </c>
      <c r="R1210" t="s">
        <v>10779</v>
      </c>
      <c r="W1210" t="s">
        <v>10778</v>
      </c>
      <c r="X1210" t="s">
        <v>1822</v>
      </c>
      <c r="Y1210" t="s">
        <v>1823</v>
      </c>
      <c r="Z1210" t="s">
        <v>77</v>
      </c>
      <c r="AA1210" t="str">
        <f>"10941-4028"</f>
        <v>10941-4028</v>
      </c>
      <c r="AB1210" t="s">
        <v>78</v>
      </c>
      <c r="AC1210" t="s">
        <v>79</v>
      </c>
      <c r="AD1210" t="s">
        <v>75</v>
      </c>
      <c r="AE1210" t="s">
        <v>80</v>
      </c>
      <c r="AG1210" t="s">
        <v>81</v>
      </c>
    </row>
    <row r="1211" spans="1:33" x14ac:dyDescent="0.25">
      <c r="A1211" t="str">
        <f>"1134198880"</f>
        <v>1134198880</v>
      </c>
      <c r="B1211" t="str">
        <f>"02620157"</f>
        <v>02620157</v>
      </c>
      <c r="C1211" t="s">
        <v>10780</v>
      </c>
      <c r="D1211" t="s">
        <v>10781</v>
      </c>
      <c r="E1211" t="s">
        <v>10782</v>
      </c>
      <c r="G1211" t="s">
        <v>6380</v>
      </c>
      <c r="H1211" t="s">
        <v>4625</v>
      </c>
      <c r="J1211" t="s">
        <v>6381</v>
      </c>
      <c r="L1211" t="s">
        <v>83</v>
      </c>
      <c r="M1211" t="s">
        <v>85</v>
      </c>
      <c r="R1211" t="s">
        <v>10783</v>
      </c>
      <c r="W1211" t="s">
        <v>10782</v>
      </c>
      <c r="X1211" t="s">
        <v>10784</v>
      </c>
      <c r="Y1211" t="s">
        <v>240</v>
      </c>
      <c r="Z1211" t="s">
        <v>77</v>
      </c>
      <c r="AA1211" t="str">
        <f>"11530-2913"</f>
        <v>11530-2913</v>
      </c>
      <c r="AB1211" t="s">
        <v>78</v>
      </c>
      <c r="AC1211" t="s">
        <v>79</v>
      </c>
      <c r="AD1211" t="s">
        <v>75</v>
      </c>
      <c r="AE1211" t="s">
        <v>80</v>
      </c>
      <c r="AG1211" t="s">
        <v>81</v>
      </c>
    </row>
    <row r="1212" spans="1:33" x14ac:dyDescent="0.25">
      <c r="A1212" t="str">
        <f>"1861402851"</f>
        <v>1861402851</v>
      </c>
      <c r="B1212" t="str">
        <f>"02805214"</f>
        <v>02805214</v>
      </c>
      <c r="C1212" t="s">
        <v>10785</v>
      </c>
      <c r="D1212" t="s">
        <v>10786</v>
      </c>
      <c r="E1212" t="s">
        <v>10787</v>
      </c>
      <c r="G1212" t="s">
        <v>6380</v>
      </c>
      <c r="H1212" t="s">
        <v>4625</v>
      </c>
      <c r="J1212" t="s">
        <v>6381</v>
      </c>
      <c r="L1212" t="s">
        <v>83</v>
      </c>
      <c r="M1212" t="s">
        <v>85</v>
      </c>
      <c r="R1212" t="s">
        <v>10788</v>
      </c>
      <c r="W1212" t="s">
        <v>10789</v>
      </c>
      <c r="X1212" t="s">
        <v>1822</v>
      </c>
      <c r="Y1212" t="s">
        <v>1823</v>
      </c>
      <c r="Z1212" t="s">
        <v>77</v>
      </c>
      <c r="AA1212" t="str">
        <f>"10941-4028"</f>
        <v>10941-4028</v>
      </c>
      <c r="AB1212" t="s">
        <v>78</v>
      </c>
      <c r="AC1212" t="s">
        <v>79</v>
      </c>
      <c r="AD1212" t="s">
        <v>75</v>
      </c>
      <c r="AE1212" t="s">
        <v>80</v>
      </c>
      <c r="AG1212" t="s">
        <v>81</v>
      </c>
    </row>
    <row r="1213" spans="1:33" x14ac:dyDescent="0.25">
      <c r="A1213" t="str">
        <f>"1164416897"</f>
        <v>1164416897</v>
      </c>
      <c r="B1213" t="str">
        <f>"02806655"</f>
        <v>02806655</v>
      </c>
      <c r="C1213" t="s">
        <v>10790</v>
      </c>
      <c r="D1213" t="s">
        <v>10791</v>
      </c>
      <c r="E1213" t="s">
        <v>10792</v>
      </c>
      <c r="G1213" t="s">
        <v>6380</v>
      </c>
      <c r="H1213" t="s">
        <v>4625</v>
      </c>
      <c r="J1213" t="s">
        <v>6381</v>
      </c>
      <c r="L1213" t="s">
        <v>83</v>
      </c>
      <c r="M1213" t="s">
        <v>85</v>
      </c>
      <c r="R1213" t="s">
        <v>10793</v>
      </c>
      <c r="W1213" t="s">
        <v>10792</v>
      </c>
      <c r="X1213" t="s">
        <v>1822</v>
      </c>
      <c r="Y1213" t="s">
        <v>1823</v>
      </c>
      <c r="Z1213" t="s">
        <v>77</v>
      </c>
      <c r="AA1213" t="str">
        <f>"10941-4028"</f>
        <v>10941-4028</v>
      </c>
      <c r="AB1213" t="s">
        <v>78</v>
      </c>
      <c r="AC1213" t="s">
        <v>79</v>
      </c>
      <c r="AD1213" t="s">
        <v>75</v>
      </c>
      <c r="AE1213" t="s">
        <v>80</v>
      </c>
      <c r="AG1213" t="s">
        <v>81</v>
      </c>
    </row>
    <row r="1214" spans="1:33" x14ac:dyDescent="0.25">
      <c r="A1214" t="str">
        <f>"1376718452"</f>
        <v>1376718452</v>
      </c>
      <c r="B1214" t="str">
        <f>"03018893"</f>
        <v>03018893</v>
      </c>
      <c r="C1214" t="s">
        <v>10794</v>
      </c>
      <c r="D1214" t="s">
        <v>10795</v>
      </c>
      <c r="E1214" t="s">
        <v>10796</v>
      </c>
      <c r="G1214" t="s">
        <v>9688</v>
      </c>
      <c r="H1214" t="s">
        <v>9689</v>
      </c>
      <c r="J1214" t="s">
        <v>9690</v>
      </c>
      <c r="L1214" t="s">
        <v>74</v>
      </c>
      <c r="M1214" t="s">
        <v>75</v>
      </c>
      <c r="R1214" t="s">
        <v>10797</v>
      </c>
      <c r="W1214" t="s">
        <v>10798</v>
      </c>
      <c r="X1214" t="s">
        <v>10799</v>
      </c>
      <c r="Y1214" t="s">
        <v>87</v>
      </c>
      <c r="Z1214" t="s">
        <v>77</v>
      </c>
      <c r="AA1214" t="str">
        <f>"11233-3402"</f>
        <v>11233-3402</v>
      </c>
      <c r="AB1214" t="s">
        <v>78</v>
      </c>
      <c r="AC1214" t="s">
        <v>79</v>
      </c>
      <c r="AD1214" t="s">
        <v>75</v>
      </c>
      <c r="AE1214" t="s">
        <v>80</v>
      </c>
      <c r="AG1214" t="s">
        <v>81</v>
      </c>
    </row>
    <row r="1215" spans="1:33" x14ac:dyDescent="0.25">
      <c r="A1215" t="str">
        <f>"1053685206"</f>
        <v>1053685206</v>
      </c>
      <c r="B1215" t="str">
        <f>"03747817"</f>
        <v>03747817</v>
      </c>
      <c r="C1215" t="s">
        <v>10800</v>
      </c>
      <c r="D1215" t="s">
        <v>10801</v>
      </c>
      <c r="E1215" t="s">
        <v>10802</v>
      </c>
      <c r="G1215" t="s">
        <v>9688</v>
      </c>
      <c r="H1215" t="s">
        <v>9689</v>
      </c>
      <c r="J1215" t="s">
        <v>9690</v>
      </c>
      <c r="L1215" t="s">
        <v>105</v>
      </c>
      <c r="M1215" t="s">
        <v>75</v>
      </c>
      <c r="R1215" t="s">
        <v>10803</v>
      </c>
      <c r="W1215" t="s">
        <v>10802</v>
      </c>
      <c r="X1215" t="s">
        <v>10804</v>
      </c>
      <c r="Y1215" t="s">
        <v>87</v>
      </c>
      <c r="Z1215" t="s">
        <v>77</v>
      </c>
      <c r="AA1215" t="str">
        <f>"11203-1309"</f>
        <v>11203-1309</v>
      </c>
      <c r="AB1215" t="s">
        <v>78</v>
      </c>
      <c r="AC1215" t="s">
        <v>79</v>
      </c>
      <c r="AD1215" t="s">
        <v>75</v>
      </c>
      <c r="AE1215" t="s">
        <v>80</v>
      </c>
      <c r="AG1215" t="s">
        <v>81</v>
      </c>
    </row>
    <row r="1216" spans="1:33" x14ac:dyDescent="0.25">
      <c r="A1216" t="str">
        <f>"1366716656"</f>
        <v>1366716656</v>
      </c>
      <c r="B1216" t="str">
        <f>"03453830"</f>
        <v>03453830</v>
      </c>
      <c r="C1216" t="s">
        <v>10805</v>
      </c>
      <c r="D1216" t="s">
        <v>10806</v>
      </c>
      <c r="E1216" t="s">
        <v>10807</v>
      </c>
      <c r="G1216" t="s">
        <v>6494</v>
      </c>
      <c r="H1216" t="s">
        <v>6495</v>
      </c>
      <c r="J1216" t="s">
        <v>6496</v>
      </c>
      <c r="L1216" t="s">
        <v>143</v>
      </c>
      <c r="M1216" t="s">
        <v>75</v>
      </c>
      <c r="R1216" t="s">
        <v>10807</v>
      </c>
      <c r="W1216" t="s">
        <v>10808</v>
      </c>
      <c r="X1216" t="s">
        <v>7539</v>
      </c>
      <c r="Y1216" t="s">
        <v>97</v>
      </c>
      <c r="Z1216" t="s">
        <v>77</v>
      </c>
      <c r="AA1216" t="str">
        <f>"10025-5752"</f>
        <v>10025-5752</v>
      </c>
      <c r="AB1216" t="s">
        <v>113</v>
      </c>
      <c r="AC1216" t="s">
        <v>79</v>
      </c>
      <c r="AD1216" t="s">
        <v>75</v>
      </c>
      <c r="AE1216" t="s">
        <v>80</v>
      </c>
      <c r="AG1216" t="s">
        <v>81</v>
      </c>
    </row>
    <row r="1217" spans="1:33" x14ac:dyDescent="0.25">
      <c r="A1217" t="str">
        <f>"1407099336"</f>
        <v>1407099336</v>
      </c>
      <c r="B1217" t="str">
        <f>"03107802"</f>
        <v>03107802</v>
      </c>
      <c r="C1217" t="s">
        <v>10809</v>
      </c>
      <c r="D1217" t="s">
        <v>10810</v>
      </c>
      <c r="E1217" t="s">
        <v>10811</v>
      </c>
      <c r="G1217" t="s">
        <v>6494</v>
      </c>
      <c r="H1217" t="s">
        <v>6495</v>
      </c>
      <c r="J1217" t="s">
        <v>6496</v>
      </c>
      <c r="L1217" t="s">
        <v>83</v>
      </c>
      <c r="M1217" t="s">
        <v>85</v>
      </c>
      <c r="R1217" t="s">
        <v>10812</v>
      </c>
      <c r="W1217" t="s">
        <v>10813</v>
      </c>
      <c r="X1217" t="s">
        <v>2808</v>
      </c>
      <c r="Y1217" t="s">
        <v>97</v>
      </c>
      <c r="Z1217" t="s">
        <v>77</v>
      </c>
      <c r="AA1217" t="str">
        <f>"10025-6450"</f>
        <v>10025-6450</v>
      </c>
      <c r="AB1217" t="s">
        <v>78</v>
      </c>
      <c r="AC1217" t="s">
        <v>79</v>
      </c>
      <c r="AD1217" t="s">
        <v>75</v>
      </c>
      <c r="AE1217" t="s">
        <v>80</v>
      </c>
      <c r="AG1217" t="s">
        <v>81</v>
      </c>
    </row>
    <row r="1218" spans="1:33" x14ac:dyDescent="0.25">
      <c r="A1218" t="str">
        <f>"1184872806"</f>
        <v>1184872806</v>
      </c>
      <c r="B1218" t="str">
        <f>"03432482"</f>
        <v>03432482</v>
      </c>
      <c r="C1218" t="s">
        <v>10814</v>
      </c>
      <c r="D1218" t="s">
        <v>10815</v>
      </c>
      <c r="E1218" t="s">
        <v>10816</v>
      </c>
      <c r="G1218" t="s">
        <v>8057</v>
      </c>
      <c r="H1218" t="s">
        <v>8058</v>
      </c>
      <c r="J1218" t="s">
        <v>8059</v>
      </c>
      <c r="L1218" t="s">
        <v>143</v>
      </c>
      <c r="M1218" t="s">
        <v>85</v>
      </c>
      <c r="R1218" t="s">
        <v>10817</v>
      </c>
      <c r="W1218" t="s">
        <v>10816</v>
      </c>
      <c r="X1218" t="s">
        <v>3538</v>
      </c>
      <c r="Y1218" t="s">
        <v>131</v>
      </c>
      <c r="Z1218" t="s">
        <v>77</v>
      </c>
      <c r="AA1218" t="str">
        <f>"10461-5726"</f>
        <v>10461-5726</v>
      </c>
      <c r="AB1218" t="s">
        <v>78</v>
      </c>
      <c r="AC1218" t="s">
        <v>79</v>
      </c>
      <c r="AD1218" t="s">
        <v>75</v>
      </c>
      <c r="AE1218" t="s">
        <v>80</v>
      </c>
      <c r="AG1218" t="s">
        <v>81</v>
      </c>
    </row>
    <row r="1219" spans="1:33" x14ac:dyDescent="0.25">
      <c r="A1219" t="str">
        <f>"1619135290"</f>
        <v>1619135290</v>
      </c>
      <c r="B1219" t="str">
        <f>"03088406"</f>
        <v>03088406</v>
      </c>
      <c r="C1219" t="s">
        <v>10818</v>
      </c>
      <c r="D1219" t="s">
        <v>10819</v>
      </c>
      <c r="E1219" t="s">
        <v>10820</v>
      </c>
      <c r="G1219" t="s">
        <v>8057</v>
      </c>
      <c r="H1219" t="s">
        <v>8058</v>
      </c>
      <c r="J1219" t="s">
        <v>8059</v>
      </c>
      <c r="L1219" t="s">
        <v>105</v>
      </c>
      <c r="M1219" t="s">
        <v>75</v>
      </c>
      <c r="R1219" t="s">
        <v>10821</v>
      </c>
      <c r="W1219" t="s">
        <v>10820</v>
      </c>
      <c r="X1219" t="s">
        <v>10822</v>
      </c>
      <c r="Y1219" t="s">
        <v>97</v>
      </c>
      <c r="Z1219" t="s">
        <v>77</v>
      </c>
      <c r="AA1219" t="str">
        <f>"10040-2102"</f>
        <v>10040-2102</v>
      </c>
      <c r="AB1219" t="s">
        <v>78</v>
      </c>
      <c r="AC1219" t="s">
        <v>79</v>
      </c>
      <c r="AD1219" t="s">
        <v>75</v>
      </c>
      <c r="AE1219" t="s">
        <v>80</v>
      </c>
      <c r="AG1219" t="s">
        <v>81</v>
      </c>
    </row>
    <row r="1220" spans="1:33" x14ac:dyDescent="0.25">
      <c r="A1220" t="str">
        <f>"1679739189"</f>
        <v>1679739189</v>
      </c>
      <c r="B1220" t="str">
        <f>"03026015"</f>
        <v>03026015</v>
      </c>
      <c r="C1220" t="s">
        <v>10823</v>
      </c>
      <c r="D1220" t="s">
        <v>10824</v>
      </c>
      <c r="E1220" t="s">
        <v>10825</v>
      </c>
      <c r="G1220" t="s">
        <v>6380</v>
      </c>
      <c r="H1220" t="s">
        <v>4625</v>
      </c>
      <c r="J1220" t="s">
        <v>6381</v>
      </c>
      <c r="L1220" t="s">
        <v>84</v>
      </c>
      <c r="M1220" t="s">
        <v>85</v>
      </c>
      <c r="R1220" t="s">
        <v>10826</v>
      </c>
      <c r="W1220" t="s">
        <v>10825</v>
      </c>
      <c r="X1220" t="s">
        <v>10827</v>
      </c>
      <c r="Y1220" t="s">
        <v>1744</v>
      </c>
      <c r="Z1220" t="s">
        <v>77</v>
      </c>
      <c r="AA1220" t="str">
        <f>"12180-1621"</f>
        <v>12180-1621</v>
      </c>
      <c r="AB1220" t="s">
        <v>78</v>
      </c>
      <c r="AC1220" t="s">
        <v>79</v>
      </c>
      <c r="AD1220" t="s">
        <v>75</v>
      </c>
      <c r="AE1220" t="s">
        <v>80</v>
      </c>
      <c r="AG1220" t="s">
        <v>81</v>
      </c>
    </row>
    <row r="1221" spans="1:33" x14ac:dyDescent="0.25">
      <c r="A1221" t="str">
        <f>"1326242868"</f>
        <v>1326242868</v>
      </c>
      <c r="B1221" t="str">
        <f>"03028508"</f>
        <v>03028508</v>
      </c>
      <c r="C1221" t="s">
        <v>10828</v>
      </c>
      <c r="D1221" t="s">
        <v>10829</v>
      </c>
      <c r="E1221" t="s">
        <v>10830</v>
      </c>
      <c r="G1221" t="s">
        <v>6380</v>
      </c>
      <c r="H1221" t="s">
        <v>4625</v>
      </c>
      <c r="J1221" t="s">
        <v>6381</v>
      </c>
      <c r="L1221" t="s">
        <v>83</v>
      </c>
      <c r="M1221" t="s">
        <v>85</v>
      </c>
      <c r="R1221" t="s">
        <v>10831</v>
      </c>
      <c r="W1221" t="s">
        <v>10830</v>
      </c>
      <c r="X1221" t="s">
        <v>1822</v>
      </c>
      <c r="Y1221" t="s">
        <v>1823</v>
      </c>
      <c r="Z1221" t="s">
        <v>77</v>
      </c>
      <c r="AA1221" t="str">
        <f>"10941-4028"</f>
        <v>10941-4028</v>
      </c>
      <c r="AB1221" t="s">
        <v>78</v>
      </c>
      <c r="AC1221" t="s">
        <v>79</v>
      </c>
      <c r="AD1221" t="s">
        <v>75</v>
      </c>
      <c r="AE1221" t="s">
        <v>80</v>
      </c>
      <c r="AG1221" t="s">
        <v>81</v>
      </c>
    </row>
    <row r="1222" spans="1:33" x14ac:dyDescent="0.25">
      <c r="A1222" t="str">
        <f>"1043475080"</f>
        <v>1043475080</v>
      </c>
      <c r="B1222" t="str">
        <f>"03029843"</f>
        <v>03029843</v>
      </c>
      <c r="C1222" t="s">
        <v>10832</v>
      </c>
      <c r="D1222" t="s">
        <v>10833</v>
      </c>
      <c r="E1222" t="s">
        <v>10834</v>
      </c>
      <c r="G1222" t="s">
        <v>6380</v>
      </c>
      <c r="H1222" t="s">
        <v>4625</v>
      </c>
      <c r="J1222" t="s">
        <v>6381</v>
      </c>
      <c r="L1222" t="s">
        <v>74</v>
      </c>
      <c r="M1222" t="s">
        <v>85</v>
      </c>
      <c r="R1222" t="s">
        <v>10834</v>
      </c>
      <c r="W1222" t="s">
        <v>10835</v>
      </c>
      <c r="X1222" t="s">
        <v>5096</v>
      </c>
      <c r="Y1222" t="s">
        <v>2221</v>
      </c>
      <c r="Z1222" t="s">
        <v>77</v>
      </c>
      <c r="AA1222" t="str">
        <f>"12701-3027"</f>
        <v>12701-3027</v>
      </c>
      <c r="AB1222" t="s">
        <v>78</v>
      </c>
      <c r="AC1222" t="s">
        <v>79</v>
      </c>
      <c r="AD1222" t="s">
        <v>75</v>
      </c>
      <c r="AE1222" t="s">
        <v>80</v>
      </c>
      <c r="AG1222" t="s">
        <v>81</v>
      </c>
    </row>
    <row r="1223" spans="1:33" x14ac:dyDescent="0.25">
      <c r="A1223" t="str">
        <f>"1265615918"</f>
        <v>1265615918</v>
      </c>
      <c r="B1223" t="str">
        <f>"03035325"</f>
        <v>03035325</v>
      </c>
      <c r="C1223" t="s">
        <v>10836</v>
      </c>
      <c r="D1223" t="s">
        <v>10837</v>
      </c>
      <c r="E1223" t="s">
        <v>10838</v>
      </c>
      <c r="G1223" t="s">
        <v>6380</v>
      </c>
      <c r="H1223" t="s">
        <v>4625</v>
      </c>
      <c r="J1223" t="s">
        <v>6381</v>
      </c>
      <c r="L1223" t="s">
        <v>84</v>
      </c>
      <c r="M1223" t="s">
        <v>85</v>
      </c>
      <c r="R1223" t="s">
        <v>10839</v>
      </c>
      <c r="W1223" t="s">
        <v>10839</v>
      </c>
      <c r="X1223" t="s">
        <v>1822</v>
      </c>
      <c r="Y1223" t="s">
        <v>1823</v>
      </c>
      <c r="Z1223" t="s">
        <v>77</v>
      </c>
      <c r="AA1223" t="str">
        <f t="shared" ref="AA1223:AA1228" si="7">"10941-4028"</f>
        <v>10941-4028</v>
      </c>
      <c r="AB1223" t="s">
        <v>78</v>
      </c>
      <c r="AC1223" t="s">
        <v>79</v>
      </c>
      <c r="AD1223" t="s">
        <v>75</v>
      </c>
      <c r="AE1223" t="s">
        <v>80</v>
      </c>
      <c r="AG1223" t="s">
        <v>81</v>
      </c>
    </row>
    <row r="1224" spans="1:33" x14ac:dyDescent="0.25">
      <c r="A1224" t="str">
        <f>"1467618678"</f>
        <v>1467618678</v>
      </c>
      <c r="B1224" t="str">
        <f>"03035518"</f>
        <v>03035518</v>
      </c>
      <c r="C1224" t="s">
        <v>10840</v>
      </c>
      <c r="D1224" t="s">
        <v>10841</v>
      </c>
      <c r="E1224" t="s">
        <v>10842</v>
      </c>
      <c r="G1224" t="s">
        <v>6380</v>
      </c>
      <c r="H1224" t="s">
        <v>4625</v>
      </c>
      <c r="J1224" t="s">
        <v>6381</v>
      </c>
      <c r="L1224" t="s">
        <v>83</v>
      </c>
      <c r="M1224" t="s">
        <v>85</v>
      </c>
      <c r="R1224" t="s">
        <v>10843</v>
      </c>
      <c r="W1224" t="s">
        <v>10842</v>
      </c>
      <c r="X1224" t="s">
        <v>1822</v>
      </c>
      <c r="Y1224" t="s">
        <v>1823</v>
      </c>
      <c r="Z1224" t="s">
        <v>77</v>
      </c>
      <c r="AA1224" t="str">
        <f t="shared" si="7"/>
        <v>10941-4028</v>
      </c>
      <c r="AB1224" t="s">
        <v>78</v>
      </c>
      <c r="AC1224" t="s">
        <v>79</v>
      </c>
      <c r="AD1224" t="s">
        <v>75</v>
      </c>
      <c r="AE1224" t="s">
        <v>80</v>
      </c>
      <c r="AG1224" t="s">
        <v>81</v>
      </c>
    </row>
    <row r="1225" spans="1:33" x14ac:dyDescent="0.25">
      <c r="A1225" t="str">
        <f>"1659577799"</f>
        <v>1659577799</v>
      </c>
      <c r="B1225" t="str">
        <f>"03035536"</f>
        <v>03035536</v>
      </c>
      <c r="C1225" t="s">
        <v>10844</v>
      </c>
      <c r="D1225" t="s">
        <v>10845</v>
      </c>
      <c r="E1225" t="s">
        <v>10846</v>
      </c>
      <c r="G1225" t="s">
        <v>6380</v>
      </c>
      <c r="H1225" t="s">
        <v>4625</v>
      </c>
      <c r="J1225" t="s">
        <v>6381</v>
      </c>
      <c r="L1225" t="s">
        <v>83</v>
      </c>
      <c r="M1225" t="s">
        <v>85</v>
      </c>
      <c r="R1225" t="s">
        <v>10847</v>
      </c>
      <c r="W1225" t="s">
        <v>10848</v>
      </c>
      <c r="X1225" t="s">
        <v>1822</v>
      </c>
      <c r="Y1225" t="s">
        <v>1823</v>
      </c>
      <c r="Z1225" t="s">
        <v>77</v>
      </c>
      <c r="AA1225" t="str">
        <f t="shared" si="7"/>
        <v>10941-4028</v>
      </c>
      <c r="AB1225" t="s">
        <v>78</v>
      </c>
      <c r="AC1225" t="s">
        <v>79</v>
      </c>
      <c r="AD1225" t="s">
        <v>75</v>
      </c>
      <c r="AE1225" t="s">
        <v>80</v>
      </c>
      <c r="AG1225" t="s">
        <v>81</v>
      </c>
    </row>
    <row r="1226" spans="1:33" x14ac:dyDescent="0.25">
      <c r="A1226" t="str">
        <f>"1437257797"</f>
        <v>1437257797</v>
      </c>
      <c r="B1226" t="str">
        <f>"03065047"</f>
        <v>03065047</v>
      </c>
      <c r="C1226" t="s">
        <v>10849</v>
      </c>
      <c r="D1226" t="s">
        <v>10850</v>
      </c>
      <c r="E1226" t="s">
        <v>10851</v>
      </c>
      <c r="G1226" t="s">
        <v>6380</v>
      </c>
      <c r="H1226" t="s">
        <v>4625</v>
      </c>
      <c r="J1226" t="s">
        <v>6381</v>
      </c>
      <c r="L1226" t="s">
        <v>83</v>
      </c>
      <c r="M1226" t="s">
        <v>85</v>
      </c>
      <c r="R1226" t="s">
        <v>10852</v>
      </c>
      <c r="W1226" t="s">
        <v>10853</v>
      </c>
      <c r="X1226" t="s">
        <v>1822</v>
      </c>
      <c r="Y1226" t="s">
        <v>1823</v>
      </c>
      <c r="Z1226" t="s">
        <v>77</v>
      </c>
      <c r="AA1226" t="str">
        <f t="shared" si="7"/>
        <v>10941-4028</v>
      </c>
      <c r="AB1226" t="s">
        <v>78</v>
      </c>
      <c r="AC1226" t="s">
        <v>79</v>
      </c>
      <c r="AD1226" t="s">
        <v>75</v>
      </c>
      <c r="AE1226" t="s">
        <v>80</v>
      </c>
      <c r="AG1226" t="s">
        <v>81</v>
      </c>
    </row>
    <row r="1227" spans="1:33" x14ac:dyDescent="0.25">
      <c r="A1227" t="str">
        <f>"1265403208"</f>
        <v>1265403208</v>
      </c>
      <c r="B1227" t="str">
        <f>"03067865"</f>
        <v>03067865</v>
      </c>
      <c r="C1227" t="s">
        <v>10854</v>
      </c>
      <c r="D1227" t="s">
        <v>10855</v>
      </c>
      <c r="E1227" t="s">
        <v>10856</v>
      </c>
      <c r="G1227" t="s">
        <v>6380</v>
      </c>
      <c r="H1227" t="s">
        <v>4625</v>
      </c>
      <c r="J1227" t="s">
        <v>6381</v>
      </c>
      <c r="L1227" t="s">
        <v>83</v>
      </c>
      <c r="M1227" t="s">
        <v>85</v>
      </c>
      <c r="R1227" t="s">
        <v>10856</v>
      </c>
      <c r="W1227" t="s">
        <v>10857</v>
      </c>
      <c r="X1227" t="s">
        <v>1822</v>
      </c>
      <c r="Y1227" t="s">
        <v>1823</v>
      </c>
      <c r="Z1227" t="s">
        <v>77</v>
      </c>
      <c r="AA1227" t="str">
        <f t="shared" si="7"/>
        <v>10941-4028</v>
      </c>
      <c r="AB1227" t="s">
        <v>78</v>
      </c>
      <c r="AC1227" t="s">
        <v>79</v>
      </c>
      <c r="AD1227" t="s">
        <v>75</v>
      </c>
      <c r="AE1227" t="s">
        <v>80</v>
      </c>
      <c r="AG1227" t="s">
        <v>81</v>
      </c>
    </row>
    <row r="1228" spans="1:33" x14ac:dyDescent="0.25">
      <c r="A1228" t="str">
        <f>"1063618767"</f>
        <v>1063618767</v>
      </c>
      <c r="B1228" t="str">
        <f>"03068600"</f>
        <v>03068600</v>
      </c>
      <c r="C1228" t="s">
        <v>10858</v>
      </c>
      <c r="D1228" t="s">
        <v>10859</v>
      </c>
      <c r="E1228" t="s">
        <v>10860</v>
      </c>
      <c r="G1228" t="s">
        <v>6380</v>
      </c>
      <c r="H1228" t="s">
        <v>4625</v>
      </c>
      <c r="J1228" t="s">
        <v>6381</v>
      </c>
      <c r="L1228" t="s">
        <v>83</v>
      </c>
      <c r="M1228" t="s">
        <v>85</v>
      </c>
      <c r="R1228" t="s">
        <v>10861</v>
      </c>
      <c r="W1228" t="s">
        <v>10862</v>
      </c>
      <c r="X1228" t="s">
        <v>1822</v>
      </c>
      <c r="Y1228" t="s">
        <v>1823</v>
      </c>
      <c r="Z1228" t="s">
        <v>77</v>
      </c>
      <c r="AA1228" t="str">
        <f t="shared" si="7"/>
        <v>10941-4028</v>
      </c>
      <c r="AB1228" t="s">
        <v>78</v>
      </c>
      <c r="AC1228" t="s">
        <v>79</v>
      </c>
      <c r="AD1228" t="s">
        <v>75</v>
      </c>
      <c r="AE1228" t="s">
        <v>80</v>
      </c>
      <c r="AG1228" t="s">
        <v>81</v>
      </c>
    </row>
    <row r="1229" spans="1:33" x14ac:dyDescent="0.25">
      <c r="A1229" t="str">
        <f>"1104021930"</f>
        <v>1104021930</v>
      </c>
      <c r="B1229" t="str">
        <f>"03647481"</f>
        <v>03647481</v>
      </c>
      <c r="C1229" t="s">
        <v>10863</v>
      </c>
      <c r="D1229" t="s">
        <v>10864</v>
      </c>
      <c r="E1229" t="s">
        <v>10865</v>
      </c>
      <c r="G1229" t="s">
        <v>6800</v>
      </c>
      <c r="H1229" t="s">
        <v>6801</v>
      </c>
      <c r="I1229">
        <v>6381</v>
      </c>
      <c r="J1229" t="s">
        <v>6802</v>
      </c>
      <c r="L1229" t="s">
        <v>74</v>
      </c>
      <c r="M1229" t="s">
        <v>75</v>
      </c>
      <c r="R1229" t="s">
        <v>10866</v>
      </c>
      <c r="W1229" t="s">
        <v>10865</v>
      </c>
      <c r="X1229" t="s">
        <v>8385</v>
      </c>
      <c r="Y1229" t="s">
        <v>97</v>
      </c>
      <c r="Z1229" t="s">
        <v>77</v>
      </c>
      <c r="AA1229" t="str">
        <f>"10001-2320"</f>
        <v>10001-2320</v>
      </c>
      <c r="AB1229" t="s">
        <v>109</v>
      </c>
      <c r="AC1229" t="s">
        <v>79</v>
      </c>
      <c r="AD1229" t="s">
        <v>75</v>
      </c>
      <c r="AE1229" t="s">
        <v>80</v>
      </c>
      <c r="AG1229" t="s">
        <v>81</v>
      </c>
    </row>
    <row r="1230" spans="1:33" x14ac:dyDescent="0.25">
      <c r="A1230" t="str">
        <f>"1508060419"</f>
        <v>1508060419</v>
      </c>
      <c r="B1230" t="str">
        <f>"03647523"</f>
        <v>03647523</v>
      </c>
      <c r="C1230" t="s">
        <v>10867</v>
      </c>
      <c r="D1230" t="s">
        <v>10868</v>
      </c>
      <c r="E1230" t="s">
        <v>10869</v>
      </c>
      <c r="G1230" t="s">
        <v>6800</v>
      </c>
      <c r="H1230" t="s">
        <v>6801</v>
      </c>
      <c r="I1230">
        <v>6381</v>
      </c>
      <c r="J1230" t="s">
        <v>6802</v>
      </c>
      <c r="L1230" t="s">
        <v>74</v>
      </c>
      <c r="M1230" t="s">
        <v>75</v>
      </c>
      <c r="R1230" t="s">
        <v>10869</v>
      </c>
      <c r="W1230" t="s">
        <v>10869</v>
      </c>
      <c r="X1230" t="s">
        <v>8385</v>
      </c>
      <c r="Y1230" t="s">
        <v>97</v>
      </c>
      <c r="Z1230" t="s">
        <v>77</v>
      </c>
      <c r="AA1230" t="str">
        <f>"10001-2320"</f>
        <v>10001-2320</v>
      </c>
      <c r="AB1230" t="s">
        <v>109</v>
      </c>
      <c r="AC1230" t="s">
        <v>79</v>
      </c>
      <c r="AD1230" t="s">
        <v>75</v>
      </c>
      <c r="AE1230" t="s">
        <v>80</v>
      </c>
      <c r="AG1230" t="s">
        <v>81</v>
      </c>
    </row>
    <row r="1231" spans="1:33" x14ac:dyDescent="0.25">
      <c r="A1231" t="str">
        <f>"1700080637"</f>
        <v>1700080637</v>
      </c>
      <c r="B1231" t="str">
        <f>"03647532"</f>
        <v>03647532</v>
      </c>
      <c r="C1231" t="s">
        <v>10870</v>
      </c>
      <c r="D1231" t="s">
        <v>10871</v>
      </c>
      <c r="E1231" t="s">
        <v>10872</v>
      </c>
      <c r="G1231" t="s">
        <v>6800</v>
      </c>
      <c r="H1231" t="s">
        <v>6801</v>
      </c>
      <c r="I1231">
        <v>6381</v>
      </c>
      <c r="J1231" t="s">
        <v>6802</v>
      </c>
      <c r="L1231" t="s">
        <v>74</v>
      </c>
      <c r="M1231" t="s">
        <v>75</v>
      </c>
      <c r="R1231" t="s">
        <v>10873</v>
      </c>
      <c r="W1231" t="s">
        <v>10872</v>
      </c>
      <c r="X1231" t="s">
        <v>8686</v>
      </c>
      <c r="Y1231" t="s">
        <v>145</v>
      </c>
      <c r="Z1231" t="s">
        <v>77</v>
      </c>
      <c r="AA1231" t="str">
        <f>"11361-3241"</f>
        <v>11361-3241</v>
      </c>
      <c r="AB1231" t="s">
        <v>109</v>
      </c>
      <c r="AC1231" t="s">
        <v>79</v>
      </c>
      <c r="AD1231" t="s">
        <v>75</v>
      </c>
      <c r="AE1231" t="s">
        <v>80</v>
      </c>
      <c r="AG1231" t="s">
        <v>81</v>
      </c>
    </row>
    <row r="1232" spans="1:33" x14ac:dyDescent="0.25">
      <c r="A1232" t="str">
        <f>"1104076538"</f>
        <v>1104076538</v>
      </c>
      <c r="B1232" t="str">
        <f>"03653165"</f>
        <v>03653165</v>
      </c>
      <c r="C1232" t="s">
        <v>10874</v>
      </c>
      <c r="D1232" t="s">
        <v>10875</v>
      </c>
      <c r="E1232" t="s">
        <v>10876</v>
      </c>
      <c r="G1232" t="s">
        <v>6800</v>
      </c>
      <c r="H1232" t="s">
        <v>6801</v>
      </c>
      <c r="I1232">
        <v>6381</v>
      </c>
      <c r="J1232" t="s">
        <v>6802</v>
      </c>
      <c r="L1232" t="s">
        <v>74</v>
      </c>
      <c r="M1232" t="s">
        <v>75</v>
      </c>
      <c r="R1232" t="s">
        <v>10877</v>
      </c>
      <c r="W1232" t="s">
        <v>10876</v>
      </c>
      <c r="X1232" t="s">
        <v>8686</v>
      </c>
      <c r="Y1232" t="s">
        <v>145</v>
      </c>
      <c r="Z1232" t="s">
        <v>77</v>
      </c>
      <c r="AA1232" t="str">
        <f>"11361-3241"</f>
        <v>11361-3241</v>
      </c>
      <c r="AB1232" t="s">
        <v>109</v>
      </c>
      <c r="AC1232" t="s">
        <v>79</v>
      </c>
      <c r="AD1232" t="s">
        <v>75</v>
      </c>
      <c r="AE1232" t="s">
        <v>80</v>
      </c>
      <c r="AG1232" t="s">
        <v>81</v>
      </c>
    </row>
    <row r="1233" spans="1:33" x14ac:dyDescent="0.25">
      <c r="A1233" t="str">
        <f>"1447470265"</f>
        <v>1447470265</v>
      </c>
      <c r="B1233" t="str">
        <f>"03653918"</f>
        <v>03653918</v>
      </c>
      <c r="C1233" t="s">
        <v>10878</v>
      </c>
      <c r="D1233" t="s">
        <v>10879</v>
      </c>
      <c r="E1233" t="s">
        <v>10880</v>
      </c>
      <c r="G1233" t="s">
        <v>6800</v>
      </c>
      <c r="H1233" t="s">
        <v>6801</v>
      </c>
      <c r="I1233">
        <v>6381</v>
      </c>
      <c r="J1233" t="s">
        <v>6802</v>
      </c>
      <c r="L1233" t="s">
        <v>74</v>
      </c>
      <c r="M1233" t="s">
        <v>75</v>
      </c>
      <c r="R1233" t="s">
        <v>10881</v>
      </c>
      <c r="W1233" t="s">
        <v>10880</v>
      </c>
      <c r="X1233" t="s">
        <v>3373</v>
      </c>
      <c r="Y1233" t="s">
        <v>97</v>
      </c>
      <c r="Z1233" t="s">
        <v>77</v>
      </c>
      <c r="AA1233" t="str">
        <f>"10001-2382"</f>
        <v>10001-2382</v>
      </c>
      <c r="AB1233" t="s">
        <v>114</v>
      </c>
      <c r="AC1233" t="s">
        <v>79</v>
      </c>
      <c r="AD1233" t="s">
        <v>75</v>
      </c>
      <c r="AE1233" t="s">
        <v>80</v>
      </c>
      <c r="AG1233" t="s">
        <v>81</v>
      </c>
    </row>
    <row r="1234" spans="1:33" x14ac:dyDescent="0.25">
      <c r="A1234" t="str">
        <f>"1558646497"</f>
        <v>1558646497</v>
      </c>
      <c r="B1234" t="str">
        <f>"03531931"</f>
        <v>03531931</v>
      </c>
      <c r="C1234" t="s">
        <v>10882</v>
      </c>
      <c r="D1234" t="s">
        <v>10883</v>
      </c>
      <c r="E1234" t="s">
        <v>10884</v>
      </c>
      <c r="G1234" t="s">
        <v>6800</v>
      </c>
      <c r="H1234" t="s">
        <v>6801</v>
      </c>
      <c r="I1234">
        <v>6381</v>
      </c>
      <c r="J1234" t="s">
        <v>6802</v>
      </c>
      <c r="L1234" t="s">
        <v>74</v>
      </c>
      <c r="M1234" t="s">
        <v>75</v>
      </c>
      <c r="R1234" t="s">
        <v>10885</v>
      </c>
      <c r="W1234" t="s">
        <v>10884</v>
      </c>
      <c r="X1234" t="s">
        <v>2997</v>
      </c>
      <c r="Y1234" t="s">
        <v>87</v>
      </c>
      <c r="Z1234" t="s">
        <v>77</v>
      </c>
      <c r="AA1234" t="str">
        <f>"11201-4333"</f>
        <v>11201-4333</v>
      </c>
      <c r="AB1234" t="s">
        <v>109</v>
      </c>
      <c r="AC1234" t="s">
        <v>79</v>
      </c>
      <c r="AD1234" t="s">
        <v>75</v>
      </c>
      <c r="AE1234" t="s">
        <v>80</v>
      </c>
      <c r="AG1234" t="s">
        <v>81</v>
      </c>
    </row>
    <row r="1235" spans="1:33" x14ac:dyDescent="0.25">
      <c r="A1235" t="str">
        <f>"1780978197"</f>
        <v>1780978197</v>
      </c>
      <c r="B1235" t="str">
        <f>"03435669"</f>
        <v>03435669</v>
      </c>
      <c r="C1235" t="s">
        <v>10886</v>
      </c>
      <c r="D1235" t="s">
        <v>10887</v>
      </c>
      <c r="E1235" t="s">
        <v>10888</v>
      </c>
      <c r="G1235" t="s">
        <v>6380</v>
      </c>
      <c r="H1235" t="s">
        <v>4625</v>
      </c>
      <c r="J1235" t="s">
        <v>6381</v>
      </c>
      <c r="L1235" t="s">
        <v>83</v>
      </c>
      <c r="M1235" t="s">
        <v>85</v>
      </c>
      <c r="R1235" t="s">
        <v>10889</v>
      </c>
      <c r="W1235" t="s">
        <v>10888</v>
      </c>
      <c r="X1235" t="s">
        <v>6503</v>
      </c>
      <c r="Y1235" t="s">
        <v>1823</v>
      </c>
      <c r="Z1235" t="s">
        <v>77</v>
      </c>
      <c r="AA1235" t="str">
        <f>"10941-7001"</f>
        <v>10941-7001</v>
      </c>
      <c r="AB1235" t="s">
        <v>78</v>
      </c>
      <c r="AC1235" t="s">
        <v>79</v>
      </c>
      <c r="AD1235" t="s">
        <v>75</v>
      </c>
      <c r="AE1235" t="s">
        <v>80</v>
      </c>
      <c r="AG1235" t="s">
        <v>81</v>
      </c>
    </row>
    <row r="1236" spans="1:33" x14ac:dyDescent="0.25">
      <c r="A1236" t="str">
        <f>"1972761591"</f>
        <v>1972761591</v>
      </c>
      <c r="B1236" t="str">
        <f>"03447514"</f>
        <v>03447514</v>
      </c>
      <c r="C1236" t="s">
        <v>10890</v>
      </c>
      <c r="D1236" t="s">
        <v>10891</v>
      </c>
      <c r="E1236" t="s">
        <v>10892</v>
      </c>
      <c r="G1236" t="s">
        <v>6380</v>
      </c>
      <c r="H1236" t="s">
        <v>4625</v>
      </c>
      <c r="J1236" t="s">
        <v>6381</v>
      </c>
      <c r="L1236" t="s">
        <v>83</v>
      </c>
      <c r="M1236" t="s">
        <v>85</v>
      </c>
      <c r="R1236" t="s">
        <v>10893</v>
      </c>
      <c r="W1236" t="s">
        <v>10892</v>
      </c>
      <c r="X1236" t="s">
        <v>1822</v>
      </c>
      <c r="Y1236" t="s">
        <v>1823</v>
      </c>
      <c r="Z1236" t="s">
        <v>77</v>
      </c>
      <c r="AA1236" t="str">
        <f>"10941-4028"</f>
        <v>10941-4028</v>
      </c>
      <c r="AB1236" t="s">
        <v>78</v>
      </c>
      <c r="AC1236" t="s">
        <v>79</v>
      </c>
      <c r="AD1236" t="s">
        <v>75</v>
      </c>
      <c r="AE1236" t="s">
        <v>80</v>
      </c>
      <c r="AG1236" t="s">
        <v>81</v>
      </c>
    </row>
    <row r="1237" spans="1:33" x14ac:dyDescent="0.25">
      <c r="A1237" t="str">
        <f>"1699942441"</f>
        <v>1699942441</v>
      </c>
      <c r="B1237" t="str">
        <f>"03450153"</f>
        <v>03450153</v>
      </c>
      <c r="C1237" t="s">
        <v>10894</v>
      </c>
      <c r="D1237" t="s">
        <v>10895</v>
      </c>
      <c r="E1237" t="s">
        <v>10896</v>
      </c>
      <c r="G1237" t="s">
        <v>6380</v>
      </c>
      <c r="H1237" t="s">
        <v>4625</v>
      </c>
      <c r="J1237" t="s">
        <v>6381</v>
      </c>
      <c r="L1237" t="s">
        <v>84</v>
      </c>
      <c r="M1237" t="s">
        <v>85</v>
      </c>
      <c r="R1237" t="s">
        <v>10896</v>
      </c>
      <c r="W1237" t="s">
        <v>10896</v>
      </c>
      <c r="X1237" t="s">
        <v>1822</v>
      </c>
      <c r="Y1237" t="s">
        <v>1823</v>
      </c>
      <c r="Z1237" t="s">
        <v>77</v>
      </c>
      <c r="AA1237" t="str">
        <f>"10941-4028"</f>
        <v>10941-4028</v>
      </c>
      <c r="AB1237" t="s">
        <v>78</v>
      </c>
      <c r="AC1237" t="s">
        <v>79</v>
      </c>
      <c r="AD1237" t="s">
        <v>75</v>
      </c>
      <c r="AE1237" t="s">
        <v>80</v>
      </c>
      <c r="AG1237" t="s">
        <v>81</v>
      </c>
    </row>
    <row r="1238" spans="1:33" x14ac:dyDescent="0.25">
      <c r="A1238" t="str">
        <f>"1710145008"</f>
        <v>1710145008</v>
      </c>
      <c r="B1238" t="str">
        <f>"03104496"</f>
        <v>03104496</v>
      </c>
      <c r="C1238" t="s">
        <v>10897</v>
      </c>
      <c r="D1238" t="s">
        <v>10898</v>
      </c>
      <c r="E1238" t="s">
        <v>10899</v>
      </c>
      <c r="G1238" t="s">
        <v>6380</v>
      </c>
      <c r="H1238" t="s">
        <v>4625</v>
      </c>
      <c r="J1238" t="s">
        <v>6381</v>
      </c>
      <c r="L1238" t="s">
        <v>83</v>
      </c>
      <c r="M1238" t="s">
        <v>75</v>
      </c>
      <c r="R1238" t="s">
        <v>10900</v>
      </c>
      <c r="W1238" t="s">
        <v>10899</v>
      </c>
      <c r="X1238" t="s">
        <v>4744</v>
      </c>
      <c r="Y1238" t="s">
        <v>1077</v>
      </c>
      <c r="Z1238" t="s">
        <v>77</v>
      </c>
      <c r="AA1238" t="str">
        <f>"10532-2140"</f>
        <v>10532-2140</v>
      </c>
      <c r="AB1238" t="s">
        <v>78</v>
      </c>
      <c r="AC1238" t="s">
        <v>79</v>
      </c>
      <c r="AD1238" t="s">
        <v>75</v>
      </c>
      <c r="AE1238" t="s">
        <v>80</v>
      </c>
      <c r="AG1238" t="s">
        <v>81</v>
      </c>
    </row>
    <row r="1239" spans="1:33" x14ac:dyDescent="0.25">
      <c r="A1239" t="str">
        <f>"1528206166"</f>
        <v>1528206166</v>
      </c>
      <c r="B1239" t="str">
        <f>"03104565"</f>
        <v>03104565</v>
      </c>
      <c r="C1239" t="s">
        <v>10901</v>
      </c>
      <c r="D1239" t="s">
        <v>10902</v>
      </c>
      <c r="E1239" t="s">
        <v>10903</v>
      </c>
      <c r="G1239" t="s">
        <v>6380</v>
      </c>
      <c r="H1239" t="s">
        <v>4625</v>
      </c>
      <c r="J1239" t="s">
        <v>6381</v>
      </c>
      <c r="L1239" t="s">
        <v>83</v>
      </c>
      <c r="M1239" t="s">
        <v>85</v>
      </c>
      <c r="R1239" t="s">
        <v>10904</v>
      </c>
      <c r="W1239" t="s">
        <v>10903</v>
      </c>
      <c r="X1239" t="s">
        <v>1822</v>
      </c>
      <c r="Y1239" t="s">
        <v>1823</v>
      </c>
      <c r="Z1239" t="s">
        <v>77</v>
      </c>
      <c r="AA1239" t="str">
        <f>"10941-4028"</f>
        <v>10941-4028</v>
      </c>
      <c r="AB1239" t="s">
        <v>78</v>
      </c>
      <c r="AC1239" t="s">
        <v>79</v>
      </c>
      <c r="AD1239" t="s">
        <v>75</v>
      </c>
      <c r="AE1239" t="s">
        <v>80</v>
      </c>
      <c r="AG1239" t="s">
        <v>81</v>
      </c>
    </row>
    <row r="1240" spans="1:33" x14ac:dyDescent="0.25">
      <c r="A1240" t="str">
        <f>"1831110600"</f>
        <v>1831110600</v>
      </c>
      <c r="B1240" t="str">
        <f>"01855912"</f>
        <v>01855912</v>
      </c>
      <c r="C1240" t="s">
        <v>10905</v>
      </c>
      <c r="D1240" t="s">
        <v>10906</v>
      </c>
      <c r="E1240" t="s">
        <v>10907</v>
      </c>
      <c r="G1240" t="s">
        <v>6494</v>
      </c>
      <c r="H1240" t="s">
        <v>6495</v>
      </c>
      <c r="J1240" t="s">
        <v>6496</v>
      </c>
      <c r="L1240" t="s">
        <v>83</v>
      </c>
      <c r="M1240" t="s">
        <v>75</v>
      </c>
      <c r="R1240" t="s">
        <v>10907</v>
      </c>
      <c r="W1240" t="s">
        <v>10907</v>
      </c>
      <c r="X1240" t="s">
        <v>10908</v>
      </c>
      <c r="Y1240" t="s">
        <v>97</v>
      </c>
      <c r="Z1240" t="s">
        <v>77</v>
      </c>
      <c r="AA1240" t="str">
        <f>"10022-2690"</f>
        <v>10022-2690</v>
      </c>
      <c r="AB1240" t="s">
        <v>128</v>
      </c>
      <c r="AC1240" t="s">
        <v>79</v>
      </c>
      <c r="AD1240" t="s">
        <v>75</v>
      </c>
      <c r="AE1240" t="s">
        <v>80</v>
      </c>
      <c r="AG1240" t="s">
        <v>81</v>
      </c>
    </row>
    <row r="1241" spans="1:33" x14ac:dyDescent="0.25">
      <c r="A1241" t="str">
        <f>"1922261486"</f>
        <v>1922261486</v>
      </c>
      <c r="B1241" t="str">
        <f>"03401750"</f>
        <v>03401750</v>
      </c>
      <c r="C1241" t="s">
        <v>10909</v>
      </c>
      <c r="D1241" t="s">
        <v>10910</v>
      </c>
      <c r="E1241" t="s">
        <v>10911</v>
      </c>
      <c r="G1241" t="s">
        <v>6800</v>
      </c>
      <c r="H1241" t="s">
        <v>6801</v>
      </c>
      <c r="I1241">
        <v>6381</v>
      </c>
      <c r="J1241" t="s">
        <v>6802</v>
      </c>
      <c r="L1241" t="s">
        <v>83</v>
      </c>
      <c r="M1241" t="s">
        <v>75</v>
      </c>
      <c r="R1241" t="s">
        <v>10912</v>
      </c>
      <c r="W1241" t="s">
        <v>10913</v>
      </c>
      <c r="X1241" t="s">
        <v>10914</v>
      </c>
      <c r="Y1241" t="s">
        <v>87</v>
      </c>
      <c r="Z1241" t="s">
        <v>77</v>
      </c>
      <c r="AA1241" t="str">
        <f>"11206-4110"</f>
        <v>11206-4110</v>
      </c>
      <c r="AB1241" t="s">
        <v>78</v>
      </c>
      <c r="AC1241" t="s">
        <v>79</v>
      </c>
      <c r="AD1241" t="s">
        <v>75</v>
      </c>
      <c r="AE1241" t="s">
        <v>80</v>
      </c>
      <c r="AG1241" t="s">
        <v>81</v>
      </c>
    </row>
    <row r="1242" spans="1:33" x14ac:dyDescent="0.25">
      <c r="A1242" t="str">
        <f>"1942363957"</f>
        <v>1942363957</v>
      </c>
      <c r="B1242" t="str">
        <f>"03420179"</f>
        <v>03420179</v>
      </c>
      <c r="C1242" t="s">
        <v>10915</v>
      </c>
      <c r="D1242" t="s">
        <v>10916</v>
      </c>
      <c r="E1242" t="s">
        <v>10917</v>
      </c>
      <c r="G1242" t="s">
        <v>6800</v>
      </c>
      <c r="H1242" t="s">
        <v>6801</v>
      </c>
      <c r="I1242">
        <v>6381</v>
      </c>
      <c r="J1242" t="s">
        <v>6802</v>
      </c>
      <c r="L1242" t="s">
        <v>74</v>
      </c>
      <c r="M1242" t="s">
        <v>85</v>
      </c>
      <c r="R1242" t="s">
        <v>10918</v>
      </c>
      <c r="W1242" t="s">
        <v>10917</v>
      </c>
      <c r="X1242" t="s">
        <v>9726</v>
      </c>
      <c r="Y1242" t="s">
        <v>131</v>
      </c>
      <c r="Z1242" t="s">
        <v>77</v>
      </c>
      <c r="AA1242" t="str">
        <f>"10461-5726"</f>
        <v>10461-5726</v>
      </c>
      <c r="AB1242" t="s">
        <v>82</v>
      </c>
      <c r="AC1242" t="s">
        <v>79</v>
      </c>
      <c r="AD1242" t="s">
        <v>75</v>
      </c>
      <c r="AE1242" t="s">
        <v>80</v>
      </c>
      <c r="AG1242" t="s">
        <v>81</v>
      </c>
    </row>
    <row r="1243" spans="1:33" x14ac:dyDescent="0.25">
      <c r="A1243" t="str">
        <f>"1972839207"</f>
        <v>1972839207</v>
      </c>
      <c r="C1243" t="s">
        <v>10919</v>
      </c>
      <c r="G1243" t="s">
        <v>6800</v>
      </c>
      <c r="H1243" t="s">
        <v>6801</v>
      </c>
      <c r="I1243">
        <v>6381</v>
      </c>
      <c r="J1243" t="s">
        <v>6802</v>
      </c>
      <c r="K1243" t="s">
        <v>99</v>
      </c>
      <c r="L1243" t="s">
        <v>102</v>
      </c>
      <c r="M1243" t="s">
        <v>75</v>
      </c>
      <c r="R1243" t="s">
        <v>10920</v>
      </c>
      <c r="S1243" t="s">
        <v>8385</v>
      </c>
      <c r="T1243" t="s">
        <v>97</v>
      </c>
      <c r="U1243" t="s">
        <v>77</v>
      </c>
      <c r="V1243" t="str">
        <f>"100012320"</f>
        <v>100012320</v>
      </c>
      <c r="AC1243" t="s">
        <v>79</v>
      </c>
      <c r="AD1243" t="s">
        <v>75</v>
      </c>
      <c r="AE1243" t="s">
        <v>103</v>
      </c>
      <c r="AG1243" t="s">
        <v>81</v>
      </c>
    </row>
    <row r="1244" spans="1:33" x14ac:dyDescent="0.25">
      <c r="A1244" t="str">
        <f>"1386987063"</f>
        <v>1386987063</v>
      </c>
      <c r="B1244" t="str">
        <f>"02616668"</f>
        <v>02616668</v>
      </c>
      <c r="C1244" t="s">
        <v>10921</v>
      </c>
      <c r="D1244" t="s">
        <v>10922</v>
      </c>
      <c r="E1244" t="s">
        <v>10923</v>
      </c>
      <c r="G1244" t="s">
        <v>10921</v>
      </c>
      <c r="H1244" t="s">
        <v>9967</v>
      </c>
      <c r="J1244" t="s">
        <v>10924</v>
      </c>
      <c r="L1244" t="s">
        <v>102</v>
      </c>
      <c r="M1244" t="s">
        <v>75</v>
      </c>
      <c r="R1244" t="s">
        <v>10925</v>
      </c>
      <c r="W1244" t="s">
        <v>10923</v>
      </c>
      <c r="X1244" t="s">
        <v>10926</v>
      </c>
      <c r="Y1244" t="s">
        <v>97</v>
      </c>
      <c r="Z1244" t="s">
        <v>77</v>
      </c>
      <c r="AA1244" t="str">
        <f>"10023-7417"</f>
        <v>10023-7417</v>
      </c>
      <c r="AB1244" t="s">
        <v>114</v>
      </c>
      <c r="AC1244" t="s">
        <v>79</v>
      </c>
      <c r="AD1244" t="s">
        <v>75</v>
      </c>
      <c r="AE1244" t="s">
        <v>80</v>
      </c>
      <c r="AG1244" t="s">
        <v>81</v>
      </c>
    </row>
    <row r="1245" spans="1:33" x14ac:dyDescent="0.25">
      <c r="A1245" t="str">
        <f>"1396088738"</f>
        <v>1396088738</v>
      </c>
      <c r="C1245" t="s">
        <v>10927</v>
      </c>
      <c r="G1245" t="s">
        <v>10927</v>
      </c>
      <c r="H1245" t="s">
        <v>9967</v>
      </c>
      <c r="J1245" t="s">
        <v>10928</v>
      </c>
      <c r="K1245" t="s">
        <v>99</v>
      </c>
      <c r="L1245" t="s">
        <v>102</v>
      </c>
      <c r="M1245" t="s">
        <v>75</v>
      </c>
      <c r="R1245" t="s">
        <v>10929</v>
      </c>
      <c r="S1245" t="s">
        <v>10930</v>
      </c>
      <c r="T1245" t="s">
        <v>97</v>
      </c>
      <c r="U1245" t="s">
        <v>77</v>
      </c>
      <c r="V1245" t="str">
        <f>"100372402"</f>
        <v>100372402</v>
      </c>
      <c r="AC1245" t="s">
        <v>79</v>
      </c>
      <c r="AD1245" t="s">
        <v>75</v>
      </c>
      <c r="AE1245" t="s">
        <v>103</v>
      </c>
      <c r="AG1245" t="s">
        <v>81</v>
      </c>
    </row>
    <row r="1246" spans="1:33" x14ac:dyDescent="0.25">
      <c r="A1246" t="str">
        <f>"1417299256"</f>
        <v>1417299256</v>
      </c>
      <c r="C1246" t="s">
        <v>10931</v>
      </c>
      <c r="G1246" t="s">
        <v>10931</v>
      </c>
      <c r="H1246" t="s">
        <v>6463</v>
      </c>
      <c r="I1246">
        <v>1390</v>
      </c>
      <c r="J1246" t="s">
        <v>10932</v>
      </c>
      <c r="K1246" t="s">
        <v>99</v>
      </c>
      <c r="L1246" t="s">
        <v>102</v>
      </c>
      <c r="M1246" t="s">
        <v>75</v>
      </c>
      <c r="R1246" t="s">
        <v>10933</v>
      </c>
      <c r="S1246" t="s">
        <v>10934</v>
      </c>
      <c r="T1246" t="s">
        <v>164</v>
      </c>
      <c r="U1246" t="s">
        <v>77</v>
      </c>
      <c r="V1246" t="str">
        <f>"115542101"</f>
        <v>115542101</v>
      </c>
      <c r="AC1246" t="s">
        <v>79</v>
      </c>
      <c r="AD1246" t="s">
        <v>75</v>
      </c>
      <c r="AE1246" t="s">
        <v>103</v>
      </c>
      <c r="AG1246" t="s">
        <v>81</v>
      </c>
    </row>
    <row r="1247" spans="1:33" x14ac:dyDescent="0.25">
      <c r="A1247" t="str">
        <f>"1447697040"</f>
        <v>1447697040</v>
      </c>
      <c r="C1247" t="s">
        <v>10935</v>
      </c>
      <c r="G1247" t="s">
        <v>10935</v>
      </c>
      <c r="H1247" t="s">
        <v>9967</v>
      </c>
      <c r="J1247" t="s">
        <v>10936</v>
      </c>
      <c r="K1247" t="s">
        <v>99</v>
      </c>
      <c r="L1247" t="s">
        <v>102</v>
      </c>
      <c r="M1247" t="s">
        <v>75</v>
      </c>
      <c r="R1247" t="s">
        <v>10937</v>
      </c>
      <c r="S1247" t="s">
        <v>7543</v>
      </c>
      <c r="T1247" t="s">
        <v>97</v>
      </c>
      <c r="U1247" t="s">
        <v>77</v>
      </c>
      <c r="V1247" t="str">
        <f>"100252956"</f>
        <v>100252956</v>
      </c>
      <c r="AC1247" t="s">
        <v>79</v>
      </c>
      <c r="AD1247" t="s">
        <v>75</v>
      </c>
      <c r="AE1247" t="s">
        <v>103</v>
      </c>
      <c r="AG1247" t="s">
        <v>81</v>
      </c>
    </row>
    <row r="1248" spans="1:33" x14ac:dyDescent="0.25">
      <c r="A1248" t="str">
        <f>"1467799007"</f>
        <v>1467799007</v>
      </c>
      <c r="B1248" t="str">
        <f>"03568316"</f>
        <v>03568316</v>
      </c>
      <c r="C1248" t="s">
        <v>10938</v>
      </c>
      <c r="D1248" t="s">
        <v>10939</v>
      </c>
      <c r="E1248" t="s">
        <v>10940</v>
      </c>
      <c r="G1248" t="s">
        <v>10938</v>
      </c>
      <c r="H1248" t="s">
        <v>6463</v>
      </c>
      <c r="I1248">
        <v>1319</v>
      </c>
      <c r="J1248" t="s">
        <v>10941</v>
      </c>
      <c r="L1248" t="s">
        <v>102</v>
      </c>
      <c r="M1248" t="s">
        <v>75</v>
      </c>
      <c r="R1248" t="s">
        <v>10942</v>
      </c>
      <c r="W1248" t="s">
        <v>10940</v>
      </c>
      <c r="X1248" t="s">
        <v>9175</v>
      </c>
      <c r="Y1248" t="s">
        <v>97</v>
      </c>
      <c r="Z1248" t="s">
        <v>77</v>
      </c>
      <c r="AA1248" t="str">
        <f>"10025"</f>
        <v>10025</v>
      </c>
      <c r="AB1248" t="s">
        <v>113</v>
      </c>
      <c r="AC1248" t="s">
        <v>79</v>
      </c>
      <c r="AD1248" t="s">
        <v>75</v>
      </c>
      <c r="AE1248" t="s">
        <v>80</v>
      </c>
      <c r="AG1248" t="s">
        <v>81</v>
      </c>
    </row>
    <row r="1249" spans="1:33" x14ac:dyDescent="0.25">
      <c r="A1249" t="str">
        <f>"1497193163"</f>
        <v>1497193163</v>
      </c>
      <c r="C1249" t="s">
        <v>10943</v>
      </c>
      <c r="G1249" t="s">
        <v>10943</v>
      </c>
      <c r="H1249" t="s">
        <v>6463</v>
      </c>
      <c r="I1249">
        <v>2008</v>
      </c>
      <c r="J1249" t="s">
        <v>10944</v>
      </c>
      <c r="K1249" t="s">
        <v>99</v>
      </c>
      <c r="L1249" t="s">
        <v>102</v>
      </c>
      <c r="M1249" t="s">
        <v>75</v>
      </c>
      <c r="R1249" t="s">
        <v>10945</v>
      </c>
      <c r="S1249" t="s">
        <v>10946</v>
      </c>
      <c r="T1249" t="s">
        <v>97</v>
      </c>
      <c r="U1249" t="s">
        <v>77</v>
      </c>
      <c r="V1249" t="str">
        <f>"100273433"</f>
        <v>100273433</v>
      </c>
      <c r="AC1249" t="s">
        <v>79</v>
      </c>
      <c r="AD1249" t="s">
        <v>75</v>
      </c>
      <c r="AE1249" t="s">
        <v>103</v>
      </c>
      <c r="AG1249" t="s">
        <v>81</v>
      </c>
    </row>
    <row r="1250" spans="1:33" x14ac:dyDescent="0.25">
      <c r="A1250" t="str">
        <f>"1508137035"</f>
        <v>1508137035</v>
      </c>
      <c r="B1250" t="str">
        <f>"03453927"</f>
        <v>03453927</v>
      </c>
      <c r="C1250" t="s">
        <v>10947</v>
      </c>
      <c r="D1250" t="s">
        <v>10948</v>
      </c>
      <c r="E1250" t="s">
        <v>10949</v>
      </c>
      <c r="G1250" t="s">
        <v>10947</v>
      </c>
      <c r="H1250" t="s">
        <v>6463</v>
      </c>
      <c r="I1250">
        <v>1325</v>
      </c>
      <c r="J1250" t="s">
        <v>10950</v>
      </c>
      <c r="L1250" t="s">
        <v>102</v>
      </c>
      <c r="M1250" t="s">
        <v>75</v>
      </c>
      <c r="R1250" t="s">
        <v>10951</v>
      </c>
      <c r="W1250" t="s">
        <v>10949</v>
      </c>
      <c r="X1250" t="s">
        <v>10952</v>
      </c>
      <c r="Y1250" t="s">
        <v>97</v>
      </c>
      <c r="Z1250" t="s">
        <v>77</v>
      </c>
      <c r="AA1250" t="str">
        <f>"10001-6217"</f>
        <v>10001-6217</v>
      </c>
      <c r="AB1250" t="s">
        <v>113</v>
      </c>
      <c r="AC1250" t="s">
        <v>79</v>
      </c>
      <c r="AD1250" t="s">
        <v>75</v>
      </c>
      <c r="AE1250" t="s">
        <v>80</v>
      </c>
      <c r="AG1250" t="s">
        <v>81</v>
      </c>
    </row>
    <row r="1251" spans="1:33" x14ac:dyDescent="0.25">
      <c r="A1251" t="str">
        <f>"1578806261"</f>
        <v>1578806261</v>
      </c>
      <c r="C1251" t="s">
        <v>10953</v>
      </c>
      <c r="G1251" t="s">
        <v>10953</v>
      </c>
      <c r="H1251" t="s">
        <v>7233</v>
      </c>
      <c r="J1251" t="s">
        <v>10954</v>
      </c>
      <c r="K1251" t="s">
        <v>99</v>
      </c>
      <c r="L1251" t="s">
        <v>102</v>
      </c>
      <c r="M1251" t="s">
        <v>75</v>
      </c>
      <c r="R1251" t="s">
        <v>10955</v>
      </c>
      <c r="S1251" t="s">
        <v>10956</v>
      </c>
      <c r="T1251" t="s">
        <v>3087</v>
      </c>
      <c r="U1251" t="s">
        <v>77</v>
      </c>
      <c r="V1251" t="str">
        <f>"10591"</f>
        <v>10591</v>
      </c>
      <c r="AC1251" t="s">
        <v>79</v>
      </c>
      <c r="AD1251" t="s">
        <v>75</v>
      </c>
      <c r="AE1251" t="s">
        <v>103</v>
      </c>
      <c r="AG1251" t="s">
        <v>81</v>
      </c>
    </row>
    <row r="1252" spans="1:33" x14ac:dyDescent="0.25">
      <c r="A1252" t="str">
        <f>"1598007403"</f>
        <v>1598007403</v>
      </c>
      <c r="C1252" t="s">
        <v>10957</v>
      </c>
      <c r="G1252" t="s">
        <v>10957</v>
      </c>
      <c r="H1252" t="s">
        <v>6463</v>
      </c>
      <c r="I1252">
        <v>1311</v>
      </c>
      <c r="J1252" t="s">
        <v>10958</v>
      </c>
      <c r="K1252" t="s">
        <v>99</v>
      </c>
      <c r="L1252" t="s">
        <v>74</v>
      </c>
      <c r="M1252" t="s">
        <v>75</v>
      </c>
      <c r="R1252" t="s">
        <v>10959</v>
      </c>
      <c r="S1252" t="s">
        <v>7543</v>
      </c>
      <c r="T1252" t="s">
        <v>97</v>
      </c>
      <c r="U1252" t="s">
        <v>77</v>
      </c>
      <c r="V1252" t="str">
        <f>"100252956"</f>
        <v>100252956</v>
      </c>
      <c r="AC1252" t="s">
        <v>79</v>
      </c>
      <c r="AD1252" t="s">
        <v>75</v>
      </c>
      <c r="AE1252" t="s">
        <v>103</v>
      </c>
      <c r="AG1252" t="s">
        <v>81</v>
      </c>
    </row>
    <row r="1253" spans="1:33" x14ac:dyDescent="0.25">
      <c r="A1253" t="str">
        <f>"1649512112"</f>
        <v>1649512112</v>
      </c>
      <c r="C1253" t="s">
        <v>10960</v>
      </c>
      <c r="G1253" t="s">
        <v>10960</v>
      </c>
      <c r="H1253" t="s">
        <v>9967</v>
      </c>
      <c r="J1253" t="s">
        <v>10961</v>
      </c>
      <c r="K1253" t="s">
        <v>99</v>
      </c>
      <c r="L1253" t="s">
        <v>102</v>
      </c>
      <c r="M1253" t="s">
        <v>75</v>
      </c>
      <c r="R1253" t="s">
        <v>10962</v>
      </c>
      <c r="S1253" t="s">
        <v>7543</v>
      </c>
      <c r="T1253" t="s">
        <v>97</v>
      </c>
      <c r="U1253" t="s">
        <v>77</v>
      </c>
      <c r="V1253" t="str">
        <f>"100252956"</f>
        <v>100252956</v>
      </c>
      <c r="AC1253" t="s">
        <v>79</v>
      </c>
      <c r="AD1253" t="s">
        <v>75</v>
      </c>
      <c r="AE1253" t="s">
        <v>103</v>
      </c>
      <c r="AG1253" t="s">
        <v>81</v>
      </c>
    </row>
    <row r="1254" spans="1:33" x14ac:dyDescent="0.25">
      <c r="A1254" t="str">
        <f>"1760724512"</f>
        <v>1760724512</v>
      </c>
      <c r="C1254" t="s">
        <v>10963</v>
      </c>
      <c r="G1254" t="s">
        <v>10963</v>
      </c>
      <c r="H1254" t="s">
        <v>6463</v>
      </c>
      <c r="I1254">
        <v>2046</v>
      </c>
      <c r="J1254" t="s">
        <v>10964</v>
      </c>
      <c r="K1254" t="s">
        <v>99</v>
      </c>
      <c r="L1254" t="s">
        <v>102</v>
      </c>
      <c r="M1254" t="s">
        <v>75</v>
      </c>
      <c r="R1254" t="s">
        <v>10965</v>
      </c>
      <c r="S1254" t="s">
        <v>10966</v>
      </c>
      <c r="T1254" t="s">
        <v>97</v>
      </c>
      <c r="U1254" t="s">
        <v>77</v>
      </c>
      <c r="V1254" t="str">
        <f>"100253925"</f>
        <v>100253925</v>
      </c>
      <c r="AC1254" t="s">
        <v>79</v>
      </c>
      <c r="AD1254" t="s">
        <v>75</v>
      </c>
      <c r="AE1254" t="s">
        <v>103</v>
      </c>
      <c r="AG1254" t="s">
        <v>81</v>
      </c>
    </row>
    <row r="1255" spans="1:33" x14ac:dyDescent="0.25">
      <c r="A1255" t="str">
        <f>"1285932426"</f>
        <v>1285932426</v>
      </c>
      <c r="B1255" t="str">
        <f>"03523282"</f>
        <v>03523282</v>
      </c>
      <c r="C1255" t="s">
        <v>10967</v>
      </c>
      <c r="D1255" t="s">
        <v>10968</v>
      </c>
      <c r="E1255" t="s">
        <v>10969</v>
      </c>
      <c r="G1255" t="s">
        <v>10967</v>
      </c>
      <c r="H1255" t="s">
        <v>6463</v>
      </c>
      <c r="I1255">
        <v>1366</v>
      </c>
      <c r="J1255" t="s">
        <v>10970</v>
      </c>
      <c r="L1255" t="s">
        <v>83</v>
      </c>
      <c r="M1255" t="s">
        <v>85</v>
      </c>
      <c r="R1255" t="s">
        <v>10971</v>
      </c>
      <c r="W1255" t="s">
        <v>10969</v>
      </c>
      <c r="X1255" t="s">
        <v>9790</v>
      </c>
      <c r="Y1255" t="s">
        <v>97</v>
      </c>
      <c r="Z1255" t="s">
        <v>77</v>
      </c>
      <c r="AA1255" t="str">
        <f>"10025-2956"</f>
        <v>10025-2956</v>
      </c>
      <c r="AB1255" t="s">
        <v>78</v>
      </c>
      <c r="AC1255" t="s">
        <v>79</v>
      </c>
      <c r="AD1255" t="s">
        <v>75</v>
      </c>
      <c r="AE1255" t="s">
        <v>80</v>
      </c>
      <c r="AG1255" t="s">
        <v>81</v>
      </c>
    </row>
    <row r="1256" spans="1:33" x14ac:dyDescent="0.25">
      <c r="A1256" t="str">
        <f>"1356785166"</f>
        <v>1356785166</v>
      </c>
      <c r="B1256" t="str">
        <f>"02788470"</f>
        <v>02788470</v>
      </c>
      <c r="C1256" t="s">
        <v>10972</v>
      </c>
      <c r="D1256" t="s">
        <v>10973</v>
      </c>
      <c r="E1256" t="s">
        <v>10974</v>
      </c>
      <c r="G1256" t="s">
        <v>10972</v>
      </c>
      <c r="H1256" t="s">
        <v>6463</v>
      </c>
      <c r="I1256">
        <v>1305</v>
      </c>
      <c r="J1256" t="s">
        <v>10975</v>
      </c>
      <c r="L1256" t="s">
        <v>102</v>
      </c>
      <c r="M1256" t="s">
        <v>75</v>
      </c>
      <c r="R1256" t="s">
        <v>10976</v>
      </c>
      <c r="W1256" t="s">
        <v>10974</v>
      </c>
      <c r="X1256" t="s">
        <v>7543</v>
      </c>
      <c r="Y1256" t="s">
        <v>97</v>
      </c>
      <c r="Z1256" t="s">
        <v>77</v>
      </c>
      <c r="AA1256" t="str">
        <f>"10025-2956"</f>
        <v>10025-2956</v>
      </c>
      <c r="AB1256" t="s">
        <v>113</v>
      </c>
      <c r="AC1256" t="s">
        <v>79</v>
      </c>
      <c r="AD1256" t="s">
        <v>75</v>
      </c>
      <c r="AE1256" t="s">
        <v>80</v>
      </c>
      <c r="AG1256" t="s">
        <v>81</v>
      </c>
    </row>
    <row r="1257" spans="1:33" x14ac:dyDescent="0.25">
      <c r="A1257" t="str">
        <f>"1538469770"</f>
        <v>1538469770</v>
      </c>
      <c r="B1257" t="str">
        <f>"03507435"</f>
        <v>03507435</v>
      </c>
      <c r="C1257" t="s">
        <v>10977</v>
      </c>
      <c r="D1257" t="s">
        <v>5825</v>
      </c>
      <c r="E1257" t="s">
        <v>5826</v>
      </c>
      <c r="G1257" t="s">
        <v>10977</v>
      </c>
      <c r="H1257" t="s">
        <v>9967</v>
      </c>
      <c r="J1257" t="s">
        <v>10978</v>
      </c>
      <c r="L1257" t="s">
        <v>74</v>
      </c>
      <c r="M1257" t="s">
        <v>85</v>
      </c>
      <c r="R1257" t="s">
        <v>5827</v>
      </c>
      <c r="W1257" t="s">
        <v>5826</v>
      </c>
      <c r="X1257" t="s">
        <v>5828</v>
      </c>
      <c r="Y1257" t="s">
        <v>131</v>
      </c>
      <c r="Z1257" t="s">
        <v>77</v>
      </c>
      <c r="AA1257" t="str">
        <f>"10459-3233"</f>
        <v>10459-3233</v>
      </c>
      <c r="AB1257" t="s">
        <v>78</v>
      </c>
      <c r="AC1257" t="s">
        <v>79</v>
      </c>
      <c r="AD1257" t="s">
        <v>75</v>
      </c>
      <c r="AE1257" t="s">
        <v>80</v>
      </c>
      <c r="AG1257" t="s">
        <v>81</v>
      </c>
    </row>
    <row r="1258" spans="1:33" x14ac:dyDescent="0.25">
      <c r="A1258" t="str">
        <f>"1790932119"</f>
        <v>1790932119</v>
      </c>
      <c r="B1258" t="str">
        <f>"03091114"</f>
        <v>03091114</v>
      </c>
      <c r="C1258" t="s">
        <v>10979</v>
      </c>
      <c r="D1258" t="s">
        <v>10980</v>
      </c>
      <c r="E1258" t="s">
        <v>10981</v>
      </c>
      <c r="G1258" t="s">
        <v>6380</v>
      </c>
      <c r="H1258" t="s">
        <v>4625</v>
      </c>
      <c r="J1258" t="s">
        <v>6381</v>
      </c>
      <c r="L1258" t="s">
        <v>83</v>
      </c>
      <c r="M1258" t="s">
        <v>85</v>
      </c>
      <c r="R1258" t="s">
        <v>10982</v>
      </c>
      <c r="W1258" t="s">
        <v>10983</v>
      </c>
      <c r="X1258" t="s">
        <v>1822</v>
      </c>
      <c r="Y1258" t="s">
        <v>1823</v>
      </c>
      <c r="Z1258" t="s">
        <v>77</v>
      </c>
      <c r="AA1258" t="str">
        <f>"10941-4028"</f>
        <v>10941-4028</v>
      </c>
      <c r="AB1258" t="s">
        <v>78</v>
      </c>
      <c r="AC1258" t="s">
        <v>79</v>
      </c>
      <c r="AD1258" t="s">
        <v>75</v>
      </c>
      <c r="AE1258" t="s">
        <v>80</v>
      </c>
      <c r="AG1258" t="s">
        <v>81</v>
      </c>
    </row>
    <row r="1259" spans="1:33" x14ac:dyDescent="0.25">
      <c r="A1259" t="str">
        <f>"1619172871"</f>
        <v>1619172871</v>
      </c>
      <c r="B1259" t="str">
        <f>"03094180"</f>
        <v>03094180</v>
      </c>
      <c r="C1259" t="s">
        <v>10984</v>
      </c>
      <c r="D1259" t="s">
        <v>10985</v>
      </c>
      <c r="E1259" t="s">
        <v>10986</v>
      </c>
      <c r="G1259" t="s">
        <v>6380</v>
      </c>
      <c r="H1259" t="s">
        <v>4625</v>
      </c>
      <c r="J1259" t="s">
        <v>6381</v>
      </c>
      <c r="L1259" t="s">
        <v>83</v>
      </c>
      <c r="M1259" t="s">
        <v>85</v>
      </c>
      <c r="R1259" t="s">
        <v>10987</v>
      </c>
      <c r="W1259" t="s">
        <v>10988</v>
      </c>
      <c r="X1259" t="s">
        <v>1822</v>
      </c>
      <c r="Y1259" t="s">
        <v>1823</v>
      </c>
      <c r="Z1259" t="s">
        <v>77</v>
      </c>
      <c r="AA1259" t="str">
        <f>"10941-4028"</f>
        <v>10941-4028</v>
      </c>
      <c r="AB1259" t="s">
        <v>78</v>
      </c>
      <c r="AC1259" t="s">
        <v>79</v>
      </c>
      <c r="AD1259" t="s">
        <v>75</v>
      </c>
      <c r="AE1259" t="s">
        <v>80</v>
      </c>
      <c r="AG1259" t="s">
        <v>81</v>
      </c>
    </row>
    <row r="1260" spans="1:33" x14ac:dyDescent="0.25">
      <c r="A1260" t="str">
        <f>"1417025321"</f>
        <v>1417025321</v>
      </c>
      <c r="B1260" t="str">
        <f>"03094671"</f>
        <v>03094671</v>
      </c>
      <c r="C1260" t="s">
        <v>10989</v>
      </c>
      <c r="D1260" t="s">
        <v>10990</v>
      </c>
      <c r="E1260" t="s">
        <v>10991</v>
      </c>
      <c r="G1260" t="s">
        <v>6380</v>
      </c>
      <c r="H1260" t="s">
        <v>4625</v>
      </c>
      <c r="J1260" t="s">
        <v>6381</v>
      </c>
      <c r="L1260" t="s">
        <v>84</v>
      </c>
      <c r="M1260" t="s">
        <v>85</v>
      </c>
      <c r="R1260" t="s">
        <v>10992</v>
      </c>
      <c r="W1260" t="s">
        <v>10993</v>
      </c>
      <c r="X1260" t="s">
        <v>1822</v>
      </c>
      <c r="Y1260" t="s">
        <v>1823</v>
      </c>
      <c r="Z1260" t="s">
        <v>77</v>
      </c>
      <c r="AA1260" t="str">
        <f>"10941-4028"</f>
        <v>10941-4028</v>
      </c>
      <c r="AB1260" t="s">
        <v>78</v>
      </c>
      <c r="AC1260" t="s">
        <v>79</v>
      </c>
      <c r="AD1260" t="s">
        <v>75</v>
      </c>
      <c r="AE1260" t="s">
        <v>80</v>
      </c>
      <c r="AG1260" t="s">
        <v>81</v>
      </c>
    </row>
    <row r="1261" spans="1:33" x14ac:dyDescent="0.25">
      <c r="A1261" t="str">
        <f>"1659565810"</f>
        <v>1659565810</v>
      </c>
      <c r="B1261" t="str">
        <f>"03146536"</f>
        <v>03146536</v>
      </c>
      <c r="C1261" t="s">
        <v>10994</v>
      </c>
      <c r="D1261" t="s">
        <v>10995</v>
      </c>
      <c r="E1261" t="s">
        <v>10996</v>
      </c>
      <c r="G1261" t="s">
        <v>6494</v>
      </c>
      <c r="H1261" t="s">
        <v>6495</v>
      </c>
      <c r="J1261" t="s">
        <v>6496</v>
      </c>
      <c r="L1261" t="s">
        <v>83</v>
      </c>
      <c r="M1261" t="s">
        <v>85</v>
      </c>
      <c r="R1261" t="s">
        <v>10997</v>
      </c>
      <c r="W1261" t="s">
        <v>10996</v>
      </c>
      <c r="X1261" t="s">
        <v>3228</v>
      </c>
      <c r="Y1261" t="s">
        <v>97</v>
      </c>
      <c r="Z1261" t="s">
        <v>77</v>
      </c>
      <c r="AA1261" t="str">
        <f>"10036-2904"</f>
        <v>10036-2904</v>
      </c>
      <c r="AB1261" t="s">
        <v>82</v>
      </c>
      <c r="AC1261" t="s">
        <v>79</v>
      </c>
      <c r="AD1261" t="s">
        <v>75</v>
      </c>
      <c r="AE1261" t="s">
        <v>80</v>
      </c>
      <c r="AG1261" t="s">
        <v>81</v>
      </c>
    </row>
    <row r="1262" spans="1:33" x14ac:dyDescent="0.25">
      <c r="A1262" t="str">
        <f>"1093056681"</f>
        <v>1093056681</v>
      </c>
      <c r="B1262" t="str">
        <f>"03709166"</f>
        <v>03709166</v>
      </c>
      <c r="C1262" t="s">
        <v>10998</v>
      </c>
      <c r="D1262" t="s">
        <v>10999</v>
      </c>
      <c r="E1262" t="s">
        <v>11000</v>
      </c>
      <c r="G1262" t="s">
        <v>6800</v>
      </c>
      <c r="H1262" t="s">
        <v>6801</v>
      </c>
      <c r="I1262">
        <v>6381</v>
      </c>
      <c r="J1262" t="s">
        <v>6802</v>
      </c>
      <c r="L1262" t="s">
        <v>74</v>
      </c>
      <c r="M1262" t="s">
        <v>75</v>
      </c>
      <c r="R1262" t="s">
        <v>11000</v>
      </c>
      <c r="W1262" t="s">
        <v>11000</v>
      </c>
      <c r="X1262" t="s">
        <v>9151</v>
      </c>
      <c r="Y1262" t="s">
        <v>97</v>
      </c>
      <c r="Z1262" t="s">
        <v>77</v>
      </c>
      <c r="AA1262" t="str">
        <f>"10001-2320"</f>
        <v>10001-2320</v>
      </c>
      <c r="AB1262" t="s">
        <v>114</v>
      </c>
      <c r="AC1262" t="s">
        <v>79</v>
      </c>
      <c r="AD1262" t="s">
        <v>75</v>
      </c>
      <c r="AE1262" t="s">
        <v>80</v>
      </c>
      <c r="AG1262" t="s">
        <v>81</v>
      </c>
    </row>
    <row r="1263" spans="1:33" x14ac:dyDescent="0.25">
      <c r="A1263" t="str">
        <f>"1598926446"</f>
        <v>1598926446</v>
      </c>
      <c r="B1263" t="str">
        <f>"03710950"</f>
        <v>03710950</v>
      </c>
      <c r="C1263" t="s">
        <v>11001</v>
      </c>
      <c r="D1263" t="s">
        <v>11002</v>
      </c>
      <c r="E1263" t="s">
        <v>11003</v>
      </c>
      <c r="G1263" t="s">
        <v>6800</v>
      </c>
      <c r="H1263" t="s">
        <v>6801</v>
      </c>
      <c r="I1263">
        <v>6381</v>
      </c>
      <c r="J1263" t="s">
        <v>6802</v>
      </c>
      <c r="L1263" t="s">
        <v>74</v>
      </c>
      <c r="M1263" t="s">
        <v>85</v>
      </c>
      <c r="R1263" t="s">
        <v>11003</v>
      </c>
      <c r="W1263" t="s">
        <v>11003</v>
      </c>
      <c r="X1263" t="s">
        <v>9151</v>
      </c>
      <c r="Y1263" t="s">
        <v>97</v>
      </c>
      <c r="Z1263" t="s">
        <v>77</v>
      </c>
      <c r="AA1263" t="str">
        <f>"10001-2320"</f>
        <v>10001-2320</v>
      </c>
      <c r="AB1263" t="s">
        <v>78</v>
      </c>
      <c r="AC1263" t="s">
        <v>79</v>
      </c>
      <c r="AD1263" t="s">
        <v>75</v>
      </c>
      <c r="AE1263" t="s">
        <v>80</v>
      </c>
      <c r="AG1263" t="s">
        <v>81</v>
      </c>
    </row>
    <row r="1264" spans="1:33" x14ac:dyDescent="0.25">
      <c r="A1264" t="str">
        <f>"1679997647"</f>
        <v>1679997647</v>
      </c>
      <c r="B1264" t="str">
        <f>"03788314"</f>
        <v>03788314</v>
      </c>
      <c r="C1264" t="s">
        <v>11004</v>
      </c>
      <c r="D1264" t="s">
        <v>11005</v>
      </c>
      <c r="E1264" t="s">
        <v>11006</v>
      </c>
      <c r="G1264" t="s">
        <v>6800</v>
      </c>
      <c r="H1264" t="s">
        <v>6801</v>
      </c>
      <c r="I1264">
        <v>6381</v>
      </c>
      <c r="J1264" t="s">
        <v>6802</v>
      </c>
      <c r="L1264" t="s">
        <v>74</v>
      </c>
      <c r="M1264" t="s">
        <v>75</v>
      </c>
      <c r="R1264" t="s">
        <v>11007</v>
      </c>
      <c r="W1264" t="s">
        <v>11006</v>
      </c>
      <c r="X1264" t="s">
        <v>9151</v>
      </c>
      <c r="Y1264" t="s">
        <v>97</v>
      </c>
      <c r="Z1264" t="s">
        <v>77</v>
      </c>
      <c r="AA1264" t="str">
        <f>"10001-2320"</f>
        <v>10001-2320</v>
      </c>
      <c r="AB1264" t="s">
        <v>114</v>
      </c>
      <c r="AC1264" t="s">
        <v>79</v>
      </c>
      <c r="AD1264" t="s">
        <v>75</v>
      </c>
      <c r="AE1264" t="s">
        <v>80</v>
      </c>
      <c r="AG1264" t="s">
        <v>81</v>
      </c>
    </row>
    <row r="1265" spans="1:33" x14ac:dyDescent="0.25">
      <c r="A1265" t="str">
        <f>"1730435959"</f>
        <v>1730435959</v>
      </c>
      <c r="B1265" t="str">
        <f>"03811896"</f>
        <v>03811896</v>
      </c>
      <c r="C1265" t="s">
        <v>11008</v>
      </c>
      <c r="D1265" t="s">
        <v>11009</v>
      </c>
      <c r="E1265" t="s">
        <v>11010</v>
      </c>
      <c r="G1265" t="s">
        <v>6800</v>
      </c>
      <c r="H1265" t="s">
        <v>6801</v>
      </c>
      <c r="I1265">
        <v>6381</v>
      </c>
      <c r="J1265" t="s">
        <v>6802</v>
      </c>
      <c r="L1265" t="s">
        <v>74</v>
      </c>
      <c r="M1265" t="s">
        <v>75</v>
      </c>
      <c r="R1265" t="s">
        <v>6230</v>
      </c>
      <c r="W1265" t="s">
        <v>11010</v>
      </c>
      <c r="X1265" t="s">
        <v>8181</v>
      </c>
      <c r="Y1265" t="s">
        <v>145</v>
      </c>
      <c r="Z1265" t="s">
        <v>77</v>
      </c>
      <c r="AA1265" t="str">
        <f>"11361-3241"</f>
        <v>11361-3241</v>
      </c>
      <c r="AB1265" t="s">
        <v>109</v>
      </c>
      <c r="AC1265" t="s">
        <v>79</v>
      </c>
      <c r="AD1265" t="s">
        <v>75</v>
      </c>
      <c r="AE1265" t="s">
        <v>80</v>
      </c>
      <c r="AG1265" t="s">
        <v>81</v>
      </c>
    </row>
    <row r="1266" spans="1:33" x14ac:dyDescent="0.25">
      <c r="A1266" t="str">
        <f>"1508281304"</f>
        <v>1508281304</v>
      </c>
      <c r="B1266" t="str">
        <f>"03813370"</f>
        <v>03813370</v>
      </c>
      <c r="C1266" t="s">
        <v>11011</v>
      </c>
      <c r="D1266" t="s">
        <v>11012</v>
      </c>
      <c r="E1266" t="s">
        <v>11013</v>
      </c>
      <c r="G1266" t="s">
        <v>6800</v>
      </c>
      <c r="H1266" t="s">
        <v>6801</v>
      </c>
      <c r="I1266">
        <v>6381</v>
      </c>
      <c r="J1266" t="s">
        <v>6802</v>
      </c>
      <c r="L1266" t="s">
        <v>74</v>
      </c>
      <c r="M1266" t="s">
        <v>75</v>
      </c>
      <c r="R1266" t="s">
        <v>11013</v>
      </c>
      <c r="W1266" t="s">
        <v>11013</v>
      </c>
      <c r="X1266" t="s">
        <v>9151</v>
      </c>
      <c r="Y1266" t="s">
        <v>97</v>
      </c>
      <c r="Z1266" t="s">
        <v>77</v>
      </c>
      <c r="AA1266" t="str">
        <f>"10001-2320"</f>
        <v>10001-2320</v>
      </c>
      <c r="AB1266" t="s">
        <v>109</v>
      </c>
      <c r="AC1266" t="s">
        <v>79</v>
      </c>
      <c r="AD1266" t="s">
        <v>75</v>
      </c>
      <c r="AE1266" t="s">
        <v>80</v>
      </c>
      <c r="AG1266" t="s">
        <v>81</v>
      </c>
    </row>
    <row r="1267" spans="1:33" x14ac:dyDescent="0.25">
      <c r="A1267" t="str">
        <f>"1487080164"</f>
        <v>1487080164</v>
      </c>
      <c r="B1267" t="str">
        <f>"03846408"</f>
        <v>03846408</v>
      </c>
      <c r="C1267" t="s">
        <v>11014</v>
      </c>
      <c r="D1267" t="s">
        <v>11015</v>
      </c>
      <c r="E1267" t="s">
        <v>11016</v>
      </c>
      <c r="G1267" t="s">
        <v>6800</v>
      </c>
      <c r="H1267" t="s">
        <v>6801</v>
      </c>
      <c r="I1267">
        <v>6381</v>
      </c>
      <c r="J1267" t="s">
        <v>6802</v>
      </c>
      <c r="L1267" t="s">
        <v>74</v>
      </c>
      <c r="M1267" t="s">
        <v>75</v>
      </c>
      <c r="R1267" t="s">
        <v>11016</v>
      </c>
      <c r="W1267" t="s">
        <v>11016</v>
      </c>
      <c r="X1267" t="s">
        <v>2997</v>
      </c>
      <c r="Y1267" t="s">
        <v>87</v>
      </c>
      <c r="Z1267" t="s">
        <v>77</v>
      </c>
      <c r="AA1267" t="str">
        <f>"11201-4333"</f>
        <v>11201-4333</v>
      </c>
      <c r="AB1267" t="s">
        <v>109</v>
      </c>
      <c r="AC1267" t="s">
        <v>79</v>
      </c>
      <c r="AD1267" t="s">
        <v>75</v>
      </c>
      <c r="AE1267" t="s">
        <v>80</v>
      </c>
      <c r="AG1267" t="s">
        <v>81</v>
      </c>
    </row>
    <row r="1268" spans="1:33" x14ac:dyDescent="0.25">
      <c r="A1268" t="str">
        <f>"1871906131"</f>
        <v>1871906131</v>
      </c>
      <c r="B1268" t="str">
        <f>"03855254"</f>
        <v>03855254</v>
      </c>
      <c r="C1268" t="s">
        <v>11017</v>
      </c>
      <c r="D1268" t="s">
        <v>11018</v>
      </c>
      <c r="E1268" t="s">
        <v>11019</v>
      </c>
      <c r="G1268" t="s">
        <v>6800</v>
      </c>
      <c r="H1268" t="s">
        <v>6801</v>
      </c>
      <c r="I1268">
        <v>6381</v>
      </c>
      <c r="J1268" t="s">
        <v>6802</v>
      </c>
      <c r="L1268" t="s">
        <v>74</v>
      </c>
      <c r="M1268" t="s">
        <v>75</v>
      </c>
      <c r="R1268" t="s">
        <v>11020</v>
      </c>
      <c r="W1268" t="s">
        <v>11019</v>
      </c>
      <c r="X1268" t="s">
        <v>8686</v>
      </c>
      <c r="Y1268" t="s">
        <v>145</v>
      </c>
      <c r="Z1268" t="s">
        <v>77</v>
      </c>
      <c r="AA1268" t="str">
        <f>"11361-3241"</f>
        <v>11361-3241</v>
      </c>
      <c r="AB1268" t="s">
        <v>114</v>
      </c>
      <c r="AC1268" t="s">
        <v>79</v>
      </c>
      <c r="AD1268" t="s">
        <v>75</v>
      </c>
      <c r="AE1268" t="s">
        <v>80</v>
      </c>
      <c r="AG1268" t="s">
        <v>81</v>
      </c>
    </row>
    <row r="1269" spans="1:33" x14ac:dyDescent="0.25">
      <c r="A1269" t="str">
        <f>"1982014577"</f>
        <v>1982014577</v>
      </c>
      <c r="B1269" t="str">
        <f>"03861718"</f>
        <v>03861718</v>
      </c>
      <c r="C1269" t="s">
        <v>11021</v>
      </c>
      <c r="D1269" t="s">
        <v>11022</v>
      </c>
      <c r="E1269" t="s">
        <v>11023</v>
      </c>
      <c r="G1269" t="s">
        <v>6800</v>
      </c>
      <c r="H1269" t="s">
        <v>6801</v>
      </c>
      <c r="I1269">
        <v>6381</v>
      </c>
      <c r="J1269" t="s">
        <v>6802</v>
      </c>
      <c r="L1269" t="s">
        <v>74</v>
      </c>
      <c r="M1269" t="s">
        <v>75</v>
      </c>
      <c r="R1269" t="s">
        <v>11023</v>
      </c>
      <c r="W1269" t="s">
        <v>11023</v>
      </c>
      <c r="X1269" t="s">
        <v>8509</v>
      </c>
      <c r="Y1269" t="s">
        <v>145</v>
      </c>
      <c r="Z1269" t="s">
        <v>77</v>
      </c>
      <c r="AA1269" t="str">
        <f>"11361-3241"</f>
        <v>11361-3241</v>
      </c>
      <c r="AB1269" t="s">
        <v>109</v>
      </c>
      <c r="AC1269" t="s">
        <v>79</v>
      </c>
      <c r="AD1269" t="s">
        <v>75</v>
      </c>
      <c r="AE1269" t="s">
        <v>80</v>
      </c>
      <c r="AG1269" t="s">
        <v>81</v>
      </c>
    </row>
    <row r="1270" spans="1:33" x14ac:dyDescent="0.25">
      <c r="A1270" t="str">
        <f>"1528070547"</f>
        <v>1528070547</v>
      </c>
      <c r="B1270" t="str">
        <f>"03311222"</f>
        <v>03311222</v>
      </c>
      <c r="C1270" t="s">
        <v>11024</v>
      </c>
      <c r="D1270" t="s">
        <v>11025</v>
      </c>
      <c r="E1270" t="s">
        <v>11026</v>
      </c>
      <c r="G1270" t="s">
        <v>6800</v>
      </c>
      <c r="H1270" t="s">
        <v>6801</v>
      </c>
      <c r="I1270">
        <v>6381</v>
      </c>
      <c r="J1270" t="s">
        <v>6802</v>
      </c>
      <c r="L1270" t="s">
        <v>105</v>
      </c>
      <c r="M1270" t="s">
        <v>75</v>
      </c>
      <c r="R1270" t="s">
        <v>11027</v>
      </c>
      <c r="W1270" t="s">
        <v>11026</v>
      </c>
      <c r="X1270" t="s">
        <v>11028</v>
      </c>
      <c r="Y1270" t="s">
        <v>97</v>
      </c>
      <c r="Z1270" t="s">
        <v>77</v>
      </c>
      <c r="AA1270" t="str">
        <f>"10036-6611"</f>
        <v>10036-6611</v>
      </c>
      <c r="AB1270" t="s">
        <v>78</v>
      </c>
      <c r="AC1270" t="s">
        <v>79</v>
      </c>
      <c r="AD1270" t="s">
        <v>75</v>
      </c>
      <c r="AE1270" t="s">
        <v>80</v>
      </c>
      <c r="AG1270" t="s">
        <v>81</v>
      </c>
    </row>
    <row r="1271" spans="1:33" x14ac:dyDescent="0.25">
      <c r="A1271" t="str">
        <f>"1407143985"</f>
        <v>1407143985</v>
      </c>
      <c r="B1271" t="str">
        <f>"03763802"</f>
        <v>03763802</v>
      </c>
      <c r="C1271" t="s">
        <v>11029</v>
      </c>
      <c r="D1271" t="s">
        <v>11030</v>
      </c>
      <c r="E1271" t="s">
        <v>11031</v>
      </c>
      <c r="G1271" t="s">
        <v>6800</v>
      </c>
      <c r="H1271" t="s">
        <v>6801</v>
      </c>
      <c r="I1271">
        <v>6381</v>
      </c>
      <c r="J1271" t="s">
        <v>6802</v>
      </c>
      <c r="L1271" t="s">
        <v>74</v>
      </c>
      <c r="M1271" t="s">
        <v>75</v>
      </c>
      <c r="R1271" t="s">
        <v>11032</v>
      </c>
      <c r="W1271" t="s">
        <v>11031</v>
      </c>
      <c r="X1271" t="s">
        <v>11033</v>
      </c>
      <c r="Y1271" t="s">
        <v>97</v>
      </c>
      <c r="Z1271" t="s">
        <v>77</v>
      </c>
      <c r="AA1271" t="str">
        <f>"10002-2924"</f>
        <v>10002-2924</v>
      </c>
      <c r="AB1271" t="s">
        <v>109</v>
      </c>
      <c r="AC1271" t="s">
        <v>79</v>
      </c>
      <c r="AD1271" t="s">
        <v>75</v>
      </c>
      <c r="AE1271" t="s">
        <v>80</v>
      </c>
      <c r="AG1271" t="s">
        <v>81</v>
      </c>
    </row>
    <row r="1272" spans="1:33" x14ac:dyDescent="0.25">
      <c r="A1272" t="str">
        <f>"1821178948"</f>
        <v>1821178948</v>
      </c>
      <c r="B1272" t="str">
        <f>"02642780"</f>
        <v>02642780</v>
      </c>
      <c r="C1272" t="s">
        <v>11034</v>
      </c>
      <c r="D1272" t="s">
        <v>11035</v>
      </c>
      <c r="E1272" t="s">
        <v>11036</v>
      </c>
      <c r="G1272" t="s">
        <v>6380</v>
      </c>
      <c r="H1272" t="s">
        <v>4625</v>
      </c>
      <c r="J1272" t="s">
        <v>6381</v>
      </c>
      <c r="L1272" t="s">
        <v>84</v>
      </c>
      <c r="M1272" t="s">
        <v>85</v>
      </c>
      <c r="R1272" t="s">
        <v>11037</v>
      </c>
      <c r="W1272" t="s">
        <v>11038</v>
      </c>
      <c r="X1272" t="s">
        <v>1822</v>
      </c>
      <c r="Y1272" t="s">
        <v>1823</v>
      </c>
      <c r="Z1272" t="s">
        <v>77</v>
      </c>
      <c r="AA1272" t="str">
        <f>"10941-4028"</f>
        <v>10941-4028</v>
      </c>
      <c r="AB1272" t="s">
        <v>78</v>
      </c>
      <c r="AC1272" t="s">
        <v>79</v>
      </c>
      <c r="AD1272" t="s">
        <v>75</v>
      </c>
      <c r="AE1272" t="s">
        <v>80</v>
      </c>
      <c r="AG1272" t="s">
        <v>81</v>
      </c>
    </row>
    <row r="1273" spans="1:33" x14ac:dyDescent="0.25">
      <c r="A1273" t="str">
        <f>"1619960630"</f>
        <v>1619960630</v>
      </c>
      <c r="B1273" t="str">
        <f>"02648075"</f>
        <v>02648075</v>
      </c>
      <c r="C1273" t="s">
        <v>11039</v>
      </c>
      <c r="D1273" t="s">
        <v>11040</v>
      </c>
      <c r="E1273" t="s">
        <v>11041</v>
      </c>
      <c r="G1273" t="s">
        <v>6380</v>
      </c>
      <c r="H1273" t="s">
        <v>4625</v>
      </c>
      <c r="J1273" t="s">
        <v>6381</v>
      </c>
      <c r="L1273" t="s">
        <v>83</v>
      </c>
      <c r="M1273" t="s">
        <v>85</v>
      </c>
      <c r="R1273" t="s">
        <v>11042</v>
      </c>
      <c r="W1273" t="s">
        <v>11041</v>
      </c>
      <c r="X1273" t="s">
        <v>1822</v>
      </c>
      <c r="Y1273" t="s">
        <v>1823</v>
      </c>
      <c r="Z1273" t="s">
        <v>77</v>
      </c>
      <c r="AA1273" t="str">
        <f>"10941-4028"</f>
        <v>10941-4028</v>
      </c>
      <c r="AB1273" t="s">
        <v>78</v>
      </c>
      <c r="AC1273" t="s">
        <v>79</v>
      </c>
      <c r="AD1273" t="s">
        <v>75</v>
      </c>
      <c r="AE1273" t="s">
        <v>80</v>
      </c>
      <c r="AG1273" t="s">
        <v>81</v>
      </c>
    </row>
    <row r="1274" spans="1:33" x14ac:dyDescent="0.25">
      <c r="A1274" t="str">
        <f>"1811206345"</f>
        <v>1811206345</v>
      </c>
      <c r="B1274" t="str">
        <f>"04233538"</f>
        <v>04233538</v>
      </c>
      <c r="C1274" t="s">
        <v>11043</v>
      </c>
      <c r="D1274" t="s">
        <v>6113</v>
      </c>
      <c r="E1274" t="s">
        <v>6114</v>
      </c>
      <c r="L1274" t="s">
        <v>74</v>
      </c>
      <c r="M1274" t="s">
        <v>75</v>
      </c>
      <c r="R1274" t="s">
        <v>6114</v>
      </c>
      <c r="W1274" t="s">
        <v>6114</v>
      </c>
      <c r="X1274" t="s">
        <v>5293</v>
      </c>
      <c r="Y1274" t="s">
        <v>131</v>
      </c>
      <c r="Z1274" t="s">
        <v>77</v>
      </c>
      <c r="AA1274" t="str">
        <f>"10461-5751"</f>
        <v>10461-5751</v>
      </c>
      <c r="AB1274" t="s">
        <v>78</v>
      </c>
      <c r="AC1274" t="s">
        <v>79</v>
      </c>
      <c r="AD1274" t="s">
        <v>75</v>
      </c>
      <c r="AE1274" t="s">
        <v>80</v>
      </c>
      <c r="AG1274" t="s">
        <v>81</v>
      </c>
    </row>
    <row r="1275" spans="1:33" x14ac:dyDescent="0.25">
      <c r="A1275" t="str">
        <f>"1003219163"</f>
        <v>1003219163</v>
      </c>
      <c r="B1275" t="str">
        <f>"04017130"</f>
        <v>04017130</v>
      </c>
      <c r="C1275" t="s">
        <v>11044</v>
      </c>
      <c r="D1275" t="s">
        <v>11045</v>
      </c>
      <c r="E1275" t="s">
        <v>11046</v>
      </c>
      <c r="G1275" t="s">
        <v>11047</v>
      </c>
      <c r="H1275" t="s">
        <v>11048</v>
      </c>
      <c r="J1275" t="s">
        <v>11049</v>
      </c>
      <c r="L1275" t="s">
        <v>74</v>
      </c>
      <c r="M1275" t="s">
        <v>75</v>
      </c>
      <c r="R1275" t="s">
        <v>11050</v>
      </c>
      <c r="W1275" t="s">
        <v>11046</v>
      </c>
      <c r="X1275" t="s">
        <v>11051</v>
      </c>
      <c r="Y1275" t="s">
        <v>87</v>
      </c>
      <c r="Z1275" t="s">
        <v>77</v>
      </c>
      <c r="AA1275" t="str">
        <f>"11208-2629"</f>
        <v>11208-2629</v>
      </c>
      <c r="AB1275" t="s">
        <v>78</v>
      </c>
      <c r="AC1275" t="s">
        <v>79</v>
      </c>
      <c r="AD1275" t="s">
        <v>75</v>
      </c>
      <c r="AE1275" t="s">
        <v>80</v>
      </c>
      <c r="AG1275" t="s">
        <v>81</v>
      </c>
    </row>
    <row r="1276" spans="1:33" x14ac:dyDescent="0.25">
      <c r="A1276" t="str">
        <f>"1316366008"</f>
        <v>1316366008</v>
      </c>
      <c r="B1276" t="str">
        <f>"03919399"</f>
        <v>03919399</v>
      </c>
      <c r="C1276" t="s">
        <v>11052</v>
      </c>
      <c r="D1276" t="s">
        <v>11053</v>
      </c>
      <c r="E1276" t="s">
        <v>11054</v>
      </c>
      <c r="L1276" t="s">
        <v>84</v>
      </c>
      <c r="M1276" t="s">
        <v>75</v>
      </c>
      <c r="R1276" t="s">
        <v>11055</v>
      </c>
      <c r="W1276" t="s">
        <v>11054</v>
      </c>
      <c r="X1276" t="s">
        <v>11056</v>
      </c>
      <c r="Y1276" t="s">
        <v>97</v>
      </c>
      <c r="Z1276" t="s">
        <v>77</v>
      </c>
      <c r="AA1276" t="str">
        <f>"10003-5388"</f>
        <v>10003-5388</v>
      </c>
      <c r="AB1276" t="s">
        <v>78</v>
      </c>
      <c r="AC1276" t="s">
        <v>79</v>
      </c>
      <c r="AD1276" t="s">
        <v>75</v>
      </c>
      <c r="AE1276" t="s">
        <v>80</v>
      </c>
      <c r="AG1276" t="s">
        <v>81</v>
      </c>
    </row>
    <row r="1277" spans="1:33" x14ac:dyDescent="0.25">
      <c r="A1277" t="str">
        <f>"1891033007"</f>
        <v>1891033007</v>
      </c>
      <c r="C1277" t="s">
        <v>11057</v>
      </c>
      <c r="K1277" t="s">
        <v>99</v>
      </c>
      <c r="L1277" t="s">
        <v>102</v>
      </c>
      <c r="M1277" t="s">
        <v>75</v>
      </c>
      <c r="R1277" t="s">
        <v>11058</v>
      </c>
      <c r="S1277" t="s">
        <v>329</v>
      </c>
      <c r="T1277" t="s">
        <v>97</v>
      </c>
      <c r="U1277" t="s">
        <v>77</v>
      </c>
      <c r="V1277" t="str">
        <f>"100296500"</f>
        <v>100296500</v>
      </c>
      <c r="AC1277" t="s">
        <v>79</v>
      </c>
      <c r="AD1277" t="s">
        <v>75</v>
      </c>
      <c r="AE1277" t="s">
        <v>103</v>
      </c>
      <c r="AG1277" t="s">
        <v>81</v>
      </c>
    </row>
    <row r="1278" spans="1:33" x14ac:dyDescent="0.25">
      <c r="A1278" t="str">
        <f>"1891062469"</f>
        <v>1891062469</v>
      </c>
      <c r="B1278" t="str">
        <f>"04270646"</f>
        <v>04270646</v>
      </c>
      <c r="C1278" t="s">
        <v>11059</v>
      </c>
      <c r="D1278" t="s">
        <v>11060</v>
      </c>
      <c r="E1278" t="s">
        <v>11061</v>
      </c>
      <c r="L1278" t="s">
        <v>83</v>
      </c>
      <c r="M1278" t="s">
        <v>75</v>
      </c>
      <c r="R1278" t="s">
        <v>11062</v>
      </c>
      <c r="W1278" t="s">
        <v>11063</v>
      </c>
      <c r="X1278" t="s">
        <v>1809</v>
      </c>
      <c r="Y1278" t="s">
        <v>140</v>
      </c>
      <c r="Z1278" t="s">
        <v>77</v>
      </c>
      <c r="AA1278" t="str">
        <f>"11772-4870"</f>
        <v>11772-4870</v>
      </c>
      <c r="AB1278" t="s">
        <v>78</v>
      </c>
      <c r="AC1278" t="s">
        <v>79</v>
      </c>
      <c r="AD1278" t="s">
        <v>75</v>
      </c>
      <c r="AE1278" t="s">
        <v>80</v>
      </c>
      <c r="AG1278" t="s">
        <v>81</v>
      </c>
    </row>
    <row r="1279" spans="1:33" x14ac:dyDescent="0.25">
      <c r="A1279" t="str">
        <f>"1922079748"</f>
        <v>1922079748</v>
      </c>
      <c r="B1279" t="str">
        <f>"01689376"</f>
        <v>01689376</v>
      </c>
      <c r="C1279" t="s">
        <v>11064</v>
      </c>
      <c r="D1279" t="s">
        <v>11065</v>
      </c>
      <c r="E1279" t="s">
        <v>11066</v>
      </c>
      <c r="L1279" t="s">
        <v>74</v>
      </c>
      <c r="M1279" t="s">
        <v>75</v>
      </c>
      <c r="R1279" t="s">
        <v>11067</v>
      </c>
      <c r="W1279" t="s">
        <v>11066</v>
      </c>
      <c r="X1279" t="s">
        <v>11068</v>
      </c>
      <c r="Y1279" t="s">
        <v>97</v>
      </c>
      <c r="Z1279" t="s">
        <v>77</v>
      </c>
      <c r="AA1279" t="str">
        <f>"10128-6217"</f>
        <v>10128-6217</v>
      </c>
      <c r="AB1279" t="s">
        <v>78</v>
      </c>
      <c r="AC1279" t="s">
        <v>79</v>
      </c>
      <c r="AD1279" t="s">
        <v>75</v>
      </c>
      <c r="AE1279" t="s">
        <v>80</v>
      </c>
      <c r="AG1279" t="s">
        <v>81</v>
      </c>
    </row>
    <row r="1280" spans="1:33" x14ac:dyDescent="0.25">
      <c r="A1280" t="str">
        <f>"1821342841"</f>
        <v>1821342841</v>
      </c>
      <c r="B1280" t="str">
        <f>"03934190"</f>
        <v>03934190</v>
      </c>
      <c r="C1280" t="s">
        <v>11069</v>
      </c>
      <c r="D1280" t="s">
        <v>11070</v>
      </c>
      <c r="E1280" t="s">
        <v>11071</v>
      </c>
      <c r="L1280" t="s">
        <v>74</v>
      </c>
      <c r="M1280" t="s">
        <v>75</v>
      </c>
      <c r="R1280" t="s">
        <v>11072</v>
      </c>
      <c r="W1280" t="s">
        <v>11071</v>
      </c>
      <c r="X1280" t="s">
        <v>11073</v>
      </c>
      <c r="Y1280" t="s">
        <v>97</v>
      </c>
      <c r="Z1280" t="s">
        <v>77</v>
      </c>
      <c r="AA1280" t="str">
        <f>"10029-6504"</f>
        <v>10029-6504</v>
      </c>
      <c r="AB1280" t="s">
        <v>78</v>
      </c>
      <c r="AC1280" t="s">
        <v>79</v>
      </c>
      <c r="AD1280" t="s">
        <v>75</v>
      </c>
      <c r="AE1280" t="s">
        <v>80</v>
      </c>
      <c r="AG1280" t="s">
        <v>81</v>
      </c>
    </row>
    <row r="1281" spans="1:33" x14ac:dyDescent="0.25">
      <c r="A1281" t="str">
        <f>"1821377920"</f>
        <v>1821377920</v>
      </c>
      <c r="C1281" t="s">
        <v>11074</v>
      </c>
      <c r="K1281" t="s">
        <v>99</v>
      </c>
      <c r="L1281" t="s">
        <v>102</v>
      </c>
      <c r="M1281" t="s">
        <v>75</v>
      </c>
      <c r="R1281" t="s">
        <v>11075</v>
      </c>
      <c r="S1281" t="s">
        <v>11076</v>
      </c>
      <c r="T1281" t="s">
        <v>97</v>
      </c>
      <c r="U1281" t="s">
        <v>77</v>
      </c>
      <c r="V1281" t="str">
        <f>"100296504"</f>
        <v>100296504</v>
      </c>
      <c r="AC1281" t="s">
        <v>79</v>
      </c>
      <c r="AD1281" t="s">
        <v>75</v>
      </c>
      <c r="AE1281" t="s">
        <v>103</v>
      </c>
      <c r="AG1281" t="s">
        <v>81</v>
      </c>
    </row>
    <row r="1282" spans="1:33" x14ac:dyDescent="0.25">
      <c r="A1282" t="str">
        <f>"1306959812"</f>
        <v>1306959812</v>
      </c>
      <c r="B1282" t="str">
        <f>"01160232"</f>
        <v>01160232</v>
      </c>
      <c r="C1282" t="s">
        <v>11077</v>
      </c>
      <c r="D1282" t="s">
        <v>1828</v>
      </c>
      <c r="E1282" t="s">
        <v>1829</v>
      </c>
      <c r="G1282" t="s">
        <v>11077</v>
      </c>
      <c r="H1282" t="s">
        <v>1481</v>
      </c>
      <c r="J1282" t="s">
        <v>433</v>
      </c>
      <c r="L1282" t="s">
        <v>84</v>
      </c>
      <c r="M1282" t="s">
        <v>75</v>
      </c>
      <c r="R1282" t="s">
        <v>1830</v>
      </c>
      <c r="W1282" t="s">
        <v>1829</v>
      </c>
      <c r="X1282" t="s">
        <v>1831</v>
      </c>
      <c r="Y1282" t="s">
        <v>1743</v>
      </c>
      <c r="Z1282" t="s">
        <v>77</v>
      </c>
      <c r="AA1282" t="str">
        <f>"12110"</f>
        <v>12110</v>
      </c>
      <c r="AB1282" t="s">
        <v>78</v>
      </c>
      <c r="AC1282" t="s">
        <v>79</v>
      </c>
      <c r="AD1282" t="s">
        <v>75</v>
      </c>
      <c r="AE1282" t="s">
        <v>80</v>
      </c>
      <c r="AG1282" t="s">
        <v>81</v>
      </c>
    </row>
    <row r="1283" spans="1:33" x14ac:dyDescent="0.25">
      <c r="A1283" t="str">
        <f>"1568424935"</f>
        <v>1568424935</v>
      </c>
      <c r="B1283" t="str">
        <f>"02902349"</f>
        <v>02902349</v>
      </c>
      <c r="C1283" t="s">
        <v>11078</v>
      </c>
      <c r="D1283" t="s">
        <v>11079</v>
      </c>
      <c r="E1283" t="s">
        <v>11080</v>
      </c>
      <c r="G1283" t="s">
        <v>6380</v>
      </c>
      <c r="H1283" t="s">
        <v>4625</v>
      </c>
      <c r="J1283" t="s">
        <v>6381</v>
      </c>
      <c r="L1283" t="s">
        <v>83</v>
      </c>
      <c r="M1283" t="s">
        <v>85</v>
      </c>
      <c r="R1283" t="s">
        <v>11081</v>
      </c>
      <c r="W1283" t="s">
        <v>11081</v>
      </c>
      <c r="X1283" t="s">
        <v>1822</v>
      </c>
      <c r="Y1283" t="s">
        <v>1823</v>
      </c>
      <c r="Z1283" t="s">
        <v>77</v>
      </c>
      <c r="AA1283" t="str">
        <f>"10941-4028"</f>
        <v>10941-4028</v>
      </c>
      <c r="AB1283" t="s">
        <v>78</v>
      </c>
      <c r="AC1283" t="s">
        <v>79</v>
      </c>
      <c r="AD1283" t="s">
        <v>75</v>
      </c>
      <c r="AE1283" t="s">
        <v>80</v>
      </c>
      <c r="AG1283" t="s">
        <v>81</v>
      </c>
    </row>
    <row r="1284" spans="1:33" x14ac:dyDescent="0.25">
      <c r="A1284" t="str">
        <f>"1902099963"</f>
        <v>1902099963</v>
      </c>
      <c r="B1284" t="str">
        <f>"02908001"</f>
        <v>02908001</v>
      </c>
      <c r="C1284" t="s">
        <v>11082</v>
      </c>
      <c r="D1284" t="s">
        <v>11083</v>
      </c>
      <c r="E1284" t="s">
        <v>11084</v>
      </c>
      <c r="G1284" t="s">
        <v>6380</v>
      </c>
      <c r="H1284" t="s">
        <v>4625</v>
      </c>
      <c r="J1284" t="s">
        <v>6381</v>
      </c>
      <c r="L1284" t="s">
        <v>83</v>
      </c>
      <c r="M1284" t="s">
        <v>85</v>
      </c>
      <c r="R1284" t="s">
        <v>11084</v>
      </c>
      <c r="W1284" t="s">
        <v>11084</v>
      </c>
      <c r="X1284" t="s">
        <v>1822</v>
      </c>
      <c r="Y1284" t="s">
        <v>1823</v>
      </c>
      <c r="Z1284" t="s">
        <v>77</v>
      </c>
      <c r="AA1284" t="str">
        <f>"10941-4028"</f>
        <v>10941-4028</v>
      </c>
      <c r="AB1284" t="s">
        <v>78</v>
      </c>
      <c r="AC1284" t="s">
        <v>79</v>
      </c>
      <c r="AD1284" t="s">
        <v>75</v>
      </c>
      <c r="AE1284" t="s">
        <v>80</v>
      </c>
      <c r="AG1284" t="s">
        <v>81</v>
      </c>
    </row>
    <row r="1285" spans="1:33" x14ac:dyDescent="0.25">
      <c r="A1285" t="str">
        <f>"1508958299"</f>
        <v>1508958299</v>
      </c>
      <c r="B1285" t="str">
        <f>"02917742"</f>
        <v>02917742</v>
      </c>
      <c r="C1285" t="s">
        <v>11085</v>
      </c>
      <c r="D1285" t="s">
        <v>11086</v>
      </c>
      <c r="E1285" t="s">
        <v>11087</v>
      </c>
      <c r="G1285" t="s">
        <v>6380</v>
      </c>
      <c r="H1285" t="s">
        <v>4625</v>
      </c>
      <c r="J1285" t="s">
        <v>6381</v>
      </c>
      <c r="L1285" t="s">
        <v>83</v>
      </c>
      <c r="M1285" t="s">
        <v>85</v>
      </c>
      <c r="R1285" t="s">
        <v>11088</v>
      </c>
      <c r="W1285" t="s">
        <v>11089</v>
      </c>
      <c r="X1285" t="s">
        <v>1822</v>
      </c>
      <c r="Y1285" t="s">
        <v>1823</v>
      </c>
      <c r="Z1285" t="s">
        <v>77</v>
      </c>
      <c r="AA1285" t="str">
        <f>"10941-4028"</f>
        <v>10941-4028</v>
      </c>
      <c r="AB1285" t="s">
        <v>78</v>
      </c>
      <c r="AC1285" t="s">
        <v>79</v>
      </c>
      <c r="AD1285" t="s">
        <v>75</v>
      </c>
      <c r="AE1285" t="s">
        <v>80</v>
      </c>
      <c r="AG1285" t="s">
        <v>81</v>
      </c>
    </row>
    <row r="1286" spans="1:33" x14ac:dyDescent="0.25">
      <c r="A1286" t="str">
        <f>"1952361982"</f>
        <v>1952361982</v>
      </c>
      <c r="B1286" t="str">
        <f>"02921048"</f>
        <v>02921048</v>
      </c>
      <c r="C1286" t="s">
        <v>11090</v>
      </c>
      <c r="D1286" t="s">
        <v>11091</v>
      </c>
      <c r="E1286" t="s">
        <v>11092</v>
      </c>
      <c r="G1286" t="s">
        <v>6380</v>
      </c>
      <c r="H1286" t="s">
        <v>4625</v>
      </c>
      <c r="J1286" t="s">
        <v>6381</v>
      </c>
      <c r="L1286" t="s">
        <v>83</v>
      </c>
      <c r="M1286" t="s">
        <v>85</v>
      </c>
      <c r="R1286" t="s">
        <v>11093</v>
      </c>
      <c r="W1286" t="s">
        <v>11092</v>
      </c>
      <c r="X1286" t="s">
        <v>1822</v>
      </c>
      <c r="Y1286" t="s">
        <v>1823</v>
      </c>
      <c r="Z1286" t="s">
        <v>77</v>
      </c>
      <c r="AA1286" t="str">
        <f>"10941-4028"</f>
        <v>10941-4028</v>
      </c>
      <c r="AB1286" t="s">
        <v>78</v>
      </c>
      <c r="AC1286" t="s">
        <v>79</v>
      </c>
      <c r="AD1286" t="s">
        <v>75</v>
      </c>
      <c r="AE1286" t="s">
        <v>80</v>
      </c>
      <c r="AG1286" t="s">
        <v>81</v>
      </c>
    </row>
    <row r="1287" spans="1:33" x14ac:dyDescent="0.25">
      <c r="A1287" t="str">
        <f>"1982805073"</f>
        <v>1982805073</v>
      </c>
      <c r="B1287" t="str">
        <f>"03237661"</f>
        <v>03237661</v>
      </c>
      <c r="C1287" t="s">
        <v>11094</v>
      </c>
      <c r="D1287" t="s">
        <v>11095</v>
      </c>
      <c r="E1287" t="s">
        <v>11096</v>
      </c>
      <c r="L1287" t="s">
        <v>84</v>
      </c>
      <c r="M1287" t="s">
        <v>85</v>
      </c>
      <c r="R1287" t="s">
        <v>11097</v>
      </c>
      <c r="W1287" t="s">
        <v>11096</v>
      </c>
      <c r="X1287" t="s">
        <v>11098</v>
      </c>
      <c r="Y1287" t="s">
        <v>97</v>
      </c>
      <c r="Z1287" t="s">
        <v>77</v>
      </c>
      <c r="AA1287" t="str">
        <f>"10025-6901"</f>
        <v>10025-6901</v>
      </c>
      <c r="AB1287" t="s">
        <v>78</v>
      </c>
      <c r="AC1287" t="s">
        <v>79</v>
      </c>
      <c r="AD1287" t="s">
        <v>75</v>
      </c>
      <c r="AE1287" t="s">
        <v>80</v>
      </c>
      <c r="AG1287" t="s">
        <v>81</v>
      </c>
    </row>
    <row r="1288" spans="1:33" x14ac:dyDescent="0.25">
      <c r="A1288" t="str">
        <f>"1427008663"</f>
        <v>1427008663</v>
      </c>
      <c r="B1288" t="str">
        <f>"01069603"</f>
        <v>01069603</v>
      </c>
      <c r="C1288" t="s">
        <v>11099</v>
      </c>
      <c r="D1288" t="s">
        <v>11100</v>
      </c>
      <c r="E1288" t="s">
        <v>11101</v>
      </c>
      <c r="L1288" t="s">
        <v>84</v>
      </c>
      <c r="M1288" t="s">
        <v>85</v>
      </c>
      <c r="R1288" t="s">
        <v>11102</v>
      </c>
      <c r="W1288" t="s">
        <v>11101</v>
      </c>
      <c r="X1288" t="s">
        <v>11103</v>
      </c>
      <c r="Y1288" t="s">
        <v>233</v>
      </c>
      <c r="Z1288" t="s">
        <v>77</v>
      </c>
      <c r="AA1288" t="str">
        <f>"12401-4692"</f>
        <v>12401-4692</v>
      </c>
      <c r="AB1288" t="s">
        <v>78</v>
      </c>
      <c r="AC1288" t="s">
        <v>79</v>
      </c>
      <c r="AD1288" t="s">
        <v>75</v>
      </c>
      <c r="AE1288" t="s">
        <v>80</v>
      </c>
      <c r="AG1288" t="s">
        <v>81</v>
      </c>
    </row>
    <row r="1289" spans="1:33" x14ac:dyDescent="0.25">
      <c r="A1289" t="str">
        <f>"1811950454"</f>
        <v>1811950454</v>
      </c>
      <c r="B1289" t="str">
        <f>"01905926"</f>
        <v>01905926</v>
      </c>
      <c r="C1289" t="s">
        <v>11104</v>
      </c>
      <c r="D1289" t="s">
        <v>11105</v>
      </c>
      <c r="E1289" t="s">
        <v>11106</v>
      </c>
      <c r="L1289" t="s">
        <v>83</v>
      </c>
      <c r="M1289" t="s">
        <v>75</v>
      </c>
      <c r="R1289" t="s">
        <v>11107</v>
      </c>
      <c r="W1289" t="s">
        <v>11106</v>
      </c>
      <c r="X1289" t="s">
        <v>11108</v>
      </c>
      <c r="Y1289" t="s">
        <v>97</v>
      </c>
      <c r="Z1289" t="s">
        <v>77</v>
      </c>
      <c r="AA1289" t="str">
        <f>"10029"</f>
        <v>10029</v>
      </c>
      <c r="AB1289" t="s">
        <v>78</v>
      </c>
      <c r="AC1289" t="s">
        <v>79</v>
      </c>
      <c r="AD1289" t="s">
        <v>75</v>
      </c>
      <c r="AE1289" t="s">
        <v>80</v>
      </c>
      <c r="AG1289" t="s">
        <v>81</v>
      </c>
    </row>
    <row r="1290" spans="1:33" x14ac:dyDescent="0.25">
      <c r="A1290" t="str">
        <f>"1801931191"</f>
        <v>1801931191</v>
      </c>
      <c r="B1290" t="str">
        <f>"01846304"</f>
        <v>01846304</v>
      </c>
      <c r="C1290" t="s">
        <v>11109</v>
      </c>
      <c r="D1290" t="s">
        <v>11110</v>
      </c>
      <c r="E1290" t="s">
        <v>11111</v>
      </c>
      <c r="L1290" t="s">
        <v>83</v>
      </c>
      <c r="M1290" t="s">
        <v>75</v>
      </c>
      <c r="R1290" t="s">
        <v>11112</v>
      </c>
      <c r="W1290" t="s">
        <v>11111</v>
      </c>
      <c r="X1290" t="s">
        <v>130</v>
      </c>
      <c r="Y1290" t="s">
        <v>131</v>
      </c>
      <c r="Z1290" t="s">
        <v>77</v>
      </c>
      <c r="AA1290" t="str">
        <f>"10461-1138"</f>
        <v>10461-1138</v>
      </c>
      <c r="AB1290" t="s">
        <v>78</v>
      </c>
      <c r="AC1290" t="s">
        <v>79</v>
      </c>
      <c r="AD1290" t="s">
        <v>75</v>
      </c>
      <c r="AE1290" t="s">
        <v>80</v>
      </c>
      <c r="AG1290" t="s">
        <v>81</v>
      </c>
    </row>
    <row r="1291" spans="1:33" x14ac:dyDescent="0.25">
      <c r="A1291" t="str">
        <f>"1821006677"</f>
        <v>1821006677</v>
      </c>
      <c r="B1291" t="str">
        <f>"02744136"</f>
        <v>02744136</v>
      </c>
      <c r="C1291" t="s">
        <v>11113</v>
      </c>
      <c r="D1291" t="s">
        <v>11114</v>
      </c>
      <c r="E1291" t="s">
        <v>11115</v>
      </c>
      <c r="L1291" t="s">
        <v>84</v>
      </c>
      <c r="M1291" t="s">
        <v>75</v>
      </c>
      <c r="R1291" t="s">
        <v>11116</v>
      </c>
      <c r="W1291" t="s">
        <v>11115</v>
      </c>
      <c r="X1291" t="s">
        <v>263</v>
      </c>
      <c r="Y1291" t="s">
        <v>97</v>
      </c>
      <c r="Z1291" t="s">
        <v>77</v>
      </c>
      <c r="AA1291" t="str">
        <f>"10011-8202"</f>
        <v>10011-8202</v>
      </c>
      <c r="AB1291" t="s">
        <v>78</v>
      </c>
      <c r="AC1291" t="s">
        <v>79</v>
      </c>
      <c r="AD1291" t="s">
        <v>75</v>
      </c>
      <c r="AE1291" t="s">
        <v>80</v>
      </c>
      <c r="AG1291" t="s">
        <v>81</v>
      </c>
    </row>
    <row r="1292" spans="1:33" x14ac:dyDescent="0.25">
      <c r="A1292" t="str">
        <f>"1861416505"</f>
        <v>1861416505</v>
      </c>
      <c r="B1292" t="str">
        <f>"00841369"</f>
        <v>00841369</v>
      </c>
      <c r="C1292" t="s">
        <v>11117</v>
      </c>
      <c r="D1292" t="s">
        <v>11118</v>
      </c>
      <c r="E1292" t="s">
        <v>11119</v>
      </c>
      <c r="L1292" t="s">
        <v>102</v>
      </c>
      <c r="M1292" t="s">
        <v>75</v>
      </c>
      <c r="R1292" t="s">
        <v>11120</v>
      </c>
      <c r="W1292" t="s">
        <v>11119</v>
      </c>
      <c r="X1292" t="s">
        <v>329</v>
      </c>
      <c r="Y1292" t="s">
        <v>97</v>
      </c>
      <c r="Z1292" t="s">
        <v>77</v>
      </c>
      <c r="AA1292" t="str">
        <f>"10029-6500"</f>
        <v>10029-6500</v>
      </c>
      <c r="AB1292" t="s">
        <v>78</v>
      </c>
      <c r="AC1292" t="s">
        <v>79</v>
      </c>
      <c r="AD1292" t="s">
        <v>75</v>
      </c>
      <c r="AE1292" t="s">
        <v>80</v>
      </c>
      <c r="AG1292" t="s">
        <v>81</v>
      </c>
    </row>
    <row r="1293" spans="1:33" x14ac:dyDescent="0.25">
      <c r="A1293" t="str">
        <f>"1861437550"</f>
        <v>1861437550</v>
      </c>
      <c r="B1293" t="str">
        <f>"03498542"</f>
        <v>03498542</v>
      </c>
      <c r="C1293" t="s">
        <v>11121</v>
      </c>
      <c r="D1293" t="s">
        <v>11122</v>
      </c>
      <c r="E1293" t="s">
        <v>11123</v>
      </c>
      <c r="L1293" t="s">
        <v>83</v>
      </c>
      <c r="M1293" t="s">
        <v>75</v>
      </c>
      <c r="R1293" t="s">
        <v>11123</v>
      </c>
      <c r="W1293" t="s">
        <v>11123</v>
      </c>
      <c r="X1293" t="s">
        <v>11124</v>
      </c>
      <c r="Y1293" t="s">
        <v>97</v>
      </c>
      <c r="Z1293" t="s">
        <v>77</v>
      </c>
      <c r="AA1293" t="str">
        <f>"10029-6503"</f>
        <v>10029-6503</v>
      </c>
      <c r="AB1293" t="s">
        <v>78</v>
      </c>
      <c r="AC1293" t="s">
        <v>79</v>
      </c>
      <c r="AD1293" t="s">
        <v>75</v>
      </c>
      <c r="AE1293" t="s">
        <v>80</v>
      </c>
      <c r="AG1293" t="s">
        <v>81</v>
      </c>
    </row>
    <row r="1294" spans="1:33" x14ac:dyDescent="0.25">
      <c r="C1294" t="s">
        <v>11125</v>
      </c>
      <c r="G1294" t="s">
        <v>11125</v>
      </c>
      <c r="H1294" t="s">
        <v>11126</v>
      </c>
      <c r="K1294" t="s">
        <v>206</v>
      </c>
      <c r="L1294" t="s">
        <v>100</v>
      </c>
      <c r="M1294" t="s">
        <v>75</v>
      </c>
      <c r="N1294" t="s">
        <v>11127</v>
      </c>
      <c r="AC1294" t="s">
        <v>79</v>
      </c>
      <c r="AD1294" t="s">
        <v>75</v>
      </c>
      <c r="AE1294" t="s">
        <v>101</v>
      </c>
      <c r="AG1294" t="s">
        <v>81</v>
      </c>
    </row>
    <row r="1295" spans="1:33" x14ac:dyDescent="0.25">
      <c r="C1295" t="s">
        <v>11128</v>
      </c>
      <c r="G1295" t="s">
        <v>11128</v>
      </c>
      <c r="H1295" t="s">
        <v>11129</v>
      </c>
      <c r="K1295" t="s">
        <v>206</v>
      </c>
      <c r="L1295" t="s">
        <v>100</v>
      </c>
      <c r="M1295" t="s">
        <v>75</v>
      </c>
      <c r="N1295" t="s">
        <v>11130</v>
      </c>
      <c r="O1295" t="s">
        <v>11131</v>
      </c>
      <c r="P1295" t="s">
        <v>8566</v>
      </c>
      <c r="Q1295" t="str">
        <f>"11366"</f>
        <v>11366</v>
      </c>
      <c r="AC1295" t="s">
        <v>79</v>
      </c>
      <c r="AD1295" t="s">
        <v>75</v>
      </c>
      <c r="AE1295" t="s">
        <v>101</v>
      </c>
      <c r="AG1295" t="s">
        <v>81</v>
      </c>
    </row>
    <row r="1296" spans="1:33" x14ac:dyDescent="0.25">
      <c r="C1296" t="s">
        <v>11132</v>
      </c>
      <c r="G1296" t="s">
        <v>11132</v>
      </c>
      <c r="H1296" t="s">
        <v>11133</v>
      </c>
      <c r="K1296" t="s">
        <v>206</v>
      </c>
      <c r="L1296" t="s">
        <v>100</v>
      </c>
      <c r="M1296" t="s">
        <v>75</v>
      </c>
      <c r="N1296" t="s">
        <v>11134</v>
      </c>
      <c r="O1296" t="s">
        <v>9407</v>
      </c>
      <c r="P1296" t="s">
        <v>8566</v>
      </c>
      <c r="Q1296" t="str">
        <f>"11103"</f>
        <v>11103</v>
      </c>
      <c r="AC1296" t="s">
        <v>79</v>
      </c>
      <c r="AD1296" t="s">
        <v>75</v>
      </c>
      <c r="AE1296" t="s">
        <v>101</v>
      </c>
      <c r="AG1296" t="s">
        <v>81</v>
      </c>
    </row>
    <row r="1297" spans="1:33" x14ac:dyDescent="0.25">
      <c r="C1297" t="s">
        <v>11135</v>
      </c>
      <c r="G1297" t="s">
        <v>11135</v>
      </c>
      <c r="H1297" t="s">
        <v>11133</v>
      </c>
      <c r="K1297" t="s">
        <v>206</v>
      </c>
      <c r="L1297" t="s">
        <v>100</v>
      </c>
      <c r="M1297" t="s">
        <v>75</v>
      </c>
      <c r="N1297" t="s">
        <v>11136</v>
      </c>
      <c r="O1297" t="s">
        <v>6410</v>
      </c>
      <c r="P1297" t="s">
        <v>8566</v>
      </c>
      <c r="Q1297" t="str">
        <f>"10075"</f>
        <v>10075</v>
      </c>
      <c r="AC1297" t="s">
        <v>79</v>
      </c>
      <c r="AD1297" t="s">
        <v>75</v>
      </c>
      <c r="AE1297" t="s">
        <v>101</v>
      </c>
      <c r="AG1297" t="s">
        <v>81</v>
      </c>
    </row>
    <row r="1298" spans="1:33" x14ac:dyDescent="0.25">
      <c r="C1298" t="s">
        <v>11137</v>
      </c>
      <c r="G1298" t="s">
        <v>11137</v>
      </c>
      <c r="H1298" t="s">
        <v>11138</v>
      </c>
      <c r="K1298" t="s">
        <v>206</v>
      </c>
      <c r="L1298" t="s">
        <v>100</v>
      </c>
      <c r="M1298" t="s">
        <v>75</v>
      </c>
      <c r="O1298" t="s">
        <v>888</v>
      </c>
      <c r="P1298" t="s">
        <v>8566</v>
      </c>
      <c r="Q1298" t="str">
        <f>"11355"</f>
        <v>11355</v>
      </c>
      <c r="AC1298" t="s">
        <v>79</v>
      </c>
      <c r="AD1298" t="s">
        <v>75</v>
      </c>
      <c r="AE1298" t="s">
        <v>101</v>
      </c>
      <c r="AG1298" t="s">
        <v>81</v>
      </c>
    </row>
    <row r="1299" spans="1:33" x14ac:dyDescent="0.25">
      <c r="A1299" t="str">
        <f>"1801979828"</f>
        <v>1801979828</v>
      </c>
      <c r="B1299" t="str">
        <f>"02889669"</f>
        <v>02889669</v>
      </c>
      <c r="C1299" t="s">
        <v>11139</v>
      </c>
      <c r="D1299" t="s">
        <v>11140</v>
      </c>
      <c r="E1299" t="s">
        <v>11141</v>
      </c>
      <c r="L1299" t="s">
        <v>83</v>
      </c>
      <c r="M1299" t="s">
        <v>75</v>
      </c>
      <c r="R1299" t="s">
        <v>11142</v>
      </c>
      <c r="W1299" t="s">
        <v>11143</v>
      </c>
      <c r="X1299" t="s">
        <v>267</v>
      </c>
      <c r="Y1299" t="s">
        <v>91</v>
      </c>
      <c r="Z1299" t="s">
        <v>77</v>
      </c>
      <c r="AA1299" t="str">
        <f>"11373-1329"</f>
        <v>11373-1329</v>
      </c>
      <c r="AB1299" t="s">
        <v>78</v>
      </c>
      <c r="AC1299" t="s">
        <v>79</v>
      </c>
      <c r="AD1299" t="s">
        <v>75</v>
      </c>
      <c r="AE1299" t="s">
        <v>80</v>
      </c>
      <c r="AG1299" t="s">
        <v>81</v>
      </c>
    </row>
    <row r="1300" spans="1:33" x14ac:dyDescent="0.25">
      <c r="A1300" t="str">
        <f>"1801980073"</f>
        <v>1801980073</v>
      </c>
      <c r="B1300" t="str">
        <f>"01755646"</f>
        <v>01755646</v>
      </c>
      <c r="C1300" t="s">
        <v>11144</v>
      </c>
      <c r="D1300" t="s">
        <v>11145</v>
      </c>
      <c r="E1300" t="s">
        <v>11146</v>
      </c>
      <c r="L1300" t="s">
        <v>102</v>
      </c>
      <c r="M1300" t="s">
        <v>75</v>
      </c>
      <c r="R1300" t="s">
        <v>11147</v>
      </c>
      <c r="W1300" t="s">
        <v>11146</v>
      </c>
      <c r="Y1300" t="s">
        <v>97</v>
      </c>
      <c r="Z1300" t="s">
        <v>77</v>
      </c>
      <c r="AA1300" t="str">
        <f>"10029-6500"</f>
        <v>10029-6500</v>
      </c>
      <c r="AB1300" t="s">
        <v>78</v>
      </c>
      <c r="AC1300" t="s">
        <v>79</v>
      </c>
      <c r="AD1300" t="s">
        <v>75</v>
      </c>
      <c r="AE1300" t="s">
        <v>80</v>
      </c>
      <c r="AG1300" t="s">
        <v>81</v>
      </c>
    </row>
    <row r="1301" spans="1:33" x14ac:dyDescent="0.25">
      <c r="A1301" t="str">
        <f>"1912112731"</f>
        <v>1912112731</v>
      </c>
      <c r="B1301" t="str">
        <f>"03189640"</f>
        <v>03189640</v>
      </c>
      <c r="C1301" t="s">
        <v>11148</v>
      </c>
      <c r="D1301" t="s">
        <v>11149</v>
      </c>
      <c r="E1301" t="s">
        <v>11150</v>
      </c>
      <c r="L1301" t="s">
        <v>74</v>
      </c>
      <c r="M1301" t="s">
        <v>75</v>
      </c>
      <c r="R1301" t="s">
        <v>11151</v>
      </c>
      <c r="W1301" t="s">
        <v>11150</v>
      </c>
      <c r="X1301" t="s">
        <v>329</v>
      </c>
      <c r="Y1301" t="s">
        <v>97</v>
      </c>
      <c r="Z1301" t="s">
        <v>77</v>
      </c>
      <c r="AA1301" t="str">
        <f>"10029-6500"</f>
        <v>10029-6500</v>
      </c>
      <c r="AB1301" t="s">
        <v>78</v>
      </c>
      <c r="AC1301" t="s">
        <v>79</v>
      </c>
      <c r="AD1301" t="s">
        <v>75</v>
      </c>
      <c r="AE1301" t="s">
        <v>80</v>
      </c>
      <c r="AG1301" t="s">
        <v>81</v>
      </c>
    </row>
    <row r="1302" spans="1:33" x14ac:dyDescent="0.25">
      <c r="A1302" t="str">
        <f>"1912157215"</f>
        <v>1912157215</v>
      </c>
      <c r="B1302" t="str">
        <f>"03722410"</f>
        <v>03722410</v>
      </c>
      <c r="C1302" t="s">
        <v>11152</v>
      </c>
      <c r="D1302" t="s">
        <v>11153</v>
      </c>
      <c r="E1302" t="s">
        <v>11154</v>
      </c>
      <c r="L1302" t="s">
        <v>102</v>
      </c>
      <c r="M1302" t="s">
        <v>75</v>
      </c>
      <c r="R1302" t="s">
        <v>11155</v>
      </c>
      <c r="W1302" t="s">
        <v>11154</v>
      </c>
      <c r="X1302" t="s">
        <v>11156</v>
      </c>
      <c r="Y1302" t="s">
        <v>97</v>
      </c>
      <c r="Z1302" t="s">
        <v>77</v>
      </c>
      <c r="AA1302" t="str">
        <f>"10029-6504"</f>
        <v>10029-6504</v>
      </c>
      <c r="AB1302" t="s">
        <v>78</v>
      </c>
      <c r="AC1302" t="s">
        <v>79</v>
      </c>
      <c r="AD1302" t="s">
        <v>75</v>
      </c>
      <c r="AE1302" t="s">
        <v>80</v>
      </c>
      <c r="AG1302" t="s">
        <v>81</v>
      </c>
    </row>
    <row r="1303" spans="1:33" x14ac:dyDescent="0.25">
      <c r="A1303" t="str">
        <f>"1912178021"</f>
        <v>1912178021</v>
      </c>
      <c r="B1303" t="str">
        <f>"03308481"</f>
        <v>03308481</v>
      </c>
      <c r="C1303" t="s">
        <v>11157</v>
      </c>
      <c r="D1303" t="s">
        <v>11158</v>
      </c>
      <c r="E1303" t="s">
        <v>11159</v>
      </c>
      <c r="L1303" t="s">
        <v>83</v>
      </c>
      <c r="M1303" t="s">
        <v>75</v>
      </c>
      <c r="R1303" t="s">
        <v>11160</v>
      </c>
      <c r="W1303" t="s">
        <v>11159</v>
      </c>
      <c r="X1303" t="s">
        <v>329</v>
      </c>
      <c r="Y1303" t="s">
        <v>97</v>
      </c>
      <c r="Z1303" t="s">
        <v>77</v>
      </c>
      <c r="AA1303" t="str">
        <f>"10029-6504"</f>
        <v>10029-6504</v>
      </c>
      <c r="AB1303" t="s">
        <v>78</v>
      </c>
      <c r="AC1303" t="s">
        <v>79</v>
      </c>
      <c r="AD1303" t="s">
        <v>75</v>
      </c>
      <c r="AE1303" t="s">
        <v>80</v>
      </c>
      <c r="AG1303" t="s">
        <v>81</v>
      </c>
    </row>
    <row r="1304" spans="1:33" x14ac:dyDescent="0.25">
      <c r="A1304" t="str">
        <f>"1285917385"</f>
        <v>1285917385</v>
      </c>
      <c r="B1304" t="str">
        <f>"03420220"</f>
        <v>03420220</v>
      </c>
      <c r="C1304" t="s">
        <v>11161</v>
      </c>
      <c r="D1304" t="s">
        <v>11162</v>
      </c>
      <c r="E1304" t="s">
        <v>11163</v>
      </c>
      <c r="G1304" t="s">
        <v>6380</v>
      </c>
      <c r="H1304" t="s">
        <v>4625</v>
      </c>
      <c r="J1304" t="s">
        <v>6381</v>
      </c>
      <c r="L1304" t="s">
        <v>83</v>
      </c>
      <c r="M1304" t="s">
        <v>85</v>
      </c>
      <c r="R1304" t="s">
        <v>11164</v>
      </c>
      <c r="W1304" t="s">
        <v>11163</v>
      </c>
      <c r="X1304" t="s">
        <v>1822</v>
      </c>
      <c r="Y1304" t="s">
        <v>1823</v>
      </c>
      <c r="Z1304" t="s">
        <v>77</v>
      </c>
      <c r="AA1304" t="str">
        <f>"10941-4028"</f>
        <v>10941-4028</v>
      </c>
      <c r="AB1304" t="s">
        <v>78</v>
      </c>
      <c r="AC1304" t="s">
        <v>79</v>
      </c>
      <c r="AD1304" t="s">
        <v>75</v>
      </c>
      <c r="AE1304" t="s">
        <v>80</v>
      </c>
      <c r="AG1304" t="s">
        <v>81</v>
      </c>
    </row>
    <row r="1305" spans="1:33" x14ac:dyDescent="0.25">
      <c r="A1305" t="str">
        <f>"1588680623"</f>
        <v>1588680623</v>
      </c>
      <c r="B1305" t="str">
        <f>"03422593"</f>
        <v>03422593</v>
      </c>
      <c r="C1305" t="s">
        <v>11165</v>
      </c>
      <c r="D1305" t="s">
        <v>11166</v>
      </c>
      <c r="E1305" t="s">
        <v>11167</v>
      </c>
      <c r="G1305" t="s">
        <v>6380</v>
      </c>
      <c r="H1305" t="s">
        <v>4625</v>
      </c>
      <c r="J1305" t="s">
        <v>6381</v>
      </c>
      <c r="L1305" t="s">
        <v>83</v>
      </c>
      <c r="M1305" t="s">
        <v>85</v>
      </c>
      <c r="R1305" t="s">
        <v>11167</v>
      </c>
      <c r="W1305" t="s">
        <v>11167</v>
      </c>
      <c r="X1305" t="s">
        <v>1822</v>
      </c>
      <c r="Y1305" t="s">
        <v>1823</v>
      </c>
      <c r="Z1305" t="s">
        <v>77</v>
      </c>
      <c r="AA1305" t="str">
        <f>"10941-4028"</f>
        <v>10941-4028</v>
      </c>
      <c r="AB1305" t="s">
        <v>78</v>
      </c>
      <c r="AC1305" t="s">
        <v>79</v>
      </c>
      <c r="AD1305" t="s">
        <v>75</v>
      </c>
      <c r="AE1305" t="s">
        <v>80</v>
      </c>
      <c r="AG1305" t="s">
        <v>81</v>
      </c>
    </row>
    <row r="1306" spans="1:33" x14ac:dyDescent="0.25">
      <c r="A1306" t="str">
        <f>"1437369691"</f>
        <v>1437369691</v>
      </c>
      <c r="B1306" t="str">
        <f>"03431394"</f>
        <v>03431394</v>
      </c>
      <c r="C1306" t="s">
        <v>11168</v>
      </c>
      <c r="D1306" t="s">
        <v>11169</v>
      </c>
      <c r="E1306" t="s">
        <v>11170</v>
      </c>
      <c r="G1306" t="s">
        <v>6380</v>
      </c>
      <c r="H1306" t="s">
        <v>4625</v>
      </c>
      <c r="J1306" t="s">
        <v>6381</v>
      </c>
      <c r="L1306" t="s">
        <v>83</v>
      </c>
      <c r="M1306" t="s">
        <v>85</v>
      </c>
      <c r="R1306" t="s">
        <v>11170</v>
      </c>
      <c r="W1306" t="s">
        <v>11171</v>
      </c>
      <c r="X1306" t="s">
        <v>6503</v>
      </c>
      <c r="Y1306" t="s">
        <v>1823</v>
      </c>
      <c r="Z1306" t="s">
        <v>77</v>
      </c>
      <c r="AA1306" t="str">
        <f>"10941-7001"</f>
        <v>10941-7001</v>
      </c>
      <c r="AB1306" t="s">
        <v>78</v>
      </c>
      <c r="AC1306" t="s">
        <v>79</v>
      </c>
      <c r="AD1306" t="s">
        <v>75</v>
      </c>
      <c r="AE1306" t="s">
        <v>80</v>
      </c>
      <c r="AG1306" t="s">
        <v>81</v>
      </c>
    </row>
    <row r="1307" spans="1:33" x14ac:dyDescent="0.25">
      <c r="A1307" t="str">
        <f>"1609855725"</f>
        <v>1609855725</v>
      </c>
      <c r="B1307" t="str">
        <f>"01582594"</f>
        <v>01582594</v>
      </c>
      <c r="C1307" t="s">
        <v>11172</v>
      </c>
      <c r="D1307" t="s">
        <v>3278</v>
      </c>
      <c r="E1307" t="s">
        <v>3279</v>
      </c>
      <c r="G1307" t="s">
        <v>6474</v>
      </c>
      <c r="H1307" t="s">
        <v>252</v>
      </c>
      <c r="J1307" t="s">
        <v>628</v>
      </c>
      <c r="L1307" t="s">
        <v>84</v>
      </c>
      <c r="M1307" t="s">
        <v>85</v>
      </c>
      <c r="R1307" t="s">
        <v>3280</v>
      </c>
      <c r="W1307" t="s">
        <v>3279</v>
      </c>
      <c r="X1307" t="s">
        <v>3281</v>
      </c>
      <c r="Y1307" t="s">
        <v>87</v>
      </c>
      <c r="Z1307" t="s">
        <v>77</v>
      </c>
      <c r="AA1307" t="str">
        <f>"11210-3946"</f>
        <v>11210-3946</v>
      </c>
      <c r="AB1307" t="s">
        <v>78</v>
      </c>
      <c r="AC1307" t="s">
        <v>79</v>
      </c>
      <c r="AD1307" t="s">
        <v>75</v>
      </c>
      <c r="AE1307" t="s">
        <v>80</v>
      </c>
      <c r="AG1307" t="s">
        <v>81</v>
      </c>
    </row>
    <row r="1308" spans="1:33" x14ac:dyDescent="0.25">
      <c r="A1308" t="str">
        <f>"1922075738"</f>
        <v>1922075738</v>
      </c>
      <c r="B1308" t="str">
        <f>"02074091"</f>
        <v>02074091</v>
      </c>
      <c r="C1308" t="s">
        <v>11173</v>
      </c>
      <c r="D1308" t="s">
        <v>11174</v>
      </c>
      <c r="E1308" t="s">
        <v>11175</v>
      </c>
      <c r="L1308" t="s">
        <v>83</v>
      </c>
      <c r="M1308" t="s">
        <v>85</v>
      </c>
      <c r="R1308" t="s">
        <v>11175</v>
      </c>
      <c r="W1308" t="s">
        <v>11175</v>
      </c>
      <c r="X1308" t="s">
        <v>11176</v>
      </c>
      <c r="Y1308" t="s">
        <v>97</v>
      </c>
      <c r="Z1308" t="s">
        <v>77</v>
      </c>
      <c r="AA1308" t="str">
        <f>"10029-6542"</f>
        <v>10029-6542</v>
      </c>
      <c r="AB1308" t="s">
        <v>78</v>
      </c>
      <c r="AC1308" t="s">
        <v>79</v>
      </c>
      <c r="AD1308" t="s">
        <v>75</v>
      </c>
      <c r="AE1308" t="s">
        <v>80</v>
      </c>
      <c r="AG1308" t="s">
        <v>81</v>
      </c>
    </row>
    <row r="1309" spans="1:33" x14ac:dyDescent="0.25">
      <c r="A1309" t="str">
        <f>"1992974125"</f>
        <v>1992974125</v>
      </c>
      <c r="B1309" t="str">
        <f>"02110429"</f>
        <v>02110429</v>
      </c>
      <c r="C1309" t="s">
        <v>11177</v>
      </c>
      <c r="D1309" t="s">
        <v>11178</v>
      </c>
      <c r="E1309" t="s">
        <v>11179</v>
      </c>
      <c r="L1309" t="s">
        <v>102</v>
      </c>
      <c r="M1309" t="s">
        <v>75</v>
      </c>
      <c r="R1309" t="s">
        <v>11180</v>
      </c>
      <c r="W1309" t="s">
        <v>11179</v>
      </c>
      <c r="X1309" t="s">
        <v>11181</v>
      </c>
      <c r="Y1309" t="s">
        <v>97</v>
      </c>
      <c r="Z1309" t="s">
        <v>77</v>
      </c>
      <c r="AA1309" t="str">
        <f>"10029-6504"</f>
        <v>10029-6504</v>
      </c>
      <c r="AB1309" t="s">
        <v>78</v>
      </c>
      <c r="AC1309" t="s">
        <v>79</v>
      </c>
      <c r="AD1309" t="s">
        <v>75</v>
      </c>
      <c r="AE1309" t="s">
        <v>80</v>
      </c>
      <c r="AG1309" t="s">
        <v>81</v>
      </c>
    </row>
    <row r="1310" spans="1:33" x14ac:dyDescent="0.25">
      <c r="A1310" t="str">
        <f>"1992949283"</f>
        <v>1992949283</v>
      </c>
      <c r="B1310" t="str">
        <f>"03753220"</f>
        <v>03753220</v>
      </c>
      <c r="C1310" t="s">
        <v>11182</v>
      </c>
      <c r="D1310" t="s">
        <v>11183</v>
      </c>
      <c r="E1310" t="s">
        <v>11184</v>
      </c>
      <c r="L1310" t="s">
        <v>102</v>
      </c>
      <c r="M1310" t="s">
        <v>75</v>
      </c>
      <c r="R1310" t="s">
        <v>11185</v>
      </c>
      <c r="W1310" t="s">
        <v>11184</v>
      </c>
      <c r="X1310" t="s">
        <v>11186</v>
      </c>
      <c r="Y1310" t="s">
        <v>4468</v>
      </c>
      <c r="Z1310" t="s">
        <v>156</v>
      </c>
      <c r="AA1310" t="str">
        <f>"07646-2501"</f>
        <v>07646-2501</v>
      </c>
      <c r="AB1310" t="s">
        <v>78</v>
      </c>
      <c r="AC1310" t="s">
        <v>79</v>
      </c>
      <c r="AD1310" t="s">
        <v>75</v>
      </c>
      <c r="AE1310" t="s">
        <v>80</v>
      </c>
      <c r="AG1310" t="s">
        <v>81</v>
      </c>
    </row>
    <row r="1311" spans="1:33" x14ac:dyDescent="0.25">
      <c r="A1311" t="str">
        <f>"1831170687"</f>
        <v>1831170687</v>
      </c>
      <c r="C1311" t="s">
        <v>11187</v>
      </c>
      <c r="K1311" t="s">
        <v>99</v>
      </c>
      <c r="L1311" t="s">
        <v>74</v>
      </c>
      <c r="M1311" t="s">
        <v>75</v>
      </c>
      <c r="R1311" t="s">
        <v>11188</v>
      </c>
      <c r="S1311" t="s">
        <v>11189</v>
      </c>
      <c r="T1311" t="s">
        <v>2262</v>
      </c>
      <c r="U1311" t="s">
        <v>123</v>
      </c>
      <c r="V1311" t="str">
        <f>"021142696"</f>
        <v>021142696</v>
      </c>
      <c r="AC1311" t="s">
        <v>79</v>
      </c>
      <c r="AD1311" t="s">
        <v>75</v>
      </c>
      <c r="AE1311" t="s">
        <v>103</v>
      </c>
      <c r="AG1311" t="s">
        <v>81</v>
      </c>
    </row>
    <row r="1312" spans="1:33" x14ac:dyDescent="0.25">
      <c r="A1312" t="str">
        <f>"1881992725"</f>
        <v>1881992725</v>
      </c>
      <c r="C1312" t="s">
        <v>11190</v>
      </c>
      <c r="K1312" t="s">
        <v>99</v>
      </c>
      <c r="L1312" t="s">
        <v>102</v>
      </c>
      <c r="M1312" t="s">
        <v>75</v>
      </c>
      <c r="R1312" t="s">
        <v>11191</v>
      </c>
      <c r="S1312" t="s">
        <v>11192</v>
      </c>
      <c r="T1312" t="s">
        <v>97</v>
      </c>
      <c r="U1312" t="s">
        <v>77</v>
      </c>
      <c r="V1312" t="str">
        <f>"10029"</f>
        <v>10029</v>
      </c>
      <c r="AC1312" t="s">
        <v>79</v>
      </c>
      <c r="AD1312" t="s">
        <v>75</v>
      </c>
      <c r="AE1312" t="s">
        <v>103</v>
      </c>
      <c r="AG1312" t="s">
        <v>81</v>
      </c>
    </row>
    <row r="1313" spans="1:33" x14ac:dyDescent="0.25">
      <c r="A1313" t="str">
        <f>"1992056493"</f>
        <v>1992056493</v>
      </c>
      <c r="C1313" t="s">
        <v>11193</v>
      </c>
      <c r="K1313" t="s">
        <v>99</v>
      </c>
      <c r="L1313" t="s">
        <v>102</v>
      </c>
      <c r="M1313" t="s">
        <v>75</v>
      </c>
      <c r="R1313" t="s">
        <v>11194</v>
      </c>
      <c r="S1313" t="s">
        <v>11195</v>
      </c>
      <c r="T1313" t="s">
        <v>97</v>
      </c>
      <c r="U1313" t="s">
        <v>77</v>
      </c>
      <c r="V1313" t="str">
        <f>"100296030"</f>
        <v>100296030</v>
      </c>
      <c r="AC1313" t="s">
        <v>79</v>
      </c>
      <c r="AD1313" t="s">
        <v>75</v>
      </c>
      <c r="AE1313" t="s">
        <v>103</v>
      </c>
      <c r="AG1313" t="s">
        <v>81</v>
      </c>
    </row>
    <row r="1314" spans="1:33" x14ac:dyDescent="0.25">
      <c r="A1314" t="str">
        <f>"1992080931"</f>
        <v>1992080931</v>
      </c>
      <c r="B1314" t="str">
        <f>"03818893"</f>
        <v>03818893</v>
      </c>
      <c r="C1314" t="s">
        <v>11196</v>
      </c>
      <c r="D1314" t="s">
        <v>11197</v>
      </c>
      <c r="E1314" t="s">
        <v>11198</v>
      </c>
      <c r="L1314" t="s">
        <v>74</v>
      </c>
      <c r="M1314" t="s">
        <v>75</v>
      </c>
      <c r="R1314" t="s">
        <v>11199</v>
      </c>
      <c r="W1314" t="s">
        <v>11198</v>
      </c>
      <c r="X1314" t="s">
        <v>2926</v>
      </c>
      <c r="Y1314" t="s">
        <v>97</v>
      </c>
      <c r="Z1314" t="s">
        <v>77</v>
      </c>
      <c r="AA1314" t="str">
        <f>"10029-6503"</f>
        <v>10029-6503</v>
      </c>
      <c r="AB1314" t="s">
        <v>78</v>
      </c>
      <c r="AC1314" t="s">
        <v>79</v>
      </c>
      <c r="AD1314" t="s">
        <v>75</v>
      </c>
      <c r="AE1314" t="s">
        <v>80</v>
      </c>
      <c r="AG1314" t="s">
        <v>81</v>
      </c>
    </row>
    <row r="1315" spans="1:33" x14ac:dyDescent="0.25">
      <c r="A1315" t="str">
        <f>"1992147441"</f>
        <v>1992147441</v>
      </c>
      <c r="C1315" t="s">
        <v>11200</v>
      </c>
      <c r="K1315" t="s">
        <v>99</v>
      </c>
      <c r="L1315" t="s">
        <v>102</v>
      </c>
      <c r="M1315" t="s">
        <v>75</v>
      </c>
      <c r="R1315" t="s">
        <v>11201</v>
      </c>
      <c r="S1315" t="s">
        <v>11202</v>
      </c>
      <c r="T1315" t="s">
        <v>97</v>
      </c>
      <c r="U1315" t="s">
        <v>77</v>
      </c>
      <c r="V1315" t="str">
        <f>"100296574"</f>
        <v>100296574</v>
      </c>
      <c r="AC1315" t="s">
        <v>79</v>
      </c>
      <c r="AD1315" t="s">
        <v>75</v>
      </c>
      <c r="AE1315" t="s">
        <v>103</v>
      </c>
      <c r="AG1315" t="s">
        <v>81</v>
      </c>
    </row>
    <row r="1316" spans="1:33" x14ac:dyDescent="0.25">
      <c r="A1316" t="str">
        <f>"1902050099"</f>
        <v>1902050099</v>
      </c>
      <c r="B1316" t="str">
        <f>"04396269"</f>
        <v>04396269</v>
      </c>
      <c r="C1316" t="s">
        <v>11203</v>
      </c>
      <c r="D1316" t="s">
        <v>11204</v>
      </c>
      <c r="E1316" t="s">
        <v>11205</v>
      </c>
      <c r="L1316" t="s">
        <v>74</v>
      </c>
      <c r="M1316" t="s">
        <v>75</v>
      </c>
      <c r="R1316" t="s">
        <v>11206</v>
      </c>
      <c r="W1316" t="s">
        <v>11205</v>
      </c>
      <c r="X1316" t="s">
        <v>365</v>
      </c>
      <c r="Y1316" t="s">
        <v>190</v>
      </c>
      <c r="Z1316" t="s">
        <v>77</v>
      </c>
      <c r="AA1316" t="str">
        <f>"11102-2448"</f>
        <v>11102-2448</v>
      </c>
      <c r="AB1316" t="s">
        <v>78</v>
      </c>
      <c r="AC1316" t="s">
        <v>79</v>
      </c>
      <c r="AD1316" t="s">
        <v>75</v>
      </c>
      <c r="AE1316" t="s">
        <v>80</v>
      </c>
      <c r="AG1316" t="s">
        <v>81</v>
      </c>
    </row>
    <row r="1317" spans="1:33" x14ac:dyDescent="0.25">
      <c r="A1317" t="str">
        <f>"1902063738"</f>
        <v>1902063738</v>
      </c>
      <c r="B1317" t="str">
        <f>"03711575"</f>
        <v>03711575</v>
      </c>
      <c r="C1317" t="s">
        <v>11207</v>
      </c>
      <c r="D1317" t="s">
        <v>11208</v>
      </c>
      <c r="E1317" t="s">
        <v>11209</v>
      </c>
      <c r="L1317" t="s">
        <v>74</v>
      </c>
      <c r="M1317" t="s">
        <v>75</v>
      </c>
      <c r="R1317" t="s">
        <v>11210</v>
      </c>
      <c r="W1317" t="s">
        <v>11209</v>
      </c>
      <c r="X1317" t="s">
        <v>329</v>
      </c>
      <c r="Y1317" t="s">
        <v>97</v>
      </c>
      <c r="Z1317" t="s">
        <v>77</v>
      </c>
      <c r="AA1317" t="str">
        <f>"10029-6504"</f>
        <v>10029-6504</v>
      </c>
      <c r="AB1317" t="s">
        <v>78</v>
      </c>
      <c r="AC1317" t="s">
        <v>79</v>
      </c>
      <c r="AD1317" t="s">
        <v>75</v>
      </c>
      <c r="AE1317" t="s">
        <v>80</v>
      </c>
      <c r="AG1317" t="s">
        <v>81</v>
      </c>
    </row>
    <row r="1318" spans="1:33" x14ac:dyDescent="0.25">
      <c r="A1318" t="str">
        <f>"1891960316"</f>
        <v>1891960316</v>
      </c>
      <c r="B1318" t="str">
        <f>"02989471"</f>
        <v>02989471</v>
      </c>
      <c r="C1318" t="s">
        <v>11211</v>
      </c>
      <c r="D1318" t="s">
        <v>11212</v>
      </c>
      <c r="E1318" t="s">
        <v>11213</v>
      </c>
      <c r="L1318" t="s">
        <v>83</v>
      </c>
      <c r="M1318" t="s">
        <v>75</v>
      </c>
      <c r="R1318" t="s">
        <v>11213</v>
      </c>
      <c r="W1318" t="s">
        <v>11213</v>
      </c>
      <c r="X1318" t="s">
        <v>258</v>
      </c>
      <c r="Y1318" t="s">
        <v>131</v>
      </c>
      <c r="Z1318" t="s">
        <v>77</v>
      </c>
      <c r="AA1318" t="str">
        <f>"10467-2401"</f>
        <v>10467-2401</v>
      </c>
      <c r="AB1318" t="s">
        <v>78</v>
      </c>
      <c r="AC1318" t="s">
        <v>79</v>
      </c>
      <c r="AD1318" t="s">
        <v>75</v>
      </c>
      <c r="AE1318" t="s">
        <v>80</v>
      </c>
      <c r="AG1318" t="s">
        <v>81</v>
      </c>
    </row>
    <row r="1319" spans="1:33" x14ac:dyDescent="0.25">
      <c r="A1319" t="str">
        <f>"1801132329"</f>
        <v>1801132329</v>
      </c>
      <c r="B1319" t="str">
        <f>"03791866"</f>
        <v>03791866</v>
      </c>
      <c r="C1319" t="s">
        <v>11214</v>
      </c>
      <c r="D1319" t="s">
        <v>11215</v>
      </c>
      <c r="E1319" t="s">
        <v>11216</v>
      </c>
      <c r="L1319" t="s">
        <v>74</v>
      </c>
      <c r="M1319" t="s">
        <v>75</v>
      </c>
      <c r="R1319" t="s">
        <v>11217</v>
      </c>
      <c r="W1319" t="s">
        <v>11216</v>
      </c>
      <c r="X1319" t="s">
        <v>267</v>
      </c>
      <c r="Y1319" t="s">
        <v>91</v>
      </c>
      <c r="Z1319" t="s">
        <v>77</v>
      </c>
      <c r="AA1319" t="str">
        <f>"11373-1329"</f>
        <v>11373-1329</v>
      </c>
      <c r="AB1319" t="s">
        <v>78</v>
      </c>
      <c r="AC1319" t="s">
        <v>79</v>
      </c>
      <c r="AD1319" t="s">
        <v>75</v>
      </c>
      <c r="AE1319" t="s">
        <v>80</v>
      </c>
      <c r="AG1319" t="s">
        <v>81</v>
      </c>
    </row>
    <row r="1320" spans="1:33" x14ac:dyDescent="0.25">
      <c r="A1320" t="str">
        <f>"1801132642"</f>
        <v>1801132642</v>
      </c>
      <c r="B1320" t="str">
        <f>"03747739"</f>
        <v>03747739</v>
      </c>
      <c r="C1320" t="s">
        <v>11218</v>
      </c>
      <c r="D1320" t="s">
        <v>11219</v>
      </c>
      <c r="E1320" t="s">
        <v>11220</v>
      </c>
      <c r="L1320" t="s">
        <v>74</v>
      </c>
      <c r="M1320" t="s">
        <v>75</v>
      </c>
      <c r="R1320" t="s">
        <v>11220</v>
      </c>
      <c r="W1320" t="s">
        <v>11220</v>
      </c>
      <c r="X1320" t="s">
        <v>329</v>
      </c>
      <c r="Y1320" t="s">
        <v>97</v>
      </c>
      <c r="Z1320" t="s">
        <v>77</v>
      </c>
      <c r="AA1320" t="str">
        <f>"10029-6504"</f>
        <v>10029-6504</v>
      </c>
      <c r="AB1320" t="s">
        <v>78</v>
      </c>
      <c r="AC1320" t="s">
        <v>79</v>
      </c>
      <c r="AD1320" t="s">
        <v>75</v>
      </c>
      <c r="AE1320" t="s">
        <v>80</v>
      </c>
      <c r="AG1320" t="s">
        <v>81</v>
      </c>
    </row>
    <row r="1321" spans="1:33" x14ac:dyDescent="0.25">
      <c r="A1321" t="str">
        <f>"1801178637"</f>
        <v>1801178637</v>
      </c>
      <c r="B1321" t="str">
        <f>"03541751"</f>
        <v>03541751</v>
      </c>
      <c r="C1321" t="s">
        <v>11221</v>
      </c>
      <c r="D1321" t="s">
        <v>11222</v>
      </c>
      <c r="E1321" t="s">
        <v>11223</v>
      </c>
      <c r="L1321" t="s">
        <v>74</v>
      </c>
      <c r="M1321" t="s">
        <v>75</v>
      </c>
      <c r="R1321" t="s">
        <v>11223</v>
      </c>
      <c r="W1321" t="s">
        <v>11223</v>
      </c>
      <c r="X1321" t="s">
        <v>11224</v>
      </c>
      <c r="Y1321" t="s">
        <v>77</v>
      </c>
      <c r="Z1321" t="s">
        <v>77</v>
      </c>
      <c r="AA1321" t="str">
        <f>"10029-6503"</f>
        <v>10029-6503</v>
      </c>
      <c r="AB1321" t="s">
        <v>78</v>
      </c>
      <c r="AC1321" t="s">
        <v>79</v>
      </c>
      <c r="AD1321" t="s">
        <v>75</v>
      </c>
      <c r="AE1321" t="s">
        <v>80</v>
      </c>
      <c r="AG1321" t="s">
        <v>81</v>
      </c>
    </row>
    <row r="1322" spans="1:33" x14ac:dyDescent="0.25">
      <c r="A1322" t="str">
        <f>"1801227822"</f>
        <v>1801227822</v>
      </c>
      <c r="B1322" t="str">
        <f>"03816699"</f>
        <v>03816699</v>
      </c>
      <c r="C1322" t="s">
        <v>11225</v>
      </c>
      <c r="D1322" t="s">
        <v>11226</v>
      </c>
      <c r="E1322" t="s">
        <v>11227</v>
      </c>
      <c r="L1322" t="s">
        <v>74</v>
      </c>
      <c r="M1322" t="s">
        <v>75</v>
      </c>
      <c r="R1322" t="s">
        <v>11228</v>
      </c>
      <c r="W1322" t="s">
        <v>11227</v>
      </c>
      <c r="X1322" t="s">
        <v>329</v>
      </c>
      <c r="Y1322" t="s">
        <v>97</v>
      </c>
      <c r="Z1322" t="s">
        <v>77</v>
      </c>
      <c r="AA1322" t="str">
        <f>"10029-6504"</f>
        <v>10029-6504</v>
      </c>
      <c r="AB1322" t="s">
        <v>78</v>
      </c>
      <c r="AC1322" t="s">
        <v>79</v>
      </c>
      <c r="AD1322" t="s">
        <v>75</v>
      </c>
      <c r="AE1322" t="s">
        <v>80</v>
      </c>
      <c r="AG1322" t="s">
        <v>81</v>
      </c>
    </row>
    <row r="1323" spans="1:33" x14ac:dyDescent="0.25">
      <c r="A1323" t="str">
        <f>"1801806807"</f>
        <v>1801806807</v>
      </c>
      <c r="B1323" t="str">
        <f>"02809429"</f>
        <v>02809429</v>
      </c>
      <c r="C1323" t="s">
        <v>11229</v>
      </c>
      <c r="D1323" t="s">
        <v>6165</v>
      </c>
      <c r="E1323" t="s">
        <v>6166</v>
      </c>
      <c r="L1323" t="s">
        <v>105</v>
      </c>
      <c r="M1323" t="s">
        <v>85</v>
      </c>
      <c r="R1323" t="s">
        <v>6167</v>
      </c>
      <c r="W1323" t="s">
        <v>6166</v>
      </c>
      <c r="X1323" t="s">
        <v>4734</v>
      </c>
      <c r="Y1323" t="s">
        <v>856</v>
      </c>
      <c r="Z1323" t="s">
        <v>77</v>
      </c>
      <c r="AA1323" t="str">
        <f>"10550-2026"</f>
        <v>10550-2026</v>
      </c>
      <c r="AB1323" t="s">
        <v>78</v>
      </c>
      <c r="AC1323" t="s">
        <v>79</v>
      </c>
      <c r="AD1323" t="s">
        <v>75</v>
      </c>
      <c r="AE1323" t="s">
        <v>80</v>
      </c>
      <c r="AG1323" t="s">
        <v>81</v>
      </c>
    </row>
    <row r="1324" spans="1:33" x14ac:dyDescent="0.25">
      <c r="A1324" t="str">
        <f>"1801810478"</f>
        <v>1801810478</v>
      </c>
      <c r="B1324" t="str">
        <f>"02086280"</f>
        <v>02086280</v>
      </c>
      <c r="C1324" t="s">
        <v>11230</v>
      </c>
      <c r="D1324" t="s">
        <v>11231</v>
      </c>
      <c r="E1324" t="s">
        <v>11232</v>
      </c>
      <c r="L1324" t="s">
        <v>83</v>
      </c>
      <c r="M1324" t="s">
        <v>75</v>
      </c>
      <c r="R1324" t="s">
        <v>11233</v>
      </c>
      <c r="W1324" t="s">
        <v>11232</v>
      </c>
      <c r="X1324" t="s">
        <v>11234</v>
      </c>
      <c r="Y1324" t="s">
        <v>97</v>
      </c>
      <c r="Z1324" t="s">
        <v>77</v>
      </c>
      <c r="AA1324" t="str">
        <f>"10029-6501"</f>
        <v>10029-6501</v>
      </c>
      <c r="AB1324" t="s">
        <v>78</v>
      </c>
      <c r="AC1324" t="s">
        <v>79</v>
      </c>
      <c r="AD1324" t="s">
        <v>75</v>
      </c>
      <c r="AE1324" t="s">
        <v>80</v>
      </c>
      <c r="AG1324" t="s">
        <v>81</v>
      </c>
    </row>
    <row r="1325" spans="1:33" x14ac:dyDescent="0.25">
      <c r="A1325" t="str">
        <f>"1992961205"</f>
        <v>1992961205</v>
      </c>
      <c r="B1325" t="str">
        <f>"03722814"</f>
        <v>03722814</v>
      </c>
      <c r="C1325" t="s">
        <v>11235</v>
      </c>
      <c r="D1325" t="s">
        <v>11236</v>
      </c>
      <c r="E1325" t="s">
        <v>11237</v>
      </c>
      <c r="L1325" t="s">
        <v>102</v>
      </c>
      <c r="M1325" t="s">
        <v>75</v>
      </c>
      <c r="R1325" t="s">
        <v>11238</v>
      </c>
      <c r="W1325" t="s">
        <v>11237</v>
      </c>
      <c r="X1325" t="s">
        <v>329</v>
      </c>
      <c r="Y1325" t="s">
        <v>97</v>
      </c>
      <c r="Z1325" t="s">
        <v>77</v>
      </c>
      <c r="AA1325" t="str">
        <f>"10029-6504"</f>
        <v>10029-6504</v>
      </c>
      <c r="AB1325" t="s">
        <v>78</v>
      </c>
      <c r="AC1325" t="s">
        <v>79</v>
      </c>
      <c r="AD1325" t="s">
        <v>75</v>
      </c>
      <c r="AE1325" t="s">
        <v>80</v>
      </c>
      <c r="AG1325" t="s">
        <v>81</v>
      </c>
    </row>
    <row r="1326" spans="1:33" x14ac:dyDescent="0.25">
      <c r="A1326" t="str">
        <f>"1902101967"</f>
        <v>1902101967</v>
      </c>
      <c r="B1326" t="str">
        <f>"03753133"</f>
        <v>03753133</v>
      </c>
      <c r="C1326" t="s">
        <v>11239</v>
      </c>
      <c r="D1326" t="s">
        <v>11240</v>
      </c>
      <c r="E1326" t="s">
        <v>11241</v>
      </c>
      <c r="L1326" t="s">
        <v>102</v>
      </c>
      <c r="M1326" t="s">
        <v>75</v>
      </c>
      <c r="R1326" t="s">
        <v>11242</v>
      </c>
      <c r="W1326" t="s">
        <v>11241</v>
      </c>
      <c r="X1326" t="s">
        <v>11156</v>
      </c>
      <c r="Y1326" t="s">
        <v>97</v>
      </c>
      <c r="Z1326" t="s">
        <v>77</v>
      </c>
      <c r="AA1326" t="str">
        <f>"10029-6504"</f>
        <v>10029-6504</v>
      </c>
      <c r="AB1326" t="s">
        <v>78</v>
      </c>
      <c r="AC1326" t="s">
        <v>79</v>
      </c>
      <c r="AD1326" t="s">
        <v>75</v>
      </c>
      <c r="AE1326" t="s">
        <v>80</v>
      </c>
      <c r="AG1326" t="s">
        <v>81</v>
      </c>
    </row>
    <row r="1327" spans="1:33" x14ac:dyDescent="0.25">
      <c r="A1327" t="str">
        <f>"1902115231"</f>
        <v>1902115231</v>
      </c>
      <c r="C1327" t="s">
        <v>11243</v>
      </c>
      <c r="K1327" t="s">
        <v>99</v>
      </c>
      <c r="L1327" t="s">
        <v>102</v>
      </c>
      <c r="M1327" t="s">
        <v>75</v>
      </c>
      <c r="R1327" t="s">
        <v>11244</v>
      </c>
      <c r="S1327" t="s">
        <v>11245</v>
      </c>
      <c r="T1327" t="s">
        <v>87</v>
      </c>
      <c r="U1327" t="s">
        <v>77</v>
      </c>
      <c r="V1327" t="str">
        <f>"112172107"</f>
        <v>112172107</v>
      </c>
      <c r="AC1327" t="s">
        <v>79</v>
      </c>
      <c r="AD1327" t="s">
        <v>75</v>
      </c>
      <c r="AE1327" t="s">
        <v>103</v>
      </c>
      <c r="AG1327" t="s">
        <v>81</v>
      </c>
    </row>
    <row r="1328" spans="1:33" x14ac:dyDescent="0.25">
      <c r="A1328" t="str">
        <f>"1902117161"</f>
        <v>1902117161</v>
      </c>
      <c r="B1328" t="str">
        <f>"03918976"</f>
        <v>03918976</v>
      </c>
      <c r="C1328" t="s">
        <v>11246</v>
      </c>
      <c r="D1328" t="s">
        <v>11247</v>
      </c>
      <c r="E1328" t="s">
        <v>11248</v>
      </c>
      <c r="L1328" t="s">
        <v>83</v>
      </c>
      <c r="M1328" t="s">
        <v>75</v>
      </c>
      <c r="R1328" t="s">
        <v>11249</v>
      </c>
      <c r="W1328" t="s">
        <v>11248</v>
      </c>
      <c r="X1328" t="s">
        <v>329</v>
      </c>
      <c r="Y1328" t="s">
        <v>97</v>
      </c>
      <c r="Z1328" t="s">
        <v>77</v>
      </c>
      <c r="AA1328" t="str">
        <f>"10029-6504"</f>
        <v>10029-6504</v>
      </c>
      <c r="AB1328" t="s">
        <v>78</v>
      </c>
      <c r="AC1328" t="s">
        <v>79</v>
      </c>
      <c r="AD1328" t="s">
        <v>75</v>
      </c>
      <c r="AE1328" t="s">
        <v>80</v>
      </c>
      <c r="AG1328" t="s">
        <v>81</v>
      </c>
    </row>
    <row r="1329" spans="1:33" x14ac:dyDescent="0.25">
      <c r="A1329" t="str">
        <f>"1821192485"</f>
        <v>1821192485</v>
      </c>
      <c r="B1329" t="str">
        <f>"00950550"</f>
        <v>00950550</v>
      </c>
      <c r="C1329" t="s">
        <v>11250</v>
      </c>
      <c r="D1329" t="s">
        <v>11251</v>
      </c>
      <c r="E1329" t="s">
        <v>11252</v>
      </c>
      <c r="L1329" t="s">
        <v>74</v>
      </c>
      <c r="M1329" t="s">
        <v>75</v>
      </c>
      <c r="R1329" t="s">
        <v>11253</v>
      </c>
      <c r="W1329" t="s">
        <v>11252</v>
      </c>
      <c r="X1329" t="s">
        <v>11254</v>
      </c>
      <c r="Y1329" t="s">
        <v>131</v>
      </c>
      <c r="Z1329" t="s">
        <v>77</v>
      </c>
      <c r="AA1329" t="str">
        <f>"10468-3904"</f>
        <v>10468-3904</v>
      </c>
      <c r="AB1329" t="s">
        <v>78</v>
      </c>
      <c r="AC1329" t="s">
        <v>79</v>
      </c>
      <c r="AD1329" t="s">
        <v>75</v>
      </c>
      <c r="AE1329" t="s">
        <v>80</v>
      </c>
      <c r="AG1329" t="s">
        <v>81</v>
      </c>
    </row>
    <row r="1330" spans="1:33" x14ac:dyDescent="0.25">
      <c r="A1330" t="str">
        <f>"1821197500"</f>
        <v>1821197500</v>
      </c>
      <c r="B1330" t="str">
        <f>"00385406"</f>
        <v>00385406</v>
      </c>
      <c r="C1330" t="s">
        <v>11255</v>
      </c>
      <c r="D1330" t="s">
        <v>11256</v>
      </c>
      <c r="E1330" t="s">
        <v>11257</v>
      </c>
      <c r="L1330" t="s">
        <v>74</v>
      </c>
      <c r="M1330" t="s">
        <v>75</v>
      </c>
      <c r="R1330" t="s">
        <v>11258</v>
      </c>
      <c r="W1330" t="s">
        <v>11257</v>
      </c>
      <c r="X1330" t="s">
        <v>9811</v>
      </c>
      <c r="Y1330" t="s">
        <v>97</v>
      </c>
      <c r="Z1330" t="s">
        <v>77</v>
      </c>
      <c r="AA1330" t="str">
        <f>"10024-6107"</f>
        <v>10024-6107</v>
      </c>
      <c r="AB1330" t="s">
        <v>78</v>
      </c>
      <c r="AC1330" t="s">
        <v>79</v>
      </c>
      <c r="AD1330" t="s">
        <v>75</v>
      </c>
      <c r="AE1330" t="s">
        <v>80</v>
      </c>
      <c r="AG1330" t="s">
        <v>81</v>
      </c>
    </row>
    <row r="1331" spans="1:33" x14ac:dyDescent="0.25">
      <c r="A1331" t="str">
        <f>"1821243221"</f>
        <v>1821243221</v>
      </c>
      <c r="C1331" t="s">
        <v>11259</v>
      </c>
      <c r="K1331" t="s">
        <v>99</v>
      </c>
      <c r="L1331" t="s">
        <v>74</v>
      </c>
      <c r="M1331" t="s">
        <v>75</v>
      </c>
      <c r="R1331" t="s">
        <v>11260</v>
      </c>
      <c r="S1331" t="s">
        <v>11261</v>
      </c>
      <c r="T1331" t="s">
        <v>11262</v>
      </c>
      <c r="U1331" t="s">
        <v>77</v>
      </c>
      <c r="V1331" t="str">
        <f>"110401061"</f>
        <v>110401061</v>
      </c>
      <c r="AC1331" t="s">
        <v>79</v>
      </c>
      <c r="AD1331" t="s">
        <v>75</v>
      </c>
      <c r="AE1331" t="s">
        <v>103</v>
      </c>
      <c r="AG1331" t="s">
        <v>81</v>
      </c>
    </row>
    <row r="1332" spans="1:33" x14ac:dyDescent="0.25">
      <c r="A1332" t="str">
        <f>"1982966933"</f>
        <v>1982966933</v>
      </c>
      <c r="C1332" t="s">
        <v>11263</v>
      </c>
      <c r="K1332" t="s">
        <v>99</v>
      </c>
      <c r="L1332" t="s">
        <v>102</v>
      </c>
      <c r="M1332" t="s">
        <v>75</v>
      </c>
      <c r="R1332" t="s">
        <v>11264</v>
      </c>
      <c r="S1332" t="s">
        <v>329</v>
      </c>
      <c r="T1332" t="s">
        <v>97</v>
      </c>
      <c r="U1332" t="s">
        <v>77</v>
      </c>
      <c r="V1332" t="str">
        <f>"100296500"</f>
        <v>100296500</v>
      </c>
      <c r="AC1332" t="s">
        <v>79</v>
      </c>
      <c r="AD1332" t="s">
        <v>75</v>
      </c>
      <c r="AE1332" t="s">
        <v>103</v>
      </c>
      <c r="AG1332" t="s">
        <v>81</v>
      </c>
    </row>
    <row r="1333" spans="1:33" x14ac:dyDescent="0.25">
      <c r="A1333" t="str">
        <f>"1992824999"</f>
        <v>1992824999</v>
      </c>
      <c r="C1333" t="s">
        <v>11265</v>
      </c>
      <c r="K1333" t="s">
        <v>99</v>
      </c>
      <c r="L1333" t="s">
        <v>74</v>
      </c>
      <c r="M1333" t="s">
        <v>75</v>
      </c>
      <c r="R1333" t="s">
        <v>11266</v>
      </c>
      <c r="S1333" t="s">
        <v>187</v>
      </c>
      <c r="T1333" t="s">
        <v>161</v>
      </c>
      <c r="U1333" t="s">
        <v>77</v>
      </c>
      <c r="V1333" t="str">
        <f>"110401433"</f>
        <v>110401433</v>
      </c>
      <c r="AC1333" t="s">
        <v>79</v>
      </c>
      <c r="AD1333" t="s">
        <v>75</v>
      </c>
      <c r="AE1333" t="s">
        <v>103</v>
      </c>
      <c r="AG1333" t="s">
        <v>81</v>
      </c>
    </row>
    <row r="1334" spans="1:33" x14ac:dyDescent="0.25">
      <c r="A1334" t="str">
        <f>"1992848287"</f>
        <v>1992848287</v>
      </c>
      <c r="B1334" t="str">
        <f>"01636800"</f>
        <v>01636800</v>
      </c>
      <c r="C1334" t="s">
        <v>11267</v>
      </c>
      <c r="D1334" t="s">
        <v>11268</v>
      </c>
      <c r="E1334" t="s">
        <v>11269</v>
      </c>
      <c r="L1334" t="s">
        <v>83</v>
      </c>
      <c r="M1334" t="s">
        <v>75</v>
      </c>
      <c r="R1334" t="s">
        <v>11270</v>
      </c>
      <c r="W1334" t="s">
        <v>11269</v>
      </c>
      <c r="X1334" t="s">
        <v>11271</v>
      </c>
      <c r="Y1334" t="s">
        <v>131</v>
      </c>
      <c r="Z1334" t="s">
        <v>77</v>
      </c>
      <c r="AA1334" t="str">
        <f>"10468-5001"</f>
        <v>10468-5001</v>
      </c>
      <c r="AB1334" t="s">
        <v>78</v>
      </c>
      <c r="AC1334" t="s">
        <v>79</v>
      </c>
      <c r="AD1334" t="s">
        <v>75</v>
      </c>
      <c r="AE1334" t="s">
        <v>80</v>
      </c>
      <c r="AG1334" t="s">
        <v>81</v>
      </c>
    </row>
    <row r="1335" spans="1:33" x14ac:dyDescent="0.25">
      <c r="A1335" t="str">
        <f>"1811138332"</f>
        <v>1811138332</v>
      </c>
      <c r="B1335" t="str">
        <f>"03815767"</f>
        <v>03815767</v>
      </c>
      <c r="C1335" t="s">
        <v>11272</v>
      </c>
      <c r="D1335" t="s">
        <v>11273</v>
      </c>
      <c r="E1335" t="s">
        <v>11274</v>
      </c>
      <c r="L1335" t="s">
        <v>74</v>
      </c>
      <c r="M1335" t="s">
        <v>75</v>
      </c>
      <c r="R1335" t="s">
        <v>11275</v>
      </c>
      <c r="W1335" t="s">
        <v>11274</v>
      </c>
      <c r="X1335" t="s">
        <v>329</v>
      </c>
      <c r="Y1335" t="s">
        <v>97</v>
      </c>
      <c r="Z1335" t="s">
        <v>77</v>
      </c>
      <c r="AA1335" t="str">
        <f>"10029-6504"</f>
        <v>10029-6504</v>
      </c>
      <c r="AB1335" t="s">
        <v>78</v>
      </c>
      <c r="AC1335" t="s">
        <v>79</v>
      </c>
      <c r="AD1335" t="s">
        <v>75</v>
      </c>
      <c r="AE1335" t="s">
        <v>80</v>
      </c>
      <c r="AG1335" t="s">
        <v>81</v>
      </c>
    </row>
    <row r="1336" spans="1:33" x14ac:dyDescent="0.25">
      <c r="A1336" t="str">
        <f>"1811139702"</f>
        <v>1811139702</v>
      </c>
      <c r="B1336" t="str">
        <f>"03913999"</f>
        <v>03913999</v>
      </c>
      <c r="C1336" t="s">
        <v>11276</v>
      </c>
      <c r="D1336" t="s">
        <v>11277</v>
      </c>
      <c r="E1336" t="s">
        <v>11278</v>
      </c>
      <c r="L1336" t="s">
        <v>83</v>
      </c>
      <c r="M1336" t="s">
        <v>75</v>
      </c>
      <c r="R1336" t="s">
        <v>11279</v>
      </c>
      <c r="W1336" t="s">
        <v>2228</v>
      </c>
      <c r="X1336" t="s">
        <v>329</v>
      </c>
      <c r="Y1336" t="s">
        <v>97</v>
      </c>
      <c r="Z1336" t="s">
        <v>77</v>
      </c>
      <c r="AA1336" t="str">
        <f>"10029-6504"</f>
        <v>10029-6504</v>
      </c>
      <c r="AB1336" t="s">
        <v>78</v>
      </c>
      <c r="AC1336" t="s">
        <v>79</v>
      </c>
      <c r="AD1336" t="s">
        <v>75</v>
      </c>
      <c r="AE1336" t="s">
        <v>80</v>
      </c>
      <c r="AG1336" t="s">
        <v>81</v>
      </c>
    </row>
    <row r="1337" spans="1:33" x14ac:dyDescent="0.25">
      <c r="A1337" t="str">
        <f>"1811172596"</f>
        <v>1811172596</v>
      </c>
      <c r="B1337" t="str">
        <f>"04332463"</f>
        <v>04332463</v>
      </c>
      <c r="C1337" t="s">
        <v>11280</v>
      </c>
      <c r="D1337" t="s">
        <v>11281</v>
      </c>
      <c r="E1337" t="s">
        <v>11282</v>
      </c>
      <c r="L1337" t="s">
        <v>105</v>
      </c>
      <c r="M1337" t="s">
        <v>75</v>
      </c>
      <c r="R1337" t="s">
        <v>11283</v>
      </c>
      <c r="W1337" t="s">
        <v>11282</v>
      </c>
      <c r="X1337" t="s">
        <v>329</v>
      </c>
      <c r="Y1337" t="s">
        <v>97</v>
      </c>
      <c r="Z1337" t="s">
        <v>77</v>
      </c>
      <c r="AA1337" t="str">
        <f>"10029-6504"</f>
        <v>10029-6504</v>
      </c>
      <c r="AB1337" t="s">
        <v>78</v>
      </c>
      <c r="AC1337" t="s">
        <v>79</v>
      </c>
      <c r="AD1337" t="s">
        <v>75</v>
      </c>
      <c r="AE1337" t="s">
        <v>80</v>
      </c>
      <c r="AG1337" t="s">
        <v>81</v>
      </c>
    </row>
    <row r="1338" spans="1:33" x14ac:dyDescent="0.25">
      <c r="A1338" t="str">
        <f>"1053496422"</f>
        <v>1053496422</v>
      </c>
      <c r="B1338" t="str">
        <f>"01766494"</f>
        <v>01766494</v>
      </c>
      <c r="C1338" t="s">
        <v>11284</v>
      </c>
      <c r="D1338" t="s">
        <v>11285</v>
      </c>
      <c r="E1338" t="s">
        <v>11286</v>
      </c>
      <c r="G1338" t="s">
        <v>6800</v>
      </c>
      <c r="H1338" t="s">
        <v>6801</v>
      </c>
      <c r="I1338">
        <v>6381</v>
      </c>
      <c r="J1338" t="s">
        <v>6802</v>
      </c>
      <c r="L1338" t="s">
        <v>94</v>
      </c>
      <c r="M1338" t="s">
        <v>75</v>
      </c>
      <c r="R1338" t="s">
        <v>11287</v>
      </c>
      <c r="W1338" t="s">
        <v>11286</v>
      </c>
      <c r="X1338" t="s">
        <v>4458</v>
      </c>
      <c r="Y1338" t="s">
        <v>2688</v>
      </c>
      <c r="Z1338" t="s">
        <v>77</v>
      </c>
      <c r="AA1338" t="str">
        <f>"13760-5026"</f>
        <v>13760-5026</v>
      </c>
      <c r="AB1338" t="s">
        <v>78</v>
      </c>
      <c r="AC1338" t="s">
        <v>79</v>
      </c>
      <c r="AD1338" t="s">
        <v>75</v>
      </c>
      <c r="AE1338" t="s">
        <v>80</v>
      </c>
      <c r="AG1338" t="s">
        <v>81</v>
      </c>
    </row>
    <row r="1339" spans="1:33" x14ac:dyDescent="0.25">
      <c r="A1339" t="str">
        <f>"1861577298"</f>
        <v>1861577298</v>
      </c>
      <c r="B1339" t="str">
        <f>"00708609"</f>
        <v>00708609</v>
      </c>
      <c r="C1339" t="s">
        <v>11288</v>
      </c>
      <c r="D1339" t="s">
        <v>996</v>
      </c>
      <c r="E1339" t="s">
        <v>997</v>
      </c>
      <c r="G1339" t="s">
        <v>6800</v>
      </c>
      <c r="H1339" t="s">
        <v>6801</v>
      </c>
      <c r="I1339">
        <v>6381</v>
      </c>
      <c r="J1339" t="s">
        <v>6802</v>
      </c>
      <c r="L1339" t="s">
        <v>74</v>
      </c>
      <c r="M1339" t="s">
        <v>85</v>
      </c>
      <c r="R1339" t="s">
        <v>998</v>
      </c>
      <c r="W1339" t="s">
        <v>997</v>
      </c>
      <c r="X1339" t="s">
        <v>301</v>
      </c>
      <c r="Y1339" t="s">
        <v>171</v>
      </c>
      <c r="Z1339" t="s">
        <v>77</v>
      </c>
      <c r="AA1339" t="str">
        <f>"11418"</f>
        <v>11418</v>
      </c>
      <c r="AB1339" t="s">
        <v>78</v>
      </c>
      <c r="AC1339" t="s">
        <v>79</v>
      </c>
      <c r="AD1339" t="s">
        <v>75</v>
      </c>
      <c r="AE1339" t="s">
        <v>80</v>
      </c>
      <c r="AG1339" t="s">
        <v>81</v>
      </c>
    </row>
    <row r="1340" spans="1:33" x14ac:dyDescent="0.25">
      <c r="A1340" t="str">
        <f>"1215016431"</f>
        <v>1215016431</v>
      </c>
      <c r="B1340" t="str">
        <f>"00830891"</f>
        <v>00830891</v>
      </c>
      <c r="C1340" t="s">
        <v>11289</v>
      </c>
      <c r="D1340" t="s">
        <v>11290</v>
      </c>
      <c r="E1340" t="s">
        <v>11291</v>
      </c>
      <c r="G1340" t="s">
        <v>6800</v>
      </c>
      <c r="H1340" t="s">
        <v>6801</v>
      </c>
      <c r="I1340">
        <v>6381</v>
      </c>
      <c r="J1340" t="s">
        <v>6802</v>
      </c>
      <c r="L1340" t="s">
        <v>94</v>
      </c>
      <c r="M1340" t="s">
        <v>75</v>
      </c>
      <c r="R1340" t="s">
        <v>11292</v>
      </c>
      <c r="W1340" t="s">
        <v>11293</v>
      </c>
      <c r="X1340" t="s">
        <v>11294</v>
      </c>
      <c r="Y1340" t="s">
        <v>245</v>
      </c>
      <c r="Z1340" t="s">
        <v>77</v>
      </c>
      <c r="AA1340" t="str">
        <f>"11561-2709"</f>
        <v>11561-2709</v>
      </c>
      <c r="AB1340" t="s">
        <v>78</v>
      </c>
      <c r="AC1340" t="s">
        <v>79</v>
      </c>
      <c r="AD1340" t="s">
        <v>75</v>
      </c>
      <c r="AE1340" t="s">
        <v>80</v>
      </c>
      <c r="AG1340" t="s">
        <v>81</v>
      </c>
    </row>
    <row r="1341" spans="1:33" x14ac:dyDescent="0.25">
      <c r="A1341" t="str">
        <f>"1720213606"</f>
        <v>1720213606</v>
      </c>
      <c r="B1341" t="str">
        <f>"03393946"</f>
        <v>03393946</v>
      </c>
      <c r="C1341" t="s">
        <v>11295</v>
      </c>
      <c r="D1341" t="s">
        <v>11296</v>
      </c>
      <c r="E1341" t="s">
        <v>11297</v>
      </c>
      <c r="G1341" t="s">
        <v>8248</v>
      </c>
      <c r="H1341" t="s">
        <v>8249</v>
      </c>
      <c r="I1341">
        <v>2626</v>
      </c>
      <c r="J1341" t="s">
        <v>8250</v>
      </c>
      <c r="L1341" t="s">
        <v>83</v>
      </c>
      <c r="M1341" t="s">
        <v>75</v>
      </c>
      <c r="R1341" t="s">
        <v>11297</v>
      </c>
      <c r="W1341" t="s">
        <v>11298</v>
      </c>
      <c r="X1341" t="s">
        <v>10281</v>
      </c>
      <c r="Y1341" t="s">
        <v>155</v>
      </c>
      <c r="Z1341" t="s">
        <v>77</v>
      </c>
      <c r="AA1341" t="str">
        <f>"10314-6623"</f>
        <v>10314-6623</v>
      </c>
      <c r="AB1341" t="s">
        <v>78</v>
      </c>
      <c r="AC1341" t="s">
        <v>79</v>
      </c>
      <c r="AD1341" t="s">
        <v>75</v>
      </c>
      <c r="AE1341" t="s">
        <v>80</v>
      </c>
      <c r="AG1341" t="s">
        <v>81</v>
      </c>
    </row>
    <row r="1342" spans="1:33" x14ac:dyDescent="0.25">
      <c r="A1342" t="str">
        <f>"1871814277"</f>
        <v>1871814277</v>
      </c>
      <c r="B1342" t="str">
        <f>"03823567"</f>
        <v>03823567</v>
      </c>
      <c r="C1342" t="s">
        <v>11299</v>
      </c>
      <c r="D1342" t="s">
        <v>11300</v>
      </c>
      <c r="E1342" t="s">
        <v>11301</v>
      </c>
      <c r="G1342" t="s">
        <v>8248</v>
      </c>
      <c r="H1342" t="s">
        <v>8249</v>
      </c>
      <c r="I1342">
        <v>2626</v>
      </c>
      <c r="J1342" t="s">
        <v>8250</v>
      </c>
      <c r="L1342" t="s">
        <v>94</v>
      </c>
      <c r="M1342" t="s">
        <v>75</v>
      </c>
      <c r="R1342" t="s">
        <v>11302</v>
      </c>
      <c r="W1342" t="s">
        <v>11301</v>
      </c>
      <c r="X1342" t="s">
        <v>10281</v>
      </c>
      <c r="Y1342" t="s">
        <v>155</v>
      </c>
      <c r="Z1342" t="s">
        <v>77</v>
      </c>
      <c r="AA1342" t="str">
        <f>"10314-6623"</f>
        <v>10314-6623</v>
      </c>
      <c r="AB1342" t="s">
        <v>78</v>
      </c>
      <c r="AC1342" t="s">
        <v>79</v>
      </c>
      <c r="AD1342" t="s">
        <v>75</v>
      </c>
      <c r="AE1342" t="s">
        <v>80</v>
      </c>
      <c r="AG1342" t="s">
        <v>81</v>
      </c>
    </row>
    <row r="1343" spans="1:33" x14ac:dyDescent="0.25">
      <c r="A1343" t="str">
        <f>"1780912956"</f>
        <v>1780912956</v>
      </c>
      <c r="B1343" t="str">
        <f>"03184961"</f>
        <v>03184961</v>
      </c>
      <c r="C1343" t="s">
        <v>11303</v>
      </c>
      <c r="D1343" t="s">
        <v>1418</v>
      </c>
      <c r="E1343" t="s">
        <v>1417</v>
      </c>
      <c r="G1343" t="s">
        <v>8714</v>
      </c>
      <c r="H1343" t="s">
        <v>278</v>
      </c>
      <c r="I1343">
        <v>3132</v>
      </c>
      <c r="J1343" t="s">
        <v>8715</v>
      </c>
      <c r="L1343" t="s">
        <v>74</v>
      </c>
      <c r="M1343" t="s">
        <v>85</v>
      </c>
      <c r="R1343" t="s">
        <v>1417</v>
      </c>
      <c r="W1343" t="s">
        <v>1417</v>
      </c>
      <c r="X1343" t="s">
        <v>1419</v>
      </c>
      <c r="Y1343" t="s">
        <v>87</v>
      </c>
      <c r="Z1343" t="s">
        <v>77</v>
      </c>
      <c r="AA1343" t="str">
        <f>"11204-4903"</f>
        <v>11204-4903</v>
      </c>
      <c r="AB1343" t="s">
        <v>78</v>
      </c>
      <c r="AC1343" t="s">
        <v>79</v>
      </c>
      <c r="AD1343" t="s">
        <v>75</v>
      </c>
      <c r="AE1343" t="s">
        <v>80</v>
      </c>
      <c r="AG1343" t="s">
        <v>81</v>
      </c>
    </row>
    <row r="1344" spans="1:33" x14ac:dyDescent="0.25">
      <c r="A1344" t="str">
        <f>"1629223995"</f>
        <v>1629223995</v>
      </c>
      <c r="B1344" t="str">
        <f>"03099227"</f>
        <v>03099227</v>
      </c>
      <c r="C1344" t="s">
        <v>11304</v>
      </c>
      <c r="D1344" t="s">
        <v>11305</v>
      </c>
      <c r="E1344" t="s">
        <v>11306</v>
      </c>
      <c r="L1344" t="s">
        <v>84</v>
      </c>
      <c r="M1344" t="s">
        <v>85</v>
      </c>
      <c r="R1344" t="s">
        <v>11306</v>
      </c>
      <c r="W1344" t="s">
        <v>11307</v>
      </c>
      <c r="X1344" t="s">
        <v>11308</v>
      </c>
      <c r="Y1344" t="s">
        <v>131</v>
      </c>
      <c r="Z1344" t="s">
        <v>77</v>
      </c>
      <c r="AA1344" t="str">
        <f>"10453-5436"</f>
        <v>10453-5436</v>
      </c>
      <c r="AB1344" t="s">
        <v>78</v>
      </c>
      <c r="AC1344" t="s">
        <v>79</v>
      </c>
      <c r="AD1344" t="s">
        <v>75</v>
      </c>
      <c r="AE1344" t="s">
        <v>80</v>
      </c>
      <c r="AG1344" t="s">
        <v>81</v>
      </c>
    </row>
    <row r="1345" spans="1:33" x14ac:dyDescent="0.25">
      <c r="A1345" t="str">
        <f>"1609089457"</f>
        <v>1609089457</v>
      </c>
      <c r="B1345" t="str">
        <f>"02981551"</f>
        <v>02981551</v>
      </c>
      <c r="C1345" t="s">
        <v>11309</v>
      </c>
      <c r="D1345" t="s">
        <v>11310</v>
      </c>
      <c r="E1345" t="s">
        <v>11311</v>
      </c>
      <c r="G1345" t="s">
        <v>6380</v>
      </c>
      <c r="H1345" t="s">
        <v>4625</v>
      </c>
      <c r="J1345" t="s">
        <v>6381</v>
      </c>
      <c r="L1345" t="s">
        <v>84</v>
      </c>
      <c r="M1345" t="s">
        <v>85</v>
      </c>
      <c r="R1345" t="s">
        <v>11312</v>
      </c>
      <c r="W1345" t="s">
        <v>11311</v>
      </c>
      <c r="X1345" t="s">
        <v>1822</v>
      </c>
      <c r="Y1345" t="s">
        <v>1823</v>
      </c>
      <c r="Z1345" t="s">
        <v>77</v>
      </c>
      <c r="AA1345" t="str">
        <f>"10941-4028"</f>
        <v>10941-4028</v>
      </c>
      <c r="AB1345" t="s">
        <v>78</v>
      </c>
      <c r="AC1345" t="s">
        <v>79</v>
      </c>
      <c r="AD1345" t="s">
        <v>75</v>
      </c>
      <c r="AE1345" t="s">
        <v>80</v>
      </c>
      <c r="AG1345" t="s">
        <v>81</v>
      </c>
    </row>
    <row r="1346" spans="1:33" x14ac:dyDescent="0.25">
      <c r="A1346" t="str">
        <f>"1881017259"</f>
        <v>1881017259</v>
      </c>
      <c r="C1346" t="s">
        <v>11313</v>
      </c>
      <c r="K1346" t="s">
        <v>99</v>
      </c>
      <c r="L1346" t="s">
        <v>102</v>
      </c>
      <c r="M1346" t="s">
        <v>75</v>
      </c>
      <c r="R1346" t="s">
        <v>11314</v>
      </c>
      <c r="S1346" t="s">
        <v>575</v>
      </c>
      <c r="T1346" t="s">
        <v>129</v>
      </c>
      <c r="U1346" t="s">
        <v>77</v>
      </c>
      <c r="V1346" t="str">
        <f>"113727011"</f>
        <v>113727011</v>
      </c>
      <c r="AC1346" t="s">
        <v>79</v>
      </c>
      <c r="AD1346" t="s">
        <v>75</v>
      </c>
      <c r="AE1346" t="s">
        <v>103</v>
      </c>
      <c r="AG1346" t="s">
        <v>81</v>
      </c>
    </row>
    <row r="1347" spans="1:33" x14ac:dyDescent="0.25">
      <c r="A1347" t="str">
        <f>"1881038396"</f>
        <v>1881038396</v>
      </c>
      <c r="B1347" t="str">
        <f>"04425476"</f>
        <v>04425476</v>
      </c>
      <c r="C1347" t="s">
        <v>11315</v>
      </c>
      <c r="D1347" t="s">
        <v>11316</v>
      </c>
      <c r="E1347" t="s">
        <v>11317</v>
      </c>
      <c r="L1347" t="s">
        <v>102</v>
      </c>
      <c r="M1347" t="s">
        <v>75</v>
      </c>
      <c r="R1347" t="s">
        <v>11317</v>
      </c>
      <c r="W1347" t="s">
        <v>11317</v>
      </c>
      <c r="X1347" t="s">
        <v>11318</v>
      </c>
      <c r="Y1347" t="s">
        <v>4508</v>
      </c>
      <c r="Z1347" t="s">
        <v>77</v>
      </c>
      <c r="AA1347" t="str">
        <f>"10708-3403"</f>
        <v>10708-3403</v>
      </c>
      <c r="AB1347" t="s">
        <v>78</v>
      </c>
      <c r="AC1347" t="s">
        <v>79</v>
      </c>
      <c r="AD1347" t="s">
        <v>75</v>
      </c>
      <c r="AE1347" t="s">
        <v>80</v>
      </c>
      <c r="AG1347" t="s">
        <v>81</v>
      </c>
    </row>
    <row r="1348" spans="1:33" x14ac:dyDescent="0.25">
      <c r="A1348" t="str">
        <f>"1801823463"</f>
        <v>1801823463</v>
      </c>
      <c r="B1348" t="str">
        <f>"02234119"</f>
        <v>02234119</v>
      </c>
      <c r="C1348" t="s">
        <v>11319</v>
      </c>
      <c r="D1348" t="s">
        <v>11320</v>
      </c>
      <c r="E1348" t="s">
        <v>11321</v>
      </c>
      <c r="L1348" t="s">
        <v>74</v>
      </c>
      <c r="M1348" t="s">
        <v>75</v>
      </c>
      <c r="R1348" t="s">
        <v>11322</v>
      </c>
      <c r="W1348" t="s">
        <v>11321</v>
      </c>
      <c r="X1348" t="s">
        <v>176</v>
      </c>
      <c r="Y1348" t="s">
        <v>171</v>
      </c>
      <c r="Z1348" t="s">
        <v>77</v>
      </c>
      <c r="AA1348" t="str">
        <f>"11432-1121"</f>
        <v>11432-1121</v>
      </c>
      <c r="AB1348" t="s">
        <v>78</v>
      </c>
      <c r="AC1348" t="s">
        <v>79</v>
      </c>
      <c r="AD1348" t="s">
        <v>75</v>
      </c>
      <c r="AE1348" t="s">
        <v>80</v>
      </c>
      <c r="AG1348" t="s">
        <v>81</v>
      </c>
    </row>
    <row r="1349" spans="1:33" x14ac:dyDescent="0.25">
      <c r="A1349" t="str">
        <f>"1801855663"</f>
        <v>1801855663</v>
      </c>
      <c r="B1349" t="str">
        <f>"01887925"</f>
        <v>01887925</v>
      </c>
      <c r="C1349" t="s">
        <v>11323</v>
      </c>
      <c r="D1349" t="s">
        <v>11324</v>
      </c>
      <c r="E1349" t="s">
        <v>11325</v>
      </c>
      <c r="L1349" t="s">
        <v>83</v>
      </c>
      <c r="M1349" t="s">
        <v>75</v>
      </c>
      <c r="R1349" t="s">
        <v>11326</v>
      </c>
      <c r="W1349" t="s">
        <v>11325</v>
      </c>
      <c r="X1349" t="s">
        <v>5520</v>
      </c>
      <c r="Y1349" t="s">
        <v>2128</v>
      </c>
      <c r="Z1349" t="s">
        <v>77</v>
      </c>
      <c r="AA1349" t="str">
        <f>"11743-2787"</f>
        <v>11743-2787</v>
      </c>
      <c r="AB1349" t="s">
        <v>78</v>
      </c>
      <c r="AC1349" t="s">
        <v>79</v>
      </c>
      <c r="AD1349" t="s">
        <v>75</v>
      </c>
      <c r="AE1349" t="s">
        <v>80</v>
      </c>
      <c r="AG1349" t="s">
        <v>81</v>
      </c>
    </row>
    <row r="1350" spans="1:33" x14ac:dyDescent="0.25">
      <c r="A1350" t="str">
        <f>"1831225861"</f>
        <v>1831225861</v>
      </c>
      <c r="C1350" t="s">
        <v>11327</v>
      </c>
      <c r="K1350" t="s">
        <v>99</v>
      </c>
      <c r="L1350" t="s">
        <v>102</v>
      </c>
      <c r="M1350" t="s">
        <v>75</v>
      </c>
      <c r="R1350" t="s">
        <v>11328</v>
      </c>
      <c r="S1350" t="s">
        <v>329</v>
      </c>
      <c r="T1350" t="s">
        <v>97</v>
      </c>
      <c r="U1350" t="s">
        <v>77</v>
      </c>
      <c r="V1350" t="str">
        <f>"100296500"</f>
        <v>100296500</v>
      </c>
      <c r="AC1350" t="s">
        <v>79</v>
      </c>
      <c r="AD1350" t="s">
        <v>75</v>
      </c>
      <c r="AE1350" t="s">
        <v>103</v>
      </c>
      <c r="AG1350" t="s">
        <v>81</v>
      </c>
    </row>
    <row r="1351" spans="1:33" x14ac:dyDescent="0.25">
      <c r="A1351" t="str">
        <f>"1831249234"</f>
        <v>1831249234</v>
      </c>
      <c r="B1351" t="str">
        <f>"03036871"</f>
        <v>03036871</v>
      </c>
      <c r="C1351" t="s">
        <v>11329</v>
      </c>
      <c r="D1351" t="s">
        <v>11330</v>
      </c>
      <c r="E1351" t="s">
        <v>11331</v>
      </c>
      <c r="L1351" t="s">
        <v>84</v>
      </c>
      <c r="M1351" t="s">
        <v>75</v>
      </c>
      <c r="R1351" t="s">
        <v>11332</v>
      </c>
      <c r="W1351" t="s">
        <v>11331</v>
      </c>
      <c r="X1351" t="s">
        <v>6014</v>
      </c>
      <c r="Y1351" t="s">
        <v>180</v>
      </c>
      <c r="Z1351" t="s">
        <v>77</v>
      </c>
      <c r="AA1351" t="str">
        <f>"10701-1303"</f>
        <v>10701-1303</v>
      </c>
      <c r="AB1351" t="s">
        <v>78</v>
      </c>
      <c r="AC1351" t="s">
        <v>79</v>
      </c>
      <c r="AD1351" t="s">
        <v>75</v>
      </c>
      <c r="AE1351" t="s">
        <v>80</v>
      </c>
      <c r="AG1351" t="s">
        <v>81</v>
      </c>
    </row>
    <row r="1352" spans="1:33" x14ac:dyDescent="0.25">
      <c r="A1352" t="str">
        <f>"1831259480"</f>
        <v>1831259480</v>
      </c>
      <c r="C1352" t="s">
        <v>11333</v>
      </c>
      <c r="K1352" t="s">
        <v>99</v>
      </c>
      <c r="L1352" t="s">
        <v>102</v>
      </c>
      <c r="M1352" t="s">
        <v>75</v>
      </c>
      <c r="R1352" t="s">
        <v>11334</v>
      </c>
      <c r="S1352" t="s">
        <v>11335</v>
      </c>
      <c r="T1352" t="s">
        <v>97</v>
      </c>
      <c r="U1352" t="s">
        <v>77</v>
      </c>
      <c r="V1352" t="str">
        <f>"100365902"</f>
        <v>100365902</v>
      </c>
      <c r="AC1352" t="s">
        <v>79</v>
      </c>
      <c r="AD1352" t="s">
        <v>75</v>
      </c>
      <c r="AE1352" t="s">
        <v>103</v>
      </c>
      <c r="AG1352" t="s">
        <v>81</v>
      </c>
    </row>
    <row r="1353" spans="1:33" x14ac:dyDescent="0.25">
      <c r="A1353" t="str">
        <f>"1831275049"</f>
        <v>1831275049</v>
      </c>
      <c r="B1353" t="str">
        <f>"02157642"</f>
        <v>02157642</v>
      </c>
      <c r="C1353" t="s">
        <v>11336</v>
      </c>
      <c r="D1353" t="s">
        <v>11337</v>
      </c>
      <c r="E1353" t="s">
        <v>11338</v>
      </c>
      <c r="L1353" t="s">
        <v>105</v>
      </c>
      <c r="M1353" t="s">
        <v>75</v>
      </c>
      <c r="R1353" t="s">
        <v>11339</v>
      </c>
      <c r="W1353" t="s">
        <v>11338</v>
      </c>
      <c r="X1353" t="s">
        <v>329</v>
      </c>
      <c r="Y1353" t="s">
        <v>97</v>
      </c>
      <c r="Z1353" t="s">
        <v>77</v>
      </c>
      <c r="AA1353" t="str">
        <f>"10029-6500"</f>
        <v>10029-6500</v>
      </c>
      <c r="AB1353" t="s">
        <v>78</v>
      </c>
      <c r="AC1353" t="s">
        <v>79</v>
      </c>
      <c r="AD1353" t="s">
        <v>75</v>
      </c>
      <c r="AE1353" t="s">
        <v>80</v>
      </c>
      <c r="AG1353" t="s">
        <v>81</v>
      </c>
    </row>
    <row r="1354" spans="1:33" x14ac:dyDescent="0.25">
      <c r="A1354" t="str">
        <f>"1831285667"</f>
        <v>1831285667</v>
      </c>
      <c r="B1354" t="str">
        <f>"00233147"</f>
        <v>00233147</v>
      </c>
      <c r="C1354" t="s">
        <v>11340</v>
      </c>
      <c r="D1354" t="s">
        <v>11341</v>
      </c>
      <c r="E1354" t="s">
        <v>11342</v>
      </c>
      <c r="L1354" t="s">
        <v>102</v>
      </c>
      <c r="M1354" t="s">
        <v>75</v>
      </c>
      <c r="R1354" t="s">
        <v>11343</v>
      </c>
      <c r="W1354" t="s">
        <v>11342</v>
      </c>
      <c r="X1354" t="s">
        <v>1328</v>
      </c>
      <c r="Y1354" t="s">
        <v>227</v>
      </c>
      <c r="Z1354" t="s">
        <v>77</v>
      </c>
      <c r="AA1354" t="str">
        <f>"10605-1504"</f>
        <v>10605-1504</v>
      </c>
      <c r="AB1354" t="s">
        <v>78</v>
      </c>
      <c r="AC1354" t="s">
        <v>79</v>
      </c>
      <c r="AD1354" t="s">
        <v>75</v>
      </c>
      <c r="AE1354" t="s">
        <v>80</v>
      </c>
      <c r="AG1354" t="s">
        <v>81</v>
      </c>
    </row>
    <row r="1355" spans="1:33" x14ac:dyDescent="0.25">
      <c r="A1355" t="str">
        <f>"1992816813"</f>
        <v>1992816813</v>
      </c>
      <c r="B1355" t="str">
        <f>"03938121"</f>
        <v>03938121</v>
      </c>
      <c r="C1355" t="s">
        <v>11344</v>
      </c>
      <c r="D1355" t="s">
        <v>11345</v>
      </c>
      <c r="E1355" t="s">
        <v>11346</v>
      </c>
      <c r="L1355" t="s">
        <v>74</v>
      </c>
      <c r="M1355" t="s">
        <v>75</v>
      </c>
      <c r="R1355" t="s">
        <v>11347</v>
      </c>
      <c r="W1355" t="s">
        <v>11348</v>
      </c>
      <c r="X1355" t="s">
        <v>2926</v>
      </c>
      <c r="Y1355" t="s">
        <v>97</v>
      </c>
      <c r="Z1355" t="s">
        <v>77</v>
      </c>
      <c r="AA1355" t="str">
        <f>"10029-6503"</f>
        <v>10029-6503</v>
      </c>
      <c r="AB1355" t="s">
        <v>78</v>
      </c>
      <c r="AC1355" t="s">
        <v>79</v>
      </c>
      <c r="AD1355" t="s">
        <v>75</v>
      </c>
      <c r="AE1355" t="s">
        <v>80</v>
      </c>
      <c r="AG1355" t="s">
        <v>81</v>
      </c>
    </row>
    <row r="1356" spans="1:33" x14ac:dyDescent="0.25">
      <c r="A1356" t="str">
        <f>"1891081220"</f>
        <v>1891081220</v>
      </c>
      <c r="C1356" t="s">
        <v>11349</v>
      </c>
      <c r="K1356" t="s">
        <v>99</v>
      </c>
      <c r="L1356" t="s">
        <v>102</v>
      </c>
      <c r="M1356" t="s">
        <v>75</v>
      </c>
      <c r="R1356" t="s">
        <v>11350</v>
      </c>
      <c r="S1356" t="s">
        <v>329</v>
      </c>
      <c r="T1356" t="s">
        <v>97</v>
      </c>
      <c r="U1356" t="s">
        <v>77</v>
      </c>
      <c r="V1356" t="str">
        <f>"100296500"</f>
        <v>100296500</v>
      </c>
      <c r="AC1356" t="s">
        <v>79</v>
      </c>
      <c r="AD1356" t="s">
        <v>75</v>
      </c>
      <c r="AE1356" t="s">
        <v>103</v>
      </c>
      <c r="AG1356" t="s">
        <v>81</v>
      </c>
    </row>
    <row r="1357" spans="1:33" x14ac:dyDescent="0.25">
      <c r="A1357" t="str">
        <f>"1790985240"</f>
        <v>1790985240</v>
      </c>
      <c r="B1357" t="str">
        <f>"01648475"</f>
        <v>01648475</v>
      </c>
      <c r="C1357" t="s">
        <v>11351</v>
      </c>
      <c r="D1357" t="s">
        <v>11352</v>
      </c>
      <c r="E1357" t="s">
        <v>11353</v>
      </c>
      <c r="L1357" t="s">
        <v>74</v>
      </c>
      <c r="M1357" t="s">
        <v>75</v>
      </c>
      <c r="R1357" t="s">
        <v>11354</v>
      </c>
      <c r="W1357" t="s">
        <v>11353</v>
      </c>
      <c r="Y1357" t="s">
        <v>97</v>
      </c>
      <c r="Z1357" t="s">
        <v>77</v>
      </c>
      <c r="AA1357" t="str">
        <f>"10029-6500"</f>
        <v>10029-6500</v>
      </c>
      <c r="AB1357" t="s">
        <v>78</v>
      </c>
      <c r="AC1357" t="s">
        <v>79</v>
      </c>
      <c r="AD1357" t="s">
        <v>75</v>
      </c>
      <c r="AE1357" t="s">
        <v>80</v>
      </c>
      <c r="AG1357" t="s">
        <v>81</v>
      </c>
    </row>
    <row r="1358" spans="1:33" x14ac:dyDescent="0.25">
      <c r="A1358" t="str">
        <f>"1811179138"</f>
        <v>1811179138</v>
      </c>
      <c r="B1358" t="str">
        <f>"03730398"</f>
        <v>03730398</v>
      </c>
      <c r="C1358" t="s">
        <v>11355</v>
      </c>
      <c r="D1358" t="s">
        <v>11356</v>
      </c>
      <c r="E1358" t="s">
        <v>11357</v>
      </c>
      <c r="L1358" t="s">
        <v>74</v>
      </c>
      <c r="M1358" t="s">
        <v>75</v>
      </c>
      <c r="R1358" t="s">
        <v>11358</v>
      </c>
      <c r="W1358" t="s">
        <v>11357</v>
      </c>
      <c r="X1358" t="s">
        <v>10363</v>
      </c>
      <c r="Y1358" t="s">
        <v>97</v>
      </c>
      <c r="Z1358" t="s">
        <v>77</v>
      </c>
      <c r="AA1358" t="str">
        <f>"10029-6508"</f>
        <v>10029-6508</v>
      </c>
      <c r="AB1358" t="s">
        <v>78</v>
      </c>
      <c r="AC1358" t="s">
        <v>79</v>
      </c>
      <c r="AD1358" t="s">
        <v>75</v>
      </c>
      <c r="AE1358" t="s">
        <v>80</v>
      </c>
      <c r="AG1358" t="s">
        <v>81</v>
      </c>
    </row>
    <row r="1359" spans="1:33" x14ac:dyDescent="0.25">
      <c r="A1359" t="str">
        <f>"1942593173"</f>
        <v>1942593173</v>
      </c>
      <c r="B1359" t="str">
        <f>"03820959"</f>
        <v>03820959</v>
      </c>
      <c r="C1359" t="s">
        <v>11359</v>
      </c>
      <c r="D1359" t="s">
        <v>11360</v>
      </c>
      <c r="E1359" t="s">
        <v>11361</v>
      </c>
      <c r="G1359" t="s">
        <v>9688</v>
      </c>
      <c r="H1359" t="s">
        <v>9689</v>
      </c>
      <c r="J1359" t="s">
        <v>9690</v>
      </c>
      <c r="L1359" t="s">
        <v>74</v>
      </c>
      <c r="M1359" t="s">
        <v>75</v>
      </c>
      <c r="R1359" t="s">
        <v>11362</v>
      </c>
      <c r="W1359" t="s">
        <v>11361</v>
      </c>
      <c r="X1359" t="s">
        <v>9696</v>
      </c>
      <c r="Y1359" t="s">
        <v>97</v>
      </c>
      <c r="Z1359" t="s">
        <v>77</v>
      </c>
      <c r="AA1359" t="str">
        <f>"10035-3018"</f>
        <v>10035-3018</v>
      </c>
      <c r="AB1359" t="s">
        <v>78</v>
      </c>
      <c r="AC1359" t="s">
        <v>79</v>
      </c>
      <c r="AD1359" t="s">
        <v>75</v>
      </c>
      <c r="AE1359" t="s">
        <v>80</v>
      </c>
      <c r="AG1359" t="s">
        <v>81</v>
      </c>
    </row>
    <row r="1360" spans="1:33" x14ac:dyDescent="0.25">
      <c r="A1360" t="str">
        <f>"1891802351"</f>
        <v>1891802351</v>
      </c>
      <c r="B1360" t="str">
        <f>"01919108"</f>
        <v>01919108</v>
      </c>
      <c r="C1360" t="s">
        <v>11363</v>
      </c>
      <c r="D1360" t="s">
        <v>11364</v>
      </c>
      <c r="E1360" t="s">
        <v>11365</v>
      </c>
      <c r="L1360" t="s">
        <v>84</v>
      </c>
      <c r="M1360" t="s">
        <v>75</v>
      </c>
      <c r="R1360" t="s">
        <v>11366</v>
      </c>
      <c r="W1360" t="s">
        <v>11365</v>
      </c>
      <c r="X1360" t="s">
        <v>11367</v>
      </c>
      <c r="Y1360" t="s">
        <v>87</v>
      </c>
      <c r="Z1360" t="s">
        <v>77</v>
      </c>
      <c r="AA1360" t="str">
        <f>"11201-5493"</f>
        <v>11201-5493</v>
      </c>
      <c r="AB1360" t="s">
        <v>78</v>
      </c>
      <c r="AC1360" t="s">
        <v>79</v>
      </c>
      <c r="AD1360" t="s">
        <v>75</v>
      </c>
      <c r="AE1360" t="s">
        <v>80</v>
      </c>
      <c r="AG1360" t="s">
        <v>81</v>
      </c>
    </row>
    <row r="1361" spans="1:33" x14ac:dyDescent="0.25">
      <c r="A1361" t="str">
        <f>"1891853651"</f>
        <v>1891853651</v>
      </c>
      <c r="B1361" t="str">
        <f>"02778114"</f>
        <v>02778114</v>
      </c>
      <c r="C1361" t="s">
        <v>11368</v>
      </c>
      <c r="D1361" t="s">
        <v>11369</v>
      </c>
      <c r="E1361" t="s">
        <v>11370</v>
      </c>
      <c r="L1361" t="s">
        <v>84</v>
      </c>
      <c r="M1361" t="s">
        <v>75</v>
      </c>
      <c r="R1361" t="s">
        <v>11371</v>
      </c>
      <c r="W1361" t="s">
        <v>11370</v>
      </c>
      <c r="X1361" t="s">
        <v>86</v>
      </c>
      <c r="Y1361" t="s">
        <v>87</v>
      </c>
      <c r="Z1361" t="s">
        <v>77</v>
      </c>
      <c r="AA1361" t="str">
        <f>"11220-2553"</f>
        <v>11220-2553</v>
      </c>
      <c r="AB1361" t="s">
        <v>78</v>
      </c>
      <c r="AC1361" t="s">
        <v>79</v>
      </c>
      <c r="AD1361" t="s">
        <v>75</v>
      </c>
      <c r="AE1361" t="s">
        <v>80</v>
      </c>
      <c r="AG1361" t="s">
        <v>81</v>
      </c>
    </row>
    <row r="1362" spans="1:33" x14ac:dyDescent="0.25">
      <c r="A1362" t="str">
        <f>"1790818045"</f>
        <v>1790818045</v>
      </c>
      <c r="B1362" t="str">
        <f>"01913597"</f>
        <v>01913597</v>
      </c>
      <c r="C1362" t="s">
        <v>11372</v>
      </c>
      <c r="D1362" t="s">
        <v>11373</v>
      </c>
      <c r="E1362" t="s">
        <v>11374</v>
      </c>
      <c r="L1362" t="s">
        <v>94</v>
      </c>
      <c r="M1362" t="s">
        <v>75</v>
      </c>
      <c r="R1362" t="s">
        <v>11374</v>
      </c>
      <c r="W1362" t="s">
        <v>11374</v>
      </c>
      <c r="X1362" t="s">
        <v>2587</v>
      </c>
      <c r="Y1362" t="s">
        <v>97</v>
      </c>
      <c r="Z1362" t="s">
        <v>77</v>
      </c>
      <c r="AA1362" t="str">
        <f>"10003-3314"</f>
        <v>10003-3314</v>
      </c>
      <c r="AB1362" t="s">
        <v>78</v>
      </c>
      <c r="AC1362" t="s">
        <v>79</v>
      </c>
      <c r="AD1362" t="s">
        <v>75</v>
      </c>
      <c r="AE1362" t="s">
        <v>80</v>
      </c>
      <c r="AG1362" t="s">
        <v>81</v>
      </c>
    </row>
    <row r="1363" spans="1:33" x14ac:dyDescent="0.25">
      <c r="A1363" t="str">
        <f>"1790823227"</f>
        <v>1790823227</v>
      </c>
      <c r="B1363" t="str">
        <f>"03609932"</f>
        <v>03609932</v>
      </c>
      <c r="C1363" t="s">
        <v>11375</v>
      </c>
      <c r="D1363" t="s">
        <v>11376</v>
      </c>
      <c r="E1363" t="s">
        <v>11377</v>
      </c>
      <c r="L1363" t="s">
        <v>74</v>
      </c>
      <c r="M1363" t="s">
        <v>75</v>
      </c>
      <c r="R1363" t="s">
        <v>11378</v>
      </c>
      <c r="W1363" t="s">
        <v>11377</v>
      </c>
      <c r="X1363" t="s">
        <v>11379</v>
      </c>
      <c r="Y1363" t="s">
        <v>97</v>
      </c>
      <c r="Z1363" t="s">
        <v>77</v>
      </c>
      <c r="AA1363" t="str">
        <f>"10029-6030"</f>
        <v>10029-6030</v>
      </c>
      <c r="AB1363" t="s">
        <v>78</v>
      </c>
      <c r="AC1363" t="s">
        <v>79</v>
      </c>
      <c r="AD1363" t="s">
        <v>75</v>
      </c>
      <c r="AE1363" t="s">
        <v>80</v>
      </c>
      <c r="AG1363" t="s">
        <v>81</v>
      </c>
    </row>
    <row r="1364" spans="1:33" x14ac:dyDescent="0.25">
      <c r="A1364" t="str">
        <f>"1932383452"</f>
        <v>1932383452</v>
      </c>
      <c r="B1364" t="str">
        <f>"03072979"</f>
        <v>03072979</v>
      </c>
      <c r="C1364" t="s">
        <v>11380</v>
      </c>
      <c r="D1364" t="s">
        <v>11381</v>
      </c>
      <c r="E1364" t="s">
        <v>11382</v>
      </c>
      <c r="L1364" t="s">
        <v>94</v>
      </c>
      <c r="M1364" t="s">
        <v>75</v>
      </c>
      <c r="R1364" t="s">
        <v>11383</v>
      </c>
      <c r="W1364" t="s">
        <v>11382</v>
      </c>
      <c r="X1364" t="s">
        <v>4029</v>
      </c>
      <c r="Y1364" t="s">
        <v>97</v>
      </c>
      <c r="Z1364" t="s">
        <v>77</v>
      </c>
      <c r="AA1364" t="str">
        <f>"10029-6503"</f>
        <v>10029-6503</v>
      </c>
      <c r="AB1364" t="s">
        <v>78</v>
      </c>
      <c r="AC1364" t="s">
        <v>79</v>
      </c>
      <c r="AD1364" t="s">
        <v>75</v>
      </c>
      <c r="AE1364" t="s">
        <v>80</v>
      </c>
      <c r="AG1364" t="s">
        <v>81</v>
      </c>
    </row>
    <row r="1365" spans="1:33" x14ac:dyDescent="0.25">
      <c r="A1365" t="str">
        <f>"1033216387"</f>
        <v>1033216387</v>
      </c>
      <c r="B1365" t="str">
        <f>"03721524"</f>
        <v>03721524</v>
      </c>
      <c r="C1365" t="s">
        <v>11384</v>
      </c>
      <c r="D1365" t="s">
        <v>11385</v>
      </c>
      <c r="E1365" t="s">
        <v>11386</v>
      </c>
      <c r="G1365" t="s">
        <v>11384</v>
      </c>
      <c r="H1365" t="s">
        <v>11387</v>
      </c>
      <c r="J1365" t="s">
        <v>11388</v>
      </c>
      <c r="L1365" t="s">
        <v>83</v>
      </c>
      <c r="M1365" t="s">
        <v>75</v>
      </c>
      <c r="R1365" t="s">
        <v>11389</v>
      </c>
      <c r="W1365" t="s">
        <v>11386</v>
      </c>
      <c r="X1365" t="s">
        <v>11390</v>
      </c>
      <c r="Y1365" t="s">
        <v>97</v>
      </c>
      <c r="Z1365" t="s">
        <v>77</v>
      </c>
      <c r="AA1365" t="str">
        <f>"10118-5999"</f>
        <v>10118-5999</v>
      </c>
      <c r="AB1365" t="s">
        <v>78</v>
      </c>
      <c r="AC1365" t="s">
        <v>79</v>
      </c>
      <c r="AD1365" t="s">
        <v>75</v>
      </c>
      <c r="AE1365" t="s">
        <v>80</v>
      </c>
      <c r="AG1365" t="s">
        <v>81</v>
      </c>
    </row>
    <row r="1366" spans="1:33" x14ac:dyDescent="0.25">
      <c r="A1366" t="str">
        <f>"1902130735"</f>
        <v>1902130735</v>
      </c>
      <c r="B1366" t="str">
        <f>"03727415"</f>
        <v>03727415</v>
      </c>
      <c r="C1366" t="s">
        <v>11391</v>
      </c>
      <c r="D1366" t="s">
        <v>11392</v>
      </c>
      <c r="E1366" t="s">
        <v>11393</v>
      </c>
      <c r="L1366" t="s">
        <v>74</v>
      </c>
      <c r="M1366" t="s">
        <v>75</v>
      </c>
      <c r="R1366" t="s">
        <v>11394</v>
      </c>
      <c r="W1366" t="s">
        <v>11395</v>
      </c>
      <c r="X1366" t="s">
        <v>329</v>
      </c>
      <c r="Y1366" t="s">
        <v>97</v>
      </c>
      <c r="Z1366" t="s">
        <v>77</v>
      </c>
      <c r="AA1366" t="str">
        <f>"10029-6504"</f>
        <v>10029-6504</v>
      </c>
      <c r="AB1366" t="s">
        <v>78</v>
      </c>
      <c r="AC1366" t="s">
        <v>79</v>
      </c>
      <c r="AD1366" t="s">
        <v>75</v>
      </c>
      <c r="AE1366" t="s">
        <v>80</v>
      </c>
      <c r="AG1366" t="s">
        <v>81</v>
      </c>
    </row>
    <row r="1367" spans="1:33" x14ac:dyDescent="0.25">
      <c r="A1367" t="str">
        <f>"1902135080"</f>
        <v>1902135080</v>
      </c>
      <c r="B1367" t="str">
        <f>"03730485"</f>
        <v>03730485</v>
      </c>
      <c r="C1367" t="s">
        <v>11396</v>
      </c>
      <c r="D1367" t="s">
        <v>11397</v>
      </c>
      <c r="E1367" t="s">
        <v>11398</v>
      </c>
      <c r="L1367" t="s">
        <v>102</v>
      </c>
      <c r="M1367" t="s">
        <v>75</v>
      </c>
      <c r="R1367" t="s">
        <v>11398</v>
      </c>
      <c r="W1367" t="s">
        <v>11398</v>
      </c>
      <c r="X1367" t="s">
        <v>11399</v>
      </c>
      <c r="Y1367" t="s">
        <v>97</v>
      </c>
      <c r="Z1367" t="s">
        <v>77</v>
      </c>
      <c r="AA1367" t="str">
        <f>"10029-6508"</f>
        <v>10029-6508</v>
      </c>
      <c r="AB1367" t="s">
        <v>78</v>
      </c>
      <c r="AC1367" t="s">
        <v>79</v>
      </c>
      <c r="AD1367" t="s">
        <v>75</v>
      </c>
      <c r="AE1367" t="s">
        <v>80</v>
      </c>
      <c r="AG1367" t="s">
        <v>81</v>
      </c>
    </row>
    <row r="1368" spans="1:33" x14ac:dyDescent="0.25">
      <c r="A1368" t="str">
        <f>"1902157274"</f>
        <v>1902157274</v>
      </c>
      <c r="B1368" t="str">
        <f>"03726414"</f>
        <v>03726414</v>
      </c>
      <c r="C1368" t="s">
        <v>11400</v>
      </c>
      <c r="D1368" t="s">
        <v>11401</v>
      </c>
      <c r="E1368" t="s">
        <v>11402</v>
      </c>
      <c r="L1368" t="s">
        <v>74</v>
      </c>
      <c r="M1368" t="s">
        <v>75</v>
      </c>
      <c r="R1368" t="s">
        <v>11403</v>
      </c>
      <c r="W1368" t="s">
        <v>11402</v>
      </c>
      <c r="X1368" t="s">
        <v>11404</v>
      </c>
      <c r="Y1368" t="s">
        <v>97</v>
      </c>
      <c r="Z1368" t="s">
        <v>77</v>
      </c>
      <c r="AA1368" t="str">
        <f>"10029-6504"</f>
        <v>10029-6504</v>
      </c>
      <c r="AB1368" t="s">
        <v>78</v>
      </c>
      <c r="AC1368" t="s">
        <v>79</v>
      </c>
      <c r="AD1368" t="s">
        <v>75</v>
      </c>
      <c r="AE1368" t="s">
        <v>80</v>
      </c>
      <c r="AG1368" t="s">
        <v>81</v>
      </c>
    </row>
    <row r="1369" spans="1:33" x14ac:dyDescent="0.25">
      <c r="A1369" t="str">
        <f>"1902165574"</f>
        <v>1902165574</v>
      </c>
      <c r="C1369" t="s">
        <v>11405</v>
      </c>
      <c r="K1369" t="s">
        <v>99</v>
      </c>
      <c r="L1369" t="s">
        <v>102</v>
      </c>
      <c r="M1369" t="s">
        <v>75</v>
      </c>
      <c r="R1369" t="s">
        <v>11406</v>
      </c>
      <c r="S1369" t="s">
        <v>11407</v>
      </c>
      <c r="T1369" t="s">
        <v>97</v>
      </c>
      <c r="U1369" t="s">
        <v>77</v>
      </c>
      <c r="V1369" t="str">
        <f>"100295611"</f>
        <v>100295611</v>
      </c>
      <c r="AC1369" t="s">
        <v>79</v>
      </c>
      <c r="AD1369" t="s">
        <v>75</v>
      </c>
      <c r="AE1369" t="s">
        <v>103</v>
      </c>
      <c r="AG1369" t="s">
        <v>81</v>
      </c>
    </row>
    <row r="1370" spans="1:33" x14ac:dyDescent="0.25">
      <c r="A1370" t="str">
        <f>"1902219496"</f>
        <v>1902219496</v>
      </c>
      <c r="C1370" t="s">
        <v>11408</v>
      </c>
      <c r="K1370" t="s">
        <v>99</v>
      </c>
      <c r="L1370" t="s">
        <v>102</v>
      </c>
      <c r="M1370" t="s">
        <v>75</v>
      </c>
      <c r="R1370" t="s">
        <v>11409</v>
      </c>
      <c r="S1370" t="s">
        <v>11410</v>
      </c>
      <c r="T1370" t="s">
        <v>97</v>
      </c>
      <c r="U1370" t="s">
        <v>77</v>
      </c>
      <c r="V1370" t="str">
        <f>"10029"</f>
        <v>10029</v>
      </c>
      <c r="AC1370" t="s">
        <v>79</v>
      </c>
      <c r="AD1370" t="s">
        <v>75</v>
      </c>
      <c r="AE1370" t="s">
        <v>103</v>
      </c>
      <c r="AG1370" t="s">
        <v>81</v>
      </c>
    </row>
    <row r="1371" spans="1:33" x14ac:dyDescent="0.25">
      <c r="A1371" t="str">
        <f>"1932401114"</f>
        <v>1932401114</v>
      </c>
      <c r="B1371" t="str">
        <f>"03530150"</f>
        <v>03530150</v>
      </c>
      <c r="C1371" t="s">
        <v>11411</v>
      </c>
      <c r="D1371" t="s">
        <v>11412</v>
      </c>
      <c r="E1371" t="s">
        <v>11413</v>
      </c>
      <c r="L1371" t="s">
        <v>74</v>
      </c>
      <c r="M1371" t="s">
        <v>75</v>
      </c>
      <c r="R1371" t="s">
        <v>11414</v>
      </c>
      <c r="W1371" t="s">
        <v>11414</v>
      </c>
      <c r="X1371" t="s">
        <v>2926</v>
      </c>
      <c r="Y1371" t="s">
        <v>97</v>
      </c>
      <c r="Z1371" t="s">
        <v>77</v>
      </c>
      <c r="AA1371" t="str">
        <f>"10029-6503"</f>
        <v>10029-6503</v>
      </c>
      <c r="AB1371" t="s">
        <v>78</v>
      </c>
      <c r="AC1371" t="s">
        <v>79</v>
      </c>
      <c r="AD1371" t="s">
        <v>75</v>
      </c>
      <c r="AE1371" t="s">
        <v>80</v>
      </c>
      <c r="AG1371" t="s">
        <v>81</v>
      </c>
    </row>
    <row r="1372" spans="1:33" x14ac:dyDescent="0.25">
      <c r="A1372" t="str">
        <f>"1932494515"</f>
        <v>1932494515</v>
      </c>
      <c r="B1372" t="str">
        <f>"03738754"</f>
        <v>03738754</v>
      </c>
      <c r="C1372" t="s">
        <v>11415</v>
      </c>
      <c r="D1372" t="s">
        <v>11416</v>
      </c>
      <c r="E1372" t="s">
        <v>11417</v>
      </c>
      <c r="L1372" t="s">
        <v>74</v>
      </c>
      <c r="M1372" t="s">
        <v>75</v>
      </c>
      <c r="R1372" t="s">
        <v>11418</v>
      </c>
      <c r="W1372" t="s">
        <v>11417</v>
      </c>
      <c r="X1372" t="s">
        <v>329</v>
      </c>
      <c r="Y1372" t="s">
        <v>97</v>
      </c>
      <c r="Z1372" t="s">
        <v>77</v>
      </c>
      <c r="AA1372" t="str">
        <f>"10029-6574"</f>
        <v>10029-6574</v>
      </c>
      <c r="AB1372" t="s">
        <v>78</v>
      </c>
      <c r="AC1372" t="s">
        <v>79</v>
      </c>
      <c r="AD1372" t="s">
        <v>75</v>
      </c>
      <c r="AE1372" t="s">
        <v>80</v>
      </c>
      <c r="AG1372" t="s">
        <v>81</v>
      </c>
    </row>
    <row r="1373" spans="1:33" x14ac:dyDescent="0.25">
      <c r="A1373" t="str">
        <f>"1972687325"</f>
        <v>1972687325</v>
      </c>
      <c r="C1373" t="s">
        <v>11419</v>
      </c>
      <c r="K1373" t="s">
        <v>99</v>
      </c>
      <c r="L1373" t="s">
        <v>102</v>
      </c>
      <c r="M1373" t="s">
        <v>75</v>
      </c>
      <c r="R1373" t="s">
        <v>11420</v>
      </c>
      <c r="S1373" t="s">
        <v>185</v>
      </c>
      <c r="T1373" t="s">
        <v>97</v>
      </c>
      <c r="U1373" t="s">
        <v>77</v>
      </c>
      <c r="V1373" t="str">
        <f>"100352709"</f>
        <v>100352709</v>
      </c>
      <c r="AC1373" t="s">
        <v>79</v>
      </c>
      <c r="AD1373" t="s">
        <v>75</v>
      </c>
      <c r="AE1373" t="s">
        <v>103</v>
      </c>
      <c r="AG1373" t="s">
        <v>81</v>
      </c>
    </row>
    <row r="1374" spans="1:33" x14ac:dyDescent="0.25">
      <c r="A1374" t="str">
        <f>"1891954442"</f>
        <v>1891954442</v>
      </c>
      <c r="B1374" t="str">
        <f>"03406806"</f>
        <v>03406806</v>
      </c>
      <c r="C1374" t="s">
        <v>11421</v>
      </c>
      <c r="D1374" t="s">
        <v>11422</v>
      </c>
      <c r="E1374" t="s">
        <v>11423</v>
      </c>
      <c r="L1374" t="s">
        <v>83</v>
      </c>
      <c r="M1374" t="s">
        <v>75</v>
      </c>
      <c r="R1374" t="s">
        <v>11424</v>
      </c>
      <c r="W1374" t="s">
        <v>11423</v>
      </c>
      <c r="X1374" t="s">
        <v>11425</v>
      </c>
      <c r="Y1374" t="s">
        <v>87</v>
      </c>
      <c r="Z1374" t="s">
        <v>77</v>
      </c>
      <c r="AA1374" t="str">
        <f>"11236-3713"</f>
        <v>11236-3713</v>
      </c>
      <c r="AB1374" t="s">
        <v>82</v>
      </c>
      <c r="AC1374" t="s">
        <v>79</v>
      </c>
      <c r="AD1374" t="s">
        <v>75</v>
      </c>
      <c r="AE1374" t="s">
        <v>80</v>
      </c>
      <c r="AG1374" t="s">
        <v>81</v>
      </c>
    </row>
    <row r="1375" spans="1:33" x14ac:dyDescent="0.25">
      <c r="A1375" t="str">
        <f>"1891958815"</f>
        <v>1891958815</v>
      </c>
      <c r="B1375" t="str">
        <f>"03741619"</f>
        <v>03741619</v>
      </c>
      <c r="C1375" t="s">
        <v>11426</v>
      </c>
      <c r="D1375" t="s">
        <v>11427</v>
      </c>
      <c r="E1375" t="s">
        <v>11428</v>
      </c>
      <c r="L1375" t="s">
        <v>102</v>
      </c>
      <c r="M1375" t="s">
        <v>75</v>
      </c>
      <c r="R1375" t="s">
        <v>11429</v>
      </c>
      <c r="W1375" t="s">
        <v>11428</v>
      </c>
      <c r="X1375" t="s">
        <v>4756</v>
      </c>
      <c r="Y1375" t="s">
        <v>97</v>
      </c>
      <c r="Z1375" t="s">
        <v>77</v>
      </c>
      <c r="AA1375" t="str">
        <f>"10029-6501"</f>
        <v>10029-6501</v>
      </c>
      <c r="AB1375" t="s">
        <v>78</v>
      </c>
      <c r="AC1375" t="s">
        <v>79</v>
      </c>
      <c r="AD1375" t="s">
        <v>75</v>
      </c>
      <c r="AE1375" t="s">
        <v>80</v>
      </c>
      <c r="AG1375" t="s">
        <v>81</v>
      </c>
    </row>
    <row r="1376" spans="1:33" x14ac:dyDescent="0.25">
      <c r="A1376" t="str">
        <f>"1972752285"</f>
        <v>1972752285</v>
      </c>
      <c r="C1376" t="s">
        <v>11430</v>
      </c>
      <c r="K1376" t="s">
        <v>99</v>
      </c>
      <c r="L1376" t="s">
        <v>102</v>
      </c>
      <c r="M1376" t="s">
        <v>75</v>
      </c>
      <c r="R1376" t="s">
        <v>11431</v>
      </c>
      <c r="S1376" t="s">
        <v>11432</v>
      </c>
      <c r="T1376" t="s">
        <v>97</v>
      </c>
      <c r="U1376" t="s">
        <v>77</v>
      </c>
      <c r="V1376" t="str">
        <f>"100290000"</f>
        <v>100290000</v>
      </c>
      <c r="AC1376" t="s">
        <v>79</v>
      </c>
      <c r="AD1376" t="s">
        <v>75</v>
      </c>
      <c r="AE1376" t="s">
        <v>103</v>
      </c>
      <c r="AG1376" t="s">
        <v>81</v>
      </c>
    </row>
    <row r="1377" spans="1:33" x14ac:dyDescent="0.25">
      <c r="A1377" t="str">
        <f>"1972762110"</f>
        <v>1972762110</v>
      </c>
      <c r="B1377" t="str">
        <f>"03848217"</f>
        <v>03848217</v>
      </c>
      <c r="C1377" t="s">
        <v>11433</v>
      </c>
      <c r="D1377" t="s">
        <v>11434</v>
      </c>
      <c r="E1377" t="s">
        <v>11435</v>
      </c>
      <c r="L1377" t="s">
        <v>74</v>
      </c>
      <c r="M1377" t="s">
        <v>75</v>
      </c>
      <c r="R1377" t="s">
        <v>11435</v>
      </c>
      <c r="W1377" t="s">
        <v>11435</v>
      </c>
      <c r="X1377" t="s">
        <v>11436</v>
      </c>
      <c r="Y1377" t="s">
        <v>97</v>
      </c>
      <c r="Z1377" t="s">
        <v>77</v>
      </c>
      <c r="AA1377" t="str">
        <f>"10029-6503"</f>
        <v>10029-6503</v>
      </c>
      <c r="AB1377" t="s">
        <v>78</v>
      </c>
      <c r="AC1377" t="s">
        <v>79</v>
      </c>
      <c r="AD1377" t="s">
        <v>75</v>
      </c>
      <c r="AE1377" t="s">
        <v>80</v>
      </c>
      <c r="AG1377" t="s">
        <v>81</v>
      </c>
    </row>
    <row r="1378" spans="1:33" x14ac:dyDescent="0.25">
      <c r="A1378" t="str">
        <f>"1972765642"</f>
        <v>1972765642</v>
      </c>
      <c r="B1378" t="str">
        <f>"03711502"</f>
        <v>03711502</v>
      </c>
      <c r="C1378" t="s">
        <v>11437</v>
      </c>
      <c r="D1378" t="s">
        <v>11438</v>
      </c>
      <c r="E1378" t="s">
        <v>11439</v>
      </c>
      <c r="L1378" t="s">
        <v>74</v>
      </c>
      <c r="M1378" t="s">
        <v>75</v>
      </c>
      <c r="R1378" t="s">
        <v>11440</v>
      </c>
      <c r="W1378" t="s">
        <v>11439</v>
      </c>
      <c r="X1378" t="s">
        <v>329</v>
      </c>
      <c r="Y1378" t="s">
        <v>97</v>
      </c>
      <c r="Z1378" t="s">
        <v>77</v>
      </c>
      <c r="AA1378" t="str">
        <f>"10029-6504"</f>
        <v>10029-6504</v>
      </c>
      <c r="AB1378" t="s">
        <v>78</v>
      </c>
      <c r="AC1378" t="s">
        <v>79</v>
      </c>
      <c r="AD1378" t="s">
        <v>75</v>
      </c>
      <c r="AE1378" t="s">
        <v>80</v>
      </c>
      <c r="AG1378" t="s">
        <v>81</v>
      </c>
    </row>
    <row r="1379" spans="1:33" x14ac:dyDescent="0.25">
      <c r="A1379" t="str">
        <f>"1972845360"</f>
        <v>1972845360</v>
      </c>
      <c r="B1379" t="str">
        <f>"03743726"</f>
        <v>03743726</v>
      </c>
      <c r="C1379" t="s">
        <v>11441</v>
      </c>
      <c r="D1379" t="s">
        <v>11442</v>
      </c>
      <c r="E1379" t="s">
        <v>11443</v>
      </c>
      <c r="L1379" t="s">
        <v>102</v>
      </c>
      <c r="M1379" t="s">
        <v>75</v>
      </c>
      <c r="R1379" t="s">
        <v>11443</v>
      </c>
      <c r="W1379" t="s">
        <v>11443</v>
      </c>
      <c r="X1379" t="s">
        <v>329</v>
      </c>
      <c r="Y1379" t="s">
        <v>97</v>
      </c>
      <c r="Z1379" t="s">
        <v>77</v>
      </c>
      <c r="AA1379" t="str">
        <f>"10029-6504"</f>
        <v>10029-6504</v>
      </c>
      <c r="AB1379" t="s">
        <v>78</v>
      </c>
      <c r="AC1379" t="s">
        <v>79</v>
      </c>
      <c r="AD1379" t="s">
        <v>75</v>
      </c>
      <c r="AE1379" t="s">
        <v>80</v>
      </c>
      <c r="AG1379" t="s">
        <v>81</v>
      </c>
    </row>
    <row r="1380" spans="1:33" x14ac:dyDescent="0.25">
      <c r="A1380" t="str">
        <f>"1972865897"</f>
        <v>1972865897</v>
      </c>
      <c r="B1380" t="str">
        <f>"03738438"</f>
        <v>03738438</v>
      </c>
      <c r="C1380" t="s">
        <v>11444</v>
      </c>
      <c r="D1380" t="s">
        <v>11445</v>
      </c>
      <c r="E1380" t="s">
        <v>11446</v>
      </c>
      <c r="L1380" t="s">
        <v>74</v>
      </c>
      <c r="M1380" t="s">
        <v>75</v>
      </c>
      <c r="R1380" t="s">
        <v>11446</v>
      </c>
      <c r="W1380" t="s">
        <v>11446</v>
      </c>
      <c r="X1380" t="s">
        <v>329</v>
      </c>
      <c r="Y1380" t="s">
        <v>97</v>
      </c>
      <c r="Z1380" t="s">
        <v>77</v>
      </c>
      <c r="AA1380" t="str">
        <f>"10029-6504"</f>
        <v>10029-6504</v>
      </c>
      <c r="AB1380" t="s">
        <v>78</v>
      </c>
      <c r="AC1380" t="s">
        <v>79</v>
      </c>
      <c r="AD1380" t="s">
        <v>75</v>
      </c>
      <c r="AE1380" t="s">
        <v>80</v>
      </c>
      <c r="AG1380" t="s">
        <v>81</v>
      </c>
    </row>
    <row r="1381" spans="1:33" x14ac:dyDescent="0.25">
      <c r="A1381" t="str">
        <f>"1972913051"</f>
        <v>1972913051</v>
      </c>
      <c r="C1381" t="s">
        <v>11447</v>
      </c>
      <c r="K1381" t="s">
        <v>99</v>
      </c>
      <c r="L1381" t="s">
        <v>102</v>
      </c>
      <c r="M1381" t="s">
        <v>75</v>
      </c>
      <c r="R1381" t="s">
        <v>11448</v>
      </c>
      <c r="S1381" t="s">
        <v>272</v>
      </c>
      <c r="T1381" t="s">
        <v>97</v>
      </c>
      <c r="U1381" t="s">
        <v>77</v>
      </c>
      <c r="V1381" t="str">
        <f>"100296501"</f>
        <v>100296501</v>
      </c>
      <c r="AC1381" t="s">
        <v>79</v>
      </c>
      <c r="AD1381" t="s">
        <v>75</v>
      </c>
      <c r="AE1381" t="s">
        <v>103</v>
      </c>
      <c r="AG1381" t="s">
        <v>81</v>
      </c>
    </row>
    <row r="1382" spans="1:33" x14ac:dyDescent="0.25">
      <c r="A1382" t="str">
        <f>"1881795722"</f>
        <v>1881795722</v>
      </c>
      <c r="B1382" t="str">
        <f>"03209450"</f>
        <v>03209450</v>
      </c>
      <c r="C1382" t="s">
        <v>11449</v>
      </c>
      <c r="D1382" t="s">
        <v>11450</v>
      </c>
      <c r="E1382" t="s">
        <v>11451</v>
      </c>
      <c r="L1382" t="s">
        <v>74</v>
      </c>
      <c r="M1382" t="s">
        <v>75</v>
      </c>
      <c r="R1382" t="s">
        <v>11452</v>
      </c>
      <c r="W1382" t="s">
        <v>11451</v>
      </c>
      <c r="X1382" t="s">
        <v>11436</v>
      </c>
      <c r="Y1382" t="s">
        <v>97</v>
      </c>
      <c r="Z1382" t="s">
        <v>77</v>
      </c>
      <c r="AA1382" t="str">
        <f>"10029-6503"</f>
        <v>10029-6503</v>
      </c>
      <c r="AB1382" t="s">
        <v>78</v>
      </c>
      <c r="AC1382" t="s">
        <v>79</v>
      </c>
      <c r="AD1382" t="s">
        <v>75</v>
      </c>
      <c r="AE1382" t="s">
        <v>80</v>
      </c>
      <c r="AG1382" t="s">
        <v>81</v>
      </c>
    </row>
    <row r="1383" spans="1:33" x14ac:dyDescent="0.25">
      <c r="A1383" t="str">
        <f>"1881832020"</f>
        <v>1881832020</v>
      </c>
      <c r="C1383" t="s">
        <v>11453</v>
      </c>
      <c r="K1383" t="s">
        <v>99</v>
      </c>
      <c r="L1383" t="s">
        <v>74</v>
      </c>
      <c r="M1383" t="s">
        <v>75</v>
      </c>
      <c r="R1383" t="s">
        <v>11454</v>
      </c>
      <c r="S1383" t="s">
        <v>11455</v>
      </c>
      <c r="T1383" t="s">
        <v>97</v>
      </c>
      <c r="U1383" t="s">
        <v>77</v>
      </c>
      <c r="V1383" t="str">
        <f>"100296500"</f>
        <v>100296500</v>
      </c>
      <c r="AC1383" t="s">
        <v>79</v>
      </c>
      <c r="AD1383" t="s">
        <v>75</v>
      </c>
      <c r="AE1383" t="s">
        <v>103</v>
      </c>
      <c r="AG1383" t="s">
        <v>81</v>
      </c>
    </row>
    <row r="1384" spans="1:33" x14ac:dyDescent="0.25">
      <c r="A1384" t="str">
        <f>"1922232339"</f>
        <v>1922232339</v>
      </c>
      <c r="B1384" t="str">
        <f>"03880531"</f>
        <v>03880531</v>
      </c>
      <c r="C1384" t="s">
        <v>11456</v>
      </c>
      <c r="D1384" t="s">
        <v>11457</v>
      </c>
      <c r="E1384" t="s">
        <v>11458</v>
      </c>
      <c r="L1384" t="s">
        <v>74</v>
      </c>
      <c r="M1384" t="s">
        <v>75</v>
      </c>
      <c r="R1384" t="s">
        <v>11459</v>
      </c>
      <c r="W1384" t="s">
        <v>11458</v>
      </c>
      <c r="X1384" t="s">
        <v>11460</v>
      </c>
      <c r="Y1384" t="s">
        <v>97</v>
      </c>
      <c r="Z1384" t="s">
        <v>77</v>
      </c>
      <c r="AA1384" t="str">
        <f>"10029-6501"</f>
        <v>10029-6501</v>
      </c>
      <c r="AB1384" t="s">
        <v>78</v>
      </c>
      <c r="AC1384" t="s">
        <v>79</v>
      </c>
      <c r="AD1384" t="s">
        <v>75</v>
      </c>
      <c r="AE1384" t="s">
        <v>80</v>
      </c>
      <c r="AG1384" t="s">
        <v>81</v>
      </c>
    </row>
    <row r="1385" spans="1:33" x14ac:dyDescent="0.25">
      <c r="A1385" t="str">
        <f>"1790932358"</f>
        <v>1790932358</v>
      </c>
      <c r="B1385" t="str">
        <f>"03599057"</f>
        <v>03599057</v>
      </c>
      <c r="C1385" t="s">
        <v>11461</v>
      </c>
      <c r="D1385" t="s">
        <v>11462</v>
      </c>
      <c r="E1385" t="s">
        <v>11463</v>
      </c>
      <c r="L1385" t="s">
        <v>83</v>
      </c>
      <c r="M1385" t="s">
        <v>85</v>
      </c>
      <c r="R1385" t="s">
        <v>11463</v>
      </c>
      <c r="W1385" t="s">
        <v>11463</v>
      </c>
      <c r="X1385" t="s">
        <v>251</v>
      </c>
      <c r="Y1385" t="s">
        <v>87</v>
      </c>
      <c r="Z1385" t="s">
        <v>77</v>
      </c>
      <c r="AA1385" t="str">
        <f>"11203-1851"</f>
        <v>11203-1851</v>
      </c>
      <c r="AB1385" t="s">
        <v>93</v>
      </c>
      <c r="AC1385" t="s">
        <v>79</v>
      </c>
      <c r="AD1385" t="s">
        <v>75</v>
      </c>
      <c r="AE1385" t="s">
        <v>80</v>
      </c>
      <c r="AG1385" t="s">
        <v>81</v>
      </c>
    </row>
    <row r="1386" spans="1:33" x14ac:dyDescent="0.25">
      <c r="A1386" t="str">
        <f>"1790939429"</f>
        <v>1790939429</v>
      </c>
      <c r="B1386" t="str">
        <f>"04135668"</f>
        <v>04135668</v>
      </c>
      <c r="C1386" t="s">
        <v>11464</v>
      </c>
      <c r="D1386" t="s">
        <v>11465</v>
      </c>
      <c r="E1386" t="s">
        <v>11466</v>
      </c>
      <c r="L1386" t="s">
        <v>143</v>
      </c>
      <c r="M1386" t="s">
        <v>75</v>
      </c>
      <c r="R1386" t="s">
        <v>11467</v>
      </c>
      <c r="W1386" t="s">
        <v>11466</v>
      </c>
      <c r="X1386" t="s">
        <v>5078</v>
      </c>
      <c r="Y1386" t="s">
        <v>310</v>
      </c>
      <c r="Z1386" t="s">
        <v>77</v>
      </c>
      <c r="AA1386" t="str">
        <f>"10512-2466"</f>
        <v>10512-2466</v>
      </c>
      <c r="AB1386" t="s">
        <v>78</v>
      </c>
      <c r="AC1386" t="s">
        <v>79</v>
      </c>
      <c r="AD1386" t="s">
        <v>75</v>
      </c>
      <c r="AE1386" t="s">
        <v>80</v>
      </c>
      <c r="AG1386" t="s">
        <v>81</v>
      </c>
    </row>
    <row r="1387" spans="1:33" x14ac:dyDescent="0.25">
      <c r="A1387" t="str">
        <f>"1922242916"</f>
        <v>1922242916</v>
      </c>
      <c r="C1387" t="s">
        <v>11468</v>
      </c>
      <c r="K1387" t="s">
        <v>99</v>
      </c>
      <c r="L1387" t="s">
        <v>102</v>
      </c>
      <c r="M1387" t="s">
        <v>75</v>
      </c>
      <c r="R1387" t="s">
        <v>11469</v>
      </c>
      <c r="S1387" t="s">
        <v>329</v>
      </c>
      <c r="T1387" t="s">
        <v>97</v>
      </c>
      <c r="U1387" t="s">
        <v>77</v>
      </c>
      <c r="V1387" t="str">
        <f>"100296500"</f>
        <v>100296500</v>
      </c>
      <c r="AC1387" t="s">
        <v>79</v>
      </c>
      <c r="AD1387" t="s">
        <v>75</v>
      </c>
      <c r="AE1387" t="s">
        <v>103</v>
      </c>
      <c r="AG1387" t="s">
        <v>81</v>
      </c>
    </row>
    <row r="1388" spans="1:33" x14ac:dyDescent="0.25">
      <c r="A1388" t="str">
        <f>"1922328764"</f>
        <v>1922328764</v>
      </c>
      <c r="B1388" t="str">
        <f>"03913917"</f>
        <v>03913917</v>
      </c>
      <c r="C1388" t="s">
        <v>11470</v>
      </c>
      <c r="D1388" t="s">
        <v>11471</v>
      </c>
      <c r="E1388" t="s">
        <v>11472</v>
      </c>
      <c r="L1388" t="s">
        <v>74</v>
      </c>
      <c r="M1388" t="s">
        <v>75</v>
      </c>
      <c r="R1388" t="s">
        <v>11473</v>
      </c>
      <c r="W1388" t="s">
        <v>11472</v>
      </c>
      <c r="X1388" t="s">
        <v>10363</v>
      </c>
      <c r="Y1388" t="s">
        <v>97</v>
      </c>
      <c r="Z1388" t="s">
        <v>77</v>
      </c>
      <c r="AA1388" t="str">
        <f>"10029-6508"</f>
        <v>10029-6508</v>
      </c>
      <c r="AB1388" t="s">
        <v>78</v>
      </c>
      <c r="AC1388" t="s">
        <v>79</v>
      </c>
      <c r="AD1388" t="s">
        <v>75</v>
      </c>
      <c r="AE1388" t="s">
        <v>80</v>
      </c>
      <c r="AG1388" t="s">
        <v>81</v>
      </c>
    </row>
    <row r="1389" spans="1:33" x14ac:dyDescent="0.25">
      <c r="A1389" t="str">
        <f>"1811212285"</f>
        <v>1811212285</v>
      </c>
      <c r="B1389" t="str">
        <f>"03923351"</f>
        <v>03923351</v>
      </c>
      <c r="C1389" t="s">
        <v>11474</v>
      </c>
      <c r="D1389" t="s">
        <v>11475</v>
      </c>
      <c r="E1389" t="s">
        <v>11476</v>
      </c>
      <c r="L1389" t="s">
        <v>105</v>
      </c>
      <c r="M1389" t="s">
        <v>75</v>
      </c>
      <c r="R1389" t="s">
        <v>11476</v>
      </c>
      <c r="W1389" t="s">
        <v>11476</v>
      </c>
      <c r="X1389" t="s">
        <v>11477</v>
      </c>
      <c r="Y1389" t="s">
        <v>97</v>
      </c>
      <c r="Z1389" t="s">
        <v>77</v>
      </c>
      <c r="AA1389" t="str">
        <f>"10029-6505"</f>
        <v>10029-6505</v>
      </c>
      <c r="AB1389" t="s">
        <v>78</v>
      </c>
      <c r="AC1389" t="s">
        <v>79</v>
      </c>
      <c r="AD1389" t="s">
        <v>75</v>
      </c>
      <c r="AE1389" t="s">
        <v>80</v>
      </c>
      <c r="AG1389" t="s">
        <v>81</v>
      </c>
    </row>
    <row r="1390" spans="1:33" x14ac:dyDescent="0.25">
      <c r="A1390" t="str">
        <f>"1811261779"</f>
        <v>1811261779</v>
      </c>
      <c r="C1390" t="s">
        <v>11478</v>
      </c>
      <c r="K1390" t="s">
        <v>99</v>
      </c>
      <c r="L1390" t="s">
        <v>102</v>
      </c>
      <c r="M1390" t="s">
        <v>75</v>
      </c>
      <c r="R1390" t="s">
        <v>11479</v>
      </c>
      <c r="S1390" t="s">
        <v>11480</v>
      </c>
      <c r="T1390" t="s">
        <v>87</v>
      </c>
      <c r="U1390" t="s">
        <v>77</v>
      </c>
      <c r="V1390" t="str">
        <f>"112141562"</f>
        <v>112141562</v>
      </c>
      <c r="AC1390" t="s">
        <v>79</v>
      </c>
      <c r="AD1390" t="s">
        <v>75</v>
      </c>
      <c r="AE1390" t="s">
        <v>103</v>
      </c>
      <c r="AG1390" t="s">
        <v>81</v>
      </c>
    </row>
    <row r="1391" spans="1:33" x14ac:dyDescent="0.25">
      <c r="A1391" t="str">
        <f>"1811275100"</f>
        <v>1811275100</v>
      </c>
      <c r="B1391" t="str">
        <f>"03721386"</f>
        <v>03721386</v>
      </c>
      <c r="C1391" t="s">
        <v>11481</v>
      </c>
      <c r="D1391" t="s">
        <v>11482</v>
      </c>
      <c r="E1391" t="s">
        <v>11483</v>
      </c>
      <c r="L1391" t="s">
        <v>102</v>
      </c>
      <c r="M1391" t="s">
        <v>75</v>
      </c>
      <c r="R1391" t="s">
        <v>11483</v>
      </c>
      <c r="W1391" t="s">
        <v>11483</v>
      </c>
      <c r="X1391" t="s">
        <v>11156</v>
      </c>
      <c r="Y1391" t="s">
        <v>97</v>
      </c>
      <c r="Z1391" t="s">
        <v>77</v>
      </c>
      <c r="AA1391" t="str">
        <f>"10029-6504"</f>
        <v>10029-6504</v>
      </c>
      <c r="AB1391" t="s">
        <v>78</v>
      </c>
      <c r="AC1391" t="s">
        <v>79</v>
      </c>
      <c r="AD1391" t="s">
        <v>75</v>
      </c>
      <c r="AE1391" t="s">
        <v>80</v>
      </c>
      <c r="AG1391" t="s">
        <v>81</v>
      </c>
    </row>
    <row r="1392" spans="1:33" x14ac:dyDescent="0.25">
      <c r="A1392" t="str">
        <f>"1942323647"</f>
        <v>1942323647</v>
      </c>
      <c r="B1392" t="str">
        <f>"03107682"</f>
        <v>03107682</v>
      </c>
      <c r="C1392" t="s">
        <v>11484</v>
      </c>
      <c r="D1392" t="s">
        <v>11485</v>
      </c>
      <c r="E1392" t="s">
        <v>11486</v>
      </c>
      <c r="L1392" t="s">
        <v>74</v>
      </c>
      <c r="M1392" t="s">
        <v>75</v>
      </c>
      <c r="R1392" t="s">
        <v>11487</v>
      </c>
      <c r="W1392" t="s">
        <v>11488</v>
      </c>
      <c r="X1392" t="s">
        <v>11489</v>
      </c>
      <c r="Y1392" t="s">
        <v>97</v>
      </c>
      <c r="Z1392" t="s">
        <v>77</v>
      </c>
      <c r="AA1392" t="str">
        <f>"10003-3804"</f>
        <v>10003-3804</v>
      </c>
      <c r="AB1392" t="s">
        <v>78</v>
      </c>
      <c r="AC1392" t="s">
        <v>79</v>
      </c>
      <c r="AD1392" t="s">
        <v>75</v>
      </c>
      <c r="AE1392" t="s">
        <v>80</v>
      </c>
      <c r="AG1392" t="s">
        <v>81</v>
      </c>
    </row>
    <row r="1393" spans="1:33" x14ac:dyDescent="0.25">
      <c r="A1393" t="str">
        <f>"1770513145"</f>
        <v>1770513145</v>
      </c>
      <c r="B1393" t="str">
        <f>"03007930"</f>
        <v>03007930</v>
      </c>
      <c r="C1393" t="s">
        <v>11490</v>
      </c>
      <c r="D1393" t="s">
        <v>1057</v>
      </c>
      <c r="E1393" t="s">
        <v>1058</v>
      </c>
      <c r="L1393" t="s">
        <v>37</v>
      </c>
      <c r="M1393" t="s">
        <v>85</v>
      </c>
      <c r="R1393" t="s">
        <v>1059</v>
      </c>
      <c r="W1393" t="s">
        <v>1058</v>
      </c>
      <c r="X1393" t="s">
        <v>1060</v>
      </c>
      <c r="Y1393" t="s">
        <v>87</v>
      </c>
      <c r="Z1393" t="s">
        <v>77</v>
      </c>
      <c r="AA1393" t="str">
        <f>"11234-6435"</f>
        <v>11234-6435</v>
      </c>
      <c r="AB1393" t="s">
        <v>98</v>
      </c>
      <c r="AC1393" t="s">
        <v>79</v>
      </c>
      <c r="AD1393" t="s">
        <v>75</v>
      </c>
      <c r="AE1393" t="s">
        <v>80</v>
      </c>
      <c r="AG1393" t="s">
        <v>81</v>
      </c>
    </row>
    <row r="1394" spans="1:33" x14ac:dyDescent="0.25">
      <c r="A1394" t="str">
        <f>"1770868226"</f>
        <v>1770868226</v>
      </c>
      <c r="C1394" t="s">
        <v>11491</v>
      </c>
      <c r="K1394" t="s">
        <v>99</v>
      </c>
      <c r="L1394" t="s">
        <v>102</v>
      </c>
      <c r="M1394" t="s">
        <v>75</v>
      </c>
      <c r="R1394" t="s">
        <v>2820</v>
      </c>
      <c r="S1394" t="s">
        <v>2821</v>
      </c>
      <c r="T1394" t="s">
        <v>97</v>
      </c>
      <c r="U1394" t="s">
        <v>77</v>
      </c>
      <c r="V1394" t="str">
        <f>"100012505"</f>
        <v>100012505</v>
      </c>
      <c r="AC1394" t="s">
        <v>79</v>
      </c>
      <c r="AD1394" t="s">
        <v>75</v>
      </c>
      <c r="AE1394" t="s">
        <v>103</v>
      </c>
      <c r="AG1394" t="s">
        <v>81</v>
      </c>
    </row>
    <row r="1395" spans="1:33" x14ac:dyDescent="0.25">
      <c r="A1395" t="str">
        <f>"1730303017"</f>
        <v>1730303017</v>
      </c>
      <c r="B1395" t="str">
        <f>"02997175"</f>
        <v>02997175</v>
      </c>
      <c r="C1395" t="s">
        <v>11492</v>
      </c>
      <c r="D1395" t="s">
        <v>2989</v>
      </c>
      <c r="E1395" t="s">
        <v>2990</v>
      </c>
      <c r="L1395" t="s">
        <v>189</v>
      </c>
      <c r="M1395" t="s">
        <v>85</v>
      </c>
      <c r="R1395" t="s">
        <v>2991</v>
      </c>
      <c r="W1395" t="s">
        <v>2991</v>
      </c>
      <c r="X1395" t="s">
        <v>2992</v>
      </c>
      <c r="Y1395" t="s">
        <v>97</v>
      </c>
      <c r="Z1395" t="s">
        <v>77</v>
      </c>
      <c r="AA1395" t="str">
        <f>"10013-3519"</f>
        <v>10013-3519</v>
      </c>
      <c r="AB1395" t="s">
        <v>93</v>
      </c>
      <c r="AC1395" t="s">
        <v>79</v>
      </c>
      <c r="AD1395" t="s">
        <v>75</v>
      </c>
      <c r="AE1395" t="s">
        <v>80</v>
      </c>
      <c r="AG1395" t="s">
        <v>81</v>
      </c>
    </row>
    <row r="1396" spans="1:33" x14ac:dyDescent="0.25">
      <c r="A1396" t="str">
        <f>"1932205580"</f>
        <v>1932205580</v>
      </c>
      <c r="C1396" t="s">
        <v>11493</v>
      </c>
      <c r="K1396" t="s">
        <v>99</v>
      </c>
      <c r="L1396" t="s">
        <v>74</v>
      </c>
      <c r="M1396" t="s">
        <v>75</v>
      </c>
      <c r="R1396" t="s">
        <v>11494</v>
      </c>
      <c r="S1396" t="s">
        <v>11495</v>
      </c>
      <c r="T1396" t="s">
        <v>97</v>
      </c>
      <c r="U1396" t="s">
        <v>77</v>
      </c>
      <c r="V1396" t="str">
        <f>"100296500"</f>
        <v>100296500</v>
      </c>
      <c r="AC1396" t="s">
        <v>79</v>
      </c>
      <c r="AD1396" t="s">
        <v>75</v>
      </c>
      <c r="AE1396" t="s">
        <v>103</v>
      </c>
      <c r="AG1396" t="s">
        <v>81</v>
      </c>
    </row>
    <row r="1397" spans="1:33" x14ac:dyDescent="0.25">
      <c r="A1397" t="str">
        <f>"1881926004"</f>
        <v>1881926004</v>
      </c>
      <c r="C1397" t="s">
        <v>11496</v>
      </c>
      <c r="K1397" t="s">
        <v>99</v>
      </c>
      <c r="L1397" t="s">
        <v>102</v>
      </c>
      <c r="M1397" t="s">
        <v>75</v>
      </c>
      <c r="R1397" t="s">
        <v>11497</v>
      </c>
      <c r="S1397" t="s">
        <v>263</v>
      </c>
      <c r="T1397" t="s">
        <v>97</v>
      </c>
      <c r="U1397" t="s">
        <v>77</v>
      </c>
      <c r="V1397" t="str">
        <f>"100118202"</f>
        <v>100118202</v>
      </c>
      <c r="AC1397" t="s">
        <v>79</v>
      </c>
      <c r="AD1397" t="s">
        <v>75</v>
      </c>
      <c r="AE1397" t="s">
        <v>103</v>
      </c>
      <c r="AG1397" t="s">
        <v>81</v>
      </c>
    </row>
    <row r="1398" spans="1:33" x14ac:dyDescent="0.25">
      <c r="A1398" t="str">
        <f>"1881980639"</f>
        <v>1881980639</v>
      </c>
      <c r="C1398" t="s">
        <v>11498</v>
      </c>
      <c r="K1398" t="s">
        <v>99</v>
      </c>
      <c r="L1398" t="s">
        <v>102</v>
      </c>
      <c r="M1398" t="s">
        <v>75</v>
      </c>
      <c r="R1398" t="s">
        <v>11499</v>
      </c>
      <c r="S1398" t="s">
        <v>5324</v>
      </c>
      <c r="T1398" t="s">
        <v>97</v>
      </c>
      <c r="U1398" t="s">
        <v>77</v>
      </c>
      <c r="V1398" t="str">
        <f>"100296500"</f>
        <v>100296500</v>
      </c>
      <c r="AC1398" t="s">
        <v>79</v>
      </c>
      <c r="AD1398" t="s">
        <v>75</v>
      </c>
      <c r="AE1398" t="s">
        <v>103</v>
      </c>
      <c r="AG1398" t="s">
        <v>81</v>
      </c>
    </row>
    <row r="1399" spans="1:33" x14ac:dyDescent="0.25">
      <c r="A1399" t="str">
        <f>"1538393673"</f>
        <v>1538393673</v>
      </c>
      <c r="B1399" t="str">
        <f>"03513173"</f>
        <v>03513173</v>
      </c>
      <c r="C1399" t="s">
        <v>11500</v>
      </c>
      <c r="D1399" t="s">
        <v>11501</v>
      </c>
      <c r="E1399" t="s">
        <v>11502</v>
      </c>
      <c r="G1399" t="s">
        <v>6800</v>
      </c>
      <c r="H1399" t="s">
        <v>6801</v>
      </c>
      <c r="I1399">
        <v>6381</v>
      </c>
      <c r="J1399" t="s">
        <v>6802</v>
      </c>
      <c r="L1399" t="s">
        <v>74</v>
      </c>
      <c r="M1399" t="s">
        <v>75</v>
      </c>
      <c r="R1399" t="s">
        <v>11503</v>
      </c>
      <c r="W1399" t="s">
        <v>11502</v>
      </c>
      <c r="X1399" t="s">
        <v>11504</v>
      </c>
      <c r="Y1399" t="s">
        <v>145</v>
      </c>
      <c r="Z1399" t="s">
        <v>77</v>
      </c>
      <c r="AA1399" t="str">
        <f>"11361-3241"</f>
        <v>11361-3241</v>
      </c>
      <c r="AB1399" t="s">
        <v>109</v>
      </c>
      <c r="AC1399" t="s">
        <v>79</v>
      </c>
      <c r="AD1399" t="s">
        <v>75</v>
      </c>
      <c r="AE1399" t="s">
        <v>80</v>
      </c>
      <c r="AG1399" t="s">
        <v>81</v>
      </c>
    </row>
    <row r="1400" spans="1:33" x14ac:dyDescent="0.25">
      <c r="A1400" t="str">
        <f>"1851722177"</f>
        <v>1851722177</v>
      </c>
      <c r="C1400" t="s">
        <v>11505</v>
      </c>
      <c r="K1400" t="s">
        <v>99</v>
      </c>
      <c r="L1400" t="s">
        <v>74</v>
      </c>
      <c r="M1400" t="s">
        <v>75</v>
      </c>
      <c r="R1400" t="s">
        <v>11506</v>
      </c>
      <c r="S1400" t="s">
        <v>11507</v>
      </c>
      <c r="T1400" t="s">
        <v>4606</v>
      </c>
      <c r="U1400" t="s">
        <v>3878</v>
      </c>
      <c r="V1400" t="str">
        <f>"752355386"</f>
        <v>752355386</v>
      </c>
      <c r="AC1400" t="s">
        <v>79</v>
      </c>
      <c r="AD1400" t="s">
        <v>75</v>
      </c>
      <c r="AE1400" t="s">
        <v>103</v>
      </c>
      <c r="AG1400" t="s">
        <v>81</v>
      </c>
    </row>
    <row r="1401" spans="1:33" x14ac:dyDescent="0.25">
      <c r="A1401" t="str">
        <f>"1992957203"</f>
        <v>1992957203</v>
      </c>
      <c r="C1401" t="s">
        <v>11508</v>
      </c>
      <c r="K1401" t="s">
        <v>99</v>
      </c>
      <c r="L1401" t="s">
        <v>74</v>
      </c>
      <c r="M1401" t="s">
        <v>75</v>
      </c>
      <c r="R1401" t="s">
        <v>11509</v>
      </c>
      <c r="S1401" t="s">
        <v>11510</v>
      </c>
      <c r="T1401" t="s">
        <v>11511</v>
      </c>
      <c r="U1401" t="s">
        <v>156</v>
      </c>
      <c r="V1401" t="str">
        <f>"070802548"</f>
        <v>070802548</v>
      </c>
      <c r="AC1401" t="s">
        <v>79</v>
      </c>
      <c r="AD1401" t="s">
        <v>75</v>
      </c>
      <c r="AE1401" t="s">
        <v>103</v>
      </c>
      <c r="AG1401" t="s">
        <v>81</v>
      </c>
    </row>
    <row r="1402" spans="1:33" x14ac:dyDescent="0.25">
      <c r="A1402" t="str">
        <f>"1821392960"</f>
        <v>1821392960</v>
      </c>
      <c r="B1402" t="str">
        <f>"03737226"</f>
        <v>03737226</v>
      </c>
      <c r="C1402" t="s">
        <v>11512</v>
      </c>
      <c r="D1402" t="s">
        <v>11513</v>
      </c>
      <c r="E1402" t="s">
        <v>11514</v>
      </c>
      <c r="L1402" t="s">
        <v>74</v>
      </c>
      <c r="M1402" t="s">
        <v>75</v>
      </c>
      <c r="R1402" t="s">
        <v>11514</v>
      </c>
      <c r="W1402" t="s">
        <v>11514</v>
      </c>
      <c r="X1402" t="s">
        <v>11156</v>
      </c>
      <c r="Y1402" t="s">
        <v>97</v>
      </c>
      <c r="Z1402" t="s">
        <v>77</v>
      </c>
      <c r="AA1402" t="str">
        <f>"10029-6504"</f>
        <v>10029-6504</v>
      </c>
      <c r="AB1402" t="s">
        <v>78</v>
      </c>
      <c r="AC1402" t="s">
        <v>79</v>
      </c>
      <c r="AD1402" t="s">
        <v>75</v>
      </c>
      <c r="AE1402" t="s">
        <v>80</v>
      </c>
      <c r="AG1402" t="s">
        <v>81</v>
      </c>
    </row>
    <row r="1403" spans="1:33" x14ac:dyDescent="0.25">
      <c r="A1403" t="str">
        <f>"1821403890"</f>
        <v>1821403890</v>
      </c>
      <c r="B1403" t="str">
        <f>"03920349"</f>
        <v>03920349</v>
      </c>
      <c r="C1403" t="s">
        <v>11515</v>
      </c>
      <c r="D1403" t="s">
        <v>11516</v>
      </c>
      <c r="E1403" t="s">
        <v>11517</v>
      </c>
      <c r="L1403" t="s">
        <v>83</v>
      </c>
      <c r="M1403" t="s">
        <v>75</v>
      </c>
      <c r="R1403" t="s">
        <v>11518</v>
      </c>
      <c r="W1403" t="s">
        <v>11517</v>
      </c>
      <c r="X1403" t="s">
        <v>267</v>
      </c>
      <c r="Y1403" t="s">
        <v>91</v>
      </c>
      <c r="Z1403" t="s">
        <v>77</v>
      </c>
      <c r="AA1403" t="str">
        <f>"11373-1329"</f>
        <v>11373-1329</v>
      </c>
      <c r="AB1403" t="s">
        <v>78</v>
      </c>
      <c r="AC1403" t="s">
        <v>79</v>
      </c>
      <c r="AD1403" t="s">
        <v>75</v>
      </c>
      <c r="AE1403" t="s">
        <v>80</v>
      </c>
      <c r="AG1403" t="s">
        <v>81</v>
      </c>
    </row>
    <row r="1404" spans="1:33" x14ac:dyDescent="0.25">
      <c r="A1404" t="str">
        <f>"1942503024"</f>
        <v>1942503024</v>
      </c>
      <c r="B1404" t="str">
        <f>"03850346"</f>
        <v>03850346</v>
      </c>
      <c r="C1404" t="s">
        <v>11519</v>
      </c>
      <c r="D1404" t="s">
        <v>11520</v>
      </c>
      <c r="E1404" t="s">
        <v>11521</v>
      </c>
      <c r="L1404" t="s">
        <v>83</v>
      </c>
      <c r="M1404" t="s">
        <v>75</v>
      </c>
      <c r="R1404" t="s">
        <v>11522</v>
      </c>
      <c r="W1404" t="s">
        <v>11521</v>
      </c>
      <c r="X1404" t="s">
        <v>11523</v>
      </c>
      <c r="Y1404" t="s">
        <v>97</v>
      </c>
      <c r="Z1404" t="s">
        <v>77</v>
      </c>
      <c r="AA1404" t="str">
        <f>"10029-6508"</f>
        <v>10029-6508</v>
      </c>
      <c r="AB1404" t="s">
        <v>78</v>
      </c>
      <c r="AC1404" t="s">
        <v>79</v>
      </c>
      <c r="AD1404" t="s">
        <v>75</v>
      </c>
      <c r="AE1404" t="s">
        <v>80</v>
      </c>
      <c r="AG1404" t="s">
        <v>81</v>
      </c>
    </row>
    <row r="1405" spans="1:33" x14ac:dyDescent="0.25">
      <c r="A1405" t="str">
        <f>"1780947762"</f>
        <v>1780947762</v>
      </c>
      <c r="B1405" t="str">
        <f>"03804331"</f>
        <v>03804331</v>
      </c>
      <c r="C1405" t="s">
        <v>11524</v>
      </c>
      <c r="D1405" t="s">
        <v>11525</v>
      </c>
      <c r="E1405" t="s">
        <v>11526</v>
      </c>
      <c r="L1405" t="s">
        <v>74</v>
      </c>
      <c r="M1405" t="s">
        <v>75</v>
      </c>
      <c r="R1405" t="s">
        <v>11527</v>
      </c>
      <c r="W1405" t="s">
        <v>11526</v>
      </c>
      <c r="X1405" t="s">
        <v>329</v>
      </c>
      <c r="Y1405" t="s">
        <v>97</v>
      </c>
      <c r="Z1405" t="s">
        <v>77</v>
      </c>
      <c r="AA1405" t="str">
        <f>"10029-6504"</f>
        <v>10029-6504</v>
      </c>
      <c r="AB1405" t="s">
        <v>78</v>
      </c>
      <c r="AC1405" t="s">
        <v>79</v>
      </c>
      <c r="AD1405" t="s">
        <v>75</v>
      </c>
      <c r="AE1405" t="s">
        <v>80</v>
      </c>
      <c r="AG1405" t="s">
        <v>81</v>
      </c>
    </row>
    <row r="1406" spans="1:33" x14ac:dyDescent="0.25">
      <c r="A1406" t="str">
        <f>"1780974337"</f>
        <v>1780974337</v>
      </c>
      <c r="B1406" t="str">
        <f>"04250175"</f>
        <v>04250175</v>
      </c>
      <c r="C1406" t="s">
        <v>11528</v>
      </c>
      <c r="D1406" t="s">
        <v>11529</v>
      </c>
      <c r="E1406" t="s">
        <v>11530</v>
      </c>
      <c r="L1406" t="s">
        <v>74</v>
      </c>
      <c r="M1406" t="s">
        <v>75</v>
      </c>
      <c r="R1406" t="s">
        <v>11531</v>
      </c>
      <c r="W1406" t="s">
        <v>11530</v>
      </c>
      <c r="X1406" t="s">
        <v>5695</v>
      </c>
      <c r="Y1406" t="s">
        <v>207</v>
      </c>
      <c r="Z1406" t="s">
        <v>77</v>
      </c>
      <c r="AA1406" t="str">
        <f>"11580-5443"</f>
        <v>11580-5443</v>
      </c>
      <c r="AB1406" t="s">
        <v>78</v>
      </c>
      <c r="AC1406" t="s">
        <v>79</v>
      </c>
      <c r="AD1406" t="s">
        <v>75</v>
      </c>
      <c r="AE1406" t="s">
        <v>80</v>
      </c>
      <c r="AG1406" t="s">
        <v>81</v>
      </c>
    </row>
    <row r="1407" spans="1:33" x14ac:dyDescent="0.25">
      <c r="A1407" t="str">
        <f>"1790028090"</f>
        <v>1790028090</v>
      </c>
      <c r="B1407" t="str">
        <f>"04327015"</f>
        <v>04327015</v>
      </c>
      <c r="C1407" t="s">
        <v>11532</v>
      </c>
      <c r="D1407" t="s">
        <v>11533</v>
      </c>
      <c r="E1407" t="s">
        <v>11534</v>
      </c>
      <c r="L1407" t="s">
        <v>94</v>
      </c>
      <c r="M1407" t="s">
        <v>75</v>
      </c>
      <c r="R1407" t="s">
        <v>11534</v>
      </c>
      <c r="W1407" t="s">
        <v>11535</v>
      </c>
      <c r="X1407" t="s">
        <v>181</v>
      </c>
      <c r="Y1407" t="s">
        <v>97</v>
      </c>
      <c r="Z1407" t="s">
        <v>77</v>
      </c>
      <c r="AA1407" t="str">
        <f>"10025-1716"</f>
        <v>10025-1716</v>
      </c>
      <c r="AB1407" t="s">
        <v>78</v>
      </c>
      <c r="AC1407" t="s">
        <v>79</v>
      </c>
      <c r="AD1407" t="s">
        <v>75</v>
      </c>
      <c r="AE1407" t="s">
        <v>80</v>
      </c>
      <c r="AG1407" t="s">
        <v>81</v>
      </c>
    </row>
    <row r="1408" spans="1:33" x14ac:dyDescent="0.25">
      <c r="A1408" t="str">
        <f>"1790192680"</f>
        <v>1790192680</v>
      </c>
      <c r="C1408" t="s">
        <v>11536</v>
      </c>
      <c r="K1408" t="s">
        <v>99</v>
      </c>
      <c r="L1408" t="s">
        <v>74</v>
      </c>
      <c r="M1408" t="s">
        <v>75</v>
      </c>
      <c r="R1408" t="s">
        <v>11537</v>
      </c>
      <c r="S1408" t="s">
        <v>11538</v>
      </c>
      <c r="T1408" t="s">
        <v>97</v>
      </c>
      <c r="U1408" t="s">
        <v>77</v>
      </c>
      <c r="V1408" t="str">
        <f>"100296504"</f>
        <v>100296504</v>
      </c>
      <c r="AC1408" t="s">
        <v>79</v>
      </c>
      <c r="AD1408" t="s">
        <v>75</v>
      </c>
      <c r="AE1408" t="s">
        <v>103</v>
      </c>
      <c r="AG1408" t="s">
        <v>81</v>
      </c>
    </row>
    <row r="1409" spans="1:33" x14ac:dyDescent="0.25">
      <c r="A1409" t="str">
        <f>"1982041737"</f>
        <v>1982041737</v>
      </c>
      <c r="C1409" t="s">
        <v>11539</v>
      </c>
      <c r="K1409" t="s">
        <v>99</v>
      </c>
      <c r="L1409" t="s">
        <v>102</v>
      </c>
      <c r="M1409" t="s">
        <v>75</v>
      </c>
      <c r="R1409" t="s">
        <v>11540</v>
      </c>
      <c r="S1409" t="s">
        <v>191</v>
      </c>
      <c r="T1409" t="s">
        <v>97</v>
      </c>
      <c r="U1409" t="s">
        <v>77</v>
      </c>
      <c r="V1409" t="str">
        <f>"100191147"</f>
        <v>100191147</v>
      </c>
      <c r="AC1409" t="s">
        <v>79</v>
      </c>
      <c r="AD1409" t="s">
        <v>75</v>
      </c>
      <c r="AE1409" t="s">
        <v>103</v>
      </c>
      <c r="AG1409" t="s">
        <v>81</v>
      </c>
    </row>
    <row r="1410" spans="1:33" x14ac:dyDescent="0.25">
      <c r="A1410" t="str">
        <f>"1831471150"</f>
        <v>1831471150</v>
      </c>
      <c r="C1410" t="s">
        <v>11541</v>
      </c>
      <c r="K1410" t="s">
        <v>99</v>
      </c>
      <c r="L1410" t="s">
        <v>102</v>
      </c>
      <c r="M1410" t="s">
        <v>75</v>
      </c>
      <c r="R1410" t="s">
        <v>11542</v>
      </c>
      <c r="S1410" t="s">
        <v>11543</v>
      </c>
      <c r="T1410" t="s">
        <v>97</v>
      </c>
      <c r="U1410" t="s">
        <v>77</v>
      </c>
      <c r="V1410" t="str">
        <f>"100251716"</f>
        <v>100251716</v>
      </c>
      <c r="AC1410" t="s">
        <v>79</v>
      </c>
      <c r="AD1410" t="s">
        <v>75</v>
      </c>
      <c r="AE1410" t="s">
        <v>103</v>
      </c>
      <c r="AG1410" t="s">
        <v>81</v>
      </c>
    </row>
    <row r="1411" spans="1:33" x14ac:dyDescent="0.25">
      <c r="A1411" t="str">
        <f>"1891053054"</f>
        <v>1891053054</v>
      </c>
      <c r="C1411" t="s">
        <v>11544</v>
      </c>
      <c r="K1411" t="s">
        <v>99</v>
      </c>
      <c r="L1411" t="s">
        <v>102</v>
      </c>
      <c r="M1411" t="s">
        <v>75</v>
      </c>
      <c r="R1411" t="s">
        <v>11545</v>
      </c>
      <c r="S1411" t="s">
        <v>11546</v>
      </c>
      <c r="T1411" t="s">
        <v>95</v>
      </c>
      <c r="U1411" t="s">
        <v>77</v>
      </c>
      <c r="V1411" t="str">
        <f>"122083412"</f>
        <v>122083412</v>
      </c>
      <c r="AC1411" t="s">
        <v>79</v>
      </c>
      <c r="AD1411" t="s">
        <v>75</v>
      </c>
      <c r="AE1411" t="s">
        <v>103</v>
      </c>
      <c r="AG1411" t="s">
        <v>81</v>
      </c>
    </row>
    <row r="1412" spans="1:33" x14ac:dyDescent="0.25">
      <c r="A1412" t="str">
        <f>"1932138468"</f>
        <v>1932138468</v>
      </c>
      <c r="B1412" t="str">
        <f>"00780245"</f>
        <v>00780245</v>
      </c>
      <c r="C1412" t="s">
        <v>11547</v>
      </c>
      <c r="D1412" t="s">
        <v>11548</v>
      </c>
      <c r="E1412" t="s">
        <v>11549</v>
      </c>
      <c r="L1412" t="s">
        <v>74</v>
      </c>
      <c r="M1412" t="s">
        <v>75</v>
      </c>
      <c r="R1412" t="s">
        <v>11550</v>
      </c>
      <c r="W1412" t="s">
        <v>11551</v>
      </c>
      <c r="X1412" t="s">
        <v>1793</v>
      </c>
      <c r="Y1412" t="s">
        <v>97</v>
      </c>
      <c r="Z1412" t="s">
        <v>77</v>
      </c>
      <c r="AA1412" t="str">
        <f>"10029-6503"</f>
        <v>10029-6503</v>
      </c>
      <c r="AB1412" t="s">
        <v>78</v>
      </c>
      <c r="AC1412" t="s">
        <v>79</v>
      </c>
      <c r="AD1412" t="s">
        <v>75</v>
      </c>
      <c r="AE1412" t="s">
        <v>80</v>
      </c>
      <c r="AG1412" t="s">
        <v>81</v>
      </c>
    </row>
    <row r="1413" spans="1:33" x14ac:dyDescent="0.25">
      <c r="A1413" t="str">
        <f>"1881667889"</f>
        <v>1881667889</v>
      </c>
      <c r="B1413" t="str">
        <f>"02142309"</f>
        <v>02142309</v>
      </c>
      <c r="C1413" t="s">
        <v>11552</v>
      </c>
      <c r="D1413" t="s">
        <v>11553</v>
      </c>
      <c r="E1413" t="s">
        <v>11554</v>
      </c>
      <c r="L1413" t="s">
        <v>74</v>
      </c>
      <c r="M1413" t="s">
        <v>75</v>
      </c>
      <c r="R1413" t="s">
        <v>11554</v>
      </c>
      <c r="W1413" t="s">
        <v>11554</v>
      </c>
      <c r="X1413" t="s">
        <v>329</v>
      </c>
      <c r="Y1413" t="s">
        <v>97</v>
      </c>
      <c r="Z1413" t="s">
        <v>77</v>
      </c>
      <c r="AA1413" t="str">
        <f>"10029-6504"</f>
        <v>10029-6504</v>
      </c>
      <c r="AB1413" t="s">
        <v>78</v>
      </c>
      <c r="AC1413" t="s">
        <v>79</v>
      </c>
      <c r="AD1413" t="s">
        <v>75</v>
      </c>
      <c r="AE1413" t="s">
        <v>80</v>
      </c>
      <c r="AG1413" t="s">
        <v>81</v>
      </c>
    </row>
    <row r="1414" spans="1:33" x14ac:dyDescent="0.25">
      <c r="A1414" t="str">
        <f>"1922398981"</f>
        <v>1922398981</v>
      </c>
      <c r="B1414" t="str">
        <f>"03972694"</f>
        <v>03972694</v>
      </c>
      <c r="C1414" t="s">
        <v>11555</v>
      </c>
      <c r="D1414" t="s">
        <v>11556</v>
      </c>
      <c r="E1414" t="s">
        <v>11557</v>
      </c>
      <c r="L1414" t="s">
        <v>84</v>
      </c>
      <c r="M1414" t="s">
        <v>75</v>
      </c>
      <c r="R1414" t="s">
        <v>11558</v>
      </c>
      <c r="W1414" t="s">
        <v>11558</v>
      </c>
      <c r="X1414" t="s">
        <v>3600</v>
      </c>
      <c r="Y1414" t="s">
        <v>190</v>
      </c>
      <c r="Z1414" t="s">
        <v>77</v>
      </c>
      <c r="AA1414" t="str">
        <f>"11106-4520"</f>
        <v>11106-4520</v>
      </c>
      <c r="AB1414" t="s">
        <v>78</v>
      </c>
      <c r="AC1414" t="s">
        <v>79</v>
      </c>
      <c r="AD1414" t="s">
        <v>75</v>
      </c>
      <c r="AE1414" t="s">
        <v>80</v>
      </c>
      <c r="AG1414" t="s">
        <v>81</v>
      </c>
    </row>
    <row r="1415" spans="1:33" x14ac:dyDescent="0.25">
      <c r="A1415" t="str">
        <f>"1942597588"</f>
        <v>1942597588</v>
      </c>
      <c r="B1415" t="str">
        <f>"04039007"</f>
        <v>04039007</v>
      </c>
      <c r="C1415" t="s">
        <v>11559</v>
      </c>
      <c r="D1415" t="s">
        <v>11560</v>
      </c>
      <c r="E1415" t="s">
        <v>11561</v>
      </c>
      <c r="L1415" t="s">
        <v>74</v>
      </c>
      <c r="M1415" t="s">
        <v>75</v>
      </c>
      <c r="R1415" t="s">
        <v>11561</v>
      </c>
      <c r="W1415" t="s">
        <v>11561</v>
      </c>
      <c r="X1415" t="s">
        <v>181</v>
      </c>
      <c r="Y1415" t="s">
        <v>97</v>
      </c>
      <c r="Z1415" t="s">
        <v>77</v>
      </c>
      <c r="AA1415" t="str">
        <f>"10025-1716"</f>
        <v>10025-1716</v>
      </c>
      <c r="AB1415" t="s">
        <v>78</v>
      </c>
      <c r="AC1415" t="s">
        <v>79</v>
      </c>
      <c r="AD1415" t="s">
        <v>75</v>
      </c>
      <c r="AE1415" t="s">
        <v>80</v>
      </c>
      <c r="AG1415" t="s">
        <v>81</v>
      </c>
    </row>
    <row r="1416" spans="1:33" x14ac:dyDescent="0.25">
      <c r="A1416" t="str">
        <f>"1548322522"</f>
        <v>1548322522</v>
      </c>
      <c r="B1416" t="str">
        <f>"02978870"</f>
        <v>02978870</v>
      </c>
      <c r="C1416" t="s">
        <v>11562</v>
      </c>
      <c r="D1416" t="s">
        <v>11563</v>
      </c>
      <c r="E1416" t="s">
        <v>11564</v>
      </c>
      <c r="L1416" t="s">
        <v>83</v>
      </c>
      <c r="M1416" t="s">
        <v>85</v>
      </c>
      <c r="R1416" t="s">
        <v>11565</v>
      </c>
      <c r="W1416" t="s">
        <v>11564</v>
      </c>
      <c r="X1416" t="s">
        <v>11566</v>
      </c>
      <c r="Y1416" t="s">
        <v>97</v>
      </c>
      <c r="Z1416" t="s">
        <v>77</v>
      </c>
      <c r="AA1416" t="str">
        <f>"10029-6574"</f>
        <v>10029-6574</v>
      </c>
      <c r="AB1416" t="s">
        <v>78</v>
      </c>
      <c r="AC1416" t="s">
        <v>79</v>
      </c>
      <c r="AD1416" t="s">
        <v>75</v>
      </c>
      <c r="AE1416" t="s">
        <v>80</v>
      </c>
      <c r="AG1416" t="s">
        <v>81</v>
      </c>
    </row>
    <row r="1417" spans="1:33" x14ac:dyDescent="0.25">
      <c r="A1417" t="str">
        <f>"1598770018"</f>
        <v>1598770018</v>
      </c>
      <c r="B1417" t="str">
        <f>"01921402"</f>
        <v>01921402</v>
      </c>
      <c r="C1417" t="s">
        <v>11567</v>
      </c>
      <c r="D1417" t="s">
        <v>11568</v>
      </c>
      <c r="E1417" t="s">
        <v>11569</v>
      </c>
      <c r="L1417" t="s">
        <v>170</v>
      </c>
      <c r="M1417" t="s">
        <v>85</v>
      </c>
      <c r="R1417" t="s">
        <v>11570</v>
      </c>
      <c r="W1417" t="s">
        <v>11569</v>
      </c>
      <c r="X1417" t="s">
        <v>11571</v>
      </c>
      <c r="Y1417" t="s">
        <v>97</v>
      </c>
      <c r="Z1417" t="s">
        <v>77</v>
      </c>
      <c r="AA1417" t="str">
        <f>"10003-8908"</f>
        <v>10003-8908</v>
      </c>
      <c r="AB1417" t="s">
        <v>122</v>
      </c>
      <c r="AC1417" t="s">
        <v>79</v>
      </c>
      <c r="AD1417" t="s">
        <v>75</v>
      </c>
      <c r="AE1417" t="s">
        <v>80</v>
      </c>
      <c r="AG1417" t="s">
        <v>81</v>
      </c>
    </row>
    <row r="1418" spans="1:33" x14ac:dyDescent="0.25">
      <c r="A1418" t="str">
        <f>"1881010429"</f>
        <v>1881010429</v>
      </c>
      <c r="B1418" t="str">
        <f>"04089974"</f>
        <v>04089974</v>
      </c>
      <c r="C1418" t="s">
        <v>11572</v>
      </c>
      <c r="D1418" t="s">
        <v>11573</v>
      </c>
      <c r="E1418" t="s">
        <v>11574</v>
      </c>
      <c r="L1418" t="s">
        <v>102</v>
      </c>
      <c r="M1418" t="s">
        <v>75</v>
      </c>
      <c r="R1418" t="s">
        <v>11575</v>
      </c>
      <c r="W1418" t="s">
        <v>11574</v>
      </c>
      <c r="X1418" t="s">
        <v>11195</v>
      </c>
      <c r="Y1418" t="s">
        <v>97</v>
      </c>
      <c r="Z1418" t="s">
        <v>77</v>
      </c>
      <c r="AA1418" t="str">
        <f>"10029-6030"</f>
        <v>10029-6030</v>
      </c>
      <c r="AB1418" t="s">
        <v>78</v>
      </c>
      <c r="AC1418" t="s">
        <v>79</v>
      </c>
      <c r="AD1418" t="s">
        <v>75</v>
      </c>
      <c r="AE1418" t="s">
        <v>80</v>
      </c>
      <c r="AG1418" t="s">
        <v>81</v>
      </c>
    </row>
    <row r="1419" spans="1:33" x14ac:dyDescent="0.25">
      <c r="A1419" t="str">
        <f>"1912039207"</f>
        <v>1912039207</v>
      </c>
      <c r="C1419" t="s">
        <v>11576</v>
      </c>
      <c r="K1419" t="s">
        <v>99</v>
      </c>
      <c r="L1419" t="s">
        <v>102</v>
      </c>
      <c r="M1419" t="s">
        <v>75</v>
      </c>
      <c r="R1419" t="s">
        <v>11577</v>
      </c>
      <c r="S1419" t="s">
        <v>11578</v>
      </c>
      <c r="T1419" t="s">
        <v>97</v>
      </c>
      <c r="U1419" t="s">
        <v>77</v>
      </c>
      <c r="V1419" t="str">
        <f>"100296500"</f>
        <v>100296500</v>
      </c>
      <c r="AC1419" t="s">
        <v>79</v>
      </c>
      <c r="AD1419" t="s">
        <v>75</v>
      </c>
      <c r="AE1419" t="s">
        <v>103</v>
      </c>
      <c r="AG1419" t="s">
        <v>81</v>
      </c>
    </row>
    <row r="1420" spans="1:33" x14ac:dyDescent="0.25">
      <c r="A1420" t="str">
        <f>"1770895997"</f>
        <v>1770895997</v>
      </c>
      <c r="C1420" t="s">
        <v>11579</v>
      </c>
      <c r="K1420" t="s">
        <v>99</v>
      </c>
      <c r="L1420" t="s">
        <v>102</v>
      </c>
      <c r="M1420" t="s">
        <v>75</v>
      </c>
      <c r="R1420" t="s">
        <v>11580</v>
      </c>
      <c r="S1420" t="s">
        <v>6041</v>
      </c>
      <c r="T1420" t="s">
        <v>97</v>
      </c>
      <c r="U1420" t="s">
        <v>77</v>
      </c>
      <c r="V1420" t="str">
        <f>"100290310"</f>
        <v>100290310</v>
      </c>
      <c r="AC1420" t="s">
        <v>79</v>
      </c>
      <c r="AD1420" t="s">
        <v>75</v>
      </c>
      <c r="AE1420" t="s">
        <v>103</v>
      </c>
      <c r="AG1420" t="s">
        <v>81</v>
      </c>
    </row>
    <row r="1421" spans="1:33" x14ac:dyDescent="0.25">
      <c r="A1421" t="str">
        <f>"1861529489"</f>
        <v>1861529489</v>
      </c>
      <c r="B1421" t="str">
        <f>"02807927"</f>
        <v>02807927</v>
      </c>
      <c r="C1421" t="s">
        <v>11581</v>
      </c>
      <c r="D1421" t="s">
        <v>11582</v>
      </c>
      <c r="E1421" t="s">
        <v>11583</v>
      </c>
      <c r="L1421" t="s">
        <v>84</v>
      </c>
      <c r="M1421" t="s">
        <v>75</v>
      </c>
      <c r="R1421" t="s">
        <v>11584</v>
      </c>
      <c r="W1421" t="s">
        <v>11585</v>
      </c>
      <c r="X1421" t="s">
        <v>329</v>
      </c>
      <c r="Y1421" t="s">
        <v>97</v>
      </c>
      <c r="Z1421" t="s">
        <v>77</v>
      </c>
      <c r="AA1421" t="str">
        <f>"10029-6504"</f>
        <v>10029-6504</v>
      </c>
      <c r="AB1421" t="s">
        <v>78</v>
      </c>
      <c r="AC1421" t="s">
        <v>79</v>
      </c>
      <c r="AD1421" t="s">
        <v>75</v>
      </c>
      <c r="AE1421" t="s">
        <v>80</v>
      </c>
      <c r="AG1421" t="s">
        <v>81</v>
      </c>
    </row>
    <row r="1422" spans="1:33" x14ac:dyDescent="0.25">
      <c r="A1422" t="str">
        <f>"1861538720"</f>
        <v>1861538720</v>
      </c>
      <c r="B1422" t="str">
        <f>"03039750"</f>
        <v>03039750</v>
      </c>
      <c r="C1422" t="s">
        <v>11586</v>
      </c>
      <c r="D1422" t="s">
        <v>11587</v>
      </c>
      <c r="E1422" t="s">
        <v>11588</v>
      </c>
      <c r="L1422" t="s">
        <v>74</v>
      </c>
      <c r="M1422" t="s">
        <v>75</v>
      </c>
      <c r="R1422" t="s">
        <v>11589</v>
      </c>
      <c r="W1422" t="s">
        <v>11588</v>
      </c>
      <c r="X1422" t="s">
        <v>11590</v>
      </c>
      <c r="Y1422" t="s">
        <v>91</v>
      </c>
      <c r="Z1422" t="s">
        <v>77</v>
      </c>
      <c r="AA1422" t="str">
        <f>"11373"</f>
        <v>11373</v>
      </c>
      <c r="AB1422" t="s">
        <v>125</v>
      </c>
      <c r="AC1422" t="s">
        <v>79</v>
      </c>
      <c r="AD1422" t="s">
        <v>75</v>
      </c>
      <c r="AE1422" t="s">
        <v>80</v>
      </c>
      <c r="AG1422" t="s">
        <v>81</v>
      </c>
    </row>
    <row r="1423" spans="1:33" x14ac:dyDescent="0.25">
      <c r="A1423" t="str">
        <f>"1780840074"</f>
        <v>1780840074</v>
      </c>
      <c r="B1423" t="str">
        <f>"04202782"</f>
        <v>04202782</v>
      </c>
      <c r="C1423" t="s">
        <v>11591</v>
      </c>
      <c r="D1423" t="s">
        <v>11592</v>
      </c>
      <c r="E1423" t="s">
        <v>3131</v>
      </c>
      <c r="L1423" t="s">
        <v>83</v>
      </c>
      <c r="M1423" t="s">
        <v>75</v>
      </c>
      <c r="R1423" t="s">
        <v>3131</v>
      </c>
      <c r="W1423" t="s">
        <v>11593</v>
      </c>
      <c r="X1423" t="s">
        <v>1027</v>
      </c>
      <c r="Y1423" t="s">
        <v>227</v>
      </c>
      <c r="Z1423" t="s">
        <v>77</v>
      </c>
      <c r="AA1423" t="str">
        <f>"10604-2906"</f>
        <v>10604-2906</v>
      </c>
      <c r="AB1423" t="s">
        <v>78</v>
      </c>
      <c r="AC1423" t="s">
        <v>79</v>
      </c>
      <c r="AD1423" t="s">
        <v>75</v>
      </c>
      <c r="AE1423" t="s">
        <v>80</v>
      </c>
      <c r="AG1423" t="s">
        <v>81</v>
      </c>
    </row>
    <row r="1424" spans="1:33" x14ac:dyDescent="0.25">
      <c r="A1424" t="str">
        <f>"1780842773"</f>
        <v>1780842773</v>
      </c>
      <c r="B1424" t="str">
        <f>"01647263"</f>
        <v>01647263</v>
      </c>
      <c r="C1424" t="s">
        <v>11594</v>
      </c>
      <c r="D1424" t="s">
        <v>11595</v>
      </c>
      <c r="E1424" t="s">
        <v>11596</v>
      </c>
      <c r="L1424" t="s">
        <v>102</v>
      </c>
      <c r="M1424" t="s">
        <v>75</v>
      </c>
      <c r="R1424" t="s">
        <v>11596</v>
      </c>
      <c r="W1424" t="s">
        <v>11596</v>
      </c>
      <c r="X1424" t="s">
        <v>11597</v>
      </c>
      <c r="Y1424" t="s">
        <v>2128</v>
      </c>
      <c r="Z1424" t="s">
        <v>77</v>
      </c>
      <c r="AA1424" t="str">
        <f>"11743-2743"</f>
        <v>11743-2743</v>
      </c>
      <c r="AB1424" t="s">
        <v>93</v>
      </c>
      <c r="AC1424" t="s">
        <v>79</v>
      </c>
      <c r="AD1424" t="s">
        <v>75</v>
      </c>
      <c r="AE1424" t="s">
        <v>80</v>
      </c>
      <c r="AG1424" t="s">
        <v>81</v>
      </c>
    </row>
    <row r="1425" spans="1:33" x14ac:dyDescent="0.25">
      <c r="A1425" t="str">
        <f>"1952653404"</f>
        <v>1952653404</v>
      </c>
      <c r="C1425" t="s">
        <v>11598</v>
      </c>
      <c r="K1425" t="s">
        <v>99</v>
      </c>
      <c r="L1425" t="s">
        <v>74</v>
      </c>
      <c r="M1425" t="s">
        <v>75</v>
      </c>
      <c r="R1425" t="s">
        <v>11599</v>
      </c>
      <c r="S1425" t="s">
        <v>5324</v>
      </c>
      <c r="T1425" t="s">
        <v>97</v>
      </c>
      <c r="U1425" t="s">
        <v>77</v>
      </c>
      <c r="V1425" t="str">
        <f>"100296500"</f>
        <v>100296500</v>
      </c>
      <c r="AC1425" t="s">
        <v>79</v>
      </c>
      <c r="AD1425" t="s">
        <v>75</v>
      </c>
      <c r="AE1425" t="s">
        <v>103</v>
      </c>
      <c r="AG1425" t="s">
        <v>81</v>
      </c>
    </row>
    <row r="1426" spans="1:33" x14ac:dyDescent="0.25">
      <c r="A1426" t="str">
        <f>"1336414564"</f>
        <v>1336414564</v>
      </c>
      <c r="C1426" t="s">
        <v>11600</v>
      </c>
      <c r="K1426" t="s">
        <v>99</v>
      </c>
      <c r="L1426" t="s">
        <v>102</v>
      </c>
      <c r="M1426" t="s">
        <v>75</v>
      </c>
      <c r="R1426" t="s">
        <v>11601</v>
      </c>
      <c r="S1426" t="s">
        <v>11602</v>
      </c>
      <c r="T1426" t="s">
        <v>97</v>
      </c>
      <c r="U1426" t="s">
        <v>77</v>
      </c>
      <c r="V1426" t="str">
        <f>"100295204"</f>
        <v>100295204</v>
      </c>
      <c r="AC1426" t="s">
        <v>79</v>
      </c>
      <c r="AD1426" t="s">
        <v>75</v>
      </c>
      <c r="AE1426" t="s">
        <v>103</v>
      </c>
      <c r="AG1426" t="s">
        <v>81</v>
      </c>
    </row>
    <row r="1427" spans="1:33" x14ac:dyDescent="0.25">
      <c r="A1427" t="str">
        <f>"1053351858"</f>
        <v>1053351858</v>
      </c>
      <c r="B1427" t="str">
        <f>"01141822"</f>
        <v>01141822</v>
      </c>
      <c r="C1427" t="s">
        <v>11603</v>
      </c>
      <c r="D1427" t="s">
        <v>11604</v>
      </c>
      <c r="E1427" t="s">
        <v>11605</v>
      </c>
      <c r="L1427" t="s">
        <v>74</v>
      </c>
      <c r="M1427" t="s">
        <v>75</v>
      </c>
      <c r="R1427" t="s">
        <v>11606</v>
      </c>
      <c r="W1427" t="s">
        <v>11606</v>
      </c>
      <c r="X1427" t="s">
        <v>11607</v>
      </c>
      <c r="Y1427" t="s">
        <v>87</v>
      </c>
      <c r="Z1427" t="s">
        <v>77</v>
      </c>
      <c r="AA1427" t="str">
        <f>"11234-2643"</f>
        <v>11234-2643</v>
      </c>
      <c r="AB1427" t="s">
        <v>78</v>
      </c>
      <c r="AC1427" t="s">
        <v>79</v>
      </c>
      <c r="AD1427" t="s">
        <v>75</v>
      </c>
      <c r="AE1427" t="s">
        <v>80</v>
      </c>
      <c r="AG1427" t="s">
        <v>81</v>
      </c>
    </row>
    <row r="1428" spans="1:33" x14ac:dyDescent="0.25">
      <c r="A1428" t="str">
        <f>"1689973232"</f>
        <v>1689973232</v>
      </c>
      <c r="C1428" t="s">
        <v>11608</v>
      </c>
      <c r="K1428" t="s">
        <v>99</v>
      </c>
      <c r="L1428" t="s">
        <v>102</v>
      </c>
      <c r="M1428" t="s">
        <v>75</v>
      </c>
      <c r="R1428" t="s">
        <v>11609</v>
      </c>
      <c r="S1428" t="s">
        <v>11610</v>
      </c>
      <c r="T1428" t="s">
        <v>97</v>
      </c>
      <c r="U1428" t="s">
        <v>77</v>
      </c>
      <c r="V1428" t="str">
        <f>"100296504"</f>
        <v>100296504</v>
      </c>
      <c r="AC1428" t="s">
        <v>79</v>
      </c>
      <c r="AD1428" t="s">
        <v>75</v>
      </c>
      <c r="AE1428" t="s">
        <v>103</v>
      </c>
      <c r="AG1428" t="s">
        <v>81</v>
      </c>
    </row>
    <row r="1429" spans="1:33" x14ac:dyDescent="0.25">
      <c r="A1429" t="str">
        <f>"1326381641"</f>
        <v>1326381641</v>
      </c>
      <c r="C1429" t="s">
        <v>11611</v>
      </c>
      <c r="K1429" t="s">
        <v>99</v>
      </c>
      <c r="L1429" t="s">
        <v>102</v>
      </c>
      <c r="M1429" t="s">
        <v>75</v>
      </c>
      <c r="R1429" t="s">
        <v>11612</v>
      </c>
      <c r="S1429" t="s">
        <v>11613</v>
      </c>
      <c r="T1429" t="s">
        <v>11614</v>
      </c>
      <c r="U1429" t="s">
        <v>11615</v>
      </c>
      <c r="V1429" t="str">
        <f>"200373201"</f>
        <v>200373201</v>
      </c>
      <c r="AC1429" t="s">
        <v>79</v>
      </c>
      <c r="AD1429" t="s">
        <v>75</v>
      </c>
      <c r="AE1429" t="s">
        <v>103</v>
      </c>
      <c r="AG1429" t="s">
        <v>81</v>
      </c>
    </row>
    <row r="1430" spans="1:33" x14ac:dyDescent="0.25">
      <c r="A1430" t="str">
        <f>"1861623118"</f>
        <v>1861623118</v>
      </c>
      <c r="C1430" t="s">
        <v>11616</v>
      </c>
      <c r="K1430" t="s">
        <v>99</v>
      </c>
      <c r="L1430" t="s">
        <v>102</v>
      </c>
      <c r="M1430" t="s">
        <v>75</v>
      </c>
      <c r="R1430" t="s">
        <v>11617</v>
      </c>
      <c r="S1430" t="s">
        <v>11618</v>
      </c>
      <c r="T1430" t="s">
        <v>4651</v>
      </c>
      <c r="U1430" t="s">
        <v>2659</v>
      </c>
      <c r="V1430" t="str">
        <f>"981152152"</f>
        <v>981152152</v>
      </c>
      <c r="AC1430" t="s">
        <v>79</v>
      </c>
      <c r="AD1430" t="s">
        <v>75</v>
      </c>
      <c r="AE1430" t="s">
        <v>103</v>
      </c>
      <c r="AG1430" t="s">
        <v>81</v>
      </c>
    </row>
    <row r="1431" spans="1:33" x14ac:dyDescent="0.25">
      <c r="A1431" t="str">
        <f>"1861642928"</f>
        <v>1861642928</v>
      </c>
      <c r="B1431" t="str">
        <f>"03711442"</f>
        <v>03711442</v>
      </c>
      <c r="C1431" t="s">
        <v>11619</v>
      </c>
      <c r="D1431" t="s">
        <v>11620</v>
      </c>
      <c r="E1431" t="s">
        <v>11621</v>
      </c>
      <c r="L1431" t="s">
        <v>74</v>
      </c>
      <c r="M1431" t="s">
        <v>75</v>
      </c>
      <c r="R1431" t="s">
        <v>11622</v>
      </c>
      <c r="W1431" t="s">
        <v>11621</v>
      </c>
      <c r="X1431" t="s">
        <v>11181</v>
      </c>
      <c r="Y1431" t="s">
        <v>97</v>
      </c>
      <c r="Z1431" t="s">
        <v>77</v>
      </c>
      <c r="AA1431" t="str">
        <f>"10029-6504"</f>
        <v>10029-6504</v>
      </c>
      <c r="AB1431" t="s">
        <v>78</v>
      </c>
      <c r="AC1431" t="s">
        <v>79</v>
      </c>
      <c r="AD1431" t="s">
        <v>75</v>
      </c>
      <c r="AE1431" t="s">
        <v>80</v>
      </c>
      <c r="AG1431" t="s">
        <v>81</v>
      </c>
    </row>
    <row r="1432" spans="1:33" x14ac:dyDescent="0.25">
      <c r="A1432" t="str">
        <f>"1861667925"</f>
        <v>1861667925</v>
      </c>
      <c r="B1432" t="str">
        <f>"03711406"</f>
        <v>03711406</v>
      </c>
      <c r="C1432" t="s">
        <v>11623</v>
      </c>
      <c r="D1432" t="s">
        <v>11624</v>
      </c>
      <c r="E1432" t="s">
        <v>11625</v>
      </c>
      <c r="L1432" t="s">
        <v>102</v>
      </c>
      <c r="M1432" t="s">
        <v>75</v>
      </c>
      <c r="R1432" t="s">
        <v>11626</v>
      </c>
      <c r="W1432" t="s">
        <v>11625</v>
      </c>
      <c r="X1432" t="s">
        <v>329</v>
      </c>
      <c r="Y1432" t="s">
        <v>97</v>
      </c>
      <c r="Z1432" t="s">
        <v>77</v>
      </c>
      <c r="AA1432" t="str">
        <f>"10029-6504"</f>
        <v>10029-6504</v>
      </c>
      <c r="AB1432" t="s">
        <v>78</v>
      </c>
      <c r="AC1432" t="s">
        <v>79</v>
      </c>
      <c r="AD1432" t="s">
        <v>75</v>
      </c>
      <c r="AE1432" t="s">
        <v>80</v>
      </c>
      <c r="AG1432" t="s">
        <v>81</v>
      </c>
    </row>
    <row r="1433" spans="1:33" x14ac:dyDescent="0.25">
      <c r="A1433" t="str">
        <f>"1952400525"</f>
        <v>1952400525</v>
      </c>
      <c r="B1433" t="str">
        <f>"00976852"</f>
        <v>00976852</v>
      </c>
      <c r="C1433" t="s">
        <v>11627</v>
      </c>
      <c r="D1433" t="s">
        <v>11628</v>
      </c>
      <c r="E1433" t="s">
        <v>11629</v>
      </c>
      <c r="L1433" t="s">
        <v>83</v>
      </c>
      <c r="M1433" t="s">
        <v>75</v>
      </c>
      <c r="R1433" t="s">
        <v>11630</v>
      </c>
      <c r="W1433" t="s">
        <v>11629</v>
      </c>
      <c r="X1433" t="s">
        <v>228</v>
      </c>
      <c r="Y1433" t="s">
        <v>91</v>
      </c>
      <c r="Z1433" t="s">
        <v>77</v>
      </c>
      <c r="AA1433" t="str">
        <f>"11373-1329"</f>
        <v>11373-1329</v>
      </c>
      <c r="AB1433" t="s">
        <v>78</v>
      </c>
      <c r="AC1433" t="s">
        <v>79</v>
      </c>
      <c r="AD1433" t="s">
        <v>75</v>
      </c>
      <c r="AE1433" t="s">
        <v>80</v>
      </c>
      <c r="AG1433" t="s">
        <v>81</v>
      </c>
    </row>
    <row r="1434" spans="1:33" x14ac:dyDescent="0.25">
      <c r="A1434" t="str">
        <f>"1952401663"</f>
        <v>1952401663</v>
      </c>
      <c r="C1434" t="s">
        <v>11631</v>
      </c>
      <c r="K1434" t="s">
        <v>99</v>
      </c>
      <c r="L1434" t="s">
        <v>74</v>
      </c>
      <c r="M1434" t="s">
        <v>75</v>
      </c>
      <c r="R1434" t="s">
        <v>11632</v>
      </c>
      <c r="S1434" t="s">
        <v>5324</v>
      </c>
      <c r="T1434" t="s">
        <v>97</v>
      </c>
      <c r="U1434" t="s">
        <v>77</v>
      </c>
      <c r="V1434" t="str">
        <f>"100296504"</f>
        <v>100296504</v>
      </c>
      <c r="AC1434" t="s">
        <v>79</v>
      </c>
      <c r="AD1434" t="s">
        <v>75</v>
      </c>
      <c r="AE1434" t="s">
        <v>103</v>
      </c>
      <c r="AG1434" t="s">
        <v>81</v>
      </c>
    </row>
    <row r="1435" spans="1:33" x14ac:dyDescent="0.25">
      <c r="A1435" t="str">
        <f>"1003034109"</f>
        <v>1003034109</v>
      </c>
      <c r="B1435" t="str">
        <f>"01880088"</f>
        <v>01880088</v>
      </c>
      <c r="C1435" t="s">
        <v>1282</v>
      </c>
      <c r="D1435" t="s">
        <v>1280</v>
      </c>
      <c r="E1435" t="s">
        <v>1281</v>
      </c>
      <c r="L1435" t="s">
        <v>119</v>
      </c>
      <c r="M1435" t="s">
        <v>85</v>
      </c>
      <c r="R1435" t="s">
        <v>1282</v>
      </c>
      <c r="W1435" t="s">
        <v>1281</v>
      </c>
      <c r="X1435" t="s">
        <v>1283</v>
      </c>
      <c r="Y1435" t="s">
        <v>97</v>
      </c>
      <c r="Z1435" t="s">
        <v>77</v>
      </c>
      <c r="AA1435" t="str">
        <f>"10004-1008"</f>
        <v>10004-1008</v>
      </c>
      <c r="AB1435" t="s">
        <v>122</v>
      </c>
      <c r="AC1435" t="s">
        <v>79</v>
      </c>
      <c r="AD1435" t="s">
        <v>75</v>
      </c>
      <c r="AE1435" t="s">
        <v>80</v>
      </c>
      <c r="AG1435" t="s">
        <v>81</v>
      </c>
    </row>
    <row r="1436" spans="1:33" x14ac:dyDescent="0.25">
      <c r="A1436" t="str">
        <f>"1851338503"</f>
        <v>1851338503</v>
      </c>
      <c r="B1436" t="str">
        <f>"01971604"</f>
        <v>01971604</v>
      </c>
      <c r="C1436" t="s">
        <v>11633</v>
      </c>
      <c r="D1436" t="s">
        <v>11634</v>
      </c>
      <c r="E1436" t="s">
        <v>11635</v>
      </c>
      <c r="L1436" t="s">
        <v>83</v>
      </c>
      <c r="M1436" t="s">
        <v>75</v>
      </c>
      <c r="R1436" t="s">
        <v>11636</v>
      </c>
      <c r="W1436" t="s">
        <v>11635</v>
      </c>
      <c r="X1436" t="s">
        <v>6123</v>
      </c>
      <c r="Y1436" t="s">
        <v>97</v>
      </c>
      <c r="Z1436" t="s">
        <v>77</v>
      </c>
      <c r="AA1436" t="str">
        <f>"10031-1716"</f>
        <v>10031-1716</v>
      </c>
      <c r="AB1436" t="s">
        <v>78</v>
      </c>
      <c r="AC1436" t="s">
        <v>79</v>
      </c>
      <c r="AD1436" t="s">
        <v>75</v>
      </c>
      <c r="AE1436" t="s">
        <v>80</v>
      </c>
      <c r="AG1436" t="s">
        <v>81</v>
      </c>
    </row>
    <row r="1437" spans="1:33" x14ac:dyDescent="0.25">
      <c r="A1437" t="str">
        <f>"1144529900"</f>
        <v>1144529900</v>
      </c>
      <c r="C1437" t="s">
        <v>11637</v>
      </c>
      <c r="K1437" t="s">
        <v>99</v>
      </c>
      <c r="L1437" t="s">
        <v>102</v>
      </c>
      <c r="M1437" t="s">
        <v>75</v>
      </c>
      <c r="R1437" t="s">
        <v>11638</v>
      </c>
      <c r="S1437" t="s">
        <v>11639</v>
      </c>
      <c r="T1437" t="s">
        <v>2669</v>
      </c>
      <c r="U1437" t="s">
        <v>1214</v>
      </c>
      <c r="V1437" t="str">
        <f>"277139365"</f>
        <v>277139365</v>
      </c>
      <c r="AC1437" t="s">
        <v>79</v>
      </c>
      <c r="AD1437" t="s">
        <v>75</v>
      </c>
      <c r="AE1437" t="s">
        <v>103</v>
      </c>
      <c r="AG1437" t="s">
        <v>81</v>
      </c>
    </row>
    <row r="1438" spans="1:33" x14ac:dyDescent="0.25">
      <c r="A1438" t="str">
        <f>"1861674624"</f>
        <v>1861674624</v>
      </c>
      <c r="B1438" t="str">
        <f>"00095510"</f>
        <v>00095510</v>
      </c>
      <c r="C1438" t="s">
        <v>11640</v>
      </c>
      <c r="D1438" t="s">
        <v>11641</v>
      </c>
      <c r="E1438" t="s">
        <v>11642</v>
      </c>
      <c r="L1438" t="s">
        <v>74</v>
      </c>
      <c r="M1438" t="s">
        <v>75</v>
      </c>
      <c r="R1438" t="s">
        <v>11643</v>
      </c>
      <c r="W1438" t="s">
        <v>11642</v>
      </c>
      <c r="X1438" t="s">
        <v>11644</v>
      </c>
      <c r="Y1438" t="s">
        <v>97</v>
      </c>
      <c r="Z1438" t="s">
        <v>77</v>
      </c>
      <c r="AA1438" t="str">
        <f>"10128-6828"</f>
        <v>10128-6828</v>
      </c>
      <c r="AB1438" t="s">
        <v>78</v>
      </c>
      <c r="AC1438" t="s">
        <v>79</v>
      </c>
      <c r="AD1438" t="s">
        <v>75</v>
      </c>
      <c r="AE1438" t="s">
        <v>80</v>
      </c>
      <c r="AG1438" t="s">
        <v>81</v>
      </c>
    </row>
    <row r="1439" spans="1:33" x14ac:dyDescent="0.25">
      <c r="A1439" t="str">
        <f>"1811339906"</f>
        <v>1811339906</v>
      </c>
      <c r="B1439" t="str">
        <f>"03727819"</f>
        <v>03727819</v>
      </c>
      <c r="C1439" t="s">
        <v>11645</v>
      </c>
      <c r="D1439" t="s">
        <v>11646</v>
      </c>
      <c r="E1439" t="s">
        <v>11647</v>
      </c>
      <c r="L1439" t="s">
        <v>74</v>
      </c>
      <c r="M1439" t="s">
        <v>75</v>
      </c>
      <c r="R1439" t="s">
        <v>11648</v>
      </c>
      <c r="W1439" t="s">
        <v>11647</v>
      </c>
      <c r="X1439" t="s">
        <v>329</v>
      </c>
      <c r="Y1439" t="s">
        <v>97</v>
      </c>
      <c r="Z1439" t="s">
        <v>77</v>
      </c>
      <c r="AA1439" t="str">
        <f>"10029-6504"</f>
        <v>10029-6504</v>
      </c>
      <c r="AB1439" t="s">
        <v>78</v>
      </c>
      <c r="AC1439" t="s">
        <v>79</v>
      </c>
      <c r="AD1439" t="s">
        <v>75</v>
      </c>
      <c r="AE1439" t="s">
        <v>80</v>
      </c>
      <c r="AG1439" t="s">
        <v>81</v>
      </c>
    </row>
    <row r="1440" spans="1:33" x14ac:dyDescent="0.25">
      <c r="A1440" t="str">
        <f>"1952583205"</f>
        <v>1952583205</v>
      </c>
      <c r="B1440" t="str">
        <f>"03096206"</f>
        <v>03096206</v>
      </c>
      <c r="C1440" t="s">
        <v>11649</v>
      </c>
      <c r="D1440" t="s">
        <v>11650</v>
      </c>
      <c r="E1440" t="s">
        <v>11651</v>
      </c>
      <c r="L1440" t="s">
        <v>84</v>
      </c>
      <c r="M1440" t="s">
        <v>85</v>
      </c>
      <c r="R1440" t="s">
        <v>11652</v>
      </c>
      <c r="W1440" t="s">
        <v>11651</v>
      </c>
      <c r="X1440" t="s">
        <v>272</v>
      </c>
      <c r="Y1440" t="s">
        <v>97</v>
      </c>
      <c r="Z1440" t="s">
        <v>77</v>
      </c>
      <c r="AA1440" t="str">
        <f>"10029-6501"</f>
        <v>10029-6501</v>
      </c>
      <c r="AB1440" t="s">
        <v>78</v>
      </c>
      <c r="AC1440" t="s">
        <v>79</v>
      </c>
      <c r="AD1440" t="s">
        <v>75</v>
      </c>
      <c r="AE1440" t="s">
        <v>80</v>
      </c>
      <c r="AG1440" t="s">
        <v>81</v>
      </c>
    </row>
    <row r="1441" spans="1:33" x14ac:dyDescent="0.25">
      <c r="A1441" t="str">
        <f>"1922033653"</f>
        <v>1922033653</v>
      </c>
      <c r="B1441" t="str">
        <f>"02225372"</f>
        <v>02225372</v>
      </c>
      <c r="C1441" t="s">
        <v>11653</v>
      </c>
      <c r="D1441" t="s">
        <v>11654</v>
      </c>
      <c r="E1441" t="s">
        <v>11655</v>
      </c>
      <c r="L1441" t="s">
        <v>102</v>
      </c>
      <c r="M1441" t="s">
        <v>75</v>
      </c>
      <c r="R1441" t="s">
        <v>11656</v>
      </c>
      <c r="W1441" t="s">
        <v>11655</v>
      </c>
      <c r="X1441" t="s">
        <v>11657</v>
      </c>
      <c r="Y1441" t="s">
        <v>97</v>
      </c>
      <c r="Z1441" t="s">
        <v>77</v>
      </c>
      <c r="AA1441" t="str">
        <f>"10029-6574"</f>
        <v>10029-6574</v>
      </c>
      <c r="AB1441" t="s">
        <v>78</v>
      </c>
      <c r="AC1441" t="s">
        <v>79</v>
      </c>
      <c r="AD1441" t="s">
        <v>75</v>
      </c>
      <c r="AE1441" t="s">
        <v>80</v>
      </c>
      <c r="AG1441" t="s">
        <v>81</v>
      </c>
    </row>
    <row r="1442" spans="1:33" x14ac:dyDescent="0.25">
      <c r="A1442" t="str">
        <f>"1912312166"</f>
        <v>1912312166</v>
      </c>
      <c r="C1442" t="s">
        <v>11658</v>
      </c>
      <c r="K1442" t="s">
        <v>99</v>
      </c>
      <c r="L1442" t="s">
        <v>102</v>
      </c>
      <c r="M1442" t="s">
        <v>75</v>
      </c>
      <c r="R1442" t="s">
        <v>11659</v>
      </c>
      <c r="S1442" t="s">
        <v>329</v>
      </c>
      <c r="T1442" t="s">
        <v>97</v>
      </c>
      <c r="U1442" t="s">
        <v>77</v>
      </c>
      <c r="V1442" t="str">
        <f>"100296504"</f>
        <v>100296504</v>
      </c>
      <c r="AC1442" t="s">
        <v>79</v>
      </c>
      <c r="AD1442" t="s">
        <v>75</v>
      </c>
      <c r="AE1442" t="s">
        <v>103</v>
      </c>
      <c r="AG1442" t="s">
        <v>81</v>
      </c>
    </row>
    <row r="1443" spans="1:33" x14ac:dyDescent="0.25">
      <c r="A1443" t="str">
        <f>"1912968751"</f>
        <v>1912968751</v>
      </c>
      <c r="B1443" t="str">
        <f>"02718936"</f>
        <v>02718936</v>
      </c>
      <c r="C1443" t="s">
        <v>11660</v>
      </c>
      <c r="D1443" t="s">
        <v>11661</v>
      </c>
      <c r="E1443" t="s">
        <v>11662</v>
      </c>
      <c r="L1443" t="s">
        <v>84</v>
      </c>
      <c r="M1443" t="s">
        <v>75</v>
      </c>
      <c r="R1443" t="s">
        <v>11663</v>
      </c>
      <c r="W1443" t="s">
        <v>11662</v>
      </c>
      <c r="X1443" t="s">
        <v>8196</v>
      </c>
      <c r="Y1443" t="s">
        <v>87</v>
      </c>
      <c r="Z1443" t="s">
        <v>77</v>
      </c>
      <c r="AA1443" t="str">
        <f>"11201-5551"</f>
        <v>11201-5551</v>
      </c>
      <c r="AB1443" t="s">
        <v>78</v>
      </c>
      <c r="AC1443" t="s">
        <v>79</v>
      </c>
      <c r="AD1443" t="s">
        <v>75</v>
      </c>
      <c r="AE1443" t="s">
        <v>80</v>
      </c>
      <c r="AG1443" t="s">
        <v>81</v>
      </c>
    </row>
    <row r="1444" spans="1:33" x14ac:dyDescent="0.25">
      <c r="A1444" t="str">
        <f>"1851554265"</f>
        <v>1851554265</v>
      </c>
      <c r="B1444" t="str">
        <f>"04108494"</f>
        <v>04108494</v>
      </c>
      <c r="C1444" t="s">
        <v>11664</v>
      </c>
      <c r="D1444" t="s">
        <v>11665</v>
      </c>
      <c r="E1444" t="s">
        <v>11666</v>
      </c>
      <c r="L1444" t="s">
        <v>74</v>
      </c>
      <c r="M1444" t="s">
        <v>75</v>
      </c>
      <c r="R1444" t="s">
        <v>11667</v>
      </c>
      <c r="W1444" t="s">
        <v>11666</v>
      </c>
      <c r="X1444" t="s">
        <v>817</v>
      </c>
      <c r="Y1444" t="s">
        <v>87</v>
      </c>
      <c r="Z1444" t="s">
        <v>77</v>
      </c>
      <c r="AA1444" t="str">
        <f>"11222-1625"</f>
        <v>11222-1625</v>
      </c>
      <c r="AB1444" t="s">
        <v>78</v>
      </c>
      <c r="AC1444" t="s">
        <v>79</v>
      </c>
      <c r="AD1444" t="s">
        <v>75</v>
      </c>
      <c r="AE1444" t="s">
        <v>80</v>
      </c>
      <c r="AG1444" t="s">
        <v>81</v>
      </c>
    </row>
    <row r="1445" spans="1:33" x14ac:dyDescent="0.25">
      <c r="A1445" t="str">
        <f>"1871515346"</f>
        <v>1871515346</v>
      </c>
      <c r="B1445" t="str">
        <f>"00710361"</f>
        <v>00710361</v>
      </c>
      <c r="C1445" t="s">
        <v>11668</v>
      </c>
      <c r="D1445" t="s">
        <v>11669</v>
      </c>
      <c r="E1445" t="s">
        <v>11670</v>
      </c>
      <c r="L1445" t="s">
        <v>105</v>
      </c>
      <c r="M1445" t="s">
        <v>75</v>
      </c>
      <c r="R1445" t="s">
        <v>11671</v>
      </c>
      <c r="W1445" t="s">
        <v>11670</v>
      </c>
      <c r="X1445" t="s">
        <v>5380</v>
      </c>
      <c r="Y1445" t="s">
        <v>131</v>
      </c>
      <c r="Z1445" t="s">
        <v>77</v>
      </c>
      <c r="AA1445" t="str">
        <f>"10457-2545"</f>
        <v>10457-2545</v>
      </c>
      <c r="AB1445" t="s">
        <v>78</v>
      </c>
      <c r="AC1445" t="s">
        <v>79</v>
      </c>
      <c r="AD1445" t="s">
        <v>75</v>
      </c>
      <c r="AE1445" t="s">
        <v>80</v>
      </c>
      <c r="AG1445" t="s">
        <v>81</v>
      </c>
    </row>
    <row r="1446" spans="1:33" x14ac:dyDescent="0.25">
      <c r="A1446" t="str">
        <f>"1962576819"</f>
        <v>1962576819</v>
      </c>
      <c r="B1446" t="str">
        <f>"01828793"</f>
        <v>01828793</v>
      </c>
      <c r="C1446" t="s">
        <v>11672</v>
      </c>
      <c r="D1446" t="s">
        <v>11673</v>
      </c>
      <c r="E1446" t="s">
        <v>11674</v>
      </c>
      <c r="L1446" t="s">
        <v>84</v>
      </c>
      <c r="M1446" t="s">
        <v>75</v>
      </c>
      <c r="R1446" t="s">
        <v>11675</v>
      </c>
      <c r="W1446" t="s">
        <v>11676</v>
      </c>
      <c r="X1446" t="s">
        <v>333</v>
      </c>
      <c r="Y1446" t="s">
        <v>97</v>
      </c>
      <c r="Z1446" t="s">
        <v>77</v>
      </c>
      <c r="AA1446" t="str">
        <f>"10016-9196"</f>
        <v>10016-9196</v>
      </c>
      <c r="AB1446" t="s">
        <v>78</v>
      </c>
      <c r="AC1446" t="s">
        <v>79</v>
      </c>
      <c r="AD1446" t="s">
        <v>75</v>
      </c>
      <c r="AE1446" t="s">
        <v>80</v>
      </c>
      <c r="AG1446" t="s">
        <v>81</v>
      </c>
    </row>
    <row r="1447" spans="1:33" x14ac:dyDescent="0.25">
      <c r="A1447" t="str">
        <f>"1962661819"</f>
        <v>1962661819</v>
      </c>
      <c r="B1447" t="str">
        <f>"03873425"</f>
        <v>03873425</v>
      </c>
      <c r="C1447" t="s">
        <v>11677</v>
      </c>
      <c r="D1447" t="s">
        <v>11678</v>
      </c>
      <c r="E1447" t="s">
        <v>11679</v>
      </c>
      <c r="L1447" t="s">
        <v>83</v>
      </c>
      <c r="M1447" t="s">
        <v>75</v>
      </c>
      <c r="R1447" t="s">
        <v>11680</v>
      </c>
      <c r="W1447" t="s">
        <v>11681</v>
      </c>
      <c r="X1447" t="s">
        <v>329</v>
      </c>
      <c r="Y1447" t="s">
        <v>97</v>
      </c>
      <c r="Z1447" t="s">
        <v>77</v>
      </c>
      <c r="AA1447" t="str">
        <f>"10029-6504"</f>
        <v>10029-6504</v>
      </c>
      <c r="AB1447" t="s">
        <v>78</v>
      </c>
      <c r="AC1447" t="s">
        <v>79</v>
      </c>
      <c r="AD1447" t="s">
        <v>75</v>
      </c>
      <c r="AE1447" t="s">
        <v>80</v>
      </c>
      <c r="AG1447" t="s">
        <v>81</v>
      </c>
    </row>
    <row r="1448" spans="1:33" x14ac:dyDescent="0.25">
      <c r="A1448" t="str">
        <f>"1962553982"</f>
        <v>1962553982</v>
      </c>
      <c r="B1448" t="str">
        <f>"02706009"</f>
        <v>02706009</v>
      </c>
      <c r="C1448" t="s">
        <v>11682</v>
      </c>
      <c r="D1448" t="s">
        <v>11683</v>
      </c>
      <c r="E1448" t="s">
        <v>11684</v>
      </c>
      <c r="L1448" t="s">
        <v>83</v>
      </c>
      <c r="M1448" t="s">
        <v>75</v>
      </c>
      <c r="R1448" t="s">
        <v>11685</v>
      </c>
      <c r="W1448" t="s">
        <v>11684</v>
      </c>
      <c r="X1448" t="s">
        <v>11686</v>
      </c>
      <c r="Y1448" t="s">
        <v>4844</v>
      </c>
      <c r="Z1448" t="s">
        <v>77</v>
      </c>
      <c r="AA1448" t="str">
        <f>"12428-1062"</f>
        <v>12428-1062</v>
      </c>
      <c r="AB1448" t="s">
        <v>114</v>
      </c>
      <c r="AC1448" t="s">
        <v>79</v>
      </c>
      <c r="AD1448" t="s">
        <v>75</v>
      </c>
      <c r="AE1448" t="s">
        <v>80</v>
      </c>
      <c r="AG1448" t="s">
        <v>81</v>
      </c>
    </row>
    <row r="1449" spans="1:33" x14ac:dyDescent="0.25">
      <c r="A1449" t="str">
        <f>"1821148453"</f>
        <v>1821148453</v>
      </c>
      <c r="B1449" t="str">
        <f>"02619390"</f>
        <v>02619390</v>
      </c>
      <c r="C1449" t="s">
        <v>11687</v>
      </c>
      <c r="D1449" t="s">
        <v>11688</v>
      </c>
      <c r="E1449" t="s">
        <v>11689</v>
      </c>
      <c r="L1449" t="s">
        <v>105</v>
      </c>
      <c r="M1449" t="s">
        <v>75</v>
      </c>
      <c r="R1449" t="s">
        <v>11690</v>
      </c>
      <c r="W1449" t="s">
        <v>11689</v>
      </c>
      <c r="X1449" t="s">
        <v>11691</v>
      </c>
      <c r="Y1449" t="s">
        <v>97</v>
      </c>
      <c r="Z1449" t="s">
        <v>77</v>
      </c>
      <c r="AA1449" t="str">
        <f>"10021-4252"</f>
        <v>10021-4252</v>
      </c>
      <c r="AB1449" t="s">
        <v>78</v>
      </c>
      <c r="AC1449" t="s">
        <v>79</v>
      </c>
      <c r="AD1449" t="s">
        <v>75</v>
      </c>
      <c r="AE1449" t="s">
        <v>80</v>
      </c>
      <c r="AG1449" t="s">
        <v>81</v>
      </c>
    </row>
    <row r="1450" spans="1:33" x14ac:dyDescent="0.25">
      <c r="A1450" t="str">
        <f>"1952331522"</f>
        <v>1952331522</v>
      </c>
      <c r="B1450" t="str">
        <f>"02009034"</f>
        <v>02009034</v>
      </c>
      <c r="C1450" t="s">
        <v>11692</v>
      </c>
      <c r="D1450" t="s">
        <v>11693</v>
      </c>
      <c r="E1450" t="s">
        <v>11694</v>
      </c>
      <c r="L1450" t="s">
        <v>105</v>
      </c>
      <c r="M1450" t="s">
        <v>75</v>
      </c>
      <c r="R1450" t="s">
        <v>11695</v>
      </c>
      <c r="W1450" t="s">
        <v>11696</v>
      </c>
      <c r="X1450" t="s">
        <v>329</v>
      </c>
      <c r="Y1450" t="s">
        <v>97</v>
      </c>
      <c r="Z1450" t="s">
        <v>77</v>
      </c>
      <c r="AA1450" t="str">
        <f>"10029-6500"</f>
        <v>10029-6500</v>
      </c>
      <c r="AB1450" t="s">
        <v>125</v>
      </c>
      <c r="AC1450" t="s">
        <v>79</v>
      </c>
      <c r="AD1450" t="s">
        <v>75</v>
      </c>
      <c r="AE1450" t="s">
        <v>80</v>
      </c>
      <c r="AG1450" t="s">
        <v>81</v>
      </c>
    </row>
    <row r="1451" spans="1:33" x14ac:dyDescent="0.25">
      <c r="A1451" t="str">
        <f>"1790741718"</f>
        <v>1790741718</v>
      </c>
      <c r="B1451" t="str">
        <f>"03996361"</f>
        <v>03996361</v>
      </c>
      <c r="C1451" t="s">
        <v>11697</v>
      </c>
      <c r="D1451" t="s">
        <v>11698</v>
      </c>
      <c r="E1451" t="s">
        <v>11699</v>
      </c>
      <c r="L1451" t="s">
        <v>74</v>
      </c>
      <c r="M1451" t="s">
        <v>75</v>
      </c>
      <c r="R1451" t="s">
        <v>11700</v>
      </c>
      <c r="W1451" t="s">
        <v>11699</v>
      </c>
      <c r="X1451" t="s">
        <v>329</v>
      </c>
      <c r="Y1451" t="s">
        <v>97</v>
      </c>
      <c r="Z1451" t="s">
        <v>77</v>
      </c>
      <c r="AA1451" t="str">
        <f>"10029-6504"</f>
        <v>10029-6504</v>
      </c>
      <c r="AB1451" t="s">
        <v>78</v>
      </c>
      <c r="AC1451" t="s">
        <v>79</v>
      </c>
      <c r="AD1451" t="s">
        <v>75</v>
      </c>
      <c r="AE1451" t="s">
        <v>80</v>
      </c>
      <c r="AG1451" t="s">
        <v>81</v>
      </c>
    </row>
    <row r="1452" spans="1:33" x14ac:dyDescent="0.25">
      <c r="A1452" t="str">
        <f>"1609897453"</f>
        <v>1609897453</v>
      </c>
      <c r="B1452" t="str">
        <f>"00243045"</f>
        <v>00243045</v>
      </c>
      <c r="C1452" t="s">
        <v>11701</v>
      </c>
      <c r="D1452" t="s">
        <v>11702</v>
      </c>
      <c r="E1452" t="s">
        <v>11703</v>
      </c>
      <c r="L1452" t="s">
        <v>115</v>
      </c>
      <c r="M1452" t="s">
        <v>85</v>
      </c>
      <c r="R1452" t="s">
        <v>11703</v>
      </c>
      <c r="W1452" t="s">
        <v>11703</v>
      </c>
      <c r="X1452" t="s">
        <v>3390</v>
      </c>
      <c r="Y1452" t="s">
        <v>97</v>
      </c>
      <c r="Z1452" t="s">
        <v>77</v>
      </c>
      <c r="AA1452" t="str">
        <f>"10002-4816"</f>
        <v>10002-4816</v>
      </c>
      <c r="AB1452" t="s">
        <v>122</v>
      </c>
      <c r="AC1452" t="s">
        <v>79</v>
      </c>
      <c r="AD1452" t="s">
        <v>75</v>
      </c>
      <c r="AE1452" t="s">
        <v>80</v>
      </c>
      <c r="AG1452" t="s">
        <v>81</v>
      </c>
    </row>
    <row r="1453" spans="1:33" x14ac:dyDescent="0.25">
      <c r="A1453" t="str">
        <f>"1972585891"</f>
        <v>1972585891</v>
      </c>
      <c r="C1453" t="s">
        <v>11704</v>
      </c>
      <c r="K1453" t="s">
        <v>99</v>
      </c>
      <c r="L1453" t="s">
        <v>102</v>
      </c>
      <c r="M1453" t="s">
        <v>75</v>
      </c>
      <c r="R1453" t="s">
        <v>11705</v>
      </c>
      <c r="S1453" t="s">
        <v>11706</v>
      </c>
      <c r="T1453" t="s">
        <v>2878</v>
      </c>
      <c r="U1453" t="s">
        <v>156</v>
      </c>
      <c r="V1453" t="str">
        <f>"08816"</f>
        <v>08816</v>
      </c>
      <c r="AC1453" t="s">
        <v>79</v>
      </c>
      <c r="AD1453" t="s">
        <v>75</v>
      </c>
      <c r="AE1453" t="s">
        <v>103</v>
      </c>
      <c r="AG1453" t="s">
        <v>81</v>
      </c>
    </row>
    <row r="1454" spans="1:33" x14ac:dyDescent="0.25">
      <c r="A1454" t="str">
        <f>"1962669812"</f>
        <v>1962669812</v>
      </c>
      <c r="B1454" t="str">
        <f>"03724256"</f>
        <v>03724256</v>
      </c>
      <c r="C1454" t="s">
        <v>11707</v>
      </c>
      <c r="D1454" t="s">
        <v>11708</v>
      </c>
      <c r="E1454" t="s">
        <v>11709</v>
      </c>
      <c r="L1454" t="s">
        <v>102</v>
      </c>
      <c r="M1454" t="s">
        <v>75</v>
      </c>
      <c r="R1454" t="s">
        <v>11710</v>
      </c>
      <c r="W1454" t="s">
        <v>11709</v>
      </c>
      <c r="X1454" t="s">
        <v>329</v>
      </c>
      <c r="Y1454" t="s">
        <v>97</v>
      </c>
      <c r="Z1454" t="s">
        <v>77</v>
      </c>
      <c r="AA1454" t="str">
        <f>"10029-6504"</f>
        <v>10029-6504</v>
      </c>
      <c r="AB1454" t="s">
        <v>78</v>
      </c>
      <c r="AC1454" t="s">
        <v>79</v>
      </c>
      <c r="AD1454" t="s">
        <v>75</v>
      </c>
      <c r="AE1454" t="s">
        <v>80</v>
      </c>
      <c r="AG1454" t="s">
        <v>81</v>
      </c>
    </row>
    <row r="1455" spans="1:33" x14ac:dyDescent="0.25">
      <c r="A1455" t="str">
        <f>"1942260815"</f>
        <v>1942260815</v>
      </c>
      <c r="B1455" t="str">
        <f>"02177026"</f>
        <v>02177026</v>
      </c>
      <c r="C1455" t="s">
        <v>11711</v>
      </c>
      <c r="D1455" t="s">
        <v>11712</v>
      </c>
      <c r="E1455" t="s">
        <v>11713</v>
      </c>
      <c r="L1455" t="s">
        <v>74</v>
      </c>
      <c r="M1455" t="s">
        <v>75</v>
      </c>
      <c r="R1455" t="s">
        <v>11714</v>
      </c>
      <c r="W1455" t="s">
        <v>11713</v>
      </c>
      <c r="X1455" t="s">
        <v>11715</v>
      </c>
      <c r="Y1455" t="s">
        <v>97</v>
      </c>
      <c r="Z1455" t="s">
        <v>77</v>
      </c>
      <c r="AA1455" t="str">
        <f>"10024-1459"</f>
        <v>10024-1459</v>
      </c>
      <c r="AB1455" t="s">
        <v>78</v>
      </c>
      <c r="AC1455" t="s">
        <v>79</v>
      </c>
      <c r="AD1455" t="s">
        <v>75</v>
      </c>
      <c r="AE1455" t="s">
        <v>80</v>
      </c>
      <c r="AG1455" t="s">
        <v>81</v>
      </c>
    </row>
    <row r="1456" spans="1:33" x14ac:dyDescent="0.25">
      <c r="A1456" t="str">
        <f>"1942268719"</f>
        <v>1942268719</v>
      </c>
      <c r="B1456" t="str">
        <f>"00740652"</f>
        <v>00740652</v>
      </c>
      <c r="C1456" t="s">
        <v>11716</v>
      </c>
      <c r="D1456" t="s">
        <v>11717</v>
      </c>
      <c r="E1456" t="s">
        <v>11718</v>
      </c>
      <c r="L1456" t="s">
        <v>83</v>
      </c>
      <c r="M1456" t="s">
        <v>75</v>
      </c>
      <c r="R1456" t="s">
        <v>11719</v>
      </c>
      <c r="W1456" t="s">
        <v>11718</v>
      </c>
      <c r="X1456" t="s">
        <v>11720</v>
      </c>
      <c r="Y1456" t="s">
        <v>97</v>
      </c>
      <c r="Z1456" t="s">
        <v>77</v>
      </c>
      <c r="AA1456" t="str">
        <f>"10075-1747"</f>
        <v>10075-1747</v>
      </c>
      <c r="AB1456" t="s">
        <v>78</v>
      </c>
      <c r="AC1456" t="s">
        <v>79</v>
      </c>
      <c r="AD1456" t="s">
        <v>75</v>
      </c>
      <c r="AE1456" t="s">
        <v>80</v>
      </c>
      <c r="AG1456" t="s">
        <v>81</v>
      </c>
    </row>
    <row r="1457" spans="1:33" x14ac:dyDescent="0.25">
      <c r="A1457" t="str">
        <f>"1942308788"</f>
        <v>1942308788</v>
      </c>
      <c r="B1457" t="str">
        <f>"00712758"</f>
        <v>00712758</v>
      </c>
      <c r="C1457" t="s">
        <v>11721</v>
      </c>
      <c r="D1457" t="s">
        <v>11722</v>
      </c>
      <c r="E1457" t="s">
        <v>11723</v>
      </c>
      <c r="L1457" t="s">
        <v>83</v>
      </c>
      <c r="M1457" t="s">
        <v>75</v>
      </c>
      <c r="R1457" t="s">
        <v>11724</v>
      </c>
      <c r="W1457" t="s">
        <v>11723</v>
      </c>
      <c r="X1457" t="s">
        <v>11725</v>
      </c>
      <c r="Y1457" t="s">
        <v>91</v>
      </c>
      <c r="Z1457" t="s">
        <v>77</v>
      </c>
      <c r="AA1457" t="str">
        <f>"11373-5603"</f>
        <v>11373-5603</v>
      </c>
      <c r="AB1457" t="s">
        <v>78</v>
      </c>
      <c r="AC1457" t="s">
        <v>79</v>
      </c>
      <c r="AD1457" t="s">
        <v>75</v>
      </c>
      <c r="AE1457" t="s">
        <v>80</v>
      </c>
      <c r="AG1457" t="s">
        <v>81</v>
      </c>
    </row>
    <row r="1458" spans="1:33" x14ac:dyDescent="0.25">
      <c r="A1458" t="str">
        <f>"1942335880"</f>
        <v>1942335880</v>
      </c>
      <c r="C1458" t="s">
        <v>11726</v>
      </c>
      <c r="K1458" t="s">
        <v>99</v>
      </c>
      <c r="L1458" t="s">
        <v>74</v>
      </c>
      <c r="M1458" t="s">
        <v>75</v>
      </c>
      <c r="R1458" t="s">
        <v>11727</v>
      </c>
      <c r="S1458" t="s">
        <v>11728</v>
      </c>
      <c r="T1458" t="s">
        <v>97</v>
      </c>
      <c r="U1458" t="s">
        <v>77</v>
      </c>
      <c r="V1458" t="str">
        <f>"100296500"</f>
        <v>100296500</v>
      </c>
      <c r="AC1458" t="s">
        <v>79</v>
      </c>
      <c r="AD1458" t="s">
        <v>75</v>
      </c>
      <c r="AE1458" t="s">
        <v>103</v>
      </c>
      <c r="AG1458" t="s">
        <v>81</v>
      </c>
    </row>
    <row r="1459" spans="1:33" x14ac:dyDescent="0.25">
      <c r="A1459" t="str">
        <f>"1942346929"</f>
        <v>1942346929</v>
      </c>
      <c r="B1459" t="str">
        <f>"01647378"</f>
        <v>01647378</v>
      </c>
      <c r="C1459" t="s">
        <v>11729</v>
      </c>
      <c r="D1459" t="s">
        <v>11730</v>
      </c>
      <c r="E1459" t="s">
        <v>11731</v>
      </c>
      <c r="L1459" t="s">
        <v>102</v>
      </c>
      <c r="M1459" t="s">
        <v>75</v>
      </c>
      <c r="R1459" t="s">
        <v>11732</v>
      </c>
      <c r="W1459" t="s">
        <v>11731</v>
      </c>
      <c r="X1459" t="s">
        <v>11733</v>
      </c>
      <c r="Y1459" t="s">
        <v>131</v>
      </c>
      <c r="Z1459" t="s">
        <v>77</v>
      </c>
      <c r="AA1459" t="str">
        <f>"10468-3904"</f>
        <v>10468-3904</v>
      </c>
      <c r="AB1459" t="s">
        <v>78</v>
      </c>
      <c r="AC1459" t="s">
        <v>79</v>
      </c>
      <c r="AD1459" t="s">
        <v>75</v>
      </c>
      <c r="AE1459" t="s">
        <v>80</v>
      </c>
      <c r="AG1459" t="s">
        <v>81</v>
      </c>
    </row>
    <row r="1460" spans="1:33" x14ac:dyDescent="0.25">
      <c r="A1460" t="str">
        <f>"1942447370"</f>
        <v>1942447370</v>
      </c>
      <c r="C1460" t="s">
        <v>11734</v>
      </c>
      <c r="K1460" t="s">
        <v>99</v>
      </c>
      <c r="L1460" t="s">
        <v>102</v>
      </c>
      <c r="M1460" t="s">
        <v>75</v>
      </c>
      <c r="R1460" t="s">
        <v>11735</v>
      </c>
      <c r="S1460" t="s">
        <v>11736</v>
      </c>
      <c r="T1460" t="s">
        <v>97</v>
      </c>
      <c r="U1460" t="s">
        <v>77</v>
      </c>
      <c r="V1460" t="str">
        <f>"10029"</f>
        <v>10029</v>
      </c>
      <c r="AC1460" t="s">
        <v>79</v>
      </c>
      <c r="AD1460" t="s">
        <v>75</v>
      </c>
      <c r="AE1460" t="s">
        <v>103</v>
      </c>
      <c r="AG1460" t="s">
        <v>81</v>
      </c>
    </row>
    <row r="1461" spans="1:33" x14ac:dyDescent="0.25">
      <c r="A1461" t="str">
        <f>"1942447974"</f>
        <v>1942447974</v>
      </c>
      <c r="B1461" t="str">
        <f>"04060904"</f>
        <v>04060904</v>
      </c>
      <c r="C1461" t="s">
        <v>11737</v>
      </c>
      <c r="D1461" t="s">
        <v>11738</v>
      </c>
      <c r="E1461" t="s">
        <v>11739</v>
      </c>
      <c r="L1461" t="s">
        <v>102</v>
      </c>
      <c r="M1461" t="s">
        <v>75</v>
      </c>
      <c r="R1461" t="s">
        <v>11739</v>
      </c>
      <c r="W1461" t="s">
        <v>11739</v>
      </c>
      <c r="X1461" t="s">
        <v>11740</v>
      </c>
      <c r="Y1461" t="s">
        <v>182</v>
      </c>
      <c r="Z1461" t="s">
        <v>77</v>
      </c>
      <c r="AA1461" t="str">
        <f>"11501-4293"</f>
        <v>11501-4293</v>
      </c>
      <c r="AB1461" t="s">
        <v>78</v>
      </c>
      <c r="AC1461" t="s">
        <v>79</v>
      </c>
      <c r="AD1461" t="s">
        <v>75</v>
      </c>
      <c r="AE1461" t="s">
        <v>80</v>
      </c>
      <c r="AG1461" t="s">
        <v>81</v>
      </c>
    </row>
    <row r="1462" spans="1:33" x14ac:dyDescent="0.25">
      <c r="A1462" t="str">
        <f>"1841633864"</f>
        <v>1841633864</v>
      </c>
      <c r="C1462" t="s">
        <v>11741</v>
      </c>
      <c r="K1462" t="s">
        <v>99</v>
      </c>
      <c r="L1462" t="s">
        <v>102</v>
      </c>
      <c r="M1462" t="s">
        <v>75</v>
      </c>
      <c r="R1462" t="s">
        <v>11742</v>
      </c>
      <c r="S1462" t="s">
        <v>329</v>
      </c>
      <c r="T1462" t="s">
        <v>97</v>
      </c>
      <c r="U1462" t="s">
        <v>77</v>
      </c>
      <c r="V1462" t="str">
        <f>"100296504"</f>
        <v>100296504</v>
      </c>
      <c r="AC1462" t="s">
        <v>79</v>
      </c>
      <c r="AD1462" t="s">
        <v>75</v>
      </c>
      <c r="AE1462" t="s">
        <v>103</v>
      </c>
      <c r="AG1462" t="s">
        <v>81</v>
      </c>
    </row>
    <row r="1463" spans="1:33" x14ac:dyDescent="0.25">
      <c r="A1463" t="str">
        <f>"1649276304"</f>
        <v>1649276304</v>
      </c>
      <c r="B1463" t="str">
        <f>"00632302"</f>
        <v>00632302</v>
      </c>
      <c r="C1463" t="s">
        <v>11743</v>
      </c>
      <c r="D1463" t="s">
        <v>11744</v>
      </c>
      <c r="E1463" t="s">
        <v>11745</v>
      </c>
      <c r="H1463" t="s">
        <v>11746</v>
      </c>
      <c r="J1463" t="s">
        <v>11747</v>
      </c>
      <c r="L1463" t="s">
        <v>83</v>
      </c>
      <c r="M1463" t="s">
        <v>85</v>
      </c>
      <c r="R1463" t="s">
        <v>11748</v>
      </c>
      <c r="W1463" t="s">
        <v>11745</v>
      </c>
      <c r="X1463" t="s">
        <v>11749</v>
      </c>
      <c r="Y1463" t="s">
        <v>212</v>
      </c>
      <c r="Z1463" t="s">
        <v>77</v>
      </c>
      <c r="AA1463" t="str">
        <f>"11803-4934"</f>
        <v>11803-4934</v>
      </c>
      <c r="AB1463" t="s">
        <v>78</v>
      </c>
      <c r="AC1463" t="s">
        <v>79</v>
      </c>
      <c r="AD1463" t="s">
        <v>75</v>
      </c>
      <c r="AE1463" t="s">
        <v>80</v>
      </c>
      <c r="AG1463" t="s">
        <v>81</v>
      </c>
    </row>
    <row r="1464" spans="1:33" x14ac:dyDescent="0.25">
      <c r="A1464" t="str">
        <f>"1609869361"</f>
        <v>1609869361</v>
      </c>
      <c r="B1464" t="str">
        <f>"01837094"</f>
        <v>01837094</v>
      </c>
      <c r="C1464" t="s">
        <v>11750</v>
      </c>
      <c r="D1464" t="s">
        <v>11751</v>
      </c>
      <c r="E1464" t="s">
        <v>11752</v>
      </c>
      <c r="H1464" t="s">
        <v>11753</v>
      </c>
      <c r="J1464" t="s">
        <v>11754</v>
      </c>
      <c r="L1464" t="s">
        <v>83</v>
      </c>
      <c r="M1464" t="s">
        <v>85</v>
      </c>
      <c r="R1464" t="s">
        <v>11755</v>
      </c>
      <c r="W1464" t="s">
        <v>11752</v>
      </c>
      <c r="X1464" t="s">
        <v>11749</v>
      </c>
      <c r="Y1464" t="s">
        <v>212</v>
      </c>
      <c r="Z1464" t="s">
        <v>77</v>
      </c>
      <c r="AA1464" t="str">
        <f>"11803-4934"</f>
        <v>11803-4934</v>
      </c>
      <c r="AB1464" t="s">
        <v>78</v>
      </c>
      <c r="AC1464" t="s">
        <v>79</v>
      </c>
      <c r="AD1464" t="s">
        <v>75</v>
      </c>
      <c r="AE1464" t="s">
        <v>80</v>
      </c>
      <c r="AG1464" t="s">
        <v>81</v>
      </c>
    </row>
    <row r="1465" spans="1:33" x14ac:dyDescent="0.25">
      <c r="A1465" t="str">
        <f>"1093803785"</f>
        <v>1093803785</v>
      </c>
      <c r="B1465" t="str">
        <f>"01585799"</f>
        <v>01585799</v>
      </c>
      <c r="C1465" t="s">
        <v>11756</v>
      </c>
      <c r="D1465" t="s">
        <v>11757</v>
      </c>
      <c r="E1465" t="s">
        <v>11758</v>
      </c>
      <c r="H1465" t="s">
        <v>11759</v>
      </c>
      <c r="J1465" t="s">
        <v>11760</v>
      </c>
      <c r="L1465" t="s">
        <v>83</v>
      </c>
      <c r="M1465" t="s">
        <v>85</v>
      </c>
      <c r="R1465" t="s">
        <v>11761</v>
      </c>
      <c r="W1465" t="s">
        <v>11762</v>
      </c>
      <c r="X1465" t="s">
        <v>11763</v>
      </c>
      <c r="Y1465" t="s">
        <v>1818</v>
      </c>
      <c r="Z1465" t="s">
        <v>77</v>
      </c>
      <c r="AA1465" t="str">
        <f>"11787-4759"</f>
        <v>11787-4759</v>
      </c>
      <c r="AB1465" t="s">
        <v>78</v>
      </c>
      <c r="AC1465" t="s">
        <v>79</v>
      </c>
      <c r="AD1465" t="s">
        <v>75</v>
      </c>
      <c r="AE1465" t="s">
        <v>80</v>
      </c>
      <c r="AG1465" t="s">
        <v>81</v>
      </c>
    </row>
    <row r="1466" spans="1:33" x14ac:dyDescent="0.25">
      <c r="A1466" t="str">
        <f>"1952345373"</f>
        <v>1952345373</v>
      </c>
      <c r="B1466" t="str">
        <f>"01837076"</f>
        <v>01837076</v>
      </c>
      <c r="C1466" t="s">
        <v>11764</v>
      </c>
      <c r="D1466" t="s">
        <v>11765</v>
      </c>
      <c r="E1466" t="s">
        <v>11766</v>
      </c>
      <c r="H1466" t="s">
        <v>11767</v>
      </c>
      <c r="J1466" t="s">
        <v>11768</v>
      </c>
      <c r="L1466" t="s">
        <v>74</v>
      </c>
      <c r="M1466" t="s">
        <v>85</v>
      </c>
      <c r="R1466" t="s">
        <v>11769</v>
      </c>
      <c r="W1466" t="s">
        <v>11770</v>
      </c>
      <c r="X1466" t="s">
        <v>11771</v>
      </c>
      <c r="Y1466" t="s">
        <v>1946</v>
      </c>
      <c r="Z1466" t="s">
        <v>77</v>
      </c>
      <c r="AA1466" t="str">
        <f>"11776-2028"</f>
        <v>11776-2028</v>
      </c>
      <c r="AB1466" t="s">
        <v>78</v>
      </c>
      <c r="AC1466" t="s">
        <v>79</v>
      </c>
      <c r="AD1466" t="s">
        <v>75</v>
      </c>
      <c r="AE1466" t="s">
        <v>80</v>
      </c>
      <c r="AG1466" t="s">
        <v>81</v>
      </c>
    </row>
    <row r="1467" spans="1:33" x14ac:dyDescent="0.25">
      <c r="A1467" t="str">
        <f>"1346231628"</f>
        <v>1346231628</v>
      </c>
      <c r="B1467" t="str">
        <f>"01927926"</f>
        <v>01927926</v>
      </c>
      <c r="C1467" t="s">
        <v>11772</v>
      </c>
      <c r="D1467" t="s">
        <v>11773</v>
      </c>
      <c r="E1467" t="s">
        <v>11774</v>
      </c>
      <c r="H1467" t="s">
        <v>11775</v>
      </c>
      <c r="J1467" t="s">
        <v>11776</v>
      </c>
      <c r="L1467" t="s">
        <v>83</v>
      </c>
      <c r="M1467" t="s">
        <v>85</v>
      </c>
      <c r="R1467" t="s">
        <v>11777</v>
      </c>
      <c r="W1467" t="s">
        <v>11774</v>
      </c>
      <c r="X1467" t="s">
        <v>11778</v>
      </c>
      <c r="Y1467" t="s">
        <v>288</v>
      </c>
      <c r="Z1467" t="s">
        <v>77</v>
      </c>
      <c r="AA1467" t="str">
        <f>"11520-3357"</f>
        <v>11520-3357</v>
      </c>
      <c r="AB1467" t="s">
        <v>78</v>
      </c>
      <c r="AC1467" t="s">
        <v>79</v>
      </c>
      <c r="AD1467" t="s">
        <v>75</v>
      </c>
      <c r="AE1467" t="s">
        <v>80</v>
      </c>
      <c r="AG1467" t="s">
        <v>81</v>
      </c>
    </row>
    <row r="1468" spans="1:33" x14ac:dyDescent="0.25">
      <c r="A1468" t="str">
        <f>"1174586366"</f>
        <v>1174586366</v>
      </c>
      <c r="B1468" t="str">
        <f>"01128963"</f>
        <v>01128963</v>
      </c>
      <c r="C1468" t="s">
        <v>11779</v>
      </c>
      <c r="D1468" t="s">
        <v>11780</v>
      </c>
      <c r="E1468" t="s">
        <v>11781</v>
      </c>
      <c r="H1468" t="s">
        <v>11782</v>
      </c>
      <c r="J1468" t="s">
        <v>11783</v>
      </c>
      <c r="L1468" t="s">
        <v>83</v>
      </c>
      <c r="M1468" t="s">
        <v>85</v>
      </c>
      <c r="R1468" t="s">
        <v>11784</v>
      </c>
      <c r="W1468" t="s">
        <v>11781</v>
      </c>
      <c r="X1468" t="s">
        <v>11785</v>
      </c>
      <c r="Y1468" t="s">
        <v>240</v>
      </c>
      <c r="Z1468" t="s">
        <v>77</v>
      </c>
      <c r="AA1468" t="str">
        <f>"11530-3207"</f>
        <v>11530-3207</v>
      </c>
      <c r="AB1468" t="s">
        <v>78</v>
      </c>
      <c r="AC1468" t="s">
        <v>79</v>
      </c>
      <c r="AD1468" t="s">
        <v>75</v>
      </c>
      <c r="AE1468" t="s">
        <v>80</v>
      </c>
      <c r="AG1468" t="s">
        <v>81</v>
      </c>
    </row>
    <row r="1469" spans="1:33" x14ac:dyDescent="0.25">
      <c r="A1469" t="str">
        <f>"1760429070"</f>
        <v>1760429070</v>
      </c>
      <c r="B1469" t="str">
        <f>"03363522"</f>
        <v>03363522</v>
      </c>
      <c r="C1469" t="s">
        <v>11786</v>
      </c>
      <c r="D1469" t="s">
        <v>11787</v>
      </c>
      <c r="E1469" t="s">
        <v>11788</v>
      </c>
      <c r="H1469" t="s">
        <v>11753</v>
      </c>
      <c r="J1469" t="s">
        <v>11789</v>
      </c>
      <c r="L1469" t="s">
        <v>83</v>
      </c>
      <c r="M1469" t="s">
        <v>85</v>
      </c>
      <c r="R1469" t="s">
        <v>11788</v>
      </c>
      <c r="W1469" t="s">
        <v>11788</v>
      </c>
      <c r="X1469" t="s">
        <v>250</v>
      </c>
      <c r="Y1469" t="s">
        <v>97</v>
      </c>
      <c r="Z1469" t="s">
        <v>77</v>
      </c>
      <c r="AA1469" t="str">
        <f>"10016-6402"</f>
        <v>10016-6402</v>
      </c>
      <c r="AB1469" t="s">
        <v>78</v>
      </c>
      <c r="AC1469" t="s">
        <v>79</v>
      </c>
      <c r="AD1469" t="s">
        <v>75</v>
      </c>
      <c r="AE1469" t="s">
        <v>80</v>
      </c>
      <c r="AG1469" t="s">
        <v>81</v>
      </c>
    </row>
    <row r="1470" spans="1:33" x14ac:dyDescent="0.25">
      <c r="A1470" t="str">
        <f>"1184687097"</f>
        <v>1184687097</v>
      </c>
      <c r="B1470" t="str">
        <f>"01766398"</f>
        <v>01766398</v>
      </c>
      <c r="C1470" t="s">
        <v>11790</v>
      </c>
      <c r="D1470" t="s">
        <v>11791</v>
      </c>
      <c r="E1470" t="s">
        <v>11792</v>
      </c>
      <c r="H1470" t="s">
        <v>11793</v>
      </c>
      <c r="J1470" t="s">
        <v>11794</v>
      </c>
      <c r="L1470" t="s">
        <v>83</v>
      </c>
      <c r="M1470" t="s">
        <v>85</v>
      </c>
      <c r="R1470" t="s">
        <v>11795</v>
      </c>
      <c r="W1470" t="s">
        <v>11792</v>
      </c>
      <c r="X1470" t="s">
        <v>2539</v>
      </c>
      <c r="Y1470" t="s">
        <v>2540</v>
      </c>
      <c r="Z1470" t="s">
        <v>77</v>
      </c>
      <c r="AA1470" t="str">
        <f>"11783-1324"</f>
        <v>11783-1324</v>
      </c>
      <c r="AB1470" t="s">
        <v>78</v>
      </c>
      <c r="AC1470" t="s">
        <v>79</v>
      </c>
      <c r="AD1470" t="s">
        <v>75</v>
      </c>
      <c r="AE1470" t="s">
        <v>80</v>
      </c>
      <c r="AG1470" t="s">
        <v>81</v>
      </c>
    </row>
    <row r="1471" spans="1:33" x14ac:dyDescent="0.25">
      <c r="A1471" t="str">
        <f>"1043254469"</f>
        <v>1043254469</v>
      </c>
      <c r="B1471" t="str">
        <f>"01435056"</f>
        <v>01435056</v>
      </c>
      <c r="C1471" t="s">
        <v>11796</v>
      </c>
      <c r="D1471" t="s">
        <v>11797</v>
      </c>
      <c r="E1471" t="s">
        <v>11798</v>
      </c>
      <c r="H1471" t="s">
        <v>11775</v>
      </c>
      <c r="J1471" t="s">
        <v>11799</v>
      </c>
      <c r="L1471" t="s">
        <v>83</v>
      </c>
      <c r="M1471" t="s">
        <v>85</v>
      </c>
      <c r="R1471" t="s">
        <v>11800</v>
      </c>
      <c r="W1471" t="s">
        <v>11801</v>
      </c>
      <c r="X1471" t="s">
        <v>11771</v>
      </c>
      <c r="Y1471" t="s">
        <v>1946</v>
      </c>
      <c r="Z1471" t="s">
        <v>77</v>
      </c>
      <c r="AA1471" t="str">
        <f>"11776-2028"</f>
        <v>11776-2028</v>
      </c>
      <c r="AB1471" t="s">
        <v>78</v>
      </c>
      <c r="AC1471" t="s">
        <v>79</v>
      </c>
      <c r="AD1471" t="s">
        <v>75</v>
      </c>
      <c r="AE1471" t="s">
        <v>80</v>
      </c>
      <c r="AG1471" t="s">
        <v>81</v>
      </c>
    </row>
    <row r="1472" spans="1:33" x14ac:dyDescent="0.25">
      <c r="A1472" t="str">
        <f>"1548261407"</f>
        <v>1548261407</v>
      </c>
      <c r="B1472" t="str">
        <f>"00628515"</f>
        <v>00628515</v>
      </c>
      <c r="C1472" t="s">
        <v>11802</v>
      </c>
      <c r="D1472" t="s">
        <v>11803</v>
      </c>
      <c r="E1472" t="s">
        <v>11804</v>
      </c>
      <c r="H1472" t="s">
        <v>11805</v>
      </c>
      <c r="J1472" t="s">
        <v>11806</v>
      </c>
      <c r="L1472" t="s">
        <v>83</v>
      </c>
      <c r="M1472" t="s">
        <v>85</v>
      </c>
      <c r="R1472" t="s">
        <v>11807</v>
      </c>
      <c r="W1472" t="s">
        <v>11804</v>
      </c>
      <c r="X1472" t="s">
        <v>11808</v>
      </c>
      <c r="Y1472" t="s">
        <v>2664</v>
      </c>
      <c r="Z1472" t="s">
        <v>77</v>
      </c>
      <c r="AA1472" t="str">
        <f>"11772-4863"</f>
        <v>11772-4863</v>
      </c>
      <c r="AB1472" t="s">
        <v>78</v>
      </c>
      <c r="AC1472" t="s">
        <v>79</v>
      </c>
      <c r="AD1472" t="s">
        <v>75</v>
      </c>
      <c r="AE1472" t="s">
        <v>80</v>
      </c>
      <c r="AG1472" t="s">
        <v>81</v>
      </c>
    </row>
    <row r="1473" spans="1:33" x14ac:dyDescent="0.25">
      <c r="A1473" t="str">
        <f>"1992148472"</f>
        <v>1992148472</v>
      </c>
      <c r="C1473" t="s">
        <v>11809</v>
      </c>
      <c r="K1473" t="s">
        <v>99</v>
      </c>
      <c r="L1473" t="s">
        <v>102</v>
      </c>
      <c r="M1473" t="s">
        <v>75</v>
      </c>
      <c r="R1473" t="s">
        <v>11810</v>
      </c>
      <c r="S1473" t="s">
        <v>191</v>
      </c>
      <c r="T1473" t="s">
        <v>97</v>
      </c>
      <c r="U1473" t="s">
        <v>77</v>
      </c>
      <c r="V1473" t="str">
        <f>"100191147"</f>
        <v>100191147</v>
      </c>
      <c r="AC1473" t="s">
        <v>79</v>
      </c>
      <c r="AD1473" t="s">
        <v>75</v>
      </c>
      <c r="AE1473" t="s">
        <v>103</v>
      </c>
      <c r="AG1473" t="s">
        <v>81</v>
      </c>
    </row>
    <row r="1474" spans="1:33" x14ac:dyDescent="0.25">
      <c r="A1474" t="str">
        <f>"1801138615"</f>
        <v>1801138615</v>
      </c>
      <c r="C1474" t="s">
        <v>11811</v>
      </c>
      <c r="K1474" t="s">
        <v>99</v>
      </c>
      <c r="L1474" t="s">
        <v>102</v>
      </c>
      <c r="M1474" t="s">
        <v>75</v>
      </c>
      <c r="R1474" t="s">
        <v>11812</v>
      </c>
      <c r="S1474" t="s">
        <v>11813</v>
      </c>
      <c r="T1474" t="s">
        <v>97</v>
      </c>
      <c r="U1474" t="s">
        <v>77</v>
      </c>
      <c r="V1474" t="str">
        <f>"100296552"</f>
        <v>100296552</v>
      </c>
      <c r="AC1474" t="s">
        <v>79</v>
      </c>
      <c r="AD1474" t="s">
        <v>75</v>
      </c>
      <c r="AE1474" t="s">
        <v>103</v>
      </c>
      <c r="AG1474" t="s">
        <v>81</v>
      </c>
    </row>
    <row r="1475" spans="1:33" x14ac:dyDescent="0.25">
      <c r="A1475" t="str">
        <f>"1871911644"</f>
        <v>1871911644</v>
      </c>
      <c r="C1475" t="s">
        <v>11814</v>
      </c>
      <c r="K1475" t="s">
        <v>99</v>
      </c>
      <c r="L1475" t="s">
        <v>102</v>
      </c>
      <c r="M1475" t="s">
        <v>75</v>
      </c>
      <c r="R1475" t="s">
        <v>11815</v>
      </c>
      <c r="S1475" t="s">
        <v>329</v>
      </c>
      <c r="T1475" t="s">
        <v>97</v>
      </c>
      <c r="U1475" t="s">
        <v>77</v>
      </c>
      <c r="V1475" t="str">
        <f>"100296504"</f>
        <v>100296504</v>
      </c>
      <c r="AC1475" t="s">
        <v>79</v>
      </c>
      <c r="AD1475" t="s">
        <v>75</v>
      </c>
      <c r="AE1475" t="s">
        <v>103</v>
      </c>
      <c r="AG1475" t="s">
        <v>81</v>
      </c>
    </row>
    <row r="1476" spans="1:33" x14ac:dyDescent="0.25">
      <c r="A1476" t="str">
        <f>"1891101853"</f>
        <v>1891101853</v>
      </c>
      <c r="C1476" t="s">
        <v>11816</v>
      </c>
      <c r="K1476" t="s">
        <v>99</v>
      </c>
      <c r="L1476" t="s">
        <v>102</v>
      </c>
      <c r="M1476" t="s">
        <v>75</v>
      </c>
      <c r="R1476" t="s">
        <v>11817</v>
      </c>
      <c r="S1476" t="s">
        <v>11818</v>
      </c>
      <c r="T1476" t="s">
        <v>97</v>
      </c>
      <c r="U1476" t="s">
        <v>77</v>
      </c>
      <c r="V1476" t="str">
        <f>"100191264"</f>
        <v>100191264</v>
      </c>
      <c r="AC1476" t="s">
        <v>79</v>
      </c>
      <c r="AD1476" t="s">
        <v>75</v>
      </c>
      <c r="AE1476" t="s">
        <v>103</v>
      </c>
      <c r="AG1476" t="s">
        <v>81</v>
      </c>
    </row>
    <row r="1477" spans="1:33" x14ac:dyDescent="0.25">
      <c r="A1477" t="str">
        <f>"1972845055"</f>
        <v>1972845055</v>
      </c>
      <c r="C1477" t="s">
        <v>11819</v>
      </c>
      <c r="K1477" t="s">
        <v>99</v>
      </c>
      <c r="L1477" t="s">
        <v>102</v>
      </c>
      <c r="M1477" t="s">
        <v>75</v>
      </c>
      <c r="R1477" t="s">
        <v>11820</v>
      </c>
      <c r="S1477" t="s">
        <v>11821</v>
      </c>
      <c r="T1477" t="s">
        <v>97</v>
      </c>
      <c r="U1477" t="s">
        <v>77</v>
      </c>
      <c r="V1477" t="str">
        <f>"100191147"</f>
        <v>100191147</v>
      </c>
      <c r="AC1477" t="s">
        <v>79</v>
      </c>
      <c r="AD1477" t="s">
        <v>75</v>
      </c>
      <c r="AE1477" t="s">
        <v>103</v>
      </c>
      <c r="AG1477" t="s">
        <v>81</v>
      </c>
    </row>
    <row r="1478" spans="1:33" x14ac:dyDescent="0.25">
      <c r="A1478" t="str">
        <f>"1932493293"</f>
        <v>1932493293</v>
      </c>
      <c r="C1478" t="s">
        <v>11822</v>
      </c>
      <c r="K1478" t="s">
        <v>99</v>
      </c>
      <c r="L1478" t="s">
        <v>102</v>
      </c>
      <c r="M1478" t="s">
        <v>75</v>
      </c>
      <c r="R1478" t="s">
        <v>11823</v>
      </c>
      <c r="S1478" t="s">
        <v>191</v>
      </c>
      <c r="T1478" t="s">
        <v>97</v>
      </c>
      <c r="U1478" t="s">
        <v>77</v>
      </c>
      <c r="V1478" t="str">
        <f>"100191147"</f>
        <v>100191147</v>
      </c>
      <c r="AC1478" t="s">
        <v>79</v>
      </c>
      <c r="AD1478" t="s">
        <v>75</v>
      </c>
      <c r="AE1478" t="s">
        <v>103</v>
      </c>
      <c r="AG1478" t="s">
        <v>81</v>
      </c>
    </row>
    <row r="1479" spans="1:33" x14ac:dyDescent="0.25">
      <c r="A1479" t="str">
        <f>"1841565611"</f>
        <v>1841565611</v>
      </c>
      <c r="C1479" t="s">
        <v>11824</v>
      </c>
      <c r="K1479" t="s">
        <v>99</v>
      </c>
      <c r="L1479" t="s">
        <v>102</v>
      </c>
      <c r="M1479" t="s">
        <v>75</v>
      </c>
      <c r="R1479" t="s">
        <v>11825</v>
      </c>
      <c r="S1479" t="s">
        <v>11826</v>
      </c>
      <c r="T1479" t="s">
        <v>1747</v>
      </c>
      <c r="U1479" t="s">
        <v>285</v>
      </c>
      <c r="V1479" t="str">
        <f>"627695324"</f>
        <v>627695324</v>
      </c>
      <c r="AC1479" t="s">
        <v>79</v>
      </c>
      <c r="AD1479" t="s">
        <v>75</v>
      </c>
      <c r="AE1479" t="s">
        <v>103</v>
      </c>
      <c r="AG1479" t="s">
        <v>81</v>
      </c>
    </row>
    <row r="1480" spans="1:33" x14ac:dyDescent="0.25">
      <c r="A1480" t="str">
        <f>"1831511609"</f>
        <v>1831511609</v>
      </c>
      <c r="B1480" t="str">
        <f>"04475361"</f>
        <v>04475361</v>
      </c>
      <c r="C1480" t="s">
        <v>11827</v>
      </c>
      <c r="D1480" t="s">
        <v>11828</v>
      </c>
      <c r="E1480" t="s">
        <v>11829</v>
      </c>
      <c r="L1480" t="s">
        <v>102</v>
      </c>
      <c r="M1480" t="s">
        <v>75</v>
      </c>
      <c r="R1480" t="s">
        <v>11829</v>
      </c>
      <c r="W1480" t="s">
        <v>11829</v>
      </c>
      <c r="AB1480" t="s">
        <v>78</v>
      </c>
      <c r="AC1480" t="s">
        <v>79</v>
      </c>
      <c r="AD1480" t="s">
        <v>75</v>
      </c>
      <c r="AE1480" t="s">
        <v>80</v>
      </c>
      <c r="AG1480" t="s">
        <v>81</v>
      </c>
    </row>
    <row r="1481" spans="1:33" x14ac:dyDescent="0.25">
      <c r="A1481" t="str">
        <f>"1801213210"</f>
        <v>1801213210</v>
      </c>
      <c r="C1481" t="s">
        <v>11830</v>
      </c>
      <c r="K1481" t="s">
        <v>99</v>
      </c>
      <c r="L1481" t="s">
        <v>102</v>
      </c>
      <c r="M1481" t="s">
        <v>75</v>
      </c>
      <c r="R1481" t="s">
        <v>11831</v>
      </c>
      <c r="S1481" t="s">
        <v>11832</v>
      </c>
      <c r="T1481" t="s">
        <v>97</v>
      </c>
      <c r="U1481" t="s">
        <v>77</v>
      </c>
      <c r="V1481" t="str">
        <f>"101285613"</f>
        <v>101285613</v>
      </c>
      <c r="AC1481" t="s">
        <v>79</v>
      </c>
      <c r="AD1481" t="s">
        <v>75</v>
      </c>
      <c r="AE1481" t="s">
        <v>103</v>
      </c>
      <c r="AG1481" t="s">
        <v>81</v>
      </c>
    </row>
    <row r="1482" spans="1:33" x14ac:dyDescent="0.25">
      <c r="A1482" t="str">
        <f>"1902224744"</f>
        <v>1902224744</v>
      </c>
      <c r="C1482" t="s">
        <v>11833</v>
      </c>
      <c r="K1482" t="s">
        <v>99</v>
      </c>
      <c r="L1482" t="s">
        <v>102</v>
      </c>
      <c r="M1482" t="s">
        <v>75</v>
      </c>
      <c r="R1482" t="s">
        <v>11834</v>
      </c>
      <c r="S1482" t="s">
        <v>329</v>
      </c>
      <c r="T1482" t="s">
        <v>97</v>
      </c>
      <c r="U1482" t="s">
        <v>77</v>
      </c>
      <c r="V1482" t="str">
        <f>"100296504"</f>
        <v>100296504</v>
      </c>
      <c r="AC1482" t="s">
        <v>79</v>
      </c>
      <c r="AD1482" t="s">
        <v>75</v>
      </c>
      <c r="AE1482" t="s">
        <v>103</v>
      </c>
      <c r="AG1482" t="s">
        <v>81</v>
      </c>
    </row>
    <row r="1483" spans="1:33" x14ac:dyDescent="0.25">
      <c r="A1483" t="str">
        <f>"1942543780"</f>
        <v>1942543780</v>
      </c>
      <c r="C1483" t="s">
        <v>11835</v>
      </c>
      <c r="K1483" t="s">
        <v>99</v>
      </c>
      <c r="L1483" t="s">
        <v>102</v>
      </c>
      <c r="M1483" t="s">
        <v>75</v>
      </c>
      <c r="R1483" t="s">
        <v>11836</v>
      </c>
      <c r="S1483" t="s">
        <v>11837</v>
      </c>
      <c r="T1483" t="s">
        <v>11838</v>
      </c>
      <c r="U1483" t="s">
        <v>290</v>
      </c>
      <c r="V1483" t="str">
        <f>"630263821"</f>
        <v>630263821</v>
      </c>
      <c r="AC1483" t="s">
        <v>79</v>
      </c>
      <c r="AD1483" t="s">
        <v>75</v>
      </c>
      <c r="AE1483" t="s">
        <v>103</v>
      </c>
      <c r="AG1483" t="s">
        <v>81</v>
      </c>
    </row>
    <row r="1484" spans="1:33" x14ac:dyDescent="0.25">
      <c r="A1484" t="str">
        <f>"1861806150"</f>
        <v>1861806150</v>
      </c>
      <c r="C1484" t="s">
        <v>11839</v>
      </c>
      <c r="K1484" t="s">
        <v>99</v>
      </c>
      <c r="L1484" t="s">
        <v>102</v>
      </c>
      <c r="M1484" t="s">
        <v>75</v>
      </c>
      <c r="R1484" t="s">
        <v>11840</v>
      </c>
      <c r="S1484" t="s">
        <v>11841</v>
      </c>
      <c r="T1484" t="s">
        <v>97</v>
      </c>
      <c r="U1484" t="s">
        <v>77</v>
      </c>
      <c r="V1484" t="str">
        <f>"100251737"</f>
        <v>100251737</v>
      </c>
      <c r="AC1484" t="s">
        <v>79</v>
      </c>
      <c r="AD1484" t="s">
        <v>75</v>
      </c>
      <c r="AE1484" t="s">
        <v>103</v>
      </c>
      <c r="AG1484" t="s">
        <v>81</v>
      </c>
    </row>
    <row r="1485" spans="1:33" x14ac:dyDescent="0.25">
      <c r="A1485" t="str">
        <f>"1942593462"</f>
        <v>1942593462</v>
      </c>
      <c r="C1485" t="s">
        <v>11842</v>
      </c>
      <c r="K1485" t="s">
        <v>99</v>
      </c>
      <c r="L1485" t="s">
        <v>102</v>
      </c>
      <c r="M1485" t="s">
        <v>75</v>
      </c>
      <c r="R1485" t="s">
        <v>11843</v>
      </c>
      <c r="S1485" t="s">
        <v>11844</v>
      </c>
      <c r="T1485" t="s">
        <v>97</v>
      </c>
      <c r="U1485" t="s">
        <v>77</v>
      </c>
      <c r="V1485" t="str">
        <f>"100296501"</f>
        <v>100296501</v>
      </c>
      <c r="AC1485" t="s">
        <v>79</v>
      </c>
      <c r="AD1485" t="s">
        <v>75</v>
      </c>
      <c r="AE1485" t="s">
        <v>103</v>
      </c>
      <c r="AG1485" t="s">
        <v>81</v>
      </c>
    </row>
    <row r="1486" spans="1:33" x14ac:dyDescent="0.25">
      <c r="A1486" t="str">
        <f>"1831483031"</f>
        <v>1831483031</v>
      </c>
      <c r="B1486" t="str">
        <f>"04184098"</f>
        <v>04184098</v>
      </c>
      <c r="C1486" t="s">
        <v>11845</v>
      </c>
      <c r="D1486" t="s">
        <v>11846</v>
      </c>
      <c r="E1486" t="s">
        <v>11847</v>
      </c>
      <c r="L1486" t="s">
        <v>74</v>
      </c>
      <c r="M1486" t="s">
        <v>75</v>
      </c>
      <c r="R1486" t="s">
        <v>11847</v>
      </c>
      <c r="W1486" t="s">
        <v>11847</v>
      </c>
      <c r="X1486" t="s">
        <v>235</v>
      </c>
      <c r="Y1486" t="s">
        <v>190</v>
      </c>
      <c r="Z1486" t="s">
        <v>77</v>
      </c>
      <c r="AA1486" t="str">
        <f>"11102-2448"</f>
        <v>11102-2448</v>
      </c>
      <c r="AB1486" t="s">
        <v>78</v>
      </c>
      <c r="AC1486" t="s">
        <v>79</v>
      </c>
      <c r="AD1486" t="s">
        <v>75</v>
      </c>
      <c r="AE1486" t="s">
        <v>80</v>
      </c>
      <c r="AG1486" t="s">
        <v>81</v>
      </c>
    </row>
    <row r="1487" spans="1:33" x14ac:dyDescent="0.25">
      <c r="A1487" t="str">
        <f>"1801139290"</f>
        <v>1801139290</v>
      </c>
      <c r="C1487" t="s">
        <v>11848</v>
      </c>
      <c r="K1487" t="s">
        <v>99</v>
      </c>
      <c r="L1487" t="s">
        <v>102</v>
      </c>
      <c r="M1487" t="s">
        <v>75</v>
      </c>
      <c r="R1487" t="s">
        <v>11849</v>
      </c>
      <c r="S1487" t="s">
        <v>11850</v>
      </c>
      <c r="T1487" t="s">
        <v>97</v>
      </c>
      <c r="U1487" t="s">
        <v>77</v>
      </c>
      <c r="V1487" t="str">
        <f>"100296504"</f>
        <v>100296504</v>
      </c>
      <c r="AC1487" t="s">
        <v>79</v>
      </c>
      <c r="AD1487" t="s">
        <v>75</v>
      </c>
      <c r="AE1487" t="s">
        <v>103</v>
      </c>
      <c r="AG1487" t="s">
        <v>81</v>
      </c>
    </row>
    <row r="1488" spans="1:33" x14ac:dyDescent="0.25">
      <c r="A1488" t="str">
        <f>"1992034961"</f>
        <v>1992034961</v>
      </c>
      <c r="B1488" t="str">
        <f>"03331748"</f>
        <v>03331748</v>
      </c>
      <c r="C1488" t="s">
        <v>11851</v>
      </c>
      <c r="D1488" t="s">
        <v>6034</v>
      </c>
      <c r="E1488" t="s">
        <v>6035</v>
      </c>
      <c r="L1488" t="s">
        <v>84</v>
      </c>
      <c r="M1488" t="s">
        <v>75</v>
      </c>
      <c r="R1488" t="s">
        <v>6036</v>
      </c>
      <c r="W1488" t="s">
        <v>6037</v>
      </c>
      <c r="X1488" t="s">
        <v>354</v>
      </c>
      <c r="Y1488" t="s">
        <v>152</v>
      </c>
      <c r="Z1488" t="s">
        <v>77</v>
      </c>
      <c r="AA1488" t="str">
        <f>"11375-2029"</f>
        <v>11375-2029</v>
      </c>
      <c r="AB1488" t="s">
        <v>78</v>
      </c>
      <c r="AC1488" t="s">
        <v>79</v>
      </c>
      <c r="AD1488" t="s">
        <v>75</v>
      </c>
      <c r="AE1488" t="s">
        <v>80</v>
      </c>
      <c r="AG1488" t="s">
        <v>81</v>
      </c>
    </row>
    <row r="1489" spans="1:33" x14ac:dyDescent="0.25">
      <c r="A1489" t="str">
        <f>"1902249980"</f>
        <v>1902249980</v>
      </c>
      <c r="C1489" t="s">
        <v>11852</v>
      </c>
      <c r="K1489" t="s">
        <v>99</v>
      </c>
      <c r="L1489" t="s">
        <v>102</v>
      </c>
      <c r="M1489" t="s">
        <v>75</v>
      </c>
      <c r="R1489" t="s">
        <v>11853</v>
      </c>
      <c r="S1489" t="s">
        <v>11854</v>
      </c>
      <c r="T1489" t="s">
        <v>155</v>
      </c>
      <c r="U1489" t="s">
        <v>77</v>
      </c>
      <c r="V1489" t="str">
        <f>"103141659"</f>
        <v>103141659</v>
      </c>
      <c r="AC1489" t="s">
        <v>79</v>
      </c>
      <c r="AD1489" t="s">
        <v>75</v>
      </c>
      <c r="AE1489" t="s">
        <v>103</v>
      </c>
      <c r="AG1489" t="s">
        <v>81</v>
      </c>
    </row>
    <row r="1490" spans="1:33" x14ac:dyDescent="0.25">
      <c r="A1490" t="str">
        <f>"1801141858"</f>
        <v>1801141858</v>
      </c>
      <c r="B1490" t="str">
        <f>"04597224"</f>
        <v>04597224</v>
      </c>
      <c r="C1490" t="s">
        <v>11855</v>
      </c>
      <c r="D1490" t="s">
        <v>11856</v>
      </c>
      <c r="E1490" t="s">
        <v>11857</v>
      </c>
      <c r="L1490" t="s">
        <v>102</v>
      </c>
      <c r="M1490" t="s">
        <v>75</v>
      </c>
      <c r="R1490" t="s">
        <v>11858</v>
      </c>
      <c r="W1490" t="s">
        <v>11857</v>
      </c>
      <c r="AB1490" t="s">
        <v>78</v>
      </c>
      <c r="AC1490" t="s">
        <v>79</v>
      </c>
      <c r="AD1490" t="s">
        <v>75</v>
      </c>
      <c r="AE1490" t="s">
        <v>80</v>
      </c>
      <c r="AG1490" t="s">
        <v>81</v>
      </c>
    </row>
    <row r="1491" spans="1:33" x14ac:dyDescent="0.25">
      <c r="A1491" t="str">
        <f>"1982039491"</f>
        <v>1982039491</v>
      </c>
      <c r="B1491" t="str">
        <f>"04040319"</f>
        <v>04040319</v>
      </c>
      <c r="C1491" t="s">
        <v>11859</v>
      </c>
      <c r="D1491" t="s">
        <v>11860</v>
      </c>
      <c r="E1491" t="s">
        <v>11861</v>
      </c>
      <c r="L1491" t="s">
        <v>74</v>
      </c>
      <c r="M1491" t="s">
        <v>75</v>
      </c>
      <c r="R1491" t="s">
        <v>11862</v>
      </c>
      <c r="W1491" t="s">
        <v>11861</v>
      </c>
      <c r="X1491" t="s">
        <v>1778</v>
      </c>
      <c r="Y1491" t="s">
        <v>1779</v>
      </c>
      <c r="Z1491" t="s">
        <v>77</v>
      </c>
      <c r="AA1491" t="str">
        <f>"11572-1551"</f>
        <v>11572-1551</v>
      </c>
      <c r="AB1491" t="s">
        <v>78</v>
      </c>
      <c r="AC1491" t="s">
        <v>79</v>
      </c>
      <c r="AD1491" t="s">
        <v>75</v>
      </c>
      <c r="AE1491" t="s">
        <v>80</v>
      </c>
      <c r="AG1491" t="s">
        <v>81</v>
      </c>
    </row>
    <row r="1492" spans="1:33" x14ac:dyDescent="0.25">
      <c r="A1492" t="str">
        <f>"1972586428"</f>
        <v>1972586428</v>
      </c>
      <c r="B1492" t="str">
        <f>"02389435"</f>
        <v>02389435</v>
      </c>
      <c r="C1492" t="s">
        <v>11863</v>
      </c>
      <c r="D1492" t="s">
        <v>11864</v>
      </c>
      <c r="E1492" t="s">
        <v>11865</v>
      </c>
      <c r="L1492" t="s">
        <v>84</v>
      </c>
      <c r="M1492" t="s">
        <v>75</v>
      </c>
      <c r="R1492" t="s">
        <v>11865</v>
      </c>
      <c r="W1492" t="s">
        <v>11865</v>
      </c>
      <c r="X1492" t="s">
        <v>543</v>
      </c>
      <c r="Y1492" t="s">
        <v>87</v>
      </c>
      <c r="Z1492" t="s">
        <v>77</v>
      </c>
      <c r="AA1492" t="str">
        <f>"11206-5317"</f>
        <v>11206-5317</v>
      </c>
      <c r="AB1492" t="s">
        <v>78</v>
      </c>
      <c r="AC1492" t="s">
        <v>79</v>
      </c>
      <c r="AD1492" t="s">
        <v>75</v>
      </c>
      <c r="AE1492" t="s">
        <v>80</v>
      </c>
      <c r="AG1492" t="s">
        <v>81</v>
      </c>
    </row>
    <row r="1493" spans="1:33" x14ac:dyDescent="0.25">
      <c r="A1493" t="str">
        <f>"1881867851"</f>
        <v>1881867851</v>
      </c>
      <c r="B1493" t="str">
        <f>"03161442"</f>
        <v>03161442</v>
      </c>
      <c r="C1493" t="s">
        <v>11866</v>
      </c>
      <c r="D1493" t="s">
        <v>11867</v>
      </c>
      <c r="E1493" t="s">
        <v>11868</v>
      </c>
      <c r="L1493" t="s">
        <v>74</v>
      </c>
      <c r="M1493" t="s">
        <v>75</v>
      </c>
      <c r="R1493" t="s">
        <v>11869</v>
      </c>
      <c r="W1493" t="s">
        <v>11870</v>
      </c>
      <c r="X1493" t="s">
        <v>235</v>
      </c>
      <c r="Y1493" t="s">
        <v>190</v>
      </c>
      <c r="Z1493" t="s">
        <v>77</v>
      </c>
      <c r="AA1493" t="str">
        <f>"11102-2448"</f>
        <v>11102-2448</v>
      </c>
      <c r="AB1493" t="s">
        <v>78</v>
      </c>
      <c r="AC1493" t="s">
        <v>79</v>
      </c>
      <c r="AD1493" t="s">
        <v>75</v>
      </c>
      <c r="AE1493" t="s">
        <v>80</v>
      </c>
      <c r="AG1493" t="s">
        <v>81</v>
      </c>
    </row>
    <row r="1494" spans="1:33" x14ac:dyDescent="0.25">
      <c r="A1494" t="str">
        <f>"1316212590"</f>
        <v>1316212590</v>
      </c>
      <c r="C1494" t="s">
        <v>11871</v>
      </c>
      <c r="K1494" t="s">
        <v>99</v>
      </c>
      <c r="L1494" t="s">
        <v>102</v>
      </c>
      <c r="M1494" t="s">
        <v>75</v>
      </c>
      <c r="R1494" t="s">
        <v>11872</v>
      </c>
      <c r="S1494" t="s">
        <v>11873</v>
      </c>
      <c r="T1494" t="s">
        <v>11874</v>
      </c>
      <c r="U1494" t="s">
        <v>156</v>
      </c>
      <c r="V1494" t="str">
        <f>"076703027"</f>
        <v>076703027</v>
      </c>
      <c r="AC1494" t="s">
        <v>79</v>
      </c>
      <c r="AD1494" t="s">
        <v>75</v>
      </c>
      <c r="AE1494" t="s">
        <v>103</v>
      </c>
      <c r="AG1494" t="s">
        <v>81</v>
      </c>
    </row>
    <row r="1495" spans="1:33" x14ac:dyDescent="0.25">
      <c r="A1495" t="str">
        <f>"1881840783"</f>
        <v>1881840783</v>
      </c>
      <c r="C1495" t="s">
        <v>11875</v>
      </c>
      <c r="K1495" t="s">
        <v>99</v>
      </c>
      <c r="L1495" t="s">
        <v>102</v>
      </c>
      <c r="M1495" t="s">
        <v>75</v>
      </c>
      <c r="R1495" t="s">
        <v>11876</v>
      </c>
      <c r="S1495" t="s">
        <v>11877</v>
      </c>
      <c r="T1495" t="s">
        <v>129</v>
      </c>
      <c r="U1495" t="s">
        <v>77</v>
      </c>
      <c r="V1495" t="str">
        <f>"113725855"</f>
        <v>113725855</v>
      </c>
      <c r="AC1495" t="s">
        <v>79</v>
      </c>
      <c r="AD1495" t="s">
        <v>75</v>
      </c>
      <c r="AE1495" t="s">
        <v>103</v>
      </c>
      <c r="AG1495" t="s">
        <v>81</v>
      </c>
    </row>
    <row r="1496" spans="1:33" x14ac:dyDescent="0.25">
      <c r="A1496" t="str">
        <f>"1881919918"</f>
        <v>1881919918</v>
      </c>
      <c r="B1496" t="str">
        <f>"03986454"</f>
        <v>03986454</v>
      </c>
      <c r="C1496" t="s">
        <v>11878</v>
      </c>
      <c r="D1496" t="s">
        <v>11879</v>
      </c>
      <c r="E1496" t="s">
        <v>11880</v>
      </c>
      <c r="L1496" t="s">
        <v>74</v>
      </c>
      <c r="M1496" t="s">
        <v>75</v>
      </c>
      <c r="R1496" t="s">
        <v>11881</v>
      </c>
      <c r="W1496" t="s">
        <v>11880</v>
      </c>
      <c r="X1496" t="s">
        <v>181</v>
      </c>
      <c r="Y1496" t="s">
        <v>97</v>
      </c>
      <c r="Z1496" t="s">
        <v>77</v>
      </c>
      <c r="AA1496" t="str">
        <f>"10025-1716"</f>
        <v>10025-1716</v>
      </c>
      <c r="AB1496" t="s">
        <v>78</v>
      </c>
      <c r="AC1496" t="s">
        <v>79</v>
      </c>
      <c r="AD1496" t="s">
        <v>75</v>
      </c>
      <c r="AE1496" t="s">
        <v>80</v>
      </c>
      <c r="AG1496" t="s">
        <v>81</v>
      </c>
    </row>
    <row r="1497" spans="1:33" x14ac:dyDescent="0.25">
      <c r="A1497" t="str">
        <f>"1881987345"</f>
        <v>1881987345</v>
      </c>
      <c r="C1497" t="s">
        <v>11882</v>
      </c>
      <c r="K1497" t="s">
        <v>99</v>
      </c>
      <c r="L1497" t="s">
        <v>102</v>
      </c>
      <c r="M1497" t="s">
        <v>75</v>
      </c>
      <c r="R1497" t="s">
        <v>11883</v>
      </c>
      <c r="S1497" t="s">
        <v>3553</v>
      </c>
      <c r="T1497" t="s">
        <v>97</v>
      </c>
      <c r="U1497" t="s">
        <v>77</v>
      </c>
      <c r="V1497" t="str">
        <f>"100033851"</f>
        <v>100033851</v>
      </c>
      <c r="AC1497" t="s">
        <v>79</v>
      </c>
      <c r="AD1497" t="s">
        <v>75</v>
      </c>
      <c r="AE1497" t="s">
        <v>103</v>
      </c>
      <c r="AG1497" t="s">
        <v>81</v>
      </c>
    </row>
    <row r="1498" spans="1:33" x14ac:dyDescent="0.25">
      <c r="A1498" t="str">
        <f>"1891052296"</f>
        <v>1891052296</v>
      </c>
      <c r="B1498" t="str">
        <f>"03441783"</f>
        <v>03441783</v>
      </c>
      <c r="C1498" t="s">
        <v>11884</v>
      </c>
      <c r="D1498" t="s">
        <v>11885</v>
      </c>
      <c r="E1498" t="s">
        <v>11886</v>
      </c>
      <c r="L1498" t="s">
        <v>105</v>
      </c>
      <c r="M1498" t="s">
        <v>75</v>
      </c>
      <c r="R1498" t="s">
        <v>11887</v>
      </c>
      <c r="W1498" t="s">
        <v>11888</v>
      </c>
      <c r="X1498" t="s">
        <v>11889</v>
      </c>
      <c r="Y1498" t="s">
        <v>87</v>
      </c>
      <c r="Z1498" t="s">
        <v>77</v>
      </c>
      <c r="AA1498" t="str">
        <f>"11234-4231"</f>
        <v>11234-4231</v>
      </c>
      <c r="AB1498" t="s">
        <v>125</v>
      </c>
      <c r="AC1498" t="s">
        <v>79</v>
      </c>
      <c r="AD1498" t="s">
        <v>75</v>
      </c>
      <c r="AE1498" t="s">
        <v>80</v>
      </c>
      <c r="AG1498" t="s">
        <v>81</v>
      </c>
    </row>
    <row r="1499" spans="1:33" x14ac:dyDescent="0.25">
      <c r="A1499" t="str">
        <f>"1477684967"</f>
        <v>1477684967</v>
      </c>
      <c r="B1499" t="str">
        <f>"02995802"</f>
        <v>02995802</v>
      </c>
      <c r="C1499" t="s">
        <v>11890</v>
      </c>
      <c r="D1499" t="s">
        <v>11891</v>
      </c>
      <c r="E1499" t="s">
        <v>11892</v>
      </c>
      <c r="L1499" t="s">
        <v>211</v>
      </c>
      <c r="M1499" t="s">
        <v>85</v>
      </c>
      <c r="R1499" t="s">
        <v>11893</v>
      </c>
      <c r="W1499" t="s">
        <v>11894</v>
      </c>
      <c r="X1499" t="s">
        <v>11895</v>
      </c>
      <c r="Y1499" t="s">
        <v>97</v>
      </c>
      <c r="Z1499" t="s">
        <v>77</v>
      </c>
      <c r="AA1499" t="str">
        <f>"10013-9801"</f>
        <v>10013-9801</v>
      </c>
      <c r="AB1499" t="s">
        <v>93</v>
      </c>
      <c r="AC1499" t="s">
        <v>79</v>
      </c>
      <c r="AD1499" t="s">
        <v>75</v>
      </c>
      <c r="AE1499" t="s">
        <v>80</v>
      </c>
      <c r="AG1499" t="s">
        <v>81</v>
      </c>
    </row>
    <row r="1500" spans="1:33" x14ac:dyDescent="0.25">
      <c r="A1500" t="str">
        <f>"1871733022"</f>
        <v>1871733022</v>
      </c>
      <c r="B1500" t="str">
        <f>"03750323"</f>
        <v>03750323</v>
      </c>
      <c r="C1500" t="s">
        <v>11896</v>
      </c>
      <c r="D1500" t="s">
        <v>11897</v>
      </c>
      <c r="E1500" t="s">
        <v>11898</v>
      </c>
      <c r="L1500" t="s">
        <v>74</v>
      </c>
      <c r="M1500" t="s">
        <v>75</v>
      </c>
      <c r="R1500" t="s">
        <v>11899</v>
      </c>
      <c r="W1500" t="s">
        <v>11898</v>
      </c>
      <c r="X1500" t="s">
        <v>329</v>
      </c>
      <c r="Y1500" t="s">
        <v>97</v>
      </c>
      <c r="Z1500" t="s">
        <v>77</v>
      </c>
      <c r="AA1500" t="str">
        <f>"10029-6504"</f>
        <v>10029-6504</v>
      </c>
      <c r="AB1500" t="s">
        <v>78</v>
      </c>
      <c r="AC1500" t="s">
        <v>79</v>
      </c>
      <c r="AD1500" t="s">
        <v>75</v>
      </c>
      <c r="AE1500" t="s">
        <v>80</v>
      </c>
      <c r="AG1500" t="s">
        <v>81</v>
      </c>
    </row>
    <row r="1501" spans="1:33" x14ac:dyDescent="0.25">
      <c r="A1501" t="str">
        <f>"1528367026"</f>
        <v>1528367026</v>
      </c>
      <c r="C1501" t="s">
        <v>11900</v>
      </c>
      <c r="K1501" t="s">
        <v>99</v>
      </c>
      <c r="L1501" t="s">
        <v>102</v>
      </c>
      <c r="M1501" t="s">
        <v>75</v>
      </c>
      <c r="R1501" t="s">
        <v>11901</v>
      </c>
      <c r="S1501" t="s">
        <v>11902</v>
      </c>
      <c r="T1501" t="s">
        <v>2633</v>
      </c>
      <c r="U1501" t="s">
        <v>1842</v>
      </c>
      <c r="V1501" t="str">
        <f>"069021627"</f>
        <v>069021627</v>
      </c>
      <c r="AC1501" t="s">
        <v>79</v>
      </c>
      <c r="AD1501" t="s">
        <v>75</v>
      </c>
      <c r="AE1501" t="s">
        <v>103</v>
      </c>
      <c r="AG1501" t="s">
        <v>81</v>
      </c>
    </row>
    <row r="1502" spans="1:33" x14ac:dyDescent="0.25">
      <c r="A1502" t="str">
        <f>"1780847665"</f>
        <v>1780847665</v>
      </c>
      <c r="C1502" t="s">
        <v>11903</v>
      </c>
      <c r="K1502" t="s">
        <v>99</v>
      </c>
      <c r="L1502" t="s">
        <v>102</v>
      </c>
      <c r="M1502" t="s">
        <v>75</v>
      </c>
      <c r="R1502" t="s">
        <v>11904</v>
      </c>
      <c r="S1502" t="s">
        <v>11905</v>
      </c>
      <c r="T1502" t="s">
        <v>11906</v>
      </c>
      <c r="U1502" t="s">
        <v>1788</v>
      </c>
      <c r="V1502" t="str">
        <f>"294258908"</f>
        <v>294258908</v>
      </c>
      <c r="AC1502" t="s">
        <v>79</v>
      </c>
      <c r="AD1502" t="s">
        <v>75</v>
      </c>
      <c r="AE1502" t="s">
        <v>103</v>
      </c>
      <c r="AG1502" t="s">
        <v>81</v>
      </c>
    </row>
    <row r="1503" spans="1:33" x14ac:dyDescent="0.25">
      <c r="A1503" t="str">
        <f>"1811156581"</f>
        <v>1811156581</v>
      </c>
      <c r="B1503" t="str">
        <f>"03991820"</f>
        <v>03991820</v>
      </c>
      <c r="C1503" t="s">
        <v>11907</v>
      </c>
      <c r="D1503" t="s">
        <v>11908</v>
      </c>
      <c r="E1503" t="s">
        <v>11909</v>
      </c>
      <c r="L1503" t="s">
        <v>74</v>
      </c>
      <c r="M1503" t="s">
        <v>75</v>
      </c>
      <c r="R1503" t="s">
        <v>11910</v>
      </c>
      <c r="W1503" t="s">
        <v>11909</v>
      </c>
      <c r="X1503" t="s">
        <v>191</v>
      </c>
      <c r="Y1503" t="s">
        <v>97</v>
      </c>
      <c r="Z1503" t="s">
        <v>77</v>
      </c>
      <c r="AA1503" t="str">
        <f>"10019-1147"</f>
        <v>10019-1147</v>
      </c>
      <c r="AB1503" t="s">
        <v>78</v>
      </c>
      <c r="AC1503" t="s">
        <v>79</v>
      </c>
      <c r="AD1503" t="s">
        <v>75</v>
      </c>
      <c r="AE1503" t="s">
        <v>80</v>
      </c>
      <c r="AG1503" t="s">
        <v>81</v>
      </c>
    </row>
    <row r="1504" spans="1:33" x14ac:dyDescent="0.25">
      <c r="A1504" t="str">
        <f>"1821387085"</f>
        <v>1821387085</v>
      </c>
      <c r="C1504" t="s">
        <v>11911</v>
      </c>
      <c r="K1504" t="s">
        <v>99</v>
      </c>
      <c r="L1504" t="s">
        <v>74</v>
      </c>
      <c r="M1504" t="s">
        <v>75</v>
      </c>
      <c r="R1504" t="s">
        <v>11912</v>
      </c>
      <c r="S1504" t="s">
        <v>11913</v>
      </c>
      <c r="T1504" t="s">
        <v>97</v>
      </c>
      <c r="U1504" t="s">
        <v>77</v>
      </c>
      <c r="V1504" t="str">
        <f>"100296501"</f>
        <v>100296501</v>
      </c>
      <c r="AC1504" t="s">
        <v>79</v>
      </c>
      <c r="AD1504" t="s">
        <v>75</v>
      </c>
      <c r="AE1504" t="s">
        <v>103</v>
      </c>
      <c r="AG1504" t="s">
        <v>81</v>
      </c>
    </row>
    <row r="1505" spans="1:33" x14ac:dyDescent="0.25">
      <c r="A1505" t="str">
        <f>"1508917444"</f>
        <v>1508917444</v>
      </c>
      <c r="B1505" t="str">
        <f>"01783242"</f>
        <v>01783242</v>
      </c>
      <c r="C1505" t="s">
        <v>11914</v>
      </c>
      <c r="D1505" t="s">
        <v>11915</v>
      </c>
      <c r="E1505" t="s">
        <v>11916</v>
      </c>
      <c r="G1505" t="s">
        <v>11917</v>
      </c>
      <c r="H1505" t="s">
        <v>11918</v>
      </c>
      <c r="I1505">
        <v>208</v>
      </c>
      <c r="J1505" t="s">
        <v>11919</v>
      </c>
      <c r="L1505" t="s">
        <v>74</v>
      </c>
      <c r="M1505" t="s">
        <v>85</v>
      </c>
      <c r="R1505" t="s">
        <v>11916</v>
      </c>
      <c r="W1505" t="s">
        <v>11916</v>
      </c>
      <c r="X1505" t="s">
        <v>8385</v>
      </c>
      <c r="Y1505" t="s">
        <v>97</v>
      </c>
      <c r="Z1505" t="s">
        <v>77</v>
      </c>
      <c r="AA1505" t="str">
        <f>"10001-2320"</f>
        <v>10001-2320</v>
      </c>
      <c r="AB1505" t="s">
        <v>78</v>
      </c>
      <c r="AC1505" t="s">
        <v>79</v>
      </c>
      <c r="AD1505" t="s">
        <v>75</v>
      </c>
      <c r="AE1505" t="s">
        <v>80</v>
      </c>
      <c r="AG1505" t="s">
        <v>81</v>
      </c>
    </row>
    <row r="1506" spans="1:33" x14ac:dyDescent="0.25">
      <c r="A1506" t="str">
        <f>"1548240518"</f>
        <v>1548240518</v>
      </c>
      <c r="B1506" t="str">
        <f>"02925377"</f>
        <v>02925377</v>
      </c>
      <c r="C1506" t="s">
        <v>11920</v>
      </c>
      <c r="D1506" t="s">
        <v>11921</v>
      </c>
      <c r="E1506" t="s">
        <v>11922</v>
      </c>
      <c r="G1506" t="s">
        <v>11923</v>
      </c>
      <c r="H1506" t="s">
        <v>11924</v>
      </c>
      <c r="I1506">
        <v>6702</v>
      </c>
      <c r="J1506" t="s">
        <v>11925</v>
      </c>
      <c r="L1506" t="s">
        <v>105</v>
      </c>
      <c r="M1506" t="s">
        <v>75</v>
      </c>
      <c r="W1506" t="s">
        <v>11926</v>
      </c>
      <c r="X1506" t="s">
        <v>11927</v>
      </c>
      <c r="Y1506" t="s">
        <v>1761</v>
      </c>
      <c r="Z1506" t="s">
        <v>77</v>
      </c>
      <c r="AA1506" t="str">
        <f>"12572-2068"</f>
        <v>12572-2068</v>
      </c>
      <c r="AB1506" t="s">
        <v>78</v>
      </c>
      <c r="AC1506" t="s">
        <v>79</v>
      </c>
      <c r="AD1506" t="s">
        <v>75</v>
      </c>
      <c r="AE1506" t="s">
        <v>80</v>
      </c>
      <c r="AG1506" t="s">
        <v>81</v>
      </c>
    </row>
    <row r="1507" spans="1:33" x14ac:dyDescent="0.25">
      <c r="A1507" t="str">
        <f>"1871882555"</f>
        <v>1871882555</v>
      </c>
      <c r="B1507" t="str">
        <f>"03871978"</f>
        <v>03871978</v>
      </c>
      <c r="C1507" t="s">
        <v>11928</v>
      </c>
      <c r="D1507" t="s">
        <v>11929</v>
      </c>
      <c r="E1507" t="s">
        <v>11930</v>
      </c>
      <c r="L1507" t="s">
        <v>74</v>
      </c>
      <c r="M1507" t="s">
        <v>75</v>
      </c>
      <c r="R1507" t="s">
        <v>11931</v>
      </c>
      <c r="W1507" t="s">
        <v>11930</v>
      </c>
      <c r="X1507" t="s">
        <v>86</v>
      </c>
      <c r="Y1507" t="s">
        <v>87</v>
      </c>
      <c r="Z1507" t="s">
        <v>77</v>
      </c>
      <c r="AA1507" t="str">
        <f>"11220-2508"</f>
        <v>11220-2508</v>
      </c>
      <c r="AB1507" t="s">
        <v>78</v>
      </c>
      <c r="AC1507" t="s">
        <v>79</v>
      </c>
      <c r="AD1507" t="s">
        <v>75</v>
      </c>
      <c r="AE1507" t="s">
        <v>80</v>
      </c>
      <c r="AG1507" t="s">
        <v>81</v>
      </c>
    </row>
    <row r="1508" spans="1:33" x14ac:dyDescent="0.25">
      <c r="A1508" t="str">
        <f>"1881093847"</f>
        <v>1881093847</v>
      </c>
      <c r="C1508" t="s">
        <v>11932</v>
      </c>
      <c r="K1508" t="s">
        <v>99</v>
      </c>
      <c r="L1508" t="s">
        <v>102</v>
      </c>
      <c r="M1508" t="s">
        <v>75</v>
      </c>
      <c r="R1508" t="s">
        <v>11933</v>
      </c>
      <c r="S1508" t="s">
        <v>11934</v>
      </c>
      <c r="T1508" t="s">
        <v>97</v>
      </c>
      <c r="U1508" t="s">
        <v>77</v>
      </c>
      <c r="V1508" t="str">
        <f>"100033314"</f>
        <v>100033314</v>
      </c>
      <c r="AC1508" t="s">
        <v>79</v>
      </c>
      <c r="AD1508" t="s">
        <v>75</v>
      </c>
      <c r="AE1508" t="s">
        <v>103</v>
      </c>
      <c r="AG1508" t="s">
        <v>81</v>
      </c>
    </row>
    <row r="1509" spans="1:33" x14ac:dyDescent="0.25">
      <c r="A1509" t="str">
        <f>"1831437375"</f>
        <v>1831437375</v>
      </c>
      <c r="B1509" t="str">
        <f>"03581986"</f>
        <v>03581986</v>
      </c>
      <c r="C1509" t="s">
        <v>11935</v>
      </c>
      <c r="D1509" t="s">
        <v>11936</v>
      </c>
      <c r="E1509" t="s">
        <v>11937</v>
      </c>
      <c r="L1509" t="s">
        <v>83</v>
      </c>
      <c r="M1509" t="s">
        <v>75</v>
      </c>
      <c r="R1509" t="s">
        <v>11938</v>
      </c>
      <c r="W1509" t="s">
        <v>11937</v>
      </c>
      <c r="X1509" t="s">
        <v>235</v>
      </c>
      <c r="Y1509" t="s">
        <v>190</v>
      </c>
      <c r="Z1509" t="s">
        <v>77</v>
      </c>
      <c r="AA1509" t="str">
        <f>"11102-2448"</f>
        <v>11102-2448</v>
      </c>
      <c r="AB1509" t="s">
        <v>78</v>
      </c>
      <c r="AC1509" t="s">
        <v>79</v>
      </c>
      <c r="AD1509" t="s">
        <v>75</v>
      </c>
      <c r="AE1509" t="s">
        <v>80</v>
      </c>
      <c r="AG1509" t="s">
        <v>81</v>
      </c>
    </row>
    <row r="1510" spans="1:33" x14ac:dyDescent="0.25">
      <c r="A1510" t="str">
        <f>"1740296722"</f>
        <v>1740296722</v>
      </c>
      <c r="B1510" t="str">
        <f>"01419167"</f>
        <v>01419167</v>
      </c>
      <c r="C1510" t="s">
        <v>11939</v>
      </c>
      <c r="D1510" t="s">
        <v>11940</v>
      </c>
      <c r="E1510" t="s">
        <v>11941</v>
      </c>
      <c r="H1510" t="s">
        <v>11942</v>
      </c>
      <c r="J1510" t="s">
        <v>11943</v>
      </c>
      <c r="L1510" t="s">
        <v>83</v>
      </c>
      <c r="M1510" t="s">
        <v>85</v>
      </c>
      <c r="R1510" t="s">
        <v>11944</v>
      </c>
      <c r="W1510" t="s">
        <v>11941</v>
      </c>
      <c r="X1510" t="s">
        <v>11945</v>
      </c>
      <c r="Y1510" t="s">
        <v>2128</v>
      </c>
      <c r="Z1510" t="s">
        <v>77</v>
      </c>
      <c r="AA1510" t="str">
        <f>"11743-2779"</f>
        <v>11743-2779</v>
      </c>
      <c r="AB1510" t="s">
        <v>78</v>
      </c>
      <c r="AC1510" t="s">
        <v>79</v>
      </c>
      <c r="AD1510" t="s">
        <v>75</v>
      </c>
      <c r="AE1510" t="s">
        <v>80</v>
      </c>
      <c r="AG1510" t="s">
        <v>81</v>
      </c>
    </row>
    <row r="1511" spans="1:33" x14ac:dyDescent="0.25">
      <c r="A1511" t="str">
        <f>"1851562342"</f>
        <v>1851562342</v>
      </c>
      <c r="B1511" t="str">
        <f>"03453876"</f>
        <v>03453876</v>
      </c>
      <c r="C1511" t="s">
        <v>11946</v>
      </c>
      <c r="D1511" t="s">
        <v>11947</v>
      </c>
      <c r="E1511" t="s">
        <v>11948</v>
      </c>
      <c r="H1511" t="s">
        <v>11942</v>
      </c>
      <c r="J1511" t="s">
        <v>11949</v>
      </c>
      <c r="L1511" t="s">
        <v>83</v>
      </c>
      <c r="M1511" t="s">
        <v>85</v>
      </c>
      <c r="R1511" t="s">
        <v>11950</v>
      </c>
      <c r="W1511" t="s">
        <v>11951</v>
      </c>
      <c r="X1511" t="s">
        <v>11952</v>
      </c>
      <c r="Y1511" t="s">
        <v>2128</v>
      </c>
      <c r="Z1511" t="s">
        <v>77</v>
      </c>
      <c r="AA1511" t="str">
        <f>"11743-2538"</f>
        <v>11743-2538</v>
      </c>
      <c r="AB1511" t="s">
        <v>78</v>
      </c>
      <c r="AC1511" t="s">
        <v>79</v>
      </c>
      <c r="AD1511" t="s">
        <v>75</v>
      </c>
      <c r="AE1511" t="s">
        <v>80</v>
      </c>
      <c r="AG1511" t="s">
        <v>81</v>
      </c>
    </row>
    <row r="1512" spans="1:33" x14ac:dyDescent="0.25">
      <c r="A1512" t="str">
        <f>"1922339498"</f>
        <v>1922339498</v>
      </c>
      <c r="B1512" t="str">
        <f>"03523439"</f>
        <v>03523439</v>
      </c>
      <c r="C1512" t="s">
        <v>11953</v>
      </c>
      <c r="D1512" t="s">
        <v>11954</v>
      </c>
      <c r="E1512" t="s">
        <v>11955</v>
      </c>
      <c r="H1512" t="s">
        <v>11956</v>
      </c>
      <c r="J1512" t="s">
        <v>11957</v>
      </c>
      <c r="L1512" t="s">
        <v>83</v>
      </c>
      <c r="M1512" t="s">
        <v>85</v>
      </c>
      <c r="R1512" t="s">
        <v>11958</v>
      </c>
      <c r="W1512" t="s">
        <v>11955</v>
      </c>
      <c r="X1512" t="s">
        <v>11945</v>
      </c>
      <c r="Y1512" t="s">
        <v>2128</v>
      </c>
      <c r="Z1512" t="s">
        <v>77</v>
      </c>
      <c r="AA1512" t="str">
        <f>"11743-2779"</f>
        <v>11743-2779</v>
      </c>
      <c r="AB1512" t="s">
        <v>78</v>
      </c>
      <c r="AC1512" t="s">
        <v>79</v>
      </c>
      <c r="AD1512" t="s">
        <v>75</v>
      </c>
      <c r="AE1512" t="s">
        <v>80</v>
      </c>
      <c r="AG1512" t="s">
        <v>81</v>
      </c>
    </row>
    <row r="1513" spans="1:33" x14ac:dyDescent="0.25">
      <c r="A1513" t="str">
        <f>"1790027514"</f>
        <v>1790027514</v>
      </c>
      <c r="C1513" t="s">
        <v>11959</v>
      </c>
      <c r="K1513" t="s">
        <v>99</v>
      </c>
      <c r="L1513" t="s">
        <v>102</v>
      </c>
      <c r="M1513" t="s">
        <v>75</v>
      </c>
      <c r="R1513" t="s">
        <v>11960</v>
      </c>
      <c r="S1513" t="s">
        <v>11961</v>
      </c>
      <c r="T1513" t="s">
        <v>2593</v>
      </c>
      <c r="U1513" t="s">
        <v>2594</v>
      </c>
      <c r="V1513" t="str">
        <f>"037661938"</f>
        <v>037661938</v>
      </c>
      <c r="AC1513" t="s">
        <v>79</v>
      </c>
      <c r="AD1513" t="s">
        <v>75</v>
      </c>
      <c r="AE1513" t="s">
        <v>103</v>
      </c>
      <c r="AG1513" t="s">
        <v>81</v>
      </c>
    </row>
    <row r="1514" spans="1:33" x14ac:dyDescent="0.25">
      <c r="A1514" t="str">
        <f>"1861791329"</f>
        <v>1861791329</v>
      </c>
      <c r="C1514" t="s">
        <v>11962</v>
      </c>
      <c r="K1514" t="s">
        <v>99</v>
      </c>
      <c r="L1514" t="s">
        <v>102</v>
      </c>
      <c r="M1514" t="s">
        <v>75</v>
      </c>
      <c r="R1514" t="s">
        <v>11963</v>
      </c>
      <c r="S1514" t="s">
        <v>11964</v>
      </c>
      <c r="T1514" t="s">
        <v>4606</v>
      </c>
      <c r="U1514" t="s">
        <v>3878</v>
      </c>
      <c r="V1514" t="str">
        <f>"753907201"</f>
        <v>753907201</v>
      </c>
      <c r="AC1514" t="s">
        <v>79</v>
      </c>
      <c r="AD1514" t="s">
        <v>75</v>
      </c>
      <c r="AE1514" t="s">
        <v>103</v>
      </c>
      <c r="AG1514" t="s">
        <v>81</v>
      </c>
    </row>
    <row r="1515" spans="1:33" x14ac:dyDescent="0.25">
      <c r="A1515" t="str">
        <f>"1871828939"</f>
        <v>1871828939</v>
      </c>
      <c r="B1515" t="str">
        <f>"03741499"</f>
        <v>03741499</v>
      </c>
      <c r="C1515" t="s">
        <v>11965</v>
      </c>
      <c r="D1515" t="s">
        <v>11966</v>
      </c>
      <c r="E1515" t="s">
        <v>11967</v>
      </c>
      <c r="L1515" t="s">
        <v>74</v>
      </c>
      <c r="M1515" t="s">
        <v>75</v>
      </c>
      <c r="R1515" t="s">
        <v>11967</v>
      </c>
      <c r="W1515" t="s">
        <v>11967</v>
      </c>
      <c r="X1515" t="s">
        <v>329</v>
      </c>
      <c r="Y1515" t="s">
        <v>97</v>
      </c>
      <c r="Z1515" t="s">
        <v>77</v>
      </c>
      <c r="AA1515" t="str">
        <f>"10029-6574"</f>
        <v>10029-6574</v>
      </c>
      <c r="AB1515" t="s">
        <v>78</v>
      </c>
      <c r="AC1515" t="s">
        <v>79</v>
      </c>
      <c r="AD1515" t="s">
        <v>75</v>
      </c>
      <c r="AE1515" t="s">
        <v>80</v>
      </c>
      <c r="AG1515" t="s">
        <v>81</v>
      </c>
    </row>
    <row r="1516" spans="1:33" x14ac:dyDescent="0.25">
      <c r="A1516" t="str">
        <f>"1871894840"</f>
        <v>1871894840</v>
      </c>
      <c r="B1516" t="str">
        <f>"03356489"</f>
        <v>03356489</v>
      </c>
      <c r="C1516" t="s">
        <v>11968</v>
      </c>
      <c r="D1516" t="s">
        <v>11969</v>
      </c>
      <c r="E1516" t="s">
        <v>11970</v>
      </c>
      <c r="L1516" t="s">
        <v>105</v>
      </c>
      <c r="M1516" t="s">
        <v>75</v>
      </c>
      <c r="R1516" t="s">
        <v>11971</v>
      </c>
      <c r="W1516" t="s">
        <v>11970</v>
      </c>
      <c r="X1516" t="s">
        <v>11972</v>
      </c>
      <c r="Y1516" t="s">
        <v>97</v>
      </c>
      <c r="Z1516" t="s">
        <v>77</v>
      </c>
      <c r="AA1516" t="str">
        <f>"10029-6501"</f>
        <v>10029-6501</v>
      </c>
      <c r="AB1516" t="s">
        <v>125</v>
      </c>
      <c r="AC1516" t="s">
        <v>79</v>
      </c>
      <c r="AD1516" t="s">
        <v>75</v>
      </c>
      <c r="AE1516" t="s">
        <v>80</v>
      </c>
      <c r="AG1516" t="s">
        <v>81</v>
      </c>
    </row>
    <row r="1517" spans="1:33" x14ac:dyDescent="0.25">
      <c r="A1517" t="str">
        <f>"1871895755"</f>
        <v>1871895755</v>
      </c>
      <c r="C1517" t="s">
        <v>11973</v>
      </c>
      <c r="K1517" t="s">
        <v>99</v>
      </c>
      <c r="L1517" t="s">
        <v>102</v>
      </c>
      <c r="M1517" t="s">
        <v>75</v>
      </c>
      <c r="R1517" t="s">
        <v>11974</v>
      </c>
      <c r="S1517" t="s">
        <v>11975</v>
      </c>
      <c r="T1517" t="s">
        <v>97</v>
      </c>
      <c r="U1517" t="s">
        <v>77</v>
      </c>
      <c r="V1517" t="str">
        <f>"100296574"</f>
        <v>100296574</v>
      </c>
      <c r="AC1517" t="s">
        <v>79</v>
      </c>
      <c r="AD1517" t="s">
        <v>75</v>
      </c>
      <c r="AE1517" t="s">
        <v>103</v>
      </c>
      <c r="AG1517" t="s">
        <v>81</v>
      </c>
    </row>
    <row r="1518" spans="1:33" x14ac:dyDescent="0.25">
      <c r="A1518" t="str">
        <f>"1871910943"</f>
        <v>1871910943</v>
      </c>
      <c r="B1518" t="str">
        <f>"03972396"</f>
        <v>03972396</v>
      </c>
      <c r="C1518" t="s">
        <v>11976</v>
      </c>
      <c r="D1518" t="s">
        <v>11977</v>
      </c>
      <c r="E1518" t="s">
        <v>11978</v>
      </c>
      <c r="L1518" t="s">
        <v>102</v>
      </c>
      <c r="M1518" t="s">
        <v>75</v>
      </c>
      <c r="R1518" t="s">
        <v>11979</v>
      </c>
      <c r="W1518" t="s">
        <v>11978</v>
      </c>
      <c r="X1518" t="s">
        <v>329</v>
      </c>
      <c r="Y1518" t="s">
        <v>97</v>
      </c>
      <c r="Z1518" t="s">
        <v>77</v>
      </c>
      <c r="AA1518" t="str">
        <f>"10029-6504"</f>
        <v>10029-6504</v>
      </c>
      <c r="AB1518" t="s">
        <v>78</v>
      </c>
      <c r="AC1518" t="s">
        <v>79</v>
      </c>
      <c r="AD1518" t="s">
        <v>75</v>
      </c>
      <c r="AE1518" t="s">
        <v>80</v>
      </c>
      <c r="AG1518" t="s">
        <v>81</v>
      </c>
    </row>
    <row r="1519" spans="1:33" x14ac:dyDescent="0.25">
      <c r="A1519" t="str">
        <f>"1871915314"</f>
        <v>1871915314</v>
      </c>
      <c r="C1519" t="s">
        <v>11980</v>
      </c>
      <c r="K1519" t="s">
        <v>99</v>
      </c>
      <c r="L1519" t="s">
        <v>102</v>
      </c>
      <c r="M1519" t="s">
        <v>75</v>
      </c>
      <c r="R1519" t="s">
        <v>11981</v>
      </c>
      <c r="S1519" t="s">
        <v>329</v>
      </c>
      <c r="T1519" t="s">
        <v>97</v>
      </c>
      <c r="U1519" t="s">
        <v>77</v>
      </c>
      <c r="V1519" t="str">
        <f>"100296504"</f>
        <v>100296504</v>
      </c>
      <c r="AC1519" t="s">
        <v>79</v>
      </c>
      <c r="AD1519" t="s">
        <v>75</v>
      </c>
      <c r="AE1519" t="s">
        <v>103</v>
      </c>
      <c r="AG1519" t="s">
        <v>81</v>
      </c>
    </row>
    <row r="1520" spans="1:33" x14ac:dyDescent="0.25">
      <c r="A1520" t="str">
        <f>"1932149598"</f>
        <v>1932149598</v>
      </c>
      <c r="B1520" t="str">
        <f>"01476177"</f>
        <v>01476177</v>
      </c>
      <c r="C1520" t="s">
        <v>11982</v>
      </c>
      <c r="D1520" t="s">
        <v>11983</v>
      </c>
      <c r="E1520" t="s">
        <v>11984</v>
      </c>
      <c r="G1520" t="s">
        <v>11985</v>
      </c>
      <c r="H1520" t="s">
        <v>11986</v>
      </c>
      <c r="I1520">
        <v>1144</v>
      </c>
      <c r="J1520" t="s">
        <v>11987</v>
      </c>
      <c r="L1520" t="s">
        <v>74</v>
      </c>
      <c r="M1520" t="s">
        <v>85</v>
      </c>
      <c r="R1520" t="s">
        <v>11988</v>
      </c>
      <c r="W1520" t="s">
        <v>11984</v>
      </c>
      <c r="X1520" t="s">
        <v>11989</v>
      </c>
      <c r="Y1520" t="s">
        <v>164</v>
      </c>
      <c r="Z1520" t="s">
        <v>77</v>
      </c>
      <c r="AA1520" t="str">
        <f>"11554-1859"</f>
        <v>11554-1859</v>
      </c>
      <c r="AB1520" t="s">
        <v>78</v>
      </c>
      <c r="AC1520" t="s">
        <v>79</v>
      </c>
      <c r="AD1520" t="s">
        <v>75</v>
      </c>
      <c r="AE1520" t="s">
        <v>80</v>
      </c>
      <c r="AG1520" t="s">
        <v>81</v>
      </c>
    </row>
    <row r="1521" spans="1:33" x14ac:dyDescent="0.25">
      <c r="A1521" t="str">
        <f>"1588996847"</f>
        <v>1588996847</v>
      </c>
      <c r="B1521" t="str">
        <f>"04056722"</f>
        <v>04056722</v>
      </c>
      <c r="C1521" t="s">
        <v>11990</v>
      </c>
      <c r="D1521" t="s">
        <v>11991</v>
      </c>
      <c r="E1521" t="s">
        <v>11992</v>
      </c>
      <c r="H1521" t="s">
        <v>11775</v>
      </c>
      <c r="J1521" t="s">
        <v>11993</v>
      </c>
      <c r="L1521" t="s">
        <v>83</v>
      </c>
      <c r="M1521" t="s">
        <v>85</v>
      </c>
      <c r="R1521" t="s">
        <v>11994</v>
      </c>
      <c r="W1521" t="s">
        <v>11992</v>
      </c>
      <c r="X1521" t="s">
        <v>11995</v>
      </c>
      <c r="Y1521" t="s">
        <v>240</v>
      </c>
      <c r="Z1521" t="s">
        <v>77</v>
      </c>
      <c r="AA1521" t="str">
        <f>"11530-5760"</f>
        <v>11530-5760</v>
      </c>
      <c r="AB1521" t="s">
        <v>78</v>
      </c>
      <c r="AC1521" t="s">
        <v>79</v>
      </c>
      <c r="AD1521" t="s">
        <v>75</v>
      </c>
      <c r="AE1521" t="s">
        <v>80</v>
      </c>
      <c r="AG1521" t="s">
        <v>81</v>
      </c>
    </row>
    <row r="1522" spans="1:33" x14ac:dyDescent="0.25">
      <c r="A1522" t="str">
        <f>"1508808213"</f>
        <v>1508808213</v>
      </c>
      <c r="B1522" t="str">
        <f>"02107564"</f>
        <v>02107564</v>
      </c>
      <c r="C1522" t="s">
        <v>11996</v>
      </c>
      <c r="D1522" t="s">
        <v>11997</v>
      </c>
      <c r="E1522" t="s">
        <v>11998</v>
      </c>
      <c r="H1522" t="s">
        <v>11999</v>
      </c>
      <c r="J1522" t="s">
        <v>12000</v>
      </c>
      <c r="L1522" t="s">
        <v>83</v>
      </c>
      <c r="M1522" t="s">
        <v>85</v>
      </c>
      <c r="R1522" t="s">
        <v>12001</v>
      </c>
      <c r="W1522" t="s">
        <v>11998</v>
      </c>
      <c r="X1522" t="s">
        <v>12002</v>
      </c>
      <c r="Y1522" t="s">
        <v>230</v>
      </c>
      <c r="Z1522" t="s">
        <v>77</v>
      </c>
      <c r="AA1522" t="str">
        <f>"11795-4927"</f>
        <v>11795-4927</v>
      </c>
      <c r="AB1522" t="s">
        <v>78</v>
      </c>
      <c r="AC1522" t="s">
        <v>79</v>
      </c>
      <c r="AD1522" t="s">
        <v>75</v>
      </c>
      <c r="AE1522" t="s">
        <v>80</v>
      </c>
      <c r="AG1522" t="s">
        <v>81</v>
      </c>
    </row>
    <row r="1523" spans="1:33" x14ac:dyDescent="0.25">
      <c r="A1523" t="str">
        <f>"1508961814"</f>
        <v>1508961814</v>
      </c>
      <c r="B1523" t="str">
        <f>"00507704"</f>
        <v>00507704</v>
      </c>
      <c r="C1523" t="s">
        <v>12003</v>
      </c>
      <c r="D1523" t="s">
        <v>12004</v>
      </c>
      <c r="E1523" t="s">
        <v>12005</v>
      </c>
      <c r="H1523" t="s">
        <v>12006</v>
      </c>
      <c r="J1523" t="s">
        <v>12007</v>
      </c>
      <c r="L1523" t="s">
        <v>74</v>
      </c>
      <c r="M1523" t="s">
        <v>85</v>
      </c>
      <c r="R1523" t="s">
        <v>12008</v>
      </c>
      <c r="W1523" t="s">
        <v>12005</v>
      </c>
      <c r="X1523" t="s">
        <v>12009</v>
      </c>
      <c r="Y1523" t="s">
        <v>11262</v>
      </c>
      <c r="Z1523" t="s">
        <v>77</v>
      </c>
      <c r="AA1523" t="str">
        <f>"11402-0000"</f>
        <v>11402-0000</v>
      </c>
      <c r="AB1523" t="s">
        <v>78</v>
      </c>
      <c r="AC1523" t="s">
        <v>79</v>
      </c>
      <c r="AD1523" t="s">
        <v>75</v>
      </c>
      <c r="AE1523" t="s">
        <v>80</v>
      </c>
      <c r="AG1523" t="s">
        <v>81</v>
      </c>
    </row>
    <row r="1524" spans="1:33" x14ac:dyDescent="0.25">
      <c r="A1524" t="str">
        <f>"1043276447"</f>
        <v>1043276447</v>
      </c>
      <c r="B1524" t="str">
        <f>"00842457"</f>
        <v>00842457</v>
      </c>
      <c r="C1524" t="s">
        <v>12010</v>
      </c>
      <c r="D1524" t="s">
        <v>4671</v>
      </c>
      <c r="E1524" t="s">
        <v>4672</v>
      </c>
      <c r="H1524" t="s">
        <v>12011</v>
      </c>
      <c r="J1524" t="s">
        <v>12012</v>
      </c>
      <c r="L1524" t="s">
        <v>83</v>
      </c>
      <c r="M1524" t="s">
        <v>85</v>
      </c>
      <c r="R1524" t="s">
        <v>4673</v>
      </c>
      <c r="W1524" t="s">
        <v>4672</v>
      </c>
      <c r="X1524" t="s">
        <v>4674</v>
      </c>
      <c r="Y1524" t="s">
        <v>131</v>
      </c>
      <c r="Z1524" t="s">
        <v>77</v>
      </c>
      <c r="AA1524" t="str">
        <f>"10466-2697"</f>
        <v>10466-2697</v>
      </c>
      <c r="AB1524" t="s">
        <v>78</v>
      </c>
      <c r="AC1524" t="s">
        <v>79</v>
      </c>
      <c r="AD1524" t="s">
        <v>75</v>
      </c>
      <c r="AE1524" t="s">
        <v>80</v>
      </c>
      <c r="AG1524" t="s">
        <v>81</v>
      </c>
    </row>
    <row r="1525" spans="1:33" x14ac:dyDescent="0.25">
      <c r="A1525" t="str">
        <f>"1962441113"</f>
        <v>1962441113</v>
      </c>
      <c r="B1525" t="str">
        <f>"02678320"</f>
        <v>02678320</v>
      </c>
      <c r="C1525" t="s">
        <v>12013</v>
      </c>
      <c r="D1525" t="s">
        <v>12014</v>
      </c>
      <c r="E1525" t="s">
        <v>12015</v>
      </c>
      <c r="H1525" t="s">
        <v>12016</v>
      </c>
      <c r="J1525" t="s">
        <v>12017</v>
      </c>
      <c r="L1525" t="s">
        <v>83</v>
      </c>
      <c r="M1525" t="s">
        <v>85</v>
      </c>
      <c r="R1525" t="s">
        <v>12018</v>
      </c>
      <c r="W1525" t="s">
        <v>12015</v>
      </c>
      <c r="X1525" t="s">
        <v>201</v>
      </c>
      <c r="Y1525" t="s">
        <v>87</v>
      </c>
      <c r="Z1525" t="s">
        <v>77</v>
      </c>
      <c r="AA1525" t="str">
        <f>"11237-4006"</f>
        <v>11237-4006</v>
      </c>
      <c r="AB1525" t="s">
        <v>78</v>
      </c>
      <c r="AC1525" t="s">
        <v>79</v>
      </c>
      <c r="AD1525" t="s">
        <v>75</v>
      </c>
      <c r="AE1525" t="s">
        <v>80</v>
      </c>
      <c r="AG1525" t="s">
        <v>81</v>
      </c>
    </row>
    <row r="1526" spans="1:33" x14ac:dyDescent="0.25">
      <c r="A1526" t="str">
        <f>"1902944226"</f>
        <v>1902944226</v>
      </c>
      <c r="B1526" t="str">
        <f>"01818217"</f>
        <v>01818217</v>
      </c>
      <c r="C1526" t="s">
        <v>12019</v>
      </c>
      <c r="D1526" t="s">
        <v>12020</v>
      </c>
      <c r="E1526" t="s">
        <v>12021</v>
      </c>
      <c r="L1526" t="s">
        <v>74</v>
      </c>
      <c r="M1526" t="s">
        <v>75</v>
      </c>
      <c r="R1526" t="s">
        <v>12022</v>
      </c>
      <c r="W1526" t="s">
        <v>12021</v>
      </c>
      <c r="X1526" t="s">
        <v>201</v>
      </c>
      <c r="Y1526" t="s">
        <v>87</v>
      </c>
      <c r="Z1526" t="s">
        <v>77</v>
      </c>
      <c r="AA1526" t="str">
        <f>"11237-4006"</f>
        <v>11237-4006</v>
      </c>
      <c r="AB1526" t="s">
        <v>78</v>
      </c>
      <c r="AC1526" t="s">
        <v>79</v>
      </c>
      <c r="AD1526" t="s">
        <v>75</v>
      </c>
      <c r="AE1526" t="s">
        <v>80</v>
      </c>
      <c r="AG1526" t="s">
        <v>81</v>
      </c>
    </row>
    <row r="1527" spans="1:33" x14ac:dyDescent="0.25">
      <c r="A1527" t="str">
        <f>"1134562358"</f>
        <v>1134562358</v>
      </c>
      <c r="C1527" t="s">
        <v>12023</v>
      </c>
      <c r="K1527" t="s">
        <v>99</v>
      </c>
      <c r="L1527" t="s">
        <v>102</v>
      </c>
      <c r="M1527" t="s">
        <v>75</v>
      </c>
      <c r="R1527" t="s">
        <v>12024</v>
      </c>
      <c r="S1527" t="s">
        <v>12025</v>
      </c>
      <c r="T1527" t="s">
        <v>97</v>
      </c>
      <c r="U1527" t="s">
        <v>77</v>
      </c>
      <c r="V1527" t="str">
        <f>"100297149"</f>
        <v>100297149</v>
      </c>
      <c r="AC1527" t="s">
        <v>79</v>
      </c>
      <c r="AD1527" t="s">
        <v>75</v>
      </c>
      <c r="AE1527" t="s">
        <v>103</v>
      </c>
      <c r="AG1527" t="s">
        <v>81</v>
      </c>
    </row>
    <row r="1528" spans="1:33" x14ac:dyDescent="0.25">
      <c r="A1528" t="str">
        <f>"1932458288"</f>
        <v>1932458288</v>
      </c>
      <c r="B1528" t="str">
        <f>"03518696"</f>
        <v>03518696</v>
      </c>
      <c r="C1528" t="s">
        <v>12026</v>
      </c>
      <c r="D1528" t="s">
        <v>12027</v>
      </c>
      <c r="E1528" t="s">
        <v>12028</v>
      </c>
      <c r="L1528" t="s">
        <v>94</v>
      </c>
      <c r="M1528" t="s">
        <v>75</v>
      </c>
      <c r="R1528" t="s">
        <v>12029</v>
      </c>
      <c r="W1528" t="s">
        <v>12029</v>
      </c>
      <c r="X1528" t="s">
        <v>330</v>
      </c>
      <c r="Y1528" t="s">
        <v>97</v>
      </c>
      <c r="Z1528" t="s">
        <v>77</v>
      </c>
      <c r="AA1528" t="str">
        <f>"10029-5204"</f>
        <v>10029-5204</v>
      </c>
      <c r="AB1528" t="s">
        <v>78</v>
      </c>
      <c r="AC1528" t="s">
        <v>79</v>
      </c>
      <c r="AD1528" t="s">
        <v>75</v>
      </c>
      <c r="AE1528" t="s">
        <v>80</v>
      </c>
      <c r="AG1528" t="s">
        <v>81</v>
      </c>
    </row>
    <row r="1529" spans="1:33" x14ac:dyDescent="0.25">
      <c r="A1529" t="str">
        <f>"1922201664"</f>
        <v>1922201664</v>
      </c>
      <c r="B1529" t="str">
        <f>"03027507"</f>
        <v>03027507</v>
      </c>
      <c r="C1529" t="s">
        <v>12030</v>
      </c>
      <c r="D1529" t="s">
        <v>12031</v>
      </c>
      <c r="E1529" t="s">
        <v>12032</v>
      </c>
      <c r="L1529" t="s">
        <v>83</v>
      </c>
      <c r="M1529" t="s">
        <v>75</v>
      </c>
      <c r="R1529" t="s">
        <v>12033</v>
      </c>
      <c r="W1529" t="s">
        <v>12032</v>
      </c>
      <c r="X1529" t="s">
        <v>12034</v>
      </c>
      <c r="Y1529" t="s">
        <v>87</v>
      </c>
      <c r="Z1529" t="s">
        <v>77</v>
      </c>
      <c r="AA1529" t="str">
        <f>"11236-4001"</f>
        <v>11236-4001</v>
      </c>
      <c r="AB1529" t="s">
        <v>78</v>
      </c>
      <c r="AC1529" t="s">
        <v>79</v>
      </c>
      <c r="AD1529" t="s">
        <v>75</v>
      </c>
      <c r="AE1529" t="s">
        <v>80</v>
      </c>
      <c r="AG1529" t="s">
        <v>81</v>
      </c>
    </row>
    <row r="1530" spans="1:33" x14ac:dyDescent="0.25">
      <c r="A1530" t="str">
        <f>"1922356260"</f>
        <v>1922356260</v>
      </c>
      <c r="B1530" t="str">
        <f>"03932905"</f>
        <v>03932905</v>
      </c>
      <c r="C1530" t="s">
        <v>12035</v>
      </c>
      <c r="D1530" t="s">
        <v>12036</v>
      </c>
      <c r="E1530" t="s">
        <v>12037</v>
      </c>
      <c r="L1530" t="s">
        <v>74</v>
      </c>
      <c r="M1530" t="s">
        <v>75</v>
      </c>
      <c r="R1530" t="s">
        <v>12037</v>
      </c>
      <c r="W1530" t="s">
        <v>12037</v>
      </c>
      <c r="X1530" t="s">
        <v>181</v>
      </c>
      <c r="Y1530" t="s">
        <v>97</v>
      </c>
      <c r="Z1530" t="s">
        <v>77</v>
      </c>
      <c r="AA1530" t="str">
        <f>"10025-1716"</f>
        <v>10025-1716</v>
      </c>
      <c r="AB1530" t="s">
        <v>78</v>
      </c>
      <c r="AC1530" t="s">
        <v>79</v>
      </c>
      <c r="AD1530" t="s">
        <v>75</v>
      </c>
      <c r="AE1530" t="s">
        <v>80</v>
      </c>
      <c r="AG1530" t="s">
        <v>81</v>
      </c>
    </row>
    <row r="1531" spans="1:33" x14ac:dyDescent="0.25">
      <c r="A1531" t="str">
        <f>"1871527317"</f>
        <v>1871527317</v>
      </c>
      <c r="B1531" t="str">
        <f>"01516650"</f>
        <v>01516650</v>
      </c>
      <c r="C1531" t="s">
        <v>12038</v>
      </c>
      <c r="D1531" t="s">
        <v>12039</v>
      </c>
      <c r="E1531" t="s">
        <v>12040</v>
      </c>
      <c r="L1531" t="s">
        <v>74</v>
      </c>
      <c r="M1531" t="s">
        <v>75</v>
      </c>
      <c r="R1531" t="s">
        <v>12041</v>
      </c>
      <c r="W1531" t="s">
        <v>12040</v>
      </c>
      <c r="X1531" t="s">
        <v>262</v>
      </c>
      <c r="Y1531" t="s">
        <v>91</v>
      </c>
      <c r="Z1531" t="s">
        <v>77</v>
      </c>
      <c r="AA1531" t="str">
        <f>"11373-1329"</f>
        <v>11373-1329</v>
      </c>
      <c r="AB1531" t="s">
        <v>78</v>
      </c>
      <c r="AC1531" t="s">
        <v>79</v>
      </c>
      <c r="AD1531" t="s">
        <v>75</v>
      </c>
      <c r="AE1531" t="s">
        <v>80</v>
      </c>
      <c r="AG1531" t="s">
        <v>81</v>
      </c>
    </row>
    <row r="1532" spans="1:33" x14ac:dyDescent="0.25">
      <c r="A1532" t="str">
        <f>"1962610741"</f>
        <v>1962610741</v>
      </c>
      <c r="C1532" t="s">
        <v>12042</v>
      </c>
      <c r="K1532" t="s">
        <v>99</v>
      </c>
      <c r="L1532" t="s">
        <v>102</v>
      </c>
      <c r="M1532" t="s">
        <v>75</v>
      </c>
      <c r="R1532" t="s">
        <v>12043</v>
      </c>
      <c r="S1532" t="s">
        <v>2587</v>
      </c>
      <c r="T1532" t="s">
        <v>97</v>
      </c>
      <c r="U1532" t="s">
        <v>77</v>
      </c>
      <c r="V1532" t="str">
        <f>"100033314"</f>
        <v>100033314</v>
      </c>
      <c r="AC1532" t="s">
        <v>79</v>
      </c>
      <c r="AD1532" t="s">
        <v>75</v>
      </c>
      <c r="AE1532" t="s">
        <v>103</v>
      </c>
      <c r="AG1532" t="s">
        <v>81</v>
      </c>
    </row>
    <row r="1533" spans="1:33" x14ac:dyDescent="0.25">
      <c r="A1533" t="str">
        <f>"1962715144"</f>
        <v>1962715144</v>
      </c>
      <c r="B1533" t="str">
        <f>"03920394"</f>
        <v>03920394</v>
      </c>
      <c r="C1533" t="s">
        <v>12044</v>
      </c>
      <c r="D1533" t="s">
        <v>12045</v>
      </c>
      <c r="E1533" t="s">
        <v>12046</v>
      </c>
      <c r="L1533" t="s">
        <v>74</v>
      </c>
      <c r="M1533" t="s">
        <v>75</v>
      </c>
      <c r="R1533" t="s">
        <v>12047</v>
      </c>
      <c r="W1533" t="s">
        <v>12046</v>
      </c>
      <c r="X1533" t="s">
        <v>12048</v>
      </c>
      <c r="Y1533" t="s">
        <v>97</v>
      </c>
      <c r="Z1533" t="s">
        <v>77</v>
      </c>
      <c r="AA1533" t="str">
        <f>"10003-0000"</f>
        <v>10003-0000</v>
      </c>
      <c r="AB1533" t="s">
        <v>78</v>
      </c>
      <c r="AC1533" t="s">
        <v>79</v>
      </c>
      <c r="AD1533" t="s">
        <v>75</v>
      </c>
      <c r="AE1533" t="s">
        <v>80</v>
      </c>
      <c r="AG1533" t="s">
        <v>81</v>
      </c>
    </row>
    <row r="1534" spans="1:33" x14ac:dyDescent="0.25">
      <c r="A1534" t="str">
        <f>"1962778142"</f>
        <v>1962778142</v>
      </c>
      <c r="C1534" t="s">
        <v>12049</v>
      </c>
      <c r="K1534" t="s">
        <v>99</v>
      </c>
      <c r="L1534" t="s">
        <v>102</v>
      </c>
      <c r="M1534" t="s">
        <v>75</v>
      </c>
      <c r="R1534" t="s">
        <v>12050</v>
      </c>
      <c r="S1534" t="s">
        <v>12051</v>
      </c>
      <c r="T1534" t="s">
        <v>892</v>
      </c>
      <c r="U1534" t="s">
        <v>156</v>
      </c>
      <c r="V1534" t="str">
        <f>"088736035"</f>
        <v>088736035</v>
      </c>
      <c r="AC1534" t="s">
        <v>79</v>
      </c>
      <c r="AD1534" t="s">
        <v>75</v>
      </c>
      <c r="AE1534" t="s">
        <v>103</v>
      </c>
      <c r="AG1534" t="s">
        <v>81</v>
      </c>
    </row>
    <row r="1535" spans="1:33" x14ac:dyDescent="0.25">
      <c r="A1535" t="str">
        <f>"1518981471"</f>
        <v>1518981471</v>
      </c>
      <c r="B1535" t="str">
        <f>"01180083"</f>
        <v>01180083</v>
      </c>
      <c r="C1535" t="s">
        <v>12052</v>
      </c>
      <c r="D1535" t="s">
        <v>12053</v>
      </c>
      <c r="E1535" t="s">
        <v>12054</v>
      </c>
      <c r="G1535" t="s">
        <v>12055</v>
      </c>
      <c r="H1535" t="s">
        <v>12056</v>
      </c>
      <c r="I1535">
        <v>5213</v>
      </c>
      <c r="J1535" t="s">
        <v>12057</v>
      </c>
      <c r="L1535" t="s">
        <v>105</v>
      </c>
      <c r="M1535" t="s">
        <v>75</v>
      </c>
      <c r="R1535" t="s">
        <v>12058</v>
      </c>
      <c r="W1535" t="s">
        <v>12054</v>
      </c>
      <c r="X1535" t="s">
        <v>12059</v>
      </c>
      <c r="Y1535" t="s">
        <v>97</v>
      </c>
      <c r="Z1535" t="s">
        <v>77</v>
      </c>
      <c r="AA1535" t="str">
        <f>"10029-2314"</f>
        <v>10029-2314</v>
      </c>
      <c r="AB1535" t="s">
        <v>78</v>
      </c>
      <c r="AC1535" t="s">
        <v>79</v>
      </c>
      <c r="AD1535" t="s">
        <v>75</v>
      </c>
      <c r="AE1535" t="s">
        <v>80</v>
      </c>
      <c r="AG1535" t="s">
        <v>81</v>
      </c>
    </row>
    <row r="1536" spans="1:33" x14ac:dyDescent="0.25">
      <c r="A1536" t="str">
        <f>"1598853921"</f>
        <v>1598853921</v>
      </c>
      <c r="B1536" t="str">
        <f>"01565379"</f>
        <v>01565379</v>
      </c>
      <c r="C1536" t="s">
        <v>12060</v>
      </c>
      <c r="D1536" t="s">
        <v>5832</v>
      </c>
      <c r="E1536" t="s">
        <v>5833</v>
      </c>
      <c r="G1536" t="s">
        <v>12055</v>
      </c>
      <c r="H1536" t="s">
        <v>12056</v>
      </c>
      <c r="I1536">
        <v>5213</v>
      </c>
      <c r="J1536" t="s">
        <v>12057</v>
      </c>
      <c r="L1536" t="s">
        <v>105</v>
      </c>
      <c r="M1536" t="s">
        <v>85</v>
      </c>
      <c r="R1536" t="s">
        <v>5834</v>
      </c>
      <c r="W1536" t="s">
        <v>5833</v>
      </c>
      <c r="X1536" t="s">
        <v>5835</v>
      </c>
      <c r="Y1536" t="s">
        <v>4529</v>
      </c>
      <c r="Z1536" t="s">
        <v>77</v>
      </c>
      <c r="AA1536" t="str">
        <f>"10530-3571"</f>
        <v>10530-3571</v>
      </c>
      <c r="AB1536" t="s">
        <v>78</v>
      </c>
      <c r="AC1536" t="s">
        <v>79</v>
      </c>
      <c r="AD1536" t="s">
        <v>75</v>
      </c>
      <c r="AE1536" t="s">
        <v>80</v>
      </c>
      <c r="AG1536" t="s">
        <v>81</v>
      </c>
    </row>
    <row r="1537" spans="1:33" x14ac:dyDescent="0.25">
      <c r="A1537" t="str">
        <f>"1932341880"</f>
        <v>1932341880</v>
      </c>
      <c r="C1537" t="s">
        <v>12061</v>
      </c>
      <c r="K1537" t="s">
        <v>99</v>
      </c>
      <c r="L1537" t="s">
        <v>102</v>
      </c>
      <c r="M1537" t="s">
        <v>75</v>
      </c>
      <c r="R1537" t="s">
        <v>12062</v>
      </c>
      <c r="S1537" t="s">
        <v>4799</v>
      </c>
      <c r="T1537" t="s">
        <v>87</v>
      </c>
      <c r="U1537" t="s">
        <v>77</v>
      </c>
      <c r="V1537" t="str">
        <f>"112342625"</f>
        <v>112342625</v>
      </c>
      <c r="AC1537" t="s">
        <v>79</v>
      </c>
      <c r="AD1537" t="s">
        <v>75</v>
      </c>
      <c r="AE1537" t="s">
        <v>103</v>
      </c>
      <c r="AG1537" t="s">
        <v>81</v>
      </c>
    </row>
    <row r="1538" spans="1:33" x14ac:dyDescent="0.25">
      <c r="A1538" t="str">
        <f>"1932402419"</f>
        <v>1932402419</v>
      </c>
      <c r="B1538" t="str">
        <f>"03399020"</f>
        <v>03399020</v>
      </c>
      <c r="C1538" t="s">
        <v>12063</v>
      </c>
      <c r="D1538" t="s">
        <v>12064</v>
      </c>
      <c r="E1538" t="s">
        <v>12065</v>
      </c>
      <c r="L1538" t="s">
        <v>74</v>
      </c>
      <c r="M1538" t="s">
        <v>75</v>
      </c>
      <c r="R1538" t="s">
        <v>12066</v>
      </c>
      <c r="W1538" t="s">
        <v>12065</v>
      </c>
      <c r="X1538" t="s">
        <v>2587</v>
      </c>
      <c r="Y1538" t="s">
        <v>97</v>
      </c>
      <c r="Z1538" t="s">
        <v>77</v>
      </c>
      <c r="AA1538" t="str">
        <f>"10003-3314"</f>
        <v>10003-3314</v>
      </c>
      <c r="AB1538" t="s">
        <v>78</v>
      </c>
      <c r="AC1538" t="s">
        <v>79</v>
      </c>
      <c r="AD1538" t="s">
        <v>75</v>
      </c>
      <c r="AE1538" t="s">
        <v>80</v>
      </c>
      <c r="AG1538" t="s">
        <v>81</v>
      </c>
    </row>
    <row r="1539" spans="1:33" x14ac:dyDescent="0.25">
      <c r="A1539" t="str">
        <f>"1982773537"</f>
        <v>1982773537</v>
      </c>
      <c r="B1539" t="str">
        <f>"03512434"</f>
        <v>03512434</v>
      </c>
      <c r="C1539" t="s">
        <v>12067</v>
      </c>
      <c r="D1539" t="s">
        <v>12068</v>
      </c>
      <c r="E1539" t="s">
        <v>12069</v>
      </c>
      <c r="G1539" t="s">
        <v>11917</v>
      </c>
      <c r="H1539" t="s">
        <v>12070</v>
      </c>
      <c r="I1539">
        <v>208</v>
      </c>
      <c r="J1539" t="s">
        <v>11919</v>
      </c>
      <c r="L1539" t="s">
        <v>74</v>
      </c>
      <c r="M1539" t="s">
        <v>85</v>
      </c>
      <c r="R1539" t="s">
        <v>12071</v>
      </c>
      <c r="W1539" t="s">
        <v>12072</v>
      </c>
      <c r="X1539" t="s">
        <v>5115</v>
      </c>
      <c r="Y1539" t="s">
        <v>236</v>
      </c>
      <c r="Z1539" t="s">
        <v>77</v>
      </c>
      <c r="AA1539" t="str">
        <f>"11103-3702"</f>
        <v>11103-3702</v>
      </c>
      <c r="AB1539" t="s">
        <v>78</v>
      </c>
      <c r="AC1539" t="s">
        <v>79</v>
      </c>
      <c r="AD1539" t="s">
        <v>75</v>
      </c>
      <c r="AE1539" t="s">
        <v>80</v>
      </c>
      <c r="AG1539" t="s">
        <v>81</v>
      </c>
    </row>
    <row r="1540" spans="1:33" x14ac:dyDescent="0.25">
      <c r="A1540" t="str">
        <f>"1821112772"</f>
        <v>1821112772</v>
      </c>
      <c r="B1540" t="str">
        <f>"03567360"</f>
        <v>03567360</v>
      </c>
      <c r="C1540" t="s">
        <v>12073</v>
      </c>
      <c r="D1540" t="s">
        <v>12074</v>
      </c>
      <c r="E1540" t="s">
        <v>12075</v>
      </c>
      <c r="G1540" t="s">
        <v>12076</v>
      </c>
      <c r="H1540" t="s">
        <v>12077</v>
      </c>
      <c r="J1540" t="s">
        <v>12078</v>
      </c>
      <c r="L1540" t="s">
        <v>105</v>
      </c>
      <c r="M1540" t="s">
        <v>75</v>
      </c>
      <c r="R1540" t="s">
        <v>12079</v>
      </c>
      <c r="W1540" t="s">
        <v>12080</v>
      </c>
      <c r="X1540" t="s">
        <v>12081</v>
      </c>
      <c r="Y1540" t="s">
        <v>87</v>
      </c>
      <c r="Z1540" t="s">
        <v>77</v>
      </c>
      <c r="AA1540" t="str">
        <f>"11220-5004"</f>
        <v>11220-5004</v>
      </c>
      <c r="AB1540" t="s">
        <v>78</v>
      </c>
      <c r="AC1540" t="s">
        <v>79</v>
      </c>
      <c r="AD1540" t="s">
        <v>75</v>
      </c>
      <c r="AE1540" t="s">
        <v>80</v>
      </c>
      <c r="AG1540" t="s">
        <v>81</v>
      </c>
    </row>
    <row r="1541" spans="1:33" x14ac:dyDescent="0.25">
      <c r="A1541" t="str">
        <f>"1083739817"</f>
        <v>1083739817</v>
      </c>
      <c r="B1541" t="str">
        <f>"03520821"</f>
        <v>03520821</v>
      </c>
      <c r="C1541" t="s">
        <v>12082</v>
      </c>
      <c r="D1541" t="s">
        <v>4685</v>
      </c>
      <c r="E1541" t="s">
        <v>4686</v>
      </c>
      <c r="G1541" t="s">
        <v>12083</v>
      </c>
      <c r="H1541" t="s">
        <v>12084</v>
      </c>
      <c r="I1541">
        <v>2138</v>
      </c>
      <c r="J1541" t="s">
        <v>12085</v>
      </c>
      <c r="L1541" t="s">
        <v>74</v>
      </c>
      <c r="M1541" t="s">
        <v>75</v>
      </c>
      <c r="R1541" t="s">
        <v>4686</v>
      </c>
      <c r="W1541" t="s">
        <v>4687</v>
      </c>
      <c r="X1541" t="s">
        <v>2998</v>
      </c>
      <c r="Y1541" t="s">
        <v>97</v>
      </c>
      <c r="Z1541" t="s">
        <v>77</v>
      </c>
      <c r="AA1541" t="str">
        <f>"10013-1009"</f>
        <v>10013-1009</v>
      </c>
      <c r="AB1541" t="s">
        <v>78</v>
      </c>
      <c r="AC1541" t="s">
        <v>79</v>
      </c>
      <c r="AD1541" t="s">
        <v>75</v>
      </c>
      <c r="AE1541" t="s">
        <v>80</v>
      </c>
      <c r="AG1541" t="s">
        <v>81</v>
      </c>
    </row>
    <row r="1542" spans="1:33" x14ac:dyDescent="0.25">
      <c r="A1542" t="str">
        <f>"1366683112"</f>
        <v>1366683112</v>
      </c>
      <c r="B1542" t="str">
        <f>"03127800"</f>
        <v>03127800</v>
      </c>
      <c r="C1542" t="s">
        <v>12086</v>
      </c>
      <c r="D1542" t="s">
        <v>5426</v>
      </c>
      <c r="E1542" t="s">
        <v>5427</v>
      </c>
      <c r="G1542" t="s">
        <v>12083</v>
      </c>
      <c r="H1542" t="s">
        <v>12084</v>
      </c>
      <c r="J1542" t="s">
        <v>12085</v>
      </c>
      <c r="L1542" t="s">
        <v>105</v>
      </c>
      <c r="M1542" t="s">
        <v>75</v>
      </c>
      <c r="R1542" t="s">
        <v>5428</v>
      </c>
      <c r="W1542" t="s">
        <v>5427</v>
      </c>
      <c r="X1542" t="s">
        <v>1247</v>
      </c>
      <c r="Y1542" t="s">
        <v>139</v>
      </c>
      <c r="Z1542" t="s">
        <v>77</v>
      </c>
      <c r="AA1542" t="str">
        <f>"11354-3524"</f>
        <v>11354-3524</v>
      </c>
      <c r="AB1542" t="s">
        <v>78</v>
      </c>
      <c r="AC1542" t="s">
        <v>79</v>
      </c>
      <c r="AD1542" t="s">
        <v>75</v>
      </c>
      <c r="AE1542" t="s">
        <v>80</v>
      </c>
      <c r="AG1542" t="s">
        <v>81</v>
      </c>
    </row>
    <row r="1543" spans="1:33" x14ac:dyDescent="0.25">
      <c r="A1543" t="str">
        <f>"1679506968"</f>
        <v>1679506968</v>
      </c>
      <c r="B1543" t="str">
        <f>"01415365"</f>
        <v>01415365</v>
      </c>
      <c r="C1543" t="s">
        <v>12087</v>
      </c>
      <c r="D1543" t="s">
        <v>744</v>
      </c>
      <c r="E1543" t="s">
        <v>745</v>
      </c>
      <c r="L1543" t="s">
        <v>84</v>
      </c>
      <c r="M1543" t="s">
        <v>75</v>
      </c>
      <c r="R1543" t="s">
        <v>746</v>
      </c>
      <c r="W1543" t="s">
        <v>745</v>
      </c>
      <c r="X1543" t="s">
        <v>747</v>
      </c>
      <c r="Y1543" t="s">
        <v>131</v>
      </c>
      <c r="Z1543" t="s">
        <v>77</v>
      </c>
      <c r="AA1543" t="str">
        <f>"10457-5804"</f>
        <v>10457-5804</v>
      </c>
      <c r="AB1543" t="s">
        <v>78</v>
      </c>
      <c r="AC1543" t="s">
        <v>79</v>
      </c>
      <c r="AD1543" t="s">
        <v>75</v>
      </c>
      <c r="AE1543" t="s">
        <v>80</v>
      </c>
      <c r="AG1543" t="s">
        <v>81</v>
      </c>
    </row>
    <row r="1544" spans="1:33" x14ac:dyDescent="0.25">
      <c r="A1544" t="str">
        <f>"1790028322"</f>
        <v>1790028322</v>
      </c>
      <c r="C1544" t="s">
        <v>12088</v>
      </c>
      <c r="K1544" t="s">
        <v>99</v>
      </c>
      <c r="L1544" t="s">
        <v>102</v>
      </c>
      <c r="M1544" t="s">
        <v>75</v>
      </c>
      <c r="R1544" t="s">
        <v>12089</v>
      </c>
      <c r="S1544" t="s">
        <v>5050</v>
      </c>
      <c r="T1544" t="s">
        <v>97</v>
      </c>
      <c r="U1544" t="s">
        <v>77</v>
      </c>
      <c r="V1544" t="str">
        <f>"100296574"</f>
        <v>100296574</v>
      </c>
      <c r="AC1544" t="s">
        <v>79</v>
      </c>
      <c r="AD1544" t="s">
        <v>75</v>
      </c>
      <c r="AE1544" t="s">
        <v>103</v>
      </c>
      <c r="AG1544" t="s">
        <v>81</v>
      </c>
    </row>
    <row r="1545" spans="1:33" x14ac:dyDescent="0.25">
      <c r="A1545" t="str">
        <f>"1538465299"</f>
        <v>1538465299</v>
      </c>
      <c r="B1545" t="str">
        <f>"03498226"</f>
        <v>03498226</v>
      </c>
      <c r="C1545" t="s">
        <v>12090</v>
      </c>
      <c r="D1545" t="s">
        <v>12091</v>
      </c>
      <c r="E1545" t="s">
        <v>12092</v>
      </c>
      <c r="G1545" t="s">
        <v>11985</v>
      </c>
      <c r="H1545" t="s">
        <v>11986</v>
      </c>
      <c r="I1545">
        <v>1144</v>
      </c>
      <c r="J1545" t="s">
        <v>11987</v>
      </c>
      <c r="L1545" t="s">
        <v>74</v>
      </c>
      <c r="M1545" t="s">
        <v>85</v>
      </c>
      <c r="R1545" t="s">
        <v>12092</v>
      </c>
      <c r="W1545" t="s">
        <v>12092</v>
      </c>
      <c r="X1545" t="s">
        <v>12093</v>
      </c>
      <c r="Y1545" t="s">
        <v>12094</v>
      </c>
      <c r="Z1545" t="s">
        <v>77</v>
      </c>
      <c r="AA1545" t="str">
        <f>"11772"</f>
        <v>11772</v>
      </c>
      <c r="AB1545" t="s">
        <v>78</v>
      </c>
      <c r="AC1545" t="s">
        <v>79</v>
      </c>
      <c r="AD1545" t="s">
        <v>75</v>
      </c>
      <c r="AE1545" t="s">
        <v>80</v>
      </c>
      <c r="AG1545" t="s">
        <v>81</v>
      </c>
    </row>
    <row r="1546" spans="1:33" x14ac:dyDescent="0.25">
      <c r="A1546" t="str">
        <f>"1568774537"</f>
        <v>1568774537</v>
      </c>
      <c r="B1546" t="str">
        <f>"03723791"</f>
        <v>03723791</v>
      </c>
      <c r="C1546" t="s">
        <v>12095</v>
      </c>
      <c r="D1546" t="s">
        <v>12096</v>
      </c>
      <c r="E1546" t="s">
        <v>12097</v>
      </c>
      <c r="G1546" t="s">
        <v>11985</v>
      </c>
      <c r="H1546" t="s">
        <v>11986</v>
      </c>
      <c r="I1546">
        <v>1144</v>
      </c>
      <c r="J1546" t="s">
        <v>11987</v>
      </c>
      <c r="L1546" t="s">
        <v>74</v>
      </c>
      <c r="M1546" t="s">
        <v>85</v>
      </c>
      <c r="R1546" t="s">
        <v>12098</v>
      </c>
      <c r="W1546" t="s">
        <v>12097</v>
      </c>
      <c r="X1546" t="s">
        <v>12099</v>
      </c>
      <c r="Y1546" t="s">
        <v>2312</v>
      </c>
      <c r="Z1546" t="s">
        <v>77</v>
      </c>
      <c r="AA1546" t="str">
        <f>"11704-0000"</f>
        <v>11704-0000</v>
      </c>
      <c r="AB1546" t="s">
        <v>78</v>
      </c>
      <c r="AC1546" t="s">
        <v>79</v>
      </c>
      <c r="AD1546" t="s">
        <v>75</v>
      </c>
      <c r="AE1546" t="s">
        <v>80</v>
      </c>
      <c r="AG1546" t="s">
        <v>81</v>
      </c>
    </row>
    <row r="1547" spans="1:33" x14ac:dyDescent="0.25">
      <c r="A1547" t="str">
        <f>"1235464298"</f>
        <v>1235464298</v>
      </c>
      <c r="B1547" t="str">
        <f>"03455272"</f>
        <v>03455272</v>
      </c>
      <c r="C1547" t="s">
        <v>12100</v>
      </c>
      <c r="D1547" t="s">
        <v>12101</v>
      </c>
      <c r="E1547" t="s">
        <v>12102</v>
      </c>
      <c r="G1547" t="s">
        <v>11985</v>
      </c>
      <c r="H1547" t="s">
        <v>11986</v>
      </c>
      <c r="I1547">
        <v>1144</v>
      </c>
      <c r="J1547" t="s">
        <v>11987</v>
      </c>
      <c r="L1547" t="s">
        <v>105</v>
      </c>
      <c r="M1547" t="s">
        <v>85</v>
      </c>
      <c r="R1547" t="s">
        <v>12103</v>
      </c>
      <c r="W1547" t="s">
        <v>12102</v>
      </c>
      <c r="X1547" t="s">
        <v>12104</v>
      </c>
      <c r="Y1547" t="s">
        <v>126</v>
      </c>
      <c r="Z1547" t="s">
        <v>77</v>
      </c>
      <c r="AA1547" t="str">
        <f>"11563-2623"</f>
        <v>11563-2623</v>
      </c>
      <c r="AB1547" t="s">
        <v>78</v>
      </c>
      <c r="AC1547" t="s">
        <v>79</v>
      </c>
      <c r="AD1547" t="s">
        <v>75</v>
      </c>
      <c r="AE1547" t="s">
        <v>80</v>
      </c>
      <c r="AG1547" t="s">
        <v>81</v>
      </c>
    </row>
    <row r="1548" spans="1:33" x14ac:dyDescent="0.25">
      <c r="A1548" t="str">
        <f>"1073645727"</f>
        <v>1073645727</v>
      </c>
      <c r="B1548" t="str">
        <f>"00967717"</f>
        <v>00967717</v>
      </c>
      <c r="C1548" t="s">
        <v>8571</v>
      </c>
      <c r="D1548" t="s">
        <v>12105</v>
      </c>
      <c r="E1548" t="s">
        <v>12106</v>
      </c>
      <c r="G1548" t="s">
        <v>12107</v>
      </c>
      <c r="H1548" t="s">
        <v>685</v>
      </c>
      <c r="J1548" t="s">
        <v>12108</v>
      </c>
      <c r="L1548" t="s">
        <v>105</v>
      </c>
      <c r="M1548" t="s">
        <v>75</v>
      </c>
      <c r="R1548" t="s">
        <v>12109</v>
      </c>
      <c r="W1548" t="s">
        <v>12106</v>
      </c>
      <c r="X1548" t="s">
        <v>12110</v>
      </c>
      <c r="Y1548" t="s">
        <v>2360</v>
      </c>
      <c r="Z1548" t="s">
        <v>77</v>
      </c>
      <c r="AA1548" t="str">
        <f>"10583-3420"</f>
        <v>10583-3420</v>
      </c>
      <c r="AB1548" t="s">
        <v>78</v>
      </c>
      <c r="AC1548" t="s">
        <v>79</v>
      </c>
      <c r="AD1548" t="s">
        <v>75</v>
      </c>
      <c r="AE1548" t="s">
        <v>80</v>
      </c>
      <c r="AG1548" t="s">
        <v>81</v>
      </c>
    </row>
    <row r="1549" spans="1:33" x14ac:dyDescent="0.25">
      <c r="A1549" t="str">
        <f>"1750339271"</f>
        <v>1750339271</v>
      </c>
      <c r="B1549" t="str">
        <f>"02970074"</f>
        <v>02970074</v>
      </c>
      <c r="C1549" t="s">
        <v>12111</v>
      </c>
      <c r="D1549" t="s">
        <v>650</v>
      </c>
      <c r="E1549" t="s">
        <v>651</v>
      </c>
      <c r="G1549" t="s">
        <v>12107</v>
      </c>
      <c r="H1549" t="s">
        <v>685</v>
      </c>
      <c r="J1549" t="s">
        <v>12108</v>
      </c>
      <c r="L1549" t="s">
        <v>143</v>
      </c>
      <c r="M1549" t="s">
        <v>75</v>
      </c>
      <c r="R1549" t="s">
        <v>652</v>
      </c>
      <c r="W1549" t="s">
        <v>652</v>
      </c>
      <c r="X1549" t="s">
        <v>653</v>
      </c>
      <c r="Y1549" t="s">
        <v>152</v>
      </c>
      <c r="Z1549" t="s">
        <v>77</v>
      </c>
      <c r="AA1549" t="str">
        <f>"11375-1856"</f>
        <v>11375-1856</v>
      </c>
      <c r="AB1549" t="s">
        <v>78</v>
      </c>
      <c r="AC1549" t="s">
        <v>79</v>
      </c>
      <c r="AD1549" t="s">
        <v>75</v>
      </c>
      <c r="AE1549" t="s">
        <v>80</v>
      </c>
      <c r="AG1549" t="s">
        <v>81</v>
      </c>
    </row>
    <row r="1550" spans="1:33" x14ac:dyDescent="0.25">
      <c r="A1550" t="str">
        <f>"1801039870"</f>
        <v>1801039870</v>
      </c>
      <c r="B1550" t="str">
        <f>"03277694"</f>
        <v>03277694</v>
      </c>
      <c r="C1550" t="s">
        <v>8563</v>
      </c>
      <c r="D1550" t="s">
        <v>1043</v>
      </c>
      <c r="E1550" t="s">
        <v>1044</v>
      </c>
      <c r="G1550" t="s">
        <v>12107</v>
      </c>
      <c r="H1550" t="s">
        <v>685</v>
      </c>
      <c r="J1550" t="s">
        <v>12108</v>
      </c>
      <c r="L1550" t="s">
        <v>105</v>
      </c>
      <c r="M1550" t="s">
        <v>75</v>
      </c>
      <c r="R1550" t="s">
        <v>1045</v>
      </c>
      <c r="W1550" t="s">
        <v>1045</v>
      </c>
      <c r="X1550" t="s">
        <v>1046</v>
      </c>
      <c r="Y1550" t="s">
        <v>254</v>
      </c>
      <c r="Z1550" t="s">
        <v>77</v>
      </c>
      <c r="AA1550" t="str">
        <f>"11374-2039"</f>
        <v>11374-2039</v>
      </c>
      <c r="AB1550" t="s">
        <v>78</v>
      </c>
      <c r="AC1550" t="s">
        <v>79</v>
      </c>
      <c r="AD1550" t="s">
        <v>75</v>
      </c>
      <c r="AE1550" t="s">
        <v>80</v>
      </c>
      <c r="AG1550" t="s">
        <v>81</v>
      </c>
    </row>
    <row r="1551" spans="1:33" x14ac:dyDescent="0.25">
      <c r="A1551" t="str">
        <f>"1053345223"</f>
        <v>1053345223</v>
      </c>
      <c r="B1551" t="str">
        <f>"01729446"</f>
        <v>01729446</v>
      </c>
      <c r="C1551" t="s">
        <v>8567</v>
      </c>
      <c r="D1551" t="s">
        <v>12112</v>
      </c>
      <c r="E1551" t="s">
        <v>12113</v>
      </c>
      <c r="G1551" t="s">
        <v>12107</v>
      </c>
      <c r="H1551" t="s">
        <v>685</v>
      </c>
      <c r="J1551" t="s">
        <v>12108</v>
      </c>
      <c r="L1551" t="s">
        <v>105</v>
      </c>
      <c r="M1551" t="s">
        <v>75</v>
      </c>
      <c r="R1551" t="s">
        <v>12114</v>
      </c>
      <c r="W1551" t="s">
        <v>12113</v>
      </c>
      <c r="X1551" t="s">
        <v>12115</v>
      </c>
      <c r="Y1551" t="s">
        <v>139</v>
      </c>
      <c r="Z1551" t="s">
        <v>77</v>
      </c>
      <c r="AA1551" t="str">
        <f>"11355-2278"</f>
        <v>11355-2278</v>
      </c>
      <c r="AB1551" t="s">
        <v>78</v>
      </c>
      <c r="AC1551" t="s">
        <v>79</v>
      </c>
      <c r="AD1551" t="s">
        <v>75</v>
      </c>
      <c r="AE1551" t="s">
        <v>80</v>
      </c>
      <c r="AG1551" t="s">
        <v>81</v>
      </c>
    </row>
    <row r="1552" spans="1:33" x14ac:dyDescent="0.25">
      <c r="A1552" t="str">
        <f>"1649573403"</f>
        <v>1649573403</v>
      </c>
      <c r="B1552" t="str">
        <f>"03682088"</f>
        <v>03682088</v>
      </c>
      <c r="C1552" t="s">
        <v>8568</v>
      </c>
      <c r="D1552" t="s">
        <v>1453</v>
      </c>
      <c r="E1552" t="s">
        <v>1454</v>
      </c>
      <c r="G1552" t="s">
        <v>12107</v>
      </c>
      <c r="H1552" t="s">
        <v>685</v>
      </c>
      <c r="J1552" t="s">
        <v>12108</v>
      </c>
      <c r="L1552" t="s">
        <v>74</v>
      </c>
      <c r="M1552" t="s">
        <v>75</v>
      </c>
      <c r="R1552" t="s">
        <v>1454</v>
      </c>
      <c r="W1552" t="s">
        <v>1454</v>
      </c>
      <c r="X1552" t="s">
        <v>544</v>
      </c>
      <c r="Y1552" t="s">
        <v>313</v>
      </c>
      <c r="Z1552" t="s">
        <v>77</v>
      </c>
      <c r="AA1552" t="str">
        <f>"11427-2128"</f>
        <v>11427-2128</v>
      </c>
      <c r="AB1552" t="s">
        <v>78</v>
      </c>
      <c r="AC1552" t="s">
        <v>79</v>
      </c>
      <c r="AD1552" t="s">
        <v>75</v>
      </c>
      <c r="AE1552" t="s">
        <v>80</v>
      </c>
      <c r="AG1552" t="s">
        <v>81</v>
      </c>
    </row>
    <row r="1553" spans="1:33" x14ac:dyDescent="0.25">
      <c r="A1553" t="str">
        <f>"1710932926"</f>
        <v>1710932926</v>
      </c>
      <c r="B1553" t="str">
        <f>"02288571"</f>
        <v>02288571</v>
      </c>
      <c r="C1553" t="s">
        <v>8569</v>
      </c>
      <c r="D1553" t="s">
        <v>654</v>
      </c>
      <c r="E1553" t="s">
        <v>655</v>
      </c>
      <c r="G1553" t="s">
        <v>12107</v>
      </c>
      <c r="H1553" t="s">
        <v>685</v>
      </c>
      <c r="J1553" t="s">
        <v>12108</v>
      </c>
      <c r="L1553" t="s">
        <v>656</v>
      </c>
      <c r="M1553" t="s">
        <v>75</v>
      </c>
      <c r="R1553" t="s">
        <v>657</v>
      </c>
      <c r="W1553" t="s">
        <v>655</v>
      </c>
      <c r="X1553" t="s">
        <v>658</v>
      </c>
      <c r="Y1553" t="s">
        <v>254</v>
      </c>
      <c r="Z1553" t="s">
        <v>77</v>
      </c>
      <c r="AA1553" t="str">
        <f>"11374-3206"</f>
        <v>11374-3206</v>
      </c>
      <c r="AB1553" t="s">
        <v>78</v>
      </c>
      <c r="AC1553" t="s">
        <v>79</v>
      </c>
      <c r="AD1553" t="s">
        <v>75</v>
      </c>
      <c r="AE1553" t="s">
        <v>80</v>
      </c>
      <c r="AG1553" t="s">
        <v>81</v>
      </c>
    </row>
    <row r="1554" spans="1:33" x14ac:dyDescent="0.25">
      <c r="A1554" t="str">
        <f>"1396894549"</f>
        <v>1396894549</v>
      </c>
      <c r="B1554" t="str">
        <f>"02912018"</f>
        <v>02912018</v>
      </c>
      <c r="C1554" t="s">
        <v>8570</v>
      </c>
      <c r="D1554" t="s">
        <v>12116</v>
      </c>
      <c r="E1554" t="s">
        <v>12117</v>
      </c>
      <c r="G1554" t="s">
        <v>12107</v>
      </c>
      <c r="H1554" t="s">
        <v>685</v>
      </c>
      <c r="J1554" t="s">
        <v>12108</v>
      </c>
      <c r="L1554" t="s">
        <v>105</v>
      </c>
      <c r="M1554" t="s">
        <v>85</v>
      </c>
      <c r="R1554" t="s">
        <v>12118</v>
      </c>
      <c r="W1554" t="s">
        <v>12117</v>
      </c>
      <c r="X1554" t="s">
        <v>86</v>
      </c>
      <c r="Y1554" t="s">
        <v>87</v>
      </c>
      <c r="Z1554" t="s">
        <v>77</v>
      </c>
      <c r="AA1554" t="str">
        <f>"11220-2559"</f>
        <v>11220-2559</v>
      </c>
      <c r="AB1554" t="s">
        <v>78</v>
      </c>
      <c r="AC1554" t="s">
        <v>79</v>
      </c>
      <c r="AD1554" t="s">
        <v>75</v>
      </c>
      <c r="AE1554" t="s">
        <v>80</v>
      </c>
      <c r="AG1554" t="s">
        <v>81</v>
      </c>
    </row>
    <row r="1555" spans="1:33" x14ac:dyDescent="0.25">
      <c r="A1555" t="str">
        <f>"1942614474"</f>
        <v>1942614474</v>
      </c>
      <c r="B1555" t="str">
        <f>"03972410"</f>
        <v>03972410</v>
      </c>
      <c r="C1555" t="s">
        <v>12119</v>
      </c>
      <c r="D1555" t="s">
        <v>12120</v>
      </c>
      <c r="E1555" t="s">
        <v>12121</v>
      </c>
      <c r="L1555" t="s">
        <v>74</v>
      </c>
      <c r="M1555" t="s">
        <v>75</v>
      </c>
      <c r="R1555" t="s">
        <v>12122</v>
      </c>
      <c r="W1555" t="s">
        <v>12123</v>
      </c>
      <c r="X1555" t="s">
        <v>12124</v>
      </c>
      <c r="Y1555" t="s">
        <v>97</v>
      </c>
      <c r="Z1555" t="s">
        <v>77</v>
      </c>
      <c r="AA1555" t="str">
        <f>"10029-5204"</f>
        <v>10029-5204</v>
      </c>
      <c r="AB1555" t="s">
        <v>78</v>
      </c>
      <c r="AC1555" t="s">
        <v>79</v>
      </c>
      <c r="AD1555" t="s">
        <v>75</v>
      </c>
      <c r="AE1555" t="s">
        <v>80</v>
      </c>
      <c r="AG1555" t="s">
        <v>81</v>
      </c>
    </row>
    <row r="1556" spans="1:33" x14ac:dyDescent="0.25">
      <c r="A1556" t="str">
        <f>"1861430076"</f>
        <v>1861430076</v>
      </c>
      <c r="B1556" t="str">
        <f>"02632795"</f>
        <v>02632795</v>
      </c>
      <c r="C1556" t="s">
        <v>12125</v>
      </c>
      <c r="D1556" t="s">
        <v>12126</v>
      </c>
      <c r="E1556" t="s">
        <v>12127</v>
      </c>
      <c r="L1556" t="s">
        <v>84</v>
      </c>
      <c r="M1556" t="s">
        <v>75</v>
      </c>
      <c r="R1556" t="s">
        <v>12128</v>
      </c>
      <c r="W1556" t="s">
        <v>12127</v>
      </c>
      <c r="X1556" t="s">
        <v>318</v>
      </c>
      <c r="Y1556" t="s">
        <v>131</v>
      </c>
      <c r="Z1556" t="s">
        <v>77</v>
      </c>
      <c r="AA1556" t="str">
        <f>"10457-7606"</f>
        <v>10457-7606</v>
      </c>
      <c r="AB1556" t="s">
        <v>78</v>
      </c>
      <c r="AC1556" t="s">
        <v>79</v>
      </c>
      <c r="AD1556" t="s">
        <v>75</v>
      </c>
      <c r="AE1556" t="s">
        <v>80</v>
      </c>
      <c r="AG1556" t="s">
        <v>81</v>
      </c>
    </row>
    <row r="1557" spans="1:33" x14ac:dyDescent="0.25">
      <c r="A1557" t="str">
        <f>"1811957236"</f>
        <v>1811957236</v>
      </c>
      <c r="B1557" t="str">
        <f>"02722672"</f>
        <v>02722672</v>
      </c>
      <c r="C1557" t="s">
        <v>12129</v>
      </c>
      <c r="D1557" t="s">
        <v>12130</v>
      </c>
      <c r="E1557" t="s">
        <v>12131</v>
      </c>
      <c r="L1557" t="s">
        <v>94</v>
      </c>
      <c r="M1557" t="s">
        <v>75</v>
      </c>
      <c r="R1557" t="s">
        <v>12132</v>
      </c>
      <c r="W1557" t="s">
        <v>12131</v>
      </c>
      <c r="X1557" t="s">
        <v>201</v>
      </c>
      <c r="Y1557" t="s">
        <v>87</v>
      </c>
      <c r="Z1557" t="s">
        <v>77</v>
      </c>
      <c r="AA1557" t="str">
        <f>"11237-4006"</f>
        <v>11237-4006</v>
      </c>
      <c r="AB1557" t="s">
        <v>78</v>
      </c>
      <c r="AC1557" t="s">
        <v>79</v>
      </c>
      <c r="AD1557" t="s">
        <v>75</v>
      </c>
      <c r="AE1557" t="s">
        <v>80</v>
      </c>
      <c r="AG1557" t="s">
        <v>81</v>
      </c>
    </row>
    <row r="1558" spans="1:33" x14ac:dyDescent="0.25">
      <c r="A1558" t="str">
        <f>"1376546853"</f>
        <v>1376546853</v>
      </c>
      <c r="B1558" t="str">
        <f>"01739239"</f>
        <v>01739239</v>
      </c>
      <c r="C1558" t="s">
        <v>12133</v>
      </c>
      <c r="D1558" t="s">
        <v>12134</v>
      </c>
      <c r="E1558" t="s">
        <v>12135</v>
      </c>
      <c r="G1558" t="s">
        <v>11917</v>
      </c>
      <c r="H1558" t="s">
        <v>11918</v>
      </c>
      <c r="I1558">
        <v>208</v>
      </c>
      <c r="J1558" t="s">
        <v>11919</v>
      </c>
      <c r="L1558" t="s">
        <v>83</v>
      </c>
      <c r="M1558" t="s">
        <v>75</v>
      </c>
      <c r="R1558" t="s">
        <v>12136</v>
      </c>
      <c r="W1558" t="s">
        <v>12137</v>
      </c>
      <c r="X1558" t="s">
        <v>12138</v>
      </c>
      <c r="Y1558" t="s">
        <v>2675</v>
      </c>
      <c r="Z1558" t="s">
        <v>77</v>
      </c>
      <c r="AA1558" t="str">
        <f>"11731-4739"</f>
        <v>11731-4739</v>
      </c>
      <c r="AB1558" t="s">
        <v>128</v>
      </c>
      <c r="AC1558" t="s">
        <v>79</v>
      </c>
      <c r="AD1558" t="s">
        <v>75</v>
      </c>
      <c r="AE1558" t="s">
        <v>80</v>
      </c>
      <c r="AG1558" t="s">
        <v>81</v>
      </c>
    </row>
    <row r="1559" spans="1:33" x14ac:dyDescent="0.25">
      <c r="A1559" t="str">
        <f>"1003839945"</f>
        <v>1003839945</v>
      </c>
      <c r="B1559" t="str">
        <f>"00471105"</f>
        <v>00471105</v>
      </c>
      <c r="C1559" t="s">
        <v>12139</v>
      </c>
      <c r="D1559" t="s">
        <v>12140</v>
      </c>
      <c r="E1559" t="s">
        <v>12141</v>
      </c>
      <c r="G1559" t="s">
        <v>12083</v>
      </c>
      <c r="H1559" t="s">
        <v>12142</v>
      </c>
      <c r="J1559" t="s">
        <v>12085</v>
      </c>
      <c r="L1559" t="s">
        <v>143</v>
      </c>
      <c r="M1559" t="s">
        <v>75</v>
      </c>
      <c r="R1559" t="s">
        <v>12143</v>
      </c>
      <c r="W1559" t="s">
        <v>12141</v>
      </c>
      <c r="X1559" t="s">
        <v>12144</v>
      </c>
      <c r="Y1559" t="s">
        <v>87</v>
      </c>
      <c r="Z1559" t="s">
        <v>77</v>
      </c>
      <c r="AA1559" t="str">
        <f>"11235-1194"</f>
        <v>11235-1194</v>
      </c>
      <c r="AB1559" t="s">
        <v>78</v>
      </c>
      <c r="AC1559" t="s">
        <v>79</v>
      </c>
      <c r="AD1559" t="s">
        <v>75</v>
      </c>
      <c r="AE1559" t="s">
        <v>80</v>
      </c>
      <c r="AG1559" t="s">
        <v>81</v>
      </c>
    </row>
    <row r="1560" spans="1:33" x14ac:dyDescent="0.25">
      <c r="A1560" t="str">
        <f>"1063442226"</f>
        <v>1063442226</v>
      </c>
      <c r="B1560" t="str">
        <f>"00955931"</f>
        <v>00955931</v>
      </c>
      <c r="C1560" t="s">
        <v>12145</v>
      </c>
      <c r="D1560" t="s">
        <v>12146</v>
      </c>
      <c r="E1560" t="s">
        <v>12147</v>
      </c>
      <c r="G1560" t="s">
        <v>12148</v>
      </c>
      <c r="H1560" t="s">
        <v>12149</v>
      </c>
      <c r="J1560" t="s">
        <v>12150</v>
      </c>
      <c r="L1560" t="s">
        <v>83</v>
      </c>
      <c r="M1560" t="s">
        <v>85</v>
      </c>
      <c r="R1560" t="s">
        <v>12151</v>
      </c>
      <c r="W1560" t="s">
        <v>12147</v>
      </c>
      <c r="X1560" t="s">
        <v>12152</v>
      </c>
      <c r="Y1560" t="s">
        <v>161</v>
      </c>
      <c r="Z1560" t="s">
        <v>77</v>
      </c>
      <c r="AA1560" t="str">
        <f>"11040-3501"</f>
        <v>11040-3501</v>
      </c>
      <c r="AB1560" t="s">
        <v>78</v>
      </c>
      <c r="AC1560" t="s">
        <v>79</v>
      </c>
      <c r="AD1560" t="s">
        <v>75</v>
      </c>
      <c r="AE1560" t="s">
        <v>80</v>
      </c>
      <c r="AG1560" t="s">
        <v>81</v>
      </c>
    </row>
    <row r="1561" spans="1:33" x14ac:dyDescent="0.25">
      <c r="A1561" t="str">
        <f>"1194902569"</f>
        <v>1194902569</v>
      </c>
      <c r="B1561" t="str">
        <f>"01211123"</f>
        <v>01211123</v>
      </c>
      <c r="C1561" t="s">
        <v>12153</v>
      </c>
      <c r="D1561" t="s">
        <v>12154</v>
      </c>
      <c r="E1561" t="s">
        <v>12155</v>
      </c>
      <c r="G1561" t="s">
        <v>11917</v>
      </c>
      <c r="H1561" t="s">
        <v>11918</v>
      </c>
      <c r="I1561">
        <v>208</v>
      </c>
      <c r="J1561" t="s">
        <v>11919</v>
      </c>
      <c r="L1561" t="s">
        <v>83</v>
      </c>
      <c r="M1561" t="s">
        <v>85</v>
      </c>
      <c r="R1561" t="s">
        <v>12156</v>
      </c>
      <c r="W1561" t="s">
        <v>12155</v>
      </c>
      <c r="Y1561" t="s">
        <v>216</v>
      </c>
      <c r="Z1561" t="s">
        <v>77</v>
      </c>
      <c r="AA1561" t="str">
        <f>"11691-4423"</f>
        <v>11691-4423</v>
      </c>
      <c r="AB1561" t="s">
        <v>78</v>
      </c>
      <c r="AC1561" t="s">
        <v>79</v>
      </c>
      <c r="AD1561" t="s">
        <v>75</v>
      </c>
      <c r="AE1561" t="s">
        <v>80</v>
      </c>
      <c r="AG1561" t="s">
        <v>81</v>
      </c>
    </row>
    <row r="1562" spans="1:33" x14ac:dyDescent="0.25">
      <c r="A1562" t="str">
        <f>"1699771477"</f>
        <v>1699771477</v>
      </c>
      <c r="B1562" t="str">
        <f>"01301537"</f>
        <v>01301537</v>
      </c>
      <c r="C1562" t="s">
        <v>12157</v>
      </c>
      <c r="D1562" t="s">
        <v>12158</v>
      </c>
      <c r="E1562" t="s">
        <v>12159</v>
      </c>
      <c r="G1562" t="s">
        <v>11917</v>
      </c>
      <c r="H1562" t="s">
        <v>11918</v>
      </c>
      <c r="I1562">
        <v>208</v>
      </c>
      <c r="J1562" t="s">
        <v>11919</v>
      </c>
      <c r="L1562" t="s">
        <v>105</v>
      </c>
      <c r="M1562" t="s">
        <v>85</v>
      </c>
      <c r="R1562" t="s">
        <v>12160</v>
      </c>
      <c r="W1562" t="s">
        <v>12159</v>
      </c>
      <c r="X1562" t="s">
        <v>12161</v>
      </c>
      <c r="Y1562" t="s">
        <v>2409</v>
      </c>
      <c r="Z1562" t="s">
        <v>77</v>
      </c>
      <c r="AA1562" t="str">
        <f>"11010-2635"</f>
        <v>11010-2635</v>
      </c>
      <c r="AB1562" t="s">
        <v>78</v>
      </c>
      <c r="AC1562" t="s">
        <v>79</v>
      </c>
      <c r="AD1562" t="s">
        <v>75</v>
      </c>
      <c r="AE1562" t="s">
        <v>80</v>
      </c>
      <c r="AG1562" t="s">
        <v>81</v>
      </c>
    </row>
    <row r="1563" spans="1:33" x14ac:dyDescent="0.25">
      <c r="A1563" t="str">
        <f>"1386733319"</f>
        <v>1386733319</v>
      </c>
      <c r="B1563" t="str">
        <f>"02129344"</f>
        <v>02129344</v>
      </c>
      <c r="C1563" t="s">
        <v>12162</v>
      </c>
      <c r="D1563" t="s">
        <v>12163</v>
      </c>
      <c r="E1563" t="s">
        <v>12164</v>
      </c>
      <c r="H1563" t="s">
        <v>12165</v>
      </c>
      <c r="J1563" t="s">
        <v>12166</v>
      </c>
      <c r="L1563" t="s">
        <v>83</v>
      </c>
      <c r="M1563" t="s">
        <v>85</v>
      </c>
      <c r="R1563" t="s">
        <v>12167</v>
      </c>
      <c r="W1563" t="s">
        <v>12164</v>
      </c>
      <c r="X1563" t="s">
        <v>12168</v>
      </c>
      <c r="Y1563" t="s">
        <v>2639</v>
      </c>
      <c r="Z1563" t="s">
        <v>77</v>
      </c>
      <c r="AA1563" t="str">
        <f>"11749-5262"</f>
        <v>11749-5262</v>
      </c>
      <c r="AB1563" t="s">
        <v>78</v>
      </c>
      <c r="AC1563" t="s">
        <v>79</v>
      </c>
      <c r="AD1563" t="s">
        <v>75</v>
      </c>
      <c r="AE1563" t="s">
        <v>80</v>
      </c>
      <c r="AG1563" t="s">
        <v>81</v>
      </c>
    </row>
    <row r="1564" spans="1:33" x14ac:dyDescent="0.25">
      <c r="A1564" t="str">
        <f>"1821351560"</f>
        <v>1821351560</v>
      </c>
      <c r="C1564" t="s">
        <v>12169</v>
      </c>
      <c r="K1564" t="s">
        <v>99</v>
      </c>
      <c r="L1564" t="s">
        <v>102</v>
      </c>
      <c r="M1564" t="s">
        <v>75</v>
      </c>
      <c r="R1564" t="s">
        <v>12170</v>
      </c>
      <c r="S1564" t="s">
        <v>12171</v>
      </c>
      <c r="T1564" t="s">
        <v>12172</v>
      </c>
      <c r="U1564" t="s">
        <v>4645</v>
      </c>
      <c r="V1564" t="str">
        <f>"547035222"</f>
        <v>547035222</v>
      </c>
      <c r="AC1564" t="s">
        <v>79</v>
      </c>
      <c r="AD1564" t="s">
        <v>75</v>
      </c>
      <c r="AE1564" t="s">
        <v>103</v>
      </c>
      <c r="AG1564" t="s">
        <v>81</v>
      </c>
    </row>
    <row r="1565" spans="1:33" x14ac:dyDescent="0.25">
      <c r="A1565" t="str">
        <f>"1992053540"</f>
        <v>1992053540</v>
      </c>
      <c r="C1565" t="s">
        <v>12173</v>
      </c>
      <c r="K1565" t="s">
        <v>99</v>
      </c>
      <c r="L1565" t="s">
        <v>102</v>
      </c>
      <c r="M1565" t="s">
        <v>75</v>
      </c>
      <c r="R1565" t="s">
        <v>12174</v>
      </c>
      <c r="S1565" t="s">
        <v>12175</v>
      </c>
      <c r="T1565" t="s">
        <v>254</v>
      </c>
      <c r="U1565" t="s">
        <v>77</v>
      </c>
      <c r="V1565" t="str">
        <f>"113744462"</f>
        <v>113744462</v>
      </c>
      <c r="AC1565" t="s">
        <v>79</v>
      </c>
      <c r="AD1565" t="s">
        <v>75</v>
      </c>
      <c r="AE1565" t="s">
        <v>103</v>
      </c>
      <c r="AG1565" t="s">
        <v>81</v>
      </c>
    </row>
    <row r="1566" spans="1:33" x14ac:dyDescent="0.25">
      <c r="A1566" t="str">
        <f>"1851525919"</f>
        <v>1851525919</v>
      </c>
      <c r="C1566" t="s">
        <v>12176</v>
      </c>
      <c r="K1566" t="s">
        <v>99</v>
      </c>
      <c r="L1566" t="s">
        <v>102</v>
      </c>
      <c r="M1566" t="s">
        <v>75</v>
      </c>
      <c r="R1566" t="s">
        <v>12177</v>
      </c>
      <c r="S1566" t="s">
        <v>12178</v>
      </c>
      <c r="T1566" t="s">
        <v>12179</v>
      </c>
      <c r="U1566" t="s">
        <v>2632</v>
      </c>
      <c r="V1566" t="str">
        <f>"223041313"</f>
        <v>223041313</v>
      </c>
      <c r="AC1566" t="s">
        <v>79</v>
      </c>
      <c r="AD1566" t="s">
        <v>75</v>
      </c>
      <c r="AE1566" t="s">
        <v>103</v>
      </c>
      <c r="AG1566" t="s">
        <v>81</v>
      </c>
    </row>
    <row r="1567" spans="1:33" x14ac:dyDescent="0.25">
      <c r="A1567" t="str">
        <f>"1821330572"</f>
        <v>1821330572</v>
      </c>
      <c r="C1567" t="s">
        <v>12180</v>
      </c>
      <c r="K1567" t="s">
        <v>99</v>
      </c>
      <c r="L1567" t="s">
        <v>102</v>
      </c>
      <c r="M1567" t="s">
        <v>75</v>
      </c>
      <c r="R1567" t="s">
        <v>12181</v>
      </c>
      <c r="S1567" t="s">
        <v>12182</v>
      </c>
      <c r="T1567" t="s">
        <v>11874</v>
      </c>
      <c r="U1567" t="s">
        <v>156</v>
      </c>
      <c r="V1567" t="str">
        <f>"076701010"</f>
        <v>076701010</v>
      </c>
      <c r="AC1567" t="s">
        <v>79</v>
      </c>
      <c r="AD1567" t="s">
        <v>75</v>
      </c>
      <c r="AE1567" t="s">
        <v>103</v>
      </c>
      <c r="AG1567" t="s">
        <v>81</v>
      </c>
    </row>
    <row r="1568" spans="1:33" x14ac:dyDescent="0.25">
      <c r="A1568" t="str">
        <f>"1831498039"</f>
        <v>1831498039</v>
      </c>
      <c r="B1568" t="str">
        <f>"04164150"</f>
        <v>04164150</v>
      </c>
      <c r="C1568" t="s">
        <v>12183</v>
      </c>
      <c r="D1568" t="s">
        <v>12184</v>
      </c>
      <c r="E1568" t="s">
        <v>12185</v>
      </c>
      <c r="L1568" t="s">
        <v>74</v>
      </c>
      <c r="M1568" t="s">
        <v>75</v>
      </c>
      <c r="R1568" t="s">
        <v>12186</v>
      </c>
      <c r="W1568" t="s">
        <v>12185</v>
      </c>
      <c r="X1568" t="s">
        <v>1455</v>
      </c>
      <c r="Y1568" t="s">
        <v>91</v>
      </c>
      <c r="Z1568" t="s">
        <v>77</v>
      </c>
      <c r="AA1568" t="str">
        <f>"11373-1329"</f>
        <v>11373-1329</v>
      </c>
      <c r="AB1568" t="s">
        <v>78</v>
      </c>
      <c r="AC1568" t="s">
        <v>79</v>
      </c>
      <c r="AD1568" t="s">
        <v>75</v>
      </c>
      <c r="AE1568" t="s">
        <v>80</v>
      </c>
      <c r="AG1568" t="s">
        <v>81</v>
      </c>
    </row>
    <row r="1569" spans="1:33" x14ac:dyDescent="0.25">
      <c r="A1569" t="str">
        <f>"1801183033"</f>
        <v>1801183033</v>
      </c>
      <c r="B1569" t="str">
        <f>"04238184"</f>
        <v>04238184</v>
      </c>
      <c r="C1569" t="s">
        <v>12187</v>
      </c>
      <c r="D1569" t="s">
        <v>12188</v>
      </c>
      <c r="E1569" t="s">
        <v>12189</v>
      </c>
      <c r="L1569" t="s">
        <v>74</v>
      </c>
      <c r="M1569" t="s">
        <v>75</v>
      </c>
      <c r="R1569" t="s">
        <v>12190</v>
      </c>
      <c r="W1569" t="s">
        <v>12189</v>
      </c>
      <c r="X1569" t="s">
        <v>12191</v>
      </c>
      <c r="Y1569" t="s">
        <v>152</v>
      </c>
      <c r="Z1569" t="s">
        <v>77</v>
      </c>
      <c r="AA1569" t="str">
        <f>"11375-1530"</f>
        <v>11375-1530</v>
      </c>
      <c r="AB1569" t="s">
        <v>78</v>
      </c>
      <c r="AC1569" t="s">
        <v>79</v>
      </c>
      <c r="AD1569" t="s">
        <v>75</v>
      </c>
      <c r="AE1569" t="s">
        <v>80</v>
      </c>
      <c r="AG1569" t="s">
        <v>81</v>
      </c>
    </row>
    <row r="1570" spans="1:33" x14ac:dyDescent="0.25">
      <c r="A1570" t="str">
        <f>"1891062857"</f>
        <v>1891062857</v>
      </c>
      <c r="C1570" t="s">
        <v>12192</v>
      </c>
      <c r="K1570" t="s">
        <v>99</v>
      </c>
      <c r="L1570" t="s">
        <v>102</v>
      </c>
      <c r="M1570" t="s">
        <v>75</v>
      </c>
      <c r="R1570" t="s">
        <v>12193</v>
      </c>
      <c r="S1570" t="s">
        <v>11844</v>
      </c>
      <c r="T1570" t="s">
        <v>97</v>
      </c>
      <c r="U1570" t="s">
        <v>77</v>
      </c>
      <c r="V1570" t="str">
        <f>"100296501"</f>
        <v>100296501</v>
      </c>
      <c r="AC1570" t="s">
        <v>79</v>
      </c>
      <c r="AD1570" t="s">
        <v>75</v>
      </c>
      <c r="AE1570" t="s">
        <v>103</v>
      </c>
      <c r="AG1570" t="s">
        <v>81</v>
      </c>
    </row>
    <row r="1571" spans="1:33" x14ac:dyDescent="0.25">
      <c r="A1571" t="str">
        <f>"1770530065"</f>
        <v>1770530065</v>
      </c>
      <c r="B1571" t="str">
        <f>"02648231"</f>
        <v>02648231</v>
      </c>
      <c r="C1571" t="s">
        <v>12194</v>
      </c>
      <c r="D1571" t="s">
        <v>12195</v>
      </c>
      <c r="E1571" t="s">
        <v>12196</v>
      </c>
      <c r="L1571" t="s">
        <v>84</v>
      </c>
      <c r="M1571" t="s">
        <v>75</v>
      </c>
      <c r="R1571" t="s">
        <v>12197</v>
      </c>
      <c r="W1571" t="s">
        <v>12198</v>
      </c>
      <c r="X1571" t="s">
        <v>12199</v>
      </c>
      <c r="Y1571" t="s">
        <v>87</v>
      </c>
      <c r="Z1571" t="s">
        <v>77</v>
      </c>
      <c r="AA1571" t="str">
        <f>"11215-0000"</f>
        <v>11215-0000</v>
      </c>
      <c r="AB1571" t="s">
        <v>78</v>
      </c>
      <c r="AC1571" t="s">
        <v>79</v>
      </c>
      <c r="AD1571" t="s">
        <v>75</v>
      </c>
      <c r="AE1571" t="s">
        <v>80</v>
      </c>
      <c r="AG1571" t="s">
        <v>81</v>
      </c>
    </row>
    <row r="1572" spans="1:33" x14ac:dyDescent="0.25">
      <c r="A1572" t="str">
        <f>"1699724823"</f>
        <v>1699724823</v>
      </c>
      <c r="B1572" t="str">
        <f>"01837407"</f>
        <v>01837407</v>
      </c>
      <c r="C1572" t="s">
        <v>12200</v>
      </c>
      <c r="D1572" t="s">
        <v>12201</v>
      </c>
      <c r="E1572" t="s">
        <v>12202</v>
      </c>
      <c r="H1572" t="s">
        <v>12203</v>
      </c>
      <c r="J1572" t="s">
        <v>12204</v>
      </c>
      <c r="L1572" t="s">
        <v>83</v>
      </c>
      <c r="M1572" t="s">
        <v>85</v>
      </c>
      <c r="R1572" t="s">
        <v>12202</v>
      </c>
      <c r="W1572" t="s">
        <v>12205</v>
      </c>
      <c r="X1572" t="s">
        <v>12206</v>
      </c>
      <c r="Y1572" t="s">
        <v>212</v>
      </c>
      <c r="Z1572" t="s">
        <v>77</v>
      </c>
      <c r="AA1572" t="str">
        <f>"11803-5018"</f>
        <v>11803-5018</v>
      </c>
      <c r="AB1572" t="s">
        <v>78</v>
      </c>
      <c r="AC1572" t="s">
        <v>79</v>
      </c>
      <c r="AD1572" t="s">
        <v>75</v>
      </c>
      <c r="AE1572" t="s">
        <v>80</v>
      </c>
      <c r="AG1572" t="s">
        <v>81</v>
      </c>
    </row>
    <row r="1573" spans="1:33" x14ac:dyDescent="0.25">
      <c r="A1573" t="str">
        <f>"1851335434"</f>
        <v>1851335434</v>
      </c>
      <c r="B1573" t="str">
        <f>"02470822"</f>
        <v>02470822</v>
      </c>
      <c r="C1573" t="s">
        <v>12207</v>
      </c>
      <c r="D1573" t="s">
        <v>12208</v>
      </c>
      <c r="E1573" t="s">
        <v>12209</v>
      </c>
      <c r="H1573" t="s">
        <v>12006</v>
      </c>
      <c r="J1573" t="s">
        <v>12210</v>
      </c>
      <c r="L1573" t="s">
        <v>83</v>
      </c>
      <c r="M1573" t="s">
        <v>85</v>
      </c>
      <c r="R1573" t="s">
        <v>12211</v>
      </c>
      <c r="W1573" t="s">
        <v>12209</v>
      </c>
      <c r="X1573" t="s">
        <v>12212</v>
      </c>
      <c r="Y1573" t="s">
        <v>288</v>
      </c>
      <c r="Z1573" t="s">
        <v>77</v>
      </c>
      <c r="AA1573" t="str">
        <f>"11520-3743"</f>
        <v>11520-3743</v>
      </c>
      <c r="AB1573" t="s">
        <v>78</v>
      </c>
      <c r="AC1573" t="s">
        <v>79</v>
      </c>
      <c r="AD1573" t="s">
        <v>75</v>
      </c>
      <c r="AE1573" t="s">
        <v>80</v>
      </c>
      <c r="AG1573" t="s">
        <v>81</v>
      </c>
    </row>
    <row r="1574" spans="1:33" x14ac:dyDescent="0.25">
      <c r="A1574" t="str">
        <f>"1124160312"</f>
        <v>1124160312</v>
      </c>
      <c r="B1574" t="str">
        <f>"01614084"</f>
        <v>01614084</v>
      </c>
      <c r="C1574" t="s">
        <v>12213</v>
      </c>
      <c r="D1574" t="s">
        <v>12214</v>
      </c>
      <c r="E1574" t="s">
        <v>12215</v>
      </c>
      <c r="H1574" t="s">
        <v>11775</v>
      </c>
      <c r="J1574" t="s">
        <v>12216</v>
      </c>
      <c r="L1574" t="s">
        <v>83</v>
      </c>
      <c r="M1574" t="s">
        <v>85</v>
      </c>
      <c r="R1574" t="s">
        <v>12217</v>
      </c>
      <c r="W1574" t="s">
        <v>12215</v>
      </c>
      <c r="X1574" t="s">
        <v>12218</v>
      </c>
      <c r="Y1574" t="s">
        <v>227</v>
      </c>
      <c r="Z1574" t="s">
        <v>77</v>
      </c>
      <c r="AA1574" t="str">
        <f>"10601-4707"</f>
        <v>10601-4707</v>
      </c>
      <c r="AB1574" t="s">
        <v>78</v>
      </c>
      <c r="AC1574" t="s">
        <v>79</v>
      </c>
      <c r="AD1574" t="s">
        <v>75</v>
      </c>
      <c r="AE1574" t="s">
        <v>80</v>
      </c>
      <c r="AG1574" t="s">
        <v>81</v>
      </c>
    </row>
    <row r="1575" spans="1:33" x14ac:dyDescent="0.25">
      <c r="A1575" t="str">
        <f>"1306954946"</f>
        <v>1306954946</v>
      </c>
      <c r="B1575" t="str">
        <f>"01834844"</f>
        <v>01834844</v>
      </c>
      <c r="C1575" t="s">
        <v>12219</v>
      </c>
      <c r="D1575" t="s">
        <v>12220</v>
      </c>
      <c r="E1575" t="s">
        <v>12221</v>
      </c>
      <c r="H1575" t="s">
        <v>12222</v>
      </c>
      <c r="J1575" t="s">
        <v>12223</v>
      </c>
      <c r="L1575" t="s">
        <v>83</v>
      </c>
      <c r="M1575" t="s">
        <v>85</v>
      </c>
      <c r="R1575" t="s">
        <v>12221</v>
      </c>
      <c r="W1575" t="s">
        <v>12224</v>
      </c>
      <c r="X1575" t="s">
        <v>12225</v>
      </c>
      <c r="Y1575" t="s">
        <v>145</v>
      </c>
      <c r="Z1575" t="s">
        <v>77</v>
      </c>
      <c r="AA1575" t="str">
        <f>"11361-3211"</f>
        <v>11361-3211</v>
      </c>
      <c r="AB1575" t="s">
        <v>78</v>
      </c>
      <c r="AC1575" t="s">
        <v>79</v>
      </c>
      <c r="AD1575" t="s">
        <v>75</v>
      </c>
      <c r="AE1575" t="s">
        <v>80</v>
      </c>
      <c r="AG1575" t="s">
        <v>81</v>
      </c>
    </row>
    <row r="1576" spans="1:33" x14ac:dyDescent="0.25">
      <c r="A1576" t="str">
        <f>"1649420092"</f>
        <v>1649420092</v>
      </c>
      <c r="B1576" t="str">
        <f>"02187204"</f>
        <v>02187204</v>
      </c>
      <c r="C1576" t="s">
        <v>12226</v>
      </c>
      <c r="D1576" t="s">
        <v>12227</v>
      </c>
      <c r="E1576" t="s">
        <v>12228</v>
      </c>
      <c r="L1576" t="s">
        <v>35</v>
      </c>
      <c r="M1576" t="s">
        <v>85</v>
      </c>
      <c r="R1576" t="s">
        <v>12229</v>
      </c>
      <c r="W1576" t="s">
        <v>12228</v>
      </c>
      <c r="X1576" t="s">
        <v>12230</v>
      </c>
      <c r="Y1576" t="s">
        <v>97</v>
      </c>
      <c r="Z1576" t="s">
        <v>77</v>
      </c>
      <c r="AA1576" t="str">
        <f>"10033-6403"</f>
        <v>10033-6403</v>
      </c>
      <c r="AB1576" t="s">
        <v>98</v>
      </c>
      <c r="AC1576" t="s">
        <v>79</v>
      </c>
      <c r="AD1576" t="s">
        <v>75</v>
      </c>
      <c r="AE1576" t="s">
        <v>80</v>
      </c>
      <c r="AG1576" t="s">
        <v>81</v>
      </c>
    </row>
    <row r="1577" spans="1:33" x14ac:dyDescent="0.25">
      <c r="A1577" t="str">
        <f>"1811283922"</f>
        <v>1811283922</v>
      </c>
      <c r="C1577" t="s">
        <v>12231</v>
      </c>
      <c r="K1577" t="s">
        <v>99</v>
      </c>
      <c r="L1577" t="s">
        <v>102</v>
      </c>
      <c r="M1577" t="s">
        <v>75</v>
      </c>
      <c r="R1577" t="s">
        <v>12232</v>
      </c>
      <c r="S1577" t="s">
        <v>12233</v>
      </c>
      <c r="T1577" t="s">
        <v>2660</v>
      </c>
      <c r="U1577" t="s">
        <v>2661</v>
      </c>
      <c r="V1577" t="str">
        <f>"212870019"</f>
        <v>212870019</v>
      </c>
      <c r="AC1577" t="s">
        <v>79</v>
      </c>
      <c r="AD1577" t="s">
        <v>75</v>
      </c>
      <c r="AE1577" t="s">
        <v>103</v>
      </c>
      <c r="AG1577" t="s">
        <v>81</v>
      </c>
    </row>
    <row r="1578" spans="1:33" x14ac:dyDescent="0.25">
      <c r="A1578" t="str">
        <f>"1881030831"</f>
        <v>1881030831</v>
      </c>
      <c r="C1578" t="s">
        <v>12234</v>
      </c>
      <c r="K1578" t="s">
        <v>99</v>
      </c>
      <c r="L1578" t="s">
        <v>102</v>
      </c>
      <c r="M1578" t="s">
        <v>75</v>
      </c>
      <c r="R1578" t="s">
        <v>12235</v>
      </c>
      <c r="S1578" t="s">
        <v>191</v>
      </c>
      <c r="T1578" t="s">
        <v>97</v>
      </c>
      <c r="U1578" t="s">
        <v>77</v>
      </c>
      <c r="V1578" t="str">
        <f>"100191147"</f>
        <v>100191147</v>
      </c>
      <c r="AC1578" t="s">
        <v>79</v>
      </c>
      <c r="AD1578" t="s">
        <v>75</v>
      </c>
      <c r="AE1578" t="s">
        <v>103</v>
      </c>
      <c r="AG1578" t="s">
        <v>81</v>
      </c>
    </row>
    <row r="1579" spans="1:33" x14ac:dyDescent="0.25">
      <c r="A1579" t="str">
        <f>"1962820217"</f>
        <v>1962820217</v>
      </c>
      <c r="C1579" t="s">
        <v>12236</v>
      </c>
      <c r="K1579" t="s">
        <v>99</v>
      </c>
      <c r="L1579" t="s">
        <v>102</v>
      </c>
      <c r="M1579" t="s">
        <v>75</v>
      </c>
      <c r="R1579" t="s">
        <v>12237</v>
      </c>
      <c r="S1579" t="s">
        <v>181</v>
      </c>
      <c r="T1579" t="s">
        <v>97</v>
      </c>
      <c r="U1579" t="s">
        <v>77</v>
      </c>
      <c r="V1579" t="str">
        <f>"100251716"</f>
        <v>100251716</v>
      </c>
      <c r="AC1579" t="s">
        <v>79</v>
      </c>
      <c r="AD1579" t="s">
        <v>75</v>
      </c>
      <c r="AE1579" t="s">
        <v>103</v>
      </c>
      <c r="AG1579" t="s">
        <v>81</v>
      </c>
    </row>
    <row r="1580" spans="1:33" x14ac:dyDescent="0.25">
      <c r="A1580" t="str">
        <f>"1942629779"</f>
        <v>1942629779</v>
      </c>
      <c r="C1580" t="s">
        <v>12238</v>
      </c>
      <c r="K1580" t="s">
        <v>99</v>
      </c>
      <c r="L1580" t="s">
        <v>102</v>
      </c>
      <c r="M1580" t="s">
        <v>75</v>
      </c>
      <c r="R1580" t="s">
        <v>12239</v>
      </c>
      <c r="S1580" t="s">
        <v>12240</v>
      </c>
      <c r="T1580" t="s">
        <v>236</v>
      </c>
      <c r="U1580" t="s">
        <v>77</v>
      </c>
      <c r="V1580" t="str">
        <f>"11106"</f>
        <v>11106</v>
      </c>
      <c r="AC1580" t="s">
        <v>79</v>
      </c>
      <c r="AD1580" t="s">
        <v>75</v>
      </c>
      <c r="AE1580" t="s">
        <v>103</v>
      </c>
      <c r="AG1580" t="s">
        <v>81</v>
      </c>
    </row>
    <row r="1581" spans="1:33" x14ac:dyDescent="0.25">
      <c r="A1581" t="str">
        <f>"1891076329"</f>
        <v>1891076329</v>
      </c>
      <c r="C1581" t="s">
        <v>12241</v>
      </c>
      <c r="K1581" t="s">
        <v>99</v>
      </c>
      <c r="L1581" t="s">
        <v>74</v>
      </c>
      <c r="M1581" t="s">
        <v>75</v>
      </c>
      <c r="R1581" t="s">
        <v>12242</v>
      </c>
      <c r="S1581" t="s">
        <v>12243</v>
      </c>
      <c r="T1581" t="s">
        <v>4626</v>
      </c>
      <c r="U1581" t="s">
        <v>4504</v>
      </c>
      <c r="V1581" t="str">
        <f>"029034923"</f>
        <v>029034923</v>
      </c>
      <c r="AC1581" t="s">
        <v>79</v>
      </c>
      <c r="AD1581" t="s">
        <v>75</v>
      </c>
      <c r="AE1581" t="s">
        <v>103</v>
      </c>
      <c r="AG1581" t="s">
        <v>81</v>
      </c>
    </row>
    <row r="1582" spans="1:33" x14ac:dyDescent="0.25">
      <c r="A1582" t="str">
        <f>"1780693572"</f>
        <v>1780693572</v>
      </c>
      <c r="B1582" t="str">
        <f>"02610960"</f>
        <v>02610960</v>
      </c>
      <c r="C1582" t="s">
        <v>12244</v>
      </c>
      <c r="D1582" t="s">
        <v>1078</v>
      </c>
      <c r="E1582" t="s">
        <v>1079</v>
      </c>
      <c r="L1582" t="s">
        <v>84</v>
      </c>
      <c r="M1582" t="s">
        <v>75</v>
      </c>
      <c r="R1582" t="s">
        <v>1080</v>
      </c>
      <c r="W1582" t="s">
        <v>1079</v>
      </c>
      <c r="X1582" t="s">
        <v>202</v>
      </c>
      <c r="Y1582" t="s">
        <v>87</v>
      </c>
      <c r="Z1582" t="s">
        <v>77</v>
      </c>
      <c r="AA1582" t="str">
        <f>"11201-5425"</f>
        <v>11201-5425</v>
      </c>
      <c r="AB1582" t="s">
        <v>78</v>
      </c>
      <c r="AC1582" t="s">
        <v>79</v>
      </c>
      <c r="AD1582" t="s">
        <v>75</v>
      </c>
      <c r="AE1582" t="s">
        <v>80</v>
      </c>
      <c r="AG1582" t="s">
        <v>81</v>
      </c>
    </row>
    <row r="1583" spans="1:33" x14ac:dyDescent="0.25">
      <c r="A1583" t="str">
        <f>"1912977976"</f>
        <v>1912977976</v>
      </c>
      <c r="B1583" t="str">
        <f>"03210886"</f>
        <v>03210886</v>
      </c>
      <c r="C1583" t="s">
        <v>12245</v>
      </c>
      <c r="D1583" t="s">
        <v>12246</v>
      </c>
      <c r="E1583" t="s">
        <v>12247</v>
      </c>
      <c r="H1583" t="s">
        <v>12248</v>
      </c>
      <c r="J1583" t="s">
        <v>12249</v>
      </c>
      <c r="L1583" t="s">
        <v>83</v>
      </c>
      <c r="M1583" t="s">
        <v>85</v>
      </c>
      <c r="R1583" t="s">
        <v>12250</v>
      </c>
      <c r="W1583" t="s">
        <v>12247</v>
      </c>
      <c r="X1583" t="s">
        <v>12251</v>
      </c>
      <c r="Y1583" t="s">
        <v>87</v>
      </c>
      <c r="Z1583" t="s">
        <v>77</v>
      </c>
      <c r="AA1583" t="str">
        <f>"11219-3997"</f>
        <v>11219-3997</v>
      </c>
      <c r="AB1583" t="s">
        <v>78</v>
      </c>
      <c r="AC1583" t="s">
        <v>79</v>
      </c>
      <c r="AD1583" t="s">
        <v>75</v>
      </c>
      <c r="AE1583" t="s">
        <v>80</v>
      </c>
      <c r="AG1583" t="s">
        <v>81</v>
      </c>
    </row>
    <row r="1584" spans="1:33" x14ac:dyDescent="0.25">
      <c r="A1584" t="str">
        <f>"1972921807"</f>
        <v>1972921807</v>
      </c>
      <c r="C1584" t="s">
        <v>12252</v>
      </c>
      <c r="K1584" t="s">
        <v>99</v>
      </c>
      <c r="L1584" t="s">
        <v>74</v>
      </c>
      <c r="M1584" t="s">
        <v>75</v>
      </c>
      <c r="R1584" t="s">
        <v>12253</v>
      </c>
      <c r="S1584" t="s">
        <v>12254</v>
      </c>
      <c r="T1584" t="s">
        <v>97</v>
      </c>
      <c r="U1584" t="s">
        <v>77</v>
      </c>
      <c r="V1584" t="str">
        <f>"100295204"</f>
        <v>100295204</v>
      </c>
      <c r="AC1584" t="s">
        <v>79</v>
      </c>
      <c r="AD1584" t="s">
        <v>75</v>
      </c>
      <c r="AE1584" t="s">
        <v>103</v>
      </c>
      <c r="AG1584" t="s">
        <v>81</v>
      </c>
    </row>
    <row r="1585" spans="1:33" x14ac:dyDescent="0.25">
      <c r="A1585" t="str">
        <f>"1700999737"</f>
        <v>1700999737</v>
      </c>
      <c r="B1585" t="str">
        <f>"02097969"</f>
        <v>02097969</v>
      </c>
      <c r="C1585" t="s">
        <v>12255</v>
      </c>
      <c r="D1585" t="s">
        <v>12256</v>
      </c>
      <c r="E1585" t="s">
        <v>12257</v>
      </c>
      <c r="H1585" t="s">
        <v>12258</v>
      </c>
      <c r="J1585" t="s">
        <v>12259</v>
      </c>
      <c r="L1585" t="s">
        <v>83</v>
      </c>
      <c r="M1585" t="s">
        <v>85</v>
      </c>
      <c r="R1585" t="s">
        <v>4624</v>
      </c>
      <c r="W1585" t="s">
        <v>12257</v>
      </c>
      <c r="X1585" t="s">
        <v>6520</v>
      </c>
      <c r="Y1585" t="s">
        <v>97</v>
      </c>
      <c r="Z1585" t="s">
        <v>77</v>
      </c>
      <c r="AA1585" t="str">
        <f>"10029-6810"</f>
        <v>10029-6810</v>
      </c>
      <c r="AB1585" t="s">
        <v>78</v>
      </c>
      <c r="AC1585" t="s">
        <v>79</v>
      </c>
      <c r="AD1585" t="s">
        <v>75</v>
      </c>
      <c r="AE1585" t="s">
        <v>80</v>
      </c>
      <c r="AG1585" t="s">
        <v>81</v>
      </c>
    </row>
    <row r="1586" spans="1:33" x14ac:dyDescent="0.25">
      <c r="A1586" t="str">
        <f>"1891139861"</f>
        <v>1891139861</v>
      </c>
      <c r="B1586" t="str">
        <f>"04381004"</f>
        <v>04381004</v>
      </c>
      <c r="C1586" t="s">
        <v>12260</v>
      </c>
      <c r="D1586" t="s">
        <v>12261</v>
      </c>
      <c r="E1586" t="s">
        <v>12262</v>
      </c>
      <c r="L1586" t="s">
        <v>74</v>
      </c>
      <c r="M1586" t="s">
        <v>75</v>
      </c>
      <c r="R1586" t="s">
        <v>12263</v>
      </c>
      <c r="W1586" t="s">
        <v>12262</v>
      </c>
      <c r="X1586" t="s">
        <v>191</v>
      </c>
      <c r="Y1586" t="s">
        <v>97</v>
      </c>
      <c r="Z1586" t="s">
        <v>77</v>
      </c>
      <c r="AA1586" t="str">
        <f>"10019-1147"</f>
        <v>10019-1147</v>
      </c>
      <c r="AB1586" t="s">
        <v>78</v>
      </c>
      <c r="AC1586" t="s">
        <v>79</v>
      </c>
      <c r="AD1586" t="s">
        <v>75</v>
      </c>
      <c r="AE1586" t="s">
        <v>80</v>
      </c>
      <c r="AG1586" t="s">
        <v>81</v>
      </c>
    </row>
    <row r="1587" spans="1:33" x14ac:dyDescent="0.25">
      <c r="A1587" t="str">
        <f>"1871911081"</f>
        <v>1871911081</v>
      </c>
      <c r="C1587" t="s">
        <v>12264</v>
      </c>
      <c r="K1587" t="s">
        <v>99</v>
      </c>
      <c r="L1587" t="s">
        <v>102</v>
      </c>
      <c r="M1587" t="s">
        <v>75</v>
      </c>
      <c r="R1587" t="s">
        <v>12265</v>
      </c>
      <c r="S1587" t="s">
        <v>191</v>
      </c>
      <c r="T1587" t="s">
        <v>97</v>
      </c>
      <c r="U1587" t="s">
        <v>77</v>
      </c>
      <c r="V1587" t="str">
        <f>"100191147"</f>
        <v>100191147</v>
      </c>
      <c r="AC1587" t="s">
        <v>79</v>
      </c>
      <c r="AD1587" t="s">
        <v>75</v>
      </c>
      <c r="AE1587" t="s">
        <v>103</v>
      </c>
      <c r="AG1587" t="s">
        <v>81</v>
      </c>
    </row>
    <row r="1588" spans="1:33" x14ac:dyDescent="0.25">
      <c r="A1588" t="str">
        <f>"1811230329"</f>
        <v>1811230329</v>
      </c>
      <c r="C1588" t="s">
        <v>12266</v>
      </c>
      <c r="K1588" t="s">
        <v>99</v>
      </c>
      <c r="L1588" t="s">
        <v>102</v>
      </c>
      <c r="M1588" t="s">
        <v>75</v>
      </c>
      <c r="R1588" t="s">
        <v>12267</v>
      </c>
      <c r="S1588" t="s">
        <v>191</v>
      </c>
      <c r="T1588" t="s">
        <v>97</v>
      </c>
      <c r="U1588" t="s">
        <v>77</v>
      </c>
      <c r="V1588" t="str">
        <f>"100191147"</f>
        <v>100191147</v>
      </c>
      <c r="AC1588" t="s">
        <v>79</v>
      </c>
      <c r="AD1588" t="s">
        <v>75</v>
      </c>
      <c r="AE1588" t="s">
        <v>103</v>
      </c>
      <c r="AG1588" t="s">
        <v>81</v>
      </c>
    </row>
    <row r="1589" spans="1:33" x14ac:dyDescent="0.25">
      <c r="A1589" t="str">
        <f>"1851718118"</f>
        <v>1851718118</v>
      </c>
      <c r="C1589" t="s">
        <v>12268</v>
      </c>
      <c r="K1589" t="s">
        <v>99</v>
      </c>
      <c r="L1589" t="s">
        <v>102</v>
      </c>
      <c r="M1589" t="s">
        <v>75</v>
      </c>
      <c r="R1589" t="s">
        <v>12269</v>
      </c>
      <c r="S1589" t="s">
        <v>12270</v>
      </c>
      <c r="T1589" t="s">
        <v>97</v>
      </c>
      <c r="U1589" t="s">
        <v>77</v>
      </c>
      <c r="V1589" t="str">
        <f>"100295204"</f>
        <v>100295204</v>
      </c>
      <c r="AC1589" t="s">
        <v>79</v>
      </c>
      <c r="AD1589" t="s">
        <v>75</v>
      </c>
      <c r="AE1589" t="s">
        <v>103</v>
      </c>
      <c r="AG1589" t="s">
        <v>81</v>
      </c>
    </row>
    <row r="1590" spans="1:33" x14ac:dyDescent="0.25">
      <c r="A1590" t="str">
        <f>"1871868968"</f>
        <v>1871868968</v>
      </c>
      <c r="C1590" t="s">
        <v>12271</v>
      </c>
      <c r="K1590" t="s">
        <v>99</v>
      </c>
      <c r="L1590" t="s">
        <v>102</v>
      </c>
      <c r="M1590" t="s">
        <v>75</v>
      </c>
      <c r="R1590" t="s">
        <v>12272</v>
      </c>
      <c r="S1590" t="s">
        <v>12254</v>
      </c>
      <c r="T1590" t="s">
        <v>97</v>
      </c>
      <c r="U1590" t="s">
        <v>77</v>
      </c>
      <c r="V1590" t="str">
        <f>"100295204"</f>
        <v>100295204</v>
      </c>
      <c r="AC1590" t="s">
        <v>79</v>
      </c>
      <c r="AD1590" t="s">
        <v>75</v>
      </c>
      <c r="AE1590" t="s">
        <v>103</v>
      </c>
      <c r="AG1590" t="s">
        <v>81</v>
      </c>
    </row>
    <row r="1591" spans="1:33" x14ac:dyDescent="0.25">
      <c r="A1591" t="str">
        <f>"1841532744"</f>
        <v>1841532744</v>
      </c>
      <c r="C1591" t="s">
        <v>12273</v>
      </c>
      <c r="K1591" t="s">
        <v>99</v>
      </c>
      <c r="L1591" t="s">
        <v>102</v>
      </c>
      <c r="M1591" t="s">
        <v>75</v>
      </c>
      <c r="R1591" t="s">
        <v>12274</v>
      </c>
      <c r="S1591" t="s">
        <v>329</v>
      </c>
      <c r="T1591" t="s">
        <v>97</v>
      </c>
      <c r="U1591" t="s">
        <v>77</v>
      </c>
      <c r="V1591" t="str">
        <f>"100296500"</f>
        <v>100296500</v>
      </c>
      <c r="AC1591" t="s">
        <v>79</v>
      </c>
      <c r="AD1591" t="s">
        <v>75</v>
      </c>
      <c r="AE1591" t="s">
        <v>103</v>
      </c>
      <c r="AG1591" t="s">
        <v>81</v>
      </c>
    </row>
    <row r="1592" spans="1:33" x14ac:dyDescent="0.25">
      <c r="A1592" t="str">
        <f>"1851633424"</f>
        <v>1851633424</v>
      </c>
      <c r="C1592" t="s">
        <v>12275</v>
      </c>
      <c r="K1592" t="s">
        <v>99</v>
      </c>
      <c r="L1592" t="s">
        <v>102</v>
      </c>
      <c r="M1592" t="s">
        <v>75</v>
      </c>
      <c r="R1592" t="s">
        <v>4899</v>
      </c>
      <c r="S1592" t="s">
        <v>843</v>
      </c>
      <c r="T1592" t="s">
        <v>97</v>
      </c>
      <c r="U1592" t="s">
        <v>77</v>
      </c>
      <c r="V1592" t="str">
        <f>"100166402"</f>
        <v>100166402</v>
      </c>
      <c r="AC1592" t="s">
        <v>79</v>
      </c>
      <c r="AD1592" t="s">
        <v>75</v>
      </c>
      <c r="AE1592" t="s">
        <v>103</v>
      </c>
      <c r="AG1592" t="s">
        <v>81</v>
      </c>
    </row>
    <row r="1593" spans="1:33" x14ac:dyDescent="0.25">
      <c r="A1593" t="str">
        <f>"1861780603"</f>
        <v>1861780603</v>
      </c>
      <c r="C1593" t="s">
        <v>12276</v>
      </c>
      <c r="K1593" t="s">
        <v>99</v>
      </c>
      <c r="L1593" t="s">
        <v>102</v>
      </c>
      <c r="M1593" t="s">
        <v>75</v>
      </c>
      <c r="R1593" t="s">
        <v>12277</v>
      </c>
      <c r="S1593" t="s">
        <v>12278</v>
      </c>
      <c r="T1593" t="s">
        <v>1789</v>
      </c>
      <c r="U1593" t="s">
        <v>285</v>
      </c>
      <c r="V1593" t="str">
        <f>"606081797"</f>
        <v>606081797</v>
      </c>
      <c r="AC1593" t="s">
        <v>79</v>
      </c>
      <c r="AD1593" t="s">
        <v>75</v>
      </c>
      <c r="AE1593" t="s">
        <v>103</v>
      </c>
      <c r="AG1593" t="s">
        <v>81</v>
      </c>
    </row>
    <row r="1594" spans="1:33" x14ac:dyDescent="0.25">
      <c r="A1594" t="str">
        <f>"1871850206"</f>
        <v>1871850206</v>
      </c>
      <c r="B1594" t="str">
        <f>"04072780"</f>
        <v>04072780</v>
      </c>
      <c r="C1594" t="s">
        <v>12279</v>
      </c>
      <c r="D1594" t="s">
        <v>12280</v>
      </c>
      <c r="E1594" t="s">
        <v>12281</v>
      </c>
      <c r="L1594" t="s">
        <v>74</v>
      </c>
      <c r="M1594" t="s">
        <v>75</v>
      </c>
      <c r="R1594" t="s">
        <v>12282</v>
      </c>
      <c r="W1594" t="s">
        <v>12281</v>
      </c>
      <c r="X1594" t="s">
        <v>12283</v>
      </c>
      <c r="Y1594" t="s">
        <v>87</v>
      </c>
      <c r="Z1594" t="s">
        <v>77</v>
      </c>
      <c r="AA1594" t="str">
        <f>"11214-1211"</f>
        <v>11214-1211</v>
      </c>
      <c r="AB1594" t="s">
        <v>128</v>
      </c>
      <c r="AC1594" t="s">
        <v>79</v>
      </c>
      <c r="AD1594" t="s">
        <v>75</v>
      </c>
      <c r="AE1594" t="s">
        <v>80</v>
      </c>
      <c r="AG1594" t="s">
        <v>81</v>
      </c>
    </row>
    <row r="1595" spans="1:33" x14ac:dyDescent="0.25">
      <c r="A1595" t="str">
        <f>"1801213053"</f>
        <v>1801213053</v>
      </c>
      <c r="C1595" t="s">
        <v>12284</v>
      </c>
      <c r="K1595" t="s">
        <v>99</v>
      </c>
      <c r="L1595" t="s">
        <v>102</v>
      </c>
      <c r="M1595" t="s">
        <v>75</v>
      </c>
      <c r="R1595" t="s">
        <v>12285</v>
      </c>
      <c r="S1595" t="s">
        <v>12286</v>
      </c>
      <c r="T1595" t="s">
        <v>97</v>
      </c>
      <c r="U1595" t="s">
        <v>77</v>
      </c>
      <c r="V1595" t="str">
        <f>"100167904"</f>
        <v>100167904</v>
      </c>
      <c r="AC1595" t="s">
        <v>79</v>
      </c>
      <c r="AD1595" t="s">
        <v>75</v>
      </c>
      <c r="AE1595" t="s">
        <v>103</v>
      </c>
      <c r="AG1595" t="s">
        <v>81</v>
      </c>
    </row>
    <row r="1596" spans="1:33" x14ac:dyDescent="0.25">
      <c r="A1596" t="str">
        <f>"1982048591"</f>
        <v>1982048591</v>
      </c>
      <c r="C1596" t="s">
        <v>12287</v>
      </c>
      <c r="K1596" t="s">
        <v>99</v>
      </c>
      <c r="L1596" t="s">
        <v>102</v>
      </c>
      <c r="M1596" t="s">
        <v>75</v>
      </c>
      <c r="R1596" t="s">
        <v>12288</v>
      </c>
      <c r="S1596" t="s">
        <v>12289</v>
      </c>
      <c r="T1596" t="s">
        <v>12290</v>
      </c>
      <c r="U1596" t="s">
        <v>12291</v>
      </c>
      <c r="V1596" t="str">
        <f>"NA"</f>
        <v>NA</v>
      </c>
      <c r="AC1596" t="s">
        <v>79</v>
      </c>
      <c r="AD1596" t="s">
        <v>75</v>
      </c>
      <c r="AE1596" t="s">
        <v>103</v>
      </c>
      <c r="AG1596" t="s">
        <v>81</v>
      </c>
    </row>
    <row r="1597" spans="1:33" x14ac:dyDescent="0.25">
      <c r="A1597" t="str">
        <f>"1902245111"</f>
        <v>1902245111</v>
      </c>
      <c r="C1597" t="s">
        <v>12292</v>
      </c>
      <c r="K1597" t="s">
        <v>99</v>
      </c>
      <c r="L1597" t="s">
        <v>102</v>
      </c>
      <c r="M1597" t="s">
        <v>75</v>
      </c>
      <c r="R1597" t="s">
        <v>12293</v>
      </c>
      <c r="S1597" t="s">
        <v>12294</v>
      </c>
      <c r="T1597" t="s">
        <v>245</v>
      </c>
      <c r="U1597" t="s">
        <v>2595</v>
      </c>
      <c r="V1597" t="str">
        <f>"908061625"</f>
        <v>908061625</v>
      </c>
      <c r="AC1597" t="s">
        <v>79</v>
      </c>
      <c r="AD1597" t="s">
        <v>75</v>
      </c>
      <c r="AE1597" t="s">
        <v>103</v>
      </c>
      <c r="AG1597" t="s">
        <v>81</v>
      </c>
    </row>
    <row r="1598" spans="1:33" x14ac:dyDescent="0.25">
      <c r="A1598" t="str">
        <f>"1952740268"</f>
        <v>1952740268</v>
      </c>
      <c r="B1598" t="str">
        <f>"04527542"</f>
        <v>04527542</v>
      </c>
      <c r="C1598" t="s">
        <v>12295</v>
      </c>
      <c r="D1598" t="s">
        <v>12296</v>
      </c>
      <c r="E1598" t="s">
        <v>12297</v>
      </c>
      <c r="L1598" t="s">
        <v>102</v>
      </c>
      <c r="M1598" t="s">
        <v>75</v>
      </c>
      <c r="R1598" t="s">
        <v>12297</v>
      </c>
      <c r="W1598" t="s">
        <v>12297</v>
      </c>
      <c r="AB1598" t="s">
        <v>78</v>
      </c>
      <c r="AC1598" t="s">
        <v>79</v>
      </c>
      <c r="AD1598" t="s">
        <v>75</v>
      </c>
      <c r="AE1598" t="s">
        <v>80</v>
      </c>
      <c r="AG1598" t="s">
        <v>81</v>
      </c>
    </row>
    <row r="1599" spans="1:33" x14ac:dyDescent="0.25">
      <c r="A1599" t="str">
        <f>"1689854820"</f>
        <v>1689854820</v>
      </c>
      <c r="C1599" t="s">
        <v>12298</v>
      </c>
      <c r="K1599" t="s">
        <v>99</v>
      </c>
      <c r="L1599" t="s">
        <v>102</v>
      </c>
      <c r="M1599" t="s">
        <v>75</v>
      </c>
      <c r="R1599" t="s">
        <v>3395</v>
      </c>
      <c r="S1599" t="s">
        <v>12299</v>
      </c>
      <c r="T1599" t="s">
        <v>97</v>
      </c>
      <c r="U1599" t="s">
        <v>77</v>
      </c>
      <c r="V1599" t="str">
        <f>"100026803"</f>
        <v>100026803</v>
      </c>
      <c r="AC1599" t="s">
        <v>79</v>
      </c>
      <c r="AD1599" t="s">
        <v>75</v>
      </c>
      <c r="AE1599" t="s">
        <v>103</v>
      </c>
      <c r="AG1599" t="s">
        <v>81</v>
      </c>
    </row>
    <row r="1600" spans="1:33" x14ac:dyDescent="0.25">
      <c r="A1600" t="str">
        <f>"1841610979"</f>
        <v>1841610979</v>
      </c>
      <c r="B1600" t="str">
        <f>"04360376"</f>
        <v>04360376</v>
      </c>
      <c r="C1600" t="s">
        <v>12300</v>
      </c>
      <c r="D1600" t="s">
        <v>12301</v>
      </c>
      <c r="E1600" t="s">
        <v>12302</v>
      </c>
      <c r="L1600" t="s">
        <v>102</v>
      </c>
      <c r="M1600" t="s">
        <v>75</v>
      </c>
      <c r="R1600" t="s">
        <v>12303</v>
      </c>
      <c r="W1600" t="s">
        <v>12302</v>
      </c>
      <c r="X1600" t="s">
        <v>12304</v>
      </c>
      <c r="Y1600" t="s">
        <v>97</v>
      </c>
      <c r="Z1600" t="s">
        <v>77</v>
      </c>
      <c r="AA1600" t="str">
        <f>"10003-4201"</f>
        <v>10003-4201</v>
      </c>
      <c r="AB1600" t="s">
        <v>78</v>
      </c>
      <c r="AC1600" t="s">
        <v>79</v>
      </c>
      <c r="AD1600" t="s">
        <v>75</v>
      </c>
      <c r="AE1600" t="s">
        <v>80</v>
      </c>
      <c r="AG1600" t="s">
        <v>81</v>
      </c>
    </row>
    <row r="1601" spans="1:33" x14ac:dyDescent="0.25">
      <c r="A1601" t="str">
        <f>"1942543111"</f>
        <v>1942543111</v>
      </c>
      <c r="B1601" t="str">
        <f>"03889705"</f>
        <v>03889705</v>
      </c>
      <c r="C1601" t="s">
        <v>12305</v>
      </c>
      <c r="D1601" t="s">
        <v>12306</v>
      </c>
      <c r="E1601" t="s">
        <v>12307</v>
      </c>
      <c r="L1601" t="s">
        <v>74</v>
      </c>
      <c r="M1601" t="s">
        <v>75</v>
      </c>
      <c r="R1601" t="s">
        <v>12308</v>
      </c>
      <c r="W1601" t="s">
        <v>12307</v>
      </c>
      <c r="X1601" t="s">
        <v>12304</v>
      </c>
      <c r="Y1601" t="s">
        <v>97</v>
      </c>
      <c r="Z1601" t="s">
        <v>77</v>
      </c>
      <c r="AA1601" t="str">
        <f>"10003-4201"</f>
        <v>10003-4201</v>
      </c>
      <c r="AB1601" t="s">
        <v>78</v>
      </c>
      <c r="AC1601" t="s">
        <v>79</v>
      </c>
      <c r="AD1601" t="s">
        <v>75</v>
      </c>
      <c r="AE1601" t="s">
        <v>80</v>
      </c>
      <c r="AG1601" t="s">
        <v>81</v>
      </c>
    </row>
    <row r="1602" spans="1:33" x14ac:dyDescent="0.25">
      <c r="A1602" t="str">
        <f>"1912198045"</f>
        <v>1912198045</v>
      </c>
      <c r="B1602" t="str">
        <f>"03349433"</f>
        <v>03349433</v>
      </c>
      <c r="C1602" t="s">
        <v>12309</v>
      </c>
      <c r="D1602" t="s">
        <v>12310</v>
      </c>
      <c r="E1602" t="s">
        <v>12311</v>
      </c>
      <c r="H1602" t="s">
        <v>12312</v>
      </c>
      <c r="J1602" t="s">
        <v>12313</v>
      </c>
      <c r="L1602" t="s">
        <v>83</v>
      </c>
      <c r="M1602" t="s">
        <v>85</v>
      </c>
      <c r="R1602" t="s">
        <v>12314</v>
      </c>
      <c r="W1602" t="s">
        <v>12311</v>
      </c>
      <c r="X1602" t="s">
        <v>12315</v>
      </c>
      <c r="Y1602" t="s">
        <v>240</v>
      </c>
      <c r="Z1602" t="s">
        <v>77</v>
      </c>
      <c r="AA1602" t="str">
        <f>"11530-1630"</f>
        <v>11530-1630</v>
      </c>
      <c r="AB1602" t="s">
        <v>78</v>
      </c>
      <c r="AC1602" t="s">
        <v>79</v>
      </c>
      <c r="AD1602" t="s">
        <v>75</v>
      </c>
      <c r="AE1602" t="s">
        <v>80</v>
      </c>
      <c r="AG1602" t="s">
        <v>81</v>
      </c>
    </row>
    <row r="1603" spans="1:33" x14ac:dyDescent="0.25">
      <c r="A1603" t="str">
        <f>"1699796896"</f>
        <v>1699796896</v>
      </c>
      <c r="B1603" t="str">
        <f>"01706918"</f>
        <v>01706918</v>
      </c>
      <c r="C1603" t="s">
        <v>12316</v>
      </c>
      <c r="D1603" t="s">
        <v>12317</v>
      </c>
      <c r="E1603" t="s">
        <v>12318</v>
      </c>
      <c r="H1603" t="s">
        <v>12016</v>
      </c>
      <c r="J1603" t="s">
        <v>12319</v>
      </c>
      <c r="L1603" t="s">
        <v>83</v>
      </c>
      <c r="M1603" t="s">
        <v>85</v>
      </c>
      <c r="R1603" t="s">
        <v>12320</v>
      </c>
      <c r="W1603" t="s">
        <v>12318</v>
      </c>
      <c r="X1603" t="s">
        <v>12321</v>
      </c>
      <c r="Y1603" t="s">
        <v>240</v>
      </c>
      <c r="Z1603" t="s">
        <v>77</v>
      </c>
      <c r="AA1603" t="str">
        <f>"11530-4721"</f>
        <v>11530-4721</v>
      </c>
      <c r="AB1603" t="s">
        <v>78</v>
      </c>
      <c r="AC1603" t="s">
        <v>79</v>
      </c>
      <c r="AD1603" t="s">
        <v>75</v>
      </c>
      <c r="AE1603" t="s">
        <v>80</v>
      </c>
      <c r="AG1603" t="s">
        <v>81</v>
      </c>
    </row>
    <row r="1604" spans="1:33" x14ac:dyDescent="0.25">
      <c r="A1604" t="str">
        <f>"1598756843"</f>
        <v>1598756843</v>
      </c>
      <c r="B1604" t="str">
        <f>"01850577"</f>
        <v>01850577</v>
      </c>
      <c r="C1604" t="s">
        <v>12322</v>
      </c>
      <c r="D1604" t="s">
        <v>12323</v>
      </c>
      <c r="E1604" t="s">
        <v>12324</v>
      </c>
      <c r="H1604" t="s">
        <v>12312</v>
      </c>
      <c r="J1604" t="s">
        <v>12325</v>
      </c>
      <c r="L1604" t="s">
        <v>83</v>
      </c>
      <c r="M1604" t="s">
        <v>85</v>
      </c>
      <c r="R1604" t="s">
        <v>12326</v>
      </c>
      <c r="W1604" t="s">
        <v>12324</v>
      </c>
      <c r="X1604" t="s">
        <v>12327</v>
      </c>
      <c r="Y1604" t="s">
        <v>218</v>
      </c>
      <c r="Z1604" t="s">
        <v>77</v>
      </c>
      <c r="AA1604" t="str">
        <f>"11570-2300"</f>
        <v>11570-2300</v>
      </c>
      <c r="AB1604" t="s">
        <v>78</v>
      </c>
      <c r="AC1604" t="s">
        <v>79</v>
      </c>
      <c r="AD1604" t="s">
        <v>75</v>
      </c>
      <c r="AE1604" t="s">
        <v>80</v>
      </c>
      <c r="AG1604" t="s">
        <v>81</v>
      </c>
    </row>
    <row r="1605" spans="1:33" x14ac:dyDescent="0.25">
      <c r="A1605" t="str">
        <f>"1629031539"</f>
        <v>1629031539</v>
      </c>
      <c r="B1605" t="str">
        <f>"01623376"</f>
        <v>01623376</v>
      </c>
      <c r="C1605" t="s">
        <v>12328</v>
      </c>
      <c r="D1605" t="s">
        <v>12329</v>
      </c>
      <c r="E1605" t="s">
        <v>12330</v>
      </c>
      <c r="H1605" t="s">
        <v>12331</v>
      </c>
      <c r="J1605" t="s">
        <v>12332</v>
      </c>
      <c r="L1605" t="s">
        <v>83</v>
      </c>
      <c r="M1605" t="s">
        <v>85</v>
      </c>
      <c r="R1605" t="s">
        <v>12333</v>
      </c>
      <c r="W1605" t="s">
        <v>12334</v>
      </c>
      <c r="X1605" t="s">
        <v>12335</v>
      </c>
      <c r="Y1605" t="s">
        <v>3818</v>
      </c>
      <c r="Z1605" t="s">
        <v>77</v>
      </c>
      <c r="AA1605" t="str">
        <f>"11714-5700"</f>
        <v>11714-5700</v>
      </c>
      <c r="AB1605" t="s">
        <v>78</v>
      </c>
      <c r="AC1605" t="s">
        <v>79</v>
      </c>
      <c r="AD1605" t="s">
        <v>75</v>
      </c>
      <c r="AE1605" t="s">
        <v>80</v>
      </c>
      <c r="AG1605" t="s">
        <v>81</v>
      </c>
    </row>
    <row r="1606" spans="1:33" x14ac:dyDescent="0.25">
      <c r="A1606" t="str">
        <f>"1982047569"</f>
        <v>1982047569</v>
      </c>
      <c r="C1606" t="s">
        <v>12336</v>
      </c>
      <c r="K1606" t="s">
        <v>99</v>
      </c>
      <c r="L1606" t="s">
        <v>102</v>
      </c>
      <c r="M1606" t="s">
        <v>75</v>
      </c>
      <c r="R1606" t="s">
        <v>12337</v>
      </c>
      <c r="S1606" t="s">
        <v>5249</v>
      </c>
      <c r="T1606" t="s">
        <v>97</v>
      </c>
      <c r="U1606" t="s">
        <v>77</v>
      </c>
      <c r="V1606" t="str">
        <f>"100033805"</f>
        <v>100033805</v>
      </c>
      <c r="AC1606" t="s">
        <v>79</v>
      </c>
      <c r="AD1606" t="s">
        <v>75</v>
      </c>
      <c r="AE1606" t="s">
        <v>103</v>
      </c>
      <c r="AG1606" t="s">
        <v>81</v>
      </c>
    </row>
    <row r="1607" spans="1:33" x14ac:dyDescent="0.25">
      <c r="A1607" t="str">
        <f>"1518071729"</f>
        <v>1518071729</v>
      </c>
      <c r="B1607" t="str">
        <f>"00832366"</f>
        <v>00832366</v>
      </c>
      <c r="C1607" t="s">
        <v>12338</v>
      </c>
      <c r="D1607" t="s">
        <v>5459</v>
      </c>
      <c r="E1607" t="s">
        <v>5460</v>
      </c>
      <c r="H1607" t="s">
        <v>12312</v>
      </c>
      <c r="J1607" t="s">
        <v>12339</v>
      </c>
      <c r="L1607" t="s">
        <v>83</v>
      </c>
      <c r="M1607" t="s">
        <v>85</v>
      </c>
      <c r="R1607" t="s">
        <v>5461</v>
      </c>
      <c r="W1607" t="s">
        <v>5460</v>
      </c>
      <c r="X1607" t="s">
        <v>4677</v>
      </c>
      <c r="Y1607" t="s">
        <v>131</v>
      </c>
      <c r="Z1607" t="s">
        <v>77</v>
      </c>
      <c r="AA1607" t="str">
        <f>"10461-6265"</f>
        <v>10461-6265</v>
      </c>
      <c r="AB1607" t="s">
        <v>78</v>
      </c>
      <c r="AC1607" t="s">
        <v>79</v>
      </c>
      <c r="AD1607" t="s">
        <v>75</v>
      </c>
      <c r="AE1607" t="s">
        <v>80</v>
      </c>
      <c r="AG1607" t="s">
        <v>81</v>
      </c>
    </row>
    <row r="1608" spans="1:33" x14ac:dyDescent="0.25">
      <c r="A1608" t="str">
        <f>"1881005692"</f>
        <v>1881005692</v>
      </c>
      <c r="C1608" t="s">
        <v>12340</v>
      </c>
      <c r="K1608" t="s">
        <v>99</v>
      </c>
      <c r="L1608" t="s">
        <v>102</v>
      </c>
      <c r="M1608" t="s">
        <v>75</v>
      </c>
      <c r="R1608" t="s">
        <v>12341</v>
      </c>
      <c r="S1608" t="s">
        <v>12342</v>
      </c>
      <c r="T1608" t="s">
        <v>97</v>
      </c>
      <c r="U1608" t="s">
        <v>77</v>
      </c>
      <c r="V1608" t="str">
        <f>"100295204"</f>
        <v>100295204</v>
      </c>
      <c r="AC1608" t="s">
        <v>79</v>
      </c>
      <c r="AD1608" t="s">
        <v>75</v>
      </c>
      <c r="AE1608" t="s">
        <v>103</v>
      </c>
      <c r="AG1608" t="s">
        <v>81</v>
      </c>
    </row>
    <row r="1609" spans="1:33" x14ac:dyDescent="0.25">
      <c r="A1609" t="str">
        <f>"1780096966"</f>
        <v>1780096966</v>
      </c>
      <c r="C1609" t="s">
        <v>12343</v>
      </c>
      <c r="K1609" t="s">
        <v>99</v>
      </c>
      <c r="L1609" t="s">
        <v>102</v>
      </c>
      <c r="M1609" t="s">
        <v>75</v>
      </c>
      <c r="R1609" t="s">
        <v>12344</v>
      </c>
      <c r="S1609" t="s">
        <v>12345</v>
      </c>
      <c r="T1609" t="s">
        <v>97</v>
      </c>
      <c r="U1609" t="s">
        <v>77</v>
      </c>
      <c r="V1609" t="str">
        <f>"100297219"</f>
        <v>100297219</v>
      </c>
      <c r="AC1609" t="s">
        <v>79</v>
      </c>
      <c r="AD1609" t="s">
        <v>75</v>
      </c>
      <c r="AE1609" t="s">
        <v>103</v>
      </c>
      <c r="AG1609" t="s">
        <v>81</v>
      </c>
    </row>
    <row r="1610" spans="1:33" x14ac:dyDescent="0.25">
      <c r="A1610" t="str">
        <f>"1932543386"</f>
        <v>1932543386</v>
      </c>
      <c r="C1610" t="s">
        <v>12346</v>
      </c>
      <c r="K1610" t="s">
        <v>99</v>
      </c>
      <c r="L1610" t="s">
        <v>102</v>
      </c>
      <c r="M1610" t="s">
        <v>75</v>
      </c>
      <c r="R1610" t="s">
        <v>12347</v>
      </c>
      <c r="S1610" t="s">
        <v>5050</v>
      </c>
      <c r="T1610" t="s">
        <v>97</v>
      </c>
      <c r="U1610" t="s">
        <v>77</v>
      </c>
      <c r="V1610" t="str">
        <f>"100296500"</f>
        <v>100296500</v>
      </c>
      <c r="AC1610" t="s">
        <v>79</v>
      </c>
      <c r="AD1610" t="s">
        <v>75</v>
      </c>
      <c r="AE1610" t="s">
        <v>103</v>
      </c>
      <c r="AG1610" t="s">
        <v>81</v>
      </c>
    </row>
    <row r="1611" spans="1:33" x14ac:dyDescent="0.25">
      <c r="A1611" t="str">
        <f>"1962820191"</f>
        <v>1962820191</v>
      </c>
      <c r="C1611" t="s">
        <v>12348</v>
      </c>
      <c r="K1611" t="s">
        <v>99</v>
      </c>
      <c r="L1611" t="s">
        <v>102</v>
      </c>
      <c r="M1611" t="s">
        <v>75</v>
      </c>
      <c r="R1611" t="s">
        <v>12349</v>
      </c>
      <c r="S1611" t="s">
        <v>12350</v>
      </c>
      <c r="T1611" t="s">
        <v>97</v>
      </c>
      <c r="U1611" t="s">
        <v>77</v>
      </c>
      <c r="V1611" t="str">
        <f>"10029"</f>
        <v>10029</v>
      </c>
      <c r="AC1611" t="s">
        <v>79</v>
      </c>
      <c r="AD1611" t="s">
        <v>75</v>
      </c>
      <c r="AE1611" t="s">
        <v>103</v>
      </c>
      <c r="AG1611" t="s">
        <v>81</v>
      </c>
    </row>
    <row r="1612" spans="1:33" x14ac:dyDescent="0.25">
      <c r="A1612" t="str">
        <f>"1861770992"</f>
        <v>1861770992</v>
      </c>
      <c r="C1612" t="s">
        <v>12351</v>
      </c>
      <c r="K1612" t="s">
        <v>99</v>
      </c>
      <c r="L1612" t="s">
        <v>102</v>
      </c>
      <c r="M1612" t="s">
        <v>75</v>
      </c>
      <c r="R1612" t="s">
        <v>12352</v>
      </c>
      <c r="S1612" t="s">
        <v>12353</v>
      </c>
      <c r="T1612" t="s">
        <v>97</v>
      </c>
      <c r="U1612" t="s">
        <v>77</v>
      </c>
      <c r="V1612" t="str">
        <f>"100033821"</f>
        <v>100033821</v>
      </c>
      <c r="AC1612" t="s">
        <v>79</v>
      </c>
      <c r="AD1612" t="s">
        <v>75</v>
      </c>
      <c r="AE1612" t="s">
        <v>103</v>
      </c>
      <c r="AG1612" t="s">
        <v>81</v>
      </c>
    </row>
    <row r="1613" spans="1:33" x14ac:dyDescent="0.25">
      <c r="A1613" t="str">
        <f>"1942529508"</f>
        <v>1942529508</v>
      </c>
      <c r="B1613" t="str">
        <f>"04015789"</f>
        <v>04015789</v>
      </c>
      <c r="C1613" t="s">
        <v>12354</v>
      </c>
      <c r="D1613" t="s">
        <v>12355</v>
      </c>
      <c r="E1613" t="s">
        <v>12356</v>
      </c>
      <c r="L1613" t="s">
        <v>74</v>
      </c>
      <c r="M1613" t="s">
        <v>75</v>
      </c>
      <c r="R1613" t="s">
        <v>12357</v>
      </c>
      <c r="W1613" t="s">
        <v>12358</v>
      </c>
      <c r="X1613" t="s">
        <v>602</v>
      </c>
      <c r="Y1613" t="s">
        <v>97</v>
      </c>
      <c r="Z1613" t="s">
        <v>77</v>
      </c>
      <c r="AA1613" t="str">
        <f>"10038-2602"</f>
        <v>10038-2602</v>
      </c>
      <c r="AB1613" t="s">
        <v>78</v>
      </c>
      <c r="AC1613" t="s">
        <v>79</v>
      </c>
      <c r="AD1613" t="s">
        <v>75</v>
      </c>
      <c r="AE1613" t="s">
        <v>80</v>
      </c>
      <c r="AG1613" t="s">
        <v>81</v>
      </c>
    </row>
    <row r="1614" spans="1:33" x14ac:dyDescent="0.25">
      <c r="A1614" t="str">
        <f>"1952676058"</f>
        <v>1952676058</v>
      </c>
      <c r="C1614" t="s">
        <v>12359</v>
      </c>
      <c r="K1614" t="s">
        <v>99</v>
      </c>
      <c r="L1614" t="s">
        <v>102</v>
      </c>
      <c r="M1614" t="s">
        <v>75</v>
      </c>
      <c r="R1614" t="s">
        <v>12360</v>
      </c>
      <c r="S1614" t="s">
        <v>843</v>
      </c>
      <c r="T1614" t="s">
        <v>97</v>
      </c>
      <c r="U1614" t="s">
        <v>77</v>
      </c>
      <c r="V1614" t="str">
        <f>"100166402"</f>
        <v>100166402</v>
      </c>
      <c r="AC1614" t="s">
        <v>79</v>
      </c>
      <c r="AD1614" t="s">
        <v>75</v>
      </c>
      <c r="AE1614" t="s">
        <v>103</v>
      </c>
      <c r="AG1614" t="s">
        <v>81</v>
      </c>
    </row>
    <row r="1615" spans="1:33" x14ac:dyDescent="0.25">
      <c r="A1615" t="str">
        <f>"1952728222"</f>
        <v>1952728222</v>
      </c>
      <c r="C1615" t="s">
        <v>12361</v>
      </c>
      <c r="K1615" t="s">
        <v>99</v>
      </c>
      <c r="L1615" t="s">
        <v>102</v>
      </c>
      <c r="M1615" t="s">
        <v>75</v>
      </c>
      <c r="R1615" t="s">
        <v>12362</v>
      </c>
      <c r="S1615" t="s">
        <v>12363</v>
      </c>
      <c r="T1615" t="s">
        <v>97</v>
      </c>
      <c r="U1615" t="s">
        <v>77</v>
      </c>
      <c r="V1615" t="str">
        <f>"100295204"</f>
        <v>100295204</v>
      </c>
      <c r="AC1615" t="s">
        <v>79</v>
      </c>
      <c r="AD1615" t="s">
        <v>75</v>
      </c>
      <c r="AE1615" t="s">
        <v>103</v>
      </c>
      <c r="AG1615" t="s">
        <v>81</v>
      </c>
    </row>
    <row r="1616" spans="1:33" x14ac:dyDescent="0.25">
      <c r="A1616" t="str">
        <f>"1801162169"</f>
        <v>1801162169</v>
      </c>
      <c r="C1616" t="s">
        <v>12364</v>
      </c>
      <c r="K1616" t="s">
        <v>99</v>
      </c>
      <c r="L1616" t="s">
        <v>102</v>
      </c>
      <c r="M1616" t="s">
        <v>75</v>
      </c>
      <c r="R1616" t="s">
        <v>12365</v>
      </c>
      <c r="S1616" t="s">
        <v>12366</v>
      </c>
      <c r="T1616" t="s">
        <v>4646</v>
      </c>
      <c r="U1616" t="s">
        <v>4647</v>
      </c>
      <c r="V1616" t="str">
        <f>"303122145"</f>
        <v>303122145</v>
      </c>
      <c r="AC1616" t="s">
        <v>79</v>
      </c>
      <c r="AD1616" t="s">
        <v>75</v>
      </c>
      <c r="AE1616" t="s">
        <v>103</v>
      </c>
      <c r="AG1616" t="s">
        <v>81</v>
      </c>
    </row>
    <row r="1617" spans="1:33" x14ac:dyDescent="0.25">
      <c r="A1617" t="str">
        <f>"1932441185"</f>
        <v>1932441185</v>
      </c>
      <c r="B1617" t="str">
        <f>"03889714"</f>
        <v>03889714</v>
      </c>
      <c r="C1617" t="s">
        <v>12367</v>
      </c>
      <c r="D1617" t="s">
        <v>12368</v>
      </c>
      <c r="E1617" t="s">
        <v>12369</v>
      </c>
      <c r="L1617" t="s">
        <v>102</v>
      </c>
      <c r="M1617" t="s">
        <v>75</v>
      </c>
      <c r="R1617" t="s">
        <v>12370</v>
      </c>
      <c r="W1617" t="s">
        <v>12369</v>
      </c>
      <c r="X1617" t="s">
        <v>12304</v>
      </c>
      <c r="Y1617" t="s">
        <v>97</v>
      </c>
      <c r="Z1617" t="s">
        <v>77</v>
      </c>
      <c r="AA1617" t="str">
        <f>"10003-4201"</f>
        <v>10003-4201</v>
      </c>
      <c r="AB1617" t="s">
        <v>78</v>
      </c>
      <c r="AC1617" t="s">
        <v>79</v>
      </c>
      <c r="AD1617" t="s">
        <v>75</v>
      </c>
      <c r="AE1617" t="s">
        <v>80</v>
      </c>
      <c r="AG1617" t="s">
        <v>81</v>
      </c>
    </row>
    <row r="1618" spans="1:33" x14ac:dyDescent="0.25">
      <c r="A1618" t="str">
        <f>"1831266378"</f>
        <v>1831266378</v>
      </c>
      <c r="B1618" t="str">
        <f>"03972176"</f>
        <v>03972176</v>
      </c>
      <c r="C1618" t="s">
        <v>12371</v>
      </c>
      <c r="D1618" t="s">
        <v>12372</v>
      </c>
      <c r="E1618" t="s">
        <v>12373</v>
      </c>
      <c r="L1618" t="s">
        <v>74</v>
      </c>
      <c r="M1618" t="s">
        <v>75</v>
      </c>
      <c r="R1618" t="s">
        <v>12374</v>
      </c>
      <c r="W1618" t="s">
        <v>12373</v>
      </c>
      <c r="X1618" t="s">
        <v>235</v>
      </c>
      <c r="Y1618" t="s">
        <v>190</v>
      </c>
      <c r="Z1618" t="s">
        <v>77</v>
      </c>
      <c r="AA1618" t="str">
        <f>"11102-2448"</f>
        <v>11102-2448</v>
      </c>
      <c r="AB1618" t="s">
        <v>78</v>
      </c>
      <c r="AC1618" t="s">
        <v>79</v>
      </c>
      <c r="AD1618" t="s">
        <v>75</v>
      </c>
      <c r="AE1618" t="s">
        <v>80</v>
      </c>
      <c r="AG1618" t="s">
        <v>81</v>
      </c>
    </row>
    <row r="1619" spans="1:33" x14ac:dyDescent="0.25">
      <c r="A1619" t="str">
        <f>"1861832768"</f>
        <v>1861832768</v>
      </c>
      <c r="B1619" t="str">
        <f>"03821625"</f>
        <v>03821625</v>
      </c>
      <c r="C1619" t="s">
        <v>12375</v>
      </c>
      <c r="D1619" t="s">
        <v>12376</v>
      </c>
      <c r="E1619" t="s">
        <v>12377</v>
      </c>
      <c r="L1619" t="s">
        <v>74</v>
      </c>
      <c r="M1619" t="s">
        <v>75</v>
      </c>
      <c r="R1619" t="s">
        <v>12378</v>
      </c>
      <c r="W1619" t="s">
        <v>12377</v>
      </c>
      <c r="X1619" t="s">
        <v>306</v>
      </c>
      <c r="Y1619" t="s">
        <v>97</v>
      </c>
      <c r="Z1619" t="s">
        <v>77</v>
      </c>
      <c r="AA1619" t="str">
        <f>"10003-4201"</f>
        <v>10003-4201</v>
      </c>
      <c r="AB1619" t="s">
        <v>78</v>
      </c>
      <c r="AC1619" t="s">
        <v>79</v>
      </c>
      <c r="AD1619" t="s">
        <v>75</v>
      </c>
      <c r="AE1619" t="s">
        <v>80</v>
      </c>
      <c r="AG1619" t="s">
        <v>81</v>
      </c>
    </row>
    <row r="1620" spans="1:33" x14ac:dyDescent="0.25">
      <c r="A1620" t="str">
        <f>"1790063121"</f>
        <v>1790063121</v>
      </c>
      <c r="B1620" t="str">
        <f>"03821565"</f>
        <v>03821565</v>
      </c>
      <c r="C1620" t="s">
        <v>12379</v>
      </c>
      <c r="D1620" t="s">
        <v>12380</v>
      </c>
      <c r="E1620" t="s">
        <v>12381</v>
      </c>
      <c r="L1620" t="s">
        <v>74</v>
      </c>
      <c r="M1620" t="s">
        <v>75</v>
      </c>
      <c r="R1620" t="s">
        <v>12382</v>
      </c>
      <c r="W1620" t="s">
        <v>12381</v>
      </c>
      <c r="X1620" t="s">
        <v>306</v>
      </c>
      <c r="Y1620" t="s">
        <v>97</v>
      </c>
      <c r="Z1620" t="s">
        <v>77</v>
      </c>
      <c r="AA1620" t="str">
        <f>"10003-4201"</f>
        <v>10003-4201</v>
      </c>
      <c r="AB1620" t="s">
        <v>78</v>
      </c>
      <c r="AC1620" t="s">
        <v>79</v>
      </c>
      <c r="AD1620" t="s">
        <v>75</v>
      </c>
      <c r="AE1620" t="s">
        <v>80</v>
      </c>
      <c r="AG1620" t="s">
        <v>81</v>
      </c>
    </row>
    <row r="1621" spans="1:33" x14ac:dyDescent="0.25">
      <c r="A1621" t="str">
        <f>"1912268129"</f>
        <v>1912268129</v>
      </c>
      <c r="B1621" t="str">
        <f>"03821583"</f>
        <v>03821583</v>
      </c>
      <c r="C1621" t="s">
        <v>12383</v>
      </c>
      <c r="D1621" t="s">
        <v>12384</v>
      </c>
      <c r="E1621" t="s">
        <v>12385</v>
      </c>
      <c r="L1621" t="s">
        <v>102</v>
      </c>
      <c r="M1621" t="s">
        <v>75</v>
      </c>
      <c r="R1621" t="s">
        <v>12386</v>
      </c>
      <c r="W1621" t="s">
        <v>12385</v>
      </c>
      <c r="X1621" t="s">
        <v>306</v>
      </c>
      <c r="Y1621" t="s">
        <v>97</v>
      </c>
      <c r="Z1621" t="s">
        <v>77</v>
      </c>
      <c r="AA1621" t="str">
        <f>"10003-4201"</f>
        <v>10003-4201</v>
      </c>
      <c r="AB1621" t="s">
        <v>78</v>
      </c>
      <c r="AC1621" t="s">
        <v>79</v>
      </c>
      <c r="AD1621" t="s">
        <v>75</v>
      </c>
      <c r="AE1621" t="s">
        <v>80</v>
      </c>
      <c r="AG1621" t="s">
        <v>81</v>
      </c>
    </row>
    <row r="1622" spans="1:33" x14ac:dyDescent="0.25">
      <c r="A1622" t="str">
        <f>"1972879427"</f>
        <v>1972879427</v>
      </c>
      <c r="B1622" t="str">
        <f>"03831463"</f>
        <v>03831463</v>
      </c>
      <c r="C1622" t="s">
        <v>12387</v>
      </c>
      <c r="D1622" t="s">
        <v>12388</v>
      </c>
      <c r="E1622" t="s">
        <v>12389</v>
      </c>
      <c r="L1622" t="s">
        <v>74</v>
      </c>
      <c r="M1622" t="s">
        <v>75</v>
      </c>
      <c r="R1622" t="s">
        <v>12389</v>
      </c>
      <c r="W1622" t="s">
        <v>12389</v>
      </c>
      <c r="X1622" t="s">
        <v>12390</v>
      </c>
      <c r="Y1622" t="s">
        <v>97</v>
      </c>
      <c r="Z1622" t="s">
        <v>77</v>
      </c>
      <c r="AA1622" t="str">
        <f>"10003-4201"</f>
        <v>10003-4201</v>
      </c>
      <c r="AB1622" t="s">
        <v>78</v>
      </c>
      <c r="AC1622" t="s">
        <v>79</v>
      </c>
      <c r="AD1622" t="s">
        <v>75</v>
      </c>
      <c r="AE1622" t="s">
        <v>80</v>
      </c>
      <c r="AG1622" t="s">
        <v>81</v>
      </c>
    </row>
    <row r="1623" spans="1:33" x14ac:dyDescent="0.25">
      <c r="A1623" t="str">
        <f>"1154469823"</f>
        <v>1154469823</v>
      </c>
      <c r="B1623" t="str">
        <f>"00955748"</f>
        <v>00955748</v>
      </c>
      <c r="C1623" t="s">
        <v>12391</v>
      </c>
      <c r="D1623" t="s">
        <v>12392</v>
      </c>
      <c r="E1623" t="s">
        <v>12393</v>
      </c>
      <c r="L1623" t="s">
        <v>149</v>
      </c>
      <c r="M1623" t="s">
        <v>75</v>
      </c>
      <c r="R1623" t="s">
        <v>12394</v>
      </c>
      <c r="W1623" t="s">
        <v>12395</v>
      </c>
      <c r="X1623" t="s">
        <v>12396</v>
      </c>
      <c r="Y1623" t="s">
        <v>97</v>
      </c>
      <c r="Z1623" t="s">
        <v>77</v>
      </c>
      <c r="AA1623" t="str">
        <f>"10006-3003"</f>
        <v>10006-3003</v>
      </c>
      <c r="AB1623" t="s">
        <v>122</v>
      </c>
      <c r="AC1623" t="s">
        <v>79</v>
      </c>
      <c r="AD1623" t="s">
        <v>75</v>
      </c>
      <c r="AE1623" t="s">
        <v>80</v>
      </c>
      <c r="AG1623" t="s">
        <v>81</v>
      </c>
    </row>
    <row r="1624" spans="1:33" x14ac:dyDescent="0.25">
      <c r="A1624" t="str">
        <f>"1891937132"</f>
        <v>1891937132</v>
      </c>
      <c r="B1624" t="str">
        <f>"04208802"</f>
        <v>04208802</v>
      </c>
      <c r="C1624" t="s">
        <v>12397</v>
      </c>
      <c r="D1624" t="s">
        <v>12398</v>
      </c>
      <c r="E1624" t="s">
        <v>12399</v>
      </c>
      <c r="L1624" t="s">
        <v>74</v>
      </c>
      <c r="M1624" t="s">
        <v>75</v>
      </c>
      <c r="R1624" t="s">
        <v>12399</v>
      </c>
      <c r="W1624" t="s">
        <v>12399</v>
      </c>
      <c r="X1624" t="s">
        <v>3774</v>
      </c>
      <c r="Y1624" t="s">
        <v>87</v>
      </c>
      <c r="Z1624" t="s">
        <v>77</v>
      </c>
      <c r="AA1624" t="str">
        <f>"11219-2923"</f>
        <v>11219-2923</v>
      </c>
      <c r="AB1624" t="s">
        <v>78</v>
      </c>
      <c r="AC1624" t="s">
        <v>79</v>
      </c>
      <c r="AD1624" t="s">
        <v>75</v>
      </c>
      <c r="AE1624" t="s">
        <v>80</v>
      </c>
      <c r="AG1624" t="s">
        <v>81</v>
      </c>
    </row>
    <row r="1625" spans="1:33" x14ac:dyDescent="0.25">
      <c r="A1625" t="str">
        <f>"1932429891"</f>
        <v>1932429891</v>
      </c>
      <c r="B1625" t="str">
        <f>"03753091"</f>
        <v>03753091</v>
      </c>
      <c r="C1625" t="s">
        <v>12400</v>
      </c>
      <c r="D1625" t="s">
        <v>12401</v>
      </c>
      <c r="E1625" t="s">
        <v>12402</v>
      </c>
      <c r="L1625" t="s">
        <v>74</v>
      </c>
      <c r="M1625" t="s">
        <v>75</v>
      </c>
      <c r="R1625" t="s">
        <v>12403</v>
      </c>
      <c r="W1625" t="s">
        <v>12402</v>
      </c>
      <c r="X1625" t="s">
        <v>12404</v>
      </c>
      <c r="Y1625" t="s">
        <v>97</v>
      </c>
      <c r="Z1625" t="s">
        <v>77</v>
      </c>
      <c r="AA1625" t="str">
        <f>"10003-3804"</f>
        <v>10003-3804</v>
      </c>
      <c r="AB1625" t="s">
        <v>78</v>
      </c>
      <c r="AC1625" t="s">
        <v>79</v>
      </c>
      <c r="AD1625" t="s">
        <v>75</v>
      </c>
      <c r="AE1625" t="s">
        <v>80</v>
      </c>
      <c r="AG1625" t="s">
        <v>81</v>
      </c>
    </row>
    <row r="1626" spans="1:33" x14ac:dyDescent="0.25">
      <c r="A1626" t="str">
        <f>"1992047740"</f>
        <v>1992047740</v>
      </c>
      <c r="C1626" t="s">
        <v>12405</v>
      </c>
      <c r="K1626" t="s">
        <v>99</v>
      </c>
      <c r="L1626" t="s">
        <v>102</v>
      </c>
      <c r="M1626" t="s">
        <v>75</v>
      </c>
      <c r="R1626" t="s">
        <v>12406</v>
      </c>
      <c r="S1626" t="s">
        <v>12407</v>
      </c>
      <c r="T1626" t="s">
        <v>209</v>
      </c>
      <c r="U1626" t="s">
        <v>77</v>
      </c>
      <c r="V1626" t="str">
        <f>"117903129"</f>
        <v>117903129</v>
      </c>
      <c r="AC1626" t="s">
        <v>79</v>
      </c>
      <c r="AD1626" t="s">
        <v>75</v>
      </c>
      <c r="AE1626" t="s">
        <v>103</v>
      </c>
      <c r="AG1626" t="s">
        <v>81</v>
      </c>
    </row>
    <row r="1627" spans="1:33" x14ac:dyDescent="0.25">
      <c r="A1627" t="str">
        <f>"1962416750"</f>
        <v>1962416750</v>
      </c>
      <c r="B1627" t="str">
        <f>"02832479"</f>
        <v>02832479</v>
      </c>
      <c r="C1627" t="s">
        <v>12408</v>
      </c>
      <c r="D1627" t="s">
        <v>4589</v>
      </c>
      <c r="E1627" t="s">
        <v>4590</v>
      </c>
      <c r="L1627" t="s">
        <v>83</v>
      </c>
      <c r="M1627" t="s">
        <v>75</v>
      </c>
      <c r="R1627" t="s">
        <v>4588</v>
      </c>
      <c r="W1627" t="s">
        <v>4590</v>
      </c>
      <c r="X1627" t="s">
        <v>169</v>
      </c>
      <c r="Y1627" t="s">
        <v>155</v>
      </c>
      <c r="Z1627" t="s">
        <v>77</v>
      </c>
      <c r="AA1627" t="str">
        <f>"10305-3436"</f>
        <v>10305-3436</v>
      </c>
      <c r="AB1627" t="s">
        <v>78</v>
      </c>
      <c r="AC1627" t="s">
        <v>79</v>
      </c>
      <c r="AD1627" t="s">
        <v>75</v>
      </c>
      <c r="AE1627" t="s">
        <v>80</v>
      </c>
      <c r="AG1627" t="s">
        <v>81</v>
      </c>
    </row>
    <row r="1628" spans="1:33" x14ac:dyDescent="0.25">
      <c r="A1628" t="str">
        <f>"1720144108"</f>
        <v>1720144108</v>
      </c>
      <c r="B1628" t="str">
        <f>"01785895"</f>
        <v>01785895</v>
      </c>
      <c r="C1628" t="s">
        <v>12409</v>
      </c>
      <c r="D1628" t="s">
        <v>5260</v>
      </c>
      <c r="E1628" t="s">
        <v>5261</v>
      </c>
      <c r="L1628" t="s">
        <v>74</v>
      </c>
      <c r="M1628" t="s">
        <v>75</v>
      </c>
      <c r="R1628" t="s">
        <v>5262</v>
      </c>
      <c r="W1628" t="s">
        <v>5261</v>
      </c>
      <c r="X1628" t="s">
        <v>3553</v>
      </c>
      <c r="Y1628" t="s">
        <v>97</v>
      </c>
      <c r="Z1628" t="s">
        <v>77</v>
      </c>
      <c r="AA1628" t="str">
        <f>"10003-3851"</f>
        <v>10003-3851</v>
      </c>
      <c r="AB1628" t="s">
        <v>78</v>
      </c>
      <c r="AC1628" t="s">
        <v>79</v>
      </c>
      <c r="AD1628" t="s">
        <v>75</v>
      </c>
      <c r="AE1628" t="s">
        <v>80</v>
      </c>
      <c r="AG1628" t="s">
        <v>81</v>
      </c>
    </row>
    <row r="1629" spans="1:33" x14ac:dyDescent="0.25">
      <c r="A1629" t="str">
        <f>"1922426063"</f>
        <v>1922426063</v>
      </c>
      <c r="B1629" t="str">
        <f>"04495070"</f>
        <v>04495070</v>
      </c>
      <c r="C1629" t="s">
        <v>12410</v>
      </c>
      <c r="D1629" t="s">
        <v>12411</v>
      </c>
      <c r="E1629" t="s">
        <v>12412</v>
      </c>
      <c r="L1629" t="s">
        <v>102</v>
      </c>
      <c r="M1629" t="s">
        <v>75</v>
      </c>
      <c r="R1629" t="s">
        <v>12412</v>
      </c>
      <c r="W1629" t="s">
        <v>12412</v>
      </c>
      <c r="AB1629" t="s">
        <v>78</v>
      </c>
      <c r="AC1629" t="s">
        <v>79</v>
      </c>
      <c r="AD1629" t="s">
        <v>75</v>
      </c>
      <c r="AE1629" t="s">
        <v>80</v>
      </c>
      <c r="AG1629" t="s">
        <v>81</v>
      </c>
    </row>
    <row r="1630" spans="1:33" x14ac:dyDescent="0.25">
      <c r="A1630" t="str">
        <f>"1831507649"</f>
        <v>1831507649</v>
      </c>
      <c r="C1630" t="s">
        <v>12413</v>
      </c>
      <c r="K1630" t="s">
        <v>99</v>
      </c>
      <c r="L1630" t="s">
        <v>102</v>
      </c>
      <c r="M1630" t="s">
        <v>75</v>
      </c>
      <c r="R1630" t="s">
        <v>12414</v>
      </c>
      <c r="S1630" t="s">
        <v>12415</v>
      </c>
      <c r="T1630" t="s">
        <v>97</v>
      </c>
      <c r="U1630" t="s">
        <v>77</v>
      </c>
      <c r="V1630" t="str">
        <f>"10003"</f>
        <v>10003</v>
      </c>
      <c r="AC1630" t="s">
        <v>79</v>
      </c>
      <c r="AD1630" t="s">
        <v>75</v>
      </c>
      <c r="AE1630" t="s">
        <v>103</v>
      </c>
      <c r="AG1630" t="s">
        <v>81</v>
      </c>
    </row>
    <row r="1631" spans="1:33" x14ac:dyDescent="0.25">
      <c r="A1631" t="str">
        <f>"1912320425"</f>
        <v>1912320425</v>
      </c>
      <c r="C1631" t="s">
        <v>12416</v>
      </c>
      <c r="K1631" t="s">
        <v>99</v>
      </c>
      <c r="L1631" t="s">
        <v>102</v>
      </c>
      <c r="M1631" t="s">
        <v>75</v>
      </c>
      <c r="R1631" t="s">
        <v>12417</v>
      </c>
      <c r="S1631" t="s">
        <v>12418</v>
      </c>
      <c r="T1631" t="s">
        <v>131</v>
      </c>
      <c r="U1631" t="s">
        <v>77</v>
      </c>
      <c r="V1631" t="str">
        <f>"104683904"</f>
        <v>104683904</v>
      </c>
      <c r="AC1631" t="s">
        <v>79</v>
      </c>
      <c r="AD1631" t="s">
        <v>75</v>
      </c>
      <c r="AE1631" t="s">
        <v>103</v>
      </c>
      <c r="AG1631" t="s">
        <v>81</v>
      </c>
    </row>
    <row r="1632" spans="1:33" x14ac:dyDescent="0.25">
      <c r="A1632" t="str">
        <f>"1902149834"</f>
        <v>1902149834</v>
      </c>
      <c r="C1632" t="s">
        <v>12419</v>
      </c>
      <c r="K1632" t="s">
        <v>99</v>
      </c>
      <c r="L1632" t="s">
        <v>102</v>
      </c>
      <c r="M1632" t="s">
        <v>75</v>
      </c>
      <c r="R1632" t="s">
        <v>12420</v>
      </c>
      <c r="S1632" t="s">
        <v>12421</v>
      </c>
      <c r="T1632" t="s">
        <v>12422</v>
      </c>
      <c r="U1632" t="s">
        <v>2595</v>
      </c>
      <c r="V1632" t="str">
        <f>"950515173"</f>
        <v>950515173</v>
      </c>
      <c r="AC1632" t="s">
        <v>79</v>
      </c>
      <c r="AD1632" t="s">
        <v>75</v>
      </c>
      <c r="AE1632" t="s">
        <v>103</v>
      </c>
      <c r="AG1632" t="s">
        <v>81</v>
      </c>
    </row>
    <row r="1633" spans="1:33" x14ac:dyDescent="0.25">
      <c r="A1633" t="str">
        <f>"1881012839"</f>
        <v>1881012839</v>
      </c>
      <c r="C1633" t="s">
        <v>12423</v>
      </c>
      <c r="K1633" t="s">
        <v>99</v>
      </c>
      <c r="L1633" t="s">
        <v>102</v>
      </c>
      <c r="M1633" t="s">
        <v>75</v>
      </c>
      <c r="R1633" t="s">
        <v>12424</v>
      </c>
      <c r="S1633" t="s">
        <v>191</v>
      </c>
      <c r="T1633" t="s">
        <v>97</v>
      </c>
      <c r="U1633" t="s">
        <v>77</v>
      </c>
      <c r="V1633" t="str">
        <f>"100191147"</f>
        <v>100191147</v>
      </c>
      <c r="AC1633" t="s">
        <v>79</v>
      </c>
      <c r="AD1633" t="s">
        <v>75</v>
      </c>
      <c r="AE1633" t="s">
        <v>103</v>
      </c>
      <c r="AG1633" t="s">
        <v>81</v>
      </c>
    </row>
    <row r="1634" spans="1:33" x14ac:dyDescent="0.25">
      <c r="A1634" t="str">
        <f>"1972869790"</f>
        <v>1972869790</v>
      </c>
      <c r="B1634" t="str">
        <f>"04327217"</f>
        <v>04327217</v>
      </c>
      <c r="C1634" t="s">
        <v>12425</v>
      </c>
      <c r="D1634" t="s">
        <v>12426</v>
      </c>
      <c r="E1634" t="s">
        <v>12427</v>
      </c>
      <c r="L1634" t="s">
        <v>74</v>
      </c>
      <c r="M1634" t="s">
        <v>75</v>
      </c>
      <c r="R1634" t="s">
        <v>12428</v>
      </c>
      <c r="W1634" t="s">
        <v>12427</v>
      </c>
      <c r="X1634" t="s">
        <v>602</v>
      </c>
      <c r="Y1634" t="s">
        <v>97</v>
      </c>
      <c r="Z1634" t="s">
        <v>77</v>
      </c>
      <c r="AA1634" t="str">
        <f>"10038-2612"</f>
        <v>10038-2612</v>
      </c>
      <c r="AB1634" t="s">
        <v>78</v>
      </c>
      <c r="AC1634" t="s">
        <v>79</v>
      </c>
      <c r="AD1634" t="s">
        <v>75</v>
      </c>
      <c r="AE1634" t="s">
        <v>80</v>
      </c>
      <c r="AG1634" t="s">
        <v>81</v>
      </c>
    </row>
    <row r="1635" spans="1:33" x14ac:dyDescent="0.25">
      <c r="A1635" t="str">
        <f>"1831533603"</f>
        <v>1831533603</v>
      </c>
      <c r="C1635" t="s">
        <v>12429</v>
      </c>
      <c r="K1635" t="s">
        <v>99</v>
      </c>
      <c r="L1635" t="s">
        <v>102</v>
      </c>
      <c r="M1635" t="s">
        <v>75</v>
      </c>
      <c r="R1635" t="s">
        <v>12430</v>
      </c>
      <c r="S1635" t="s">
        <v>12431</v>
      </c>
      <c r="T1635" t="s">
        <v>12432</v>
      </c>
      <c r="U1635" t="s">
        <v>351</v>
      </c>
      <c r="V1635" t="str">
        <f>"331434679"</f>
        <v>331434679</v>
      </c>
      <c r="AC1635" t="s">
        <v>79</v>
      </c>
      <c r="AD1635" t="s">
        <v>75</v>
      </c>
      <c r="AE1635" t="s">
        <v>103</v>
      </c>
      <c r="AG1635" t="s">
        <v>81</v>
      </c>
    </row>
    <row r="1636" spans="1:33" x14ac:dyDescent="0.25">
      <c r="A1636" t="str">
        <f>"1932449105"</f>
        <v>1932449105</v>
      </c>
      <c r="B1636" t="str">
        <f>"03797000"</f>
        <v>03797000</v>
      </c>
      <c r="C1636" t="s">
        <v>12433</v>
      </c>
      <c r="D1636" t="s">
        <v>12434</v>
      </c>
      <c r="E1636" t="s">
        <v>12435</v>
      </c>
      <c r="L1636" t="s">
        <v>74</v>
      </c>
      <c r="M1636" t="s">
        <v>75</v>
      </c>
      <c r="R1636" t="s">
        <v>12435</v>
      </c>
      <c r="W1636" t="s">
        <v>12435</v>
      </c>
      <c r="X1636" t="s">
        <v>235</v>
      </c>
      <c r="Y1636" t="s">
        <v>190</v>
      </c>
      <c r="Z1636" t="s">
        <v>77</v>
      </c>
      <c r="AA1636" t="str">
        <f>"11102-2448"</f>
        <v>11102-2448</v>
      </c>
      <c r="AB1636" t="s">
        <v>78</v>
      </c>
      <c r="AC1636" t="s">
        <v>79</v>
      </c>
      <c r="AD1636" t="s">
        <v>75</v>
      </c>
      <c r="AE1636" t="s">
        <v>80</v>
      </c>
      <c r="AG1636" t="s">
        <v>81</v>
      </c>
    </row>
    <row r="1637" spans="1:33" x14ac:dyDescent="0.25">
      <c r="A1637" t="str">
        <f>"1619925344"</f>
        <v>1619925344</v>
      </c>
      <c r="B1637" t="str">
        <f>"02200282"</f>
        <v>02200282</v>
      </c>
      <c r="C1637" t="s">
        <v>12436</v>
      </c>
      <c r="D1637" t="s">
        <v>1899</v>
      </c>
      <c r="E1637" t="s">
        <v>1900</v>
      </c>
      <c r="G1637" t="s">
        <v>12437</v>
      </c>
      <c r="H1637" t="s">
        <v>12438</v>
      </c>
      <c r="J1637" t="s">
        <v>12439</v>
      </c>
      <c r="L1637" t="s">
        <v>84</v>
      </c>
      <c r="M1637" t="s">
        <v>75</v>
      </c>
      <c r="R1637" t="s">
        <v>1898</v>
      </c>
      <c r="W1637" t="s">
        <v>1900</v>
      </c>
      <c r="X1637" t="s">
        <v>1901</v>
      </c>
      <c r="Y1637" t="s">
        <v>1042</v>
      </c>
      <c r="Z1637" t="s">
        <v>77</v>
      </c>
      <c r="AA1637" t="str">
        <f>"11693-1303"</f>
        <v>11693-1303</v>
      </c>
      <c r="AB1637" t="s">
        <v>78</v>
      </c>
      <c r="AC1637" t="s">
        <v>79</v>
      </c>
      <c r="AD1637" t="s">
        <v>75</v>
      </c>
      <c r="AE1637" t="s">
        <v>80</v>
      </c>
      <c r="AG1637" t="s">
        <v>81</v>
      </c>
    </row>
    <row r="1638" spans="1:33" x14ac:dyDescent="0.25">
      <c r="C1638" t="s">
        <v>12440</v>
      </c>
      <c r="G1638" t="s">
        <v>12441</v>
      </c>
      <c r="H1638" t="s">
        <v>2558</v>
      </c>
      <c r="J1638" t="s">
        <v>12442</v>
      </c>
      <c r="K1638" t="s">
        <v>99</v>
      </c>
      <c r="L1638" t="s">
        <v>100</v>
      </c>
      <c r="M1638" t="s">
        <v>75</v>
      </c>
      <c r="N1638" t="s">
        <v>12443</v>
      </c>
      <c r="O1638" t="s">
        <v>12444</v>
      </c>
      <c r="P1638" t="s">
        <v>77</v>
      </c>
      <c r="Q1638" t="str">
        <f>"10550"</f>
        <v>10550</v>
      </c>
      <c r="AC1638" t="s">
        <v>79</v>
      </c>
      <c r="AD1638" t="s">
        <v>75</v>
      </c>
      <c r="AE1638" t="s">
        <v>101</v>
      </c>
      <c r="AG1638" t="s">
        <v>81</v>
      </c>
    </row>
    <row r="1639" spans="1:33" x14ac:dyDescent="0.25">
      <c r="C1639" t="s">
        <v>12445</v>
      </c>
      <c r="G1639" t="s">
        <v>12446</v>
      </c>
      <c r="H1639" t="s">
        <v>797</v>
      </c>
      <c r="J1639" t="s">
        <v>3051</v>
      </c>
      <c r="K1639" t="s">
        <v>99</v>
      </c>
      <c r="L1639" t="s">
        <v>100</v>
      </c>
      <c r="M1639" t="s">
        <v>75</v>
      </c>
      <c r="N1639" t="s">
        <v>12447</v>
      </c>
      <c r="O1639" t="s">
        <v>296</v>
      </c>
      <c r="P1639" t="s">
        <v>77</v>
      </c>
      <c r="Q1639" t="str">
        <f>"10459"</f>
        <v>10459</v>
      </c>
      <c r="AC1639" t="s">
        <v>79</v>
      </c>
      <c r="AD1639" t="s">
        <v>75</v>
      </c>
      <c r="AE1639" t="s">
        <v>101</v>
      </c>
      <c r="AG1639" t="s">
        <v>81</v>
      </c>
    </row>
    <row r="1640" spans="1:33" x14ac:dyDescent="0.25">
      <c r="A1640" t="str">
        <f>"1174781009"</f>
        <v>1174781009</v>
      </c>
      <c r="B1640" t="str">
        <f>"03153546"</f>
        <v>03153546</v>
      </c>
      <c r="C1640" t="s">
        <v>12448</v>
      </c>
      <c r="D1640" t="s">
        <v>4355</v>
      </c>
      <c r="E1640" t="s">
        <v>4356</v>
      </c>
      <c r="G1640" t="s">
        <v>12446</v>
      </c>
      <c r="H1640" t="s">
        <v>797</v>
      </c>
      <c r="J1640" t="s">
        <v>3051</v>
      </c>
      <c r="L1640" t="s">
        <v>84</v>
      </c>
      <c r="M1640" t="s">
        <v>85</v>
      </c>
      <c r="R1640" t="s">
        <v>4357</v>
      </c>
      <c r="W1640" t="s">
        <v>4356</v>
      </c>
      <c r="X1640" t="s">
        <v>4358</v>
      </c>
      <c r="Y1640" t="s">
        <v>97</v>
      </c>
      <c r="Z1640" t="s">
        <v>77</v>
      </c>
      <c r="AA1640" t="str">
        <f>"10065-4870"</f>
        <v>10065-4870</v>
      </c>
      <c r="AB1640" t="s">
        <v>78</v>
      </c>
      <c r="AC1640" t="s">
        <v>79</v>
      </c>
      <c r="AD1640" t="s">
        <v>75</v>
      </c>
      <c r="AE1640" t="s">
        <v>80</v>
      </c>
      <c r="AG1640" t="s">
        <v>81</v>
      </c>
    </row>
    <row r="1641" spans="1:33" x14ac:dyDescent="0.25">
      <c r="A1641" t="str">
        <f>"1942590245"</f>
        <v>1942590245</v>
      </c>
      <c r="C1641" t="s">
        <v>12449</v>
      </c>
      <c r="K1641" t="s">
        <v>99</v>
      </c>
      <c r="L1641" t="s">
        <v>102</v>
      </c>
      <c r="M1641" t="s">
        <v>75</v>
      </c>
      <c r="R1641" t="s">
        <v>12450</v>
      </c>
      <c r="S1641" t="s">
        <v>12451</v>
      </c>
      <c r="T1641" t="s">
        <v>12452</v>
      </c>
      <c r="U1641" t="s">
        <v>2595</v>
      </c>
      <c r="V1641" t="str">
        <f>"950604134"</f>
        <v>950604134</v>
      </c>
      <c r="AC1641" t="s">
        <v>79</v>
      </c>
      <c r="AD1641" t="s">
        <v>75</v>
      </c>
      <c r="AE1641" t="s">
        <v>103</v>
      </c>
      <c r="AG1641" t="s">
        <v>81</v>
      </c>
    </row>
    <row r="1642" spans="1:33" x14ac:dyDescent="0.25">
      <c r="A1642" t="str">
        <f>"1871836437"</f>
        <v>1871836437</v>
      </c>
      <c r="C1642" t="s">
        <v>12453</v>
      </c>
      <c r="K1642" t="s">
        <v>99</v>
      </c>
      <c r="L1642" t="s">
        <v>102</v>
      </c>
      <c r="M1642" t="s">
        <v>75</v>
      </c>
      <c r="R1642" t="s">
        <v>12454</v>
      </c>
      <c r="S1642" t="s">
        <v>12455</v>
      </c>
      <c r="T1642" t="s">
        <v>87</v>
      </c>
      <c r="U1642" t="s">
        <v>77</v>
      </c>
      <c r="V1642" t="str">
        <f>"112201508"</f>
        <v>112201508</v>
      </c>
      <c r="AC1642" t="s">
        <v>79</v>
      </c>
      <c r="AD1642" t="s">
        <v>75</v>
      </c>
      <c r="AE1642" t="s">
        <v>103</v>
      </c>
      <c r="AG1642" t="s">
        <v>81</v>
      </c>
    </row>
    <row r="1643" spans="1:33" x14ac:dyDescent="0.25">
      <c r="A1643" t="str">
        <f>"1851687503"</f>
        <v>1851687503</v>
      </c>
      <c r="B1643" t="str">
        <f>"04179397"</f>
        <v>04179397</v>
      </c>
      <c r="C1643" t="s">
        <v>12456</v>
      </c>
      <c r="D1643" t="s">
        <v>12457</v>
      </c>
      <c r="E1643" t="s">
        <v>12458</v>
      </c>
      <c r="L1643" t="s">
        <v>94</v>
      </c>
      <c r="M1643" t="s">
        <v>75</v>
      </c>
      <c r="R1643" t="s">
        <v>12459</v>
      </c>
      <c r="W1643" t="s">
        <v>12458</v>
      </c>
      <c r="X1643" t="s">
        <v>215</v>
      </c>
      <c r="Y1643" t="s">
        <v>216</v>
      </c>
      <c r="Z1643" t="s">
        <v>77</v>
      </c>
      <c r="AA1643" t="str">
        <f>"11691-4423"</f>
        <v>11691-4423</v>
      </c>
      <c r="AB1643" t="s">
        <v>78</v>
      </c>
      <c r="AC1643" t="s">
        <v>79</v>
      </c>
      <c r="AD1643" t="s">
        <v>75</v>
      </c>
      <c r="AE1643" t="s">
        <v>80</v>
      </c>
      <c r="AG1643" t="s">
        <v>81</v>
      </c>
    </row>
    <row r="1644" spans="1:33" x14ac:dyDescent="0.25">
      <c r="A1644" t="str">
        <f>"1902249147"</f>
        <v>1902249147</v>
      </c>
      <c r="B1644" t="str">
        <f>"04359573"</f>
        <v>04359573</v>
      </c>
      <c r="C1644" t="s">
        <v>12460</v>
      </c>
      <c r="D1644" t="s">
        <v>12461</v>
      </c>
      <c r="E1644" t="s">
        <v>12462</v>
      </c>
      <c r="L1644" t="s">
        <v>74</v>
      </c>
      <c r="M1644" t="s">
        <v>75</v>
      </c>
      <c r="R1644" t="s">
        <v>12463</v>
      </c>
      <c r="W1644" t="s">
        <v>12462</v>
      </c>
      <c r="X1644" t="s">
        <v>12464</v>
      </c>
      <c r="Y1644" t="s">
        <v>97</v>
      </c>
      <c r="Z1644" t="s">
        <v>77</v>
      </c>
      <c r="AA1644" t="str">
        <f>"10003-3851"</f>
        <v>10003-3851</v>
      </c>
      <c r="AB1644" t="s">
        <v>78</v>
      </c>
      <c r="AC1644" t="s">
        <v>79</v>
      </c>
      <c r="AD1644" t="s">
        <v>75</v>
      </c>
      <c r="AE1644" t="s">
        <v>80</v>
      </c>
      <c r="AG1644" t="s">
        <v>81</v>
      </c>
    </row>
    <row r="1645" spans="1:33" x14ac:dyDescent="0.25">
      <c r="A1645" t="str">
        <f>"1972819019"</f>
        <v>1972819019</v>
      </c>
      <c r="B1645" t="str">
        <f>"04389520"</f>
        <v>04389520</v>
      </c>
      <c r="C1645" t="s">
        <v>12465</v>
      </c>
      <c r="D1645" t="s">
        <v>12466</v>
      </c>
      <c r="E1645" t="s">
        <v>12467</v>
      </c>
      <c r="L1645" t="s">
        <v>74</v>
      </c>
      <c r="M1645" t="s">
        <v>75</v>
      </c>
      <c r="R1645" t="s">
        <v>12467</v>
      </c>
      <c r="W1645" t="s">
        <v>12467</v>
      </c>
      <c r="X1645" t="s">
        <v>5911</v>
      </c>
      <c r="Y1645" t="s">
        <v>97</v>
      </c>
      <c r="Z1645" t="s">
        <v>77</v>
      </c>
      <c r="AA1645" t="str">
        <f>"10025-1737"</f>
        <v>10025-1737</v>
      </c>
      <c r="AB1645" t="s">
        <v>78</v>
      </c>
      <c r="AC1645" t="s">
        <v>79</v>
      </c>
      <c r="AD1645" t="s">
        <v>75</v>
      </c>
      <c r="AE1645" t="s">
        <v>80</v>
      </c>
      <c r="AG1645" t="s">
        <v>81</v>
      </c>
    </row>
    <row r="1646" spans="1:33" x14ac:dyDescent="0.25">
      <c r="A1646" t="str">
        <f>"1972891117"</f>
        <v>1972891117</v>
      </c>
      <c r="B1646" t="str">
        <f>"03454139"</f>
        <v>03454139</v>
      </c>
      <c r="C1646" t="s">
        <v>12468</v>
      </c>
      <c r="D1646" t="s">
        <v>12469</v>
      </c>
      <c r="E1646" t="s">
        <v>12470</v>
      </c>
      <c r="L1646" t="s">
        <v>84</v>
      </c>
      <c r="M1646" t="s">
        <v>85</v>
      </c>
      <c r="R1646" t="s">
        <v>4676</v>
      </c>
      <c r="W1646" t="s">
        <v>12470</v>
      </c>
      <c r="X1646" t="s">
        <v>12471</v>
      </c>
      <c r="Y1646" t="s">
        <v>97</v>
      </c>
      <c r="Z1646" t="s">
        <v>77</v>
      </c>
      <c r="AA1646" t="str">
        <f>"10003-0000"</f>
        <v>10003-0000</v>
      </c>
      <c r="AB1646" t="s">
        <v>78</v>
      </c>
      <c r="AC1646" t="s">
        <v>79</v>
      </c>
      <c r="AD1646" t="s">
        <v>75</v>
      </c>
      <c r="AE1646" t="s">
        <v>80</v>
      </c>
      <c r="AG1646" t="s">
        <v>81</v>
      </c>
    </row>
    <row r="1647" spans="1:33" x14ac:dyDescent="0.25">
      <c r="A1647" t="str">
        <f>"1972921856"</f>
        <v>1972921856</v>
      </c>
      <c r="C1647" t="s">
        <v>12472</v>
      </c>
      <c r="K1647" t="s">
        <v>99</v>
      </c>
      <c r="L1647" t="s">
        <v>102</v>
      </c>
      <c r="M1647" t="s">
        <v>75</v>
      </c>
      <c r="R1647" t="s">
        <v>12473</v>
      </c>
      <c r="S1647" t="s">
        <v>12474</v>
      </c>
      <c r="T1647" t="s">
        <v>131</v>
      </c>
      <c r="U1647" t="s">
        <v>77</v>
      </c>
      <c r="V1647" t="str">
        <f>"104612103"</f>
        <v>104612103</v>
      </c>
      <c r="AC1647" t="s">
        <v>79</v>
      </c>
      <c r="AD1647" t="s">
        <v>75</v>
      </c>
      <c r="AE1647" t="s">
        <v>103</v>
      </c>
      <c r="AG1647" t="s">
        <v>81</v>
      </c>
    </row>
    <row r="1648" spans="1:33" x14ac:dyDescent="0.25">
      <c r="A1648" t="str">
        <f>"1831280395"</f>
        <v>1831280395</v>
      </c>
      <c r="B1648" t="str">
        <f>"01798118"</f>
        <v>01798118</v>
      </c>
      <c r="C1648" t="s">
        <v>12475</v>
      </c>
      <c r="D1648" t="s">
        <v>12476</v>
      </c>
      <c r="E1648" t="s">
        <v>12477</v>
      </c>
      <c r="H1648" t="s">
        <v>12478</v>
      </c>
      <c r="J1648" t="s">
        <v>12479</v>
      </c>
      <c r="L1648" t="s">
        <v>84</v>
      </c>
      <c r="M1648" t="s">
        <v>85</v>
      </c>
      <c r="R1648" t="s">
        <v>12480</v>
      </c>
      <c r="W1648" t="s">
        <v>12477</v>
      </c>
      <c r="X1648" t="s">
        <v>12481</v>
      </c>
      <c r="Y1648" t="s">
        <v>139</v>
      </c>
      <c r="Z1648" t="s">
        <v>77</v>
      </c>
      <c r="AA1648" t="str">
        <f>"11354-4753"</f>
        <v>11354-4753</v>
      </c>
      <c r="AB1648" t="s">
        <v>78</v>
      </c>
      <c r="AC1648" t="s">
        <v>79</v>
      </c>
      <c r="AD1648" t="s">
        <v>75</v>
      </c>
      <c r="AE1648" t="s">
        <v>80</v>
      </c>
      <c r="AG1648" t="s">
        <v>81</v>
      </c>
    </row>
    <row r="1649" spans="1:33" x14ac:dyDescent="0.25">
      <c r="A1649" t="str">
        <f>"1982646733"</f>
        <v>1982646733</v>
      </c>
      <c r="B1649" t="str">
        <f>"01323124"</f>
        <v>01323124</v>
      </c>
      <c r="C1649" t="s">
        <v>12482</v>
      </c>
      <c r="D1649" t="s">
        <v>12483</v>
      </c>
      <c r="E1649" t="s">
        <v>12484</v>
      </c>
      <c r="H1649" t="s">
        <v>12485</v>
      </c>
      <c r="J1649" t="s">
        <v>12486</v>
      </c>
      <c r="L1649" t="s">
        <v>74</v>
      </c>
      <c r="M1649" t="s">
        <v>85</v>
      </c>
      <c r="R1649" t="s">
        <v>12487</v>
      </c>
      <c r="W1649" t="s">
        <v>12484</v>
      </c>
      <c r="X1649" t="s">
        <v>12488</v>
      </c>
      <c r="Y1649" t="s">
        <v>87</v>
      </c>
      <c r="Z1649" t="s">
        <v>77</v>
      </c>
      <c r="AA1649" t="str">
        <f>"11237-4006"</f>
        <v>11237-4006</v>
      </c>
      <c r="AB1649" t="s">
        <v>78</v>
      </c>
      <c r="AC1649" t="s">
        <v>79</v>
      </c>
      <c r="AD1649" t="s">
        <v>75</v>
      </c>
      <c r="AE1649" t="s">
        <v>80</v>
      </c>
      <c r="AG1649" t="s">
        <v>81</v>
      </c>
    </row>
    <row r="1650" spans="1:33" x14ac:dyDescent="0.25">
      <c r="A1650" t="str">
        <f>"1790787364"</f>
        <v>1790787364</v>
      </c>
      <c r="B1650" t="str">
        <f>"00222160"</f>
        <v>00222160</v>
      </c>
      <c r="C1650" t="s">
        <v>12489</v>
      </c>
      <c r="D1650" t="s">
        <v>12490</v>
      </c>
      <c r="E1650" t="s">
        <v>12491</v>
      </c>
      <c r="L1650" t="s">
        <v>83</v>
      </c>
      <c r="M1650" t="s">
        <v>85</v>
      </c>
      <c r="R1650" t="s">
        <v>12492</v>
      </c>
      <c r="W1650" t="s">
        <v>12491</v>
      </c>
      <c r="X1650" t="s">
        <v>12493</v>
      </c>
      <c r="Y1650" t="s">
        <v>97</v>
      </c>
      <c r="Z1650" t="s">
        <v>77</v>
      </c>
      <c r="AA1650" t="str">
        <f>"10011-9126"</f>
        <v>10011-9126</v>
      </c>
      <c r="AB1650" t="s">
        <v>78</v>
      </c>
      <c r="AC1650" t="s">
        <v>79</v>
      </c>
      <c r="AD1650" t="s">
        <v>75</v>
      </c>
      <c r="AE1650" t="s">
        <v>80</v>
      </c>
      <c r="AG1650" t="s">
        <v>81</v>
      </c>
    </row>
    <row r="1651" spans="1:33" x14ac:dyDescent="0.25">
      <c r="A1651" t="str">
        <f>"1346402716"</f>
        <v>1346402716</v>
      </c>
      <c r="B1651" t="str">
        <f>"04229778"</f>
        <v>04229778</v>
      </c>
      <c r="C1651" t="s">
        <v>12494</v>
      </c>
      <c r="D1651" t="s">
        <v>12495</v>
      </c>
      <c r="E1651" t="s">
        <v>12496</v>
      </c>
      <c r="H1651" t="s">
        <v>6273</v>
      </c>
      <c r="J1651" t="s">
        <v>12497</v>
      </c>
      <c r="L1651" t="s">
        <v>83</v>
      </c>
      <c r="M1651" t="s">
        <v>85</v>
      </c>
      <c r="R1651" t="s">
        <v>12498</v>
      </c>
      <c r="W1651" t="s">
        <v>12496</v>
      </c>
      <c r="X1651" t="s">
        <v>12499</v>
      </c>
      <c r="Y1651" t="s">
        <v>97</v>
      </c>
      <c r="Z1651" t="s">
        <v>77</v>
      </c>
      <c r="AA1651" t="str">
        <f>"10021-2805"</f>
        <v>10021-2805</v>
      </c>
      <c r="AB1651" t="s">
        <v>78</v>
      </c>
      <c r="AC1651" t="s">
        <v>79</v>
      </c>
      <c r="AD1651" t="s">
        <v>75</v>
      </c>
      <c r="AE1651" t="s">
        <v>80</v>
      </c>
      <c r="AG1651" t="s">
        <v>81</v>
      </c>
    </row>
    <row r="1652" spans="1:33" x14ac:dyDescent="0.25">
      <c r="A1652" t="str">
        <f>"1588721658"</f>
        <v>1588721658</v>
      </c>
      <c r="B1652" t="str">
        <f>"01825290"</f>
        <v>01825290</v>
      </c>
      <c r="C1652" t="s">
        <v>12500</v>
      </c>
      <c r="D1652" t="s">
        <v>12501</v>
      </c>
      <c r="E1652" t="s">
        <v>12502</v>
      </c>
      <c r="H1652" t="s">
        <v>12503</v>
      </c>
      <c r="J1652" t="s">
        <v>12504</v>
      </c>
      <c r="L1652" t="s">
        <v>84</v>
      </c>
      <c r="M1652" t="s">
        <v>85</v>
      </c>
      <c r="R1652" t="s">
        <v>1028</v>
      </c>
      <c r="W1652" t="s">
        <v>12502</v>
      </c>
      <c r="X1652" t="s">
        <v>12505</v>
      </c>
      <c r="Y1652" t="s">
        <v>155</v>
      </c>
      <c r="Z1652" t="s">
        <v>77</v>
      </c>
      <c r="AA1652" t="str">
        <f>"10306-4653"</f>
        <v>10306-4653</v>
      </c>
      <c r="AB1652" t="s">
        <v>78</v>
      </c>
      <c r="AC1652" t="s">
        <v>79</v>
      </c>
      <c r="AD1652" t="s">
        <v>75</v>
      </c>
      <c r="AE1652" t="s">
        <v>80</v>
      </c>
      <c r="AG1652" t="s">
        <v>81</v>
      </c>
    </row>
    <row r="1653" spans="1:33" x14ac:dyDescent="0.25">
      <c r="A1653" t="str">
        <f>"1811230170"</f>
        <v>1811230170</v>
      </c>
      <c r="B1653" t="str">
        <f>"03891994"</f>
        <v>03891994</v>
      </c>
      <c r="C1653" t="s">
        <v>12506</v>
      </c>
      <c r="D1653" t="s">
        <v>12507</v>
      </c>
      <c r="E1653" t="s">
        <v>12508</v>
      </c>
      <c r="L1653" t="s">
        <v>102</v>
      </c>
      <c r="M1653" t="s">
        <v>75</v>
      </c>
      <c r="R1653" t="s">
        <v>12509</v>
      </c>
      <c r="W1653" t="s">
        <v>12508</v>
      </c>
      <c r="X1653" t="s">
        <v>306</v>
      </c>
      <c r="Y1653" t="s">
        <v>97</v>
      </c>
      <c r="Z1653" t="s">
        <v>77</v>
      </c>
      <c r="AA1653" t="str">
        <f>"10003-4201"</f>
        <v>10003-4201</v>
      </c>
      <c r="AB1653" t="s">
        <v>78</v>
      </c>
      <c r="AC1653" t="s">
        <v>79</v>
      </c>
      <c r="AD1653" t="s">
        <v>75</v>
      </c>
      <c r="AE1653" t="s">
        <v>80</v>
      </c>
      <c r="AG1653" t="s">
        <v>81</v>
      </c>
    </row>
    <row r="1654" spans="1:33" x14ac:dyDescent="0.25">
      <c r="A1654" t="str">
        <f>"1154404895"</f>
        <v>1154404895</v>
      </c>
      <c r="B1654" t="str">
        <f>"00774621"</f>
        <v>00774621</v>
      </c>
      <c r="C1654" t="s">
        <v>12510</v>
      </c>
      <c r="D1654" t="s">
        <v>12511</v>
      </c>
      <c r="E1654" t="s">
        <v>12512</v>
      </c>
      <c r="H1654" t="s">
        <v>12513</v>
      </c>
      <c r="J1654" t="s">
        <v>12514</v>
      </c>
      <c r="L1654" t="s">
        <v>83</v>
      </c>
      <c r="M1654" t="s">
        <v>85</v>
      </c>
      <c r="R1654" t="s">
        <v>12515</v>
      </c>
      <c r="W1654" t="s">
        <v>12512</v>
      </c>
      <c r="X1654" t="s">
        <v>12516</v>
      </c>
      <c r="Y1654" t="s">
        <v>97</v>
      </c>
      <c r="Z1654" t="s">
        <v>77</v>
      </c>
      <c r="AA1654" t="str">
        <f>"10028-0346"</f>
        <v>10028-0346</v>
      </c>
      <c r="AB1654" t="s">
        <v>78</v>
      </c>
      <c r="AC1654" t="s">
        <v>79</v>
      </c>
      <c r="AD1654" t="s">
        <v>75</v>
      </c>
      <c r="AE1654" t="s">
        <v>80</v>
      </c>
      <c r="AG1654" t="s">
        <v>81</v>
      </c>
    </row>
    <row r="1655" spans="1:33" x14ac:dyDescent="0.25">
      <c r="A1655" t="str">
        <f>"1982021226"</f>
        <v>1982021226</v>
      </c>
      <c r="C1655" t="s">
        <v>12517</v>
      </c>
      <c r="K1655" t="s">
        <v>99</v>
      </c>
      <c r="L1655" t="s">
        <v>102</v>
      </c>
      <c r="M1655" t="s">
        <v>75</v>
      </c>
      <c r="R1655" t="s">
        <v>12518</v>
      </c>
      <c r="S1655" t="s">
        <v>12363</v>
      </c>
      <c r="T1655" t="s">
        <v>97</v>
      </c>
      <c r="U1655" t="s">
        <v>77</v>
      </c>
      <c r="V1655" t="str">
        <f>"100295204"</f>
        <v>100295204</v>
      </c>
      <c r="AC1655" t="s">
        <v>79</v>
      </c>
      <c r="AD1655" t="s">
        <v>75</v>
      </c>
      <c r="AE1655" t="s">
        <v>103</v>
      </c>
      <c r="AG1655" t="s">
        <v>81</v>
      </c>
    </row>
    <row r="1656" spans="1:33" x14ac:dyDescent="0.25">
      <c r="A1656" t="str">
        <f>"1912297177"</f>
        <v>1912297177</v>
      </c>
      <c r="C1656" t="s">
        <v>12519</v>
      </c>
      <c r="K1656" t="s">
        <v>99</v>
      </c>
      <c r="L1656" t="s">
        <v>102</v>
      </c>
      <c r="M1656" t="s">
        <v>75</v>
      </c>
      <c r="R1656" t="s">
        <v>12520</v>
      </c>
      <c r="S1656" t="s">
        <v>12521</v>
      </c>
      <c r="T1656" t="s">
        <v>5785</v>
      </c>
      <c r="U1656" t="s">
        <v>2595</v>
      </c>
      <c r="V1656" t="str">
        <f>"900276082"</f>
        <v>900276082</v>
      </c>
      <c r="AC1656" t="s">
        <v>79</v>
      </c>
      <c r="AD1656" t="s">
        <v>75</v>
      </c>
      <c r="AE1656" t="s">
        <v>103</v>
      </c>
      <c r="AG1656" t="s">
        <v>81</v>
      </c>
    </row>
    <row r="1657" spans="1:33" x14ac:dyDescent="0.25">
      <c r="A1657" t="str">
        <f>"1841533684"</f>
        <v>1841533684</v>
      </c>
      <c r="C1657" t="s">
        <v>12522</v>
      </c>
      <c r="K1657" t="s">
        <v>99</v>
      </c>
      <c r="L1657" t="s">
        <v>102</v>
      </c>
      <c r="M1657" t="s">
        <v>75</v>
      </c>
      <c r="R1657" t="s">
        <v>12523</v>
      </c>
      <c r="S1657" t="s">
        <v>12524</v>
      </c>
      <c r="T1657" t="s">
        <v>12525</v>
      </c>
      <c r="U1657" t="s">
        <v>12526</v>
      </c>
      <c r="V1657" t="str">
        <f>"006827570"</f>
        <v>006827570</v>
      </c>
      <c r="AC1657" t="s">
        <v>79</v>
      </c>
      <c r="AD1657" t="s">
        <v>75</v>
      </c>
      <c r="AE1657" t="s">
        <v>103</v>
      </c>
      <c r="AG1657" t="s">
        <v>81</v>
      </c>
    </row>
    <row r="1658" spans="1:33" x14ac:dyDescent="0.25">
      <c r="A1658" t="str">
        <f>"1013247915"</f>
        <v>1013247915</v>
      </c>
      <c r="B1658" t="str">
        <f>"03965120"</f>
        <v>03965120</v>
      </c>
      <c r="C1658" t="s">
        <v>12527</v>
      </c>
      <c r="D1658" t="s">
        <v>12528</v>
      </c>
      <c r="E1658" t="s">
        <v>12529</v>
      </c>
      <c r="H1658" t="s">
        <v>12530</v>
      </c>
      <c r="J1658" t="s">
        <v>12531</v>
      </c>
      <c r="L1658" t="s">
        <v>83</v>
      </c>
      <c r="M1658" t="s">
        <v>75</v>
      </c>
      <c r="R1658" t="s">
        <v>12532</v>
      </c>
      <c r="W1658" t="s">
        <v>12533</v>
      </c>
      <c r="X1658" t="s">
        <v>12534</v>
      </c>
      <c r="Y1658" t="s">
        <v>236</v>
      </c>
      <c r="Z1658" t="s">
        <v>77</v>
      </c>
      <c r="AA1658" t="str">
        <f>"11103-2910"</f>
        <v>11103-2910</v>
      </c>
      <c r="AB1658" t="s">
        <v>78</v>
      </c>
      <c r="AC1658" t="s">
        <v>79</v>
      </c>
      <c r="AD1658" t="s">
        <v>75</v>
      </c>
      <c r="AE1658" t="s">
        <v>80</v>
      </c>
      <c r="AG1658" t="s">
        <v>81</v>
      </c>
    </row>
    <row r="1659" spans="1:33" x14ac:dyDescent="0.25">
      <c r="A1659" t="str">
        <f>"1962820613"</f>
        <v>1962820613</v>
      </c>
      <c r="C1659" t="s">
        <v>12535</v>
      </c>
      <c r="K1659" t="s">
        <v>99</v>
      </c>
      <c r="L1659" t="s">
        <v>102</v>
      </c>
      <c r="M1659" t="s">
        <v>75</v>
      </c>
      <c r="R1659" t="s">
        <v>12536</v>
      </c>
      <c r="S1659" t="s">
        <v>5050</v>
      </c>
      <c r="T1659" t="s">
        <v>97</v>
      </c>
      <c r="U1659" t="s">
        <v>77</v>
      </c>
      <c r="V1659" t="str">
        <f>"100296504"</f>
        <v>100296504</v>
      </c>
      <c r="AC1659" t="s">
        <v>79</v>
      </c>
      <c r="AD1659" t="s">
        <v>75</v>
      </c>
      <c r="AE1659" t="s">
        <v>103</v>
      </c>
      <c r="AG1659" t="s">
        <v>81</v>
      </c>
    </row>
    <row r="1660" spans="1:33" x14ac:dyDescent="0.25">
      <c r="A1660" t="str">
        <f>"1811255730"</f>
        <v>1811255730</v>
      </c>
      <c r="C1660" t="s">
        <v>12537</v>
      </c>
      <c r="K1660" t="s">
        <v>99</v>
      </c>
      <c r="L1660" t="s">
        <v>102</v>
      </c>
      <c r="M1660" t="s">
        <v>75</v>
      </c>
      <c r="R1660" t="s">
        <v>12538</v>
      </c>
      <c r="S1660" t="s">
        <v>12539</v>
      </c>
      <c r="T1660" t="s">
        <v>1783</v>
      </c>
      <c r="U1660" t="s">
        <v>1784</v>
      </c>
      <c r="V1660" t="str">
        <f>"191044319"</f>
        <v>191044319</v>
      </c>
      <c r="AC1660" t="s">
        <v>79</v>
      </c>
      <c r="AD1660" t="s">
        <v>75</v>
      </c>
      <c r="AE1660" t="s">
        <v>103</v>
      </c>
      <c r="AG1660" t="s">
        <v>81</v>
      </c>
    </row>
    <row r="1661" spans="1:33" x14ac:dyDescent="0.25">
      <c r="A1661" t="str">
        <f>"1306827522"</f>
        <v>1306827522</v>
      </c>
      <c r="B1661" t="str">
        <f>"00377546"</f>
        <v>00377546</v>
      </c>
      <c r="C1661" t="s">
        <v>12540</v>
      </c>
      <c r="D1661" t="s">
        <v>12541</v>
      </c>
      <c r="E1661" t="s">
        <v>12542</v>
      </c>
      <c r="H1661" t="s">
        <v>12543</v>
      </c>
      <c r="J1661" t="s">
        <v>12544</v>
      </c>
      <c r="L1661" t="s">
        <v>83</v>
      </c>
      <c r="M1661" t="s">
        <v>85</v>
      </c>
      <c r="R1661" t="s">
        <v>12545</v>
      </c>
      <c r="W1661" t="s">
        <v>12542</v>
      </c>
      <c r="X1661" t="s">
        <v>12546</v>
      </c>
      <c r="Y1661" t="s">
        <v>218</v>
      </c>
      <c r="Z1661" t="s">
        <v>77</v>
      </c>
      <c r="AA1661" t="str">
        <f>"11570-2300"</f>
        <v>11570-2300</v>
      </c>
      <c r="AB1661" t="s">
        <v>78</v>
      </c>
      <c r="AC1661" t="s">
        <v>79</v>
      </c>
      <c r="AD1661" t="s">
        <v>75</v>
      </c>
      <c r="AE1661" t="s">
        <v>80</v>
      </c>
      <c r="AG1661" t="s">
        <v>81</v>
      </c>
    </row>
    <row r="1662" spans="1:33" x14ac:dyDescent="0.25">
      <c r="A1662" t="str">
        <f>"1093739047"</f>
        <v>1093739047</v>
      </c>
      <c r="B1662" t="str">
        <f>"01009310"</f>
        <v>01009310</v>
      </c>
      <c r="C1662" t="s">
        <v>12547</v>
      </c>
      <c r="D1662" t="s">
        <v>12548</v>
      </c>
      <c r="E1662" t="s">
        <v>12549</v>
      </c>
      <c r="H1662" t="s">
        <v>11793</v>
      </c>
      <c r="J1662" t="s">
        <v>12550</v>
      </c>
      <c r="L1662" t="s">
        <v>83</v>
      </c>
      <c r="M1662" t="s">
        <v>85</v>
      </c>
      <c r="R1662" t="s">
        <v>12551</v>
      </c>
      <c r="W1662" t="s">
        <v>12549</v>
      </c>
      <c r="X1662" t="s">
        <v>12552</v>
      </c>
      <c r="Y1662" t="s">
        <v>3979</v>
      </c>
      <c r="Z1662" t="s">
        <v>77</v>
      </c>
      <c r="AA1662" t="str">
        <f>"10541"</f>
        <v>10541</v>
      </c>
      <c r="AB1662" t="s">
        <v>78</v>
      </c>
      <c r="AC1662" t="s">
        <v>79</v>
      </c>
      <c r="AD1662" t="s">
        <v>75</v>
      </c>
      <c r="AE1662" t="s">
        <v>80</v>
      </c>
      <c r="AG1662" t="s">
        <v>81</v>
      </c>
    </row>
    <row r="1663" spans="1:33" x14ac:dyDescent="0.25">
      <c r="A1663" t="str">
        <f>"1619088598"</f>
        <v>1619088598</v>
      </c>
      <c r="B1663" t="str">
        <f>"01064626"</f>
        <v>01064626</v>
      </c>
      <c r="C1663" t="s">
        <v>12553</v>
      </c>
      <c r="D1663" t="s">
        <v>5995</v>
      </c>
      <c r="E1663" t="s">
        <v>5996</v>
      </c>
      <c r="H1663" t="s">
        <v>12016</v>
      </c>
      <c r="J1663" t="s">
        <v>12554</v>
      </c>
      <c r="L1663" t="s">
        <v>83</v>
      </c>
      <c r="M1663" t="s">
        <v>85</v>
      </c>
      <c r="R1663" t="s">
        <v>5997</v>
      </c>
      <c r="W1663" t="s">
        <v>5996</v>
      </c>
      <c r="X1663" t="s">
        <v>5807</v>
      </c>
      <c r="Y1663" t="s">
        <v>131</v>
      </c>
      <c r="Z1663" t="s">
        <v>77</v>
      </c>
      <c r="AA1663" t="str">
        <f>"10461-2375"</f>
        <v>10461-2375</v>
      </c>
      <c r="AB1663" t="s">
        <v>78</v>
      </c>
      <c r="AC1663" t="s">
        <v>79</v>
      </c>
      <c r="AD1663" t="s">
        <v>75</v>
      </c>
      <c r="AE1663" t="s">
        <v>80</v>
      </c>
      <c r="AG1663" t="s">
        <v>81</v>
      </c>
    </row>
    <row r="1664" spans="1:33" x14ac:dyDescent="0.25">
      <c r="A1664" t="str">
        <f>"1063445138"</f>
        <v>1063445138</v>
      </c>
      <c r="B1664" t="str">
        <f>"02797813"</f>
        <v>02797813</v>
      </c>
      <c r="C1664" t="s">
        <v>12555</v>
      </c>
      <c r="D1664" t="s">
        <v>12556</v>
      </c>
      <c r="E1664" t="s">
        <v>12557</v>
      </c>
      <c r="H1664" t="s">
        <v>12543</v>
      </c>
      <c r="J1664" t="s">
        <v>12558</v>
      </c>
      <c r="L1664" t="s">
        <v>83</v>
      </c>
      <c r="M1664" t="s">
        <v>85</v>
      </c>
      <c r="R1664" t="s">
        <v>12559</v>
      </c>
      <c r="W1664" t="s">
        <v>12557</v>
      </c>
      <c r="X1664" t="s">
        <v>11808</v>
      </c>
      <c r="Y1664" t="s">
        <v>2664</v>
      </c>
      <c r="Z1664" t="s">
        <v>77</v>
      </c>
      <c r="AA1664" t="str">
        <f>"11772-4863"</f>
        <v>11772-4863</v>
      </c>
      <c r="AB1664" t="s">
        <v>78</v>
      </c>
      <c r="AC1664" t="s">
        <v>79</v>
      </c>
      <c r="AD1664" t="s">
        <v>75</v>
      </c>
      <c r="AE1664" t="s">
        <v>80</v>
      </c>
      <c r="AG1664" t="s">
        <v>81</v>
      </c>
    </row>
    <row r="1665" spans="1:33" x14ac:dyDescent="0.25">
      <c r="A1665" t="str">
        <f>"1861734899"</f>
        <v>1861734899</v>
      </c>
      <c r="B1665" t="str">
        <f>"04637129"</f>
        <v>04637129</v>
      </c>
      <c r="C1665" t="s">
        <v>12560</v>
      </c>
      <c r="D1665" t="s">
        <v>12561</v>
      </c>
      <c r="E1665" t="s">
        <v>12562</v>
      </c>
      <c r="L1665" t="s">
        <v>102</v>
      </c>
      <c r="M1665" t="s">
        <v>75</v>
      </c>
      <c r="R1665" t="s">
        <v>12563</v>
      </c>
      <c r="W1665" t="s">
        <v>12562</v>
      </c>
      <c r="AB1665" t="s">
        <v>78</v>
      </c>
      <c r="AC1665" t="s">
        <v>79</v>
      </c>
      <c r="AD1665" t="s">
        <v>75</v>
      </c>
      <c r="AE1665" t="s">
        <v>80</v>
      </c>
      <c r="AG1665" t="s">
        <v>81</v>
      </c>
    </row>
    <row r="1666" spans="1:33" x14ac:dyDescent="0.25">
      <c r="A1666" t="str">
        <f>"1790045318"</f>
        <v>1790045318</v>
      </c>
      <c r="B1666" t="str">
        <f>"04524425"</f>
        <v>04524425</v>
      </c>
      <c r="C1666" t="s">
        <v>12564</v>
      </c>
      <c r="D1666" t="s">
        <v>12565</v>
      </c>
      <c r="E1666" t="s">
        <v>12566</v>
      </c>
      <c r="L1666" t="s">
        <v>74</v>
      </c>
      <c r="M1666" t="s">
        <v>75</v>
      </c>
      <c r="R1666" t="s">
        <v>12567</v>
      </c>
      <c r="W1666" t="s">
        <v>12566</v>
      </c>
      <c r="AB1666" t="s">
        <v>78</v>
      </c>
      <c r="AC1666" t="s">
        <v>79</v>
      </c>
      <c r="AD1666" t="s">
        <v>75</v>
      </c>
      <c r="AE1666" t="s">
        <v>80</v>
      </c>
      <c r="AG1666" t="s">
        <v>81</v>
      </c>
    </row>
    <row r="1667" spans="1:33" x14ac:dyDescent="0.25">
      <c r="A1667" t="str">
        <f>"1942629134"</f>
        <v>1942629134</v>
      </c>
      <c r="C1667" t="s">
        <v>12568</v>
      </c>
      <c r="K1667" t="s">
        <v>99</v>
      </c>
      <c r="L1667" t="s">
        <v>102</v>
      </c>
      <c r="M1667" t="s">
        <v>75</v>
      </c>
      <c r="R1667" t="s">
        <v>12569</v>
      </c>
      <c r="S1667" t="s">
        <v>12570</v>
      </c>
      <c r="T1667" t="s">
        <v>2588</v>
      </c>
      <c r="U1667" t="s">
        <v>77</v>
      </c>
      <c r="V1667" t="str">
        <f>"120183730"</f>
        <v>120183730</v>
      </c>
      <c r="AC1667" t="s">
        <v>79</v>
      </c>
      <c r="AD1667" t="s">
        <v>75</v>
      </c>
      <c r="AE1667" t="s">
        <v>103</v>
      </c>
      <c r="AG1667" t="s">
        <v>81</v>
      </c>
    </row>
    <row r="1668" spans="1:33" x14ac:dyDescent="0.25">
      <c r="A1668" t="str">
        <f>"1902171572"</f>
        <v>1902171572</v>
      </c>
      <c r="B1668" t="str">
        <f>"03765955"</f>
        <v>03765955</v>
      </c>
      <c r="C1668" t="s">
        <v>12571</v>
      </c>
      <c r="D1668" t="s">
        <v>12572</v>
      </c>
      <c r="E1668" t="s">
        <v>12573</v>
      </c>
      <c r="L1668" t="s">
        <v>83</v>
      </c>
      <c r="M1668" t="s">
        <v>75</v>
      </c>
      <c r="R1668" t="s">
        <v>12574</v>
      </c>
      <c r="W1668" t="s">
        <v>12573</v>
      </c>
      <c r="X1668" t="s">
        <v>272</v>
      </c>
      <c r="Y1668" t="s">
        <v>97</v>
      </c>
      <c r="Z1668" t="s">
        <v>77</v>
      </c>
      <c r="AA1668" t="str">
        <f>"10029-6501"</f>
        <v>10029-6501</v>
      </c>
      <c r="AB1668" t="s">
        <v>78</v>
      </c>
      <c r="AC1668" t="s">
        <v>79</v>
      </c>
      <c r="AD1668" t="s">
        <v>75</v>
      </c>
      <c r="AE1668" t="s">
        <v>80</v>
      </c>
      <c r="AG1668" t="s">
        <v>81</v>
      </c>
    </row>
    <row r="1669" spans="1:33" x14ac:dyDescent="0.25">
      <c r="A1669" t="str">
        <f>"1821363292"</f>
        <v>1821363292</v>
      </c>
      <c r="B1669" t="str">
        <f>"03765859"</f>
        <v>03765859</v>
      </c>
      <c r="C1669" t="s">
        <v>12575</v>
      </c>
      <c r="D1669" t="s">
        <v>12576</v>
      </c>
      <c r="E1669" t="s">
        <v>12577</v>
      </c>
      <c r="L1669" t="s">
        <v>102</v>
      </c>
      <c r="M1669" t="s">
        <v>75</v>
      </c>
      <c r="R1669" t="s">
        <v>12578</v>
      </c>
      <c r="W1669" t="s">
        <v>12577</v>
      </c>
      <c r="X1669" t="s">
        <v>272</v>
      </c>
      <c r="Y1669" t="s">
        <v>97</v>
      </c>
      <c r="Z1669" t="s">
        <v>77</v>
      </c>
      <c r="AA1669" t="str">
        <f>"10029-6501"</f>
        <v>10029-6501</v>
      </c>
      <c r="AB1669" t="s">
        <v>78</v>
      </c>
      <c r="AC1669" t="s">
        <v>79</v>
      </c>
      <c r="AD1669" t="s">
        <v>75</v>
      </c>
      <c r="AE1669" t="s">
        <v>80</v>
      </c>
      <c r="AG1669" t="s">
        <v>81</v>
      </c>
    </row>
    <row r="1670" spans="1:33" x14ac:dyDescent="0.25">
      <c r="A1670" t="str">
        <f>"1942543533"</f>
        <v>1942543533</v>
      </c>
      <c r="C1670" t="s">
        <v>12579</v>
      </c>
      <c r="K1670" t="s">
        <v>99</v>
      </c>
      <c r="L1670" t="s">
        <v>102</v>
      </c>
      <c r="M1670" t="s">
        <v>75</v>
      </c>
      <c r="R1670" t="s">
        <v>12580</v>
      </c>
      <c r="S1670" t="s">
        <v>12581</v>
      </c>
      <c r="T1670" t="s">
        <v>12582</v>
      </c>
      <c r="U1670" t="s">
        <v>4619</v>
      </c>
      <c r="V1670" t="str">
        <f>"362733264"</f>
        <v>362733264</v>
      </c>
      <c r="AC1670" t="s">
        <v>79</v>
      </c>
      <c r="AD1670" t="s">
        <v>75</v>
      </c>
      <c r="AE1670" t="s">
        <v>103</v>
      </c>
      <c r="AG1670" t="s">
        <v>81</v>
      </c>
    </row>
    <row r="1671" spans="1:33" x14ac:dyDescent="0.25">
      <c r="A1671" t="str">
        <f>"1811184047"</f>
        <v>1811184047</v>
      </c>
      <c r="B1671" t="str">
        <f>"03352141"</f>
        <v>03352141</v>
      </c>
      <c r="C1671" t="s">
        <v>12583</v>
      </c>
      <c r="D1671" t="s">
        <v>12584</v>
      </c>
      <c r="E1671" t="s">
        <v>12585</v>
      </c>
      <c r="H1671" t="s">
        <v>12586</v>
      </c>
      <c r="J1671" t="s">
        <v>12587</v>
      </c>
      <c r="L1671" t="s">
        <v>83</v>
      </c>
      <c r="M1671" t="s">
        <v>75</v>
      </c>
      <c r="R1671" t="s">
        <v>12588</v>
      </c>
      <c r="W1671" t="s">
        <v>12585</v>
      </c>
      <c r="X1671" t="s">
        <v>12589</v>
      </c>
      <c r="Y1671" t="s">
        <v>160</v>
      </c>
      <c r="Z1671" t="s">
        <v>77</v>
      </c>
      <c r="AA1671" t="str">
        <f>"11030-2923"</f>
        <v>11030-2923</v>
      </c>
      <c r="AB1671" t="s">
        <v>78</v>
      </c>
      <c r="AC1671" t="s">
        <v>79</v>
      </c>
      <c r="AD1671" t="s">
        <v>75</v>
      </c>
      <c r="AE1671" t="s">
        <v>80</v>
      </c>
      <c r="AG1671" t="s">
        <v>81</v>
      </c>
    </row>
    <row r="1672" spans="1:33" x14ac:dyDescent="0.25">
      <c r="A1672" t="str">
        <f>"1912968322"</f>
        <v>1912968322</v>
      </c>
      <c r="B1672" t="str">
        <f>"03366974"</f>
        <v>03366974</v>
      </c>
      <c r="C1672" t="s">
        <v>12590</v>
      </c>
      <c r="D1672" t="s">
        <v>12591</v>
      </c>
      <c r="E1672" t="s">
        <v>12592</v>
      </c>
      <c r="H1672" t="s">
        <v>12485</v>
      </c>
      <c r="J1672" t="s">
        <v>12593</v>
      </c>
      <c r="L1672" t="s">
        <v>84</v>
      </c>
      <c r="M1672" t="s">
        <v>85</v>
      </c>
      <c r="R1672" t="s">
        <v>12592</v>
      </c>
      <c r="W1672" t="s">
        <v>12594</v>
      </c>
      <c r="X1672" t="s">
        <v>12595</v>
      </c>
      <c r="Y1672" t="s">
        <v>190</v>
      </c>
      <c r="Z1672" t="s">
        <v>77</v>
      </c>
      <c r="AA1672" t="str">
        <f>"11102-2445"</f>
        <v>11102-2445</v>
      </c>
      <c r="AB1672" t="s">
        <v>78</v>
      </c>
      <c r="AC1672" t="s">
        <v>79</v>
      </c>
      <c r="AD1672" t="s">
        <v>75</v>
      </c>
      <c r="AE1672" t="s">
        <v>80</v>
      </c>
      <c r="AG1672" t="s">
        <v>81</v>
      </c>
    </row>
    <row r="1673" spans="1:33" x14ac:dyDescent="0.25">
      <c r="A1673" t="str">
        <f>"1962791202"</f>
        <v>1962791202</v>
      </c>
      <c r="B1673" t="str">
        <f>"03829949"</f>
        <v>03829949</v>
      </c>
      <c r="C1673" t="s">
        <v>12596</v>
      </c>
      <c r="D1673" t="s">
        <v>12597</v>
      </c>
      <c r="E1673" t="s">
        <v>12598</v>
      </c>
      <c r="L1673" t="s">
        <v>102</v>
      </c>
      <c r="M1673" t="s">
        <v>75</v>
      </c>
      <c r="R1673" t="s">
        <v>12599</v>
      </c>
      <c r="W1673" t="s">
        <v>12598</v>
      </c>
      <c r="X1673" t="s">
        <v>12390</v>
      </c>
      <c r="Y1673" t="s">
        <v>97</v>
      </c>
      <c r="Z1673" t="s">
        <v>77</v>
      </c>
      <c r="AA1673" t="str">
        <f>"10003-4201"</f>
        <v>10003-4201</v>
      </c>
      <c r="AB1673" t="s">
        <v>78</v>
      </c>
      <c r="AC1673" t="s">
        <v>79</v>
      </c>
      <c r="AD1673" t="s">
        <v>75</v>
      </c>
      <c r="AE1673" t="s">
        <v>80</v>
      </c>
      <c r="AG1673" t="s">
        <v>81</v>
      </c>
    </row>
    <row r="1674" spans="1:33" x14ac:dyDescent="0.25">
      <c r="A1674" t="str">
        <f>"1932528130"</f>
        <v>1932528130</v>
      </c>
      <c r="C1674" t="s">
        <v>12600</v>
      </c>
      <c r="K1674" t="s">
        <v>99</v>
      </c>
      <c r="L1674" t="s">
        <v>102</v>
      </c>
      <c r="M1674" t="s">
        <v>75</v>
      </c>
      <c r="R1674" t="s">
        <v>12601</v>
      </c>
      <c r="S1674" t="s">
        <v>12602</v>
      </c>
      <c r="T1674" t="s">
        <v>131</v>
      </c>
      <c r="U1674" t="s">
        <v>77</v>
      </c>
      <c r="V1674" t="str">
        <f>"10461"</f>
        <v>10461</v>
      </c>
      <c r="AC1674" t="s">
        <v>79</v>
      </c>
      <c r="AD1674" t="s">
        <v>75</v>
      </c>
      <c r="AE1674" t="s">
        <v>103</v>
      </c>
      <c r="AG1674" t="s">
        <v>81</v>
      </c>
    </row>
    <row r="1675" spans="1:33" x14ac:dyDescent="0.25">
      <c r="A1675" t="str">
        <f>"1932454998"</f>
        <v>1932454998</v>
      </c>
      <c r="C1675" t="s">
        <v>12603</v>
      </c>
      <c r="K1675" t="s">
        <v>99</v>
      </c>
      <c r="L1675" t="s">
        <v>102</v>
      </c>
      <c r="M1675" t="s">
        <v>75</v>
      </c>
      <c r="R1675" t="s">
        <v>12604</v>
      </c>
      <c r="S1675" t="s">
        <v>12605</v>
      </c>
      <c r="T1675" t="s">
        <v>97</v>
      </c>
      <c r="U1675" t="s">
        <v>77</v>
      </c>
      <c r="V1675" t="str">
        <f>"100251737"</f>
        <v>100251737</v>
      </c>
      <c r="AC1675" t="s">
        <v>79</v>
      </c>
      <c r="AD1675" t="s">
        <v>75</v>
      </c>
      <c r="AE1675" t="s">
        <v>103</v>
      </c>
      <c r="AG1675" t="s">
        <v>81</v>
      </c>
    </row>
    <row r="1676" spans="1:33" x14ac:dyDescent="0.25">
      <c r="A1676" t="str">
        <f>"1790084408"</f>
        <v>1790084408</v>
      </c>
      <c r="C1676" t="s">
        <v>12606</v>
      </c>
      <c r="K1676" t="s">
        <v>99</v>
      </c>
      <c r="L1676" t="s">
        <v>102</v>
      </c>
      <c r="M1676" t="s">
        <v>75</v>
      </c>
      <c r="R1676" t="s">
        <v>12607</v>
      </c>
      <c r="S1676" t="s">
        <v>12608</v>
      </c>
      <c r="T1676" t="s">
        <v>5090</v>
      </c>
      <c r="U1676" t="s">
        <v>156</v>
      </c>
      <c r="V1676" t="str">
        <f>"089012402"</f>
        <v>089012402</v>
      </c>
      <c r="AC1676" t="s">
        <v>79</v>
      </c>
      <c r="AD1676" t="s">
        <v>75</v>
      </c>
      <c r="AE1676" t="s">
        <v>103</v>
      </c>
      <c r="AG1676" t="s">
        <v>81</v>
      </c>
    </row>
    <row r="1677" spans="1:33" x14ac:dyDescent="0.25">
      <c r="A1677" t="str">
        <f>"1851528731"</f>
        <v>1851528731</v>
      </c>
      <c r="B1677" t="str">
        <f>"04203614"</f>
        <v>04203614</v>
      </c>
      <c r="C1677" t="s">
        <v>12609</v>
      </c>
      <c r="D1677" t="s">
        <v>12610</v>
      </c>
      <c r="E1677" t="s">
        <v>12611</v>
      </c>
      <c r="L1677" t="s">
        <v>74</v>
      </c>
      <c r="M1677" t="s">
        <v>75</v>
      </c>
      <c r="R1677" t="s">
        <v>12612</v>
      </c>
      <c r="W1677" t="s">
        <v>12611</v>
      </c>
      <c r="X1677" t="s">
        <v>989</v>
      </c>
      <c r="Y1677" t="s">
        <v>97</v>
      </c>
      <c r="Z1677" t="s">
        <v>77</v>
      </c>
      <c r="AA1677" t="str">
        <f>"10011-5903"</f>
        <v>10011-5903</v>
      </c>
      <c r="AB1677" t="s">
        <v>78</v>
      </c>
      <c r="AC1677" t="s">
        <v>79</v>
      </c>
      <c r="AD1677" t="s">
        <v>75</v>
      </c>
      <c r="AE1677" t="s">
        <v>80</v>
      </c>
      <c r="AG1677" t="s">
        <v>81</v>
      </c>
    </row>
    <row r="1678" spans="1:33" x14ac:dyDescent="0.25">
      <c r="A1678" t="str">
        <f>"1871836643"</f>
        <v>1871836643</v>
      </c>
      <c r="C1678" t="s">
        <v>12613</v>
      </c>
      <c r="K1678" t="s">
        <v>99</v>
      </c>
      <c r="L1678" t="s">
        <v>102</v>
      </c>
      <c r="M1678" t="s">
        <v>75</v>
      </c>
      <c r="R1678" t="s">
        <v>12614</v>
      </c>
      <c r="S1678" t="s">
        <v>12615</v>
      </c>
      <c r="T1678" t="s">
        <v>12616</v>
      </c>
      <c r="U1678" t="s">
        <v>12526</v>
      </c>
      <c r="V1678" t="str">
        <f>"006765057"</f>
        <v>006765057</v>
      </c>
      <c r="AC1678" t="s">
        <v>79</v>
      </c>
      <c r="AD1678" t="s">
        <v>75</v>
      </c>
      <c r="AE1678" t="s">
        <v>103</v>
      </c>
      <c r="AG1678" t="s">
        <v>81</v>
      </c>
    </row>
    <row r="1679" spans="1:33" x14ac:dyDescent="0.25">
      <c r="A1679" t="str">
        <f>"1780098053"</f>
        <v>1780098053</v>
      </c>
      <c r="C1679" t="s">
        <v>12617</v>
      </c>
      <c r="K1679" t="s">
        <v>99</v>
      </c>
      <c r="L1679" t="s">
        <v>102</v>
      </c>
      <c r="M1679" t="s">
        <v>75</v>
      </c>
      <c r="R1679" t="s">
        <v>12618</v>
      </c>
      <c r="S1679" t="s">
        <v>12619</v>
      </c>
      <c r="T1679" t="s">
        <v>97</v>
      </c>
      <c r="U1679" t="s">
        <v>77</v>
      </c>
      <c r="V1679" t="str">
        <f>"100191147"</f>
        <v>100191147</v>
      </c>
      <c r="AC1679" t="s">
        <v>79</v>
      </c>
      <c r="AD1679" t="s">
        <v>75</v>
      </c>
      <c r="AE1679" t="s">
        <v>103</v>
      </c>
      <c r="AG1679" t="s">
        <v>81</v>
      </c>
    </row>
    <row r="1680" spans="1:33" x14ac:dyDescent="0.25">
      <c r="A1680" t="str">
        <f>"1952694614"</f>
        <v>1952694614</v>
      </c>
      <c r="C1680" t="s">
        <v>12620</v>
      </c>
      <c r="K1680" t="s">
        <v>99</v>
      </c>
      <c r="L1680" t="s">
        <v>102</v>
      </c>
      <c r="M1680" t="s">
        <v>75</v>
      </c>
      <c r="R1680" t="s">
        <v>12621</v>
      </c>
      <c r="S1680" t="s">
        <v>12622</v>
      </c>
      <c r="T1680" t="s">
        <v>97</v>
      </c>
      <c r="U1680" t="s">
        <v>77</v>
      </c>
      <c r="V1680" t="str">
        <f>"100191147"</f>
        <v>100191147</v>
      </c>
      <c r="AC1680" t="s">
        <v>79</v>
      </c>
      <c r="AD1680" t="s">
        <v>75</v>
      </c>
      <c r="AE1680" t="s">
        <v>103</v>
      </c>
      <c r="AG1680" t="s">
        <v>81</v>
      </c>
    </row>
    <row r="1681" spans="1:33" x14ac:dyDescent="0.25">
      <c r="A1681" t="str">
        <f>"1992070130"</f>
        <v>1992070130</v>
      </c>
      <c r="C1681" t="s">
        <v>12623</v>
      </c>
      <c r="K1681" t="s">
        <v>99</v>
      </c>
      <c r="L1681" t="s">
        <v>102</v>
      </c>
      <c r="M1681" t="s">
        <v>75</v>
      </c>
      <c r="R1681" t="s">
        <v>12624</v>
      </c>
      <c r="S1681" t="s">
        <v>12625</v>
      </c>
      <c r="T1681" t="s">
        <v>1783</v>
      </c>
      <c r="U1681" t="s">
        <v>1784</v>
      </c>
      <c r="V1681" t="str">
        <f>"191044319"</f>
        <v>191044319</v>
      </c>
      <c r="AC1681" t="s">
        <v>79</v>
      </c>
      <c r="AD1681" t="s">
        <v>75</v>
      </c>
      <c r="AE1681" t="s">
        <v>103</v>
      </c>
      <c r="AG1681" t="s">
        <v>81</v>
      </c>
    </row>
    <row r="1682" spans="1:33" x14ac:dyDescent="0.25">
      <c r="A1682" t="str">
        <f>"1255443370"</f>
        <v>1255443370</v>
      </c>
      <c r="B1682" t="str">
        <f>"00335768"</f>
        <v>00335768</v>
      </c>
      <c r="C1682" t="s">
        <v>12626</v>
      </c>
      <c r="D1682" t="s">
        <v>12627</v>
      </c>
      <c r="E1682" t="s">
        <v>12628</v>
      </c>
      <c r="H1682" t="s">
        <v>12629</v>
      </c>
      <c r="J1682" t="s">
        <v>12630</v>
      </c>
      <c r="L1682" t="s">
        <v>74</v>
      </c>
      <c r="M1682" t="s">
        <v>85</v>
      </c>
      <c r="R1682" t="s">
        <v>12631</v>
      </c>
      <c r="W1682" t="s">
        <v>12632</v>
      </c>
      <c r="X1682" t="s">
        <v>12633</v>
      </c>
      <c r="Y1682" t="s">
        <v>97</v>
      </c>
      <c r="Z1682" t="s">
        <v>77</v>
      </c>
      <c r="AA1682" t="str">
        <f>"10021-3275"</f>
        <v>10021-3275</v>
      </c>
      <c r="AB1682" t="s">
        <v>78</v>
      </c>
      <c r="AC1682" t="s">
        <v>79</v>
      </c>
      <c r="AD1682" t="s">
        <v>75</v>
      </c>
      <c r="AE1682" t="s">
        <v>80</v>
      </c>
      <c r="AG1682" t="s">
        <v>81</v>
      </c>
    </row>
    <row r="1683" spans="1:33" x14ac:dyDescent="0.25">
      <c r="A1683" t="str">
        <f>"1821415795"</f>
        <v>1821415795</v>
      </c>
      <c r="C1683" t="s">
        <v>12634</v>
      </c>
      <c r="K1683" t="s">
        <v>99</v>
      </c>
      <c r="L1683" t="s">
        <v>102</v>
      </c>
      <c r="M1683" t="s">
        <v>75</v>
      </c>
      <c r="R1683" t="s">
        <v>12635</v>
      </c>
      <c r="S1683" t="s">
        <v>12636</v>
      </c>
      <c r="T1683" t="s">
        <v>97</v>
      </c>
      <c r="U1683" t="s">
        <v>77</v>
      </c>
      <c r="V1683" t="str">
        <f>"100296508"</f>
        <v>100296508</v>
      </c>
      <c r="AC1683" t="s">
        <v>79</v>
      </c>
      <c r="AD1683" t="s">
        <v>75</v>
      </c>
      <c r="AE1683" t="s">
        <v>103</v>
      </c>
      <c r="AG1683" t="s">
        <v>81</v>
      </c>
    </row>
    <row r="1684" spans="1:33" x14ac:dyDescent="0.25">
      <c r="A1684" t="str">
        <f>"1770900128"</f>
        <v>1770900128</v>
      </c>
      <c r="C1684" t="s">
        <v>12637</v>
      </c>
      <c r="K1684" t="s">
        <v>99</v>
      </c>
      <c r="L1684" t="s">
        <v>102</v>
      </c>
      <c r="M1684" t="s">
        <v>75</v>
      </c>
      <c r="R1684" t="s">
        <v>12638</v>
      </c>
      <c r="S1684" t="s">
        <v>12639</v>
      </c>
      <c r="T1684" t="s">
        <v>12640</v>
      </c>
      <c r="U1684" t="s">
        <v>351</v>
      </c>
      <c r="V1684" t="str">
        <f>"335138049"</f>
        <v>335138049</v>
      </c>
      <c r="AC1684" t="s">
        <v>79</v>
      </c>
      <c r="AD1684" t="s">
        <v>75</v>
      </c>
      <c r="AE1684" t="s">
        <v>103</v>
      </c>
      <c r="AG1684" t="s">
        <v>81</v>
      </c>
    </row>
    <row r="1685" spans="1:33" x14ac:dyDescent="0.25">
      <c r="A1685" t="str">
        <f>"1942576228"</f>
        <v>1942576228</v>
      </c>
      <c r="C1685" t="s">
        <v>12641</v>
      </c>
      <c r="K1685" t="s">
        <v>99</v>
      </c>
      <c r="L1685" t="s">
        <v>102</v>
      </c>
      <c r="M1685" t="s">
        <v>75</v>
      </c>
      <c r="R1685" t="s">
        <v>12642</v>
      </c>
      <c r="S1685" t="s">
        <v>12643</v>
      </c>
      <c r="T1685" t="s">
        <v>97</v>
      </c>
      <c r="U1685" t="s">
        <v>77</v>
      </c>
      <c r="V1685" t="str">
        <f>"100033821"</f>
        <v>100033821</v>
      </c>
      <c r="AC1685" t="s">
        <v>79</v>
      </c>
      <c r="AD1685" t="s">
        <v>75</v>
      </c>
      <c r="AE1685" t="s">
        <v>103</v>
      </c>
      <c r="AG1685" t="s">
        <v>81</v>
      </c>
    </row>
    <row r="1686" spans="1:33" x14ac:dyDescent="0.25">
      <c r="A1686" t="str">
        <f>"1821356676"</f>
        <v>1821356676</v>
      </c>
      <c r="C1686" t="s">
        <v>12644</v>
      </c>
      <c r="K1686" t="s">
        <v>99</v>
      </c>
      <c r="L1686" t="s">
        <v>102</v>
      </c>
      <c r="M1686" t="s">
        <v>75</v>
      </c>
      <c r="R1686" t="s">
        <v>12645</v>
      </c>
      <c r="S1686" t="s">
        <v>329</v>
      </c>
      <c r="T1686" t="s">
        <v>97</v>
      </c>
      <c r="U1686" t="s">
        <v>77</v>
      </c>
      <c r="V1686" t="str">
        <f>"100296504"</f>
        <v>100296504</v>
      </c>
      <c r="AC1686" t="s">
        <v>79</v>
      </c>
      <c r="AD1686" t="s">
        <v>75</v>
      </c>
      <c r="AE1686" t="s">
        <v>103</v>
      </c>
      <c r="AG1686" t="s">
        <v>81</v>
      </c>
    </row>
    <row r="1687" spans="1:33" x14ac:dyDescent="0.25">
      <c r="A1687" t="str">
        <f>"1881942506"</f>
        <v>1881942506</v>
      </c>
      <c r="C1687" t="s">
        <v>12646</v>
      </c>
      <c r="K1687" t="s">
        <v>99</v>
      </c>
      <c r="L1687" t="s">
        <v>102</v>
      </c>
      <c r="M1687" t="s">
        <v>75</v>
      </c>
      <c r="R1687" t="s">
        <v>12647</v>
      </c>
      <c r="S1687" t="s">
        <v>12648</v>
      </c>
      <c r="T1687" t="s">
        <v>77</v>
      </c>
      <c r="U1687" t="s">
        <v>77</v>
      </c>
      <c r="V1687" t="str">
        <f>"10003"</f>
        <v>10003</v>
      </c>
      <c r="AC1687" t="s">
        <v>79</v>
      </c>
      <c r="AD1687" t="s">
        <v>75</v>
      </c>
      <c r="AE1687" t="s">
        <v>103</v>
      </c>
      <c r="AG1687" t="s">
        <v>81</v>
      </c>
    </row>
    <row r="1688" spans="1:33" x14ac:dyDescent="0.25">
      <c r="A1688" t="str">
        <f>"1831446251"</f>
        <v>1831446251</v>
      </c>
      <c r="C1688" t="s">
        <v>12649</v>
      </c>
      <c r="K1688" t="s">
        <v>99</v>
      </c>
      <c r="L1688" t="s">
        <v>102</v>
      </c>
      <c r="M1688" t="s">
        <v>75</v>
      </c>
      <c r="R1688" t="s">
        <v>12650</v>
      </c>
      <c r="S1688" t="s">
        <v>12651</v>
      </c>
      <c r="T1688" t="s">
        <v>97</v>
      </c>
      <c r="U1688" t="s">
        <v>77</v>
      </c>
      <c r="V1688" t="str">
        <f>"10003"</f>
        <v>10003</v>
      </c>
      <c r="AC1688" t="s">
        <v>79</v>
      </c>
      <c r="AD1688" t="s">
        <v>75</v>
      </c>
      <c r="AE1688" t="s">
        <v>103</v>
      </c>
      <c r="AG1688" t="s">
        <v>81</v>
      </c>
    </row>
    <row r="1689" spans="1:33" x14ac:dyDescent="0.25">
      <c r="A1689" t="str">
        <f>"1831445881"</f>
        <v>1831445881</v>
      </c>
      <c r="B1689" t="str">
        <f>"04525682"</f>
        <v>04525682</v>
      </c>
      <c r="C1689" t="s">
        <v>12652</v>
      </c>
      <c r="D1689" t="s">
        <v>12653</v>
      </c>
      <c r="E1689" t="s">
        <v>12654</v>
      </c>
      <c r="L1689" t="s">
        <v>74</v>
      </c>
      <c r="M1689" t="s">
        <v>75</v>
      </c>
      <c r="R1689" t="s">
        <v>12655</v>
      </c>
      <c r="W1689" t="s">
        <v>12656</v>
      </c>
      <c r="AB1689" t="s">
        <v>78</v>
      </c>
      <c r="AC1689" t="s">
        <v>79</v>
      </c>
      <c r="AD1689" t="s">
        <v>75</v>
      </c>
      <c r="AE1689" t="s">
        <v>80</v>
      </c>
      <c r="AG1689" t="s">
        <v>81</v>
      </c>
    </row>
    <row r="1690" spans="1:33" x14ac:dyDescent="0.25">
      <c r="A1690" t="str">
        <f>"1982946505"</f>
        <v>1982946505</v>
      </c>
      <c r="C1690" t="s">
        <v>12657</v>
      </c>
      <c r="K1690" t="s">
        <v>99</v>
      </c>
      <c r="L1690" t="s">
        <v>102</v>
      </c>
      <c r="M1690" t="s">
        <v>75</v>
      </c>
      <c r="R1690" t="s">
        <v>12658</v>
      </c>
      <c r="S1690" t="s">
        <v>329</v>
      </c>
      <c r="T1690" t="s">
        <v>97</v>
      </c>
      <c r="U1690" t="s">
        <v>77</v>
      </c>
      <c r="V1690" t="str">
        <f>"100296500"</f>
        <v>100296500</v>
      </c>
      <c r="AC1690" t="s">
        <v>79</v>
      </c>
      <c r="AD1690" t="s">
        <v>75</v>
      </c>
      <c r="AE1690" t="s">
        <v>103</v>
      </c>
      <c r="AG1690" t="s">
        <v>81</v>
      </c>
    </row>
    <row r="1691" spans="1:33" x14ac:dyDescent="0.25">
      <c r="A1691" t="str">
        <f>"1912324005"</f>
        <v>1912324005</v>
      </c>
      <c r="C1691" t="s">
        <v>12659</v>
      </c>
      <c r="K1691" t="s">
        <v>99</v>
      </c>
      <c r="L1691" t="s">
        <v>102</v>
      </c>
      <c r="M1691" t="s">
        <v>75</v>
      </c>
      <c r="R1691" t="s">
        <v>12660</v>
      </c>
      <c r="S1691" t="s">
        <v>12661</v>
      </c>
      <c r="T1691" t="s">
        <v>97</v>
      </c>
      <c r="U1691" t="s">
        <v>77</v>
      </c>
      <c r="V1691" t="str">
        <f>"100295204"</f>
        <v>100295204</v>
      </c>
      <c r="AC1691" t="s">
        <v>79</v>
      </c>
      <c r="AD1691" t="s">
        <v>75</v>
      </c>
      <c r="AE1691" t="s">
        <v>103</v>
      </c>
      <c r="AG1691" t="s">
        <v>81</v>
      </c>
    </row>
    <row r="1692" spans="1:33" x14ac:dyDescent="0.25">
      <c r="A1692" t="str">
        <f>"1972920254"</f>
        <v>1972920254</v>
      </c>
      <c r="C1692" t="s">
        <v>12662</v>
      </c>
      <c r="K1692" t="s">
        <v>99</v>
      </c>
      <c r="L1692" t="s">
        <v>102</v>
      </c>
      <c r="M1692" t="s">
        <v>75</v>
      </c>
      <c r="R1692" t="s">
        <v>12663</v>
      </c>
      <c r="S1692" t="s">
        <v>12664</v>
      </c>
      <c r="T1692" t="s">
        <v>12665</v>
      </c>
      <c r="U1692" t="s">
        <v>2632</v>
      </c>
      <c r="V1692" t="str">
        <f>"240731804"</f>
        <v>240731804</v>
      </c>
      <c r="AC1692" t="s">
        <v>79</v>
      </c>
      <c r="AD1692" t="s">
        <v>75</v>
      </c>
      <c r="AE1692" t="s">
        <v>103</v>
      </c>
      <c r="AG1692" t="s">
        <v>81</v>
      </c>
    </row>
    <row r="1693" spans="1:33" x14ac:dyDescent="0.25">
      <c r="A1693" t="str">
        <f>"1871859041"</f>
        <v>1871859041</v>
      </c>
      <c r="C1693" t="s">
        <v>12666</v>
      </c>
      <c r="K1693" t="s">
        <v>99</v>
      </c>
      <c r="L1693" t="s">
        <v>102</v>
      </c>
      <c r="M1693" t="s">
        <v>75</v>
      </c>
      <c r="R1693" t="s">
        <v>12667</v>
      </c>
      <c r="S1693" t="s">
        <v>3602</v>
      </c>
      <c r="T1693" t="s">
        <v>97</v>
      </c>
      <c r="U1693" t="s">
        <v>77</v>
      </c>
      <c r="V1693" t="str">
        <f>"100296504"</f>
        <v>100296504</v>
      </c>
      <c r="AC1693" t="s">
        <v>79</v>
      </c>
      <c r="AD1693" t="s">
        <v>75</v>
      </c>
      <c r="AE1693" t="s">
        <v>103</v>
      </c>
      <c r="AG1693" t="s">
        <v>81</v>
      </c>
    </row>
    <row r="1694" spans="1:33" x14ac:dyDescent="0.25">
      <c r="A1694" t="str">
        <f>"1841633369"</f>
        <v>1841633369</v>
      </c>
      <c r="C1694" t="s">
        <v>12668</v>
      </c>
      <c r="K1694" t="s">
        <v>99</v>
      </c>
      <c r="L1694" t="s">
        <v>102</v>
      </c>
      <c r="M1694" t="s">
        <v>75</v>
      </c>
      <c r="R1694" t="s">
        <v>12669</v>
      </c>
      <c r="S1694" t="s">
        <v>12670</v>
      </c>
      <c r="T1694" t="s">
        <v>97</v>
      </c>
      <c r="U1694" t="s">
        <v>77</v>
      </c>
      <c r="V1694" t="str">
        <f>"100033821"</f>
        <v>100033821</v>
      </c>
      <c r="AC1694" t="s">
        <v>79</v>
      </c>
      <c r="AD1694" t="s">
        <v>75</v>
      </c>
      <c r="AE1694" t="s">
        <v>103</v>
      </c>
      <c r="AG1694" t="s">
        <v>81</v>
      </c>
    </row>
    <row r="1695" spans="1:33" x14ac:dyDescent="0.25">
      <c r="A1695" t="str">
        <f>"1982635579"</f>
        <v>1982635579</v>
      </c>
      <c r="B1695" t="str">
        <f>"02679610"</f>
        <v>02679610</v>
      </c>
      <c r="C1695" t="s">
        <v>12671</v>
      </c>
      <c r="D1695" t="s">
        <v>12672</v>
      </c>
      <c r="E1695" t="s">
        <v>12673</v>
      </c>
      <c r="G1695" t="s">
        <v>12674</v>
      </c>
      <c r="H1695" t="s">
        <v>12675</v>
      </c>
      <c r="I1695">
        <v>57468</v>
      </c>
      <c r="J1695" t="s">
        <v>12676</v>
      </c>
      <c r="L1695" t="s">
        <v>94</v>
      </c>
      <c r="M1695" t="s">
        <v>85</v>
      </c>
      <c r="R1695" t="s">
        <v>12677</v>
      </c>
      <c r="W1695" t="s">
        <v>12673</v>
      </c>
      <c r="X1695" t="s">
        <v>11176</v>
      </c>
      <c r="Y1695" t="s">
        <v>97</v>
      </c>
      <c r="Z1695" t="s">
        <v>77</v>
      </c>
      <c r="AA1695" t="str">
        <f>"10029-6542"</f>
        <v>10029-6542</v>
      </c>
      <c r="AB1695" t="s">
        <v>78</v>
      </c>
      <c r="AC1695" t="s">
        <v>79</v>
      </c>
      <c r="AD1695" t="s">
        <v>75</v>
      </c>
      <c r="AE1695" t="s">
        <v>80</v>
      </c>
      <c r="AG1695" t="s">
        <v>81</v>
      </c>
    </row>
    <row r="1696" spans="1:33" x14ac:dyDescent="0.25">
      <c r="A1696" t="str">
        <f>"1801877147"</f>
        <v>1801877147</v>
      </c>
      <c r="B1696" t="str">
        <f>"03215890"</f>
        <v>03215890</v>
      </c>
      <c r="C1696" t="s">
        <v>12678</v>
      </c>
      <c r="D1696" t="s">
        <v>12679</v>
      </c>
      <c r="E1696" t="s">
        <v>12680</v>
      </c>
      <c r="L1696" t="s">
        <v>74</v>
      </c>
      <c r="M1696" t="s">
        <v>75</v>
      </c>
      <c r="R1696" t="s">
        <v>12681</v>
      </c>
      <c r="W1696" t="s">
        <v>12682</v>
      </c>
      <c r="X1696" t="s">
        <v>12683</v>
      </c>
      <c r="Y1696" t="s">
        <v>87</v>
      </c>
      <c r="Z1696" t="s">
        <v>77</v>
      </c>
      <c r="AA1696" t="str">
        <f>"11204-4045"</f>
        <v>11204-4045</v>
      </c>
      <c r="AB1696" t="s">
        <v>78</v>
      </c>
      <c r="AC1696" t="s">
        <v>79</v>
      </c>
      <c r="AD1696" t="s">
        <v>75</v>
      </c>
      <c r="AE1696" t="s">
        <v>80</v>
      </c>
      <c r="AG1696" t="s">
        <v>81</v>
      </c>
    </row>
    <row r="1697" spans="1:33" x14ac:dyDescent="0.25">
      <c r="A1697" t="str">
        <f>"1164602397"</f>
        <v>1164602397</v>
      </c>
      <c r="B1697" t="str">
        <f>"02850677"</f>
        <v>02850677</v>
      </c>
      <c r="C1697" t="s">
        <v>12684</v>
      </c>
      <c r="D1697" t="s">
        <v>12685</v>
      </c>
      <c r="E1697" t="s">
        <v>12686</v>
      </c>
      <c r="L1697" t="s">
        <v>358</v>
      </c>
      <c r="M1697" t="s">
        <v>85</v>
      </c>
      <c r="R1697" t="s">
        <v>12687</v>
      </c>
      <c r="W1697" t="s">
        <v>12686</v>
      </c>
      <c r="X1697" t="s">
        <v>345</v>
      </c>
      <c r="Y1697" t="s">
        <v>97</v>
      </c>
      <c r="Z1697" t="s">
        <v>77</v>
      </c>
      <c r="AA1697" t="str">
        <f>"10010-1058"</f>
        <v>10010-1058</v>
      </c>
      <c r="AB1697" t="s">
        <v>122</v>
      </c>
      <c r="AC1697" t="s">
        <v>79</v>
      </c>
      <c r="AD1697" t="s">
        <v>75</v>
      </c>
      <c r="AE1697" t="s">
        <v>80</v>
      </c>
      <c r="AG1697" t="s">
        <v>81</v>
      </c>
    </row>
    <row r="1698" spans="1:33" x14ac:dyDescent="0.25">
      <c r="A1698" t="str">
        <f>"1083717326"</f>
        <v>1083717326</v>
      </c>
      <c r="B1698" t="str">
        <f>"00994803"</f>
        <v>00994803</v>
      </c>
      <c r="C1698" t="s">
        <v>12688</v>
      </c>
      <c r="D1698" t="s">
        <v>395</v>
      </c>
      <c r="E1698" t="s">
        <v>396</v>
      </c>
      <c r="L1698" t="s">
        <v>397</v>
      </c>
      <c r="M1698" t="s">
        <v>85</v>
      </c>
      <c r="R1698" t="s">
        <v>398</v>
      </c>
      <c r="W1698" t="s">
        <v>396</v>
      </c>
      <c r="X1698" t="s">
        <v>399</v>
      </c>
      <c r="Y1698" t="s">
        <v>283</v>
      </c>
      <c r="Z1698" t="s">
        <v>77</v>
      </c>
      <c r="AA1698" t="str">
        <f>"11418-1751"</f>
        <v>11418-1751</v>
      </c>
      <c r="AB1698" t="s">
        <v>93</v>
      </c>
      <c r="AC1698" t="s">
        <v>79</v>
      </c>
      <c r="AD1698" t="s">
        <v>75</v>
      </c>
      <c r="AE1698" t="s">
        <v>80</v>
      </c>
      <c r="AG1698" t="s">
        <v>81</v>
      </c>
    </row>
    <row r="1699" spans="1:33" x14ac:dyDescent="0.25">
      <c r="A1699" t="str">
        <f>"1861419707"</f>
        <v>1861419707</v>
      </c>
      <c r="B1699" t="str">
        <f>"02374885"</f>
        <v>02374885</v>
      </c>
      <c r="C1699" t="s">
        <v>12689</v>
      </c>
      <c r="D1699" t="s">
        <v>12690</v>
      </c>
      <c r="E1699" t="s">
        <v>12691</v>
      </c>
      <c r="L1699" t="s">
        <v>10</v>
      </c>
      <c r="M1699" t="s">
        <v>75</v>
      </c>
      <c r="R1699" t="s">
        <v>12692</v>
      </c>
      <c r="W1699" t="s">
        <v>12691</v>
      </c>
      <c r="X1699" t="s">
        <v>12693</v>
      </c>
      <c r="Y1699" t="s">
        <v>97</v>
      </c>
      <c r="Z1699" t="s">
        <v>77</v>
      </c>
      <c r="AA1699" t="str">
        <f>"10035-2211"</f>
        <v>10035-2211</v>
      </c>
      <c r="AB1699" t="s">
        <v>98</v>
      </c>
      <c r="AC1699" t="s">
        <v>79</v>
      </c>
      <c r="AD1699" t="s">
        <v>75</v>
      </c>
      <c r="AE1699" t="s">
        <v>80</v>
      </c>
      <c r="AG1699" t="s">
        <v>81</v>
      </c>
    </row>
    <row r="1700" spans="1:33" x14ac:dyDescent="0.25">
      <c r="A1700" t="str">
        <f>"1821303215"</f>
        <v>1821303215</v>
      </c>
      <c r="C1700" t="s">
        <v>12694</v>
      </c>
      <c r="K1700" t="s">
        <v>99</v>
      </c>
      <c r="L1700" t="s">
        <v>102</v>
      </c>
      <c r="M1700" t="s">
        <v>75</v>
      </c>
      <c r="R1700" t="s">
        <v>12695</v>
      </c>
      <c r="S1700" t="s">
        <v>12696</v>
      </c>
      <c r="T1700" t="s">
        <v>4451</v>
      </c>
      <c r="U1700" t="s">
        <v>4647</v>
      </c>
      <c r="V1700" t="str">
        <f>"306062797"</f>
        <v>306062797</v>
      </c>
      <c r="AC1700" t="s">
        <v>79</v>
      </c>
      <c r="AD1700" t="s">
        <v>75</v>
      </c>
      <c r="AE1700" t="s">
        <v>103</v>
      </c>
      <c r="AG1700" t="s">
        <v>81</v>
      </c>
    </row>
    <row r="1701" spans="1:33" x14ac:dyDescent="0.25">
      <c r="A1701" t="str">
        <f>"1811263569"</f>
        <v>1811263569</v>
      </c>
      <c r="C1701" t="s">
        <v>12697</v>
      </c>
      <c r="K1701" t="s">
        <v>99</v>
      </c>
      <c r="L1701" t="s">
        <v>102</v>
      </c>
      <c r="M1701" t="s">
        <v>75</v>
      </c>
      <c r="R1701" t="s">
        <v>12698</v>
      </c>
      <c r="S1701" t="s">
        <v>191</v>
      </c>
      <c r="T1701" t="s">
        <v>97</v>
      </c>
      <c r="U1701" t="s">
        <v>77</v>
      </c>
      <c r="V1701" t="str">
        <f>"100191147"</f>
        <v>100191147</v>
      </c>
      <c r="AC1701" t="s">
        <v>79</v>
      </c>
      <c r="AD1701" t="s">
        <v>75</v>
      </c>
      <c r="AE1701" t="s">
        <v>103</v>
      </c>
      <c r="AG1701" t="s">
        <v>81</v>
      </c>
    </row>
    <row r="1702" spans="1:33" x14ac:dyDescent="0.25">
      <c r="A1702" t="str">
        <f>"1487912416"</f>
        <v>1487912416</v>
      </c>
      <c r="B1702" t="str">
        <f>"03531220"</f>
        <v>03531220</v>
      </c>
      <c r="C1702" t="s">
        <v>12699</v>
      </c>
      <c r="D1702" t="s">
        <v>12700</v>
      </c>
      <c r="E1702" t="s">
        <v>12701</v>
      </c>
      <c r="L1702" t="s">
        <v>37</v>
      </c>
      <c r="M1702" t="s">
        <v>75</v>
      </c>
      <c r="R1702" t="s">
        <v>12702</v>
      </c>
      <c r="W1702" t="s">
        <v>12703</v>
      </c>
      <c r="X1702" t="s">
        <v>329</v>
      </c>
      <c r="Y1702" t="s">
        <v>97</v>
      </c>
      <c r="Z1702" t="s">
        <v>77</v>
      </c>
      <c r="AA1702" t="str">
        <f>"10029-6500"</f>
        <v>10029-6500</v>
      </c>
      <c r="AB1702" t="s">
        <v>127</v>
      </c>
      <c r="AC1702" t="s">
        <v>79</v>
      </c>
      <c r="AD1702" t="s">
        <v>75</v>
      </c>
      <c r="AE1702" t="s">
        <v>80</v>
      </c>
      <c r="AG1702" t="s">
        <v>81</v>
      </c>
    </row>
    <row r="1703" spans="1:33" x14ac:dyDescent="0.25">
      <c r="A1703" t="str">
        <f>"1922051267"</f>
        <v>1922051267</v>
      </c>
      <c r="C1703" t="s">
        <v>12704</v>
      </c>
      <c r="K1703" t="s">
        <v>99</v>
      </c>
      <c r="L1703" t="s">
        <v>102</v>
      </c>
      <c r="M1703" t="s">
        <v>75</v>
      </c>
      <c r="R1703" t="s">
        <v>12705</v>
      </c>
      <c r="S1703" t="s">
        <v>12706</v>
      </c>
      <c r="T1703" t="s">
        <v>97</v>
      </c>
      <c r="U1703" t="s">
        <v>77</v>
      </c>
      <c r="V1703" t="str">
        <f>"100193401"</f>
        <v>100193401</v>
      </c>
      <c r="AC1703" t="s">
        <v>79</v>
      </c>
      <c r="AD1703" t="s">
        <v>75</v>
      </c>
      <c r="AE1703" t="s">
        <v>103</v>
      </c>
      <c r="AG1703" t="s">
        <v>81</v>
      </c>
    </row>
    <row r="1704" spans="1:33" x14ac:dyDescent="0.25">
      <c r="A1704" t="str">
        <f>"1992903389"</f>
        <v>1992903389</v>
      </c>
      <c r="B1704" t="str">
        <f>"01422811"</f>
        <v>01422811</v>
      </c>
      <c r="C1704" t="s">
        <v>12707</v>
      </c>
      <c r="D1704" t="s">
        <v>3092</v>
      </c>
      <c r="E1704" t="s">
        <v>3093</v>
      </c>
      <c r="L1704" t="s">
        <v>35</v>
      </c>
      <c r="M1704" t="s">
        <v>85</v>
      </c>
      <c r="R1704" t="s">
        <v>3094</v>
      </c>
      <c r="W1704" t="s">
        <v>3093</v>
      </c>
      <c r="X1704" t="s">
        <v>3095</v>
      </c>
      <c r="Y1704" t="s">
        <v>97</v>
      </c>
      <c r="Z1704" t="s">
        <v>77</v>
      </c>
      <c r="AA1704" t="str">
        <f>"10001-2601"</f>
        <v>10001-2601</v>
      </c>
      <c r="AB1704" t="s">
        <v>98</v>
      </c>
      <c r="AC1704" t="s">
        <v>79</v>
      </c>
      <c r="AD1704" t="s">
        <v>75</v>
      </c>
      <c r="AE1704" t="s">
        <v>80</v>
      </c>
      <c r="AG1704" t="s">
        <v>81</v>
      </c>
    </row>
    <row r="1705" spans="1:33" x14ac:dyDescent="0.25">
      <c r="A1705" t="str">
        <f>"1588610604"</f>
        <v>1588610604</v>
      </c>
      <c r="B1705" t="str">
        <f>"00245143"</f>
        <v>00245143</v>
      </c>
      <c r="C1705" t="s">
        <v>12708</v>
      </c>
      <c r="D1705" t="s">
        <v>1251</v>
      </c>
      <c r="E1705" t="s">
        <v>1250</v>
      </c>
      <c r="L1705" t="s">
        <v>144</v>
      </c>
      <c r="M1705" t="s">
        <v>85</v>
      </c>
      <c r="R1705" t="s">
        <v>1252</v>
      </c>
      <c r="W1705" t="s">
        <v>1250</v>
      </c>
      <c r="X1705" t="s">
        <v>1253</v>
      </c>
      <c r="Y1705" t="s">
        <v>97</v>
      </c>
      <c r="Z1705" t="s">
        <v>77</v>
      </c>
      <c r="AA1705" t="str">
        <f>"10002-7827"</f>
        <v>10002-7827</v>
      </c>
      <c r="AB1705" t="s">
        <v>93</v>
      </c>
      <c r="AC1705" t="s">
        <v>79</v>
      </c>
      <c r="AD1705" t="s">
        <v>75</v>
      </c>
      <c r="AE1705" t="s">
        <v>80</v>
      </c>
      <c r="AG1705" t="s">
        <v>81</v>
      </c>
    </row>
    <row r="1706" spans="1:33" x14ac:dyDescent="0.25">
      <c r="A1706" t="str">
        <f>"1881796084"</f>
        <v>1881796084</v>
      </c>
      <c r="B1706" t="str">
        <f>"00245827"</f>
        <v>00245827</v>
      </c>
      <c r="C1706" t="s">
        <v>12709</v>
      </c>
      <c r="D1706" t="s">
        <v>12710</v>
      </c>
      <c r="E1706" t="s">
        <v>12711</v>
      </c>
      <c r="L1706" t="s">
        <v>115</v>
      </c>
      <c r="M1706" t="s">
        <v>85</v>
      </c>
      <c r="R1706" t="s">
        <v>12712</v>
      </c>
      <c r="W1706" t="s">
        <v>12713</v>
      </c>
      <c r="X1706" t="s">
        <v>12714</v>
      </c>
      <c r="Y1706" t="s">
        <v>97</v>
      </c>
      <c r="Z1706" t="s">
        <v>77</v>
      </c>
      <c r="AA1706" t="str">
        <f>"10002"</f>
        <v>10002</v>
      </c>
      <c r="AB1706" t="s">
        <v>122</v>
      </c>
      <c r="AC1706" t="s">
        <v>79</v>
      </c>
      <c r="AD1706" t="s">
        <v>75</v>
      </c>
      <c r="AE1706" t="s">
        <v>80</v>
      </c>
      <c r="AG1706" t="s">
        <v>81</v>
      </c>
    </row>
    <row r="1707" spans="1:33" x14ac:dyDescent="0.25">
      <c r="A1707" t="str">
        <f>"1851414965"</f>
        <v>1851414965</v>
      </c>
      <c r="B1707" t="str">
        <f>"00509980"</f>
        <v>00509980</v>
      </c>
      <c r="C1707" t="s">
        <v>12715</v>
      </c>
      <c r="D1707" t="s">
        <v>1670</v>
      </c>
      <c r="E1707" t="s">
        <v>1669</v>
      </c>
      <c r="L1707" t="s">
        <v>189</v>
      </c>
      <c r="M1707" t="s">
        <v>85</v>
      </c>
      <c r="R1707" t="s">
        <v>1669</v>
      </c>
      <c r="W1707" t="s">
        <v>1669</v>
      </c>
      <c r="X1707" t="s">
        <v>1671</v>
      </c>
      <c r="Y1707" t="s">
        <v>97</v>
      </c>
      <c r="Z1707" t="s">
        <v>77</v>
      </c>
      <c r="AA1707" t="str">
        <f>"10031-4611"</f>
        <v>10031-4611</v>
      </c>
      <c r="AB1707" t="s">
        <v>93</v>
      </c>
      <c r="AC1707" t="s">
        <v>79</v>
      </c>
      <c r="AD1707" t="s">
        <v>75</v>
      </c>
      <c r="AE1707" t="s">
        <v>80</v>
      </c>
      <c r="AG1707" t="s">
        <v>81</v>
      </c>
    </row>
    <row r="1708" spans="1:33" x14ac:dyDescent="0.25">
      <c r="A1708" t="str">
        <f>"1922386028"</f>
        <v>1922386028</v>
      </c>
      <c r="B1708" t="str">
        <f>"04207723"</f>
        <v>04207723</v>
      </c>
      <c r="C1708" t="s">
        <v>12716</v>
      </c>
      <c r="D1708" t="s">
        <v>12717</v>
      </c>
      <c r="E1708" t="s">
        <v>12718</v>
      </c>
      <c r="L1708" t="s">
        <v>83</v>
      </c>
      <c r="M1708" t="s">
        <v>75</v>
      </c>
      <c r="R1708" t="s">
        <v>12719</v>
      </c>
      <c r="W1708" t="s">
        <v>12720</v>
      </c>
      <c r="X1708" t="s">
        <v>3553</v>
      </c>
      <c r="Y1708" t="s">
        <v>97</v>
      </c>
      <c r="Z1708" t="s">
        <v>77</v>
      </c>
      <c r="AA1708" t="str">
        <f>"10003-3851"</f>
        <v>10003-3851</v>
      </c>
      <c r="AB1708" t="s">
        <v>78</v>
      </c>
      <c r="AC1708" t="s">
        <v>79</v>
      </c>
      <c r="AD1708" t="s">
        <v>75</v>
      </c>
      <c r="AE1708" t="s">
        <v>80</v>
      </c>
      <c r="AG1708" t="s">
        <v>81</v>
      </c>
    </row>
    <row r="1709" spans="1:33" x14ac:dyDescent="0.25">
      <c r="A1709" t="str">
        <f>"1962729491"</f>
        <v>1962729491</v>
      </c>
      <c r="C1709" t="s">
        <v>12721</v>
      </c>
      <c r="K1709" t="s">
        <v>99</v>
      </c>
      <c r="L1709" t="s">
        <v>102</v>
      </c>
      <c r="M1709" t="s">
        <v>75</v>
      </c>
      <c r="R1709" t="s">
        <v>12722</v>
      </c>
      <c r="S1709" t="s">
        <v>12723</v>
      </c>
      <c r="T1709" t="s">
        <v>97</v>
      </c>
      <c r="U1709" t="s">
        <v>77</v>
      </c>
      <c r="V1709" t="str">
        <f>"100296504"</f>
        <v>100296504</v>
      </c>
      <c r="AC1709" t="s">
        <v>79</v>
      </c>
      <c r="AD1709" t="s">
        <v>75</v>
      </c>
      <c r="AE1709" t="s">
        <v>103</v>
      </c>
      <c r="AG1709" t="s">
        <v>81</v>
      </c>
    </row>
    <row r="1710" spans="1:33" x14ac:dyDescent="0.25">
      <c r="A1710" t="str">
        <f>"1952679128"</f>
        <v>1952679128</v>
      </c>
      <c r="C1710" t="s">
        <v>12724</v>
      </c>
      <c r="K1710" t="s">
        <v>99</v>
      </c>
      <c r="L1710" t="s">
        <v>102</v>
      </c>
      <c r="M1710" t="s">
        <v>75</v>
      </c>
      <c r="R1710" t="s">
        <v>12725</v>
      </c>
      <c r="S1710" t="s">
        <v>12726</v>
      </c>
      <c r="T1710" t="s">
        <v>2660</v>
      </c>
      <c r="U1710" t="s">
        <v>2661</v>
      </c>
      <c r="V1710" t="str">
        <f>"21239"</f>
        <v>21239</v>
      </c>
      <c r="AC1710" t="s">
        <v>79</v>
      </c>
      <c r="AD1710" t="s">
        <v>75</v>
      </c>
      <c r="AE1710" t="s">
        <v>103</v>
      </c>
      <c r="AG1710" t="s">
        <v>81</v>
      </c>
    </row>
    <row r="1711" spans="1:33" x14ac:dyDescent="0.25">
      <c r="A1711" t="str">
        <f>"1265545313"</f>
        <v>1265545313</v>
      </c>
      <c r="B1711" t="str">
        <f>"02417307"</f>
        <v>02417307</v>
      </c>
      <c r="C1711" t="s">
        <v>12727</v>
      </c>
      <c r="D1711" t="s">
        <v>12728</v>
      </c>
      <c r="E1711" t="s">
        <v>12729</v>
      </c>
      <c r="H1711" t="s">
        <v>11942</v>
      </c>
      <c r="J1711" t="s">
        <v>12730</v>
      </c>
      <c r="L1711" t="s">
        <v>74</v>
      </c>
      <c r="M1711" t="s">
        <v>85</v>
      </c>
      <c r="R1711" t="s">
        <v>12729</v>
      </c>
      <c r="W1711" t="s">
        <v>12729</v>
      </c>
      <c r="X1711" t="s">
        <v>12731</v>
      </c>
      <c r="Y1711" t="s">
        <v>2118</v>
      </c>
      <c r="Z1711" t="s">
        <v>77</v>
      </c>
      <c r="AA1711" t="str">
        <f>"11730-2800"</f>
        <v>11730-2800</v>
      </c>
      <c r="AB1711" t="s">
        <v>128</v>
      </c>
      <c r="AC1711" t="s">
        <v>79</v>
      </c>
      <c r="AD1711" t="s">
        <v>75</v>
      </c>
      <c r="AE1711" t="s">
        <v>80</v>
      </c>
      <c r="AG1711" t="s">
        <v>81</v>
      </c>
    </row>
    <row r="1712" spans="1:33" x14ac:dyDescent="0.25">
      <c r="A1712" t="str">
        <f>"1871520049"</f>
        <v>1871520049</v>
      </c>
      <c r="B1712" t="str">
        <f>"01835203"</f>
        <v>01835203</v>
      </c>
      <c r="C1712" t="s">
        <v>12732</v>
      </c>
      <c r="D1712" t="s">
        <v>12733</v>
      </c>
      <c r="E1712" t="s">
        <v>12734</v>
      </c>
      <c r="H1712" t="s">
        <v>12735</v>
      </c>
      <c r="J1712" t="s">
        <v>12736</v>
      </c>
      <c r="L1712" t="s">
        <v>83</v>
      </c>
      <c r="M1712" t="s">
        <v>85</v>
      </c>
      <c r="R1712" t="s">
        <v>12737</v>
      </c>
      <c r="W1712" t="s">
        <v>12734</v>
      </c>
      <c r="AB1712" t="s">
        <v>78</v>
      </c>
      <c r="AC1712" t="s">
        <v>79</v>
      </c>
      <c r="AD1712" t="s">
        <v>75</v>
      </c>
      <c r="AE1712" t="s">
        <v>80</v>
      </c>
      <c r="AG1712" t="s">
        <v>81</v>
      </c>
    </row>
    <row r="1713" spans="1:33" x14ac:dyDescent="0.25">
      <c r="A1713" t="str">
        <f>"1801214705"</f>
        <v>1801214705</v>
      </c>
      <c r="C1713" t="s">
        <v>12738</v>
      </c>
      <c r="K1713" t="s">
        <v>99</v>
      </c>
      <c r="L1713" t="s">
        <v>102</v>
      </c>
      <c r="M1713" t="s">
        <v>75</v>
      </c>
      <c r="R1713" t="s">
        <v>12739</v>
      </c>
      <c r="S1713" t="s">
        <v>12740</v>
      </c>
      <c r="T1713" t="s">
        <v>139</v>
      </c>
      <c r="U1713" t="s">
        <v>77</v>
      </c>
      <c r="V1713" t="str">
        <f>"113553768"</f>
        <v>113553768</v>
      </c>
      <c r="AC1713" t="s">
        <v>79</v>
      </c>
      <c r="AD1713" t="s">
        <v>75</v>
      </c>
      <c r="AE1713" t="s">
        <v>103</v>
      </c>
      <c r="AG1713" t="s">
        <v>81</v>
      </c>
    </row>
    <row r="1714" spans="1:33" x14ac:dyDescent="0.25">
      <c r="A1714" t="str">
        <f>"1962829903"</f>
        <v>1962829903</v>
      </c>
      <c r="C1714" t="s">
        <v>12741</v>
      </c>
      <c r="K1714" t="s">
        <v>99</v>
      </c>
      <c r="L1714" t="s">
        <v>102</v>
      </c>
      <c r="M1714" t="s">
        <v>75</v>
      </c>
      <c r="R1714" t="s">
        <v>12742</v>
      </c>
      <c r="S1714" t="s">
        <v>12743</v>
      </c>
      <c r="T1714" t="s">
        <v>239</v>
      </c>
      <c r="U1714" t="s">
        <v>77</v>
      </c>
      <c r="V1714" t="str">
        <f>"117713115"</f>
        <v>117713115</v>
      </c>
      <c r="AC1714" t="s">
        <v>79</v>
      </c>
      <c r="AD1714" t="s">
        <v>75</v>
      </c>
      <c r="AE1714" t="s">
        <v>103</v>
      </c>
      <c r="AG1714" t="s">
        <v>81</v>
      </c>
    </row>
    <row r="1715" spans="1:33" x14ac:dyDescent="0.25">
      <c r="A1715" t="str">
        <f>"1891112710"</f>
        <v>1891112710</v>
      </c>
      <c r="C1715" t="s">
        <v>12744</v>
      </c>
      <c r="K1715" t="s">
        <v>99</v>
      </c>
      <c r="L1715" t="s">
        <v>102</v>
      </c>
      <c r="M1715" t="s">
        <v>75</v>
      </c>
      <c r="R1715" t="s">
        <v>12745</v>
      </c>
      <c r="S1715" t="s">
        <v>12746</v>
      </c>
      <c r="T1715" t="s">
        <v>1811</v>
      </c>
      <c r="U1715" t="s">
        <v>77</v>
      </c>
      <c r="V1715" t="str">
        <f>"148506043"</f>
        <v>148506043</v>
      </c>
      <c r="AC1715" t="s">
        <v>79</v>
      </c>
      <c r="AD1715" t="s">
        <v>75</v>
      </c>
      <c r="AE1715" t="s">
        <v>103</v>
      </c>
      <c r="AG1715" t="s">
        <v>81</v>
      </c>
    </row>
    <row r="1716" spans="1:33" x14ac:dyDescent="0.25">
      <c r="A1716" t="str">
        <f>"1871910257"</f>
        <v>1871910257</v>
      </c>
      <c r="C1716" t="s">
        <v>12747</v>
      </c>
      <c r="K1716" t="s">
        <v>99</v>
      </c>
      <c r="L1716" t="s">
        <v>102</v>
      </c>
      <c r="M1716" t="s">
        <v>75</v>
      </c>
      <c r="R1716" t="s">
        <v>12748</v>
      </c>
      <c r="S1716" t="s">
        <v>12749</v>
      </c>
      <c r="T1716" t="s">
        <v>87</v>
      </c>
      <c r="U1716" t="s">
        <v>77</v>
      </c>
      <c r="V1716" t="str">
        <f>"112291011"</f>
        <v>112291011</v>
      </c>
      <c r="AC1716" t="s">
        <v>79</v>
      </c>
      <c r="AD1716" t="s">
        <v>75</v>
      </c>
      <c r="AE1716" t="s">
        <v>103</v>
      </c>
      <c r="AG1716" t="s">
        <v>81</v>
      </c>
    </row>
    <row r="1717" spans="1:33" x14ac:dyDescent="0.25">
      <c r="A1717" t="str">
        <f>"1992070189"</f>
        <v>1992070189</v>
      </c>
      <c r="B1717" t="str">
        <f>"04096342"</f>
        <v>04096342</v>
      </c>
      <c r="C1717" t="s">
        <v>12750</v>
      </c>
      <c r="D1717" t="s">
        <v>12751</v>
      </c>
      <c r="E1717" t="s">
        <v>12752</v>
      </c>
      <c r="L1717" t="s">
        <v>74</v>
      </c>
      <c r="M1717" t="s">
        <v>75</v>
      </c>
      <c r="R1717" t="s">
        <v>12753</v>
      </c>
      <c r="W1717" t="s">
        <v>12752</v>
      </c>
      <c r="X1717" t="s">
        <v>329</v>
      </c>
      <c r="Y1717" t="s">
        <v>97</v>
      </c>
      <c r="Z1717" t="s">
        <v>77</v>
      </c>
      <c r="AA1717" t="str">
        <f>"10029-6504"</f>
        <v>10029-6504</v>
      </c>
      <c r="AB1717" t="s">
        <v>78</v>
      </c>
      <c r="AC1717" t="s">
        <v>79</v>
      </c>
      <c r="AD1717" t="s">
        <v>75</v>
      </c>
      <c r="AE1717" t="s">
        <v>80</v>
      </c>
      <c r="AG1717" t="s">
        <v>81</v>
      </c>
    </row>
    <row r="1718" spans="1:33" x14ac:dyDescent="0.25">
      <c r="A1718" t="str">
        <f>"1326109745"</f>
        <v>1326109745</v>
      </c>
      <c r="B1718" t="str">
        <f>"01476104"</f>
        <v>01476104</v>
      </c>
      <c r="C1718" t="s">
        <v>12754</v>
      </c>
      <c r="D1718" t="s">
        <v>12755</v>
      </c>
      <c r="E1718" t="s">
        <v>12756</v>
      </c>
      <c r="L1718" t="s">
        <v>37</v>
      </c>
      <c r="M1718" t="s">
        <v>85</v>
      </c>
      <c r="R1718" t="s">
        <v>12757</v>
      </c>
      <c r="W1718" t="s">
        <v>12756</v>
      </c>
      <c r="X1718" t="s">
        <v>12758</v>
      </c>
      <c r="Y1718" t="s">
        <v>97</v>
      </c>
      <c r="Z1718" t="s">
        <v>77</v>
      </c>
      <c r="AA1718" t="str">
        <f>"10003-3804"</f>
        <v>10003-3804</v>
      </c>
      <c r="AB1718" t="s">
        <v>107</v>
      </c>
      <c r="AC1718" t="s">
        <v>79</v>
      </c>
      <c r="AD1718" t="s">
        <v>75</v>
      </c>
      <c r="AE1718" t="s">
        <v>80</v>
      </c>
      <c r="AG1718" t="s">
        <v>81</v>
      </c>
    </row>
    <row r="1719" spans="1:33" x14ac:dyDescent="0.25">
      <c r="A1719" t="str">
        <f>"1063573152"</f>
        <v>1063573152</v>
      </c>
      <c r="B1719" t="str">
        <f>"01539335"</f>
        <v>01539335</v>
      </c>
      <c r="C1719" t="s">
        <v>12759</v>
      </c>
      <c r="D1719" t="s">
        <v>12760</v>
      </c>
      <c r="E1719" t="s">
        <v>12761</v>
      </c>
      <c r="L1719" t="s">
        <v>35</v>
      </c>
      <c r="M1719" t="s">
        <v>85</v>
      </c>
      <c r="R1719" t="s">
        <v>12762</v>
      </c>
      <c r="W1719" t="s">
        <v>12761</v>
      </c>
      <c r="X1719" t="s">
        <v>12763</v>
      </c>
      <c r="Y1719" t="s">
        <v>97</v>
      </c>
      <c r="Z1719" t="s">
        <v>77</v>
      </c>
      <c r="AA1719" t="str">
        <f>"10014-2840"</f>
        <v>10014-2840</v>
      </c>
      <c r="AB1719" t="s">
        <v>98</v>
      </c>
      <c r="AC1719" t="s">
        <v>79</v>
      </c>
      <c r="AD1719" t="s">
        <v>75</v>
      </c>
      <c r="AE1719" t="s">
        <v>80</v>
      </c>
      <c r="AG1719" t="s">
        <v>81</v>
      </c>
    </row>
    <row r="1720" spans="1:33" x14ac:dyDescent="0.25">
      <c r="A1720" t="str">
        <f>"1972940096"</f>
        <v>1972940096</v>
      </c>
      <c r="C1720" t="s">
        <v>12764</v>
      </c>
      <c r="K1720" t="s">
        <v>99</v>
      </c>
      <c r="L1720" t="s">
        <v>102</v>
      </c>
      <c r="M1720" t="s">
        <v>75</v>
      </c>
      <c r="R1720" t="s">
        <v>12765</v>
      </c>
      <c r="S1720" t="s">
        <v>12766</v>
      </c>
      <c r="T1720" t="s">
        <v>1768</v>
      </c>
      <c r="U1720" t="s">
        <v>123</v>
      </c>
      <c r="V1720" t="str">
        <f>"019702714"</f>
        <v>019702714</v>
      </c>
      <c r="AC1720" t="s">
        <v>79</v>
      </c>
      <c r="AD1720" t="s">
        <v>75</v>
      </c>
      <c r="AE1720" t="s">
        <v>103</v>
      </c>
      <c r="AG1720" t="s">
        <v>81</v>
      </c>
    </row>
    <row r="1721" spans="1:33" x14ac:dyDescent="0.25">
      <c r="A1721" t="str">
        <f>"1780097816"</f>
        <v>1780097816</v>
      </c>
      <c r="C1721" t="s">
        <v>12767</v>
      </c>
      <c r="K1721" t="s">
        <v>99</v>
      </c>
      <c r="L1721" t="s">
        <v>102</v>
      </c>
      <c r="M1721" t="s">
        <v>75</v>
      </c>
      <c r="R1721" t="s">
        <v>12768</v>
      </c>
      <c r="S1721" t="s">
        <v>12769</v>
      </c>
      <c r="T1721" t="s">
        <v>4861</v>
      </c>
      <c r="U1721" t="s">
        <v>156</v>
      </c>
      <c r="V1721" t="str">
        <f>"076311808"</f>
        <v>076311808</v>
      </c>
      <c r="AC1721" t="s">
        <v>79</v>
      </c>
      <c r="AD1721" t="s">
        <v>75</v>
      </c>
      <c r="AE1721" t="s">
        <v>103</v>
      </c>
      <c r="AG1721" t="s">
        <v>81</v>
      </c>
    </row>
    <row r="1722" spans="1:33" x14ac:dyDescent="0.25">
      <c r="A1722" t="str">
        <f>"1881010973"</f>
        <v>1881010973</v>
      </c>
      <c r="C1722" t="s">
        <v>12770</v>
      </c>
      <c r="K1722" t="s">
        <v>99</v>
      </c>
      <c r="L1722" t="s">
        <v>102</v>
      </c>
      <c r="M1722" t="s">
        <v>75</v>
      </c>
      <c r="R1722" t="s">
        <v>12771</v>
      </c>
      <c r="S1722" t="s">
        <v>12772</v>
      </c>
      <c r="T1722" t="s">
        <v>97</v>
      </c>
      <c r="U1722" t="s">
        <v>77</v>
      </c>
      <c r="V1722" t="str">
        <f>"10029"</f>
        <v>10029</v>
      </c>
      <c r="AC1722" t="s">
        <v>79</v>
      </c>
      <c r="AD1722" t="s">
        <v>75</v>
      </c>
      <c r="AE1722" t="s">
        <v>103</v>
      </c>
      <c r="AG1722" t="s">
        <v>81</v>
      </c>
    </row>
    <row r="1723" spans="1:33" x14ac:dyDescent="0.25">
      <c r="A1723" t="str">
        <f>"1831456151"</f>
        <v>1831456151</v>
      </c>
      <c r="B1723" t="str">
        <f>"04564912"</f>
        <v>04564912</v>
      </c>
      <c r="C1723" t="s">
        <v>12773</v>
      </c>
      <c r="D1723" t="s">
        <v>12774</v>
      </c>
      <c r="E1723" t="s">
        <v>12775</v>
      </c>
      <c r="L1723" t="s">
        <v>102</v>
      </c>
      <c r="M1723" t="s">
        <v>75</v>
      </c>
      <c r="R1723" t="s">
        <v>12776</v>
      </c>
      <c r="W1723" t="s">
        <v>12775</v>
      </c>
      <c r="AB1723" t="s">
        <v>78</v>
      </c>
      <c r="AC1723" t="s">
        <v>79</v>
      </c>
      <c r="AD1723" t="s">
        <v>75</v>
      </c>
      <c r="AE1723" t="s">
        <v>80</v>
      </c>
      <c r="AG1723" t="s">
        <v>81</v>
      </c>
    </row>
    <row r="1724" spans="1:33" x14ac:dyDescent="0.25">
      <c r="A1724" t="str">
        <f>"1447384979"</f>
        <v>1447384979</v>
      </c>
      <c r="C1724" t="s">
        <v>12777</v>
      </c>
      <c r="K1724" t="s">
        <v>99</v>
      </c>
      <c r="L1724" t="s">
        <v>102</v>
      </c>
      <c r="M1724" t="s">
        <v>75</v>
      </c>
      <c r="R1724" t="s">
        <v>12778</v>
      </c>
      <c r="S1724" t="s">
        <v>12779</v>
      </c>
      <c r="T1724" t="s">
        <v>97</v>
      </c>
      <c r="U1724" t="s">
        <v>77</v>
      </c>
      <c r="V1724" t="str">
        <f>"100243213"</f>
        <v>100243213</v>
      </c>
      <c r="AC1724" t="s">
        <v>79</v>
      </c>
      <c r="AD1724" t="s">
        <v>75</v>
      </c>
      <c r="AE1724" t="s">
        <v>103</v>
      </c>
      <c r="AG1724" t="s">
        <v>81</v>
      </c>
    </row>
    <row r="1725" spans="1:33" x14ac:dyDescent="0.25">
      <c r="A1725" t="str">
        <f>"1912310384"</f>
        <v>1912310384</v>
      </c>
      <c r="B1725" t="str">
        <f>"04054495"</f>
        <v>04054495</v>
      </c>
      <c r="C1725" t="s">
        <v>12780</v>
      </c>
      <c r="D1725" t="s">
        <v>12781</v>
      </c>
      <c r="E1725" t="s">
        <v>12782</v>
      </c>
      <c r="L1725" t="s">
        <v>102</v>
      </c>
      <c r="M1725" t="s">
        <v>75</v>
      </c>
      <c r="R1725" t="s">
        <v>12783</v>
      </c>
      <c r="W1725" t="s">
        <v>12782</v>
      </c>
      <c r="X1725" t="s">
        <v>1076</v>
      </c>
      <c r="Y1725" t="s">
        <v>97</v>
      </c>
      <c r="Z1725" t="s">
        <v>77</v>
      </c>
      <c r="AA1725" t="str">
        <f>"10025-1737"</f>
        <v>10025-1737</v>
      </c>
      <c r="AB1725" t="s">
        <v>125</v>
      </c>
      <c r="AC1725" t="s">
        <v>79</v>
      </c>
      <c r="AD1725" t="s">
        <v>75</v>
      </c>
      <c r="AE1725" t="s">
        <v>80</v>
      </c>
      <c r="AG1725" t="s">
        <v>81</v>
      </c>
    </row>
    <row r="1726" spans="1:33" x14ac:dyDescent="0.25">
      <c r="A1726" t="str">
        <f>"1932493905"</f>
        <v>1932493905</v>
      </c>
      <c r="B1726" t="str">
        <f>"04207443"</f>
        <v>04207443</v>
      </c>
      <c r="C1726" t="s">
        <v>12784</v>
      </c>
      <c r="D1726" t="s">
        <v>12785</v>
      </c>
      <c r="E1726" t="s">
        <v>12786</v>
      </c>
      <c r="L1726" t="s">
        <v>94</v>
      </c>
      <c r="M1726" t="s">
        <v>75</v>
      </c>
      <c r="R1726" t="s">
        <v>12787</v>
      </c>
      <c r="W1726" t="s">
        <v>12786</v>
      </c>
      <c r="X1726" t="s">
        <v>2808</v>
      </c>
      <c r="Y1726" t="s">
        <v>97</v>
      </c>
      <c r="Z1726" t="s">
        <v>77</v>
      </c>
      <c r="AA1726" t="str">
        <f>"10025-6450"</f>
        <v>10025-6450</v>
      </c>
      <c r="AB1726" t="s">
        <v>78</v>
      </c>
      <c r="AC1726" t="s">
        <v>79</v>
      </c>
      <c r="AD1726" t="s">
        <v>75</v>
      </c>
      <c r="AE1726" t="s">
        <v>80</v>
      </c>
      <c r="AG1726" t="s">
        <v>81</v>
      </c>
    </row>
    <row r="1727" spans="1:33" x14ac:dyDescent="0.25">
      <c r="A1727" t="str">
        <f>"1851681068"</f>
        <v>1851681068</v>
      </c>
      <c r="C1727" t="s">
        <v>12788</v>
      </c>
      <c r="K1727" t="s">
        <v>99</v>
      </c>
      <c r="L1727" t="s">
        <v>102</v>
      </c>
      <c r="M1727" t="s">
        <v>75</v>
      </c>
      <c r="R1727" t="s">
        <v>12789</v>
      </c>
      <c r="S1727" t="s">
        <v>12790</v>
      </c>
      <c r="T1727" t="s">
        <v>139</v>
      </c>
      <c r="U1727" t="s">
        <v>77</v>
      </c>
      <c r="V1727" t="str">
        <f>"11355"</f>
        <v>11355</v>
      </c>
      <c r="AC1727" t="s">
        <v>79</v>
      </c>
      <c r="AD1727" t="s">
        <v>75</v>
      </c>
      <c r="AE1727" t="s">
        <v>103</v>
      </c>
      <c r="AG1727" t="s">
        <v>81</v>
      </c>
    </row>
    <row r="1728" spans="1:33" x14ac:dyDescent="0.25">
      <c r="A1728" t="str">
        <f>"1932542149"</f>
        <v>1932542149</v>
      </c>
      <c r="C1728" t="s">
        <v>12791</v>
      </c>
      <c r="K1728" t="s">
        <v>99</v>
      </c>
      <c r="L1728" t="s">
        <v>102</v>
      </c>
      <c r="M1728" t="s">
        <v>75</v>
      </c>
      <c r="R1728" t="s">
        <v>12792</v>
      </c>
      <c r="S1728" t="s">
        <v>329</v>
      </c>
      <c r="T1728" t="s">
        <v>97</v>
      </c>
      <c r="U1728" t="s">
        <v>77</v>
      </c>
      <c r="V1728" t="str">
        <f>"100296500"</f>
        <v>100296500</v>
      </c>
      <c r="AC1728" t="s">
        <v>79</v>
      </c>
      <c r="AD1728" t="s">
        <v>75</v>
      </c>
      <c r="AE1728" t="s">
        <v>103</v>
      </c>
      <c r="AG1728" t="s">
        <v>81</v>
      </c>
    </row>
    <row r="1729" spans="1:33" x14ac:dyDescent="0.25">
      <c r="A1729" t="str">
        <f>"1902853245"</f>
        <v>1902853245</v>
      </c>
      <c r="B1729" t="str">
        <f>"02780427"</f>
        <v>02780427</v>
      </c>
      <c r="C1729" t="s">
        <v>12793</v>
      </c>
      <c r="D1729" t="s">
        <v>12794</v>
      </c>
      <c r="E1729" t="s">
        <v>12795</v>
      </c>
      <c r="L1729" t="s">
        <v>74</v>
      </c>
      <c r="M1729" t="s">
        <v>75</v>
      </c>
      <c r="R1729" t="s">
        <v>12796</v>
      </c>
      <c r="W1729" t="s">
        <v>12795</v>
      </c>
      <c r="X1729" t="s">
        <v>4691</v>
      </c>
      <c r="Y1729" t="s">
        <v>153</v>
      </c>
      <c r="Z1729" t="s">
        <v>77</v>
      </c>
      <c r="AA1729" t="str">
        <f>"12601-3924"</f>
        <v>12601-3924</v>
      </c>
      <c r="AB1729" t="s">
        <v>78</v>
      </c>
      <c r="AC1729" t="s">
        <v>79</v>
      </c>
      <c r="AD1729" t="s">
        <v>75</v>
      </c>
      <c r="AE1729" t="s">
        <v>80</v>
      </c>
      <c r="AG1729" t="s">
        <v>81</v>
      </c>
    </row>
    <row r="1730" spans="1:33" x14ac:dyDescent="0.25">
      <c r="A1730" t="str">
        <f>"1588739502"</f>
        <v>1588739502</v>
      </c>
      <c r="B1730" t="str">
        <f>"01878220"</f>
        <v>01878220</v>
      </c>
      <c r="C1730" t="s">
        <v>12797</v>
      </c>
      <c r="D1730" t="s">
        <v>12798</v>
      </c>
      <c r="E1730" t="s">
        <v>12799</v>
      </c>
      <c r="H1730" t="s">
        <v>12800</v>
      </c>
      <c r="J1730" t="s">
        <v>12801</v>
      </c>
      <c r="L1730" t="s">
        <v>74</v>
      </c>
      <c r="M1730" t="s">
        <v>85</v>
      </c>
      <c r="R1730" t="s">
        <v>12802</v>
      </c>
      <c r="W1730" t="s">
        <v>12799</v>
      </c>
      <c r="X1730" t="s">
        <v>1715</v>
      </c>
      <c r="Y1730" t="s">
        <v>97</v>
      </c>
      <c r="Z1730" t="s">
        <v>77</v>
      </c>
      <c r="AA1730" t="str">
        <f>"10024-3512"</f>
        <v>10024-3512</v>
      </c>
      <c r="AB1730" t="s">
        <v>78</v>
      </c>
      <c r="AC1730" t="s">
        <v>79</v>
      </c>
      <c r="AD1730" t="s">
        <v>75</v>
      </c>
      <c r="AE1730" t="s">
        <v>80</v>
      </c>
      <c r="AG1730" t="s">
        <v>81</v>
      </c>
    </row>
    <row r="1731" spans="1:33" x14ac:dyDescent="0.25">
      <c r="A1731" t="str">
        <f>"1851328199"</f>
        <v>1851328199</v>
      </c>
      <c r="B1731" t="str">
        <f>"02999264"</f>
        <v>02999264</v>
      </c>
      <c r="C1731" t="s">
        <v>12803</v>
      </c>
      <c r="D1731" t="s">
        <v>7125</v>
      </c>
      <c r="E1731" t="s">
        <v>7126</v>
      </c>
      <c r="L1731" t="s">
        <v>358</v>
      </c>
      <c r="M1731" t="s">
        <v>85</v>
      </c>
      <c r="R1731" t="s">
        <v>7474</v>
      </c>
      <c r="W1731" t="s">
        <v>7126</v>
      </c>
      <c r="X1731" t="s">
        <v>2808</v>
      </c>
      <c r="Y1731" t="s">
        <v>97</v>
      </c>
      <c r="Z1731" t="s">
        <v>77</v>
      </c>
      <c r="AA1731" t="str">
        <f>"10025-6450"</f>
        <v>10025-6450</v>
      </c>
      <c r="AB1731" t="s">
        <v>93</v>
      </c>
      <c r="AC1731" t="s">
        <v>79</v>
      </c>
      <c r="AD1731" t="s">
        <v>75</v>
      </c>
      <c r="AE1731" t="s">
        <v>80</v>
      </c>
      <c r="AG1731" t="s">
        <v>81</v>
      </c>
    </row>
    <row r="1732" spans="1:33" x14ac:dyDescent="0.25">
      <c r="A1732" t="str">
        <f>"1265473110"</f>
        <v>1265473110</v>
      </c>
      <c r="B1732" t="str">
        <f>"01428197"</f>
        <v>01428197</v>
      </c>
      <c r="C1732" t="s">
        <v>12804</v>
      </c>
      <c r="D1732" t="s">
        <v>12805</v>
      </c>
      <c r="E1732" t="s">
        <v>12806</v>
      </c>
      <c r="L1732" t="s">
        <v>104</v>
      </c>
      <c r="M1732" t="s">
        <v>75</v>
      </c>
      <c r="R1732" t="s">
        <v>12807</v>
      </c>
      <c r="W1732" t="s">
        <v>12806</v>
      </c>
      <c r="X1732" t="s">
        <v>12808</v>
      </c>
      <c r="Y1732" t="s">
        <v>450</v>
      </c>
      <c r="Z1732" t="s">
        <v>77</v>
      </c>
      <c r="AA1732" t="str">
        <f>"11423-1221"</f>
        <v>11423-1221</v>
      </c>
      <c r="AB1732" t="s">
        <v>96</v>
      </c>
      <c r="AC1732" t="s">
        <v>79</v>
      </c>
      <c r="AD1732" t="s">
        <v>75</v>
      </c>
      <c r="AE1732" t="s">
        <v>80</v>
      </c>
      <c r="AG1732" t="s">
        <v>81</v>
      </c>
    </row>
    <row r="1733" spans="1:33" x14ac:dyDescent="0.25">
      <c r="A1733" t="str">
        <f>"1215978960"</f>
        <v>1215978960</v>
      </c>
      <c r="B1733" t="str">
        <f>"02182103"</f>
        <v>02182103</v>
      </c>
      <c r="C1733" t="s">
        <v>12809</v>
      </c>
      <c r="D1733" t="s">
        <v>12810</v>
      </c>
      <c r="E1733" t="s">
        <v>12811</v>
      </c>
      <c r="L1733" t="s">
        <v>115</v>
      </c>
      <c r="M1733" t="s">
        <v>85</v>
      </c>
      <c r="R1733" t="s">
        <v>12812</v>
      </c>
      <c r="W1733" t="s">
        <v>12811</v>
      </c>
      <c r="X1733" t="s">
        <v>3228</v>
      </c>
      <c r="Y1733" t="s">
        <v>97</v>
      </c>
      <c r="Z1733" t="s">
        <v>77</v>
      </c>
      <c r="AA1733" t="str">
        <f>"10036-2904"</f>
        <v>10036-2904</v>
      </c>
      <c r="AB1733" t="s">
        <v>122</v>
      </c>
      <c r="AC1733" t="s">
        <v>79</v>
      </c>
      <c r="AD1733" t="s">
        <v>75</v>
      </c>
      <c r="AE1733" t="s">
        <v>80</v>
      </c>
      <c r="AG1733" t="s">
        <v>81</v>
      </c>
    </row>
    <row r="1734" spans="1:33" x14ac:dyDescent="0.25">
      <c r="A1734" t="str">
        <f>"1740211143"</f>
        <v>1740211143</v>
      </c>
      <c r="B1734" t="str">
        <f>"00245327"</f>
        <v>00245327</v>
      </c>
      <c r="C1734" t="s">
        <v>12813</v>
      </c>
      <c r="D1734" t="s">
        <v>12814</v>
      </c>
      <c r="E1734" t="s">
        <v>12815</v>
      </c>
      <c r="L1734" t="s">
        <v>104</v>
      </c>
      <c r="M1734" t="s">
        <v>85</v>
      </c>
      <c r="R1734" t="s">
        <v>12816</v>
      </c>
      <c r="W1734" t="s">
        <v>12815</v>
      </c>
      <c r="X1734" t="s">
        <v>12817</v>
      </c>
      <c r="Y1734" t="s">
        <v>97</v>
      </c>
      <c r="Z1734" t="s">
        <v>77</v>
      </c>
      <c r="AA1734" t="str">
        <f>"10024-2402"</f>
        <v>10024-2402</v>
      </c>
      <c r="AB1734" t="s">
        <v>93</v>
      </c>
      <c r="AC1734" t="s">
        <v>79</v>
      </c>
      <c r="AD1734" t="s">
        <v>75</v>
      </c>
      <c r="AE1734" t="s">
        <v>80</v>
      </c>
      <c r="AG1734" t="s">
        <v>81</v>
      </c>
    </row>
    <row r="1735" spans="1:33" x14ac:dyDescent="0.25">
      <c r="A1735" t="str">
        <f>"1336363530"</f>
        <v>1336363530</v>
      </c>
      <c r="B1735" t="str">
        <f>"02097574"</f>
        <v>02097574</v>
      </c>
      <c r="C1735" t="s">
        <v>12818</v>
      </c>
      <c r="D1735" t="s">
        <v>12819</v>
      </c>
      <c r="E1735" t="s">
        <v>12820</v>
      </c>
      <c r="L1735" t="s">
        <v>119</v>
      </c>
      <c r="M1735" t="s">
        <v>85</v>
      </c>
      <c r="R1735" t="s">
        <v>12821</v>
      </c>
      <c r="W1735" t="s">
        <v>12820</v>
      </c>
      <c r="X1735" t="s">
        <v>12822</v>
      </c>
      <c r="Y1735" t="s">
        <v>155</v>
      </c>
      <c r="Z1735" t="s">
        <v>77</v>
      </c>
      <c r="AA1735" t="str">
        <f>"10301-2736"</f>
        <v>10301-2736</v>
      </c>
      <c r="AB1735" t="s">
        <v>122</v>
      </c>
      <c r="AC1735" t="s">
        <v>79</v>
      </c>
      <c r="AD1735" t="s">
        <v>75</v>
      </c>
      <c r="AE1735" t="s">
        <v>80</v>
      </c>
      <c r="AG1735" t="s">
        <v>81</v>
      </c>
    </row>
    <row r="1736" spans="1:33" x14ac:dyDescent="0.25">
      <c r="A1736" t="str">
        <f>"1952694838"</f>
        <v>1952694838</v>
      </c>
      <c r="C1736" t="s">
        <v>12823</v>
      </c>
      <c r="K1736" t="s">
        <v>99</v>
      </c>
      <c r="L1736" t="s">
        <v>102</v>
      </c>
      <c r="M1736" t="s">
        <v>75</v>
      </c>
      <c r="R1736" t="s">
        <v>12824</v>
      </c>
      <c r="S1736" t="s">
        <v>12825</v>
      </c>
      <c r="T1736" t="s">
        <v>12826</v>
      </c>
      <c r="U1736" t="s">
        <v>4546</v>
      </c>
      <c r="V1736" t="str">
        <f>"852811210"</f>
        <v>852811210</v>
      </c>
      <c r="AC1736" t="s">
        <v>79</v>
      </c>
      <c r="AD1736" t="s">
        <v>75</v>
      </c>
      <c r="AE1736" t="s">
        <v>103</v>
      </c>
      <c r="AG1736" t="s">
        <v>81</v>
      </c>
    </row>
    <row r="1737" spans="1:33" x14ac:dyDescent="0.25">
      <c r="A1737" t="str">
        <f>"1174726616"</f>
        <v>1174726616</v>
      </c>
      <c r="B1737" t="str">
        <f>"02999273"</f>
        <v>02999273</v>
      </c>
      <c r="C1737" t="s">
        <v>12827</v>
      </c>
      <c r="D1737" t="s">
        <v>12828</v>
      </c>
      <c r="E1737" t="s">
        <v>12829</v>
      </c>
      <c r="L1737" t="s">
        <v>663</v>
      </c>
      <c r="M1737" t="s">
        <v>85</v>
      </c>
      <c r="R1737" t="s">
        <v>12830</v>
      </c>
      <c r="W1737" t="s">
        <v>12829</v>
      </c>
      <c r="X1737" t="s">
        <v>4617</v>
      </c>
      <c r="Y1737" t="s">
        <v>97</v>
      </c>
      <c r="Z1737" t="s">
        <v>77</v>
      </c>
      <c r="AA1737" t="str">
        <f>"10010-4019"</f>
        <v>10010-4019</v>
      </c>
      <c r="AB1737" t="s">
        <v>122</v>
      </c>
      <c r="AC1737" t="s">
        <v>79</v>
      </c>
      <c r="AD1737" t="s">
        <v>75</v>
      </c>
      <c r="AE1737" t="s">
        <v>80</v>
      </c>
      <c r="AG1737" t="s">
        <v>81</v>
      </c>
    </row>
    <row r="1738" spans="1:33" x14ac:dyDescent="0.25">
      <c r="A1738" t="str">
        <f>"1861735045"</f>
        <v>1861735045</v>
      </c>
      <c r="C1738" t="s">
        <v>12831</v>
      </c>
      <c r="K1738" t="s">
        <v>99</v>
      </c>
      <c r="L1738" t="s">
        <v>102</v>
      </c>
      <c r="M1738" t="s">
        <v>75</v>
      </c>
      <c r="R1738" t="s">
        <v>12832</v>
      </c>
      <c r="S1738" t="s">
        <v>329</v>
      </c>
      <c r="T1738" t="s">
        <v>97</v>
      </c>
      <c r="U1738" t="s">
        <v>77</v>
      </c>
      <c r="V1738" t="str">
        <f>"100296504"</f>
        <v>100296504</v>
      </c>
      <c r="AC1738" t="s">
        <v>79</v>
      </c>
      <c r="AD1738" t="s">
        <v>75</v>
      </c>
      <c r="AE1738" t="s">
        <v>103</v>
      </c>
      <c r="AG1738" t="s">
        <v>81</v>
      </c>
    </row>
    <row r="1739" spans="1:33" x14ac:dyDescent="0.25">
      <c r="A1739" t="str">
        <f>"1972945269"</f>
        <v>1972945269</v>
      </c>
      <c r="C1739" t="s">
        <v>12833</v>
      </c>
      <c r="K1739" t="s">
        <v>99</v>
      </c>
      <c r="L1739" t="s">
        <v>102</v>
      </c>
      <c r="M1739" t="s">
        <v>75</v>
      </c>
      <c r="R1739" t="s">
        <v>12834</v>
      </c>
      <c r="S1739" t="s">
        <v>12835</v>
      </c>
      <c r="T1739" t="s">
        <v>131</v>
      </c>
      <c r="U1739" t="s">
        <v>77</v>
      </c>
      <c r="V1739" t="str">
        <f>"104713050"</f>
        <v>104713050</v>
      </c>
      <c r="AC1739" t="s">
        <v>79</v>
      </c>
      <c r="AD1739" t="s">
        <v>75</v>
      </c>
      <c r="AE1739" t="s">
        <v>103</v>
      </c>
      <c r="AG1739" t="s">
        <v>81</v>
      </c>
    </row>
    <row r="1740" spans="1:33" x14ac:dyDescent="0.25">
      <c r="A1740" t="str">
        <f>"1881991941"</f>
        <v>1881991941</v>
      </c>
      <c r="B1740" t="str">
        <f>"04507255"</f>
        <v>04507255</v>
      </c>
      <c r="C1740" t="s">
        <v>12836</v>
      </c>
      <c r="D1740" t="s">
        <v>12837</v>
      </c>
      <c r="E1740" t="s">
        <v>12838</v>
      </c>
      <c r="L1740" t="s">
        <v>102</v>
      </c>
      <c r="M1740" t="s">
        <v>75</v>
      </c>
      <c r="R1740" t="s">
        <v>12838</v>
      </c>
      <c r="W1740" t="s">
        <v>12838</v>
      </c>
      <c r="AB1740" t="s">
        <v>82</v>
      </c>
      <c r="AC1740" t="s">
        <v>79</v>
      </c>
      <c r="AD1740" t="s">
        <v>75</v>
      </c>
      <c r="AE1740" t="s">
        <v>80</v>
      </c>
      <c r="AG1740" t="s">
        <v>81</v>
      </c>
    </row>
    <row r="1741" spans="1:33" x14ac:dyDescent="0.25">
      <c r="A1741" t="str">
        <f>"1881664456"</f>
        <v>1881664456</v>
      </c>
      <c r="B1741" t="str">
        <f>"00888091"</f>
        <v>00888091</v>
      </c>
      <c r="C1741" t="s">
        <v>12839</v>
      </c>
      <c r="D1741" t="s">
        <v>12840</v>
      </c>
      <c r="E1741" t="s">
        <v>12841</v>
      </c>
      <c r="L1741" t="s">
        <v>84</v>
      </c>
      <c r="M1741" t="s">
        <v>75</v>
      </c>
      <c r="R1741" t="s">
        <v>12842</v>
      </c>
      <c r="W1741" t="s">
        <v>12841</v>
      </c>
      <c r="X1741" t="s">
        <v>12843</v>
      </c>
      <c r="Y1741" t="s">
        <v>97</v>
      </c>
      <c r="Z1741" t="s">
        <v>77</v>
      </c>
      <c r="AA1741" t="str">
        <f>"10038-3805"</f>
        <v>10038-3805</v>
      </c>
      <c r="AB1741" t="s">
        <v>78</v>
      </c>
      <c r="AC1741" t="s">
        <v>79</v>
      </c>
      <c r="AD1741" t="s">
        <v>75</v>
      </c>
      <c r="AE1741" t="s">
        <v>80</v>
      </c>
      <c r="AG1741" t="s">
        <v>81</v>
      </c>
    </row>
    <row r="1742" spans="1:33" x14ac:dyDescent="0.25">
      <c r="A1742" t="str">
        <f>"1962720359"</f>
        <v>1962720359</v>
      </c>
      <c r="B1742" t="str">
        <f>"03230513"</f>
        <v>03230513</v>
      </c>
      <c r="C1742" t="s">
        <v>12844</v>
      </c>
      <c r="D1742" t="s">
        <v>12845</v>
      </c>
      <c r="E1742" t="s">
        <v>12846</v>
      </c>
      <c r="L1742" t="s">
        <v>74</v>
      </c>
      <c r="M1742" t="s">
        <v>75</v>
      </c>
      <c r="R1742" t="s">
        <v>12847</v>
      </c>
      <c r="W1742" t="s">
        <v>12846</v>
      </c>
      <c r="X1742" t="s">
        <v>235</v>
      </c>
      <c r="Y1742" t="s">
        <v>236</v>
      </c>
      <c r="Z1742" t="s">
        <v>77</v>
      </c>
      <c r="AA1742" t="str">
        <f>"11102-2448"</f>
        <v>11102-2448</v>
      </c>
      <c r="AB1742" t="s">
        <v>78</v>
      </c>
      <c r="AC1742" t="s">
        <v>79</v>
      </c>
      <c r="AD1742" t="s">
        <v>75</v>
      </c>
      <c r="AE1742" t="s">
        <v>80</v>
      </c>
      <c r="AG1742" t="s">
        <v>81</v>
      </c>
    </row>
    <row r="1743" spans="1:33" x14ac:dyDescent="0.25">
      <c r="A1743" t="str">
        <f>"1841578713"</f>
        <v>1841578713</v>
      </c>
      <c r="B1743" t="str">
        <f>"03922167"</f>
        <v>03922167</v>
      </c>
      <c r="C1743" t="s">
        <v>12848</v>
      </c>
      <c r="D1743" t="s">
        <v>12849</v>
      </c>
      <c r="E1743" t="s">
        <v>12850</v>
      </c>
      <c r="L1743" t="s">
        <v>74</v>
      </c>
      <c r="M1743" t="s">
        <v>75</v>
      </c>
      <c r="R1743" t="s">
        <v>12850</v>
      </c>
      <c r="W1743" t="s">
        <v>12850</v>
      </c>
      <c r="X1743" t="s">
        <v>12851</v>
      </c>
      <c r="Y1743" t="s">
        <v>97</v>
      </c>
      <c r="Z1743" t="s">
        <v>77</v>
      </c>
      <c r="AA1743" t="str">
        <f>"10025-1716"</f>
        <v>10025-1716</v>
      </c>
      <c r="AB1743" t="s">
        <v>78</v>
      </c>
      <c r="AC1743" t="s">
        <v>79</v>
      </c>
      <c r="AD1743" t="s">
        <v>75</v>
      </c>
      <c r="AE1743" t="s">
        <v>80</v>
      </c>
      <c r="AG1743" t="s">
        <v>81</v>
      </c>
    </row>
    <row r="1744" spans="1:33" x14ac:dyDescent="0.25">
      <c r="A1744" t="str">
        <f>"1841582681"</f>
        <v>1841582681</v>
      </c>
      <c r="C1744" t="s">
        <v>12852</v>
      </c>
      <c r="K1744" t="s">
        <v>99</v>
      </c>
      <c r="L1744" t="s">
        <v>102</v>
      </c>
      <c r="M1744" t="s">
        <v>75</v>
      </c>
      <c r="R1744" t="s">
        <v>12853</v>
      </c>
      <c r="S1744" t="s">
        <v>12854</v>
      </c>
      <c r="T1744" t="s">
        <v>97</v>
      </c>
      <c r="U1744" t="s">
        <v>77</v>
      </c>
      <c r="V1744" t="str">
        <f>"100297221"</f>
        <v>100297221</v>
      </c>
      <c r="AC1744" t="s">
        <v>79</v>
      </c>
      <c r="AD1744" t="s">
        <v>75</v>
      </c>
      <c r="AE1744" t="s">
        <v>103</v>
      </c>
      <c r="AG1744" t="s">
        <v>81</v>
      </c>
    </row>
    <row r="1745" spans="1:33" x14ac:dyDescent="0.25">
      <c r="A1745" t="str">
        <f>"1841557469"</f>
        <v>1841557469</v>
      </c>
      <c r="C1745" t="s">
        <v>12855</v>
      </c>
      <c r="K1745" t="s">
        <v>99</v>
      </c>
      <c r="L1745" t="s">
        <v>102</v>
      </c>
      <c r="M1745" t="s">
        <v>75</v>
      </c>
      <c r="R1745" t="s">
        <v>12856</v>
      </c>
      <c r="S1745" t="s">
        <v>249</v>
      </c>
      <c r="T1745" t="s">
        <v>212</v>
      </c>
      <c r="U1745" t="s">
        <v>77</v>
      </c>
      <c r="V1745" t="str">
        <f>"118034914"</f>
        <v>118034914</v>
      </c>
      <c r="AC1745" t="s">
        <v>79</v>
      </c>
      <c r="AD1745" t="s">
        <v>75</v>
      </c>
      <c r="AE1745" t="s">
        <v>103</v>
      </c>
      <c r="AG1745" t="s">
        <v>81</v>
      </c>
    </row>
    <row r="1746" spans="1:33" x14ac:dyDescent="0.25">
      <c r="A1746" t="str">
        <f>"1770927600"</f>
        <v>1770927600</v>
      </c>
      <c r="C1746" t="s">
        <v>12857</v>
      </c>
      <c r="K1746" t="s">
        <v>99</v>
      </c>
      <c r="L1746" t="s">
        <v>102</v>
      </c>
      <c r="M1746" t="s">
        <v>75</v>
      </c>
      <c r="R1746" t="s">
        <v>12858</v>
      </c>
      <c r="S1746" t="s">
        <v>12859</v>
      </c>
      <c r="T1746" t="s">
        <v>97</v>
      </c>
      <c r="U1746" t="s">
        <v>77</v>
      </c>
      <c r="V1746" t="str">
        <f>"100033804"</f>
        <v>100033804</v>
      </c>
      <c r="AC1746" t="s">
        <v>79</v>
      </c>
      <c r="AD1746" t="s">
        <v>75</v>
      </c>
      <c r="AE1746" t="s">
        <v>103</v>
      </c>
      <c r="AG1746" t="s">
        <v>81</v>
      </c>
    </row>
    <row r="1747" spans="1:33" x14ac:dyDescent="0.25">
      <c r="A1747" t="str">
        <f>"1962701599"</f>
        <v>1962701599</v>
      </c>
      <c r="C1747" t="s">
        <v>12860</v>
      </c>
      <c r="K1747" t="s">
        <v>99</v>
      </c>
      <c r="L1747" t="s">
        <v>102</v>
      </c>
      <c r="M1747" t="s">
        <v>75</v>
      </c>
      <c r="R1747" t="s">
        <v>12861</v>
      </c>
      <c r="S1747" t="s">
        <v>12862</v>
      </c>
      <c r="T1747" t="s">
        <v>97</v>
      </c>
      <c r="U1747" t="s">
        <v>77</v>
      </c>
      <c r="V1747" t="str">
        <f>"100296552"</f>
        <v>100296552</v>
      </c>
      <c r="AC1747" t="s">
        <v>79</v>
      </c>
      <c r="AD1747" t="s">
        <v>75</v>
      </c>
      <c r="AE1747" t="s">
        <v>103</v>
      </c>
      <c r="AG1747" t="s">
        <v>81</v>
      </c>
    </row>
    <row r="1748" spans="1:33" x14ac:dyDescent="0.25">
      <c r="A1748" t="str">
        <f>"1922307180"</f>
        <v>1922307180</v>
      </c>
      <c r="C1748" t="s">
        <v>12863</v>
      </c>
      <c r="K1748" t="s">
        <v>99</v>
      </c>
      <c r="L1748" t="s">
        <v>102</v>
      </c>
      <c r="M1748" t="s">
        <v>75</v>
      </c>
      <c r="R1748" t="s">
        <v>12864</v>
      </c>
      <c r="S1748" t="s">
        <v>329</v>
      </c>
      <c r="T1748" t="s">
        <v>97</v>
      </c>
      <c r="U1748" t="s">
        <v>77</v>
      </c>
      <c r="V1748" t="str">
        <f>"100296574"</f>
        <v>100296574</v>
      </c>
      <c r="AC1748" t="s">
        <v>79</v>
      </c>
      <c r="AD1748" t="s">
        <v>75</v>
      </c>
      <c r="AE1748" t="s">
        <v>103</v>
      </c>
      <c r="AG1748" t="s">
        <v>81</v>
      </c>
    </row>
    <row r="1749" spans="1:33" x14ac:dyDescent="0.25">
      <c r="A1749" t="str">
        <f>"1780094052"</f>
        <v>1780094052</v>
      </c>
      <c r="C1749" t="s">
        <v>12865</v>
      </c>
      <c r="K1749" t="s">
        <v>99</v>
      </c>
      <c r="L1749" t="s">
        <v>102</v>
      </c>
      <c r="M1749" t="s">
        <v>75</v>
      </c>
      <c r="R1749" t="s">
        <v>12866</v>
      </c>
      <c r="S1749" t="s">
        <v>329</v>
      </c>
      <c r="T1749" t="s">
        <v>97</v>
      </c>
      <c r="U1749" t="s">
        <v>77</v>
      </c>
      <c r="V1749" t="str">
        <f>"100296504"</f>
        <v>100296504</v>
      </c>
      <c r="AC1749" t="s">
        <v>79</v>
      </c>
      <c r="AD1749" t="s">
        <v>75</v>
      </c>
      <c r="AE1749" t="s">
        <v>103</v>
      </c>
      <c r="AG1749" t="s">
        <v>81</v>
      </c>
    </row>
    <row r="1750" spans="1:33" x14ac:dyDescent="0.25">
      <c r="A1750" t="str">
        <f>"1851379762"</f>
        <v>1851379762</v>
      </c>
      <c r="B1750" t="str">
        <f>"03593437"</f>
        <v>03593437</v>
      </c>
      <c r="C1750" t="s">
        <v>12867</v>
      </c>
      <c r="D1750" t="s">
        <v>12868</v>
      </c>
      <c r="E1750" t="s">
        <v>12869</v>
      </c>
      <c r="L1750" t="s">
        <v>74</v>
      </c>
      <c r="M1750" t="s">
        <v>75</v>
      </c>
      <c r="R1750" t="s">
        <v>12870</v>
      </c>
      <c r="W1750" t="s">
        <v>12871</v>
      </c>
      <c r="X1750" t="s">
        <v>12872</v>
      </c>
      <c r="Y1750" t="s">
        <v>97</v>
      </c>
      <c r="Z1750" t="s">
        <v>77</v>
      </c>
      <c r="AA1750" t="str">
        <f>"10003-2162"</f>
        <v>10003-2162</v>
      </c>
      <c r="AB1750" t="s">
        <v>78</v>
      </c>
      <c r="AC1750" t="s">
        <v>79</v>
      </c>
      <c r="AD1750" t="s">
        <v>75</v>
      </c>
      <c r="AE1750" t="s">
        <v>80</v>
      </c>
      <c r="AG1750" t="s">
        <v>81</v>
      </c>
    </row>
    <row r="1751" spans="1:33" x14ac:dyDescent="0.25">
      <c r="A1751" t="str">
        <f>"1891043519"</f>
        <v>1891043519</v>
      </c>
      <c r="B1751" t="str">
        <f>"04157140"</f>
        <v>04157140</v>
      </c>
      <c r="C1751" t="s">
        <v>12873</v>
      </c>
      <c r="D1751" t="s">
        <v>6168</v>
      </c>
      <c r="E1751" t="s">
        <v>6169</v>
      </c>
      <c r="L1751" t="s">
        <v>84</v>
      </c>
      <c r="M1751" t="s">
        <v>75</v>
      </c>
      <c r="R1751" t="s">
        <v>6169</v>
      </c>
      <c r="W1751" t="s">
        <v>6169</v>
      </c>
      <c r="X1751" t="s">
        <v>4668</v>
      </c>
      <c r="Y1751" t="s">
        <v>131</v>
      </c>
      <c r="Z1751" t="s">
        <v>77</v>
      </c>
      <c r="AA1751" t="str">
        <f>"10467-3963"</f>
        <v>10467-3963</v>
      </c>
      <c r="AB1751" t="s">
        <v>78</v>
      </c>
      <c r="AC1751" t="s">
        <v>79</v>
      </c>
      <c r="AD1751" t="s">
        <v>75</v>
      </c>
      <c r="AE1751" t="s">
        <v>80</v>
      </c>
      <c r="AG1751" t="s">
        <v>81</v>
      </c>
    </row>
    <row r="1752" spans="1:33" x14ac:dyDescent="0.25">
      <c r="A1752" t="str">
        <f>"1972893915"</f>
        <v>1972893915</v>
      </c>
      <c r="B1752" t="str">
        <f>"04294515"</f>
        <v>04294515</v>
      </c>
      <c r="C1752" t="s">
        <v>12874</v>
      </c>
      <c r="D1752" t="s">
        <v>12875</v>
      </c>
      <c r="E1752" t="s">
        <v>12876</v>
      </c>
      <c r="L1752" t="s">
        <v>74</v>
      </c>
      <c r="M1752" t="s">
        <v>75</v>
      </c>
      <c r="R1752" t="s">
        <v>12877</v>
      </c>
      <c r="W1752" t="s">
        <v>12878</v>
      </c>
      <c r="X1752" t="s">
        <v>5295</v>
      </c>
      <c r="Y1752" t="s">
        <v>97</v>
      </c>
      <c r="Z1752" t="s">
        <v>77</v>
      </c>
      <c r="AA1752" t="str">
        <f>"10003-0000"</f>
        <v>10003-0000</v>
      </c>
      <c r="AB1752" t="s">
        <v>78</v>
      </c>
      <c r="AC1752" t="s">
        <v>79</v>
      </c>
      <c r="AD1752" t="s">
        <v>75</v>
      </c>
      <c r="AE1752" t="s">
        <v>80</v>
      </c>
      <c r="AG1752" t="s">
        <v>81</v>
      </c>
    </row>
    <row r="1753" spans="1:33" x14ac:dyDescent="0.25">
      <c r="A1753" t="str">
        <f>"1982979217"</f>
        <v>1982979217</v>
      </c>
      <c r="B1753" t="str">
        <f>"04233592"</f>
        <v>04233592</v>
      </c>
      <c r="C1753" t="s">
        <v>12879</v>
      </c>
      <c r="D1753" t="s">
        <v>12880</v>
      </c>
      <c r="E1753" t="s">
        <v>12881</v>
      </c>
      <c r="L1753" t="s">
        <v>74</v>
      </c>
      <c r="M1753" t="s">
        <v>75</v>
      </c>
      <c r="R1753" t="s">
        <v>12882</v>
      </c>
      <c r="W1753" t="s">
        <v>12881</v>
      </c>
      <c r="X1753" t="s">
        <v>3553</v>
      </c>
      <c r="Y1753" t="s">
        <v>97</v>
      </c>
      <c r="Z1753" t="s">
        <v>77</v>
      </c>
      <c r="AA1753" t="str">
        <f>"10003-3851"</f>
        <v>10003-3851</v>
      </c>
      <c r="AB1753" t="s">
        <v>78</v>
      </c>
      <c r="AC1753" t="s">
        <v>79</v>
      </c>
      <c r="AD1753" t="s">
        <v>75</v>
      </c>
      <c r="AE1753" t="s">
        <v>80</v>
      </c>
      <c r="AG1753" t="s">
        <v>81</v>
      </c>
    </row>
    <row r="1754" spans="1:33" x14ac:dyDescent="0.25">
      <c r="A1754" t="str">
        <f>"1881037075"</f>
        <v>1881037075</v>
      </c>
      <c r="C1754" t="s">
        <v>12883</v>
      </c>
      <c r="K1754" t="s">
        <v>99</v>
      </c>
      <c r="L1754" t="s">
        <v>102</v>
      </c>
      <c r="M1754" t="s">
        <v>75</v>
      </c>
      <c r="R1754" t="s">
        <v>12884</v>
      </c>
      <c r="S1754" t="s">
        <v>12885</v>
      </c>
      <c r="T1754" t="s">
        <v>97</v>
      </c>
      <c r="U1754" t="s">
        <v>77</v>
      </c>
      <c r="V1754" t="str">
        <f>"10003"</f>
        <v>10003</v>
      </c>
      <c r="AC1754" t="s">
        <v>79</v>
      </c>
      <c r="AD1754" t="s">
        <v>75</v>
      </c>
      <c r="AE1754" t="s">
        <v>103</v>
      </c>
      <c r="AG1754" t="s">
        <v>81</v>
      </c>
    </row>
    <row r="1755" spans="1:33" x14ac:dyDescent="0.25">
      <c r="A1755" t="str">
        <f>"1831152768"</f>
        <v>1831152768</v>
      </c>
      <c r="B1755" t="str">
        <f>"02048020"</f>
        <v>02048020</v>
      </c>
      <c r="C1755" t="s">
        <v>12886</v>
      </c>
      <c r="D1755" t="s">
        <v>12887</v>
      </c>
      <c r="E1755" t="s">
        <v>12888</v>
      </c>
      <c r="H1755" t="s">
        <v>12889</v>
      </c>
      <c r="J1755" t="s">
        <v>12890</v>
      </c>
      <c r="L1755" t="s">
        <v>83</v>
      </c>
      <c r="M1755" t="s">
        <v>85</v>
      </c>
      <c r="R1755" t="s">
        <v>12891</v>
      </c>
      <c r="W1755" t="s">
        <v>12888</v>
      </c>
      <c r="X1755" t="s">
        <v>11785</v>
      </c>
      <c r="Y1755" t="s">
        <v>240</v>
      </c>
      <c r="Z1755" t="s">
        <v>77</v>
      </c>
      <c r="AA1755" t="str">
        <f>"11530-3207"</f>
        <v>11530-3207</v>
      </c>
      <c r="AB1755" t="s">
        <v>78</v>
      </c>
      <c r="AC1755" t="s">
        <v>79</v>
      </c>
      <c r="AD1755" t="s">
        <v>75</v>
      </c>
      <c r="AE1755" t="s">
        <v>80</v>
      </c>
      <c r="AG1755" t="s">
        <v>81</v>
      </c>
    </row>
    <row r="1756" spans="1:33" x14ac:dyDescent="0.25">
      <c r="A1756" t="str">
        <f>"1407831324"</f>
        <v>1407831324</v>
      </c>
      <c r="B1756" t="str">
        <f>"01249114"</f>
        <v>01249114</v>
      </c>
      <c r="C1756" t="s">
        <v>12892</v>
      </c>
      <c r="D1756" t="s">
        <v>4848</v>
      </c>
      <c r="E1756" t="s">
        <v>4849</v>
      </c>
      <c r="H1756" t="s">
        <v>12893</v>
      </c>
      <c r="J1756" t="s">
        <v>12894</v>
      </c>
      <c r="L1756" t="s">
        <v>83</v>
      </c>
      <c r="M1756" t="s">
        <v>85</v>
      </c>
      <c r="R1756" t="s">
        <v>4850</v>
      </c>
      <c r="W1756" t="s">
        <v>4849</v>
      </c>
      <c r="X1756" t="s">
        <v>4851</v>
      </c>
      <c r="Y1756" t="s">
        <v>131</v>
      </c>
      <c r="Z1756" t="s">
        <v>77</v>
      </c>
      <c r="AA1756" t="str">
        <f>"10461-2375"</f>
        <v>10461-2375</v>
      </c>
      <c r="AB1756" t="s">
        <v>78</v>
      </c>
      <c r="AC1756" t="s">
        <v>79</v>
      </c>
      <c r="AD1756" t="s">
        <v>75</v>
      </c>
      <c r="AE1756" t="s">
        <v>80</v>
      </c>
      <c r="AG1756" t="s">
        <v>81</v>
      </c>
    </row>
    <row r="1757" spans="1:33" x14ac:dyDescent="0.25">
      <c r="A1757" t="str">
        <f>"1831173582"</f>
        <v>1831173582</v>
      </c>
      <c r="B1757" t="str">
        <f>"00460348"</f>
        <v>00460348</v>
      </c>
      <c r="C1757" t="s">
        <v>12895</v>
      </c>
      <c r="D1757" t="s">
        <v>12896</v>
      </c>
      <c r="E1757" t="s">
        <v>12897</v>
      </c>
      <c r="H1757" t="s">
        <v>12889</v>
      </c>
      <c r="J1757" t="s">
        <v>12898</v>
      </c>
      <c r="L1757" t="s">
        <v>83</v>
      </c>
      <c r="M1757" t="s">
        <v>85</v>
      </c>
      <c r="R1757" t="s">
        <v>12899</v>
      </c>
      <c r="W1757" t="s">
        <v>12900</v>
      </c>
      <c r="X1757" t="s">
        <v>12901</v>
      </c>
      <c r="Y1757" t="s">
        <v>12902</v>
      </c>
      <c r="Z1757" t="s">
        <v>77</v>
      </c>
      <c r="AA1757" t="str">
        <f>"10994-1966"</f>
        <v>10994-1966</v>
      </c>
      <c r="AB1757" t="s">
        <v>78</v>
      </c>
      <c r="AC1757" t="s">
        <v>79</v>
      </c>
      <c r="AD1757" t="s">
        <v>75</v>
      </c>
      <c r="AE1757" t="s">
        <v>80</v>
      </c>
      <c r="AG1757" t="s">
        <v>81</v>
      </c>
    </row>
    <row r="1758" spans="1:33" x14ac:dyDescent="0.25">
      <c r="A1758" t="str">
        <f>"1841261732"</f>
        <v>1841261732</v>
      </c>
      <c r="B1758" t="str">
        <f>"01782498"</f>
        <v>01782498</v>
      </c>
      <c r="C1758" t="s">
        <v>12903</v>
      </c>
      <c r="D1758" t="s">
        <v>12904</v>
      </c>
      <c r="E1758" t="s">
        <v>12905</v>
      </c>
      <c r="H1758" t="s">
        <v>12906</v>
      </c>
      <c r="J1758" t="s">
        <v>12907</v>
      </c>
      <c r="L1758" t="s">
        <v>83</v>
      </c>
      <c r="M1758" t="s">
        <v>85</v>
      </c>
      <c r="R1758" t="s">
        <v>12908</v>
      </c>
      <c r="W1758" t="s">
        <v>12905</v>
      </c>
      <c r="X1758" t="s">
        <v>12909</v>
      </c>
      <c r="Y1758" t="s">
        <v>230</v>
      </c>
      <c r="Z1758" t="s">
        <v>77</v>
      </c>
      <c r="AA1758" t="str">
        <f>"11795-4420"</f>
        <v>11795-4420</v>
      </c>
      <c r="AB1758" t="s">
        <v>78</v>
      </c>
      <c r="AC1758" t="s">
        <v>79</v>
      </c>
      <c r="AD1758" t="s">
        <v>75</v>
      </c>
      <c r="AE1758" t="s">
        <v>80</v>
      </c>
      <c r="AG1758" t="s">
        <v>81</v>
      </c>
    </row>
    <row r="1759" spans="1:33" x14ac:dyDescent="0.25">
      <c r="A1759" t="str">
        <f>"1699759340"</f>
        <v>1699759340</v>
      </c>
      <c r="B1759" t="str">
        <f>"01435152"</f>
        <v>01435152</v>
      </c>
      <c r="C1759" t="s">
        <v>12910</v>
      </c>
      <c r="D1759" t="s">
        <v>12911</v>
      </c>
      <c r="E1759" t="s">
        <v>12912</v>
      </c>
      <c r="H1759" t="s">
        <v>12312</v>
      </c>
      <c r="J1759" t="s">
        <v>12913</v>
      </c>
      <c r="L1759" t="s">
        <v>83</v>
      </c>
      <c r="M1759" t="s">
        <v>85</v>
      </c>
      <c r="R1759" t="s">
        <v>12914</v>
      </c>
      <c r="W1759" t="s">
        <v>12912</v>
      </c>
      <c r="X1759" t="s">
        <v>12915</v>
      </c>
      <c r="Y1759" t="s">
        <v>4845</v>
      </c>
      <c r="Z1759" t="s">
        <v>77</v>
      </c>
      <c r="AA1759" t="str">
        <f>"10994-1966"</f>
        <v>10994-1966</v>
      </c>
      <c r="AB1759" t="s">
        <v>78</v>
      </c>
      <c r="AC1759" t="s">
        <v>79</v>
      </c>
      <c r="AD1759" t="s">
        <v>75</v>
      </c>
      <c r="AE1759" t="s">
        <v>80</v>
      </c>
      <c r="AG1759" t="s">
        <v>81</v>
      </c>
    </row>
    <row r="1760" spans="1:33" x14ac:dyDescent="0.25">
      <c r="A1760" t="str">
        <f>"1841576709"</f>
        <v>1841576709</v>
      </c>
      <c r="C1760" t="s">
        <v>12916</v>
      </c>
      <c r="K1760" t="s">
        <v>99</v>
      </c>
      <c r="L1760" t="s">
        <v>102</v>
      </c>
      <c r="M1760" t="s">
        <v>75</v>
      </c>
      <c r="R1760" t="s">
        <v>12917</v>
      </c>
      <c r="S1760" t="s">
        <v>12918</v>
      </c>
      <c r="T1760" t="s">
        <v>4646</v>
      </c>
      <c r="U1760" t="s">
        <v>4647</v>
      </c>
      <c r="V1760" t="str">
        <f>"303292206"</f>
        <v>303292206</v>
      </c>
      <c r="AC1760" t="s">
        <v>79</v>
      </c>
      <c r="AD1760" t="s">
        <v>75</v>
      </c>
      <c r="AE1760" t="s">
        <v>103</v>
      </c>
      <c r="AG1760" t="s">
        <v>81</v>
      </c>
    </row>
    <row r="1761" spans="1:33" x14ac:dyDescent="0.25">
      <c r="A1761" t="str">
        <f>"1972890242"</f>
        <v>1972890242</v>
      </c>
      <c r="B1761" t="str">
        <f>"04130347"</f>
        <v>04130347</v>
      </c>
      <c r="C1761" t="s">
        <v>12919</v>
      </c>
      <c r="D1761" t="s">
        <v>12920</v>
      </c>
      <c r="E1761" t="s">
        <v>12921</v>
      </c>
      <c r="L1761" t="s">
        <v>83</v>
      </c>
      <c r="M1761" t="s">
        <v>75</v>
      </c>
      <c r="R1761" t="s">
        <v>12922</v>
      </c>
      <c r="W1761" t="s">
        <v>12921</v>
      </c>
      <c r="X1761" t="s">
        <v>638</v>
      </c>
      <c r="Y1761" t="s">
        <v>131</v>
      </c>
      <c r="Z1761" t="s">
        <v>77</v>
      </c>
      <c r="AA1761" t="str">
        <f>"10453-4303"</f>
        <v>10453-4303</v>
      </c>
      <c r="AB1761" t="s">
        <v>78</v>
      </c>
      <c r="AC1761" t="s">
        <v>79</v>
      </c>
      <c r="AD1761" t="s">
        <v>75</v>
      </c>
      <c r="AE1761" t="s">
        <v>80</v>
      </c>
      <c r="AG1761" t="s">
        <v>81</v>
      </c>
    </row>
    <row r="1762" spans="1:33" x14ac:dyDescent="0.25">
      <c r="A1762" t="str">
        <f>"1700890159"</f>
        <v>1700890159</v>
      </c>
      <c r="B1762" t="str">
        <f>"01971099"</f>
        <v>01971099</v>
      </c>
      <c r="C1762" t="s">
        <v>12923</v>
      </c>
      <c r="D1762" t="s">
        <v>12924</v>
      </c>
      <c r="E1762" t="s">
        <v>12925</v>
      </c>
      <c r="H1762" t="s">
        <v>12926</v>
      </c>
      <c r="J1762" t="s">
        <v>12927</v>
      </c>
      <c r="L1762" t="s">
        <v>83</v>
      </c>
      <c r="M1762" t="s">
        <v>85</v>
      </c>
      <c r="R1762" t="s">
        <v>12925</v>
      </c>
      <c r="W1762" t="s">
        <v>12925</v>
      </c>
      <c r="X1762" t="s">
        <v>12928</v>
      </c>
      <c r="Y1762" t="s">
        <v>87</v>
      </c>
      <c r="Z1762" t="s">
        <v>77</v>
      </c>
      <c r="AA1762" t="str">
        <f>"11249-7823"</f>
        <v>11249-7823</v>
      </c>
      <c r="AB1762" t="s">
        <v>78</v>
      </c>
      <c r="AC1762" t="s">
        <v>79</v>
      </c>
      <c r="AD1762" t="s">
        <v>75</v>
      </c>
      <c r="AE1762" t="s">
        <v>80</v>
      </c>
      <c r="AG1762" t="s">
        <v>81</v>
      </c>
    </row>
    <row r="1763" spans="1:33" x14ac:dyDescent="0.25">
      <c r="A1763" t="str">
        <f>"1851550412"</f>
        <v>1851550412</v>
      </c>
      <c r="C1763" t="s">
        <v>12929</v>
      </c>
      <c r="K1763" t="s">
        <v>99</v>
      </c>
      <c r="L1763" t="s">
        <v>102</v>
      </c>
      <c r="M1763" t="s">
        <v>75</v>
      </c>
      <c r="R1763" t="s">
        <v>12930</v>
      </c>
      <c r="S1763" t="s">
        <v>329</v>
      </c>
      <c r="T1763" t="s">
        <v>97</v>
      </c>
      <c r="U1763" t="s">
        <v>77</v>
      </c>
      <c r="V1763" t="str">
        <f>"100296500"</f>
        <v>100296500</v>
      </c>
      <c r="AC1763" t="s">
        <v>79</v>
      </c>
      <c r="AD1763" t="s">
        <v>75</v>
      </c>
      <c r="AE1763" t="s">
        <v>103</v>
      </c>
      <c r="AG1763" t="s">
        <v>81</v>
      </c>
    </row>
    <row r="1764" spans="1:33" x14ac:dyDescent="0.25">
      <c r="A1764" t="str">
        <f>"1962722645"</f>
        <v>1962722645</v>
      </c>
      <c r="C1764" t="s">
        <v>12931</v>
      </c>
      <c r="K1764" t="s">
        <v>99</v>
      </c>
      <c r="L1764" t="s">
        <v>102</v>
      </c>
      <c r="M1764" t="s">
        <v>75</v>
      </c>
      <c r="R1764" t="s">
        <v>12932</v>
      </c>
      <c r="S1764" t="s">
        <v>12933</v>
      </c>
      <c r="T1764" t="s">
        <v>2262</v>
      </c>
      <c r="U1764" t="s">
        <v>123</v>
      </c>
      <c r="V1764" t="str">
        <f>"021182605"</f>
        <v>021182605</v>
      </c>
      <c r="AC1764" t="s">
        <v>79</v>
      </c>
      <c r="AD1764" t="s">
        <v>75</v>
      </c>
      <c r="AE1764" t="s">
        <v>103</v>
      </c>
      <c r="AG1764" t="s">
        <v>81</v>
      </c>
    </row>
    <row r="1765" spans="1:33" x14ac:dyDescent="0.25">
      <c r="A1765" t="str">
        <f>"1871819771"</f>
        <v>1871819771</v>
      </c>
      <c r="B1765" t="str">
        <f>"04386641"</f>
        <v>04386641</v>
      </c>
      <c r="C1765" t="s">
        <v>12934</v>
      </c>
      <c r="D1765" t="s">
        <v>12935</v>
      </c>
      <c r="E1765" t="s">
        <v>12936</v>
      </c>
      <c r="L1765" t="s">
        <v>102</v>
      </c>
      <c r="M1765" t="s">
        <v>75</v>
      </c>
      <c r="R1765" t="s">
        <v>12937</v>
      </c>
      <c r="W1765" t="s">
        <v>12936</v>
      </c>
      <c r="X1765" t="s">
        <v>329</v>
      </c>
      <c r="Y1765" t="s">
        <v>97</v>
      </c>
      <c r="Z1765" t="s">
        <v>77</v>
      </c>
      <c r="AA1765" t="str">
        <f>"10029-6504"</f>
        <v>10029-6504</v>
      </c>
      <c r="AB1765" t="s">
        <v>78</v>
      </c>
      <c r="AC1765" t="s">
        <v>79</v>
      </c>
      <c r="AD1765" t="s">
        <v>75</v>
      </c>
      <c r="AE1765" t="s">
        <v>80</v>
      </c>
      <c r="AG1765" t="s">
        <v>81</v>
      </c>
    </row>
    <row r="1766" spans="1:33" x14ac:dyDescent="0.25">
      <c r="A1766" t="str">
        <f>"1770909301"</f>
        <v>1770909301</v>
      </c>
      <c r="C1766" t="s">
        <v>12938</v>
      </c>
      <c r="K1766" t="s">
        <v>99</v>
      </c>
      <c r="L1766" t="s">
        <v>102</v>
      </c>
      <c r="M1766" t="s">
        <v>75</v>
      </c>
      <c r="R1766" t="s">
        <v>12939</v>
      </c>
      <c r="S1766" t="s">
        <v>11254</v>
      </c>
      <c r="T1766" t="s">
        <v>131</v>
      </c>
      <c r="U1766" t="s">
        <v>77</v>
      </c>
      <c r="V1766" t="str">
        <f>"104683904"</f>
        <v>104683904</v>
      </c>
      <c r="AC1766" t="s">
        <v>79</v>
      </c>
      <c r="AD1766" t="s">
        <v>75</v>
      </c>
      <c r="AE1766" t="s">
        <v>103</v>
      </c>
      <c r="AG1766" t="s">
        <v>81</v>
      </c>
    </row>
    <row r="1767" spans="1:33" x14ac:dyDescent="0.25">
      <c r="A1767" t="str">
        <f>"1609087790"</f>
        <v>1609087790</v>
      </c>
      <c r="B1767" t="str">
        <f>"01756596"</f>
        <v>01756596</v>
      </c>
      <c r="C1767" t="s">
        <v>12940</v>
      </c>
      <c r="D1767" t="s">
        <v>4144</v>
      </c>
      <c r="E1767" t="s">
        <v>4145</v>
      </c>
      <c r="L1767" t="s">
        <v>35</v>
      </c>
      <c r="M1767" t="s">
        <v>85</v>
      </c>
      <c r="R1767" t="s">
        <v>4145</v>
      </c>
      <c r="W1767" t="s">
        <v>4145</v>
      </c>
      <c r="X1767" t="s">
        <v>4146</v>
      </c>
      <c r="Y1767" t="s">
        <v>97</v>
      </c>
      <c r="Z1767" t="s">
        <v>77</v>
      </c>
      <c r="AA1767" t="str">
        <f>"10027-4465"</f>
        <v>10027-4465</v>
      </c>
      <c r="AB1767" t="s">
        <v>98</v>
      </c>
      <c r="AC1767" t="s">
        <v>79</v>
      </c>
      <c r="AD1767" t="s">
        <v>75</v>
      </c>
      <c r="AE1767" t="s">
        <v>80</v>
      </c>
      <c r="AG1767" t="s">
        <v>81</v>
      </c>
    </row>
    <row r="1768" spans="1:33" x14ac:dyDescent="0.25">
      <c r="A1768" t="str">
        <f>"1922018357"</f>
        <v>1922018357</v>
      </c>
      <c r="B1768" t="str">
        <f>"01464039"</f>
        <v>01464039</v>
      </c>
      <c r="C1768" t="s">
        <v>12941</v>
      </c>
      <c r="D1768" t="s">
        <v>12942</v>
      </c>
      <c r="E1768" t="s">
        <v>12943</v>
      </c>
      <c r="H1768" t="s">
        <v>12944</v>
      </c>
      <c r="J1768" t="s">
        <v>12945</v>
      </c>
      <c r="L1768" t="s">
        <v>83</v>
      </c>
      <c r="M1768" t="s">
        <v>85</v>
      </c>
      <c r="R1768" t="s">
        <v>12946</v>
      </c>
      <c r="W1768" t="s">
        <v>12947</v>
      </c>
      <c r="X1768" t="s">
        <v>11945</v>
      </c>
      <c r="Y1768" t="s">
        <v>2128</v>
      </c>
      <c r="Z1768" t="s">
        <v>77</v>
      </c>
      <c r="AA1768" t="str">
        <f>"11743-2779"</f>
        <v>11743-2779</v>
      </c>
      <c r="AB1768" t="s">
        <v>78</v>
      </c>
      <c r="AC1768" t="s">
        <v>79</v>
      </c>
      <c r="AD1768" t="s">
        <v>75</v>
      </c>
      <c r="AE1768" t="s">
        <v>80</v>
      </c>
      <c r="AG1768" t="s">
        <v>81</v>
      </c>
    </row>
    <row r="1769" spans="1:33" x14ac:dyDescent="0.25">
      <c r="A1769" t="str">
        <f>"1215049341"</f>
        <v>1215049341</v>
      </c>
      <c r="B1769" t="str">
        <f>"01789344"</f>
        <v>01789344</v>
      </c>
      <c r="C1769" t="s">
        <v>12948</v>
      </c>
      <c r="D1769" t="s">
        <v>12949</v>
      </c>
      <c r="E1769" t="s">
        <v>12950</v>
      </c>
      <c r="H1769" t="s">
        <v>12951</v>
      </c>
      <c r="J1769" t="s">
        <v>12952</v>
      </c>
      <c r="L1769" t="s">
        <v>83</v>
      </c>
      <c r="M1769" t="s">
        <v>85</v>
      </c>
      <c r="R1769" t="s">
        <v>12953</v>
      </c>
      <c r="W1769" t="s">
        <v>12950</v>
      </c>
      <c r="X1769" t="s">
        <v>272</v>
      </c>
      <c r="Y1769" t="s">
        <v>97</v>
      </c>
      <c r="Z1769" t="s">
        <v>77</v>
      </c>
      <c r="AA1769" t="str">
        <f>"10029-6501"</f>
        <v>10029-6501</v>
      </c>
      <c r="AB1769" t="s">
        <v>78</v>
      </c>
      <c r="AC1769" t="s">
        <v>79</v>
      </c>
      <c r="AD1769" t="s">
        <v>75</v>
      </c>
      <c r="AE1769" t="s">
        <v>80</v>
      </c>
      <c r="AG1769" t="s">
        <v>81</v>
      </c>
    </row>
    <row r="1770" spans="1:33" x14ac:dyDescent="0.25">
      <c r="A1770" t="str">
        <f>"1841436458"</f>
        <v>1841436458</v>
      </c>
      <c r="B1770" t="str">
        <f>"01835405"</f>
        <v>01835405</v>
      </c>
      <c r="C1770" t="s">
        <v>12954</v>
      </c>
      <c r="D1770" t="s">
        <v>12955</v>
      </c>
      <c r="E1770" t="s">
        <v>12956</v>
      </c>
      <c r="H1770" t="s">
        <v>12957</v>
      </c>
      <c r="J1770" t="s">
        <v>12958</v>
      </c>
      <c r="L1770" t="s">
        <v>83</v>
      </c>
      <c r="M1770" t="s">
        <v>85</v>
      </c>
      <c r="R1770" t="s">
        <v>12959</v>
      </c>
      <c r="W1770" t="s">
        <v>12960</v>
      </c>
      <c r="X1770" t="s">
        <v>12961</v>
      </c>
      <c r="Y1770" t="s">
        <v>1965</v>
      </c>
      <c r="Z1770" t="s">
        <v>77</v>
      </c>
      <c r="AA1770" t="str">
        <f>"11767-1090"</f>
        <v>11767-1090</v>
      </c>
      <c r="AB1770" t="s">
        <v>78</v>
      </c>
      <c r="AC1770" t="s">
        <v>79</v>
      </c>
      <c r="AD1770" t="s">
        <v>75</v>
      </c>
      <c r="AE1770" t="s">
        <v>80</v>
      </c>
      <c r="AG1770" t="s">
        <v>81</v>
      </c>
    </row>
    <row r="1771" spans="1:33" x14ac:dyDescent="0.25">
      <c r="A1771" t="str">
        <f>"1801020896"</f>
        <v>1801020896</v>
      </c>
      <c r="C1771" t="s">
        <v>12962</v>
      </c>
      <c r="K1771" t="s">
        <v>99</v>
      </c>
      <c r="L1771" t="s">
        <v>74</v>
      </c>
      <c r="M1771" t="s">
        <v>75</v>
      </c>
      <c r="R1771" t="s">
        <v>12963</v>
      </c>
      <c r="S1771" t="s">
        <v>843</v>
      </c>
      <c r="T1771" t="s">
        <v>97</v>
      </c>
      <c r="U1771" t="s">
        <v>77</v>
      </c>
      <c r="V1771" t="str">
        <f>"100166402"</f>
        <v>100166402</v>
      </c>
      <c r="AC1771" t="s">
        <v>79</v>
      </c>
      <c r="AD1771" t="s">
        <v>75</v>
      </c>
      <c r="AE1771" t="s">
        <v>103</v>
      </c>
      <c r="AG1771" t="s">
        <v>81</v>
      </c>
    </row>
    <row r="1772" spans="1:33" x14ac:dyDescent="0.25">
      <c r="A1772" t="str">
        <f>"1831331263"</f>
        <v>1831331263</v>
      </c>
      <c r="B1772" t="str">
        <f>"04148830"</f>
        <v>04148830</v>
      </c>
      <c r="C1772" t="s">
        <v>12964</v>
      </c>
      <c r="D1772" t="s">
        <v>12965</v>
      </c>
      <c r="E1772" t="s">
        <v>12966</v>
      </c>
      <c r="L1772" t="s">
        <v>74</v>
      </c>
      <c r="M1772" t="s">
        <v>75</v>
      </c>
      <c r="R1772" t="s">
        <v>12967</v>
      </c>
      <c r="W1772" t="s">
        <v>12966</v>
      </c>
      <c r="X1772" t="s">
        <v>329</v>
      </c>
      <c r="Y1772" t="s">
        <v>97</v>
      </c>
      <c r="Z1772" t="s">
        <v>77</v>
      </c>
      <c r="AA1772" t="str">
        <f>"10029-6504"</f>
        <v>10029-6504</v>
      </c>
      <c r="AB1772" t="s">
        <v>78</v>
      </c>
      <c r="AC1772" t="s">
        <v>79</v>
      </c>
      <c r="AD1772" t="s">
        <v>75</v>
      </c>
      <c r="AE1772" t="s">
        <v>80</v>
      </c>
      <c r="AG1772" t="s">
        <v>81</v>
      </c>
    </row>
    <row r="1773" spans="1:33" x14ac:dyDescent="0.25">
      <c r="A1773" t="str">
        <f>"1861836827"</f>
        <v>1861836827</v>
      </c>
      <c r="B1773" t="str">
        <f>"04482573"</f>
        <v>04482573</v>
      </c>
      <c r="C1773" t="s">
        <v>12968</v>
      </c>
      <c r="D1773" t="s">
        <v>12969</v>
      </c>
      <c r="E1773" t="s">
        <v>12970</v>
      </c>
      <c r="L1773" t="s">
        <v>102</v>
      </c>
      <c r="M1773" t="s">
        <v>75</v>
      </c>
      <c r="R1773" t="s">
        <v>12971</v>
      </c>
      <c r="W1773" t="s">
        <v>12970</v>
      </c>
      <c r="AB1773" t="s">
        <v>78</v>
      </c>
      <c r="AC1773" t="s">
        <v>79</v>
      </c>
      <c r="AD1773" t="s">
        <v>75</v>
      </c>
      <c r="AE1773" t="s">
        <v>80</v>
      </c>
      <c r="AG1773" t="s">
        <v>81</v>
      </c>
    </row>
    <row r="1774" spans="1:33" x14ac:dyDescent="0.25">
      <c r="A1774" t="str">
        <f>"1780003707"</f>
        <v>1780003707</v>
      </c>
      <c r="C1774" t="s">
        <v>12972</v>
      </c>
      <c r="K1774" t="s">
        <v>99</v>
      </c>
      <c r="L1774" t="s">
        <v>102</v>
      </c>
      <c r="M1774" t="s">
        <v>75</v>
      </c>
      <c r="R1774" t="s">
        <v>12973</v>
      </c>
      <c r="S1774" t="s">
        <v>12974</v>
      </c>
      <c r="T1774" t="s">
        <v>97</v>
      </c>
      <c r="U1774" t="s">
        <v>77</v>
      </c>
      <c r="V1774" t="str">
        <f>"100251716"</f>
        <v>100251716</v>
      </c>
      <c r="AC1774" t="s">
        <v>79</v>
      </c>
      <c r="AD1774" t="s">
        <v>75</v>
      </c>
      <c r="AE1774" t="s">
        <v>103</v>
      </c>
      <c r="AG1774" t="s">
        <v>81</v>
      </c>
    </row>
    <row r="1775" spans="1:33" x14ac:dyDescent="0.25">
      <c r="A1775" t="str">
        <f>"1811054893"</f>
        <v>1811054893</v>
      </c>
      <c r="B1775" t="str">
        <f>"02857918"</f>
        <v>02857918</v>
      </c>
      <c r="C1775" t="s">
        <v>12975</v>
      </c>
      <c r="D1775" t="s">
        <v>12976</v>
      </c>
      <c r="E1775" t="s">
        <v>12977</v>
      </c>
      <c r="H1775" t="s">
        <v>12978</v>
      </c>
      <c r="J1775" t="s">
        <v>12979</v>
      </c>
      <c r="L1775" t="s">
        <v>83</v>
      </c>
      <c r="M1775" t="s">
        <v>85</v>
      </c>
      <c r="R1775" t="s">
        <v>12980</v>
      </c>
      <c r="W1775" t="s">
        <v>12977</v>
      </c>
      <c r="X1775" t="s">
        <v>11945</v>
      </c>
      <c r="Y1775" t="s">
        <v>2128</v>
      </c>
      <c r="Z1775" t="s">
        <v>77</v>
      </c>
      <c r="AA1775" t="str">
        <f>"11743-2779"</f>
        <v>11743-2779</v>
      </c>
      <c r="AB1775" t="s">
        <v>78</v>
      </c>
      <c r="AC1775" t="s">
        <v>79</v>
      </c>
      <c r="AD1775" t="s">
        <v>75</v>
      </c>
      <c r="AE1775" t="s">
        <v>80</v>
      </c>
      <c r="AG1775" t="s">
        <v>81</v>
      </c>
    </row>
    <row r="1776" spans="1:33" x14ac:dyDescent="0.25">
      <c r="A1776" t="str">
        <f>"1881692481"</f>
        <v>1881692481</v>
      </c>
      <c r="B1776" t="str">
        <f>"01839963"</f>
        <v>01839963</v>
      </c>
      <c r="C1776" t="s">
        <v>12981</v>
      </c>
      <c r="D1776" t="s">
        <v>12982</v>
      </c>
      <c r="E1776" t="s">
        <v>12983</v>
      </c>
      <c r="H1776" t="s">
        <v>12984</v>
      </c>
      <c r="J1776" t="s">
        <v>12985</v>
      </c>
      <c r="L1776" t="s">
        <v>83</v>
      </c>
      <c r="M1776" t="s">
        <v>75</v>
      </c>
      <c r="R1776" t="s">
        <v>12986</v>
      </c>
      <c r="W1776" t="s">
        <v>12983</v>
      </c>
      <c r="X1776" t="s">
        <v>12987</v>
      </c>
      <c r="Y1776" t="s">
        <v>131</v>
      </c>
      <c r="Z1776" t="s">
        <v>77</v>
      </c>
      <c r="AA1776" t="str">
        <f>"10471-1251"</f>
        <v>10471-1251</v>
      </c>
      <c r="AB1776" t="s">
        <v>78</v>
      </c>
      <c r="AC1776" t="s">
        <v>79</v>
      </c>
      <c r="AD1776" t="s">
        <v>75</v>
      </c>
      <c r="AE1776" t="s">
        <v>80</v>
      </c>
      <c r="AG1776" t="s">
        <v>81</v>
      </c>
    </row>
    <row r="1777" spans="1:33" x14ac:dyDescent="0.25">
      <c r="A1777" t="str">
        <f>"1790783397"</f>
        <v>1790783397</v>
      </c>
      <c r="B1777" t="str">
        <f>"00182072"</f>
        <v>00182072</v>
      </c>
      <c r="C1777" t="s">
        <v>12988</v>
      </c>
      <c r="D1777" t="s">
        <v>12989</v>
      </c>
      <c r="E1777" t="s">
        <v>12990</v>
      </c>
      <c r="H1777" t="s">
        <v>12991</v>
      </c>
      <c r="J1777" t="s">
        <v>12992</v>
      </c>
      <c r="L1777" t="s">
        <v>83</v>
      </c>
      <c r="M1777" t="s">
        <v>75</v>
      </c>
      <c r="R1777" t="s">
        <v>12993</v>
      </c>
      <c r="W1777" t="s">
        <v>12994</v>
      </c>
      <c r="X1777" t="s">
        <v>12995</v>
      </c>
      <c r="Y1777" t="s">
        <v>3826</v>
      </c>
      <c r="Z1777" t="s">
        <v>77</v>
      </c>
      <c r="AA1777" t="str">
        <f>"10950-1619"</f>
        <v>10950-1619</v>
      </c>
      <c r="AB1777" t="s">
        <v>78</v>
      </c>
      <c r="AC1777" t="s">
        <v>79</v>
      </c>
      <c r="AD1777" t="s">
        <v>75</v>
      </c>
      <c r="AE1777" t="s">
        <v>80</v>
      </c>
      <c r="AG1777" t="s">
        <v>81</v>
      </c>
    </row>
    <row r="1778" spans="1:33" x14ac:dyDescent="0.25">
      <c r="A1778" t="str">
        <f>"1982602405"</f>
        <v>1982602405</v>
      </c>
      <c r="B1778" t="str">
        <f>"01156505"</f>
        <v>01156505</v>
      </c>
      <c r="C1778" t="s">
        <v>12996</v>
      </c>
      <c r="D1778" t="s">
        <v>12997</v>
      </c>
      <c r="E1778" t="s">
        <v>12998</v>
      </c>
      <c r="H1778" t="s">
        <v>12999</v>
      </c>
      <c r="J1778" t="s">
        <v>13000</v>
      </c>
      <c r="L1778" t="s">
        <v>83</v>
      </c>
      <c r="M1778" t="s">
        <v>75</v>
      </c>
      <c r="R1778" t="s">
        <v>13001</v>
      </c>
      <c r="W1778" t="s">
        <v>12998</v>
      </c>
      <c r="X1778" t="s">
        <v>13002</v>
      </c>
      <c r="Y1778" t="s">
        <v>3826</v>
      </c>
      <c r="Z1778" t="s">
        <v>77</v>
      </c>
      <c r="AA1778" t="str">
        <f>"10950-1619"</f>
        <v>10950-1619</v>
      </c>
      <c r="AB1778" t="s">
        <v>78</v>
      </c>
      <c r="AC1778" t="s">
        <v>79</v>
      </c>
      <c r="AD1778" t="s">
        <v>75</v>
      </c>
      <c r="AE1778" t="s">
        <v>80</v>
      </c>
      <c r="AG1778" t="s">
        <v>81</v>
      </c>
    </row>
    <row r="1779" spans="1:33" x14ac:dyDescent="0.25">
      <c r="A1779" t="str">
        <f>"1831125913"</f>
        <v>1831125913</v>
      </c>
      <c r="B1779" t="str">
        <f>"02149553"</f>
        <v>02149553</v>
      </c>
      <c r="C1779" t="s">
        <v>13003</v>
      </c>
      <c r="D1779" t="s">
        <v>5813</v>
      </c>
      <c r="E1779" t="s">
        <v>5814</v>
      </c>
      <c r="H1779" t="s">
        <v>12203</v>
      </c>
      <c r="J1779" t="s">
        <v>13004</v>
      </c>
      <c r="L1779" t="s">
        <v>83</v>
      </c>
      <c r="M1779" t="s">
        <v>85</v>
      </c>
      <c r="R1779" t="s">
        <v>5815</v>
      </c>
      <c r="W1779" t="s">
        <v>5814</v>
      </c>
      <c r="X1779" t="s">
        <v>4892</v>
      </c>
      <c r="Y1779" t="s">
        <v>4786</v>
      </c>
      <c r="Z1779" t="s">
        <v>77</v>
      </c>
      <c r="AA1779" t="str">
        <f>"10706-1523"</f>
        <v>10706-1523</v>
      </c>
      <c r="AB1779" t="s">
        <v>78</v>
      </c>
      <c r="AC1779" t="s">
        <v>79</v>
      </c>
      <c r="AD1779" t="s">
        <v>75</v>
      </c>
      <c r="AE1779" t="s">
        <v>80</v>
      </c>
      <c r="AG1779" t="s">
        <v>81</v>
      </c>
    </row>
    <row r="1780" spans="1:33" x14ac:dyDescent="0.25">
      <c r="A1780" t="str">
        <f>"1558307256"</f>
        <v>1558307256</v>
      </c>
      <c r="B1780" t="str">
        <f>"01518381"</f>
        <v>01518381</v>
      </c>
      <c r="C1780" t="s">
        <v>13005</v>
      </c>
      <c r="D1780" t="s">
        <v>13006</v>
      </c>
      <c r="E1780" t="s">
        <v>13007</v>
      </c>
      <c r="H1780" t="s">
        <v>13008</v>
      </c>
      <c r="J1780" t="s">
        <v>13009</v>
      </c>
      <c r="L1780" t="s">
        <v>83</v>
      </c>
      <c r="M1780" t="s">
        <v>85</v>
      </c>
      <c r="R1780" t="s">
        <v>13010</v>
      </c>
      <c r="W1780" t="s">
        <v>13007</v>
      </c>
      <c r="X1780" t="s">
        <v>4771</v>
      </c>
      <c r="Y1780" t="s">
        <v>131</v>
      </c>
      <c r="Z1780" t="s">
        <v>77</v>
      </c>
      <c r="AA1780" t="str">
        <f>"10467-2401"</f>
        <v>10467-2401</v>
      </c>
      <c r="AB1780" t="s">
        <v>78</v>
      </c>
      <c r="AC1780" t="s">
        <v>79</v>
      </c>
      <c r="AD1780" t="s">
        <v>75</v>
      </c>
      <c r="AE1780" t="s">
        <v>80</v>
      </c>
      <c r="AG1780" t="s">
        <v>81</v>
      </c>
    </row>
    <row r="1781" spans="1:33" x14ac:dyDescent="0.25">
      <c r="A1781" t="str">
        <f>"1255637146"</f>
        <v>1255637146</v>
      </c>
      <c r="B1781" t="str">
        <f>"03590470"</f>
        <v>03590470</v>
      </c>
      <c r="C1781" t="s">
        <v>13011</v>
      </c>
      <c r="D1781" t="s">
        <v>13012</v>
      </c>
      <c r="E1781" t="s">
        <v>13013</v>
      </c>
      <c r="H1781" t="s">
        <v>11753</v>
      </c>
      <c r="J1781" t="s">
        <v>13014</v>
      </c>
      <c r="L1781" t="s">
        <v>83</v>
      </c>
      <c r="M1781" t="s">
        <v>85</v>
      </c>
      <c r="R1781" t="s">
        <v>13015</v>
      </c>
      <c r="W1781" t="s">
        <v>13013</v>
      </c>
      <c r="X1781" t="s">
        <v>5875</v>
      </c>
      <c r="Y1781" t="s">
        <v>227</v>
      </c>
      <c r="Z1781" t="s">
        <v>77</v>
      </c>
      <c r="AA1781" t="str">
        <f>"10601-4707"</f>
        <v>10601-4707</v>
      </c>
      <c r="AB1781" t="s">
        <v>78</v>
      </c>
      <c r="AC1781" t="s">
        <v>79</v>
      </c>
      <c r="AD1781" t="s">
        <v>75</v>
      </c>
      <c r="AE1781" t="s">
        <v>80</v>
      </c>
      <c r="AG1781" t="s">
        <v>81</v>
      </c>
    </row>
    <row r="1782" spans="1:33" x14ac:dyDescent="0.25">
      <c r="A1782" t="str">
        <f>"1710919006"</f>
        <v>1710919006</v>
      </c>
      <c r="B1782" t="str">
        <f>"01713744"</f>
        <v>01713744</v>
      </c>
      <c r="C1782" t="s">
        <v>13016</v>
      </c>
      <c r="D1782" t="s">
        <v>13017</v>
      </c>
      <c r="E1782" t="s">
        <v>13018</v>
      </c>
      <c r="H1782" t="s">
        <v>13019</v>
      </c>
      <c r="J1782" t="s">
        <v>13020</v>
      </c>
      <c r="L1782" t="s">
        <v>83</v>
      </c>
      <c r="M1782" t="s">
        <v>85</v>
      </c>
      <c r="R1782" t="s">
        <v>13021</v>
      </c>
      <c r="W1782" t="s">
        <v>13018</v>
      </c>
      <c r="X1782" t="s">
        <v>352</v>
      </c>
      <c r="Y1782" t="s">
        <v>198</v>
      </c>
      <c r="Z1782" t="s">
        <v>77</v>
      </c>
      <c r="AA1782" t="str">
        <f>"11542-2101"</f>
        <v>11542-2101</v>
      </c>
      <c r="AB1782" t="s">
        <v>78</v>
      </c>
      <c r="AC1782" t="s">
        <v>79</v>
      </c>
      <c r="AD1782" t="s">
        <v>75</v>
      </c>
      <c r="AE1782" t="s">
        <v>80</v>
      </c>
      <c r="AG1782" t="s">
        <v>81</v>
      </c>
    </row>
    <row r="1783" spans="1:33" x14ac:dyDescent="0.25">
      <c r="A1783" t="str">
        <f>"1134163553"</f>
        <v>1134163553</v>
      </c>
      <c r="B1783" t="str">
        <f>"01342727"</f>
        <v>01342727</v>
      </c>
      <c r="C1783" t="s">
        <v>13022</v>
      </c>
      <c r="D1783" t="s">
        <v>13023</v>
      </c>
      <c r="E1783" t="s">
        <v>13024</v>
      </c>
      <c r="H1783" t="s">
        <v>13025</v>
      </c>
      <c r="J1783" t="s">
        <v>13026</v>
      </c>
      <c r="L1783" t="s">
        <v>74</v>
      </c>
      <c r="M1783" t="s">
        <v>85</v>
      </c>
      <c r="R1783" t="s">
        <v>13027</v>
      </c>
      <c r="W1783" t="s">
        <v>13024</v>
      </c>
      <c r="X1783" t="s">
        <v>13028</v>
      </c>
      <c r="Y1783" t="s">
        <v>1946</v>
      </c>
      <c r="Z1783" t="s">
        <v>77</v>
      </c>
      <c r="AA1783" t="str">
        <f>"11776-1601"</f>
        <v>11776-1601</v>
      </c>
      <c r="AB1783" t="s">
        <v>78</v>
      </c>
      <c r="AC1783" t="s">
        <v>79</v>
      </c>
      <c r="AD1783" t="s">
        <v>75</v>
      </c>
      <c r="AE1783" t="s">
        <v>80</v>
      </c>
      <c r="AG1783" t="s">
        <v>81</v>
      </c>
    </row>
    <row r="1784" spans="1:33" x14ac:dyDescent="0.25">
      <c r="A1784" t="str">
        <f>"1407819691"</f>
        <v>1407819691</v>
      </c>
      <c r="B1784" t="str">
        <f>"01484546"</f>
        <v>01484546</v>
      </c>
      <c r="C1784" t="s">
        <v>13029</v>
      </c>
      <c r="D1784" t="s">
        <v>13030</v>
      </c>
      <c r="E1784" t="s">
        <v>13031</v>
      </c>
      <c r="H1784" t="s">
        <v>13032</v>
      </c>
      <c r="J1784" t="s">
        <v>13033</v>
      </c>
      <c r="L1784" t="s">
        <v>83</v>
      </c>
      <c r="M1784" t="s">
        <v>85</v>
      </c>
      <c r="R1784" t="s">
        <v>13034</v>
      </c>
      <c r="W1784" t="s">
        <v>13035</v>
      </c>
      <c r="X1784" t="s">
        <v>13036</v>
      </c>
      <c r="Y1784" t="s">
        <v>5910</v>
      </c>
      <c r="Z1784" t="s">
        <v>77</v>
      </c>
      <c r="AA1784" t="str">
        <f>"11762-2932"</f>
        <v>11762-2932</v>
      </c>
      <c r="AB1784" t="s">
        <v>78</v>
      </c>
      <c r="AC1784" t="s">
        <v>79</v>
      </c>
      <c r="AD1784" t="s">
        <v>75</v>
      </c>
      <c r="AE1784" t="s">
        <v>80</v>
      </c>
      <c r="AG1784" t="s">
        <v>81</v>
      </c>
    </row>
    <row r="1785" spans="1:33" x14ac:dyDescent="0.25">
      <c r="A1785" t="str">
        <f>"1063581874"</f>
        <v>1063581874</v>
      </c>
      <c r="B1785" t="str">
        <f>"00981517"</f>
        <v>00981517</v>
      </c>
      <c r="C1785" t="s">
        <v>13037</v>
      </c>
      <c r="D1785" t="s">
        <v>13038</v>
      </c>
      <c r="E1785" t="s">
        <v>13039</v>
      </c>
      <c r="H1785" t="s">
        <v>12543</v>
      </c>
      <c r="J1785" t="s">
        <v>13040</v>
      </c>
      <c r="L1785" t="s">
        <v>83</v>
      </c>
      <c r="M1785" t="s">
        <v>85</v>
      </c>
      <c r="R1785" t="s">
        <v>13041</v>
      </c>
      <c r="W1785" t="s">
        <v>13039</v>
      </c>
      <c r="X1785" t="s">
        <v>13042</v>
      </c>
      <c r="Y1785" t="s">
        <v>4508</v>
      </c>
      <c r="Z1785" t="s">
        <v>77</v>
      </c>
      <c r="AA1785" t="str">
        <f>"10708-2659"</f>
        <v>10708-2659</v>
      </c>
      <c r="AB1785" t="s">
        <v>78</v>
      </c>
      <c r="AC1785" t="s">
        <v>79</v>
      </c>
      <c r="AD1785" t="s">
        <v>75</v>
      </c>
      <c r="AE1785" t="s">
        <v>80</v>
      </c>
      <c r="AG1785" t="s">
        <v>81</v>
      </c>
    </row>
    <row r="1786" spans="1:33" x14ac:dyDescent="0.25">
      <c r="A1786" t="str">
        <f>"1841261369"</f>
        <v>1841261369</v>
      </c>
      <c r="B1786" t="str">
        <f>"00203663"</f>
        <v>00203663</v>
      </c>
      <c r="C1786" t="s">
        <v>13043</v>
      </c>
      <c r="D1786" t="s">
        <v>13044</v>
      </c>
      <c r="E1786" t="s">
        <v>13045</v>
      </c>
      <c r="H1786" t="s">
        <v>12016</v>
      </c>
      <c r="J1786" t="s">
        <v>13046</v>
      </c>
      <c r="L1786" t="s">
        <v>83</v>
      </c>
      <c r="M1786" t="s">
        <v>85</v>
      </c>
      <c r="R1786" t="s">
        <v>13047</v>
      </c>
      <c r="W1786" t="s">
        <v>13047</v>
      </c>
      <c r="X1786" t="s">
        <v>13048</v>
      </c>
      <c r="Y1786" t="s">
        <v>13049</v>
      </c>
      <c r="Z1786" t="s">
        <v>77</v>
      </c>
      <c r="AA1786" t="str">
        <f>"11793-3917"</f>
        <v>11793-3917</v>
      </c>
      <c r="AB1786" t="s">
        <v>78</v>
      </c>
      <c r="AC1786" t="s">
        <v>79</v>
      </c>
      <c r="AD1786" t="s">
        <v>75</v>
      </c>
      <c r="AE1786" t="s">
        <v>80</v>
      </c>
      <c r="AG1786" t="s">
        <v>81</v>
      </c>
    </row>
    <row r="1787" spans="1:33" x14ac:dyDescent="0.25">
      <c r="A1787" t="str">
        <f>"1790119980"</f>
        <v>1790119980</v>
      </c>
      <c r="C1787" t="s">
        <v>13050</v>
      </c>
      <c r="K1787" t="s">
        <v>99</v>
      </c>
      <c r="L1787" t="s">
        <v>102</v>
      </c>
      <c r="M1787" t="s">
        <v>75</v>
      </c>
      <c r="R1787" t="s">
        <v>13051</v>
      </c>
      <c r="S1787" t="s">
        <v>13052</v>
      </c>
      <c r="T1787" t="s">
        <v>97</v>
      </c>
      <c r="U1787" t="s">
        <v>77</v>
      </c>
      <c r="V1787" t="str">
        <f>"100251716"</f>
        <v>100251716</v>
      </c>
      <c r="AC1787" t="s">
        <v>79</v>
      </c>
      <c r="AD1787" t="s">
        <v>75</v>
      </c>
      <c r="AE1787" t="s">
        <v>103</v>
      </c>
      <c r="AG1787" t="s">
        <v>81</v>
      </c>
    </row>
    <row r="1788" spans="1:33" x14ac:dyDescent="0.25">
      <c r="A1788" t="str">
        <f>"1821417296"</f>
        <v>1821417296</v>
      </c>
      <c r="C1788" t="s">
        <v>13053</v>
      </c>
      <c r="K1788" t="s">
        <v>99</v>
      </c>
      <c r="L1788" t="s">
        <v>102</v>
      </c>
      <c r="M1788" t="s">
        <v>75</v>
      </c>
      <c r="R1788" t="s">
        <v>13054</v>
      </c>
      <c r="S1788" t="s">
        <v>13055</v>
      </c>
      <c r="T1788" t="s">
        <v>97</v>
      </c>
      <c r="U1788" t="s">
        <v>77</v>
      </c>
      <c r="V1788" t="str">
        <f>"100191147"</f>
        <v>100191147</v>
      </c>
      <c r="AC1788" t="s">
        <v>79</v>
      </c>
      <c r="AD1788" t="s">
        <v>75</v>
      </c>
      <c r="AE1788" t="s">
        <v>103</v>
      </c>
      <c r="AG1788" t="s">
        <v>81</v>
      </c>
    </row>
    <row r="1789" spans="1:33" x14ac:dyDescent="0.25">
      <c r="A1789" t="str">
        <f>"1780950048"</f>
        <v>1780950048</v>
      </c>
      <c r="C1789" t="s">
        <v>13056</v>
      </c>
      <c r="K1789" t="s">
        <v>99</v>
      </c>
      <c r="L1789" t="s">
        <v>102</v>
      </c>
      <c r="M1789" t="s">
        <v>75</v>
      </c>
      <c r="R1789" t="s">
        <v>13057</v>
      </c>
      <c r="S1789" t="s">
        <v>843</v>
      </c>
      <c r="T1789" t="s">
        <v>97</v>
      </c>
      <c r="U1789" t="s">
        <v>77</v>
      </c>
      <c r="V1789" t="str">
        <f>"100166402"</f>
        <v>100166402</v>
      </c>
      <c r="AC1789" t="s">
        <v>79</v>
      </c>
      <c r="AD1789" t="s">
        <v>75</v>
      </c>
      <c r="AE1789" t="s">
        <v>103</v>
      </c>
      <c r="AG1789" t="s">
        <v>81</v>
      </c>
    </row>
    <row r="1790" spans="1:33" x14ac:dyDescent="0.25">
      <c r="A1790" t="str">
        <f>"1235195504"</f>
        <v>1235195504</v>
      </c>
      <c r="B1790" t="str">
        <f>"01050691"</f>
        <v>01050691</v>
      </c>
      <c r="C1790" t="s">
        <v>13058</v>
      </c>
      <c r="D1790" t="s">
        <v>13059</v>
      </c>
      <c r="E1790" t="s">
        <v>13060</v>
      </c>
      <c r="H1790" t="s">
        <v>13061</v>
      </c>
      <c r="J1790" t="s">
        <v>13062</v>
      </c>
      <c r="L1790" t="s">
        <v>83</v>
      </c>
      <c r="M1790" t="s">
        <v>85</v>
      </c>
      <c r="R1790" t="s">
        <v>13063</v>
      </c>
      <c r="W1790" t="s">
        <v>13060</v>
      </c>
      <c r="X1790" t="s">
        <v>13064</v>
      </c>
      <c r="Y1790" t="s">
        <v>3818</v>
      </c>
      <c r="Z1790" t="s">
        <v>77</v>
      </c>
      <c r="AA1790" t="str">
        <f>"11714-5700"</f>
        <v>11714-5700</v>
      </c>
      <c r="AB1790" t="s">
        <v>78</v>
      </c>
      <c r="AC1790" t="s">
        <v>79</v>
      </c>
      <c r="AD1790" t="s">
        <v>75</v>
      </c>
      <c r="AE1790" t="s">
        <v>80</v>
      </c>
      <c r="AG1790" t="s">
        <v>81</v>
      </c>
    </row>
    <row r="1791" spans="1:33" x14ac:dyDescent="0.25">
      <c r="A1791" t="str">
        <f>"1225029572"</f>
        <v>1225029572</v>
      </c>
      <c r="B1791" t="str">
        <f>"01836933"</f>
        <v>01836933</v>
      </c>
      <c r="C1791" t="s">
        <v>13065</v>
      </c>
      <c r="D1791" t="s">
        <v>13066</v>
      </c>
      <c r="E1791" t="s">
        <v>13067</v>
      </c>
      <c r="H1791" t="s">
        <v>11782</v>
      </c>
      <c r="J1791" t="s">
        <v>13068</v>
      </c>
      <c r="L1791" t="s">
        <v>83</v>
      </c>
      <c r="M1791" t="s">
        <v>85</v>
      </c>
      <c r="R1791" t="s">
        <v>13069</v>
      </c>
      <c r="W1791" t="s">
        <v>13067</v>
      </c>
      <c r="X1791" t="s">
        <v>12327</v>
      </c>
      <c r="Y1791" t="s">
        <v>218</v>
      </c>
      <c r="Z1791" t="s">
        <v>77</v>
      </c>
      <c r="AA1791" t="str">
        <f>"11570-2300"</f>
        <v>11570-2300</v>
      </c>
      <c r="AB1791" t="s">
        <v>78</v>
      </c>
      <c r="AC1791" t="s">
        <v>79</v>
      </c>
      <c r="AD1791" t="s">
        <v>75</v>
      </c>
      <c r="AE1791" t="s">
        <v>80</v>
      </c>
      <c r="AG1791" t="s">
        <v>81</v>
      </c>
    </row>
    <row r="1792" spans="1:33" x14ac:dyDescent="0.25">
      <c r="A1792" t="str">
        <f>"1992768808"</f>
        <v>1992768808</v>
      </c>
      <c r="B1792" t="str">
        <f>"01419992"</f>
        <v>01419992</v>
      </c>
      <c r="C1792" t="s">
        <v>13070</v>
      </c>
      <c r="D1792" t="s">
        <v>13071</v>
      </c>
      <c r="E1792" t="s">
        <v>13072</v>
      </c>
      <c r="H1792" t="s">
        <v>13032</v>
      </c>
      <c r="J1792" t="s">
        <v>13073</v>
      </c>
      <c r="L1792" t="s">
        <v>83</v>
      </c>
      <c r="M1792" t="s">
        <v>85</v>
      </c>
      <c r="W1792" t="s">
        <v>13072</v>
      </c>
      <c r="X1792" t="s">
        <v>13074</v>
      </c>
      <c r="Y1792" t="s">
        <v>2540</v>
      </c>
      <c r="Z1792" t="s">
        <v>77</v>
      </c>
      <c r="AA1792" t="str">
        <f>"11783-1324"</f>
        <v>11783-1324</v>
      </c>
      <c r="AB1792" t="s">
        <v>78</v>
      </c>
      <c r="AC1792" t="s">
        <v>79</v>
      </c>
      <c r="AD1792" t="s">
        <v>75</v>
      </c>
      <c r="AE1792" t="s">
        <v>80</v>
      </c>
      <c r="AG1792" t="s">
        <v>81</v>
      </c>
    </row>
    <row r="1793" spans="1:33" x14ac:dyDescent="0.25">
      <c r="A1793" t="str">
        <f>"1245201136"</f>
        <v>1245201136</v>
      </c>
      <c r="B1793" t="str">
        <f>"02285707"</f>
        <v>02285707</v>
      </c>
      <c r="C1793" t="s">
        <v>13075</v>
      </c>
      <c r="D1793" t="s">
        <v>13076</v>
      </c>
      <c r="E1793" t="s">
        <v>13077</v>
      </c>
      <c r="H1793" t="s">
        <v>13078</v>
      </c>
      <c r="J1793" t="s">
        <v>13079</v>
      </c>
      <c r="L1793" t="s">
        <v>83</v>
      </c>
      <c r="M1793" t="s">
        <v>85</v>
      </c>
      <c r="R1793" t="s">
        <v>13080</v>
      </c>
      <c r="W1793" t="s">
        <v>13077</v>
      </c>
      <c r="X1793" t="s">
        <v>13081</v>
      </c>
      <c r="Y1793" t="s">
        <v>230</v>
      </c>
      <c r="Z1793" t="s">
        <v>77</v>
      </c>
      <c r="AA1793" t="str">
        <f>"11795-4418"</f>
        <v>11795-4418</v>
      </c>
      <c r="AB1793" t="s">
        <v>78</v>
      </c>
      <c r="AC1793" t="s">
        <v>79</v>
      </c>
      <c r="AD1793" t="s">
        <v>75</v>
      </c>
      <c r="AE1793" t="s">
        <v>80</v>
      </c>
      <c r="AG1793" t="s">
        <v>81</v>
      </c>
    </row>
    <row r="1794" spans="1:33" x14ac:dyDescent="0.25">
      <c r="A1794" t="str">
        <f>"1447365879"</f>
        <v>1447365879</v>
      </c>
      <c r="B1794" t="str">
        <f>"01848888"</f>
        <v>01848888</v>
      </c>
      <c r="C1794" t="s">
        <v>13082</v>
      </c>
      <c r="D1794" t="s">
        <v>13083</v>
      </c>
      <c r="E1794" t="s">
        <v>13084</v>
      </c>
      <c r="H1794" t="s">
        <v>11775</v>
      </c>
      <c r="J1794" t="s">
        <v>13085</v>
      </c>
      <c r="L1794" t="s">
        <v>83</v>
      </c>
      <c r="M1794" t="s">
        <v>85</v>
      </c>
      <c r="R1794" t="s">
        <v>13086</v>
      </c>
      <c r="W1794" t="s">
        <v>13087</v>
      </c>
      <c r="X1794" t="s">
        <v>13088</v>
      </c>
      <c r="Y1794" t="s">
        <v>4508</v>
      </c>
      <c r="Z1794" t="s">
        <v>77</v>
      </c>
      <c r="AA1794" t="str">
        <f>"10708-3706"</f>
        <v>10708-3706</v>
      </c>
      <c r="AB1794" t="s">
        <v>78</v>
      </c>
      <c r="AC1794" t="s">
        <v>79</v>
      </c>
      <c r="AD1794" t="s">
        <v>75</v>
      </c>
      <c r="AE1794" t="s">
        <v>80</v>
      </c>
      <c r="AG1794" t="s">
        <v>81</v>
      </c>
    </row>
    <row r="1795" spans="1:33" x14ac:dyDescent="0.25">
      <c r="A1795" t="str">
        <f>"1174520621"</f>
        <v>1174520621</v>
      </c>
      <c r="B1795" t="str">
        <f>"01083572"</f>
        <v>01083572</v>
      </c>
      <c r="C1795" t="s">
        <v>13089</v>
      </c>
      <c r="D1795" t="s">
        <v>13090</v>
      </c>
      <c r="E1795" t="s">
        <v>13091</v>
      </c>
      <c r="H1795" t="s">
        <v>13092</v>
      </c>
      <c r="J1795" t="s">
        <v>13093</v>
      </c>
      <c r="L1795" t="s">
        <v>83</v>
      </c>
      <c r="M1795" t="s">
        <v>85</v>
      </c>
      <c r="R1795" t="s">
        <v>13094</v>
      </c>
      <c r="W1795" t="s">
        <v>13091</v>
      </c>
      <c r="X1795" t="s">
        <v>187</v>
      </c>
      <c r="Y1795" t="s">
        <v>161</v>
      </c>
      <c r="Z1795" t="s">
        <v>77</v>
      </c>
      <c r="AA1795" t="str">
        <f>"11040-1402"</f>
        <v>11040-1402</v>
      </c>
      <c r="AB1795" t="s">
        <v>78</v>
      </c>
      <c r="AC1795" t="s">
        <v>79</v>
      </c>
      <c r="AD1795" t="s">
        <v>75</v>
      </c>
      <c r="AE1795" t="s">
        <v>80</v>
      </c>
      <c r="AG1795" t="s">
        <v>81</v>
      </c>
    </row>
    <row r="1796" spans="1:33" x14ac:dyDescent="0.25">
      <c r="A1796" t="str">
        <f>"1528021714"</f>
        <v>1528021714</v>
      </c>
      <c r="B1796" t="str">
        <f>"01999935"</f>
        <v>01999935</v>
      </c>
      <c r="C1796" t="s">
        <v>13095</v>
      </c>
      <c r="D1796" t="s">
        <v>13096</v>
      </c>
      <c r="E1796" t="s">
        <v>13097</v>
      </c>
      <c r="H1796" t="s">
        <v>13098</v>
      </c>
      <c r="J1796" t="s">
        <v>13099</v>
      </c>
      <c r="L1796" t="s">
        <v>83</v>
      </c>
      <c r="M1796" t="s">
        <v>85</v>
      </c>
      <c r="R1796" t="s">
        <v>13100</v>
      </c>
      <c r="W1796" t="s">
        <v>13097</v>
      </c>
      <c r="X1796" t="s">
        <v>12321</v>
      </c>
      <c r="Y1796" t="s">
        <v>240</v>
      </c>
      <c r="Z1796" t="s">
        <v>77</v>
      </c>
      <c r="AA1796" t="str">
        <f>"11530-4721"</f>
        <v>11530-4721</v>
      </c>
      <c r="AB1796" t="s">
        <v>78</v>
      </c>
      <c r="AC1796" t="s">
        <v>79</v>
      </c>
      <c r="AD1796" t="s">
        <v>75</v>
      </c>
      <c r="AE1796" t="s">
        <v>80</v>
      </c>
      <c r="AG1796" t="s">
        <v>81</v>
      </c>
    </row>
    <row r="1797" spans="1:33" x14ac:dyDescent="0.25">
      <c r="A1797" t="str">
        <f>"1801861398"</f>
        <v>1801861398</v>
      </c>
      <c r="B1797" t="str">
        <f>"02920818"</f>
        <v>02920818</v>
      </c>
      <c r="C1797" t="s">
        <v>13101</v>
      </c>
      <c r="D1797" t="s">
        <v>13102</v>
      </c>
      <c r="E1797" t="s">
        <v>13103</v>
      </c>
      <c r="H1797" t="s">
        <v>13104</v>
      </c>
      <c r="J1797" t="s">
        <v>13105</v>
      </c>
      <c r="L1797" t="s">
        <v>83</v>
      </c>
      <c r="M1797" t="s">
        <v>85</v>
      </c>
      <c r="R1797" t="s">
        <v>13106</v>
      </c>
      <c r="W1797" t="s">
        <v>13107</v>
      </c>
      <c r="X1797" t="s">
        <v>4545</v>
      </c>
      <c r="Y1797" t="s">
        <v>1818</v>
      </c>
      <c r="Z1797" t="s">
        <v>77</v>
      </c>
      <c r="AA1797" t="str">
        <f>"11787-1454"</f>
        <v>11787-1454</v>
      </c>
      <c r="AB1797" t="s">
        <v>78</v>
      </c>
      <c r="AC1797" t="s">
        <v>79</v>
      </c>
      <c r="AD1797" t="s">
        <v>75</v>
      </c>
      <c r="AE1797" t="s">
        <v>80</v>
      </c>
      <c r="AG1797" t="s">
        <v>81</v>
      </c>
    </row>
    <row r="1798" spans="1:33" x14ac:dyDescent="0.25">
      <c r="A1798" t="str">
        <f>"1952643793"</f>
        <v>1952643793</v>
      </c>
      <c r="C1798" t="s">
        <v>13108</v>
      </c>
      <c r="K1798" t="s">
        <v>99</v>
      </c>
      <c r="L1798" t="s">
        <v>102</v>
      </c>
      <c r="M1798" t="s">
        <v>75</v>
      </c>
      <c r="R1798" t="s">
        <v>13109</v>
      </c>
      <c r="S1798" t="s">
        <v>13110</v>
      </c>
      <c r="T1798" t="s">
        <v>13111</v>
      </c>
      <c r="U1798" t="s">
        <v>2632</v>
      </c>
      <c r="V1798" t="str">
        <f>"220393181"</f>
        <v>220393181</v>
      </c>
      <c r="AC1798" t="s">
        <v>79</v>
      </c>
      <c r="AD1798" t="s">
        <v>75</v>
      </c>
      <c r="AE1798" t="s">
        <v>103</v>
      </c>
      <c r="AG1798" t="s">
        <v>81</v>
      </c>
    </row>
    <row r="1799" spans="1:33" x14ac:dyDescent="0.25">
      <c r="A1799" t="str">
        <f>"1316246994"</f>
        <v>1316246994</v>
      </c>
      <c r="C1799" t="s">
        <v>13112</v>
      </c>
      <c r="K1799" t="s">
        <v>99</v>
      </c>
      <c r="L1799" t="s">
        <v>102</v>
      </c>
      <c r="M1799" t="s">
        <v>75</v>
      </c>
      <c r="R1799" t="s">
        <v>13113</v>
      </c>
      <c r="S1799" t="s">
        <v>13114</v>
      </c>
      <c r="T1799" t="s">
        <v>13115</v>
      </c>
      <c r="U1799" t="s">
        <v>2658</v>
      </c>
      <c r="V1799" t="str">
        <f>"460777815"</f>
        <v>460777815</v>
      </c>
      <c r="AC1799" t="s">
        <v>79</v>
      </c>
      <c r="AD1799" t="s">
        <v>75</v>
      </c>
      <c r="AE1799" t="s">
        <v>103</v>
      </c>
      <c r="AG1799" t="s">
        <v>81</v>
      </c>
    </row>
    <row r="1800" spans="1:33" x14ac:dyDescent="0.25">
      <c r="A1800" t="str">
        <f>"1295808020"</f>
        <v>1295808020</v>
      </c>
      <c r="B1800" t="str">
        <f>"02999282"</f>
        <v>02999282</v>
      </c>
      <c r="C1800" t="s">
        <v>12827</v>
      </c>
      <c r="D1800" t="s">
        <v>12828</v>
      </c>
      <c r="E1800" t="s">
        <v>12829</v>
      </c>
      <c r="L1800" t="s">
        <v>663</v>
      </c>
      <c r="M1800" t="s">
        <v>85</v>
      </c>
      <c r="R1800" t="s">
        <v>12830</v>
      </c>
      <c r="W1800" t="s">
        <v>12829</v>
      </c>
      <c r="X1800" t="s">
        <v>13116</v>
      </c>
      <c r="Y1800" t="s">
        <v>97</v>
      </c>
      <c r="Z1800" t="s">
        <v>77</v>
      </c>
      <c r="AA1800" t="str">
        <f>"10010-4019"</f>
        <v>10010-4019</v>
      </c>
      <c r="AB1800" t="s">
        <v>122</v>
      </c>
      <c r="AC1800" t="s">
        <v>79</v>
      </c>
      <c r="AD1800" t="s">
        <v>75</v>
      </c>
      <c r="AE1800" t="s">
        <v>80</v>
      </c>
      <c r="AG1800" t="s">
        <v>81</v>
      </c>
    </row>
    <row r="1801" spans="1:33" x14ac:dyDescent="0.25">
      <c r="A1801" t="str">
        <f>"1912100454"</f>
        <v>1912100454</v>
      </c>
      <c r="B1801" t="str">
        <f>"02999291"</f>
        <v>02999291</v>
      </c>
      <c r="C1801" t="s">
        <v>12827</v>
      </c>
      <c r="D1801" t="s">
        <v>12828</v>
      </c>
      <c r="E1801" t="s">
        <v>12829</v>
      </c>
      <c r="L1801" t="s">
        <v>663</v>
      </c>
      <c r="M1801" t="s">
        <v>85</v>
      </c>
      <c r="R1801" t="s">
        <v>12830</v>
      </c>
      <c r="W1801" t="s">
        <v>12829</v>
      </c>
      <c r="X1801" t="s">
        <v>4617</v>
      </c>
      <c r="Y1801" t="s">
        <v>97</v>
      </c>
      <c r="Z1801" t="s">
        <v>77</v>
      </c>
      <c r="AA1801" t="str">
        <f>"10010-4019"</f>
        <v>10010-4019</v>
      </c>
      <c r="AB1801" t="s">
        <v>122</v>
      </c>
      <c r="AC1801" t="s">
        <v>79</v>
      </c>
      <c r="AD1801" t="s">
        <v>75</v>
      </c>
      <c r="AE1801" t="s">
        <v>80</v>
      </c>
      <c r="AG1801" t="s">
        <v>81</v>
      </c>
    </row>
    <row r="1802" spans="1:33" x14ac:dyDescent="0.25">
      <c r="A1802" t="str">
        <f>"1538194709"</f>
        <v>1538194709</v>
      </c>
      <c r="B1802" t="str">
        <f>"00309875"</f>
        <v>00309875</v>
      </c>
      <c r="C1802" t="s">
        <v>13117</v>
      </c>
      <c r="D1802" t="s">
        <v>13118</v>
      </c>
      <c r="E1802" t="s">
        <v>13119</v>
      </c>
      <c r="L1802" t="s">
        <v>106</v>
      </c>
      <c r="M1802" t="s">
        <v>85</v>
      </c>
      <c r="R1802" t="s">
        <v>13120</v>
      </c>
      <c r="W1802" t="s">
        <v>13119</v>
      </c>
      <c r="X1802" t="s">
        <v>3866</v>
      </c>
      <c r="Y1802" t="s">
        <v>97</v>
      </c>
      <c r="Z1802" t="s">
        <v>77</v>
      </c>
      <c r="AA1802" t="str">
        <f>"10040-3403"</f>
        <v>10040-3403</v>
      </c>
      <c r="AB1802" t="s">
        <v>107</v>
      </c>
      <c r="AC1802" t="s">
        <v>79</v>
      </c>
      <c r="AD1802" t="s">
        <v>75</v>
      </c>
      <c r="AE1802" t="s">
        <v>80</v>
      </c>
      <c r="AG1802" t="s">
        <v>81</v>
      </c>
    </row>
    <row r="1803" spans="1:33" x14ac:dyDescent="0.25">
      <c r="A1803" t="str">
        <f>"1669660841"</f>
        <v>1669660841</v>
      </c>
      <c r="C1803" t="s">
        <v>13121</v>
      </c>
      <c r="K1803" t="s">
        <v>99</v>
      </c>
      <c r="L1803" t="s">
        <v>102</v>
      </c>
      <c r="M1803" t="s">
        <v>75</v>
      </c>
      <c r="R1803" t="s">
        <v>13122</v>
      </c>
      <c r="S1803" t="s">
        <v>13123</v>
      </c>
      <c r="T1803" t="s">
        <v>97</v>
      </c>
      <c r="U1803" t="s">
        <v>77</v>
      </c>
      <c r="V1803" t="str">
        <f>"100403403"</f>
        <v>100403403</v>
      </c>
      <c r="AC1803" t="s">
        <v>79</v>
      </c>
      <c r="AD1803" t="s">
        <v>75</v>
      </c>
      <c r="AE1803" t="s">
        <v>103</v>
      </c>
      <c r="AG1803" t="s">
        <v>81</v>
      </c>
    </row>
    <row r="1804" spans="1:33" x14ac:dyDescent="0.25">
      <c r="A1804" t="str">
        <f>"1770669038"</f>
        <v>1770669038</v>
      </c>
      <c r="B1804" t="str">
        <f>"01084573"</f>
        <v>01084573</v>
      </c>
      <c r="C1804" t="s">
        <v>13124</v>
      </c>
      <c r="D1804" t="s">
        <v>848</v>
      </c>
      <c r="E1804" t="s">
        <v>849</v>
      </c>
      <c r="L1804" t="s">
        <v>149</v>
      </c>
      <c r="M1804" t="s">
        <v>85</v>
      </c>
      <c r="R1804" t="s">
        <v>853</v>
      </c>
      <c r="W1804" t="s">
        <v>854</v>
      </c>
      <c r="X1804" t="s">
        <v>855</v>
      </c>
      <c r="Y1804" t="s">
        <v>97</v>
      </c>
      <c r="Z1804" t="s">
        <v>77</v>
      </c>
      <c r="AA1804" t="str">
        <f>"10006-3039"</f>
        <v>10006-3039</v>
      </c>
      <c r="AB1804" t="s">
        <v>122</v>
      </c>
      <c r="AC1804" t="s">
        <v>79</v>
      </c>
      <c r="AD1804" t="s">
        <v>75</v>
      </c>
      <c r="AE1804" t="s">
        <v>80</v>
      </c>
      <c r="AG1804" t="s">
        <v>81</v>
      </c>
    </row>
    <row r="1805" spans="1:33" x14ac:dyDescent="0.25">
      <c r="A1805" t="str">
        <f>"1982903480"</f>
        <v>1982903480</v>
      </c>
      <c r="C1805" t="s">
        <v>13125</v>
      </c>
      <c r="K1805" t="s">
        <v>99</v>
      </c>
      <c r="L1805" t="s">
        <v>102</v>
      </c>
      <c r="M1805" t="s">
        <v>75</v>
      </c>
      <c r="R1805" t="s">
        <v>13126</v>
      </c>
      <c r="S1805" t="s">
        <v>13127</v>
      </c>
      <c r="T1805" t="s">
        <v>97</v>
      </c>
      <c r="U1805" t="s">
        <v>77</v>
      </c>
      <c r="V1805" t="str">
        <f>"100294350"</f>
        <v>100294350</v>
      </c>
      <c r="AC1805" t="s">
        <v>79</v>
      </c>
      <c r="AD1805" t="s">
        <v>75</v>
      </c>
      <c r="AE1805" t="s">
        <v>103</v>
      </c>
      <c r="AG1805" t="s">
        <v>81</v>
      </c>
    </row>
    <row r="1806" spans="1:33" x14ac:dyDescent="0.25">
      <c r="A1806" t="str">
        <f>"1902148463"</f>
        <v>1902148463</v>
      </c>
      <c r="C1806" t="s">
        <v>13128</v>
      </c>
      <c r="K1806" t="s">
        <v>99</v>
      </c>
      <c r="L1806" t="s">
        <v>102</v>
      </c>
      <c r="M1806" t="s">
        <v>75</v>
      </c>
      <c r="R1806" t="s">
        <v>13129</v>
      </c>
      <c r="S1806" t="s">
        <v>13130</v>
      </c>
      <c r="T1806" t="s">
        <v>1389</v>
      </c>
      <c r="U1806" t="s">
        <v>77</v>
      </c>
      <c r="V1806" t="str">
        <f>"105803536"</f>
        <v>105803536</v>
      </c>
      <c r="AC1806" t="s">
        <v>79</v>
      </c>
      <c r="AD1806" t="s">
        <v>75</v>
      </c>
      <c r="AE1806" t="s">
        <v>103</v>
      </c>
      <c r="AG1806" t="s">
        <v>81</v>
      </c>
    </row>
    <row r="1807" spans="1:33" x14ac:dyDescent="0.25">
      <c r="A1807" t="str">
        <f>"1831456953"</f>
        <v>1831456953</v>
      </c>
      <c r="C1807" t="s">
        <v>13131</v>
      </c>
      <c r="K1807" t="s">
        <v>99</v>
      </c>
      <c r="L1807" t="s">
        <v>102</v>
      </c>
      <c r="M1807" t="s">
        <v>75</v>
      </c>
      <c r="R1807" t="s">
        <v>13132</v>
      </c>
      <c r="S1807" t="s">
        <v>13133</v>
      </c>
      <c r="T1807" t="s">
        <v>4484</v>
      </c>
      <c r="U1807" t="s">
        <v>1800</v>
      </c>
      <c r="V1807" t="str">
        <f>"800452570"</f>
        <v>800452570</v>
      </c>
      <c r="AC1807" t="s">
        <v>79</v>
      </c>
      <c r="AD1807" t="s">
        <v>75</v>
      </c>
      <c r="AE1807" t="s">
        <v>103</v>
      </c>
      <c r="AG1807" t="s">
        <v>81</v>
      </c>
    </row>
    <row r="1808" spans="1:33" x14ac:dyDescent="0.25">
      <c r="A1808" t="str">
        <f>"1881011286"</f>
        <v>1881011286</v>
      </c>
      <c r="C1808" t="s">
        <v>13134</v>
      </c>
      <c r="K1808" t="s">
        <v>99</v>
      </c>
      <c r="L1808" t="s">
        <v>102</v>
      </c>
      <c r="M1808" t="s">
        <v>75</v>
      </c>
      <c r="R1808" t="s">
        <v>13135</v>
      </c>
      <c r="S1808" t="s">
        <v>13136</v>
      </c>
      <c r="T1808" t="s">
        <v>1783</v>
      </c>
      <c r="U1808" t="s">
        <v>1784</v>
      </c>
      <c r="V1808" t="str">
        <f>"191063751"</f>
        <v>191063751</v>
      </c>
      <c r="AC1808" t="s">
        <v>79</v>
      </c>
      <c r="AD1808" t="s">
        <v>75</v>
      </c>
      <c r="AE1808" t="s">
        <v>103</v>
      </c>
      <c r="AG1808" t="s">
        <v>81</v>
      </c>
    </row>
    <row r="1809" spans="1:33" x14ac:dyDescent="0.25">
      <c r="A1809" t="str">
        <f>"1770900177"</f>
        <v>1770900177</v>
      </c>
      <c r="C1809" t="s">
        <v>13137</v>
      </c>
      <c r="K1809" t="s">
        <v>99</v>
      </c>
      <c r="L1809" t="s">
        <v>102</v>
      </c>
      <c r="M1809" t="s">
        <v>75</v>
      </c>
      <c r="R1809" t="s">
        <v>13138</v>
      </c>
      <c r="S1809" t="s">
        <v>13139</v>
      </c>
      <c r="T1809" t="s">
        <v>13140</v>
      </c>
      <c r="U1809" t="s">
        <v>156</v>
      </c>
      <c r="V1809" t="str">
        <f>"080084811"</f>
        <v>080084811</v>
      </c>
      <c r="AC1809" t="s">
        <v>79</v>
      </c>
      <c r="AD1809" t="s">
        <v>75</v>
      </c>
      <c r="AE1809" t="s">
        <v>103</v>
      </c>
      <c r="AG1809" t="s">
        <v>81</v>
      </c>
    </row>
    <row r="1810" spans="1:33" x14ac:dyDescent="0.25">
      <c r="A1810" t="str">
        <f>"1922340751"</f>
        <v>1922340751</v>
      </c>
      <c r="C1810" t="s">
        <v>13141</v>
      </c>
      <c r="K1810" t="s">
        <v>99</v>
      </c>
      <c r="L1810" t="s">
        <v>102</v>
      </c>
      <c r="M1810" t="s">
        <v>75</v>
      </c>
      <c r="R1810" t="s">
        <v>13142</v>
      </c>
      <c r="S1810" t="s">
        <v>13143</v>
      </c>
      <c r="T1810" t="s">
        <v>97</v>
      </c>
      <c r="U1810" t="s">
        <v>77</v>
      </c>
      <c r="V1810" t="str">
        <f>"100254982"</f>
        <v>100254982</v>
      </c>
      <c r="AC1810" t="s">
        <v>79</v>
      </c>
      <c r="AD1810" t="s">
        <v>75</v>
      </c>
      <c r="AE1810" t="s">
        <v>103</v>
      </c>
      <c r="AG1810" t="s">
        <v>81</v>
      </c>
    </row>
    <row r="1811" spans="1:33" x14ac:dyDescent="0.25">
      <c r="A1811" t="str">
        <f>"1861650665"</f>
        <v>1861650665</v>
      </c>
      <c r="C1811" t="s">
        <v>13144</v>
      </c>
      <c r="K1811" t="s">
        <v>99</v>
      </c>
      <c r="L1811" t="s">
        <v>102</v>
      </c>
      <c r="M1811" t="s">
        <v>75</v>
      </c>
      <c r="R1811" t="s">
        <v>13145</v>
      </c>
      <c r="S1811" t="s">
        <v>13146</v>
      </c>
      <c r="T1811" t="s">
        <v>4567</v>
      </c>
      <c r="U1811" t="s">
        <v>4544</v>
      </c>
      <c r="V1811" t="str">
        <f>"481544838"</f>
        <v>481544838</v>
      </c>
      <c r="AC1811" t="s">
        <v>79</v>
      </c>
      <c r="AD1811" t="s">
        <v>75</v>
      </c>
      <c r="AE1811" t="s">
        <v>103</v>
      </c>
      <c r="AG1811" t="s">
        <v>81</v>
      </c>
    </row>
    <row r="1812" spans="1:33" x14ac:dyDescent="0.25">
      <c r="A1812" t="str">
        <f>"1114990082"</f>
        <v>1114990082</v>
      </c>
      <c r="B1812" t="str">
        <f>"00785295"</f>
        <v>00785295</v>
      </c>
      <c r="C1812" t="s">
        <v>13147</v>
      </c>
      <c r="D1812" t="s">
        <v>13148</v>
      </c>
      <c r="E1812" t="s">
        <v>13149</v>
      </c>
      <c r="H1812" t="s">
        <v>13150</v>
      </c>
      <c r="J1812" t="s">
        <v>13151</v>
      </c>
      <c r="L1812" t="s">
        <v>84</v>
      </c>
      <c r="M1812" t="s">
        <v>85</v>
      </c>
      <c r="R1812" t="s">
        <v>13152</v>
      </c>
      <c r="W1812" t="s">
        <v>13149</v>
      </c>
      <c r="X1812" t="s">
        <v>13153</v>
      </c>
      <c r="Y1812" t="s">
        <v>97</v>
      </c>
      <c r="Z1812" t="s">
        <v>77</v>
      </c>
      <c r="AA1812" t="str">
        <f>"10023-2624"</f>
        <v>10023-2624</v>
      </c>
      <c r="AB1812" t="s">
        <v>78</v>
      </c>
      <c r="AC1812" t="s">
        <v>79</v>
      </c>
      <c r="AD1812" t="s">
        <v>75</v>
      </c>
      <c r="AE1812" t="s">
        <v>80</v>
      </c>
      <c r="AG1812" t="s">
        <v>81</v>
      </c>
    </row>
    <row r="1813" spans="1:33" x14ac:dyDescent="0.25">
      <c r="A1813" t="str">
        <f>"1982023719"</f>
        <v>1982023719</v>
      </c>
      <c r="C1813" t="s">
        <v>13154</v>
      </c>
      <c r="K1813" t="s">
        <v>99</v>
      </c>
      <c r="L1813" t="s">
        <v>102</v>
      </c>
      <c r="M1813" t="s">
        <v>75</v>
      </c>
      <c r="R1813" t="s">
        <v>13155</v>
      </c>
      <c r="S1813" t="s">
        <v>13156</v>
      </c>
      <c r="T1813" t="s">
        <v>97</v>
      </c>
      <c r="U1813" t="s">
        <v>77</v>
      </c>
      <c r="V1813" t="str">
        <f>"100251716"</f>
        <v>100251716</v>
      </c>
      <c r="AC1813" t="s">
        <v>79</v>
      </c>
      <c r="AD1813" t="s">
        <v>75</v>
      </c>
      <c r="AE1813" t="s">
        <v>103</v>
      </c>
      <c r="AG1813" t="s">
        <v>81</v>
      </c>
    </row>
    <row r="1814" spans="1:33" x14ac:dyDescent="0.25">
      <c r="A1814" t="str">
        <f>"1821386020"</f>
        <v>1821386020</v>
      </c>
      <c r="C1814" t="s">
        <v>13157</v>
      </c>
      <c r="K1814" t="s">
        <v>99</v>
      </c>
      <c r="L1814" t="s">
        <v>102</v>
      </c>
      <c r="M1814" t="s">
        <v>75</v>
      </c>
      <c r="R1814" t="s">
        <v>13158</v>
      </c>
      <c r="S1814" t="s">
        <v>13159</v>
      </c>
      <c r="T1814" t="s">
        <v>13160</v>
      </c>
      <c r="U1814" t="s">
        <v>2595</v>
      </c>
      <c r="V1814" t="str">
        <f>"925624902"</f>
        <v>925624902</v>
      </c>
      <c r="AC1814" t="s">
        <v>79</v>
      </c>
      <c r="AD1814" t="s">
        <v>75</v>
      </c>
      <c r="AE1814" t="s">
        <v>103</v>
      </c>
      <c r="AG1814" t="s">
        <v>81</v>
      </c>
    </row>
    <row r="1815" spans="1:33" x14ac:dyDescent="0.25">
      <c r="A1815" t="str">
        <f>"1992080618"</f>
        <v>1992080618</v>
      </c>
      <c r="B1815" t="str">
        <f>"04209972"</f>
        <v>04209972</v>
      </c>
      <c r="C1815" t="s">
        <v>13161</v>
      </c>
      <c r="D1815" t="s">
        <v>13162</v>
      </c>
      <c r="E1815" t="s">
        <v>13163</v>
      </c>
      <c r="L1815" t="s">
        <v>83</v>
      </c>
      <c r="M1815" t="s">
        <v>75</v>
      </c>
      <c r="R1815" t="s">
        <v>13164</v>
      </c>
      <c r="W1815" t="s">
        <v>13165</v>
      </c>
      <c r="X1815" t="s">
        <v>329</v>
      </c>
      <c r="Y1815" t="s">
        <v>97</v>
      </c>
      <c r="Z1815" t="s">
        <v>77</v>
      </c>
      <c r="AA1815" t="str">
        <f>"10029-6504"</f>
        <v>10029-6504</v>
      </c>
      <c r="AB1815" t="s">
        <v>78</v>
      </c>
      <c r="AC1815" t="s">
        <v>79</v>
      </c>
      <c r="AD1815" t="s">
        <v>75</v>
      </c>
      <c r="AE1815" t="s">
        <v>80</v>
      </c>
      <c r="AG1815" t="s">
        <v>81</v>
      </c>
    </row>
    <row r="1816" spans="1:33" x14ac:dyDescent="0.25">
      <c r="A1816" t="str">
        <f>"1528152840"</f>
        <v>1528152840</v>
      </c>
      <c r="B1816" t="str">
        <f>"00774534"</f>
        <v>00774534</v>
      </c>
      <c r="C1816" t="s">
        <v>13166</v>
      </c>
      <c r="D1816" t="s">
        <v>13167</v>
      </c>
      <c r="E1816" t="s">
        <v>13168</v>
      </c>
      <c r="L1816" t="s">
        <v>84</v>
      </c>
      <c r="M1816" t="s">
        <v>75</v>
      </c>
      <c r="R1816" t="s">
        <v>13169</v>
      </c>
      <c r="W1816" t="s">
        <v>13168</v>
      </c>
      <c r="X1816" t="s">
        <v>13170</v>
      </c>
      <c r="Y1816" t="s">
        <v>87</v>
      </c>
      <c r="Z1816" t="s">
        <v>77</v>
      </c>
      <c r="AA1816" t="str">
        <f>"11203-2823"</f>
        <v>11203-2823</v>
      </c>
      <c r="AB1816" t="s">
        <v>78</v>
      </c>
      <c r="AC1816" t="s">
        <v>79</v>
      </c>
      <c r="AD1816" t="s">
        <v>75</v>
      </c>
      <c r="AE1816" t="s">
        <v>80</v>
      </c>
      <c r="AG1816" t="s">
        <v>81</v>
      </c>
    </row>
    <row r="1817" spans="1:33" x14ac:dyDescent="0.25">
      <c r="A1817" t="str">
        <f>"1780973800"</f>
        <v>1780973800</v>
      </c>
      <c r="C1817" t="s">
        <v>13171</v>
      </c>
      <c r="K1817" t="s">
        <v>99</v>
      </c>
      <c r="L1817" t="s">
        <v>102</v>
      </c>
      <c r="M1817" t="s">
        <v>75</v>
      </c>
      <c r="R1817" t="s">
        <v>13172</v>
      </c>
      <c r="S1817" t="s">
        <v>13173</v>
      </c>
      <c r="T1817" t="s">
        <v>97</v>
      </c>
      <c r="U1817" t="s">
        <v>77</v>
      </c>
      <c r="V1817" t="str">
        <f>"100297011"</f>
        <v>100297011</v>
      </c>
      <c r="AC1817" t="s">
        <v>79</v>
      </c>
      <c r="AD1817" t="s">
        <v>75</v>
      </c>
      <c r="AE1817" t="s">
        <v>103</v>
      </c>
      <c r="AG1817" t="s">
        <v>81</v>
      </c>
    </row>
    <row r="1818" spans="1:33" x14ac:dyDescent="0.25">
      <c r="A1818" t="str">
        <f>"1912295841"</f>
        <v>1912295841</v>
      </c>
      <c r="C1818" t="s">
        <v>13174</v>
      </c>
      <c r="K1818" t="s">
        <v>99</v>
      </c>
      <c r="L1818" t="s">
        <v>102</v>
      </c>
      <c r="M1818" t="s">
        <v>75</v>
      </c>
      <c r="R1818" t="s">
        <v>13175</v>
      </c>
      <c r="S1818" t="s">
        <v>2629</v>
      </c>
      <c r="T1818" t="s">
        <v>142</v>
      </c>
      <c r="U1818" t="s">
        <v>77</v>
      </c>
      <c r="V1818" t="str">
        <f>"132102342"</f>
        <v>132102342</v>
      </c>
      <c r="AC1818" t="s">
        <v>79</v>
      </c>
      <c r="AD1818" t="s">
        <v>75</v>
      </c>
      <c r="AE1818" t="s">
        <v>103</v>
      </c>
      <c r="AG1818" t="s">
        <v>81</v>
      </c>
    </row>
    <row r="1819" spans="1:33" x14ac:dyDescent="0.25">
      <c r="A1819" t="str">
        <f>"1902141245"</f>
        <v>1902141245</v>
      </c>
      <c r="C1819" t="s">
        <v>13176</v>
      </c>
      <c r="K1819" t="s">
        <v>99</v>
      </c>
      <c r="L1819" t="s">
        <v>102</v>
      </c>
      <c r="M1819" t="s">
        <v>75</v>
      </c>
      <c r="R1819" t="s">
        <v>13177</v>
      </c>
      <c r="S1819" t="s">
        <v>13178</v>
      </c>
      <c r="T1819" t="s">
        <v>97</v>
      </c>
      <c r="U1819" t="s">
        <v>77</v>
      </c>
      <c r="V1819" t="str">
        <f>"100296503"</f>
        <v>100296503</v>
      </c>
      <c r="AC1819" t="s">
        <v>79</v>
      </c>
      <c r="AD1819" t="s">
        <v>75</v>
      </c>
      <c r="AE1819" t="s">
        <v>103</v>
      </c>
      <c r="AG1819" t="s">
        <v>81</v>
      </c>
    </row>
    <row r="1820" spans="1:33" x14ac:dyDescent="0.25">
      <c r="A1820" t="str">
        <f>"1790191856"</f>
        <v>1790191856</v>
      </c>
      <c r="C1820" t="s">
        <v>13179</v>
      </c>
      <c r="K1820" t="s">
        <v>99</v>
      </c>
      <c r="L1820" t="s">
        <v>102</v>
      </c>
      <c r="M1820" t="s">
        <v>75</v>
      </c>
      <c r="R1820" t="s">
        <v>13180</v>
      </c>
      <c r="S1820" t="s">
        <v>13181</v>
      </c>
      <c r="T1820" t="s">
        <v>4861</v>
      </c>
      <c r="U1820" t="s">
        <v>156</v>
      </c>
      <c r="V1820" t="str">
        <f>"076311808"</f>
        <v>076311808</v>
      </c>
      <c r="AC1820" t="s">
        <v>79</v>
      </c>
      <c r="AD1820" t="s">
        <v>75</v>
      </c>
      <c r="AE1820" t="s">
        <v>103</v>
      </c>
      <c r="AG1820" t="s">
        <v>81</v>
      </c>
    </row>
    <row r="1821" spans="1:33" x14ac:dyDescent="0.25">
      <c r="A1821" t="str">
        <f>"1942613419"</f>
        <v>1942613419</v>
      </c>
      <c r="C1821" t="s">
        <v>13182</v>
      </c>
      <c r="K1821" t="s">
        <v>99</v>
      </c>
      <c r="L1821" t="s">
        <v>102</v>
      </c>
      <c r="M1821" t="s">
        <v>75</v>
      </c>
      <c r="R1821" t="s">
        <v>13183</v>
      </c>
      <c r="S1821" t="s">
        <v>12769</v>
      </c>
      <c r="T1821" t="s">
        <v>4861</v>
      </c>
      <c r="U1821" t="s">
        <v>156</v>
      </c>
      <c r="V1821" t="str">
        <f>"076311808"</f>
        <v>076311808</v>
      </c>
      <c r="AC1821" t="s">
        <v>79</v>
      </c>
      <c r="AD1821" t="s">
        <v>75</v>
      </c>
      <c r="AE1821" t="s">
        <v>103</v>
      </c>
      <c r="AG1821" t="s">
        <v>81</v>
      </c>
    </row>
    <row r="1822" spans="1:33" x14ac:dyDescent="0.25">
      <c r="A1822" t="str">
        <f>"1902213820"</f>
        <v>1902213820</v>
      </c>
      <c r="C1822" t="s">
        <v>13184</v>
      </c>
      <c r="K1822" t="s">
        <v>99</v>
      </c>
      <c r="L1822" t="s">
        <v>102</v>
      </c>
      <c r="M1822" t="s">
        <v>75</v>
      </c>
      <c r="R1822" t="s">
        <v>13185</v>
      </c>
      <c r="S1822" t="s">
        <v>13186</v>
      </c>
      <c r="T1822" t="s">
        <v>5259</v>
      </c>
      <c r="U1822" t="s">
        <v>156</v>
      </c>
      <c r="V1822" t="str">
        <f>"076501037"</f>
        <v>076501037</v>
      </c>
      <c r="AC1822" t="s">
        <v>79</v>
      </c>
      <c r="AD1822" t="s">
        <v>75</v>
      </c>
      <c r="AE1822" t="s">
        <v>103</v>
      </c>
      <c r="AG1822" t="s">
        <v>81</v>
      </c>
    </row>
    <row r="1823" spans="1:33" x14ac:dyDescent="0.25">
      <c r="A1823" t="str">
        <f>"1942632872"</f>
        <v>1942632872</v>
      </c>
      <c r="C1823" t="s">
        <v>13187</v>
      </c>
      <c r="K1823" t="s">
        <v>99</v>
      </c>
      <c r="L1823" t="s">
        <v>102</v>
      </c>
      <c r="M1823" t="s">
        <v>75</v>
      </c>
      <c r="R1823" t="s">
        <v>13188</v>
      </c>
      <c r="S1823" t="s">
        <v>12769</v>
      </c>
      <c r="T1823" t="s">
        <v>4861</v>
      </c>
      <c r="U1823" t="s">
        <v>156</v>
      </c>
      <c r="V1823" t="str">
        <f>"076311808"</f>
        <v>076311808</v>
      </c>
      <c r="AC1823" t="s">
        <v>79</v>
      </c>
      <c r="AD1823" t="s">
        <v>75</v>
      </c>
      <c r="AE1823" t="s">
        <v>103</v>
      </c>
      <c r="AG1823" t="s">
        <v>81</v>
      </c>
    </row>
    <row r="1824" spans="1:33" x14ac:dyDescent="0.25">
      <c r="A1824" t="str">
        <f>"1689872988"</f>
        <v>1689872988</v>
      </c>
      <c r="B1824" t="str">
        <f>"03700112"</f>
        <v>03700112</v>
      </c>
      <c r="C1824" t="s">
        <v>13189</v>
      </c>
      <c r="D1824" t="s">
        <v>13190</v>
      </c>
      <c r="E1824" t="s">
        <v>13191</v>
      </c>
      <c r="G1824" t="s">
        <v>13189</v>
      </c>
      <c r="H1824" t="s">
        <v>13192</v>
      </c>
      <c r="J1824" t="s">
        <v>13193</v>
      </c>
      <c r="L1824" t="s">
        <v>74</v>
      </c>
      <c r="M1824" t="s">
        <v>75</v>
      </c>
      <c r="R1824" t="s">
        <v>13194</v>
      </c>
      <c r="W1824" t="s">
        <v>13191</v>
      </c>
      <c r="X1824" t="s">
        <v>13195</v>
      </c>
      <c r="Y1824" t="s">
        <v>97</v>
      </c>
      <c r="Z1824" t="s">
        <v>77</v>
      </c>
      <c r="AA1824" t="str">
        <f>"10024-6450"</f>
        <v>10024-6450</v>
      </c>
      <c r="AB1824" t="s">
        <v>78</v>
      </c>
      <c r="AC1824" t="s">
        <v>79</v>
      </c>
      <c r="AD1824" t="s">
        <v>75</v>
      </c>
      <c r="AE1824" t="s">
        <v>80</v>
      </c>
      <c r="AG1824" t="s">
        <v>81</v>
      </c>
    </row>
    <row r="1825" spans="1:33" x14ac:dyDescent="0.25">
      <c r="A1825" t="str">
        <f>"1932363033"</f>
        <v>1932363033</v>
      </c>
      <c r="B1825" t="str">
        <f>"03751920"</f>
        <v>03751920</v>
      </c>
      <c r="C1825" t="s">
        <v>13196</v>
      </c>
      <c r="D1825" t="s">
        <v>13197</v>
      </c>
      <c r="E1825" t="s">
        <v>13198</v>
      </c>
      <c r="G1825" t="s">
        <v>13196</v>
      </c>
      <c r="H1825" t="s">
        <v>13192</v>
      </c>
      <c r="J1825" t="s">
        <v>13199</v>
      </c>
      <c r="L1825" t="s">
        <v>74</v>
      </c>
      <c r="M1825" t="s">
        <v>75</v>
      </c>
      <c r="R1825" t="s">
        <v>13200</v>
      </c>
      <c r="W1825" t="s">
        <v>13198</v>
      </c>
      <c r="X1825" t="s">
        <v>6528</v>
      </c>
      <c r="Y1825" t="s">
        <v>97</v>
      </c>
      <c r="Z1825" t="s">
        <v>77</v>
      </c>
      <c r="AA1825" t="str">
        <f>"10035-3523"</f>
        <v>10035-3523</v>
      </c>
      <c r="AB1825" t="s">
        <v>78</v>
      </c>
      <c r="AC1825" t="s">
        <v>79</v>
      </c>
      <c r="AD1825" t="s">
        <v>75</v>
      </c>
      <c r="AE1825" t="s">
        <v>80</v>
      </c>
      <c r="AG1825" t="s">
        <v>81</v>
      </c>
    </row>
    <row r="1826" spans="1:33" x14ac:dyDescent="0.25">
      <c r="A1826" t="str">
        <f>"1457444234"</f>
        <v>1457444234</v>
      </c>
      <c r="B1826" t="str">
        <f>"02995733"</f>
        <v>02995733</v>
      </c>
      <c r="C1826" t="s">
        <v>433</v>
      </c>
      <c r="D1826" t="s">
        <v>13201</v>
      </c>
      <c r="E1826" t="s">
        <v>13202</v>
      </c>
      <c r="G1826" t="s">
        <v>433</v>
      </c>
      <c r="H1826" t="s">
        <v>13192</v>
      </c>
      <c r="J1826" t="s">
        <v>433</v>
      </c>
      <c r="L1826" t="s">
        <v>10</v>
      </c>
      <c r="M1826" t="s">
        <v>85</v>
      </c>
      <c r="R1826" t="s">
        <v>13203</v>
      </c>
      <c r="W1826" t="s">
        <v>13204</v>
      </c>
      <c r="X1826" t="s">
        <v>13205</v>
      </c>
      <c r="Y1826" t="s">
        <v>97</v>
      </c>
      <c r="Z1826" t="s">
        <v>77</v>
      </c>
      <c r="AA1826" t="str">
        <f>"10025-3200"</f>
        <v>10025-3200</v>
      </c>
      <c r="AB1826" t="s">
        <v>93</v>
      </c>
      <c r="AC1826" t="s">
        <v>79</v>
      </c>
      <c r="AD1826" t="s">
        <v>75</v>
      </c>
      <c r="AE1826" t="s">
        <v>80</v>
      </c>
      <c r="AG1826" t="s">
        <v>81</v>
      </c>
    </row>
    <row r="1827" spans="1:33" x14ac:dyDescent="0.25">
      <c r="A1827" t="str">
        <f>"1851735419"</f>
        <v>1851735419</v>
      </c>
      <c r="C1827" t="s">
        <v>13206</v>
      </c>
      <c r="K1827" t="s">
        <v>99</v>
      </c>
      <c r="L1827" t="s">
        <v>102</v>
      </c>
      <c r="M1827" t="s">
        <v>75</v>
      </c>
      <c r="R1827" t="s">
        <v>13207</v>
      </c>
      <c r="S1827" t="s">
        <v>13208</v>
      </c>
      <c r="T1827" t="s">
        <v>97</v>
      </c>
      <c r="U1827" t="s">
        <v>77</v>
      </c>
      <c r="V1827" t="str">
        <f>"100033851"</f>
        <v>100033851</v>
      </c>
      <c r="AC1827" t="s">
        <v>79</v>
      </c>
      <c r="AD1827" t="s">
        <v>75</v>
      </c>
      <c r="AE1827" t="s">
        <v>103</v>
      </c>
      <c r="AG1827" t="s">
        <v>81</v>
      </c>
    </row>
    <row r="1828" spans="1:33" x14ac:dyDescent="0.25">
      <c r="A1828" t="str">
        <f>"1912240508"</f>
        <v>1912240508</v>
      </c>
      <c r="C1828" t="s">
        <v>13209</v>
      </c>
      <c r="K1828" t="s">
        <v>99</v>
      </c>
      <c r="L1828" t="s">
        <v>102</v>
      </c>
      <c r="M1828" t="s">
        <v>75</v>
      </c>
      <c r="R1828" t="s">
        <v>13210</v>
      </c>
      <c r="S1828" t="s">
        <v>13211</v>
      </c>
      <c r="T1828" t="s">
        <v>2262</v>
      </c>
      <c r="U1828" t="s">
        <v>123</v>
      </c>
      <c r="V1828" t="str">
        <f>"021142275"</f>
        <v>021142275</v>
      </c>
      <c r="AC1828" t="s">
        <v>79</v>
      </c>
      <c r="AD1828" t="s">
        <v>75</v>
      </c>
      <c r="AE1828" t="s">
        <v>103</v>
      </c>
      <c r="AG1828" t="s">
        <v>81</v>
      </c>
    </row>
    <row r="1829" spans="1:33" x14ac:dyDescent="0.25">
      <c r="A1829" t="str">
        <f>"1801236997"</f>
        <v>1801236997</v>
      </c>
      <c r="C1829" t="s">
        <v>13212</v>
      </c>
      <c r="K1829" t="s">
        <v>99</v>
      </c>
      <c r="L1829" t="s">
        <v>102</v>
      </c>
      <c r="M1829" t="s">
        <v>75</v>
      </c>
      <c r="R1829" t="s">
        <v>13213</v>
      </c>
      <c r="S1829" t="s">
        <v>13214</v>
      </c>
      <c r="T1829" t="s">
        <v>1789</v>
      </c>
      <c r="U1829" t="s">
        <v>285</v>
      </c>
      <c r="V1829" t="str">
        <f>"606593679"</f>
        <v>606593679</v>
      </c>
      <c r="AC1829" t="s">
        <v>79</v>
      </c>
      <c r="AD1829" t="s">
        <v>75</v>
      </c>
      <c r="AE1829" t="s">
        <v>103</v>
      </c>
      <c r="AG1829" t="s">
        <v>81</v>
      </c>
    </row>
    <row r="1830" spans="1:33" x14ac:dyDescent="0.25">
      <c r="A1830" t="str">
        <f>"1962751610"</f>
        <v>1962751610</v>
      </c>
      <c r="C1830" t="s">
        <v>13215</v>
      </c>
      <c r="K1830" t="s">
        <v>99</v>
      </c>
      <c r="L1830" t="s">
        <v>102</v>
      </c>
      <c r="M1830" t="s">
        <v>75</v>
      </c>
      <c r="R1830" t="s">
        <v>13216</v>
      </c>
      <c r="S1830" t="s">
        <v>13217</v>
      </c>
      <c r="T1830" t="s">
        <v>469</v>
      </c>
      <c r="U1830" t="s">
        <v>123</v>
      </c>
      <c r="V1830" t="str">
        <f>"016550002"</f>
        <v>016550002</v>
      </c>
      <c r="AC1830" t="s">
        <v>79</v>
      </c>
      <c r="AD1830" t="s">
        <v>75</v>
      </c>
      <c r="AE1830" t="s">
        <v>103</v>
      </c>
      <c r="AG1830" t="s">
        <v>81</v>
      </c>
    </row>
    <row r="1831" spans="1:33" x14ac:dyDescent="0.25">
      <c r="A1831" t="str">
        <f>"1811315633"</f>
        <v>1811315633</v>
      </c>
      <c r="C1831" t="s">
        <v>13218</v>
      </c>
      <c r="K1831" t="s">
        <v>99</v>
      </c>
      <c r="L1831" t="s">
        <v>102</v>
      </c>
      <c r="M1831" t="s">
        <v>75</v>
      </c>
      <c r="R1831" t="s">
        <v>13219</v>
      </c>
      <c r="S1831" t="s">
        <v>13220</v>
      </c>
      <c r="T1831" t="s">
        <v>97</v>
      </c>
      <c r="U1831" t="s">
        <v>77</v>
      </c>
      <c r="V1831" t="str">
        <f>"100295712"</f>
        <v>100295712</v>
      </c>
      <c r="AC1831" t="s">
        <v>79</v>
      </c>
      <c r="AD1831" t="s">
        <v>75</v>
      </c>
      <c r="AE1831" t="s">
        <v>103</v>
      </c>
      <c r="AG1831" t="s">
        <v>81</v>
      </c>
    </row>
    <row r="1832" spans="1:33" x14ac:dyDescent="0.25">
      <c r="A1832" t="str">
        <f>"1780940767"</f>
        <v>1780940767</v>
      </c>
      <c r="C1832" t="s">
        <v>13221</v>
      </c>
      <c r="K1832" t="s">
        <v>99</v>
      </c>
      <c r="L1832" t="s">
        <v>102</v>
      </c>
      <c r="M1832" t="s">
        <v>75</v>
      </c>
      <c r="R1832" t="s">
        <v>13222</v>
      </c>
      <c r="S1832" t="s">
        <v>13223</v>
      </c>
      <c r="T1832" t="s">
        <v>97</v>
      </c>
      <c r="U1832" t="s">
        <v>77</v>
      </c>
      <c r="V1832" t="str">
        <f>"10019"</f>
        <v>10019</v>
      </c>
      <c r="AC1832" t="s">
        <v>79</v>
      </c>
      <c r="AD1832" t="s">
        <v>75</v>
      </c>
      <c r="AE1832" t="s">
        <v>103</v>
      </c>
      <c r="AG1832" t="s">
        <v>81</v>
      </c>
    </row>
    <row r="1833" spans="1:33" x14ac:dyDescent="0.25">
      <c r="A1833" t="str">
        <f>"1942562392"</f>
        <v>1942562392</v>
      </c>
      <c r="C1833" t="s">
        <v>13224</v>
      </c>
      <c r="K1833" t="s">
        <v>99</v>
      </c>
      <c r="L1833" t="s">
        <v>102</v>
      </c>
      <c r="M1833" t="s">
        <v>75</v>
      </c>
      <c r="R1833" t="s">
        <v>13225</v>
      </c>
      <c r="S1833" t="s">
        <v>13226</v>
      </c>
      <c r="T1833" t="s">
        <v>178</v>
      </c>
      <c r="U1833" t="s">
        <v>77</v>
      </c>
      <c r="V1833" t="str">
        <f>"110201428"</f>
        <v>110201428</v>
      </c>
      <c r="AC1833" t="s">
        <v>79</v>
      </c>
      <c r="AD1833" t="s">
        <v>75</v>
      </c>
      <c r="AE1833" t="s">
        <v>103</v>
      </c>
      <c r="AG1833" t="s">
        <v>81</v>
      </c>
    </row>
    <row r="1834" spans="1:33" x14ac:dyDescent="0.25">
      <c r="A1834" t="str">
        <f>"1861710980"</f>
        <v>1861710980</v>
      </c>
      <c r="B1834" t="str">
        <f>"04173162"</f>
        <v>04173162</v>
      </c>
      <c r="C1834" t="s">
        <v>13227</v>
      </c>
      <c r="D1834" t="s">
        <v>13228</v>
      </c>
      <c r="E1834" t="s">
        <v>13229</v>
      </c>
      <c r="L1834" t="s">
        <v>74</v>
      </c>
      <c r="M1834" t="s">
        <v>75</v>
      </c>
      <c r="R1834" t="s">
        <v>13230</v>
      </c>
      <c r="W1834" t="s">
        <v>13229</v>
      </c>
      <c r="X1834" t="s">
        <v>1455</v>
      </c>
      <c r="Y1834" t="s">
        <v>91</v>
      </c>
      <c r="Z1834" t="s">
        <v>77</v>
      </c>
      <c r="AA1834" t="str">
        <f>"11373-1329"</f>
        <v>11373-1329</v>
      </c>
      <c r="AB1834" t="s">
        <v>78</v>
      </c>
      <c r="AC1834" t="s">
        <v>79</v>
      </c>
      <c r="AD1834" t="s">
        <v>75</v>
      </c>
      <c r="AE1834" t="s">
        <v>80</v>
      </c>
      <c r="AG1834" t="s">
        <v>81</v>
      </c>
    </row>
    <row r="1835" spans="1:33" x14ac:dyDescent="0.25">
      <c r="A1835" t="str">
        <f>"1891138525"</f>
        <v>1891138525</v>
      </c>
      <c r="C1835" t="s">
        <v>13231</v>
      </c>
      <c r="K1835" t="s">
        <v>99</v>
      </c>
      <c r="L1835" t="s">
        <v>102</v>
      </c>
      <c r="M1835" t="s">
        <v>75</v>
      </c>
      <c r="R1835" t="s">
        <v>13232</v>
      </c>
      <c r="S1835" t="s">
        <v>13233</v>
      </c>
      <c r="T1835" t="s">
        <v>97</v>
      </c>
      <c r="U1835" t="s">
        <v>77</v>
      </c>
      <c r="V1835" t="str">
        <f>"100296500"</f>
        <v>100296500</v>
      </c>
      <c r="AC1835" t="s">
        <v>79</v>
      </c>
      <c r="AD1835" t="s">
        <v>75</v>
      </c>
      <c r="AE1835" t="s">
        <v>103</v>
      </c>
      <c r="AG1835" t="s">
        <v>81</v>
      </c>
    </row>
    <row r="1836" spans="1:33" x14ac:dyDescent="0.25">
      <c r="A1836" t="str">
        <f>"1881906014"</f>
        <v>1881906014</v>
      </c>
      <c r="C1836" t="s">
        <v>13234</v>
      </c>
      <c r="K1836" t="s">
        <v>99</v>
      </c>
      <c r="L1836" t="s">
        <v>102</v>
      </c>
      <c r="M1836" t="s">
        <v>75</v>
      </c>
      <c r="R1836" t="s">
        <v>13235</v>
      </c>
      <c r="S1836" t="s">
        <v>13236</v>
      </c>
      <c r="T1836" t="s">
        <v>13237</v>
      </c>
      <c r="U1836" t="s">
        <v>1784</v>
      </c>
      <c r="V1836" t="str">
        <f>"189601549"</f>
        <v>189601549</v>
      </c>
      <c r="AC1836" t="s">
        <v>79</v>
      </c>
      <c r="AD1836" t="s">
        <v>75</v>
      </c>
      <c r="AE1836" t="s">
        <v>103</v>
      </c>
      <c r="AG1836" t="s">
        <v>81</v>
      </c>
    </row>
    <row r="1837" spans="1:33" x14ac:dyDescent="0.25">
      <c r="A1837" t="str">
        <f>"1851710040"</f>
        <v>1851710040</v>
      </c>
      <c r="C1837" t="s">
        <v>13238</v>
      </c>
      <c r="K1837" t="s">
        <v>99</v>
      </c>
      <c r="L1837" t="s">
        <v>102</v>
      </c>
      <c r="M1837" t="s">
        <v>75</v>
      </c>
      <c r="R1837" t="s">
        <v>13239</v>
      </c>
      <c r="S1837" t="s">
        <v>191</v>
      </c>
      <c r="T1837" t="s">
        <v>97</v>
      </c>
      <c r="U1837" t="s">
        <v>77</v>
      </c>
      <c r="V1837" t="str">
        <f>"100191147"</f>
        <v>100191147</v>
      </c>
      <c r="AC1837" t="s">
        <v>79</v>
      </c>
      <c r="AD1837" t="s">
        <v>75</v>
      </c>
      <c r="AE1837" t="s">
        <v>103</v>
      </c>
      <c r="AG1837" t="s">
        <v>81</v>
      </c>
    </row>
    <row r="1838" spans="1:33" x14ac:dyDescent="0.25">
      <c r="A1838" t="str">
        <f>"1831518745"</f>
        <v>1831518745</v>
      </c>
      <c r="C1838" t="s">
        <v>13240</v>
      </c>
      <c r="K1838" t="s">
        <v>99</v>
      </c>
      <c r="L1838" t="s">
        <v>102</v>
      </c>
      <c r="M1838" t="s">
        <v>75</v>
      </c>
      <c r="R1838" t="s">
        <v>13241</v>
      </c>
      <c r="S1838" t="s">
        <v>13242</v>
      </c>
      <c r="T1838" t="s">
        <v>97</v>
      </c>
      <c r="U1838" t="s">
        <v>77</v>
      </c>
      <c r="V1838" t="str">
        <f>"100191147"</f>
        <v>100191147</v>
      </c>
      <c r="AC1838" t="s">
        <v>79</v>
      </c>
      <c r="AD1838" t="s">
        <v>75</v>
      </c>
      <c r="AE1838" t="s">
        <v>103</v>
      </c>
      <c r="AG1838" t="s">
        <v>81</v>
      </c>
    </row>
    <row r="1839" spans="1:33" x14ac:dyDescent="0.25">
      <c r="A1839" t="str">
        <f>"1619291465"</f>
        <v>1619291465</v>
      </c>
      <c r="B1839" t="str">
        <f>"03766507"</f>
        <v>03766507</v>
      </c>
      <c r="C1839" t="s">
        <v>13243</v>
      </c>
      <c r="D1839" t="s">
        <v>13244</v>
      </c>
      <c r="E1839" t="s">
        <v>13245</v>
      </c>
      <c r="G1839" t="s">
        <v>7218</v>
      </c>
      <c r="H1839" t="s">
        <v>6801</v>
      </c>
      <c r="I1839">
        <v>6136</v>
      </c>
      <c r="J1839" t="s">
        <v>7219</v>
      </c>
      <c r="L1839" t="s">
        <v>74</v>
      </c>
      <c r="M1839" t="s">
        <v>75</v>
      </c>
      <c r="R1839" t="s">
        <v>13246</v>
      </c>
      <c r="W1839" t="s">
        <v>13245</v>
      </c>
      <c r="X1839" t="s">
        <v>8686</v>
      </c>
      <c r="Y1839" t="s">
        <v>145</v>
      </c>
      <c r="Z1839" t="s">
        <v>77</v>
      </c>
      <c r="AA1839" t="str">
        <f>"11361-3241"</f>
        <v>11361-3241</v>
      </c>
      <c r="AB1839" t="s">
        <v>113</v>
      </c>
      <c r="AC1839" t="s">
        <v>79</v>
      </c>
      <c r="AD1839" t="s">
        <v>75</v>
      </c>
      <c r="AE1839" t="s">
        <v>80</v>
      </c>
      <c r="AG1839" t="s">
        <v>81</v>
      </c>
    </row>
    <row r="1840" spans="1:33" x14ac:dyDescent="0.25">
      <c r="C1840" t="s">
        <v>13247</v>
      </c>
      <c r="G1840" t="s">
        <v>7218</v>
      </c>
      <c r="H1840" t="s">
        <v>6801</v>
      </c>
      <c r="I1840">
        <v>6136</v>
      </c>
      <c r="J1840" t="s">
        <v>7219</v>
      </c>
      <c r="K1840" t="s">
        <v>99</v>
      </c>
      <c r="L1840" t="s">
        <v>100</v>
      </c>
      <c r="M1840" t="s">
        <v>75</v>
      </c>
      <c r="N1840" t="s">
        <v>13248</v>
      </c>
      <c r="O1840" t="s">
        <v>13249</v>
      </c>
      <c r="P1840" t="s">
        <v>77</v>
      </c>
      <c r="Q1840" t="str">
        <f>"11361"</f>
        <v>11361</v>
      </c>
      <c r="AC1840" t="s">
        <v>79</v>
      </c>
      <c r="AD1840" t="s">
        <v>75</v>
      </c>
      <c r="AE1840" t="s">
        <v>101</v>
      </c>
      <c r="AG1840" t="s">
        <v>81</v>
      </c>
    </row>
    <row r="1841" spans="1:33" x14ac:dyDescent="0.25">
      <c r="A1841" t="str">
        <f>"1780734442"</f>
        <v>1780734442</v>
      </c>
      <c r="C1841" t="s">
        <v>13250</v>
      </c>
      <c r="K1841" t="s">
        <v>99</v>
      </c>
      <c r="L1841" t="s">
        <v>102</v>
      </c>
      <c r="M1841" t="s">
        <v>75</v>
      </c>
      <c r="R1841" t="s">
        <v>13251</v>
      </c>
      <c r="S1841" t="s">
        <v>13252</v>
      </c>
      <c r="T1841" t="s">
        <v>97</v>
      </c>
      <c r="U1841" t="s">
        <v>77</v>
      </c>
      <c r="V1841" t="str">
        <f>"10003"</f>
        <v>10003</v>
      </c>
      <c r="AC1841" t="s">
        <v>79</v>
      </c>
      <c r="AD1841" t="s">
        <v>75</v>
      </c>
      <c r="AE1841" t="s">
        <v>103</v>
      </c>
      <c r="AG1841" t="s">
        <v>81</v>
      </c>
    </row>
    <row r="1842" spans="1:33" x14ac:dyDescent="0.25">
      <c r="A1842" t="str">
        <f>"1922369396"</f>
        <v>1922369396</v>
      </c>
      <c r="C1842" t="s">
        <v>13253</v>
      </c>
      <c r="K1842" t="s">
        <v>99</v>
      </c>
      <c r="L1842" t="s">
        <v>102</v>
      </c>
      <c r="M1842" t="s">
        <v>75</v>
      </c>
      <c r="R1842" t="s">
        <v>13254</v>
      </c>
      <c r="S1842" t="s">
        <v>13255</v>
      </c>
      <c r="T1842" t="s">
        <v>131</v>
      </c>
      <c r="U1842" t="s">
        <v>77</v>
      </c>
      <c r="V1842" t="str">
        <f>"104712609"</f>
        <v>104712609</v>
      </c>
      <c r="AC1842" t="s">
        <v>79</v>
      </c>
      <c r="AD1842" t="s">
        <v>75</v>
      </c>
      <c r="AE1842" t="s">
        <v>103</v>
      </c>
      <c r="AG1842" t="s">
        <v>81</v>
      </c>
    </row>
    <row r="1843" spans="1:33" x14ac:dyDescent="0.25">
      <c r="A1843" t="str">
        <f>"1972827731"</f>
        <v>1972827731</v>
      </c>
      <c r="B1843" t="str">
        <f>"03649043"</f>
        <v>03649043</v>
      </c>
      <c r="C1843" t="s">
        <v>13256</v>
      </c>
      <c r="D1843" t="s">
        <v>13257</v>
      </c>
      <c r="E1843" t="s">
        <v>13258</v>
      </c>
      <c r="L1843" t="s">
        <v>74</v>
      </c>
      <c r="M1843" t="s">
        <v>75</v>
      </c>
      <c r="R1843" t="s">
        <v>13259</v>
      </c>
      <c r="W1843" t="s">
        <v>13258</v>
      </c>
      <c r="X1843" t="s">
        <v>13260</v>
      </c>
      <c r="Y1843" t="s">
        <v>87</v>
      </c>
      <c r="Z1843" t="s">
        <v>77</v>
      </c>
      <c r="AA1843" t="str">
        <f>"11238-6102"</f>
        <v>11238-6102</v>
      </c>
      <c r="AB1843" t="s">
        <v>78</v>
      </c>
      <c r="AC1843" t="s">
        <v>79</v>
      </c>
      <c r="AD1843" t="s">
        <v>75</v>
      </c>
      <c r="AE1843" t="s">
        <v>80</v>
      </c>
      <c r="AG1843" t="s">
        <v>81</v>
      </c>
    </row>
    <row r="1844" spans="1:33" x14ac:dyDescent="0.25">
      <c r="A1844" t="str">
        <f>"1871703975"</f>
        <v>1871703975</v>
      </c>
      <c r="B1844" t="str">
        <f>"03132950"</f>
        <v>03132950</v>
      </c>
      <c r="C1844" t="s">
        <v>13261</v>
      </c>
      <c r="D1844" t="s">
        <v>13262</v>
      </c>
      <c r="E1844" t="s">
        <v>13263</v>
      </c>
      <c r="L1844" t="s">
        <v>74</v>
      </c>
      <c r="M1844" t="s">
        <v>85</v>
      </c>
      <c r="R1844" t="s">
        <v>13264</v>
      </c>
      <c r="W1844" t="s">
        <v>13265</v>
      </c>
      <c r="X1844" t="s">
        <v>251</v>
      </c>
      <c r="Y1844" t="s">
        <v>87</v>
      </c>
      <c r="Z1844" t="s">
        <v>77</v>
      </c>
      <c r="AA1844" t="str">
        <f>"11203-1809"</f>
        <v>11203-1809</v>
      </c>
      <c r="AB1844" t="s">
        <v>78</v>
      </c>
      <c r="AC1844" t="s">
        <v>79</v>
      </c>
      <c r="AD1844" t="s">
        <v>75</v>
      </c>
      <c r="AE1844" t="s">
        <v>80</v>
      </c>
      <c r="AG1844" t="s">
        <v>81</v>
      </c>
    </row>
    <row r="1845" spans="1:33" x14ac:dyDescent="0.25">
      <c r="A1845" t="str">
        <f>"1962819771"</f>
        <v>1962819771</v>
      </c>
      <c r="C1845" t="s">
        <v>13266</v>
      </c>
      <c r="K1845" t="s">
        <v>99</v>
      </c>
      <c r="L1845" t="s">
        <v>102</v>
      </c>
      <c r="M1845" t="s">
        <v>75</v>
      </c>
      <c r="R1845" t="s">
        <v>13267</v>
      </c>
      <c r="S1845" t="s">
        <v>181</v>
      </c>
      <c r="T1845" t="s">
        <v>97</v>
      </c>
      <c r="U1845" t="s">
        <v>77</v>
      </c>
      <c r="V1845" t="str">
        <f>"100251716"</f>
        <v>100251716</v>
      </c>
      <c r="AC1845" t="s">
        <v>79</v>
      </c>
      <c r="AD1845" t="s">
        <v>75</v>
      </c>
      <c r="AE1845" t="s">
        <v>103</v>
      </c>
      <c r="AG1845" t="s">
        <v>81</v>
      </c>
    </row>
    <row r="1846" spans="1:33" x14ac:dyDescent="0.25">
      <c r="A1846" t="str">
        <f>"1972846129"</f>
        <v>1972846129</v>
      </c>
      <c r="C1846" t="s">
        <v>13268</v>
      </c>
      <c r="K1846" t="s">
        <v>99</v>
      </c>
      <c r="L1846" t="s">
        <v>102</v>
      </c>
      <c r="M1846" t="s">
        <v>75</v>
      </c>
      <c r="R1846" t="s">
        <v>13269</v>
      </c>
      <c r="S1846" t="s">
        <v>191</v>
      </c>
      <c r="T1846" t="s">
        <v>97</v>
      </c>
      <c r="U1846" t="s">
        <v>77</v>
      </c>
      <c r="V1846" t="str">
        <f>"100191147"</f>
        <v>100191147</v>
      </c>
      <c r="AC1846" t="s">
        <v>79</v>
      </c>
      <c r="AD1846" t="s">
        <v>75</v>
      </c>
      <c r="AE1846" t="s">
        <v>103</v>
      </c>
      <c r="AG1846" t="s">
        <v>81</v>
      </c>
    </row>
    <row r="1847" spans="1:33" x14ac:dyDescent="0.25">
      <c r="A1847" t="str">
        <f>"1881013522"</f>
        <v>1881013522</v>
      </c>
      <c r="C1847" t="s">
        <v>13270</v>
      </c>
      <c r="K1847" t="s">
        <v>99</v>
      </c>
      <c r="L1847" t="s">
        <v>102</v>
      </c>
      <c r="M1847" t="s">
        <v>75</v>
      </c>
      <c r="R1847" t="s">
        <v>13271</v>
      </c>
      <c r="S1847" t="s">
        <v>181</v>
      </c>
      <c r="T1847" t="s">
        <v>97</v>
      </c>
      <c r="U1847" t="s">
        <v>77</v>
      </c>
      <c r="V1847" t="str">
        <f>"100251716"</f>
        <v>100251716</v>
      </c>
      <c r="AC1847" t="s">
        <v>79</v>
      </c>
      <c r="AD1847" t="s">
        <v>75</v>
      </c>
      <c r="AE1847" t="s">
        <v>103</v>
      </c>
      <c r="AG1847" t="s">
        <v>81</v>
      </c>
    </row>
    <row r="1848" spans="1:33" x14ac:dyDescent="0.25">
      <c r="A1848" t="str">
        <f>"1982947222"</f>
        <v>1982947222</v>
      </c>
      <c r="C1848" t="s">
        <v>13272</v>
      </c>
      <c r="K1848" t="s">
        <v>99</v>
      </c>
      <c r="L1848" t="s">
        <v>102</v>
      </c>
      <c r="M1848" t="s">
        <v>75</v>
      </c>
      <c r="R1848" t="s">
        <v>13273</v>
      </c>
      <c r="S1848" t="s">
        <v>191</v>
      </c>
      <c r="T1848" t="s">
        <v>97</v>
      </c>
      <c r="U1848" t="s">
        <v>77</v>
      </c>
      <c r="V1848" t="str">
        <f>"100191147"</f>
        <v>100191147</v>
      </c>
      <c r="AC1848" t="s">
        <v>79</v>
      </c>
      <c r="AD1848" t="s">
        <v>75</v>
      </c>
      <c r="AE1848" t="s">
        <v>103</v>
      </c>
      <c r="AG1848" t="s">
        <v>81</v>
      </c>
    </row>
    <row r="1849" spans="1:33" x14ac:dyDescent="0.25">
      <c r="A1849" t="str">
        <f>"1982983185"</f>
        <v>1982983185</v>
      </c>
      <c r="B1849" t="str">
        <f>"04259849"</f>
        <v>04259849</v>
      </c>
      <c r="C1849" t="s">
        <v>13274</v>
      </c>
      <c r="D1849" t="s">
        <v>13275</v>
      </c>
      <c r="E1849" t="s">
        <v>13276</v>
      </c>
      <c r="L1849" t="s">
        <v>83</v>
      </c>
      <c r="M1849" t="s">
        <v>75</v>
      </c>
      <c r="R1849" t="s">
        <v>13277</v>
      </c>
      <c r="W1849" t="s">
        <v>13276</v>
      </c>
      <c r="X1849" t="s">
        <v>843</v>
      </c>
      <c r="Y1849" t="s">
        <v>97</v>
      </c>
      <c r="Z1849" t="s">
        <v>77</v>
      </c>
      <c r="AA1849" t="str">
        <f>"10016-6402"</f>
        <v>10016-6402</v>
      </c>
      <c r="AB1849" t="s">
        <v>78</v>
      </c>
      <c r="AC1849" t="s">
        <v>79</v>
      </c>
      <c r="AD1849" t="s">
        <v>75</v>
      </c>
      <c r="AE1849" t="s">
        <v>80</v>
      </c>
      <c r="AG1849" t="s">
        <v>81</v>
      </c>
    </row>
    <row r="1850" spans="1:33" x14ac:dyDescent="0.25">
      <c r="A1850" t="str">
        <f>"1881012771"</f>
        <v>1881012771</v>
      </c>
      <c r="C1850" t="s">
        <v>13278</v>
      </c>
      <c r="K1850" t="s">
        <v>99</v>
      </c>
      <c r="L1850" t="s">
        <v>102</v>
      </c>
      <c r="M1850" t="s">
        <v>75</v>
      </c>
      <c r="R1850" t="s">
        <v>13279</v>
      </c>
      <c r="S1850" t="s">
        <v>11850</v>
      </c>
      <c r="T1850" t="s">
        <v>97</v>
      </c>
      <c r="U1850" t="s">
        <v>77</v>
      </c>
      <c r="V1850" t="str">
        <f>"100296504"</f>
        <v>100296504</v>
      </c>
      <c r="AC1850" t="s">
        <v>79</v>
      </c>
      <c r="AD1850" t="s">
        <v>75</v>
      </c>
      <c r="AE1850" t="s">
        <v>103</v>
      </c>
      <c r="AG1850" t="s">
        <v>81</v>
      </c>
    </row>
    <row r="1851" spans="1:33" x14ac:dyDescent="0.25">
      <c r="A1851" t="str">
        <f>"1952643629"</f>
        <v>1952643629</v>
      </c>
      <c r="C1851" t="s">
        <v>13280</v>
      </c>
      <c r="K1851" t="s">
        <v>99</v>
      </c>
      <c r="L1851" t="s">
        <v>102</v>
      </c>
      <c r="M1851" t="s">
        <v>75</v>
      </c>
      <c r="R1851" t="s">
        <v>13281</v>
      </c>
      <c r="S1851" t="s">
        <v>329</v>
      </c>
      <c r="T1851" t="s">
        <v>97</v>
      </c>
      <c r="U1851" t="s">
        <v>77</v>
      </c>
      <c r="V1851" t="str">
        <f>"100296500"</f>
        <v>100296500</v>
      </c>
      <c r="AC1851" t="s">
        <v>79</v>
      </c>
      <c r="AD1851" t="s">
        <v>75</v>
      </c>
      <c r="AE1851" t="s">
        <v>103</v>
      </c>
      <c r="AG1851" t="s">
        <v>81</v>
      </c>
    </row>
    <row r="1852" spans="1:33" x14ac:dyDescent="0.25">
      <c r="A1852" t="str">
        <f>"1932442647"</f>
        <v>1932442647</v>
      </c>
      <c r="C1852" t="s">
        <v>13282</v>
      </c>
      <c r="K1852" t="s">
        <v>99</v>
      </c>
      <c r="L1852" t="s">
        <v>102</v>
      </c>
      <c r="M1852" t="s">
        <v>75</v>
      </c>
      <c r="R1852" t="s">
        <v>13283</v>
      </c>
      <c r="S1852" t="s">
        <v>13284</v>
      </c>
      <c r="T1852" t="s">
        <v>97</v>
      </c>
      <c r="U1852" t="s">
        <v>77</v>
      </c>
      <c r="V1852" t="str">
        <f>"100296552"</f>
        <v>100296552</v>
      </c>
      <c r="AC1852" t="s">
        <v>79</v>
      </c>
      <c r="AD1852" t="s">
        <v>75</v>
      </c>
      <c r="AE1852" t="s">
        <v>103</v>
      </c>
      <c r="AG1852" t="s">
        <v>81</v>
      </c>
    </row>
    <row r="1853" spans="1:33" x14ac:dyDescent="0.25">
      <c r="A1853" t="str">
        <f>"1619909041"</f>
        <v>1619909041</v>
      </c>
      <c r="B1853" t="str">
        <f>"03523484"</f>
        <v>03523484</v>
      </c>
      <c r="C1853" t="s">
        <v>13285</v>
      </c>
      <c r="D1853" t="s">
        <v>13286</v>
      </c>
      <c r="E1853" t="s">
        <v>13287</v>
      </c>
      <c r="G1853" t="s">
        <v>7218</v>
      </c>
      <c r="H1853" t="s">
        <v>6801</v>
      </c>
      <c r="I1853">
        <v>6136</v>
      </c>
      <c r="J1853" t="s">
        <v>7219</v>
      </c>
      <c r="L1853" t="s">
        <v>74</v>
      </c>
      <c r="M1853" t="s">
        <v>75</v>
      </c>
      <c r="R1853" t="s">
        <v>13288</v>
      </c>
      <c r="W1853" t="s">
        <v>13287</v>
      </c>
      <c r="X1853" t="s">
        <v>9151</v>
      </c>
      <c r="Y1853" t="s">
        <v>97</v>
      </c>
      <c r="Z1853" t="s">
        <v>77</v>
      </c>
      <c r="AA1853" t="str">
        <f>"10001-2320"</f>
        <v>10001-2320</v>
      </c>
      <c r="AB1853" t="s">
        <v>125</v>
      </c>
      <c r="AC1853" t="s">
        <v>79</v>
      </c>
      <c r="AD1853" t="s">
        <v>75</v>
      </c>
      <c r="AE1853" t="s">
        <v>80</v>
      </c>
      <c r="AG1853" t="s">
        <v>81</v>
      </c>
    </row>
    <row r="1854" spans="1:33" x14ac:dyDescent="0.25">
      <c r="A1854" t="str">
        <f>"1629082359"</f>
        <v>1629082359</v>
      </c>
      <c r="B1854" t="str">
        <f>"01932907"</f>
        <v>01932907</v>
      </c>
      <c r="C1854" t="s">
        <v>13289</v>
      </c>
      <c r="D1854" t="s">
        <v>13290</v>
      </c>
      <c r="E1854" t="s">
        <v>13291</v>
      </c>
      <c r="G1854" t="s">
        <v>7218</v>
      </c>
      <c r="H1854" t="s">
        <v>6801</v>
      </c>
      <c r="I1854">
        <v>6136</v>
      </c>
      <c r="J1854" t="s">
        <v>7219</v>
      </c>
      <c r="L1854" t="s">
        <v>74</v>
      </c>
      <c r="M1854" t="s">
        <v>75</v>
      </c>
      <c r="R1854" t="s">
        <v>13292</v>
      </c>
      <c r="W1854" t="s">
        <v>13291</v>
      </c>
      <c r="X1854" t="s">
        <v>10704</v>
      </c>
      <c r="Y1854" t="s">
        <v>87</v>
      </c>
      <c r="Z1854" t="s">
        <v>77</v>
      </c>
      <c r="AA1854" t="str">
        <f>"11229-4004"</f>
        <v>11229-4004</v>
      </c>
      <c r="AB1854" t="s">
        <v>125</v>
      </c>
      <c r="AC1854" t="s">
        <v>79</v>
      </c>
      <c r="AD1854" t="s">
        <v>75</v>
      </c>
      <c r="AE1854" t="s">
        <v>80</v>
      </c>
      <c r="AG1854" t="s">
        <v>81</v>
      </c>
    </row>
    <row r="1855" spans="1:33" x14ac:dyDescent="0.25">
      <c r="A1855" t="str">
        <f>"1629133798"</f>
        <v>1629133798</v>
      </c>
      <c r="C1855" t="s">
        <v>13293</v>
      </c>
      <c r="G1855" t="s">
        <v>7218</v>
      </c>
      <c r="H1855" t="s">
        <v>6801</v>
      </c>
      <c r="I1855">
        <v>6136</v>
      </c>
      <c r="J1855" t="s">
        <v>7219</v>
      </c>
      <c r="K1855" t="s">
        <v>99</v>
      </c>
      <c r="L1855" t="s">
        <v>74</v>
      </c>
      <c r="M1855" t="s">
        <v>75</v>
      </c>
      <c r="R1855" t="s">
        <v>13294</v>
      </c>
      <c r="S1855" t="s">
        <v>6229</v>
      </c>
      <c r="T1855" t="s">
        <v>97</v>
      </c>
      <c r="U1855" t="s">
        <v>77</v>
      </c>
      <c r="V1855" t="str">
        <f>"100012320"</f>
        <v>100012320</v>
      </c>
      <c r="AC1855" t="s">
        <v>79</v>
      </c>
      <c r="AD1855" t="s">
        <v>75</v>
      </c>
      <c r="AE1855" t="s">
        <v>103</v>
      </c>
      <c r="AG1855" t="s">
        <v>81</v>
      </c>
    </row>
    <row r="1856" spans="1:33" x14ac:dyDescent="0.25">
      <c r="A1856" t="str">
        <f>"1639213499"</f>
        <v>1639213499</v>
      </c>
      <c r="B1856" t="str">
        <f>"03906705"</f>
        <v>03906705</v>
      </c>
      <c r="C1856" t="s">
        <v>13295</v>
      </c>
      <c r="D1856" t="s">
        <v>13296</v>
      </c>
      <c r="E1856" t="s">
        <v>13297</v>
      </c>
      <c r="G1856" t="s">
        <v>7218</v>
      </c>
      <c r="H1856" t="s">
        <v>6801</v>
      </c>
      <c r="I1856">
        <v>6136</v>
      </c>
      <c r="J1856" t="s">
        <v>7219</v>
      </c>
      <c r="L1856" t="s">
        <v>74</v>
      </c>
      <c r="M1856" t="s">
        <v>75</v>
      </c>
      <c r="R1856" t="s">
        <v>13298</v>
      </c>
      <c r="W1856" t="s">
        <v>13297</v>
      </c>
      <c r="X1856" t="s">
        <v>9151</v>
      </c>
      <c r="Y1856" t="s">
        <v>97</v>
      </c>
      <c r="Z1856" t="s">
        <v>77</v>
      </c>
      <c r="AA1856" t="str">
        <f>"10001-2320"</f>
        <v>10001-2320</v>
      </c>
      <c r="AB1856" t="s">
        <v>109</v>
      </c>
      <c r="AC1856" t="s">
        <v>79</v>
      </c>
      <c r="AD1856" t="s">
        <v>75</v>
      </c>
      <c r="AE1856" t="s">
        <v>80</v>
      </c>
      <c r="AG1856" t="s">
        <v>81</v>
      </c>
    </row>
    <row r="1857" spans="1:33" x14ac:dyDescent="0.25">
      <c r="A1857" t="str">
        <f>"1639383334"</f>
        <v>1639383334</v>
      </c>
      <c r="C1857" t="s">
        <v>13299</v>
      </c>
      <c r="G1857" t="s">
        <v>7218</v>
      </c>
      <c r="H1857" t="s">
        <v>6801</v>
      </c>
      <c r="I1857">
        <v>6136</v>
      </c>
      <c r="J1857" t="s">
        <v>7219</v>
      </c>
      <c r="K1857" t="s">
        <v>99</v>
      </c>
      <c r="L1857" t="s">
        <v>102</v>
      </c>
      <c r="M1857" t="s">
        <v>75</v>
      </c>
      <c r="R1857" t="s">
        <v>13300</v>
      </c>
      <c r="S1857" t="s">
        <v>6229</v>
      </c>
      <c r="T1857" t="s">
        <v>97</v>
      </c>
      <c r="U1857" t="s">
        <v>77</v>
      </c>
      <c r="V1857" t="str">
        <f>"100012320"</f>
        <v>100012320</v>
      </c>
      <c r="AC1857" t="s">
        <v>79</v>
      </c>
      <c r="AD1857" t="s">
        <v>75</v>
      </c>
      <c r="AE1857" t="s">
        <v>103</v>
      </c>
      <c r="AG1857" t="s">
        <v>81</v>
      </c>
    </row>
    <row r="1858" spans="1:33" x14ac:dyDescent="0.25">
      <c r="A1858" t="str">
        <f>"1639594427"</f>
        <v>1639594427</v>
      </c>
      <c r="B1858" t="str">
        <f>"03854524"</f>
        <v>03854524</v>
      </c>
      <c r="C1858" t="s">
        <v>13301</v>
      </c>
      <c r="D1858" t="s">
        <v>13302</v>
      </c>
      <c r="E1858" t="s">
        <v>13303</v>
      </c>
      <c r="G1858" t="s">
        <v>7218</v>
      </c>
      <c r="H1858" t="s">
        <v>6801</v>
      </c>
      <c r="I1858">
        <v>6136</v>
      </c>
      <c r="J1858" t="s">
        <v>7219</v>
      </c>
      <c r="L1858" t="s">
        <v>74</v>
      </c>
      <c r="M1858" t="s">
        <v>75</v>
      </c>
      <c r="R1858" t="s">
        <v>13304</v>
      </c>
      <c r="W1858" t="s">
        <v>13303</v>
      </c>
      <c r="X1858" t="s">
        <v>3538</v>
      </c>
      <c r="Y1858" t="s">
        <v>131</v>
      </c>
      <c r="Z1858" t="s">
        <v>77</v>
      </c>
      <c r="AA1858" t="str">
        <f>"10461-5726"</f>
        <v>10461-5726</v>
      </c>
      <c r="AB1858" t="s">
        <v>109</v>
      </c>
      <c r="AC1858" t="s">
        <v>79</v>
      </c>
      <c r="AD1858" t="s">
        <v>75</v>
      </c>
      <c r="AE1858" t="s">
        <v>80</v>
      </c>
      <c r="AG1858" t="s">
        <v>81</v>
      </c>
    </row>
    <row r="1859" spans="1:33" x14ac:dyDescent="0.25">
      <c r="A1859" t="str">
        <f>"1972859767"</f>
        <v>1972859767</v>
      </c>
      <c r="C1859" t="s">
        <v>13305</v>
      </c>
      <c r="K1859" t="s">
        <v>99</v>
      </c>
      <c r="L1859" t="s">
        <v>102</v>
      </c>
      <c r="M1859" t="s">
        <v>75</v>
      </c>
      <c r="R1859" t="s">
        <v>13306</v>
      </c>
      <c r="S1859" t="s">
        <v>13307</v>
      </c>
      <c r="T1859" t="s">
        <v>97</v>
      </c>
      <c r="U1859" t="s">
        <v>77</v>
      </c>
      <c r="V1859" t="str">
        <f>"100033314"</f>
        <v>100033314</v>
      </c>
      <c r="AC1859" t="s">
        <v>79</v>
      </c>
      <c r="AD1859" t="s">
        <v>75</v>
      </c>
      <c r="AE1859" t="s">
        <v>103</v>
      </c>
      <c r="AG1859" t="s">
        <v>81</v>
      </c>
    </row>
    <row r="1860" spans="1:33" x14ac:dyDescent="0.25">
      <c r="A1860" t="str">
        <f>"1881937548"</f>
        <v>1881937548</v>
      </c>
      <c r="C1860" t="s">
        <v>13308</v>
      </c>
      <c r="K1860" t="s">
        <v>99</v>
      </c>
      <c r="L1860" t="s">
        <v>102</v>
      </c>
      <c r="M1860" t="s">
        <v>75</v>
      </c>
      <c r="R1860" t="s">
        <v>13309</v>
      </c>
      <c r="S1860" t="s">
        <v>13310</v>
      </c>
      <c r="T1860" t="s">
        <v>97</v>
      </c>
      <c r="U1860" t="s">
        <v>77</v>
      </c>
      <c r="V1860" t="str">
        <f>"100033314"</f>
        <v>100033314</v>
      </c>
      <c r="AC1860" t="s">
        <v>79</v>
      </c>
      <c r="AD1860" t="s">
        <v>75</v>
      </c>
      <c r="AE1860" t="s">
        <v>103</v>
      </c>
      <c r="AG1860" t="s">
        <v>81</v>
      </c>
    </row>
    <row r="1861" spans="1:33" x14ac:dyDescent="0.25">
      <c r="A1861" t="str">
        <f>"1932145174"</f>
        <v>1932145174</v>
      </c>
      <c r="B1861" t="str">
        <f>"01721773"</f>
        <v>01721773</v>
      </c>
      <c r="C1861" t="s">
        <v>13311</v>
      </c>
      <c r="D1861" t="s">
        <v>13312</v>
      </c>
      <c r="E1861" t="s">
        <v>13313</v>
      </c>
      <c r="L1861" t="s">
        <v>84</v>
      </c>
      <c r="M1861" t="s">
        <v>75</v>
      </c>
      <c r="R1861" t="s">
        <v>13314</v>
      </c>
      <c r="W1861" t="s">
        <v>13313</v>
      </c>
      <c r="X1861" t="s">
        <v>1719</v>
      </c>
      <c r="Y1861" t="s">
        <v>131</v>
      </c>
      <c r="Z1861" t="s">
        <v>77</v>
      </c>
      <c r="AA1861" t="str">
        <f>"10462-6402"</f>
        <v>10462-6402</v>
      </c>
      <c r="AB1861" t="s">
        <v>78</v>
      </c>
      <c r="AC1861" t="s">
        <v>79</v>
      </c>
      <c r="AD1861" t="s">
        <v>75</v>
      </c>
      <c r="AE1861" t="s">
        <v>80</v>
      </c>
      <c r="AG1861" t="s">
        <v>81</v>
      </c>
    </row>
    <row r="1862" spans="1:33" x14ac:dyDescent="0.25">
      <c r="A1862" t="str">
        <f>"1811213036"</f>
        <v>1811213036</v>
      </c>
      <c r="C1862" t="s">
        <v>13315</v>
      </c>
      <c r="K1862" t="s">
        <v>99</v>
      </c>
      <c r="L1862" t="s">
        <v>102</v>
      </c>
      <c r="M1862" t="s">
        <v>75</v>
      </c>
      <c r="R1862" t="s">
        <v>13316</v>
      </c>
      <c r="S1862" t="s">
        <v>719</v>
      </c>
      <c r="T1862" t="s">
        <v>97</v>
      </c>
      <c r="U1862" t="s">
        <v>77</v>
      </c>
      <c r="V1862" t="str">
        <f>"10003"</f>
        <v>10003</v>
      </c>
      <c r="AC1862" t="s">
        <v>79</v>
      </c>
      <c r="AD1862" t="s">
        <v>75</v>
      </c>
      <c r="AE1862" t="s">
        <v>103</v>
      </c>
      <c r="AG1862" t="s">
        <v>81</v>
      </c>
    </row>
    <row r="1863" spans="1:33" x14ac:dyDescent="0.25">
      <c r="A1863" t="str">
        <f>"1982990370"</f>
        <v>1982990370</v>
      </c>
      <c r="C1863" t="s">
        <v>13317</v>
      </c>
      <c r="K1863" t="s">
        <v>99</v>
      </c>
      <c r="L1863" t="s">
        <v>102</v>
      </c>
      <c r="M1863" t="s">
        <v>75</v>
      </c>
      <c r="R1863" t="s">
        <v>13318</v>
      </c>
      <c r="S1863" t="s">
        <v>13319</v>
      </c>
      <c r="T1863" t="s">
        <v>97</v>
      </c>
      <c r="U1863" t="s">
        <v>77</v>
      </c>
      <c r="V1863" t="str">
        <f>"100191047"</f>
        <v>100191047</v>
      </c>
      <c r="AC1863" t="s">
        <v>79</v>
      </c>
      <c r="AD1863" t="s">
        <v>75</v>
      </c>
      <c r="AE1863" t="s">
        <v>103</v>
      </c>
      <c r="AG1863" t="s">
        <v>81</v>
      </c>
    </row>
    <row r="1864" spans="1:33" x14ac:dyDescent="0.25">
      <c r="A1864" t="str">
        <f>"1891078374"</f>
        <v>1891078374</v>
      </c>
      <c r="B1864" t="str">
        <f>"03744983"</f>
        <v>03744983</v>
      </c>
      <c r="C1864" t="s">
        <v>13320</v>
      </c>
      <c r="D1864" t="s">
        <v>13321</v>
      </c>
      <c r="E1864" t="s">
        <v>13322</v>
      </c>
      <c r="L1864" t="s">
        <v>74</v>
      </c>
      <c r="M1864" t="s">
        <v>75</v>
      </c>
      <c r="R1864" t="s">
        <v>13323</v>
      </c>
      <c r="W1864" t="s">
        <v>13322</v>
      </c>
      <c r="X1864" t="s">
        <v>4799</v>
      </c>
      <c r="Y1864" t="s">
        <v>87</v>
      </c>
      <c r="Z1864" t="s">
        <v>77</v>
      </c>
      <c r="AA1864" t="str">
        <f>"11234-2625"</f>
        <v>11234-2625</v>
      </c>
      <c r="AB1864" t="s">
        <v>78</v>
      </c>
      <c r="AC1864" t="s">
        <v>79</v>
      </c>
      <c r="AD1864" t="s">
        <v>75</v>
      </c>
      <c r="AE1864" t="s">
        <v>80</v>
      </c>
      <c r="AG1864" t="s">
        <v>81</v>
      </c>
    </row>
    <row r="1865" spans="1:33" x14ac:dyDescent="0.25">
      <c r="A1865" t="str">
        <f>"1851568281"</f>
        <v>1851568281</v>
      </c>
      <c r="B1865" t="str">
        <f>"02983700"</f>
        <v>02983700</v>
      </c>
      <c r="C1865" t="s">
        <v>13324</v>
      </c>
      <c r="D1865" t="s">
        <v>13325</v>
      </c>
      <c r="E1865" t="s">
        <v>13326</v>
      </c>
      <c r="L1865" t="s">
        <v>83</v>
      </c>
      <c r="M1865" t="s">
        <v>75</v>
      </c>
      <c r="R1865" t="s">
        <v>11472</v>
      </c>
      <c r="W1865" t="s">
        <v>13327</v>
      </c>
      <c r="X1865" t="s">
        <v>2010</v>
      </c>
      <c r="Y1865" t="s">
        <v>135</v>
      </c>
      <c r="Z1865" t="s">
        <v>77</v>
      </c>
      <c r="AA1865" t="str">
        <f>"14263-0001"</f>
        <v>14263-0001</v>
      </c>
      <c r="AB1865" t="s">
        <v>78</v>
      </c>
      <c r="AC1865" t="s">
        <v>79</v>
      </c>
      <c r="AD1865" t="s">
        <v>75</v>
      </c>
      <c r="AE1865" t="s">
        <v>80</v>
      </c>
      <c r="AG1865" t="s">
        <v>81</v>
      </c>
    </row>
    <row r="1866" spans="1:33" x14ac:dyDescent="0.25">
      <c r="A1866" t="str">
        <f>"1861703084"</f>
        <v>1861703084</v>
      </c>
      <c r="B1866" t="str">
        <f>"04208811"</f>
        <v>04208811</v>
      </c>
      <c r="C1866" t="s">
        <v>13328</v>
      </c>
      <c r="D1866" t="s">
        <v>13329</v>
      </c>
      <c r="E1866" t="s">
        <v>13330</v>
      </c>
      <c r="L1866" t="s">
        <v>83</v>
      </c>
      <c r="M1866" t="s">
        <v>75</v>
      </c>
      <c r="R1866" t="s">
        <v>13331</v>
      </c>
      <c r="W1866" t="s">
        <v>13332</v>
      </c>
      <c r="X1866" t="s">
        <v>181</v>
      </c>
      <c r="Y1866" t="s">
        <v>97</v>
      </c>
      <c r="Z1866" t="s">
        <v>77</v>
      </c>
      <c r="AA1866" t="str">
        <f>"10025-1716"</f>
        <v>10025-1716</v>
      </c>
      <c r="AB1866" t="s">
        <v>78</v>
      </c>
      <c r="AC1866" t="s">
        <v>79</v>
      </c>
      <c r="AD1866" t="s">
        <v>75</v>
      </c>
      <c r="AE1866" t="s">
        <v>80</v>
      </c>
      <c r="AG1866" t="s">
        <v>81</v>
      </c>
    </row>
    <row r="1867" spans="1:33" x14ac:dyDescent="0.25">
      <c r="A1867" t="str">
        <f>"1821363185"</f>
        <v>1821363185</v>
      </c>
      <c r="C1867" t="s">
        <v>13333</v>
      </c>
      <c r="K1867" t="s">
        <v>99</v>
      </c>
      <c r="L1867" t="s">
        <v>102</v>
      </c>
      <c r="M1867" t="s">
        <v>75</v>
      </c>
      <c r="R1867" t="s">
        <v>13334</v>
      </c>
      <c r="S1867" t="s">
        <v>13335</v>
      </c>
      <c r="T1867" t="s">
        <v>1783</v>
      </c>
      <c r="U1867" t="s">
        <v>1784</v>
      </c>
      <c r="V1867" t="str">
        <f>"191074414"</f>
        <v>191074414</v>
      </c>
      <c r="AC1867" t="s">
        <v>79</v>
      </c>
      <c r="AD1867" t="s">
        <v>75</v>
      </c>
      <c r="AE1867" t="s">
        <v>103</v>
      </c>
      <c r="AG1867" t="s">
        <v>81</v>
      </c>
    </row>
    <row r="1868" spans="1:33" x14ac:dyDescent="0.25">
      <c r="A1868" t="str">
        <f>"1801216197"</f>
        <v>1801216197</v>
      </c>
      <c r="C1868" t="s">
        <v>13336</v>
      </c>
      <c r="K1868" t="s">
        <v>99</v>
      </c>
      <c r="L1868" t="s">
        <v>102</v>
      </c>
      <c r="M1868" t="s">
        <v>75</v>
      </c>
      <c r="R1868" t="s">
        <v>13337</v>
      </c>
      <c r="S1868" t="s">
        <v>181</v>
      </c>
      <c r="T1868" t="s">
        <v>97</v>
      </c>
      <c r="U1868" t="s">
        <v>77</v>
      </c>
      <c r="V1868" t="str">
        <f>"100251716"</f>
        <v>100251716</v>
      </c>
      <c r="AC1868" t="s">
        <v>79</v>
      </c>
      <c r="AD1868" t="s">
        <v>75</v>
      </c>
      <c r="AE1868" t="s">
        <v>103</v>
      </c>
      <c r="AG1868" t="s">
        <v>81</v>
      </c>
    </row>
    <row r="1869" spans="1:33" x14ac:dyDescent="0.25">
      <c r="A1869" t="str">
        <f>"1912325259"</f>
        <v>1912325259</v>
      </c>
      <c r="C1869" t="s">
        <v>13338</v>
      </c>
      <c r="K1869" t="s">
        <v>99</v>
      </c>
      <c r="L1869" t="s">
        <v>102</v>
      </c>
      <c r="M1869" t="s">
        <v>75</v>
      </c>
      <c r="R1869" t="s">
        <v>13339</v>
      </c>
      <c r="S1869" t="s">
        <v>13340</v>
      </c>
      <c r="T1869" t="s">
        <v>97</v>
      </c>
      <c r="U1869" t="s">
        <v>77</v>
      </c>
      <c r="V1869" t="str">
        <f>"100251716"</f>
        <v>100251716</v>
      </c>
      <c r="AC1869" t="s">
        <v>79</v>
      </c>
      <c r="AD1869" t="s">
        <v>75</v>
      </c>
      <c r="AE1869" t="s">
        <v>103</v>
      </c>
      <c r="AG1869" t="s">
        <v>81</v>
      </c>
    </row>
    <row r="1870" spans="1:33" x14ac:dyDescent="0.25">
      <c r="A1870" t="str">
        <f>"1982984258"</f>
        <v>1982984258</v>
      </c>
      <c r="C1870" t="s">
        <v>13341</v>
      </c>
      <c r="K1870" t="s">
        <v>99</v>
      </c>
      <c r="L1870" t="s">
        <v>102</v>
      </c>
      <c r="M1870" t="s">
        <v>75</v>
      </c>
      <c r="R1870" t="s">
        <v>13342</v>
      </c>
      <c r="S1870" t="s">
        <v>258</v>
      </c>
      <c r="T1870" t="s">
        <v>131</v>
      </c>
      <c r="U1870" t="s">
        <v>77</v>
      </c>
      <c r="V1870" t="str">
        <f>"104672401"</f>
        <v>104672401</v>
      </c>
      <c r="AC1870" t="s">
        <v>79</v>
      </c>
      <c r="AD1870" t="s">
        <v>75</v>
      </c>
      <c r="AE1870" t="s">
        <v>103</v>
      </c>
      <c r="AG1870" t="s">
        <v>81</v>
      </c>
    </row>
    <row r="1871" spans="1:33" x14ac:dyDescent="0.25">
      <c r="A1871" t="str">
        <f>"1952668931"</f>
        <v>1952668931</v>
      </c>
      <c r="C1871" t="s">
        <v>13343</v>
      </c>
      <c r="K1871" t="s">
        <v>99</v>
      </c>
      <c r="L1871" t="s">
        <v>102</v>
      </c>
      <c r="M1871" t="s">
        <v>75</v>
      </c>
      <c r="R1871" t="s">
        <v>13344</v>
      </c>
      <c r="S1871" t="s">
        <v>11850</v>
      </c>
      <c r="T1871" t="s">
        <v>97</v>
      </c>
      <c r="U1871" t="s">
        <v>77</v>
      </c>
      <c r="V1871" t="str">
        <f>"100296500"</f>
        <v>100296500</v>
      </c>
      <c r="AC1871" t="s">
        <v>79</v>
      </c>
      <c r="AD1871" t="s">
        <v>75</v>
      </c>
      <c r="AE1871" t="s">
        <v>103</v>
      </c>
      <c r="AG1871" t="s">
        <v>81</v>
      </c>
    </row>
    <row r="1872" spans="1:33" x14ac:dyDescent="0.25">
      <c r="A1872" t="str">
        <f>"1992704233"</f>
        <v>1992704233</v>
      </c>
      <c r="B1872" t="str">
        <f>"03172561"</f>
        <v>03172561</v>
      </c>
      <c r="C1872" t="s">
        <v>13345</v>
      </c>
      <c r="D1872" t="s">
        <v>13346</v>
      </c>
      <c r="E1872" t="s">
        <v>13347</v>
      </c>
      <c r="L1872" t="s">
        <v>84</v>
      </c>
      <c r="M1872" t="s">
        <v>75</v>
      </c>
      <c r="R1872" t="s">
        <v>13348</v>
      </c>
      <c r="W1872" t="s">
        <v>13347</v>
      </c>
      <c r="X1872" t="s">
        <v>235</v>
      </c>
      <c r="Y1872" t="s">
        <v>236</v>
      </c>
      <c r="Z1872" t="s">
        <v>77</v>
      </c>
      <c r="AA1872" t="str">
        <f>"11102-2448"</f>
        <v>11102-2448</v>
      </c>
      <c r="AB1872" t="s">
        <v>78</v>
      </c>
      <c r="AC1872" t="s">
        <v>79</v>
      </c>
      <c r="AD1872" t="s">
        <v>75</v>
      </c>
      <c r="AE1872" t="s">
        <v>80</v>
      </c>
      <c r="AG1872" t="s">
        <v>81</v>
      </c>
    </row>
    <row r="1873" spans="1:33" x14ac:dyDescent="0.25">
      <c r="A1873" t="str">
        <f>"1851487862"</f>
        <v>1851487862</v>
      </c>
      <c r="B1873" t="str">
        <f>"01798049"</f>
        <v>01798049</v>
      </c>
      <c r="C1873" t="s">
        <v>13349</v>
      </c>
      <c r="D1873" t="s">
        <v>13350</v>
      </c>
      <c r="E1873" t="s">
        <v>13351</v>
      </c>
      <c r="L1873" t="s">
        <v>74</v>
      </c>
      <c r="M1873" t="s">
        <v>75</v>
      </c>
      <c r="R1873" t="s">
        <v>13352</v>
      </c>
      <c r="W1873" t="s">
        <v>13351</v>
      </c>
      <c r="X1873" t="s">
        <v>334</v>
      </c>
      <c r="Y1873" t="s">
        <v>171</v>
      </c>
      <c r="Z1873" t="s">
        <v>77</v>
      </c>
      <c r="AA1873" t="str">
        <f>"11418"</f>
        <v>11418</v>
      </c>
      <c r="AB1873" t="s">
        <v>78</v>
      </c>
      <c r="AC1873" t="s">
        <v>79</v>
      </c>
      <c r="AD1873" t="s">
        <v>75</v>
      </c>
      <c r="AE1873" t="s">
        <v>80</v>
      </c>
      <c r="AG1873" t="s">
        <v>81</v>
      </c>
    </row>
    <row r="1874" spans="1:33" x14ac:dyDescent="0.25">
      <c r="A1874" t="str">
        <f>"1831465707"</f>
        <v>1831465707</v>
      </c>
      <c r="C1874" t="s">
        <v>13353</v>
      </c>
      <c r="K1874" t="s">
        <v>99</v>
      </c>
      <c r="L1874" t="s">
        <v>102</v>
      </c>
      <c r="M1874" t="s">
        <v>75</v>
      </c>
      <c r="R1874" t="s">
        <v>13354</v>
      </c>
      <c r="S1874" t="s">
        <v>13355</v>
      </c>
      <c r="T1874" t="s">
        <v>13356</v>
      </c>
      <c r="U1874" t="s">
        <v>2595</v>
      </c>
      <c r="V1874" t="str">
        <f>"917761146"</f>
        <v>917761146</v>
      </c>
      <c r="AC1874" t="s">
        <v>79</v>
      </c>
      <c r="AD1874" t="s">
        <v>75</v>
      </c>
      <c r="AE1874" t="s">
        <v>103</v>
      </c>
      <c r="AG1874" t="s">
        <v>81</v>
      </c>
    </row>
    <row r="1875" spans="1:33" x14ac:dyDescent="0.25">
      <c r="A1875" t="str">
        <f>"1891073276"</f>
        <v>1891073276</v>
      </c>
      <c r="C1875" t="s">
        <v>13357</v>
      </c>
      <c r="K1875" t="s">
        <v>99</v>
      </c>
      <c r="L1875" t="s">
        <v>74</v>
      </c>
      <c r="M1875" t="s">
        <v>75</v>
      </c>
      <c r="R1875" t="s">
        <v>13358</v>
      </c>
      <c r="S1875" t="s">
        <v>13359</v>
      </c>
      <c r="T1875" t="s">
        <v>720</v>
      </c>
      <c r="U1875" t="s">
        <v>77</v>
      </c>
      <c r="V1875" t="str">
        <f>"114353112"</f>
        <v>114353112</v>
      </c>
      <c r="AC1875" t="s">
        <v>79</v>
      </c>
      <c r="AD1875" t="s">
        <v>75</v>
      </c>
      <c r="AE1875" t="s">
        <v>103</v>
      </c>
      <c r="AG1875" t="s">
        <v>81</v>
      </c>
    </row>
    <row r="1876" spans="1:33" x14ac:dyDescent="0.25">
      <c r="A1876" t="str">
        <f>"1861759623"</f>
        <v>1861759623</v>
      </c>
      <c r="C1876" t="s">
        <v>13360</v>
      </c>
      <c r="K1876" t="s">
        <v>99</v>
      </c>
      <c r="L1876" t="s">
        <v>102</v>
      </c>
      <c r="M1876" t="s">
        <v>75</v>
      </c>
      <c r="R1876" t="s">
        <v>13361</v>
      </c>
      <c r="S1876" t="s">
        <v>2838</v>
      </c>
      <c r="T1876" t="s">
        <v>97</v>
      </c>
      <c r="U1876" t="s">
        <v>77</v>
      </c>
      <c r="V1876" t="str">
        <f>"100033105"</f>
        <v>100033105</v>
      </c>
      <c r="AC1876" t="s">
        <v>79</v>
      </c>
      <c r="AD1876" t="s">
        <v>75</v>
      </c>
      <c r="AE1876" t="s">
        <v>103</v>
      </c>
      <c r="AG1876" t="s">
        <v>81</v>
      </c>
    </row>
    <row r="1877" spans="1:33" x14ac:dyDescent="0.25">
      <c r="A1877" t="str">
        <f>"1922430685"</f>
        <v>1922430685</v>
      </c>
      <c r="C1877" t="s">
        <v>13362</v>
      </c>
      <c r="K1877" t="s">
        <v>99</v>
      </c>
      <c r="L1877" t="s">
        <v>102</v>
      </c>
      <c r="M1877" t="s">
        <v>75</v>
      </c>
      <c r="R1877" t="s">
        <v>13363</v>
      </c>
      <c r="S1877" t="s">
        <v>12769</v>
      </c>
      <c r="T1877" t="s">
        <v>4861</v>
      </c>
      <c r="U1877" t="s">
        <v>156</v>
      </c>
      <c r="V1877" t="str">
        <f>"076311808"</f>
        <v>076311808</v>
      </c>
      <c r="AC1877" t="s">
        <v>79</v>
      </c>
      <c r="AD1877" t="s">
        <v>75</v>
      </c>
      <c r="AE1877" t="s">
        <v>103</v>
      </c>
      <c r="AG1877" t="s">
        <v>81</v>
      </c>
    </row>
    <row r="1878" spans="1:33" x14ac:dyDescent="0.25">
      <c r="A1878" t="str">
        <f>"1972701092"</f>
        <v>1972701092</v>
      </c>
      <c r="B1878" t="str">
        <f>"02905939"</f>
        <v>02905939</v>
      </c>
      <c r="C1878" t="s">
        <v>13364</v>
      </c>
      <c r="D1878" t="s">
        <v>13365</v>
      </c>
      <c r="E1878" t="s">
        <v>13366</v>
      </c>
      <c r="H1878" t="s">
        <v>13367</v>
      </c>
      <c r="J1878" t="s">
        <v>13368</v>
      </c>
      <c r="L1878" t="s">
        <v>83</v>
      </c>
      <c r="M1878" t="s">
        <v>85</v>
      </c>
      <c r="R1878" t="s">
        <v>13369</v>
      </c>
      <c r="W1878" t="s">
        <v>13366</v>
      </c>
      <c r="X1878" t="s">
        <v>297</v>
      </c>
      <c r="Y1878" t="s">
        <v>139</v>
      </c>
      <c r="Z1878" t="s">
        <v>77</v>
      </c>
      <c r="AA1878" t="str">
        <f>"11355-5044"</f>
        <v>11355-5044</v>
      </c>
      <c r="AB1878" t="s">
        <v>78</v>
      </c>
      <c r="AC1878" t="s">
        <v>79</v>
      </c>
      <c r="AD1878" t="s">
        <v>75</v>
      </c>
      <c r="AE1878" t="s">
        <v>80</v>
      </c>
      <c r="AG1878" t="s">
        <v>81</v>
      </c>
    </row>
    <row r="1879" spans="1:33" x14ac:dyDescent="0.25">
      <c r="A1879" t="str">
        <f>"1538490453"</f>
        <v>1538490453</v>
      </c>
      <c r="B1879" t="str">
        <f>"03393560"</f>
        <v>03393560</v>
      </c>
      <c r="C1879" t="s">
        <v>13370</v>
      </c>
      <c r="D1879" t="s">
        <v>13371</v>
      </c>
      <c r="E1879" t="s">
        <v>13372</v>
      </c>
      <c r="H1879" t="s">
        <v>13373</v>
      </c>
      <c r="J1879" t="s">
        <v>13374</v>
      </c>
      <c r="L1879" t="s">
        <v>84</v>
      </c>
      <c r="M1879" t="s">
        <v>85</v>
      </c>
      <c r="R1879" t="s">
        <v>13375</v>
      </c>
      <c r="W1879" t="s">
        <v>13372</v>
      </c>
      <c r="X1879" t="s">
        <v>297</v>
      </c>
      <c r="Y1879" t="s">
        <v>139</v>
      </c>
      <c r="Z1879" t="s">
        <v>77</v>
      </c>
      <c r="AA1879" t="str">
        <f>"11355-5044"</f>
        <v>11355-5044</v>
      </c>
      <c r="AB1879" t="s">
        <v>78</v>
      </c>
      <c r="AC1879" t="s">
        <v>79</v>
      </c>
      <c r="AD1879" t="s">
        <v>75</v>
      </c>
      <c r="AE1879" t="s">
        <v>80</v>
      </c>
      <c r="AG1879" t="s">
        <v>81</v>
      </c>
    </row>
    <row r="1880" spans="1:33" x14ac:dyDescent="0.25">
      <c r="A1880" t="str">
        <f>"1497920839"</f>
        <v>1497920839</v>
      </c>
      <c r="B1880" t="str">
        <f>"03662475"</f>
        <v>03662475</v>
      </c>
      <c r="C1880" t="s">
        <v>13376</v>
      </c>
      <c r="D1880" t="s">
        <v>13377</v>
      </c>
      <c r="E1880" t="s">
        <v>13378</v>
      </c>
      <c r="H1880" t="s">
        <v>13367</v>
      </c>
      <c r="J1880" t="s">
        <v>13379</v>
      </c>
      <c r="L1880" t="s">
        <v>83</v>
      </c>
      <c r="M1880" t="s">
        <v>85</v>
      </c>
      <c r="R1880" t="s">
        <v>13380</v>
      </c>
      <c r="W1880" t="s">
        <v>13378</v>
      </c>
      <c r="X1880" t="s">
        <v>297</v>
      </c>
      <c r="Y1880" t="s">
        <v>139</v>
      </c>
      <c r="Z1880" t="s">
        <v>77</v>
      </c>
      <c r="AA1880" t="str">
        <f>"11355-5044"</f>
        <v>11355-5044</v>
      </c>
      <c r="AB1880" t="s">
        <v>78</v>
      </c>
      <c r="AC1880" t="s">
        <v>79</v>
      </c>
      <c r="AD1880" t="s">
        <v>75</v>
      </c>
      <c r="AE1880" t="s">
        <v>80</v>
      </c>
      <c r="AG1880" t="s">
        <v>81</v>
      </c>
    </row>
    <row r="1881" spans="1:33" x14ac:dyDescent="0.25">
      <c r="A1881" t="str">
        <f>"1063470839"</f>
        <v>1063470839</v>
      </c>
      <c r="B1881" t="str">
        <f>"01851234"</f>
        <v>01851234</v>
      </c>
      <c r="C1881" t="s">
        <v>13381</v>
      </c>
      <c r="D1881" t="s">
        <v>13382</v>
      </c>
      <c r="E1881" t="s">
        <v>13383</v>
      </c>
      <c r="H1881" t="s">
        <v>13384</v>
      </c>
      <c r="J1881" t="s">
        <v>13385</v>
      </c>
      <c r="L1881" t="s">
        <v>83</v>
      </c>
      <c r="M1881" t="s">
        <v>85</v>
      </c>
      <c r="R1881" t="s">
        <v>13386</v>
      </c>
      <c r="W1881" t="s">
        <v>13383</v>
      </c>
      <c r="X1881" t="s">
        <v>297</v>
      </c>
      <c r="Y1881" t="s">
        <v>139</v>
      </c>
      <c r="Z1881" t="s">
        <v>77</v>
      </c>
      <c r="AA1881" t="str">
        <f>"11355-5044"</f>
        <v>11355-5044</v>
      </c>
      <c r="AB1881" t="s">
        <v>78</v>
      </c>
      <c r="AC1881" t="s">
        <v>79</v>
      </c>
      <c r="AD1881" t="s">
        <v>75</v>
      </c>
      <c r="AE1881" t="s">
        <v>80</v>
      </c>
      <c r="AG1881" t="s">
        <v>81</v>
      </c>
    </row>
    <row r="1882" spans="1:33" x14ac:dyDescent="0.25">
      <c r="A1882" t="str">
        <f>"1861651044"</f>
        <v>1861651044</v>
      </c>
      <c r="B1882" t="str">
        <f>"04556369"</f>
        <v>04556369</v>
      </c>
      <c r="C1882" t="s">
        <v>13387</v>
      </c>
      <c r="D1882" t="s">
        <v>13388</v>
      </c>
      <c r="E1882" t="s">
        <v>13389</v>
      </c>
      <c r="L1882" t="s">
        <v>102</v>
      </c>
      <c r="M1882" t="s">
        <v>75</v>
      </c>
      <c r="R1882" t="s">
        <v>13390</v>
      </c>
      <c r="W1882" t="s">
        <v>13389</v>
      </c>
      <c r="AB1882" t="s">
        <v>78</v>
      </c>
      <c r="AC1882" t="s">
        <v>79</v>
      </c>
      <c r="AD1882" t="s">
        <v>75</v>
      </c>
      <c r="AE1882" t="s">
        <v>80</v>
      </c>
      <c r="AG1882" t="s">
        <v>81</v>
      </c>
    </row>
    <row r="1883" spans="1:33" x14ac:dyDescent="0.25">
      <c r="A1883" t="str">
        <f>"1801112818"</f>
        <v>1801112818</v>
      </c>
      <c r="C1883" t="s">
        <v>13391</v>
      </c>
      <c r="K1883" t="s">
        <v>99</v>
      </c>
      <c r="L1883" t="s">
        <v>102</v>
      </c>
      <c r="M1883" t="s">
        <v>75</v>
      </c>
      <c r="R1883" t="s">
        <v>13392</v>
      </c>
      <c r="S1883" t="s">
        <v>13393</v>
      </c>
      <c r="T1883" t="s">
        <v>13394</v>
      </c>
      <c r="U1883" t="s">
        <v>2594</v>
      </c>
      <c r="V1883" t="str">
        <f>"037841024"</f>
        <v>037841024</v>
      </c>
      <c r="AC1883" t="s">
        <v>79</v>
      </c>
      <c r="AD1883" t="s">
        <v>75</v>
      </c>
      <c r="AE1883" t="s">
        <v>103</v>
      </c>
      <c r="AG1883" t="s">
        <v>81</v>
      </c>
    </row>
    <row r="1884" spans="1:33" x14ac:dyDescent="0.25">
      <c r="A1884" t="str">
        <f>"1861741209"</f>
        <v>1861741209</v>
      </c>
      <c r="B1884" t="str">
        <f>"04209981"</f>
        <v>04209981</v>
      </c>
      <c r="C1884" t="s">
        <v>13395</v>
      </c>
      <c r="D1884" t="s">
        <v>13396</v>
      </c>
      <c r="E1884" t="s">
        <v>13397</v>
      </c>
      <c r="L1884" t="s">
        <v>74</v>
      </c>
      <c r="M1884" t="s">
        <v>75</v>
      </c>
      <c r="R1884" t="s">
        <v>13398</v>
      </c>
      <c r="W1884" t="s">
        <v>13397</v>
      </c>
      <c r="X1884" t="s">
        <v>13399</v>
      </c>
      <c r="Y1884" t="s">
        <v>97</v>
      </c>
      <c r="Z1884" t="s">
        <v>77</v>
      </c>
      <c r="AA1884" t="str">
        <f>"10011-1611"</f>
        <v>10011-1611</v>
      </c>
      <c r="AB1884" t="s">
        <v>78</v>
      </c>
      <c r="AC1884" t="s">
        <v>79</v>
      </c>
      <c r="AD1884" t="s">
        <v>75</v>
      </c>
      <c r="AE1884" t="s">
        <v>80</v>
      </c>
      <c r="AG1884" t="s">
        <v>81</v>
      </c>
    </row>
    <row r="1885" spans="1:33" x14ac:dyDescent="0.25">
      <c r="A1885" t="str">
        <f>"1982917506"</f>
        <v>1982917506</v>
      </c>
      <c r="C1885" t="s">
        <v>13400</v>
      </c>
      <c r="K1885" t="s">
        <v>99</v>
      </c>
      <c r="L1885" t="s">
        <v>102</v>
      </c>
      <c r="M1885" t="s">
        <v>75</v>
      </c>
      <c r="R1885" t="s">
        <v>13401</v>
      </c>
      <c r="S1885" t="s">
        <v>13402</v>
      </c>
      <c r="T1885" t="s">
        <v>4606</v>
      </c>
      <c r="U1885" t="s">
        <v>3878</v>
      </c>
      <c r="V1885" t="str">
        <f>"752357708"</f>
        <v>752357708</v>
      </c>
      <c r="AC1885" t="s">
        <v>79</v>
      </c>
      <c r="AD1885" t="s">
        <v>75</v>
      </c>
      <c r="AE1885" t="s">
        <v>103</v>
      </c>
      <c r="AG1885" t="s">
        <v>81</v>
      </c>
    </row>
    <row r="1886" spans="1:33" x14ac:dyDescent="0.25">
      <c r="A1886" t="str">
        <f>"1902047947"</f>
        <v>1902047947</v>
      </c>
      <c r="B1886" t="str">
        <f>"03811869"</f>
        <v>03811869</v>
      </c>
      <c r="C1886" t="s">
        <v>13403</v>
      </c>
      <c r="D1886" t="s">
        <v>13404</v>
      </c>
      <c r="E1886" t="s">
        <v>13405</v>
      </c>
      <c r="L1886" t="s">
        <v>83</v>
      </c>
      <c r="M1886" t="s">
        <v>75</v>
      </c>
      <c r="R1886" t="s">
        <v>13405</v>
      </c>
      <c r="W1886" t="s">
        <v>13405</v>
      </c>
      <c r="X1886" t="s">
        <v>13406</v>
      </c>
      <c r="Y1886" t="s">
        <v>97</v>
      </c>
      <c r="Z1886" t="s">
        <v>77</v>
      </c>
      <c r="AA1886" t="str">
        <f>"10003-3314"</f>
        <v>10003-3314</v>
      </c>
      <c r="AB1886" t="s">
        <v>78</v>
      </c>
      <c r="AC1886" t="s">
        <v>79</v>
      </c>
      <c r="AD1886" t="s">
        <v>75</v>
      </c>
      <c r="AE1886" t="s">
        <v>80</v>
      </c>
      <c r="AG1886" t="s">
        <v>81</v>
      </c>
    </row>
    <row r="1887" spans="1:33" x14ac:dyDescent="0.25">
      <c r="A1887" t="str">
        <f>"1962726869"</f>
        <v>1962726869</v>
      </c>
      <c r="C1887" t="s">
        <v>13407</v>
      </c>
      <c r="K1887" t="s">
        <v>99</v>
      </c>
      <c r="L1887" t="s">
        <v>102</v>
      </c>
      <c r="M1887" t="s">
        <v>75</v>
      </c>
      <c r="R1887" t="s">
        <v>13408</v>
      </c>
      <c r="S1887" t="s">
        <v>13409</v>
      </c>
      <c r="T1887" t="s">
        <v>97</v>
      </c>
      <c r="U1887" t="s">
        <v>77</v>
      </c>
      <c r="V1887" t="str">
        <f>"100296504"</f>
        <v>100296504</v>
      </c>
      <c r="AC1887" t="s">
        <v>79</v>
      </c>
      <c r="AD1887" t="s">
        <v>75</v>
      </c>
      <c r="AE1887" t="s">
        <v>103</v>
      </c>
      <c r="AG1887" t="s">
        <v>81</v>
      </c>
    </row>
    <row r="1888" spans="1:33" x14ac:dyDescent="0.25">
      <c r="A1888" t="str">
        <f>"1861733313"</f>
        <v>1861733313</v>
      </c>
      <c r="B1888" t="str">
        <f>"03735522"</f>
        <v>03735522</v>
      </c>
      <c r="C1888" t="s">
        <v>13410</v>
      </c>
      <c r="D1888" t="s">
        <v>13411</v>
      </c>
      <c r="E1888" t="s">
        <v>13412</v>
      </c>
      <c r="L1888" t="s">
        <v>74</v>
      </c>
      <c r="M1888" t="s">
        <v>75</v>
      </c>
      <c r="R1888" t="s">
        <v>13412</v>
      </c>
      <c r="W1888" t="s">
        <v>13413</v>
      </c>
      <c r="X1888" t="s">
        <v>267</v>
      </c>
      <c r="Y1888" t="s">
        <v>91</v>
      </c>
      <c r="Z1888" t="s">
        <v>77</v>
      </c>
      <c r="AA1888" t="str">
        <f>"11373-1329"</f>
        <v>11373-1329</v>
      </c>
      <c r="AB1888" t="s">
        <v>78</v>
      </c>
      <c r="AC1888" t="s">
        <v>79</v>
      </c>
      <c r="AD1888" t="s">
        <v>75</v>
      </c>
      <c r="AE1888" t="s">
        <v>80</v>
      </c>
      <c r="AG1888" t="s">
        <v>81</v>
      </c>
    </row>
    <row r="1889" spans="1:33" x14ac:dyDescent="0.25">
      <c r="A1889" t="str">
        <f>"1861797565"</f>
        <v>1861797565</v>
      </c>
      <c r="C1889" t="s">
        <v>13414</v>
      </c>
      <c r="K1889" t="s">
        <v>99</v>
      </c>
      <c r="L1889" t="s">
        <v>102</v>
      </c>
      <c r="M1889" t="s">
        <v>75</v>
      </c>
      <c r="R1889" t="s">
        <v>13415</v>
      </c>
      <c r="S1889" t="s">
        <v>13416</v>
      </c>
      <c r="T1889" t="s">
        <v>4846</v>
      </c>
      <c r="U1889" t="s">
        <v>156</v>
      </c>
      <c r="V1889" t="str">
        <f>"071095337"</f>
        <v>071095337</v>
      </c>
      <c r="AC1889" t="s">
        <v>79</v>
      </c>
      <c r="AD1889" t="s">
        <v>75</v>
      </c>
      <c r="AE1889" t="s">
        <v>103</v>
      </c>
      <c r="AG1889" t="s">
        <v>81</v>
      </c>
    </row>
    <row r="1890" spans="1:33" x14ac:dyDescent="0.25">
      <c r="A1890" t="str">
        <f>"1447340237"</f>
        <v>1447340237</v>
      </c>
      <c r="B1890" t="str">
        <f>"01598287"</f>
        <v>01598287</v>
      </c>
      <c r="C1890" t="s">
        <v>13417</v>
      </c>
      <c r="D1890" t="s">
        <v>1895</v>
      </c>
      <c r="E1890" t="s">
        <v>1896</v>
      </c>
      <c r="G1890" t="s">
        <v>13418</v>
      </c>
      <c r="H1890" t="s">
        <v>13419</v>
      </c>
      <c r="J1890" t="s">
        <v>13420</v>
      </c>
      <c r="L1890" t="s">
        <v>83</v>
      </c>
      <c r="M1890" t="s">
        <v>75</v>
      </c>
      <c r="R1890" t="s">
        <v>1894</v>
      </c>
      <c r="W1890" t="s">
        <v>1896</v>
      </c>
      <c r="X1890" t="s">
        <v>1897</v>
      </c>
      <c r="Y1890" t="s">
        <v>190</v>
      </c>
      <c r="Z1890" t="s">
        <v>77</v>
      </c>
      <c r="AA1890" t="str">
        <f>"11102-3249"</f>
        <v>11102-3249</v>
      </c>
      <c r="AB1890" t="s">
        <v>78</v>
      </c>
      <c r="AC1890" t="s">
        <v>79</v>
      </c>
      <c r="AD1890" t="s">
        <v>75</v>
      </c>
      <c r="AE1890" t="s">
        <v>80</v>
      </c>
      <c r="AG1890" t="s">
        <v>81</v>
      </c>
    </row>
    <row r="1891" spans="1:33" x14ac:dyDescent="0.25">
      <c r="A1891" t="str">
        <f>"1336485200"</f>
        <v>1336485200</v>
      </c>
      <c r="C1891" t="s">
        <v>13421</v>
      </c>
      <c r="G1891" t="s">
        <v>13422</v>
      </c>
      <c r="H1891" t="s">
        <v>13423</v>
      </c>
      <c r="J1891" t="s">
        <v>13424</v>
      </c>
      <c r="K1891" t="s">
        <v>99</v>
      </c>
      <c r="L1891" t="s">
        <v>102</v>
      </c>
      <c r="M1891" t="s">
        <v>75</v>
      </c>
      <c r="R1891" t="s">
        <v>13425</v>
      </c>
      <c r="S1891" t="s">
        <v>13426</v>
      </c>
      <c r="T1891" t="s">
        <v>97</v>
      </c>
      <c r="U1891" t="s">
        <v>77</v>
      </c>
      <c r="V1891" t="str">
        <f>"100274990"</f>
        <v>100274990</v>
      </c>
      <c r="AC1891" t="s">
        <v>79</v>
      </c>
      <c r="AD1891" t="s">
        <v>75</v>
      </c>
      <c r="AE1891" t="s">
        <v>103</v>
      </c>
      <c r="AG1891" t="s">
        <v>81</v>
      </c>
    </row>
    <row r="1892" spans="1:33" x14ac:dyDescent="0.25">
      <c r="A1892" t="str">
        <f>"1285988766"</f>
        <v>1285988766</v>
      </c>
      <c r="C1892" t="s">
        <v>13422</v>
      </c>
      <c r="G1892" t="s">
        <v>13422</v>
      </c>
      <c r="H1892" t="s">
        <v>13423</v>
      </c>
      <c r="J1892" t="s">
        <v>13424</v>
      </c>
      <c r="K1892" t="s">
        <v>99</v>
      </c>
      <c r="L1892" t="s">
        <v>102</v>
      </c>
      <c r="M1892" t="s">
        <v>75</v>
      </c>
      <c r="R1892" t="s">
        <v>13427</v>
      </c>
      <c r="S1892" t="s">
        <v>13428</v>
      </c>
      <c r="T1892" t="s">
        <v>97</v>
      </c>
      <c r="U1892" t="s">
        <v>77</v>
      </c>
      <c r="V1892" t="str">
        <f>"100274990"</f>
        <v>100274990</v>
      </c>
      <c r="AC1892" t="s">
        <v>79</v>
      </c>
      <c r="AD1892" t="s">
        <v>75</v>
      </c>
      <c r="AE1892" t="s">
        <v>103</v>
      </c>
      <c r="AG1892" t="s">
        <v>81</v>
      </c>
    </row>
    <row r="1893" spans="1:33" x14ac:dyDescent="0.25">
      <c r="A1893" t="str">
        <f>"1720142169"</f>
        <v>1720142169</v>
      </c>
      <c r="B1893" t="str">
        <f>"03516974"</f>
        <v>03516974</v>
      </c>
      <c r="C1893" t="s">
        <v>13429</v>
      </c>
      <c r="D1893" t="s">
        <v>13430</v>
      </c>
      <c r="E1893" t="s">
        <v>13431</v>
      </c>
      <c r="G1893" t="s">
        <v>13432</v>
      </c>
      <c r="H1893" t="s">
        <v>13433</v>
      </c>
      <c r="J1893" t="s">
        <v>13434</v>
      </c>
      <c r="L1893" t="s">
        <v>74</v>
      </c>
      <c r="M1893" t="s">
        <v>75</v>
      </c>
      <c r="R1893" t="s">
        <v>13431</v>
      </c>
      <c r="W1893" t="s">
        <v>13431</v>
      </c>
      <c r="X1893" t="s">
        <v>13435</v>
      </c>
      <c r="Y1893" t="s">
        <v>97</v>
      </c>
      <c r="Z1893" t="s">
        <v>77</v>
      </c>
      <c r="AA1893" t="str">
        <f>"10027"</f>
        <v>10027</v>
      </c>
      <c r="AB1893" t="s">
        <v>113</v>
      </c>
      <c r="AC1893" t="s">
        <v>79</v>
      </c>
      <c r="AD1893" t="s">
        <v>75</v>
      </c>
      <c r="AE1893" t="s">
        <v>80</v>
      </c>
      <c r="AG1893" t="s">
        <v>81</v>
      </c>
    </row>
    <row r="1894" spans="1:33" x14ac:dyDescent="0.25">
      <c r="A1894" t="str">
        <f>"1437428828"</f>
        <v>1437428828</v>
      </c>
      <c r="B1894" t="str">
        <f>"03493354"</f>
        <v>03493354</v>
      </c>
      <c r="C1894" t="s">
        <v>13436</v>
      </c>
      <c r="D1894" t="s">
        <v>13437</v>
      </c>
      <c r="E1894" t="s">
        <v>13438</v>
      </c>
      <c r="G1894" t="s">
        <v>13439</v>
      </c>
      <c r="L1894" t="s">
        <v>84</v>
      </c>
      <c r="M1894" t="s">
        <v>85</v>
      </c>
      <c r="R1894" t="s">
        <v>13440</v>
      </c>
      <c r="W1894" t="s">
        <v>13438</v>
      </c>
      <c r="X1894" t="s">
        <v>13441</v>
      </c>
      <c r="Y1894" t="s">
        <v>97</v>
      </c>
      <c r="Z1894" t="s">
        <v>77</v>
      </c>
      <c r="AA1894" t="str">
        <f>"10035-3826"</f>
        <v>10035-3826</v>
      </c>
      <c r="AB1894" t="s">
        <v>78</v>
      </c>
      <c r="AC1894" t="s">
        <v>79</v>
      </c>
      <c r="AD1894" t="s">
        <v>75</v>
      </c>
      <c r="AE1894" t="s">
        <v>80</v>
      </c>
      <c r="AG1894" t="s">
        <v>81</v>
      </c>
    </row>
    <row r="1895" spans="1:33" x14ac:dyDescent="0.25">
      <c r="A1895" t="str">
        <f>"1447340245"</f>
        <v>1447340245</v>
      </c>
      <c r="B1895" t="str">
        <f>"00689267"</f>
        <v>00689267</v>
      </c>
      <c r="C1895" t="s">
        <v>13436</v>
      </c>
      <c r="D1895" t="s">
        <v>13442</v>
      </c>
      <c r="E1895" t="s">
        <v>13443</v>
      </c>
      <c r="G1895" t="s">
        <v>13444</v>
      </c>
      <c r="L1895" t="s">
        <v>83</v>
      </c>
      <c r="M1895" t="s">
        <v>85</v>
      </c>
      <c r="R1895" t="s">
        <v>13445</v>
      </c>
      <c r="W1895" t="s">
        <v>13443</v>
      </c>
      <c r="X1895" t="s">
        <v>13446</v>
      </c>
      <c r="Y1895" t="s">
        <v>131</v>
      </c>
      <c r="Z1895" t="s">
        <v>77</v>
      </c>
      <c r="AA1895" t="str">
        <f>"10467-2490"</f>
        <v>10467-2490</v>
      </c>
      <c r="AB1895" t="s">
        <v>78</v>
      </c>
      <c r="AC1895" t="s">
        <v>79</v>
      </c>
      <c r="AD1895" t="s">
        <v>75</v>
      </c>
      <c r="AE1895" t="s">
        <v>80</v>
      </c>
      <c r="AG1895" t="s">
        <v>81</v>
      </c>
    </row>
    <row r="1896" spans="1:33" x14ac:dyDescent="0.25">
      <c r="A1896" t="str">
        <f>"1801186689"</f>
        <v>1801186689</v>
      </c>
      <c r="C1896" t="s">
        <v>13447</v>
      </c>
      <c r="K1896" t="s">
        <v>99</v>
      </c>
      <c r="L1896" t="s">
        <v>102</v>
      </c>
      <c r="M1896" t="s">
        <v>75</v>
      </c>
      <c r="R1896" t="s">
        <v>13448</v>
      </c>
      <c r="S1896" t="s">
        <v>13449</v>
      </c>
      <c r="T1896" t="s">
        <v>13450</v>
      </c>
      <c r="U1896" t="s">
        <v>351</v>
      </c>
      <c r="V1896" t="str">
        <f>"323085304"</f>
        <v>323085304</v>
      </c>
      <c r="AC1896" t="s">
        <v>79</v>
      </c>
      <c r="AD1896" t="s">
        <v>75</v>
      </c>
      <c r="AE1896" t="s">
        <v>103</v>
      </c>
      <c r="AG1896" t="s">
        <v>81</v>
      </c>
    </row>
    <row r="1897" spans="1:33" x14ac:dyDescent="0.25">
      <c r="A1897" t="str">
        <f>"1932402013"</f>
        <v>1932402013</v>
      </c>
      <c r="C1897" t="s">
        <v>13451</v>
      </c>
      <c r="K1897" t="s">
        <v>99</v>
      </c>
      <c r="L1897" t="s">
        <v>102</v>
      </c>
      <c r="M1897" t="s">
        <v>75</v>
      </c>
      <c r="R1897" t="s">
        <v>13452</v>
      </c>
      <c r="S1897" t="s">
        <v>13453</v>
      </c>
      <c r="T1897" t="s">
        <v>13454</v>
      </c>
      <c r="U1897" t="s">
        <v>1784</v>
      </c>
      <c r="V1897" t="str">
        <f>"190721065"</f>
        <v>190721065</v>
      </c>
      <c r="AC1897" t="s">
        <v>79</v>
      </c>
      <c r="AD1897" t="s">
        <v>75</v>
      </c>
      <c r="AE1897" t="s">
        <v>103</v>
      </c>
      <c r="AG1897" t="s">
        <v>81</v>
      </c>
    </row>
    <row r="1898" spans="1:33" x14ac:dyDescent="0.25">
      <c r="A1898" t="str">
        <f>"1942501044"</f>
        <v>1942501044</v>
      </c>
      <c r="C1898" t="s">
        <v>13455</v>
      </c>
      <c r="K1898" t="s">
        <v>99</v>
      </c>
      <c r="L1898" t="s">
        <v>102</v>
      </c>
      <c r="M1898" t="s">
        <v>75</v>
      </c>
      <c r="R1898" t="s">
        <v>13456</v>
      </c>
      <c r="S1898" t="s">
        <v>13457</v>
      </c>
      <c r="T1898" t="s">
        <v>97</v>
      </c>
      <c r="U1898" t="s">
        <v>77</v>
      </c>
      <c r="V1898" t="str">
        <f>"100191147"</f>
        <v>100191147</v>
      </c>
      <c r="AC1898" t="s">
        <v>79</v>
      </c>
      <c r="AD1898" t="s">
        <v>75</v>
      </c>
      <c r="AE1898" t="s">
        <v>103</v>
      </c>
      <c r="AG1898" t="s">
        <v>81</v>
      </c>
    </row>
    <row r="1899" spans="1:33" x14ac:dyDescent="0.25">
      <c r="A1899" t="str">
        <f>"1093881716"</f>
        <v>1093881716</v>
      </c>
      <c r="B1899" t="str">
        <f>"00442773"</f>
        <v>00442773</v>
      </c>
      <c r="C1899" t="s">
        <v>13458</v>
      </c>
      <c r="D1899" t="s">
        <v>13459</v>
      </c>
      <c r="E1899" t="s">
        <v>13460</v>
      </c>
      <c r="H1899" t="s">
        <v>13461</v>
      </c>
      <c r="J1899" t="s">
        <v>13462</v>
      </c>
      <c r="L1899" t="s">
        <v>83</v>
      </c>
      <c r="M1899" t="s">
        <v>85</v>
      </c>
      <c r="R1899" t="s">
        <v>13463</v>
      </c>
      <c r="W1899" t="s">
        <v>13460</v>
      </c>
      <c r="X1899" t="s">
        <v>5429</v>
      </c>
      <c r="Y1899" t="s">
        <v>230</v>
      </c>
      <c r="Z1899" t="s">
        <v>77</v>
      </c>
      <c r="AA1899" t="str">
        <f>"11795-4911"</f>
        <v>11795-4911</v>
      </c>
      <c r="AB1899" t="s">
        <v>78</v>
      </c>
      <c r="AC1899" t="s">
        <v>79</v>
      </c>
      <c r="AD1899" t="s">
        <v>75</v>
      </c>
      <c r="AE1899" t="s">
        <v>80</v>
      </c>
      <c r="AG1899" t="s">
        <v>81</v>
      </c>
    </row>
    <row r="1900" spans="1:33" x14ac:dyDescent="0.25">
      <c r="A1900" t="str">
        <f>"1609081355"</f>
        <v>1609081355</v>
      </c>
      <c r="B1900" t="str">
        <f>"03350323"</f>
        <v>03350323</v>
      </c>
      <c r="C1900" t="s">
        <v>13464</v>
      </c>
      <c r="D1900" t="s">
        <v>13465</v>
      </c>
      <c r="E1900" t="s">
        <v>13466</v>
      </c>
      <c r="H1900" t="s">
        <v>12006</v>
      </c>
      <c r="J1900" t="s">
        <v>13467</v>
      </c>
      <c r="L1900" t="s">
        <v>83</v>
      </c>
      <c r="M1900" t="s">
        <v>85</v>
      </c>
      <c r="R1900" t="s">
        <v>13468</v>
      </c>
      <c r="W1900" t="s">
        <v>13466</v>
      </c>
      <c r="X1900" t="s">
        <v>13469</v>
      </c>
      <c r="Y1900" t="s">
        <v>212</v>
      </c>
      <c r="Z1900" t="s">
        <v>77</v>
      </c>
      <c r="AA1900" t="str">
        <f>"11803-4911"</f>
        <v>11803-4911</v>
      </c>
      <c r="AB1900" t="s">
        <v>78</v>
      </c>
      <c r="AC1900" t="s">
        <v>79</v>
      </c>
      <c r="AD1900" t="s">
        <v>75</v>
      </c>
      <c r="AE1900" t="s">
        <v>80</v>
      </c>
      <c r="AG1900" t="s">
        <v>81</v>
      </c>
    </row>
    <row r="1901" spans="1:33" x14ac:dyDescent="0.25">
      <c r="A1901" t="str">
        <f>"1316921844"</f>
        <v>1316921844</v>
      </c>
      <c r="B1901" t="str">
        <f>"01752198"</f>
        <v>01752198</v>
      </c>
      <c r="C1901" t="s">
        <v>13470</v>
      </c>
      <c r="D1901" t="s">
        <v>13471</v>
      </c>
      <c r="E1901" t="s">
        <v>13472</v>
      </c>
      <c r="H1901" t="s">
        <v>13032</v>
      </c>
      <c r="J1901" t="s">
        <v>13473</v>
      </c>
      <c r="L1901" t="s">
        <v>83</v>
      </c>
      <c r="M1901" t="s">
        <v>85</v>
      </c>
      <c r="R1901" t="s">
        <v>13474</v>
      </c>
      <c r="W1901" t="s">
        <v>13472</v>
      </c>
      <c r="X1901" t="s">
        <v>13475</v>
      </c>
      <c r="Y1901" t="s">
        <v>326</v>
      </c>
      <c r="Z1901" t="s">
        <v>77</v>
      </c>
      <c r="AA1901" t="str">
        <f>"11003-3529"</f>
        <v>11003-3529</v>
      </c>
      <c r="AB1901" t="s">
        <v>78</v>
      </c>
      <c r="AC1901" t="s">
        <v>79</v>
      </c>
      <c r="AD1901" t="s">
        <v>75</v>
      </c>
      <c r="AE1901" t="s">
        <v>80</v>
      </c>
      <c r="AG1901" t="s">
        <v>81</v>
      </c>
    </row>
    <row r="1902" spans="1:33" x14ac:dyDescent="0.25">
      <c r="A1902" t="str">
        <f>"1336308873"</f>
        <v>1336308873</v>
      </c>
      <c r="B1902" t="str">
        <f>"03266093"</f>
        <v>03266093</v>
      </c>
      <c r="C1902" t="s">
        <v>13476</v>
      </c>
      <c r="D1902" t="s">
        <v>13477</v>
      </c>
      <c r="E1902" t="s">
        <v>13478</v>
      </c>
      <c r="H1902" t="s">
        <v>13479</v>
      </c>
      <c r="J1902" t="s">
        <v>13480</v>
      </c>
      <c r="L1902" t="s">
        <v>83</v>
      </c>
      <c r="M1902" t="s">
        <v>85</v>
      </c>
      <c r="R1902" t="s">
        <v>13481</v>
      </c>
      <c r="W1902" t="s">
        <v>13482</v>
      </c>
      <c r="X1902" t="s">
        <v>12915</v>
      </c>
      <c r="Y1902" t="s">
        <v>4845</v>
      </c>
      <c r="Z1902" t="s">
        <v>77</v>
      </c>
      <c r="AA1902" t="str">
        <f>"10994-1966"</f>
        <v>10994-1966</v>
      </c>
      <c r="AB1902" t="s">
        <v>78</v>
      </c>
      <c r="AC1902" t="s">
        <v>79</v>
      </c>
      <c r="AD1902" t="s">
        <v>75</v>
      </c>
      <c r="AE1902" t="s">
        <v>80</v>
      </c>
      <c r="AG1902" t="s">
        <v>81</v>
      </c>
    </row>
    <row r="1903" spans="1:33" x14ac:dyDescent="0.25">
      <c r="A1903" t="str">
        <f>"1871760314"</f>
        <v>1871760314</v>
      </c>
      <c r="B1903" t="str">
        <f>"04041269"</f>
        <v>04041269</v>
      </c>
      <c r="C1903" t="s">
        <v>13483</v>
      </c>
      <c r="D1903" t="s">
        <v>13484</v>
      </c>
      <c r="E1903" t="s">
        <v>13485</v>
      </c>
      <c r="L1903" t="s">
        <v>74</v>
      </c>
      <c r="M1903" t="s">
        <v>75</v>
      </c>
      <c r="R1903" t="s">
        <v>13486</v>
      </c>
      <c r="W1903" t="s">
        <v>13487</v>
      </c>
      <c r="X1903" t="s">
        <v>13488</v>
      </c>
      <c r="Y1903" t="s">
        <v>131</v>
      </c>
      <c r="Z1903" t="s">
        <v>77</v>
      </c>
      <c r="AA1903" t="str">
        <f>"10471-1009"</f>
        <v>10471-1009</v>
      </c>
      <c r="AB1903" t="s">
        <v>82</v>
      </c>
      <c r="AC1903" t="s">
        <v>79</v>
      </c>
      <c r="AD1903" t="s">
        <v>75</v>
      </c>
      <c r="AE1903" t="s">
        <v>80</v>
      </c>
      <c r="AG1903" t="s">
        <v>81</v>
      </c>
    </row>
    <row r="1904" spans="1:33" x14ac:dyDescent="0.25">
      <c r="A1904" t="str">
        <f>"1932488152"</f>
        <v>1932488152</v>
      </c>
      <c r="C1904" t="s">
        <v>13489</v>
      </c>
      <c r="K1904" t="s">
        <v>99</v>
      </c>
      <c r="L1904" t="s">
        <v>102</v>
      </c>
      <c r="M1904" t="s">
        <v>75</v>
      </c>
      <c r="R1904" t="s">
        <v>13490</v>
      </c>
      <c r="S1904" t="s">
        <v>13491</v>
      </c>
      <c r="T1904" t="s">
        <v>131</v>
      </c>
      <c r="U1904" t="s">
        <v>77</v>
      </c>
      <c r="V1904" t="str">
        <f>"10461"</f>
        <v>10461</v>
      </c>
      <c r="AC1904" t="s">
        <v>79</v>
      </c>
      <c r="AD1904" t="s">
        <v>75</v>
      </c>
      <c r="AE1904" t="s">
        <v>103</v>
      </c>
      <c r="AG1904" t="s">
        <v>81</v>
      </c>
    </row>
    <row r="1905" spans="1:33" x14ac:dyDescent="0.25">
      <c r="A1905" t="str">
        <f>"1861718223"</f>
        <v>1861718223</v>
      </c>
      <c r="B1905" t="str">
        <f>"04145837"</f>
        <v>04145837</v>
      </c>
      <c r="C1905" t="s">
        <v>13492</v>
      </c>
      <c r="D1905" t="s">
        <v>13493</v>
      </c>
      <c r="E1905" t="s">
        <v>13494</v>
      </c>
      <c r="L1905" t="s">
        <v>83</v>
      </c>
      <c r="M1905" t="s">
        <v>75</v>
      </c>
      <c r="R1905" t="s">
        <v>13494</v>
      </c>
      <c r="W1905" t="s">
        <v>13494</v>
      </c>
      <c r="X1905" t="s">
        <v>13495</v>
      </c>
      <c r="Y1905" t="s">
        <v>97</v>
      </c>
      <c r="Z1905" t="s">
        <v>77</v>
      </c>
      <c r="AA1905" t="str">
        <f>"10028-2972"</f>
        <v>10028-2972</v>
      </c>
      <c r="AB1905" t="s">
        <v>78</v>
      </c>
      <c r="AC1905" t="s">
        <v>79</v>
      </c>
      <c r="AD1905" t="s">
        <v>75</v>
      </c>
      <c r="AE1905" t="s">
        <v>80</v>
      </c>
      <c r="AG1905" t="s">
        <v>81</v>
      </c>
    </row>
    <row r="1906" spans="1:33" x14ac:dyDescent="0.25">
      <c r="A1906" t="str">
        <f>"1811232846"</f>
        <v>1811232846</v>
      </c>
      <c r="B1906" t="str">
        <f>"04325724"</f>
        <v>04325724</v>
      </c>
      <c r="C1906" t="s">
        <v>13496</v>
      </c>
      <c r="D1906" t="s">
        <v>13497</v>
      </c>
      <c r="E1906" t="s">
        <v>13498</v>
      </c>
      <c r="L1906" t="s">
        <v>83</v>
      </c>
      <c r="M1906" t="s">
        <v>75</v>
      </c>
      <c r="R1906" t="s">
        <v>13499</v>
      </c>
      <c r="W1906" t="s">
        <v>13498</v>
      </c>
      <c r="X1906" t="s">
        <v>13500</v>
      </c>
      <c r="Y1906" t="s">
        <v>97</v>
      </c>
      <c r="Z1906" t="s">
        <v>77</v>
      </c>
      <c r="AA1906" t="str">
        <f>"10029"</f>
        <v>10029</v>
      </c>
      <c r="AB1906" t="s">
        <v>78</v>
      </c>
      <c r="AC1906" t="s">
        <v>79</v>
      </c>
      <c r="AD1906" t="s">
        <v>75</v>
      </c>
      <c r="AE1906" t="s">
        <v>80</v>
      </c>
      <c r="AG1906" t="s">
        <v>81</v>
      </c>
    </row>
    <row r="1907" spans="1:33" x14ac:dyDescent="0.25">
      <c r="A1907" t="str">
        <f>"1396144903"</f>
        <v>1396144903</v>
      </c>
      <c r="B1907" t="str">
        <f>"04108063"</f>
        <v>04108063</v>
      </c>
      <c r="C1907" t="s">
        <v>13501</v>
      </c>
      <c r="D1907" t="s">
        <v>13502</v>
      </c>
      <c r="E1907" t="s">
        <v>13503</v>
      </c>
      <c r="G1907" t="s">
        <v>13504</v>
      </c>
      <c r="H1907" t="s">
        <v>13505</v>
      </c>
      <c r="J1907" t="s">
        <v>13506</v>
      </c>
      <c r="L1907" t="s">
        <v>74</v>
      </c>
      <c r="M1907" t="s">
        <v>75</v>
      </c>
      <c r="R1907" t="s">
        <v>13503</v>
      </c>
      <c r="W1907" t="s">
        <v>13503</v>
      </c>
      <c r="X1907" t="s">
        <v>13507</v>
      </c>
      <c r="Y1907" t="s">
        <v>87</v>
      </c>
      <c r="Z1907" t="s">
        <v>77</v>
      </c>
      <c r="AA1907" t="str">
        <f>"11221-3204"</f>
        <v>11221-3204</v>
      </c>
      <c r="AB1907" t="s">
        <v>82</v>
      </c>
      <c r="AC1907" t="s">
        <v>79</v>
      </c>
      <c r="AD1907" t="s">
        <v>75</v>
      </c>
      <c r="AE1907" t="s">
        <v>80</v>
      </c>
      <c r="AG1907" t="s">
        <v>81</v>
      </c>
    </row>
    <row r="1908" spans="1:33" x14ac:dyDescent="0.25">
      <c r="A1908" t="str">
        <f>"1316026198"</f>
        <v>1316026198</v>
      </c>
      <c r="B1908" t="str">
        <f>"02898153"</f>
        <v>02898153</v>
      </c>
      <c r="C1908" t="s">
        <v>13508</v>
      </c>
      <c r="D1908" t="s">
        <v>13509</v>
      </c>
      <c r="E1908" t="s">
        <v>13510</v>
      </c>
      <c r="G1908" t="s">
        <v>13504</v>
      </c>
      <c r="H1908" t="s">
        <v>13505</v>
      </c>
      <c r="J1908" t="s">
        <v>13506</v>
      </c>
      <c r="L1908" t="s">
        <v>84</v>
      </c>
      <c r="M1908" t="s">
        <v>85</v>
      </c>
      <c r="R1908" t="s">
        <v>13511</v>
      </c>
      <c r="W1908" t="s">
        <v>13510</v>
      </c>
      <c r="X1908" t="s">
        <v>202</v>
      </c>
      <c r="Y1908" t="s">
        <v>87</v>
      </c>
      <c r="Z1908" t="s">
        <v>77</v>
      </c>
      <c r="AA1908" t="str">
        <f>"11201-5425"</f>
        <v>11201-5425</v>
      </c>
      <c r="AB1908" t="s">
        <v>78</v>
      </c>
      <c r="AC1908" t="s">
        <v>79</v>
      </c>
      <c r="AD1908" t="s">
        <v>75</v>
      </c>
      <c r="AE1908" t="s">
        <v>80</v>
      </c>
      <c r="AG1908" t="s">
        <v>81</v>
      </c>
    </row>
    <row r="1909" spans="1:33" x14ac:dyDescent="0.25">
      <c r="A1909" t="str">
        <f>"1013074525"</f>
        <v>1013074525</v>
      </c>
      <c r="B1909" t="str">
        <f>"01644706"</f>
        <v>01644706</v>
      </c>
      <c r="C1909" t="s">
        <v>13512</v>
      </c>
      <c r="D1909" t="s">
        <v>13513</v>
      </c>
      <c r="E1909" t="s">
        <v>13514</v>
      </c>
      <c r="G1909" t="s">
        <v>13515</v>
      </c>
      <c r="H1909" t="s">
        <v>498</v>
      </c>
      <c r="J1909" t="s">
        <v>13516</v>
      </c>
      <c r="L1909" t="s">
        <v>143</v>
      </c>
      <c r="M1909" t="s">
        <v>75</v>
      </c>
      <c r="R1909" t="s">
        <v>13517</v>
      </c>
      <c r="W1909" t="s">
        <v>13514</v>
      </c>
      <c r="X1909" t="s">
        <v>334</v>
      </c>
      <c r="Y1909" t="s">
        <v>171</v>
      </c>
      <c r="Z1909" t="s">
        <v>77</v>
      </c>
      <c r="AA1909" t="str">
        <f>"11418"</f>
        <v>11418</v>
      </c>
      <c r="AB1909" t="s">
        <v>78</v>
      </c>
      <c r="AC1909" t="s">
        <v>79</v>
      </c>
      <c r="AD1909" t="s">
        <v>75</v>
      </c>
      <c r="AE1909" t="s">
        <v>80</v>
      </c>
      <c r="AG1909" t="s">
        <v>81</v>
      </c>
    </row>
    <row r="1910" spans="1:33" x14ac:dyDescent="0.25">
      <c r="A1910" t="str">
        <f>"1861770604"</f>
        <v>1861770604</v>
      </c>
      <c r="B1910" t="str">
        <f>"04218080"</f>
        <v>04218080</v>
      </c>
      <c r="C1910" t="s">
        <v>13518</v>
      </c>
      <c r="D1910" t="s">
        <v>13519</v>
      </c>
      <c r="E1910" t="s">
        <v>13520</v>
      </c>
      <c r="L1910" t="s">
        <v>74</v>
      </c>
      <c r="M1910" t="s">
        <v>75</v>
      </c>
      <c r="R1910" t="s">
        <v>13520</v>
      </c>
      <c r="W1910" t="s">
        <v>13520</v>
      </c>
      <c r="X1910" t="s">
        <v>13521</v>
      </c>
      <c r="Y1910" t="s">
        <v>97</v>
      </c>
      <c r="Z1910" t="s">
        <v>77</v>
      </c>
      <c r="AA1910" t="str">
        <f>"10003-3314"</f>
        <v>10003-3314</v>
      </c>
      <c r="AB1910" t="s">
        <v>78</v>
      </c>
      <c r="AC1910" t="s">
        <v>79</v>
      </c>
      <c r="AD1910" t="s">
        <v>75</v>
      </c>
      <c r="AE1910" t="s">
        <v>80</v>
      </c>
      <c r="AG1910" t="s">
        <v>81</v>
      </c>
    </row>
    <row r="1911" spans="1:33" x14ac:dyDescent="0.25">
      <c r="A1911" t="str">
        <f>"1790943694"</f>
        <v>1790943694</v>
      </c>
      <c r="B1911" t="str">
        <f>"03385206"</f>
        <v>03385206</v>
      </c>
      <c r="C1911" t="s">
        <v>13522</v>
      </c>
      <c r="D1911" t="s">
        <v>13523</v>
      </c>
      <c r="E1911" t="s">
        <v>13524</v>
      </c>
      <c r="L1911" t="s">
        <v>74</v>
      </c>
      <c r="M1911" t="s">
        <v>75</v>
      </c>
      <c r="R1911" t="s">
        <v>13525</v>
      </c>
      <c r="W1911" t="s">
        <v>13526</v>
      </c>
      <c r="X1911" t="s">
        <v>210</v>
      </c>
      <c r="Y1911" t="s">
        <v>209</v>
      </c>
      <c r="Z1911" t="s">
        <v>77</v>
      </c>
      <c r="AA1911" t="str">
        <f>"11794-0001"</f>
        <v>11794-0001</v>
      </c>
      <c r="AB1911" t="s">
        <v>78</v>
      </c>
      <c r="AC1911" t="s">
        <v>79</v>
      </c>
      <c r="AD1911" t="s">
        <v>75</v>
      </c>
      <c r="AE1911" t="s">
        <v>80</v>
      </c>
      <c r="AG1911" t="s">
        <v>81</v>
      </c>
    </row>
    <row r="1912" spans="1:33" x14ac:dyDescent="0.25">
      <c r="A1912" t="str">
        <f>"1891194957"</f>
        <v>1891194957</v>
      </c>
      <c r="C1912" t="s">
        <v>13527</v>
      </c>
      <c r="K1912" t="s">
        <v>99</v>
      </c>
      <c r="L1912" t="s">
        <v>102</v>
      </c>
      <c r="M1912" t="s">
        <v>75</v>
      </c>
      <c r="R1912" t="s">
        <v>13528</v>
      </c>
      <c r="S1912" t="s">
        <v>13529</v>
      </c>
      <c r="T1912" t="s">
        <v>97</v>
      </c>
      <c r="U1912" t="s">
        <v>77</v>
      </c>
      <c r="V1912" t="str">
        <f>"100191047"</f>
        <v>100191047</v>
      </c>
      <c r="AC1912" t="s">
        <v>79</v>
      </c>
      <c r="AD1912" t="s">
        <v>75</v>
      </c>
      <c r="AE1912" t="s">
        <v>103</v>
      </c>
      <c r="AG1912" t="s">
        <v>81</v>
      </c>
    </row>
    <row r="1913" spans="1:33" x14ac:dyDescent="0.25">
      <c r="A1913" t="str">
        <f>"1790123289"</f>
        <v>1790123289</v>
      </c>
      <c r="C1913" t="s">
        <v>13530</v>
      </c>
      <c r="K1913" t="s">
        <v>99</v>
      </c>
      <c r="L1913" t="s">
        <v>102</v>
      </c>
      <c r="M1913" t="s">
        <v>75</v>
      </c>
      <c r="R1913" t="s">
        <v>13531</v>
      </c>
      <c r="S1913" t="s">
        <v>13532</v>
      </c>
      <c r="T1913" t="s">
        <v>97</v>
      </c>
      <c r="U1913" t="s">
        <v>77</v>
      </c>
      <c r="V1913" t="str">
        <f>"10019"</f>
        <v>10019</v>
      </c>
      <c r="AC1913" t="s">
        <v>79</v>
      </c>
      <c r="AD1913" t="s">
        <v>75</v>
      </c>
      <c r="AE1913" t="s">
        <v>103</v>
      </c>
      <c r="AG1913" t="s">
        <v>81</v>
      </c>
    </row>
    <row r="1914" spans="1:33" x14ac:dyDescent="0.25">
      <c r="A1914" t="str">
        <f>"1780002063"</f>
        <v>1780002063</v>
      </c>
      <c r="C1914" t="s">
        <v>13533</v>
      </c>
      <c r="K1914" t="s">
        <v>99</v>
      </c>
      <c r="L1914" t="s">
        <v>102</v>
      </c>
      <c r="M1914" t="s">
        <v>75</v>
      </c>
      <c r="R1914" t="s">
        <v>13534</v>
      </c>
      <c r="S1914" t="s">
        <v>13535</v>
      </c>
      <c r="T1914" t="s">
        <v>178</v>
      </c>
      <c r="U1914" t="s">
        <v>77</v>
      </c>
      <c r="V1914" t="str">
        <f>"110231929"</f>
        <v>110231929</v>
      </c>
      <c r="AC1914" t="s">
        <v>79</v>
      </c>
      <c r="AD1914" t="s">
        <v>75</v>
      </c>
      <c r="AE1914" t="s">
        <v>103</v>
      </c>
      <c r="AG1914" t="s">
        <v>81</v>
      </c>
    </row>
    <row r="1915" spans="1:33" x14ac:dyDescent="0.25">
      <c r="A1915" t="str">
        <f>"1982048492"</f>
        <v>1982048492</v>
      </c>
      <c r="B1915" t="str">
        <f>"04463407"</f>
        <v>04463407</v>
      </c>
      <c r="C1915" t="s">
        <v>13536</v>
      </c>
      <c r="D1915" t="s">
        <v>13537</v>
      </c>
      <c r="E1915" t="s">
        <v>13538</v>
      </c>
      <c r="L1915" t="s">
        <v>102</v>
      </c>
      <c r="M1915" t="s">
        <v>75</v>
      </c>
      <c r="R1915" t="s">
        <v>13539</v>
      </c>
      <c r="W1915" t="s">
        <v>13538</v>
      </c>
      <c r="AB1915" t="s">
        <v>78</v>
      </c>
      <c r="AC1915" t="s">
        <v>79</v>
      </c>
      <c r="AD1915" t="s">
        <v>75</v>
      </c>
      <c r="AE1915" t="s">
        <v>80</v>
      </c>
      <c r="AG1915" t="s">
        <v>81</v>
      </c>
    </row>
    <row r="1916" spans="1:33" x14ac:dyDescent="0.25">
      <c r="A1916" t="str">
        <f>"1861837106"</f>
        <v>1861837106</v>
      </c>
      <c r="B1916" t="str">
        <f>"04450804"</f>
        <v>04450804</v>
      </c>
      <c r="C1916" t="s">
        <v>13540</v>
      </c>
      <c r="D1916" t="s">
        <v>13541</v>
      </c>
      <c r="E1916" t="s">
        <v>13542</v>
      </c>
      <c r="L1916" t="s">
        <v>74</v>
      </c>
      <c r="M1916" t="s">
        <v>75</v>
      </c>
      <c r="R1916" t="s">
        <v>13543</v>
      </c>
      <c r="W1916" t="s">
        <v>13542</v>
      </c>
      <c r="AB1916" t="s">
        <v>78</v>
      </c>
      <c r="AC1916" t="s">
        <v>79</v>
      </c>
      <c r="AD1916" t="s">
        <v>75</v>
      </c>
      <c r="AE1916" t="s">
        <v>80</v>
      </c>
      <c r="AG1916" t="s">
        <v>81</v>
      </c>
    </row>
    <row r="1917" spans="1:33" x14ac:dyDescent="0.25">
      <c r="A1917" t="str">
        <f>"1942542774"</f>
        <v>1942542774</v>
      </c>
      <c r="C1917" t="s">
        <v>13544</v>
      </c>
      <c r="K1917" t="s">
        <v>99</v>
      </c>
      <c r="L1917" t="s">
        <v>102</v>
      </c>
      <c r="M1917" t="s">
        <v>75</v>
      </c>
      <c r="R1917" t="s">
        <v>13545</v>
      </c>
      <c r="S1917" t="s">
        <v>13546</v>
      </c>
      <c r="T1917" t="s">
        <v>13547</v>
      </c>
      <c r="U1917" t="s">
        <v>4619</v>
      </c>
      <c r="V1917" t="str">
        <f>"352116975"</f>
        <v>352116975</v>
      </c>
      <c r="AC1917" t="s">
        <v>79</v>
      </c>
      <c r="AD1917" t="s">
        <v>75</v>
      </c>
      <c r="AE1917" t="s">
        <v>103</v>
      </c>
      <c r="AG1917" t="s">
        <v>81</v>
      </c>
    </row>
    <row r="1918" spans="1:33" x14ac:dyDescent="0.25">
      <c r="A1918" t="str">
        <f>"1861832925"</f>
        <v>1861832925</v>
      </c>
      <c r="B1918" t="str">
        <f>"03990567"</f>
        <v>03990567</v>
      </c>
      <c r="C1918" t="s">
        <v>13548</v>
      </c>
      <c r="D1918" t="s">
        <v>13549</v>
      </c>
      <c r="E1918" t="s">
        <v>13550</v>
      </c>
      <c r="L1918" t="s">
        <v>74</v>
      </c>
      <c r="M1918" t="s">
        <v>75</v>
      </c>
      <c r="R1918" t="s">
        <v>13551</v>
      </c>
      <c r="W1918" t="s">
        <v>13550</v>
      </c>
      <c r="X1918" t="s">
        <v>272</v>
      </c>
      <c r="Y1918" t="s">
        <v>97</v>
      </c>
      <c r="Z1918" t="s">
        <v>77</v>
      </c>
      <c r="AA1918" t="str">
        <f>"10029-6501"</f>
        <v>10029-6501</v>
      </c>
      <c r="AB1918" t="s">
        <v>78</v>
      </c>
      <c r="AC1918" t="s">
        <v>79</v>
      </c>
      <c r="AD1918" t="s">
        <v>75</v>
      </c>
      <c r="AE1918" t="s">
        <v>80</v>
      </c>
      <c r="AG1918" t="s">
        <v>81</v>
      </c>
    </row>
    <row r="1919" spans="1:33" x14ac:dyDescent="0.25">
      <c r="A1919" t="str">
        <f>"1962786111"</f>
        <v>1962786111</v>
      </c>
      <c r="B1919" t="str">
        <f>"04340983"</f>
        <v>04340983</v>
      </c>
      <c r="C1919" t="s">
        <v>13552</v>
      </c>
      <c r="D1919" t="s">
        <v>13553</v>
      </c>
      <c r="E1919" t="s">
        <v>13554</v>
      </c>
      <c r="L1919" t="s">
        <v>102</v>
      </c>
      <c r="M1919" t="s">
        <v>75</v>
      </c>
      <c r="R1919" t="s">
        <v>13555</v>
      </c>
      <c r="W1919" t="s">
        <v>13554</v>
      </c>
      <c r="X1919" t="s">
        <v>13556</v>
      </c>
      <c r="Y1919" t="s">
        <v>97</v>
      </c>
      <c r="Z1919" t="s">
        <v>77</v>
      </c>
      <c r="AA1919" t="str">
        <f>"10128-1735"</f>
        <v>10128-1735</v>
      </c>
      <c r="AB1919" t="s">
        <v>78</v>
      </c>
      <c r="AC1919" t="s">
        <v>79</v>
      </c>
      <c r="AD1919" t="s">
        <v>75</v>
      </c>
      <c r="AE1919" t="s">
        <v>80</v>
      </c>
      <c r="AG1919" t="s">
        <v>81</v>
      </c>
    </row>
    <row r="1920" spans="1:33" x14ac:dyDescent="0.25">
      <c r="A1920" t="str">
        <f>"1780908632"</f>
        <v>1780908632</v>
      </c>
      <c r="B1920" t="str">
        <f>"04250726"</f>
        <v>04250726</v>
      </c>
      <c r="C1920" t="s">
        <v>13557</v>
      </c>
      <c r="D1920" t="s">
        <v>13558</v>
      </c>
      <c r="E1920" t="s">
        <v>13559</v>
      </c>
      <c r="L1920" t="s">
        <v>74</v>
      </c>
      <c r="M1920" t="s">
        <v>75</v>
      </c>
      <c r="R1920" t="s">
        <v>13560</v>
      </c>
      <c r="W1920" t="s">
        <v>13561</v>
      </c>
      <c r="X1920" t="s">
        <v>13562</v>
      </c>
      <c r="Y1920" t="s">
        <v>97</v>
      </c>
      <c r="Z1920" t="s">
        <v>77</v>
      </c>
      <c r="AA1920" t="str">
        <f>"10029-6508"</f>
        <v>10029-6508</v>
      </c>
      <c r="AB1920" t="s">
        <v>78</v>
      </c>
      <c r="AC1920" t="s">
        <v>79</v>
      </c>
      <c r="AD1920" t="s">
        <v>75</v>
      </c>
      <c r="AE1920" t="s">
        <v>80</v>
      </c>
      <c r="AG1920" t="s">
        <v>81</v>
      </c>
    </row>
    <row r="1921" spans="1:33" x14ac:dyDescent="0.25">
      <c r="A1921" t="str">
        <f>"1942442942"</f>
        <v>1942442942</v>
      </c>
      <c r="C1921" t="s">
        <v>13563</v>
      </c>
      <c r="K1921" t="s">
        <v>99</v>
      </c>
      <c r="L1921" t="s">
        <v>102</v>
      </c>
      <c r="M1921" t="s">
        <v>75</v>
      </c>
      <c r="R1921" t="s">
        <v>13564</v>
      </c>
      <c r="S1921" t="s">
        <v>13565</v>
      </c>
      <c r="T1921" t="s">
        <v>97</v>
      </c>
      <c r="U1921" t="s">
        <v>77</v>
      </c>
      <c r="V1921" t="str">
        <f>"100252309"</f>
        <v>100252309</v>
      </c>
      <c r="AC1921" t="s">
        <v>79</v>
      </c>
      <c r="AD1921" t="s">
        <v>75</v>
      </c>
      <c r="AE1921" t="s">
        <v>103</v>
      </c>
      <c r="AG1921" t="s">
        <v>81</v>
      </c>
    </row>
    <row r="1922" spans="1:33" x14ac:dyDescent="0.25">
      <c r="A1922" t="str">
        <f>"1992113583"</f>
        <v>1992113583</v>
      </c>
      <c r="C1922" t="s">
        <v>13566</v>
      </c>
      <c r="K1922" t="s">
        <v>99</v>
      </c>
      <c r="L1922" t="s">
        <v>102</v>
      </c>
      <c r="M1922" t="s">
        <v>75</v>
      </c>
      <c r="R1922" t="s">
        <v>13567</v>
      </c>
      <c r="S1922" t="s">
        <v>2838</v>
      </c>
      <c r="T1922" t="s">
        <v>97</v>
      </c>
      <c r="U1922" t="s">
        <v>77</v>
      </c>
      <c r="V1922" t="str">
        <f>"100033105"</f>
        <v>100033105</v>
      </c>
      <c r="AC1922" t="s">
        <v>79</v>
      </c>
      <c r="AD1922" t="s">
        <v>75</v>
      </c>
      <c r="AE1922" t="s">
        <v>103</v>
      </c>
      <c r="AG1922" t="s">
        <v>81</v>
      </c>
    </row>
    <row r="1923" spans="1:33" x14ac:dyDescent="0.25">
      <c r="A1923" t="str">
        <f>"1891113049"</f>
        <v>1891113049</v>
      </c>
      <c r="C1923" t="s">
        <v>13568</v>
      </c>
      <c r="K1923" t="s">
        <v>99</v>
      </c>
      <c r="L1923" t="s">
        <v>102</v>
      </c>
      <c r="M1923" t="s">
        <v>75</v>
      </c>
      <c r="R1923" t="s">
        <v>13569</v>
      </c>
      <c r="S1923" t="s">
        <v>13570</v>
      </c>
      <c r="T1923" t="s">
        <v>13571</v>
      </c>
      <c r="U1923" t="s">
        <v>2661</v>
      </c>
      <c r="V1923" t="str">
        <f>"212867329"</f>
        <v>212867329</v>
      </c>
      <c r="AC1923" t="s">
        <v>79</v>
      </c>
      <c r="AD1923" t="s">
        <v>75</v>
      </c>
      <c r="AE1923" t="s">
        <v>103</v>
      </c>
      <c r="AG1923" t="s">
        <v>81</v>
      </c>
    </row>
    <row r="1924" spans="1:33" x14ac:dyDescent="0.25">
      <c r="A1924" t="str">
        <f>"1932515574"</f>
        <v>1932515574</v>
      </c>
      <c r="C1924" t="s">
        <v>13572</v>
      </c>
      <c r="K1924" t="s">
        <v>99</v>
      </c>
      <c r="L1924" t="s">
        <v>102</v>
      </c>
      <c r="M1924" t="s">
        <v>75</v>
      </c>
      <c r="R1924" t="s">
        <v>13573</v>
      </c>
      <c r="S1924" t="s">
        <v>13574</v>
      </c>
      <c r="T1924" t="s">
        <v>97</v>
      </c>
      <c r="U1924" t="s">
        <v>77</v>
      </c>
      <c r="V1924" t="str">
        <f>"100296504"</f>
        <v>100296504</v>
      </c>
      <c r="AC1924" t="s">
        <v>79</v>
      </c>
      <c r="AD1924" t="s">
        <v>75</v>
      </c>
      <c r="AE1924" t="s">
        <v>103</v>
      </c>
      <c r="AG1924" t="s">
        <v>81</v>
      </c>
    </row>
    <row r="1925" spans="1:33" x14ac:dyDescent="0.25">
      <c r="A1925" t="str">
        <f>"1962820993"</f>
        <v>1962820993</v>
      </c>
      <c r="C1925" t="s">
        <v>13575</v>
      </c>
      <c r="K1925" t="s">
        <v>99</v>
      </c>
      <c r="L1925" t="s">
        <v>102</v>
      </c>
      <c r="M1925" t="s">
        <v>75</v>
      </c>
      <c r="R1925" t="s">
        <v>13576</v>
      </c>
      <c r="S1925" t="s">
        <v>329</v>
      </c>
      <c r="T1925" t="s">
        <v>97</v>
      </c>
      <c r="U1925" t="s">
        <v>77</v>
      </c>
      <c r="V1925" t="str">
        <f>"100296504"</f>
        <v>100296504</v>
      </c>
      <c r="AC1925" t="s">
        <v>79</v>
      </c>
      <c r="AD1925" t="s">
        <v>75</v>
      </c>
      <c r="AE1925" t="s">
        <v>103</v>
      </c>
      <c r="AG1925" t="s">
        <v>81</v>
      </c>
    </row>
    <row r="1926" spans="1:33" x14ac:dyDescent="0.25">
      <c r="A1926" t="str">
        <f>"1992083885"</f>
        <v>1992083885</v>
      </c>
      <c r="B1926" t="str">
        <f>"04251112"</f>
        <v>04251112</v>
      </c>
      <c r="C1926" t="s">
        <v>13577</v>
      </c>
      <c r="D1926" t="s">
        <v>6221</v>
      </c>
      <c r="E1926" t="s">
        <v>6222</v>
      </c>
      <c r="L1926" t="s">
        <v>84</v>
      </c>
      <c r="M1926" t="s">
        <v>75</v>
      </c>
      <c r="R1926" t="s">
        <v>6223</v>
      </c>
      <c r="W1926" t="s">
        <v>6222</v>
      </c>
      <c r="X1926" t="s">
        <v>4761</v>
      </c>
      <c r="Y1926" t="s">
        <v>131</v>
      </c>
      <c r="Z1926" t="s">
        <v>77</v>
      </c>
      <c r="AA1926" t="str">
        <f>"10459-3913"</f>
        <v>10459-3913</v>
      </c>
      <c r="AB1926" t="s">
        <v>78</v>
      </c>
      <c r="AC1926" t="s">
        <v>79</v>
      </c>
      <c r="AD1926" t="s">
        <v>75</v>
      </c>
      <c r="AE1926" t="s">
        <v>80</v>
      </c>
      <c r="AG1926" t="s">
        <v>81</v>
      </c>
    </row>
    <row r="1927" spans="1:33" x14ac:dyDescent="0.25">
      <c r="A1927" t="str">
        <f>"1932532710"</f>
        <v>1932532710</v>
      </c>
      <c r="B1927" t="str">
        <f>"04381128"</f>
        <v>04381128</v>
      </c>
      <c r="C1927" t="s">
        <v>13578</v>
      </c>
      <c r="D1927" t="s">
        <v>13579</v>
      </c>
      <c r="E1927" t="s">
        <v>13580</v>
      </c>
      <c r="L1927" t="s">
        <v>74</v>
      </c>
      <c r="M1927" t="s">
        <v>75</v>
      </c>
      <c r="R1927" t="s">
        <v>13580</v>
      </c>
      <c r="W1927" t="s">
        <v>13580</v>
      </c>
      <c r="X1927" t="s">
        <v>5911</v>
      </c>
      <c r="Y1927" t="s">
        <v>97</v>
      </c>
      <c r="Z1927" t="s">
        <v>77</v>
      </c>
      <c r="AA1927" t="str">
        <f>"10025-1737"</f>
        <v>10025-1737</v>
      </c>
      <c r="AB1927" t="s">
        <v>78</v>
      </c>
      <c r="AC1927" t="s">
        <v>79</v>
      </c>
      <c r="AD1927" t="s">
        <v>75</v>
      </c>
      <c r="AE1927" t="s">
        <v>80</v>
      </c>
      <c r="AG1927" t="s">
        <v>81</v>
      </c>
    </row>
    <row r="1928" spans="1:33" x14ac:dyDescent="0.25">
      <c r="A1928" t="str">
        <f>"1922319573"</f>
        <v>1922319573</v>
      </c>
      <c r="C1928" t="s">
        <v>13581</v>
      </c>
      <c r="K1928" t="s">
        <v>99</v>
      </c>
      <c r="L1928" t="s">
        <v>102</v>
      </c>
      <c r="M1928" t="s">
        <v>75</v>
      </c>
      <c r="R1928" t="s">
        <v>13582</v>
      </c>
      <c r="S1928" t="s">
        <v>13583</v>
      </c>
      <c r="T1928" t="s">
        <v>13584</v>
      </c>
      <c r="U1928" t="s">
        <v>2595</v>
      </c>
      <c r="V1928" t="str">
        <f>"956180546"</f>
        <v>956180546</v>
      </c>
      <c r="AC1928" t="s">
        <v>79</v>
      </c>
      <c r="AD1928" t="s">
        <v>75</v>
      </c>
      <c r="AE1928" t="s">
        <v>103</v>
      </c>
      <c r="AG1928" t="s">
        <v>81</v>
      </c>
    </row>
    <row r="1929" spans="1:33" x14ac:dyDescent="0.25">
      <c r="A1929" t="str">
        <f>"1932442779"</f>
        <v>1932442779</v>
      </c>
      <c r="C1929" t="s">
        <v>13585</v>
      </c>
      <c r="K1929" t="s">
        <v>99</v>
      </c>
      <c r="L1929" t="s">
        <v>102</v>
      </c>
      <c r="M1929" t="s">
        <v>75</v>
      </c>
      <c r="R1929" t="s">
        <v>13586</v>
      </c>
      <c r="S1929" t="s">
        <v>13587</v>
      </c>
      <c r="T1929" t="s">
        <v>97</v>
      </c>
      <c r="U1929" t="s">
        <v>77</v>
      </c>
      <c r="V1929" t="str">
        <f>"100033805"</f>
        <v>100033805</v>
      </c>
      <c r="AC1929" t="s">
        <v>79</v>
      </c>
      <c r="AD1929" t="s">
        <v>75</v>
      </c>
      <c r="AE1929" t="s">
        <v>103</v>
      </c>
      <c r="AG1929" t="s">
        <v>81</v>
      </c>
    </row>
    <row r="1930" spans="1:33" x14ac:dyDescent="0.25">
      <c r="A1930" t="str">
        <f>"1841618881"</f>
        <v>1841618881</v>
      </c>
      <c r="C1930" t="s">
        <v>13588</v>
      </c>
      <c r="K1930" t="s">
        <v>99</v>
      </c>
      <c r="L1930" t="s">
        <v>102</v>
      </c>
      <c r="M1930" t="s">
        <v>75</v>
      </c>
      <c r="R1930" t="s">
        <v>13589</v>
      </c>
      <c r="S1930" t="s">
        <v>12363</v>
      </c>
      <c r="T1930" t="s">
        <v>97</v>
      </c>
      <c r="U1930" t="s">
        <v>77</v>
      </c>
      <c r="V1930" t="str">
        <f>"100295204"</f>
        <v>100295204</v>
      </c>
      <c r="AC1930" t="s">
        <v>79</v>
      </c>
      <c r="AD1930" t="s">
        <v>75</v>
      </c>
      <c r="AE1930" t="s">
        <v>103</v>
      </c>
      <c r="AG1930" t="s">
        <v>81</v>
      </c>
    </row>
    <row r="1931" spans="1:33" x14ac:dyDescent="0.25">
      <c r="A1931" t="str">
        <f>"1811231806"</f>
        <v>1811231806</v>
      </c>
      <c r="C1931" t="s">
        <v>13590</v>
      </c>
      <c r="K1931" t="s">
        <v>99</v>
      </c>
      <c r="L1931" t="s">
        <v>102</v>
      </c>
      <c r="M1931" t="s">
        <v>75</v>
      </c>
      <c r="R1931" t="s">
        <v>13591</v>
      </c>
      <c r="S1931" t="s">
        <v>13592</v>
      </c>
      <c r="T1931" t="s">
        <v>97</v>
      </c>
      <c r="U1931" t="s">
        <v>77</v>
      </c>
      <c r="V1931" t="str">
        <f>"100261247"</f>
        <v>100261247</v>
      </c>
      <c r="AC1931" t="s">
        <v>79</v>
      </c>
      <c r="AD1931" t="s">
        <v>75</v>
      </c>
      <c r="AE1931" t="s">
        <v>103</v>
      </c>
      <c r="AG1931" t="s">
        <v>81</v>
      </c>
    </row>
    <row r="1932" spans="1:33" x14ac:dyDescent="0.25">
      <c r="A1932" t="str">
        <f>"1073672218"</f>
        <v>1073672218</v>
      </c>
      <c r="B1932" t="str">
        <f>"02464726"</f>
        <v>02464726</v>
      </c>
      <c r="C1932" t="s">
        <v>13593</v>
      </c>
      <c r="D1932" t="s">
        <v>13594</v>
      </c>
      <c r="E1932" t="s">
        <v>13595</v>
      </c>
      <c r="H1932" t="s">
        <v>13596</v>
      </c>
      <c r="J1932" t="s">
        <v>13597</v>
      </c>
      <c r="L1932" t="s">
        <v>83</v>
      </c>
      <c r="M1932" t="s">
        <v>85</v>
      </c>
      <c r="R1932" t="s">
        <v>13598</v>
      </c>
      <c r="W1932" t="s">
        <v>13595</v>
      </c>
      <c r="X1932" t="s">
        <v>1714</v>
      </c>
      <c r="Y1932" t="s">
        <v>316</v>
      </c>
      <c r="Z1932" t="s">
        <v>77</v>
      </c>
      <c r="AA1932" t="str">
        <f>"10801-5502"</f>
        <v>10801-5502</v>
      </c>
      <c r="AB1932" t="s">
        <v>78</v>
      </c>
      <c r="AC1932" t="s">
        <v>79</v>
      </c>
      <c r="AD1932" t="s">
        <v>75</v>
      </c>
      <c r="AE1932" t="s">
        <v>80</v>
      </c>
      <c r="AG1932" t="s">
        <v>81</v>
      </c>
    </row>
    <row r="1933" spans="1:33" x14ac:dyDescent="0.25">
      <c r="A1933" t="str">
        <f>"1841294584"</f>
        <v>1841294584</v>
      </c>
      <c r="B1933" t="str">
        <f>"00189684"</f>
        <v>00189684</v>
      </c>
      <c r="C1933" t="s">
        <v>13599</v>
      </c>
      <c r="D1933" t="s">
        <v>13600</v>
      </c>
      <c r="E1933" t="s">
        <v>13601</v>
      </c>
      <c r="H1933" t="s">
        <v>13602</v>
      </c>
      <c r="J1933" t="s">
        <v>13603</v>
      </c>
      <c r="L1933" t="s">
        <v>83</v>
      </c>
      <c r="M1933" t="s">
        <v>85</v>
      </c>
      <c r="R1933" t="s">
        <v>13604</v>
      </c>
      <c r="W1933" t="s">
        <v>13605</v>
      </c>
      <c r="X1933" t="s">
        <v>13606</v>
      </c>
      <c r="Y1933" t="s">
        <v>97</v>
      </c>
      <c r="Z1933" t="s">
        <v>77</v>
      </c>
      <c r="AA1933" t="str">
        <f>"10075-0866"</f>
        <v>10075-0866</v>
      </c>
      <c r="AB1933" t="s">
        <v>78</v>
      </c>
      <c r="AC1933" t="s">
        <v>79</v>
      </c>
      <c r="AD1933" t="s">
        <v>75</v>
      </c>
      <c r="AE1933" t="s">
        <v>80</v>
      </c>
      <c r="AG1933" t="s">
        <v>81</v>
      </c>
    </row>
    <row r="1934" spans="1:33" x14ac:dyDescent="0.25">
      <c r="A1934" t="str">
        <f>"1942576772"</f>
        <v>1942576772</v>
      </c>
      <c r="C1934" t="s">
        <v>13607</v>
      </c>
      <c r="K1934" t="s">
        <v>99</v>
      </c>
      <c r="L1934" t="s">
        <v>102</v>
      </c>
      <c r="M1934" t="s">
        <v>75</v>
      </c>
      <c r="R1934" t="s">
        <v>13608</v>
      </c>
      <c r="S1934" t="s">
        <v>5249</v>
      </c>
      <c r="T1934" t="s">
        <v>97</v>
      </c>
      <c r="U1934" t="s">
        <v>77</v>
      </c>
      <c r="V1934" t="str">
        <f>"100033805"</f>
        <v>100033805</v>
      </c>
      <c r="AC1934" t="s">
        <v>79</v>
      </c>
      <c r="AD1934" t="s">
        <v>75</v>
      </c>
      <c r="AE1934" t="s">
        <v>103</v>
      </c>
      <c r="AG1934" t="s">
        <v>81</v>
      </c>
    </row>
    <row r="1935" spans="1:33" x14ac:dyDescent="0.25">
      <c r="A1935" t="str">
        <f>"1982045845"</f>
        <v>1982045845</v>
      </c>
      <c r="B1935" t="str">
        <f>"04299285"</f>
        <v>04299285</v>
      </c>
      <c r="C1935" t="s">
        <v>13609</v>
      </c>
      <c r="D1935" t="s">
        <v>13610</v>
      </c>
      <c r="E1935" t="s">
        <v>13611</v>
      </c>
      <c r="L1935" t="s">
        <v>83</v>
      </c>
      <c r="M1935" t="s">
        <v>75</v>
      </c>
      <c r="R1935" t="s">
        <v>13612</v>
      </c>
      <c r="W1935" t="s">
        <v>13611</v>
      </c>
      <c r="X1935" t="s">
        <v>13613</v>
      </c>
      <c r="Y1935" t="s">
        <v>97</v>
      </c>
      <c r="Z1935" t="s">
        <v>77</v>
      </c>
      <c r="AA1935" t="str">
        <f>"10029-6508"</f>
        <v>10029-6508</v>
      </c>
      <c r="AB1935" t="s">
        <v>78</v>
      </c>
      <c r="AC1935" t="s">
        <v>79</v>
      </c>
      <c r="AD1935" t="s">
        <v>75</v>
      </c>
      <c r="AE1935" t="s">
        <v>80</v>
      </c>
      <c r="AG1935" t="s">
        <v>81</v>
      </c>
    </row>
    <row r="1936" spans="1:33" x14ac:dyDescent="0.25">
      <c r="A1936" t="str">
        <f>"1780002915"</f>
        <v>1780002915</v>
      </c>
      <c r="C1936" t="s">
        <v>13614</v>
      </c>
      <c r="K1936" t="s">
        <v>99</v>
      </c>
      <c r="L1936" t="s">
        <v>102</v>
      </c>
      <c r="M1936" t="s">
        <v>75</v>
      </c>
      <c r="R1936" t="s">
        <v>13615</v>
      </c>
      <c r="S1936" t="s">
        <v>13616</v>
      </c>
      <c r="T1936" t="s">
        <v>97</v>
      </c>
      <c r="U1936" t="s">
        <v>77</v>
      </c>
      <c r="V1936" t="str">
        <f>"10029"</f>
        <v>10029</v>
      </c>
      <c r="AC1936" t="s">
        <v>79</v>
      </c>
      <c r="AD1936" t="s">
        <v>75</v>
      </c>
      <c r="AE1936" t="s">
        <v>103</v>
      </c>
      <c r="AG1936" t="s">
        <v>81</v>
      </c>
    </row>
    <row r="1937" spans="1:33" x14ac:dyDescent="0.25">
      <c r="A1937" t="str">
        <f>"1780997080"</f>
        <v>1780997080</v>
      </c>
      <c r="C1937" t="s">
        <v>13617</v>
      </c>
      <c r="K1937" t="s">
        <v>99</v>
      </c>
      <c r="L1937" t="s">
        <v>102</v>
      </c>
      <c r="M1937" t="s">
        <v>75</v>
      </c>
      <c r="R1937" t="s">
        <v>13618</v>
      </c>
      <c r="S1937" t="s">
        <v>13619</v>
      </c>
      <c r="T1937" t="s">
        <v>97</v>
      </c>
      <c r="U1937" t="s">
        <v>77</v>
      </c>
      <c r="V1937" t="str">
        <f>"100215664"</f>
        <v>100215664</v>
      </c>
      <c r="AC1937" t="s">
        <v>79</v>
      </c>
      <c r="AD1937" t="s">
        <v>75</v>
      </c>
      <c r="AE1937" t="s">
        <v>103</v>
      </c>
      <c r="AG1937" t="s">
        <v>81</v>
      </c>
    </row>
    <row r="1938" spans="1:33" x14ac:dyDescent="0.25">
      <c r="A1938" t="str">
        <f>"1912327529"</f>
        <v>1912327529</v>
      </c>
      <c r="C1938" t="s">
        <v>13620</v>
      </c>
      <c r="K1938" t="s">
        <v>99</v>
      </c>
      <c r="L1938" t="s">
        <v>102</v>
      </c>
      <c r="M1938" t="s">
        <v>75</v>
      </c>
      <c r="R1938" t="s">
        <v>13621</v>
      </c>
      <c r="S1938" t="s">
        <v>13622</v>
      </c>
      <c r="T1938" t="s">
        <v>13623</v>
      </c>
      <c r="U1938" t="s">
        <v>3878</v>
      </c>
      <c r="V1938" t="str">
        <f>"784135809"</f>
        <v>784135809</v>
      </c>
      <c r="AC1938" t="s">
        <v>79</v>
      </c>
      <c r="AD1938" t="s">
        <v>75</v>
      </c>
      <c r="AE1938" t="s">
        <v>103</v>
      </c>
      <c r="AG1938" t="s">
        <v>81</v>
      </c>
    </row>
    <row r="1939" spans="1:33" x14ac:dyDescent="0.25">
      <c r="A1939" t="str">
        <f>"1902172083"</f>
        <v>1902172083</v>
      </c>
      <c r="C1939" t="s">
        <v>13624</v>
      </c>
      <c r="K1939" t="s">
        <v>99</v>
      </c>
      <c r="L1939" t="s">
        <v>102</v>
      </c>
      <c r="M1939" t="s">
        <v>75</v>
      </c>
      <c r="R1939" t="s">
        <v>13625</v>
      </c>
      <c r="S1939" t="s">
        <v>13626</v>
      </c>
      <c r="T1939" t="s">
        <v>1789</v>
      </c>
      <c r="U1939" t="s">
        <v>285</v>
      </c>
      <c r="V1939" t="str">
        <f>"606123806"</f>
        <v>606123806</v>
      </c>
      <c r="AC1939" t="s">
        <v>79</v>
      </c>
      <c r="AD1939" t="s">
        <v>75</v>
      </c>
      <c r="AE1939" t="s">
        <v>103</v>
      </c>
      <c r="AG1939" t="s">
        <v>81</v>
      </c>
    </row>
    <row r="1940" spans="1:33" x14ac:dyDescent="0.25">
      <c r="A1940" t="str">
        <f>"1841617297"</f>
        <v>1841617297</v>
      </c>
      <c r="C1940" t="s">
        <v>13627</v>
      </c>
      <c r="K1940" t="s">
        <v>99</v>
      </c>
      <c r="L1940" t="s">
        <v>102</v>
      </c>
      <c r="M1940" t="s">
        <v>75</v>
      </c>
      <c r="R1940" t="s">
        <v>13628</v>
      </c>
      <c r="S1940" t="s">
        <v>13629</v>
      </c>
      <c r="T1940" t="s">
        <v>13630</v>
      </c>
      <c r="U1940" t="s">
        <v>12526</v>
      </c>
      <c r="V1940" t="str">
        <f>"009266043"</f>
        <v>009266043</v>
      </c>
      <c r="AC1940" t="s">
        <v>79</v>
      </c>
      <c r="AD1940" t="s">
        <v>75</v>
      </c>
      <c r="AE1940" t="s">
        <v>103</v>
      </c>
      <c r="AG1940" t="s">
        <v>81</v>
      </c>
    </row>
    <row r="1941" spans="1:33" x14ac:dyDescent="0.25">
      <c r="A1941" t="str">
        <f>"1972878239"</f>
        <v>1972878239</v>
      </c>
      <c r="C1941" t="s">
        <v>13631</v>
      </c>
      <c r="K1941" t="s">
        <v>99</v>
      </c>
      <c r="L1941" t="s">
        <v>102</v>
      </c>
      <c r="M1941" t="s">
        <v>75</v>
      </c>
      <c r="R1941" t="s">
        <v>13632</v>
      </c>
      <c r="S1941" t="s">
        <v>13633</v>
      </c>
      <c r="T1941" t="s">
        <v>13634</v>
      </c>
      <c r="U1941" t="s">
        <v>156</v>
      </c>
      <c r="V1941" t="str">
        <f>"072053009"</f>
        <v>072053009</v>
      </c>
      <c r="AC1941" t="s">
        <v>79</v>
      </c>
      <c r="AD1941" t="s">
        <v>75</v>
      </c>
      <c r="AE1941" t="s">
        <v>103</v>
      </c>
      <c r="AG1941" t="s">
        <v>81</v>
      </c>
    </row>
    <row r="1942" spans="1:33" x14ac:dyDescent="0.25">
      <c r="A1942" t="str">
        <f>"1831482447"</f>
        <v>1831482447</v>
      </c>
      <c r="C1942" t="s">
        <v>13635</v>
      </c>
      <c r="K1942" t="s">
        <v>99</v>
      </c>
      <c r="L1942" t="s">
        <v>102</v>
      </c>
      <c r="M1942" t="s">
        <v>75</v>
      </c>
      <c r="R1942" t="s">
        <v>13636</v>
      </c>
      <c r="S1942" t="s">
        <v>13637</v>
      </c>
      <c r="T1942" t="s">
        <v>87</v>
      </c>
      <c r="U1942" t="s">
        <v>77</v>
      </c>
      <c r="V1942" t="str">
        <f>"112202574"</f>
        <v>112202574</v>
      </c>
      <c r="AC1942" t="s">
        <v>79</v>
      </c>
      <c r="AD1942" t="s">
        <v>75</v>
      </c>
      <c r="AE1942" t="s">
        <v>103</v>
      </c>
      <c r="AG1942" t="s">
        <v>81</v>
      </c>
    </row>
    <row r="1943" spans="1:33" x14ac:dyDescent="0.25">
      <c r="A1943" t="str">
        <f>"1932529245"</f>
        <v>1932529245</v>
      </c>
      <c r="B1943" t="str">
        <f>"03856911"</f>
        <v>03856911</v>
      </c>
      <c r="C1943" t="s">
        <v>13638</v>
      </c>
      <c r="D1943" t="s">
        <v>13639</v>
      </c>
      <c r="E1943" t="s">
        <v>13640</v>
      </c>
      <c r="L1943" t="s">
        <v>74</v>
      </c>
      <c r="M1943" t="s">
        <v>75</v>
      </c>
      <c r="R1943" t="s">
        <v>13641</v>
      </c>
      <c r="W1943" t="s">
        <v>13640</v>
      </c>
      <c r="X1943" t="s">
        <v>235</v>
      </c>
      <c r="Y1943" t="s">
        <v>190</v>
      </c>
      <c r="Z1943" t="s">
        <v>77</v>
      </c>
      <c r="AA1943" t="str">
        <f>"11102-2448"</f>
        <v>11102-2448</v>
      </c>
      <c r="AB1943" t="s">
        <v>78</v>
      </c>
      <c r="AC1943" t="s">
        <v>79</v>
      </c>
      <c r="AD1943" t="s">
        <v>75</v>
      </c>
      <c r="AE1943" t="s">
        <v>80</v>
      </c>
      <c r="AG1943" t="s">
        <v>81</v>
      </c>
    </row>
    <row r="1944" spans="1:33" x14ac:dyDescent="0.25">
      <c r="A1944" t="str">
        <f>"1932549391"</f>
        <v>1932549391</v>
      </c>
      <c r="C1944" t="s">
        <v>13642</v>
      </c>
      <c r="K1944" t="s">
        <v>99</v>
      </c>
      <c r="L1944" t="s">
        <v>102</v>
      </c>
      <c r="M1944" t="s">
        <v>75</v>
      </c>
      <c r="R1944" t="s">
        <v>13643</v>
      </c>
      <c r="S1944" t="s">
        <v>13644</v>
      </c>
      <c r="T1944" t="s">
        <v>5785</v>
      </c>
      <c r="U1944" t="s">
        <v>2595</v>
      </c>
      <c r="V1944" t="str">
        <f>"900335313"</f>
        <v>900335313</v>
      </c>
      <c r="AC1944" t="s">
        <v>79</v>
      </c>
      <c r="AD1944" t="s">
        <v>75</v>
      </c>
      <c r="AE1944" t="s">
        <v>103</v>
      </c>
      <c r="AG1944" t="s">
        <v>81</v>
      </c>
    </row>
    <row r="1945" spans="1:33" x14ac:dyDescent="0.25">
      <c r="A1945" t="str">
        <f>"1922329093"</f>
        <v>1922329093</v>
      </c>
      <c r="B1945" t="str">
        <f>"04408802"</f>
        <v>04408802</v>
      </c>
      <c r="C1945" t="s">
        <v>13645</v>
      </c>
      <c r="D1945" t="s">
        <v>13646</v>
      </c>
      <c r="E1945" t="s">
        <v>13647</v>
      </c>
      <c r="L1945" t="s">
        <v>83</v>
      </c>
      <c r="M1945" t="s">
        <v>75</v>
      </c>
      <c r="R1945" t="s">
        <v>13648</v>
      </c>
      <c r="W1945" t="s">
        <v>13647</v>
      </c>
      <c r="X1945" t="s">
        <v>204</v>
      </c>
      <c r="Y1945" t="s">
        <v>97</v>
      </c>
      <c r="Z1945" t="s">
        <v>77</v>
      </c>
      <c r="AA1945" t="str">
        <f>"10065-4870"</f>
        <v>10065-4870</v>
      </c>
      <c r="AB1945" t="s">
        <v>78</v>
      </c>
      <c r="AC1945" t="s">
        <v>79</v>
      </c>
      <c r="AD1945" t="s">
        <v>75</v>
      </c>
      <c r="AE1945" t="s">
        <v>80</v>
      </c>
      <c r="AG1945" t="s">
        <v>81</v>
      </c>
    </row>
    <row r="1946" spans="1:33" x14ac:dyDescent="0.25">
      <c r="A1946" t="str">
        <f>"1942313077"</f>
        <v>1942313077</v>
      </c>
      <c r="B1946" t="str">
        <f>"02582465"</f>
        <v>02582465</v>
      </c>
      <c r="C1946" t="s">
        <v>13649</v>
      </c>
      <c r="D1946" t="s">
        <v>13650</v>
      </c>
      <c r="E1946" t="s">
        <v>13651</v>
      </c>
      <c r="H1946" t="s">
        <v>11942</v>
      </c>
      <c r="J1946" t="s">
        <v>13652</v>
      </c>
      <c r="L1946" t="s">
        <v>83</v>
      </c>
      <c r="M1946" t="s">
        <v>85</v>
      </c>
      <c r="R1946" t="s">
        <v>13653</v>
      </c>
      <c r="W1946" t="s">
        <v>13651</v>
      </c>
      <c r="X1946" t="s">
        <v>11945</v>
      </c>
      <c r="Y1946" t="s">
        <v>2128</v>
      </c>
      <c r="Z1946" t="s">
        <v>77</v>
      </c>
      <c r="AA1946" t="str">
        <f>"11743-2779"</f>
        <v>11743-2779</v>
      </c>
      <c r="AB1946" t="s">
        <v>78</v>
      </c>
      <c r="AC1946" t="s">
        <v>79</v>
      </c>
      <c r="AD1946" t="s">
        <v>75</v>
      </c>
      <c r="AE1946" t="s">
        <v>80</v>
      </c>
      <c r="AG1946" t="s">
        <v>81</v>
      </c>
    </row>
    <row r="1947" spans="1:33" x14ac:dyDescent="0.25">
      <c r="A1947" t="str">
        <f>"1942216874"</f>
        <v>1942216874</v>
      </c>
      <c r="B1947" t="str">
        <f>"02601476"</f>
        <v>02601476</v>
      </c>
      <c r="C1947" t="s">
        <v>13654</v>
      </c>
      <c r="D1947" t="s">
        <v>13655</v>
      </c>
      <c r="E1947" t="s">
        <v>13656</v>
      </c>
      <c r="H1947" t="s">
        <v>13657</v>
      </c>
      <c r="J1947" t="s">
        <v>13658</v>
      </c>
      <c r="L1947" t="s">
        <v>84</v>
      </c>
      <c r="M1947" t="s">
        <v>85</v>
      </c>
      <c r="R1947" t="s">
        <v>13659</v>
      </c>
      <c r="W1947" t="s">
        <v>13656</v>
      </c>
      <c r="X1947" t="s">
        <v>4386</v>
      </c>
      <c r="Y1947" t="s">
        <v>2128</v>
      </c>
      <c r="Z1947" t="s">
        <v>77</v>
      </c>
      <c r="AA1947" t="str">
        <f>"11743-2924"</f>
        <v>11743-2924</v>
      </c>
      <c r="AB1947" t="s">
        <v>78</v>
      </c>
      <c r="AC1947" t="s">
        <v>79</v>
      </c>
      <c r="AD1947" t="s">
        <v>75</v>
      </c>
      <c r="AE1947" t="s">
        <v>80</v>
      </c>
      <c r="AG1947" t="s">
        <v>81</v>
      </c>
    </row>
    <row r="1948" spans="1:33" x14ac:dyDescent="0.25">
      <c r="A1948" t="str">
        <f>"1801162805"</f>
        <v>1801162805</v>
      </c>
      <c r="B1948" t="str">
        <f>"03795099"</f>
        <v>03795099</v>
      </c>
      <c r="C1948" t="s">
        <v>13660</v>
      </c>
      <c r="D1948" t="s">
        <v>13661</v>
      </c>
      <c r="E1948" t="s">
        <v>13662</v>
      </c>
      <c r="L1948" t="s">
        <v>74</v>
      </c>
      <c r="M1948" t="s">
        <v>75</v>
      </c>
      <c r="R1948" t="s">
        <v>13663</v>
      </c>
      <c r="W1948" t="s">
        <v>13662</v>
      </c>
      <c r="X1948" t="s">
        <v>12304</v>
      </c>
      <c r="Y1948" t="s">
        <v>97</v>
      </c>
      <c r="Z1948" t="s">
        <v>77</v>
      </c>
      <c r="AA1948" t="str">
        <f>"10003-4201"</f>
        <v>10003-4201</v>
      </c>
      <c r="AB1948" t="s">
        <v>78</v>
      </c>
      <c r="AC1948" t="s">
        <v>79</v>
      </c>
      <c r="AD1948" t="s">
        <v>75</v>
      </c>
      <c r="AE1948" t="s">
        <v>80</v>
      </c>
      <c r="AG1948" t="s">
        <v>81</v>
      </c>
    </row>
    <row r="1949" spans="1:33" x14ac:dyDescent="0.25">
      <c r="A1949" t="str">
        <f>"1912280116"</f>
        <v>1912280116</v>
      </c>
      <c r="C1949" t="s">
        <v>13664</v>
      </c>
      <c r="K1949" t="s">
        <v>99</v>
      </c>
      <c r="L1949" t="s">
        <v>102</v>
      </c>
      <c r="M1949" t="s">
        <v>75</v>
      </c>
      <c r="R1949" t="s">
        <v>13665</v>
      </c>
      <c r="S1949" t="s">
        <v>13666</v>
      </c>
      <c r="T1949" t="s">
        <v>97</v>
      </c>
      <c r="U1949" t="s">
        <v>77</v>
      </c>
      <c r="V1949" t="str">
        <f>"100169102"</f>
        <v>100169102</v>
      </c>
      <c r="AC1949" t="s">
        <v>79</v>
      </c>
      <c r="AD1949" t="s">
        <v>75</v>
      </c>
      <c r="AE1949" t="s">
        <v>103</v>
      </c>
      <c r="AG1949" t="s">
        <v>81</v>
      </c>
    </row>
    <row r="1950" spans="1:33" x14ac:dyDescent="0.25">
      <c r="A1950" t="str">
        <f>"1902005622"</f>
        <v>1902005622</v>
      </c>
      <c r="B1950" t="str">
        <f>"03438020"</f>
        <v>03438020</v>
      </c>
      <c r="C1950" t="s">
        <v>13667</v>
      </c>
      <c r="D1950" t="s">
        <v>13668</v>
      </c>
      <c r="E1950" t="s">
        <v>13669</v>
      </c>
      <c r="H1950" t="s">
        <v>12957</v>
      </c>
      <c r="J1950" t="s">
        <v>13670</v>
      </c>
      <c r="L1950" t="s">
        <v>83</v>
      </c>
      <c r="M1950" t="s">
        <v>85</v>
      </c>
      <c r="R1950" t="s">
        <v>13671</v>
      </c>
      <c r="W1950" t="s">
        <v>13669</v>
      </c>
      <c r="X1950" t="s">
        <v>890</v>
      </c>
      <c r="Y1950" t="s">
        <v>891</v>
      </c>
      <c r="Z1950" t="s">
        <v>77</v>
      </c>
      <c r="AA1950" t="str">
        <f>"10549-3417"</f>
        <v>10549-3417</v>
      </c>
      <c r="AB1950" t="s">
        <v>78</v>
      </c>
      <c r="AC1950" t="s">
        <v>79</v>
      </c>
      <c r="AD1950" t="s">
        <v>75</v>
      </c>
      <c r="AE1950" t="s">
        <v>80</v>
      </c>
      <c r="AG1950" t="s">
        <v>81</v>
      </c>
    </row>
    <row r="1951" spans="1:33" x14ac:dyDescent="0.25">
      <c r="A1951" t="str">
        <f>"1922236777"</f>
        <v>1922236777</v>
      </c>
      <c r="C1951" t="s">
        <v>13672</v>
      </c>
      <c r="K1951" t="s">
        <v>99</v>
      </c>
      <c r="L1951" t="s">
        <v>102</v>
      </c>
      <c r="M1951" t="s">
        <v>75</v>
      </c>
      <c r="R1951" t="s">
        <v>13673</v>
      </c>
      <c r="S1951" t="s">
        <v>13674</v>
      </c>
      <c r="T1951" t="s">
        <v>145</v>
      </c>
      <c r="U1951" t="s">
        <v>77</v>
      </c>
      <c r="V1951" t="str">
        <f>"113612072"</f>
        <v>113612072</v>
      </c>
      <c r="AC1951" t="s">
        <v>79</v>
      </c>
      <c r="AD1951" t="s">
        <v>75</v>
      </c>
      <c r="AE1951" t="s">
        <v>103</v>
      </c>
      <c r="AG1951" t="s">
        <v>81</v>
      </c>
    </row>
    <row r="1952" spans="1:33" x14ac:dyDescent="0.25">
      <c r="A1952" t="str">
        <f>"1780959866"</f>
        <v>1780959866</v>
      </c>
      <c r="B1952" t="str">
        <f>"04424993"</f>
        <v>04424993</v>
      </c>
      <c r="C1952" t="s">
        <v>13675</v>
      </c>
      <c r="D1952" t="s">
        <v>13676</v>
      </c>
      <c r="E1952" t="s">
        <v>13677</v>
      </c>
      <c r="L1952" t="s">
        <v>102</v>
      </c>
      <c r="M1952" t="s">
        <v>75</v>
      </c>
      <c r="R1952" t="s">
        <v>13677</v>
      </c>
      <c r="W1952" t="s">
        <v>13677</v>
      </c>
      <c r="X1952" t="s">
        <v>13678</v>
      </c>
      <c r="Y1952" t="s">
        <v>178</v>
      </c>
      <c r="Z1952" t="s">
        <v>77</v>
      </c>
      <c r="AA1952" t="str">
        <f>"11021-5338"</f>
        <v>11021-5338</v>
      </c>
      <c r="AB1952" t="s">
        <v>78</v>
      </c>
      <c r="AC1952" t="s">
        <v>79</v>
      </c>
      <c r="AD1952" t="s">
        <v>75</v>
      </c>
      <c r="AE1952" t="s">
        <v>80</v>
      </c>
      <c r="AG1952" t="s">
        <v>81</v>
      </c>
    </row>
    <row r="1953" spans="1:33" x14ac:dyDescent="0.25">
      <c r="A1953" t="str">
        <f>"1821415084"</f>
        <v>1821415084</v>
      </c>
      <c r="C1953" t="s">
        <v>13679</v>
      </c>
      <c r="K1953" t="s">
        <v>99</v>
      </c>
      <c r="L1953" t="s">
        <v>102</v>
      </c>
      <c r="M1953" t="s">
        <v>75</v>
      </c>
      <c r="R1953" t="s">
        <v>13680</v>
      </c>
      <c r="S1953" t="s">
        <v>13681</v>
      </c>
      <c r="T1953" t="s">
        <v>13682</v>
      </c>
      <c r="U1953" t="s">
        <v>12526</v>
      </c>
      <c r="V1953" t="str">
        <f>"009663009"</f>
        <v>009663009</v>
      </c>
      <c r="AC1953" t="s">
        <v>79</v>
      </c>
      <c r="AD1953" t="s">
        <v>75</v>
      </c>
      <c r="AE1953" t="s">
        <v>103</v>
      </c>
      <c r="AG1953" t="s">
        <v>81</v>
      </c>
    </row>
    <row r="1954" spans="1:33" x14ac:dyDescent="0.25">
      <c r="A1954" t="str">
        <f>"1912292913"</f>
        <v>1912292913</v>
      </c>
      <c r="C1954" t="s">
        <v>13683</v>
      </c>
      <c r="K1954" t="s">
        <v>99</v>
      </c>
      <c r="L1954" t="s">
        <v>102</v>
      </c>
      <c r="M1954" t="s">
        <v>75</v>
      </c>
      <c r="R1954" t="s">
        <v>13684</v>
      </c>
      <c r="S1954" t="s">
        <v>13685</v>
      </c>
      <c r="T1954" t="s">
        <v>97</v>
      </c>
      <c r="U1954" t="s">
        <v>77</v>
      </c>
      <c r="V1954" t="str">
        <f>"101282520"</f>
        <v>101282520</v>
      </c>
      <c r="AC1954" t="s">
        <v>79</v>
      </c>
      <c r="AD1954" t="s">
        <v>75</v>
      </c>
      <c r="AE1954" t="s">
        <v>103</v>
      </c>
      <c r="AG1954" t="s">
        <v>81</v>
      </c>
    </row>
    <row r="1955" spans="1:33" x14ac:dyDescent="0.25">
      <c r="A1955" t="str">
        <f>"1831480995"</f>
        <v>1831480995</v>
      </c>
      <c r="B1955" t="str">
        <f>"04371537"</f>
        <v>04371537</v>
      </c>
      <c r="C1955" t="s">
        <v>13686</v>
      </c>
      <c r="D1955" t="s">
        <v>13687</v>
      </c>
      <c r="E1955" t="s">
        <v>13688</v>
      </c>
      <c r="L1955" t="s">
        <v>74</v>
      </c>
      <c r="M1955" t="s">
        <v>75</v>
      </c>
      <c r="R1955" t="s">
        <v>13689</v>
      </c>
      <c r="W1955" t="s">
        <v>13688</v>
      </c>
      <c r="X1955" t="s">
        <v>329</v>
      </c>
      <c r="Y1955" t="s">
        <v>97</v>
      </c>
      <c r="Z1955" t="s">
        <v>77</v>
      </c>
      <c r="AA1955" t="str">
        <f>"10029-6504"</f>
        <v>10029-6504</v>
      </c>
      <c r="AB1955" t="s">
        <v>78</v>
      </c>
      <c r="AC1955" t="s">
        <v>79</v>
      </c>
      <c r="AD1955" t="s">
        <v>75</v>
      </c>
      <c r="AE1955" t="s">
        <v>80</v>
      </c>
      <c r="AG1955" t="s">
        <v>81</v>
      </c>
    </row>
    <row r="1956" spans="1:33" x14ac:dyDescent="0.25">
      <c r="A1956" t="str">
        <f>"1952729956"</f>
        <v>1952729956</v>
      </c>
      <c r="C1956" t="s">
        <v>13690</v>
      </c>
      <c r="K1956" t="s">
        <v>99</v>
      </c>
      <c r="L1956" t="s">
        <v>102</v>
      </c>
      <c r="M1956" t="s">
        <v>75</v>
      </c>
      <c r="R1956" t="s">
        <v>13691</v>
      </c>
      <c r="S1956" t="s">
        <v>329</v>
      </c>
      <c r="T1956" t="s">
        <v>97</v>
      </c>
      <c r="U1956" t="s">
        <v>77</v>
      </c>
      <c r="V1956" t="str">
        <f>"100296504"</f>
        <v>100296504</v>
      </c>
      <c r="AC1956" t="s">
        <v>79</v>
      </c>
      <c r="AD1956" t="s">
        <v>75</v>
      </c>
      <c r="AE1956" t="s">
        <v>103</v>
      </c>
      <c r="AG1956" t="s">
        <v>81</v>
      </c>
    </row>
    <row r="1957" spans="1:33" x14ac:dyDescent="0.25">
      <c r="A1957" t="str">
        <f>"1841607520"</f>
        <v>1841607520</v>
      </c>
      <c r="B1957" t="str">
        <f>"04264779"</f>
        <v>04264779</v>
      </c>
      <c r="C1957" t="s">
        <v>13692</v>
      </c>
      <c r="D1957" t="s">
        <v>13693</v>
      </c>
      <c r="E1957" t="s">
        <v>13694</v>
      </c>
      <c r="L1957" t="s">
        <v>83</v>
      </c>
      <c r="M1957" t="s">
        <v>75</v>
      </c>
      <c r="R1957" t="s">
        <v>13695</v>
      </c>
      <c r="W1957" t="s">
        <v>13694</v>
      </c>
      <c r="X1957" t="s">
        <v>329</v>
      </c>
      <c r="Y1957" t="s">
        <v>97</v>
      </c>
      <c r="Z1957" t="s">
        <v>77</v>
      </c>
      <c r="AA1957" t="str">
        <f>"10029-6504"</f>
        <v>10029-6504</v>
      </c>
      <c r="AB1957" t="s">
        <v>78</v>
      </c>
      <c r="AC1957" t="s">
        <v>79</v>
      </c>
      <c r="AD1957" t="s">
        <v>75</v>
      </c>
      <c r="AE1957" t="s">
        <v>80</v>
      </c>
      <c r="AG1957" t="s">
        <v>81</v>
      </c>
    </row>
    <row r="1958" spans="1:33" x14ac:dyDescent="0.25">
      <c r="A1958" t="str">
        <f>"1962766295"</f>
        <v>1962766295</v>
      </c>
      <c r="C1958" t="s">
        <v>13696</v>
      </c>
      <c r="K1958" t="s">
        <v>99</v>
      </c>
      <c r="L1958" t="s">
        <v>102</v>
      </c>
      <c r="M1958" t="s">
        <v>75</v>
      </c>
      <c r="R1958" t="s">
        <v>13697</v>
      </c>
      <c r="S1958" t="s">
        <v>13698</v>
      </c>
      <c r="T1958" t="s">
        <v>935</v>
      </c>
      <c r="U1958" t="s">
        <v>936</v>
      </c>
      <c r="V1958" t="str">
        <f>"381282504"</f>
        <v>381282504</v>
      </c>
      <c r="AC1958" t="s">
        <v>79</v>
      </c>
      <c r="AD1958" t="s">
        <v>75</v>
      </c>
      <c r="AE1958" t="s">
        <v>103</v>
      </c>
      <c r="AG1958" t="s">
        <v>81</v>
      </c>
    </row>
    <row r="1959" spans="1:33" x14ac:dyDescent="0.25">
      <c r="A1959" t="str">
        <f>"1992048722"</f>
        <v>1992048722</v>
      </c>
      <c r="C1959" t="s">
        <v>13699</v>
      </c>
      <c r="K1959" t="s">
        <v>99</v>
      </c>
      <c r="L1959" t="s">
        <v>102</v>
      </c>
      <c r="M1959" t="s">
        <v>75</v>
      </c>
      <c r="R1959" t="s">
        <v>13700</v>
      </c>
      <c r="S1959" t="s">
        <v>13701</v>
      </c>
      <c r="T1959" t="s">
        <v>3733</v>
      </c>
      <c r="U1959" t="s">
        <v>77</v>
      </c>
      <c r="V1959" t="str">
        <f>"115592420"</f>
        <v>115592420</v>
      </c>
      <c r="AC1959" t="s">
        <v>79</v>
      </c>
      <c r="AD1959" t="s">
        <v>75</v>
      </c>
      <c r="AE1959" t="s">
        <v>103</v>
      </c>
      <c r="AG1959" t="s">
        <v>81</v>
      </c>
    </row>
    <row r="1960" spans="1:33" x14ac:dyDescent="0.25">
      <c r="A1960" t="str">
        <f>"1821416355"</f>
        <v>1821416355</v>
      </c>
      <c r="C1960" t="s">
        <v>13702</v>
      </c>
      <c r="K1960" t="s">
        <v>99</v>
      </c>
      <c r="L1960" t="s">
        <v>102</v>
      </c>
      <c r="M1960" t="s">
        <v>75</v>
      </c>
      <c r="R1960" t="s">
        <v>13703</v>
      </c>
      <c r="S1960" t="s">
        <v>13704</v>
      </c>
      <c r="T1960" t="s">
        <v>13705</v>
      </c>
      <c r="U1960" t="s">
        <v>2595</v>
      </c>
      <c r="V1960" t="str">
        <f>"941234609"</f>
        <v>941234609</v>
      </c>
      <c r="AC1960" t="s">
        <v>79</v>
      </c>
      <c r="AD1960" t="s">
        <v>75</v>
      </c>
      <c r="AE1960" t="s">
        <v>103</v>
      </c>
      <c r="AG1960" t="s">
        <v>81</v>
      </c>
    </row>
    <row r="1961" spans="1:33" x14ac:dyDescent="0.25">
      <c r="A1961" t="str">
        <f>"1821433889"</f>
        <v>1821433889</v>
      </c>
      <c r="C1961" t="s">
        <v>13706</v>
      </c>
      <c r="K1961" t="s">
        <v>99</v>
      </c>
      <c r="L1961" t="s">
        <v>102</v>
      </c>
      <c r="M1961" t="s">
        <v>75</v>
      </c>
      <c r="R1961" t="s">
        <v>13707</v>
      </c>
      <c r="S1961" t="s">
        <v>12670</v>
      </c>
      <c r="T1961" t="s">
        <v>97</v>
      </c>
      <c r="U1961" t="s">
        <v>77</v>
      </c>
      <c r="V1961" t="str">
        <f>"100033821"</f>
        <v>100033821</v>
      </c>
      <c r="AC1961" t="s">
        <v>79</v>
      </c>
      <c r="AD1961" t="s">
        <v>75</v>
      </c>
      <c r="AE1961" t="s">
        <v>103</v>
      </c>
      <c r="AG1961" t="s">
        <v>81</v>
      </c>
    </row>
    <row r="1962" spans="1:33" x14ac:dyDescent="0.25">
      <c r="A1962" t="str">
        <f>"1770928038"</f>
        <v>1770928038</v>
      </c>
      <c r="C1962" t="s">
        <v>13708</v>
      </c>
      <c r="K1962" t="s">
        <v>99</v>
      </c>
      <c r="L1962" t="s">
        <v>102</v>
      </c>
      <c r="M1962" t="s">
        <v>75</v>
      </c>
      <c r="R1962" t="s">
        <v>13709</v>
      </c>
      <c r="S1962" t="s">
        <v>12670</v>
      </c>
      <c r="T1962" t="s">
        <v>97</v>
      </c>
      <c r="U1962" t="s">
        <v>77</v>
      </c>
      <c r="V1962" t="str">
        <f>"100033821"</f>
        <v>100033821</v>
      </c>
      <c r="AC1962" t="s">
        <v>79</v>
      </c>
      <c r="AD1962" t="s">
        <v>75</v>
      </c>
      <c r="AE1962" t="s">
        <v>103</v>
      </c>
      <c r="AG1962" t="s">
        <v>81</v>
      </c>
    </row>
    <row r="1963" spans="1:33" x14ac:dyDescent="0.25">
      <c r="A1963" t="str">
        <f>"1902149396"</f>
        <v>1902149396</v>
      </c>
      <c r="C1963" t="s">
        <v>13710</v>
      </c>
      <c r="K1963" t="s">
        <v>99</v>
      </c>
      <c r="L1963" t="s">
        <v>102</v>
      </c>
      <c r="M1963" t="s">
        <v>75</v>
      </c>
      <c r="R1963" t="s">
        <v>13711</v>
      </c>
      <c r="S1963" t="s">
        <v>191</v>
      </c>
      <c r="T1963" t="s">
        <v>97</v>
      </c>
      <c r="U1963" t="s">
        <v>77</v>
      </c>
      <c r="V1963" t="str">
        <f>"100191147"</f>
        <v>100191147</v>
      </c>
      <c r="AC1963" t="s">
        <v>79</v>
      </c>
      <c r="AD1963" t="s">
        <v>75</v>
      </c>
      <c r="AE1963" t="s">
        <v>103</v>
      </c>
      <c r="AG1963" t="s">
        <v>81</v>
      </c>
    </row>
    <row r="1964" spans="1:33" x14ac:dyDescent="0.25">
      <c r="A1964" t="str">
        <f>"1841559325"</f>
        <v>1841559325</v>
      </c>
      <c r="C1964" t="s">
        <v>13712</v>
      </c>
      <c r="K1964" t="s">
        <v>99</v>
      </c>
      <c r="L1964" t="s">
        <v>102</v>
      </c>
      <c r="M1964" t="s">
        <v>75</v>
      </c>
      <c r="R1964" t="s">
        <v>13713</v>
      </c>
      <c r="S1964" t="s">
        <v>13714</v>
      </c>
      <c r="T1964" t="s">
        <v>2262</v>
      </c>
      <c r="U1964" t="s">
        <v>123</v>
      </c>
      <c r="V1964" t="str">
        <f>"021166476"</f>
        <v>021166476</v>
      </c>
      <c r="AC1964" t="s">
        <v>79</v>
      </c>
      <c r="AD1964" t="s">
        <v>75</v>
      </c>
      <c r="AE1964" t="s">
        <v>103</v>
      </c>
      <c r="AG1964" t="s">
        <v>81</v>
      </c>
    </row>
    <row r="1965" spans="1:33" x14ac:dyDescent="0.25">
      <c r="A1965" t="str">
        <f>"1922366210"</f>
        <v>1922366210</v>
      </c>
      <c r="C1965" t="s">
        <v>13715</v>
      </c>
      <c r="K1965" t="s">
        <v>99</v>
      </c>
      <c r="L1965" t="s">
        <v>102</v>
      </c>
      <c r="M1965" t="s">
        <v>75</v>
      </c>
      <c r="R1965" t="s">
        <v>13716</v>
      </c>
      <c r="S1965" t="s">
        <v>13717</v>
      </c>
      <c r="T1965" t="s">
        <v>161</v>
      </c>
      <c r="U1965" t="s">
        <v>77</v>
      </c>
      <c r="V1965" t="str">
        <f>"110401011"</f>
        <v>110401011</v>
      </c>
      <c r="AC1965" t="s">
        <v>79</v>
      </c>
      <c r="AD1965" t="s">
        <v>75</v>
      </c>
      <c r="AE1965" t="s">
        <v>103</v>
      </c>
      <c r="AG1965" t="s">
        <v>81</v>
      </c>
    </row>
    <row r="1966" spans="1:33" x14ac:dyDescent="0.25">
      <c r="A1966" t="str">
        <f>"1881038735"</f>
        <v>1881038735</v>
      </c>
      <c r="C1966" t="s">
        <v>13718</v>
      </c>
      <c r="K1966" t="s">
        <v>99</v>
      </c>
      <c r="L1966" t="s">
        <v>102</v>
      </c>
      <c r="M1966" t="s">
        <v>75</v>
      </c>
      <c r="R1966" t="s">
        <v>13719</v>
      </c>
      <c r="S1966" t="s">
        <v>12723</v>
      </c>
      <c r="T1966" t="s">
        <v>97</v>
      </c>
      <c r="U1966" t="s">
        <v>77</v>
      </c>
      <c r="V1966" t="str">
        <f>"100296504"</f>
        <v>100296504</v>
      </c>
      <c r="AC1966" t="s">
        <v>79</v>
      </c>
      <c r="AD1966" t="s">
        <v>75</v>
      </c>
      <c r="AE1966" t="s">
        <v>103</v>
      </c>
      <c r="AG1966" t="s">
        <v>81</v>
      </c>
    </row>
    <row r="1967" spans="1:33" x14ac:dyDescent="0.25">
      <c r="A1967" t="str">
        <f>"1811315278"</f>
        <v>1811315278</v>
      </c>
      <c r="B1967" t="str">
        <f>"04289447"</f>
        <v>04289447</v>
      </c>
      <c r="C1967" t="s">
        <v>13720</v>
      </c>
      <c r="D1967" t="s">
        <v>13721</v>
      </c>
      <c r="E1967" t="s">
        <v>13722</v>
      </c>
      <c r="L1967" t="s">
        <v>74</v>
      </c>
      <c r="M1967" t="s">
        <v>75</v>
      </c>
      <c r="R1967" t="s">
        <v>13722</v>
      </c>
      <c r="W1967" t="s">
        <v>13723</v>
      </c>
      <c r="X1967" t="s">
        <v>306</v>
      </c>
      <c r="Y1967" t="s">
        <v>97</v>
      </c>
      <c r="Z1967" t="s">
        <v>77</v>
      </c>
      <c r="AA1967" t="str">
        <f>"10003-4201"</f>
        <v>10003-4201</v>
      </c>
      <c r="AB1967" t="s">
        <v>78</v>
      </c>
      <c r="AC1967" t="s">
        <v>79</v>
      </c>
      <c r="AD1967" t="s">
        <v>75</v>
      </c>
      <c r="AE1967" t="s">
        <v>80</v>
      </c>
      <c r="AG1967" t="s">
        <v>81</v>
      </c>
    </row>
    <row r="1968" spans="1:33" x14ac:dyDescent="0.25">
      <c r="A1968" t="str">
        <f>"1891122149"</f>
        <v>1891122149</v>
      </c>
      <c r="C1968" t="s">
        <v>13724</v>
      </c>
      <c r="K1968" t="s">
        <v>99</v>
      </c>
      <c r="L1968" t="s">
        <v>102</v>
      </c>
      <c r="M1968" t="s">
        <v>75</v>
      </c>
      <c r="R1968" t="s">
        <v>13725</v>
      </c>
      <c r="S1968" t="s">
        <v>13726</v>
      </c>
      <c r="T1968" t="s">
        <v>97</v>
      </c>
      <c r="U1968" t="s">
        <v>77</v>
      </c>
      <c r="V1968" t="str">
        <f>"100191047"</f>
        <v>100191047</v>
      </c>
      <c r="AC1968" t="s">
        <v>79</v>
      </c>
      <c r="AD1968" t="s">
        <v>75</v>
      </c>
      <c r="AE1968" t="s">
        <v>103</v>
      </c>
      <c r="AG1968" t="s">
        <v>81</v>
      </c>
    </row>
    <row r="1969" spans="1:33" x14ac:dyDescent="0.25">
      <c r="A1969" t="str">
        <f>"1962845875"</f>
        <v>1962845875</v>
      </c>
      <c r="C1969" t="s">
        <v>13727</v>
      </c>
      <c r="K1969" t="s">
        <v>99</v>
      </c>
      <c r="L1969" t="s">
        <v>102</v>
      </c>
      <c r="M1969" t="s">
        <v>75</v>
      </c>
      <c r="R1969" t="s">
        <v>13728</v>
      </c>
      <c r="S1969" t="s">
        <v>13729</v>
      </c>
      <c r="T1969" t="s">
        <v>131</v>
      </c>
      <c r="U1969" t="s">
        <v>77</v>
      </c>
      <c r="V1969" t="str">
        <f>"104683904"</f>
        <v>104683904</v>
      </c>
      <c r="AC1969" t="s">
        <v>79</v>
      </c>
      <c r="AD1969" t="s">
        <v>75</v>
      </c>
      <c r="AE1969" t="s">
        <v>103</v>
      </c>
      <c r="AG1969" t="s">
        <v>81</v>
      </c>
    </row>
    <row r="1970" spans="1:33" x14ac:dyDescent="0.25">
      <c r="A1970" t="str">
        <f>"1932549771"</f>
        <v>1932549771</v>
      </c>
      <c r="C1970" t="s">
        <v>13730</v>
      </c>
      <c r="K1970" t="s">
        <v>99</v>
      </c>
      <c r="L1970" t="s">
        <v>102</v>
      </c>
      <c r="M1970" t="s">
        <v>75</v>
      </c>
      <c r="R1970" t="s">
        <v>13731</v>
      </c>
      <c r="S1970" t="s">
        <v>329</v>
      </c>
      <c r="T1970" t="s">
        <v>97</v>
      </c>
      <c r="U1970" t="s">
        <v>77</v>
      </c>
      <c r="V1970" t="str">
        <f>"100296504"</f>
        <v>100296504</v>
      </c>
      <c r="AC1970" t="s">
        <v>79</v>
      </c>
      <c r="AD1970" t="s">
        <v>75</v>
      </c>
      <c r="AE1970" t="s">
        <v>103</v>
      </c>
      <c r="AG1970" t="s">
        <v>81</v>
      </c>
    </row>
    <row r="1971" spans="1:33" x14ac:dyDescent="0.25">
      <c r="A1971" t="str">
        <f>"1790927150"</f>
        <v>1790927150</v>
      </c>
      <c r="B1971" t="str">
        <f>"04371633"</f>
        <v>04371633</v>
      </c>
      <c r="C1971" t="s">
        <v>13732</v>
      </c>
      <c r="D1971" t="s">
        <v>13733</v>
      </c>
      <c r="E1971" t="s">
        <v>13734</v>
      </c>
      <c r="L1971" t="s">
        <v>74</v>
      </c>
      <c r="M1971" t="s">
        <v>75</v>
      </c>
      <c r="R1971" t="s">
        <v>13735</v>
      </c>
      <c r="W1971" t="s">
        <v>13734</v>
      </c>
      <c r="X1971" t="s">
        <v>330</v>
      </c>
      <c r="Y1971" t="s">
        <v>97</v>
      </c>
      <c r="Z1971" t="s">
        <v>77</v>
      </c>
      <c r="AA1971" t="str">
        <f>"10029-5204"</f>
        <v>10029-5204</v>
      </c>
      <c r="AB1971" t="s">
        <v>78</v>
      </c>
      <c r="AC1971" t="s">
        <v>79</v>
      </c>
      <c r="AD1971" t="s">
        <v>75</v>
      </c>
      <c r="AE1971" t="s">
        <v>80</v>
      </c>
      <c r="AG1971" t="s">
        <v>81</v>
      </c>
    </row>
    <row r="1972" spans="1:33" x14ac:dyDescent="0.25">
      <c r="A1972" t="str">
        <f>"1801112503"</f>
        <v>1801112503</v>
      </c>
      <c r="C1972" t="s">
        <v>13736</v>
      </c>
      <c r="K1972" t="s">
        <v>99</v>
      </c>
      <c r="L1972" t="s">
        <v>102</v>
      </c>
      <c r="M1972" t="s">
        <v>75</v>
      </c>
      <c r="R1972" t="s">
        <v>13737</v>
      </c>
      <c r="S1972" t="s">
        <v>13738</v>
      </c>
      <c r="T1972" t="s">
        <v>13739</v>
      </c>
      <c r="U1972" t="s">
        <v>4635</v>
      </c>
      <c r="V1972" t="str">
        <f>"708093720"</f>
        <v>708093720</v>
      </c>
      <c r="AC1972" t="s">
        <v>79</v>
      </c>
      <c r="AD1972" t="s">
        <v>75</v>
      </c>
      <c r="AE1972" t="s">
        <v>103</v>
      </c>
      <c r="AG1972" t="s">
        <v>81</v>
      </c>
    </row>
    <row r="1973" spans="1:33" x14ac:dyDescent="0.25">
      <c r="A1973" t="str">
        <f>"1871926444"</f>
        <v>1871926444</v>
      </c>
      <c r="C1973" t="s">
        <v>13740</v>
      </c>
      <c r="K1973" t="s">
        <v>99</v>
      </c>
      <c r="L1973" t="s">
        <v>102</v>
      </c>
      <c r="M1973" t="s">
        <v>75</v>
      </c>
      <c r="R1973" t="s">
        <v>13741</v>
      </c>
      <c r="S1973" t="s">
        <v>13742</v>
      </c>
      <c r="T1973" t="s">
        <v>131</v>
      </c>
      <c r="U1973" t="s">
        <v>77</v>
      </c>
      <c r="V1973" t="str">
        <f>"104633937"</f>
        <v>104633937</v>
      </c>
      <c r="AC1973" t="s">
        <v>79</v>
      </c>
      <c r="AD1973" t="s">
        <v>75</v>
      </c>
      <c r="AE1973" t="s">
        <v>103</v>
      </c>
      <c r="AG1973" t="s">
        <v>81</v>
      </c>
    </row>
    <row r="1974" spans="1:33" x14ac:dyDescent="0.25">
      <c r="A1974" t="str">
        <f>"1710940622"</f>
        <v>1710940622</v>
      </c>
      <c r="B1974" t="str">
        <f>"00937691"</f>
        <v>00937691</v>
      </c>
      <c r="C1974" t="s">
        <v>13743</v>
      </c>
      <c r="D1974" t="s">
        <v>13744</v>
      </c>
      <c r="E1974" t="s">
        <v>13745</v>
      </c>
      <c r="H1974" t="s">
        <v>13479</v>
      </c>
      <c r="J1974" t="s">
        <v>13746</v>
      </c>
      <c r="L1974" t="s">
        <v>83</v>
      </c>
      <c r="M1974" t="s">
        <v>85</v>
      </c>
      <c r="R1974" t="s">
        <v>13747</v>
      </c>
      <c r="W1974" t="s">
        <v>13745</v>
      </c>
      <c r="X1974" t="s">
        <v>11785</v>
      </c>
      <c r="Y1974" t="s">
        <v>240</v>
      </c>
      <c r="Z1974" t="s">
        <v>77</v>
      </c>
      <c r="AA1974" t="str">
        <f>"11530-3207"</f>
        <v>11530-3207</v>
      </c>
      <c r="AB1974" t="s">
        <v>78</v>
      </c>
      <c r="AC1974" t="s">
        <v>79</v>
      </c>
      <c r="AD1974" t="s">
        <v>75</v>
      </c>
      <c r="AE1974" t="s">
        <v>80</v>
      </c>
      <c r="AG1974" t="s">
        <v>81</v>
      </c>
    </row>
    <row r="1975" spans="1:33" x14ac:dyDescent="0.25">
      <c r="A1975" t="str">
        <f>"1053336263"</f>
        <v>1053336263</v>
      </c>
      <c r="B1975" t="str">
        <f>"02097712"</f>
        <v>02097712</v>
      </c>
      <c r="C1975" t="s">
        <v>13748</v>
      </c>
      <c r="D1975" t="s">
        <v>13749</v>
      </c>
      <c r="E1975" t="s">
        <v>13750</v>
      </c>
      <c r="H1975" t="s">
        <v>12543</v>
      </c>
      <c r="J1975" t="s">
        <v>13751</v>
      </c>
      <c r="L1975" t="s">
        <v>83</v>
      </c>
      <c r="M1975" t="s">
        <v>85</v>
      </c>
      <c r="R1975" t="s">
        <v>13752</v>
      </c>
      <c r="W1975" t="s">
        <v>13750</v>
      </c>
      <c r="X1975" t="s">
        <v>13753</v>
      </c>
      <c r="Y1975" t="s">
        <v>180</v>
      </c>
      <c r="Z1975" t="s">
        <v>77</v>
      </c>
      <c r="AA1975" t="str">
        <f>"10704-3060"</f>
        <v>10704-3060</v>
      </c>
      <c r="AB1975" t="s">
        <v>78</v>
      </c>
      <c r="AC1975" t="s">
        <v>79</v>
      </c>
      <c r="AD1975" t="s">
        <v>75</v>
      </c>
      <c r="AE1975" t="s">
        <v>80</v>
      </c>
      <c r="AG1975" t="s">
        <v>81</v>
      </c>
    </row>
    <row r="1976" spans="1:33" x14ac:dyDescent="0.25">
      <c r="A1976" t="str">
        <f>"1609942325"</f>
        <v>1609942325</v>
      </c>
      <c r="B1976" t="str">
        <f>"01431570"</f>
        <v>01431570</v>
      </c>
      <c r="C1976" t="s">
        <v>13754</v>
      </c>
      <c r="D1976" t="s">
        <v>13755</v>
      </c>
      <c r="E1976" t="s">
        <v>13756</v>
      </c>
      <c r="H1976" t="s">
        <v>12203</v>
      </c>
      <c r="J1976" t="s">
        <v>13757</v>
      </c>
      <c r="L1976" t="s">
        <v>83</v>
      </c>
      <c r="M1976" t="s">
        <v>85</v>
      </c>
      <c r="R1976" t="s">
        <v>13758</v>
      </c>
      <c r="W1976" t="s">
        <v>13756</v>
      </c>
      <c r="X1976" t="s">
        <v>5429</v>
      </c>
      <c r="Y1976" t="s">
        <v>230</v>
      </c>
      <c r="Z1976" t="s">
        <v>77</v>
      </c>
      <c r="AA1976" t="str">
        <f>"11795-4911"</f>
        <v>11795-4911</v>
      </c>
      <c r="AB1976" t="s">
        <v>78</v>
      </c>
      <c r="AC1976" t="s">
        <v>79</v>
      </c>
      <c r="AD1976" t="s">
        <v>75</v>
      </c>
      <c r="AE1976" t="s">
        <v>80</v>
      </c>
      <c r="AG1976" t="s">
        <v>81</v>
      </c>
    </row>
    <row r="1977" spans="1:33" x14ac:dyDescent="0.25">
      <c r="A1977" t="str">
        <f>"1174539605"</f>
        <v>1174539605</v>
      </c>
      <c r="B1977" t="str">
        <f>"01363579"</f>
        <v>01363579</v>
      </c>
      <c r="C1977" t="s">
        <v>13759</v>
      </c>
      <c r="D1977" t="s">
        <v>4757</v>
      </c>
      <c r="E1977" t="s">
        <v>4758</v>
      </c>
      <c r="H1977" t="s">
        <v>12889</v>
      </c>
      <c r="J1977" t="s">
        <v>13760</v>
      </c>
      <c r="L1977" t="s">
        <v>83</v>
      </c>
      <c r="M1977" t="s">
        <v>85</v>
      </c>
      <c r="R1977" t="s">
        <v>4759</v>
      </c>
      <c r="W1977" t="s">
        <v>4758</v>
      </c>
      <c r="X1977" t="s">
        <v>4677</v>
      </c>
      <c r="Y1977" t="s">
        <v>131</v>
      </c>
      <c r="Z1977" t="s">
        <v>77</v>
      </c>
      <c r="AA1977" t="str">
        <f>"10461-6265"</f>
        <v>10461-6265</v>
      </c>
      <c r="AB1977" t="s">
        <v>78</v>
      </c>
      <c r="AC1977" t="s">
        <v>79</v>
      </c>
      <c r="AD1977" t="s">
        <v>75</v>
      </c>
      <c r="AE1977" t="s">
        <v>80</v>
      </c>
      <c r="AG1977" t="s">
        <v>81</v>
      </c>
    </row>
    <row r="1978" spans="1:33" x14ac:dyDescent="0.25">
      <c r="A1978" t="str">
        <f>"1598823023"</f>
        <v>1598823023</v>
      </c>
      <c r="B1978" t="str">
        <f>"02472457"</f>
        <v>02472457</v>
      </c>
      <c r="C1978" t="s">
        <v>13761</v>
      </c>
      <c r="D1978" t="s">
        <v>5755</v>
      </c>
      <c r="E1978" t="s">
        <v>5756</v>
      </c>
      <c r="H1978" t="s">
        <v>13762</v>
      </c>
      <c r="J1978" t="s">
        <v>13763</v>
      </c>
      <c r="L1978" t="s">
        <v>83</v>
      </c>
      <c r="M1978" t="s">
        <v>85</v>
      </c>
      <c r="R1978" t="s">
        <v>5757</v>
      </c>
      <c r="W1978" t="s">
        <v>5758</v>
      </c>
      <c r="X1978" t="s">
        <v>5759</v>
      </c>
      <c r="Y1978" t="s">
        <v>97</v>
      </c>
      <c r="Z1978" t="s">
        <v>77</v>
      </c>
      <c r="AA1978" t="str">
        <f>"10029-6501"</f>
        <v>10029-6501</v>
      </c>
      <c r="AB1978" t="s">
        <v>78</v>
      </c>
      <c r="AC1978" t="s">
        <v>79</v>
      </c>
      <c r="AD1978" t="s">
        <v>75</v>
      </c>
      <c r="AE1978" t="s">
        <v>80</v>
      </c>
      <c r="AG1978" t="s">
        <v>81</v>
      </c>
    </row>
    <row r="1979" spans="1:33" x14ac:dyDescent="0.25">
      <c r="A1979" t="str">
        <f>"1417931189"</f>
        <v>1417931189</v>
      </c>
      <c r="B1979" t="str">
        <f>"02161879"</f>
        <v>02161879</v>
      </c>
      <c r="C1979" t="s">
        <v>13764</v>
      </c>
      <c r="D1979" t="s">
        <v>13765</v>
      </c>
      <c r="E1979" t="s">
        <v>13766</v>
      </c>
      <c r="H1979" t="s">
        <v>12889</v>
      </c>
      <c r="J1979" t="s">
        <v>13767</v>
      </c>
      <c r="L1979" t="s">
        <v>83</v>
      </c>
      <c r="M1979" t="s">
        <v>85</v>
      </c>
      <c r="R1979" t="s">
        <v>13768</v>
      </c>
      <c r="W1979" t="s">
        <v>13766</v>
      </c>
      <c r="X1979" t="s">
        <v>12915</v>
      </c>
      <c r="Y1979" t="s">
        <v>4845</v>
      </c>
      <c r="Z1979" t="s">
        <v>77</v>
      </c>
      <c r="AA1979" t="str">
        <f>"10994-1966"</f>
        <v>10994-1966</v>
      </c>
      <c r="AB1979" t="s">
        <v>78</v>
      </c>
      <c r="AC1979" t="s">
        <v>79</v>
      </c>
      <c r="AD1979" t="s">
        <v>75</v>
      </c>
      <c r="AE1979" t="s">
        <v>80</v>
      </c>
      <c r="AG1979" t="s">
        <v>81</v>
      </c>
    </row>
    <row r="1980" spans="1:33" x14ac:dyDescent="0.25">
      <c r="A1980" t="str">
        <f>"1730104936"</f>
        <v>1730104936</v>
      </c>
      <c r="B1980" t="str">
        <f>"01733348"</f>
        <v>01733348</v>
      </c>
      <c r="C1980" t="s">
        <v>13769</v>
      </c>
      <c r="D1980" t="s">
        <v>13770</v>
      </c>
      <c r="E1980" t="s">
        <v>13771</v>
      </c>
      <c r="H1980" t="s">
        <v>12203</v>
      </c>
      <c r="J1980" t="s">
        <v>13772</v>
      </c>
      <c r="L1980" t="s">
        <v>83</v>
      </c>
      <c r="M1980" t="s">
        <v>85</v>
      </c>
      <c r="R1980" t="s">
        <v>13773</v>
      </c>
      <c r="W1980" t="s">
        <v>13771</v>
      </c>
      <c r="X1980" t="s">
        <v>1766</v>
      </c>
      <c r="Y1980" t="s">
        <v>180</v>
      </c>
      <c r="Z1980" t="s">
        <v>77</v>
      </c>
      <c r="AA1980" t="str">
        <f>"10704-3062"</f>
        <v>10704-3062</v>
      </c>
      <c r="AB1980" t="s">
        <v>78</v>
      </c>
      <c r="AC1980" t="s">
        <v>79</v>
      </c>
      <c r="AD1980" t="s">
        <v>75</v>
      </c>
      <c r="AE1980" t="s">
        <v>80</v>
      </c>
      <c r="AG1980" t="s">
        <v>81</v>
      </c>
    </row>
    <row r="1981" spans="1:33" x14ac:dyDescent="0.25">
      <c r="A1981" t="str">
        <f>"1912982372"</f>
        <v>1912982372</v>
      </c>
      <c r="B1981" t="str">
        <f>"01625483"</f>
        <v>01625483</v>
      </c>
      <c r="C1981" t="s">
        <v>13774</v>
      </c>
      <c r="D1981" t="s">
        <v>13775</v>
      </c>
      <c r="E1981" t="s">
        <v>13776</v>
      </c>
      <c r="H1981" t="s">
        <v>11793</v>
      </c>
      <c r="J1981" t="s">
        <v>13777</v>
      </c>
      <c r="L1981" t="s">
        <v>83</v>
      </c>
      <c r="M1981" t="s">
        <v>85</v>
      </c>
      <c r="R1981" t="s">
        <v>13778</v>
      </c>
      <c r="W1981" t="s">
        <v>13776</v>
      </c>
      <c r="X1981" t="s">
        <v>12915</v>
      </c>
      <c r="Y1981" t="s">
        <v>12902</v>
      </c>
      <c r="Z1981" t="s">
        <v>77</v>
      </c>
      <c r="AA1981" t="str">
        <f>"10970-3516"</f>
        <v>10970-3516</v>
      </c>
      <c r="AB1981" t="s">
        <v>78</v>
      </c>
      <c r="AC1981" t="s">
        <v>79</v>
      </c>
      <c r="AD1981" t="s">
        <v>75</v>
      </c>
      <c r="AE1981" t="s">
        <v>80</v>
      </c>
      <c r="AG1981" t="s">
        <v>81</v>
      </c>
    </row>
    <row r="1982" spans="1:33" x14ac:dyDescent="0.25">
      <c r="A1982" t="str">
        <f>"1447327051"</f>
        <v>1447327051</v>
      </c>
      <c r="B1982" t="str">
        <f>"00468497"</f>
        <v>00468497</v>
      </c>
      <c r="C1982" t="s">
        <v>13779</v>
      </c>
      <c r="D1982" t="s">
        <v>13780</v>
      </c>
      <c r="E1982" t="s">
        <v>13781</v>
      </c>
      <c r="H1982" t="s">
        <v>12543</v>
      </c>
      <c r="J1982" t="s">
        <v>13782</v>
      </c>
      <c r="L1982" t="s">
        <v>83</v>
      </c>
      <c r="M1982" t="s">
        <v>85</v>
      </c>
      <c r="R1982" t="s">
        <v>13783</v>
      </c>
      <c r="W1982" t="s">
        <v>13781</v>
      </c>
      <c r="X1982" t="s">
        <v>5875</v>
      </c>
      <c r="Y1982" t="s">
        <v>227</v>
      </c>
      <c r="Z1982" t="s">
        <v>77</v>
      </c>
      <c r="AA1982" t="str">
        <f>"10601-4707"</f>
        <v>10601-4707</v>
      </c>
      <c r="AB1982" t="s">
        <v>78</v>
      </c>
      <c r="AC1982" t="s">
        <v>79</v>
      </c>
      <c r="AD1982" t="s">
        <v>75</v>
      </c>
      <c r="AE1982" t="s">
        <v>80</v>
      </c>
      <c r="AG1982" t="s">
        <v>81</v>
      </c>
    </row>
    <row r="1983" spans="1:33" x14ac:dyDescent="0.25">
      <c r="A1983" t="str">
        <f>"1790885556"</f>
        <v>1790885556</v>
      </c>
      <c r="B1983" t="str">
        <f>"02272975"</f>
        <v>02272975</v>
      </c>
      <c r="C1983" t="s">
        <v>13784</v>
      </c>
      <c r="D1983" t="s">
        <v>13785</v>
      </c>
      <c r="E1983" t="s">
        <v>13786</v>
      </c>
      <c r="L1983" t="s">
        <v>74</v>
      </c>
      <c r="M1983" t="s">
        <v>75</v>
      </c>
      <c r="R1983" t="s">
        <v>13787</v>
      </c>
      <c r="W1983" t="s">
        <v>13786</v>
      </c>
      <c r="X1983" t="s">
        <v>13788</v>
      </c>
      <c r="Y1983" t="s">
        <v>190</v>
      </c>
      <c r="Z1983" t="s">
        <v>77</v>
      </c>
      <c r="AA1983" t="str">
        <f>"11102"</f>
        <v>11102</v>
      </c>
      <c r="AB1983" t="s">
        <v>78</v>
      </c>
      <c r="AC1983" t="s">
        <v>79</v>
      </c>
      <c r="AD1983" t="s">
        <v>75</v>
      </c>
      <c r="AE1983" t="s">
        <v>80</v>
      </c>
      <c r="AG1983" t="s">
        <v>81</v>
      </c>
    </row>
    <row r="1984" spans="1:33" x14ac:dyDescent="0.25">
      <c r="A1984" t="str">
        <f>"1912341058"</f>
        <v>1912341058</v>
      </c>
      <c r="C1984" t="s">
        <v>13789</v>
      </c>
      <c r="K1984" t="s">
        <v>99</v>
      </c>
      <c r="L1984" t="s">
        <v>102</v>
      </c>
      <c r="M1984" t="s">
        <v>75</v>
      </c>
      <c r="R1984" t="s">
        <v>13790</v>
      </c>
      <c r="S1984" t="s">
        <v>13791</v>
      </c>
      <c r="T1984" t="s">
        <v>97</v>
      </c>
      <c r="U1984" t="s">
        <v>77</v>
      </c>
      <c r="V1984" t="str">
        <f>"100353832"</f>
        <v>100353832</v>
      </c>
      <c r="AC1984" t="s">
        <v>79</v>
      </c>
      <c r="AD1984" t="s">
        <v>75</v>
      </c>
      <c r="AE1984" t="s">
        <v>103</v>
      </c>
      <c r="AG1984" t="s">
        <v>81</v>
      </c>
    </row>
    <row r="1985" spans="1:33" x14ac:dyDescent="0.25">
      <c r="A1985" t="str">
        <f>"1881993624"</f>
        <v>1881993624</v>
      </c>
      <c r="B1985" t="str">
        <f>"04494717"</f>
        <v>04494717</v>
      </c>
      <c r="C1985" t="s">
        <v>13792</v>
      </c>
      <c r="D1985" t="s">
        <v>13793</v>
      </c>
      <c r="E1985" t="s">
        <v>13794</v>
      </c>
      <c r="L1985" t="s">
        <v>74</v>
      </c>
      <c r="M1985" t="s">
        <v>75</v>
      </c>
      <c r="R1985" t="s">
        <v>4781</v>
      </c>
      <c r="W1985" t="s">
        <v>13794</v>
      </c>
      <c r="AB1985" t="s">
        <v>78</v>
      </c>
      <c r="AC1985" t="s">
        <v>79</v>
      </c>
      <c r="AD1985" t="s">
        <v>75</v>
      </c>
      <c r="AE1985" t="s">
        <v>80</v>
      </c>
      <c r="AG1985" t="s">
        <v>81</v>
      </c>
    </row>
    <row r="1986" spans="1:33" x14ac:dyDescent="0.25">
      <c r="A1986" t="str">
        <f>"1851684831"</f>
        <v>1851684831</v>
      </c>
      <c r="C1986" t="s">
        <v>13795</v>
      </c>
      <c r="K1986" t="s">
        <v>99</v>
      </c>
      <c r="L1986" t="s">
        <v>102</v>
      </c>
      <c r="M1986" t="s">
        <v>75</v>
      </c>
      <c r="R1986" t="s">
        <v>13796</v>
      </c>
      <c r="S1986" t="s">
        <v>13797</v>
      </c>
      <c r="T1986" t="s">
        <v>4549</v>
      </c>
      <c r="U1986" t="s">
        <v>1800</v>
      </c>
      <c r="V1986" t="str">
        <f>"802383323"</f>
        <v>802383323</v>
      </c>
      <c r="AC1986" t="s">
        <v>79</v>
      </c>
      <c r="AD1986" t="s">
        <v>75</v>
      </c>
      <c r="AE1986" t="s">
        <v>103</v>
      </c>
      <c r="AG1986" t="s">
        <v>81</v>
      </c>
    </row>
    <row r="1987" spans="1:33" x14ac:dyDescent="0.25">
      <c r="A1987" t="str">
        <f>"1922364967"</f>
        <v>1922364967</v>
      </c>
      <c r="C1987" t="s">
        <v>13798</v>
      </c>
      <c r="K1987" t="s">
        <v>99</v>
      </c>
      <c r="L1987" t="s">
        <v>102</v>
      </c>
      <c r="M1987" t="s">
        <v>75</v>
      </c>
      <c r="R1987" t="s">
        <v>13799</v>
      </c>
      <c r="S1987" t="s">
        <v>191</v>
      </c>
      <c r="T1987" t="s">
        <v>97</v>
      </c>
      <c r="U1987" t="s">
        <v>77</v>
      </c>
      <c r="V1987" t="str">
        <f>"100191147"</f>
        <v>100191147</v>
      </c>
      <c r="AC1987" t="s">
        <v>79</v>
      </c>
      <c r="AD1987" t="s">
        <v>75</v>
      </c>
      <c r="AE1987" t="s">
        <v>103</v>
      </c>
      <c r="AG1987" t="s">
        <v>81</v>
      </c>
    </row>
    <row r="1988" spans="1:33" x14ac:dyDescent="0.25">
      <c r="A1988" t="str">
        <f>"1922427426"</f>
        <v>1922427426</v>
      </c>
      <c r="C1988" t="s">
        <v>13800</v>
      </c>
      <c r="K1988" t="s">
        <v>99</v>
      </c>
      <c r="L1988" t="s">
        <v>102</v>
      </c>
      <c r="M1988" t="s">
        <v>75</v>
      </c>
      <c r="R1988" t="s">
        <v>13801</v>
      </c>
      <c r="S1988" t="s">
        <v>13802</v>
      </c>
      <c r="T1988" t="s">
        <v>97</v>
      </c>
      <c r="U1988" t="s">
        <v>77</v>
      </c>
      <c r="V1988" t="str">
        <f>"100191147"</f>
        <v>100191147</v>
      </c>
      <c r="AC1988" t="s">
        <v>79</v>
      </c>
      <c r="AD1988" t="s">
        <v>75</v>
      </c>
      <c r="AE1988" t="s">
        <v>103</v>
      </c>
      <c r="AG1988" t="s">
        <v>81</v>
      </c>
    </row>
    <row r="1989" spans="1:33" x14ac:dyDescent="0.25">
      <c r="A1989" t="str">
        <f>"1831465558"</f>
        <v>1831465558</v>
      </c>
      <c r="B1989" t="str">
        <f>"04370256"</f>
        <v>04370256</v>
      </c>
      <c r="C1989" t="s">
        <v>13803</v>
      </c>
      <c r="D1989" t="s">
        <v>13804</v>
      </c>
      <c r="E1989" t="s">
        <v>13805</v>
      </c>
      <c r="L1989" t="s">
        <v>74</v>
      </c>
      <c r="M1989" t="s">
        <v>75</v>
      </c>
      <c r="R1989" t="s">
        <v>13805</v>
      </c>
      <c r="W1989" t="s">
        <v>13805</v>
      </c>
      <c r="X1989" t="s">
        <v>13806</v>
      </c>
      <c r="Y1989" t="s">
        <v>87</v>
      </c>
      <c r="Z1989" t="s">
        <v>77</v>
      </c>
      <c r="AA1989" t="str">
        <f>"11220-3529"</f>
        <v>11220-3529</v>
      </c>
      <c r="AB1989" t="s">
        <v>78</v>
      </c>
      <c r="AC1989" t="s">
        <v>79</v>
      </c>
      <c r="AD1989" t="s">
        <v>75</v>
      </c>
      <c r="AE1989" t="s">
        <v>80</v>
      </c>
      <c r="AG1989" t="s">
        <v>81</v>
      </c>
    </row>
    <row r="1990" spans="1:33" x14ac:dyDescent="0.25">
      <c r="A1990" t="str">
        <f>"1831532886"</f>
        <v>1831532886</v>
      </c>
      <c r="C1990" t="s">
        <v>13807</v>
      </c>
      <c r="K1990" t="s">
        <v>99</v>
      </c>
      <c r="L1990" t="s">
        <v>102</v>
      </c>
      <c r="M1990" t="s">
        <v>75</v>
      </c>
      <c r="R1990" t="s">
        <v>13808</v>
      </c>
      <c r="S1990" t="s">
        <v>13809</v>
      </c>
      <c r="T1990" t="s">
        <v>2610</v>
      </c>
      <c r="U1990" t="s">
        <v>1842</v>
      </c>
      <c r="V1990" t="str">
        <f>"063852506"</f>
        <v>063852506</v>
      </c>
      <c r="AC1990" t="s">
        <v>79</v>
      </c>
      <c r="AD1990" t="s">
        <v>75</v>
      </c>
      <c r="AE1990" t="s">
        <v>103</v>
      </c>
      <c r="AG1990" t="s">
        <v>81</v>
      </c>
    </row>
    <row r="1991" spans="1:33" x14ac:dyDescent="0.25">
      <c r="A1991" t="str">
        <f>"1851719843"</f>
        <v>1851719843</v>
      </c>
      <c r="C1991" t="s">
        <v>13810</v>
      </c>
      <c r="K1991" t="s">
        <v>99</v>
      </c>
      <c r="L1991" t="s">
        <v>102</v>
      </c>
      <c r="M1991" t="s">
        <v>75</v>
      </c>
      <c r="R1991" t="s">
        <v>13811</v>
      </c>
      <c r="S1991" t="s">
        <v>13812</v>
      </c>
      <c r="T1991" t="s">
        <v>97</v>
      </c>
      <c r="U1991" t="s">
        <v>77</v>
      </c>
      <c r="V1991" t="str">
        <f>"100033821"</f>
        <v>100033821</v>
      </c>
      <c r="AC1991" t="s">
        <v>79</v>
      </c>
      <c r="AD1991" t="s">
        <v>75</v>
      </c>
      <c r="AE1991" t="s">
        <v>103</v>
      </c>
      <c r="AG1991" t="s">
        <v>81</v>
      </c>
    </row>
    <row r="1992" spans="1:33" x14ac:dyDescent="0.25">
      <c r="A1992" t="str">
        <f>"1932466869"</f>
        <v>1932466869</v>
      </c>
      <c r="B1992" t="str">
        <f>"04399051"</f>
        <v>04399051</v>
      </c>
      <c r="C1992" t="s">
        <v>13813</v>
      </c>
      <c r="D1992" t="s">
        <v>13814</v>
      </c>
      <c r="E1992" t="s">
        <v>13815</v>
      </c>
      <c r="L1992" t="s">
        <v>102</v>
      </c>
      <c r="M1992" t="s">
        <v>75</v>
      </c>
      <c r="R1992" t="s">
        <v>13816</v>
      </c>
      <c r="W1992" t="s">
        <v>13815</v>
      </c>
      <c r="X1992" t="s">
        <v>333</v>
      </c>
      <c r="Y1992" t="s">
        <v>97</v>
      </c>
      <c r="Z1992" t="s">
        <v>77</v>
      </c>
      <c r="AA1992" t="str">
        <f>"10016-9196"</f>
        <v>10016-9196</v>
      </c>
      <c r="AB1992" t="s">
        <v>78</v>
      </c>
      <c r="AC1992" t="s">
        <v>79</v>
      </c>
      <c r="AD1992" t="s">
        <v>75</v>
      </c>
      <c r="AE1992" t="s">
        <v>80</v>
      </c>
      <c r="AG1992" t="s">
        <v>81</v>
      </c>
    </row>
    <row r="1993" spans="1:33" x14ac:dyDescent="0.25">
      <c r="A1993" t="str">
        <f>"1871937391"</f>
        <v>1871937391</v>
      </c>
      <c r="C1993" t="s">
        <v>13817</v>
      </c>
      <c r="K1993" t="s">
        <v>99</v>
      </c>
      <c r="L1993" t="s">
        <v>102</v>
      </c>
      <c r="M1993" t="s">
        <v>75</v>
      </c>
      <c r="R1993" t="s">
        <v>13818</v>
      </c>
      <c r="S1993" t="s">
        <v>13819</v>
      </c>
      <c r="T1993" t="s">
        <v>97</v>
      </c>
      <c r="U1993" t="s">
        <v>77</v>
      </c>
      <c r="V1993" t="str">
        <f>"100296508"</f>
        <v>100296508</v>
      </c>
      <c r="AC1993" t="s">
        <v>79</v>
      </c>
      <c r="AD1993" t="s">
        <v>75</v>
      </c>
      <c r="AE1993" t="s">
        <v>103</v>
      </c>
      <c r="AG1993" t="s">
        <v>81</v>
      </c>
    </row>
    <row r="1994" spans="1:33" x14ac:dyDescent="0.25">
      <c r="A1994" t="str">
        <f>"1861434706"</f>
        <v>1861434706</v>
      </c>
      <c r="B1994" t="str">
        <f>"02516801"</f>
        <v>02516801</v>
      </c>
      <c r="C1994" t="s">
        <v>13820</v>
      </c>
      <c r="D1994" t="s">
        <v>13821</v>
      </c>
      <c r="E1994" t="s">
        <v>13822</v>
      </c>
      <c r="H1994" t="s">
        <v>12485</v>
      </c>
      <c r="J1994" t="s">
        <v>13823</v>
      </c>
      <c r="L1994" t="s">
        <v>83</v>
      </c>
      <c r="M1994" t="s">
        <v>85</v>
      </c>
      <c r="R1994" t="s">
        <v>13824</v>
      </c>
      <c r="W1994" t="s">
        <v>13822</v>
      </c>
      <c r="X1994" t="s">
        <v>235</v>
      </c>
      <c r="Y1994" t="s">
        <v>190</v>
      </c>
      <c r="Z1994" t="s">
        <v>77</v>
      </c>
      <c r="AA1994" t="str">
        <f>"11102-2448"</f>
        <v>11102-2448</v>
      </c>
      <c r="AB1994" t="s">
        <v>78</v>
      </c>
      <c r="AC1994" t="s">
        <v>79</v>
      </c>
      <c r="AD1994" t="s">
        <v>75</v>
      </c>
      <c r="AE1994" t="s">
        <v>80</v>
      </c>
      <c r="AG1994" t="s">
        <v>81</v>
      </c>
    </row>
    <row r="1995" spans="1:33" x14ac:dyDescent="0.25">
      <c r="A1995" t="str">
        <f>"1881919272"</f>
        <v>1881919272</v>
      </c>
      <c r="C1995" t="s">
        <v>13825</v>
      </c>
      <c r="K1995" t="s">
        <v>99</v>
      </c>
      <c r="L1995" t="s">
        <v>102</v>
      </c>
      <c r="M1995" t="s">
        <v>75</v>
      </c>
      <c r="R1995" t="s">
        <v>13826</v>
      </c>
      <c r="S1995" t="s">
        <v>13827</v>
      </c>
      <c r="T1995" t="s">
        <v>124</v>
      </c>
      <c r="U1995" t="s">
        <v>77</v>
      </c>
      <c r="V1995" t="str">
        <f>"146204514"</f>
        <v>146204514</v>
      </c>
      <c r="AC1995" t="s">
        <v>79</v>
      </c>
      <c r="AD1995" t="s">
        <v>75</v>
      </c>
      <c r="AE1995" t="s">
        <v>103</v>
      </c>
      <c r="AG1995" t="s">
        <v>81</v>
      </c>
    </row>
    <row r="1996" spans="1:33" x14ac:dyDescent="0.25">
      <c r="A1996" t="str">
        <f>"1982947891"</f>
        <v>1982947891</v>
      </c>
      <c r="C1996" t="s">
        <v>13828</v>
      </c>
      <c r="K1996" t="s">
        <v>99</v>
      </c>
      <c r="L1996" t="s">
        <v>102</v>
      </c>
      <c r="M1996" t="s">
        <v>75</v>
      </c>
      <c r="R1996" t="s">
        <v>13829</v>
      </c>
      <c r="S1996" t="s">
        <v>13052</v>
      </c>
      <c r="T1996" t="s">
        <v>97</v>
      </c>
      <c r="U1996" t="s">
        <v>77</v>
      </c>
      <c r="V1996" t="str">
        <f>"100251716"</f>
        <v>100251716</v>
      </c>
      <c r="AC1996" t="s">
        <v>79</v>
      </c>
      <c r="AD1996" t="s">
        <v>75</v>
      </c>
      <c r="AE1996" t="s">
        <v>103</v>
      </c>
      <c r="AG1996" t="s">
        <v>81</v>
      </c>
    </row>
    <row r="1997" spans="1:33" x14ac:dyDescent="0.25">
      <c r="A1997" t="str">
        <f>"1790102747"</f>
        <v>1790102747</v>
      </c>
      <c r="C1997" t="s">
        <v>13830</v>
      </c>
      <c r="K1997" t="s">
        <v>99</v>
      </c>
      <c r="L1997" t="s">
        <v>102</v>
      </c>
      <c r="M1997" t="s">
        <v>75</v>
      </c>
      <c r="R1997" t="s">
        <v>13831</v>
      </c>
      <c r="S1997" t="s">
        <v>13832</v>
      </c>
      <c r="T1997" t="s">
        <v>97</v>
      </c>
      <c r="U1997" t="s">
        <v>77</v>
      </c>
      <c r="V1997" t="str">
        <f>"100295204"</f>
        <v>100295204</v>
      </c>
      <c r="AC1997" t="s">
        <v>79</v>
      </c>
      <c r="AD1997" t="s">
        <v>75</v>
      </c>
      <c r="AE1997" t="s">
        <v>103</v>
      </c>
      <c r="AG1997" t="s">
        <v>81</v>
      </c>
    </row>
    <row r="1998" spans="1:33" x14ac:dyDescent="0.25">
      <c r="A1998" t="str">
        <f>"1851667612"</f>
        <v>1851667612</v>
      </c>
      <c r="B1998" t="str">
        <f>"04251121"</f>
        <v>04251121</v>
      </c>
      <c r="C1998" t="s">
        <v>13833</v>
      </c>
      <c r="D1998" t="s">
        <v>13834</v>
      </c>
      <c r="E1998" t="s">
        <v>13835</v>
      </c>
      <c r="L1998" t="s">
        <v>84</v>
      </c>
      <c r="M1998" t="s">
        <v>75</v>
      </c>
      <c r="R1998" t="s">
        <v>13836</v>
      </c>
      <c r="W1998" t="s">
        <v>13835</v>
      </c>
      <c r="X1998" t="s">
        <v>730</v>
      </c>
      <c r="Y1998" t="s">
        <v>97</v>
      </c>
      <c r="Z1998" t="s">
        <v>77</v>
      </c>
      <c r="AA1998" t="str">
        <f>"10034-2645"</f>
        <v>10034-2645</v>
      </c>
      <c r="AB1998" t="s">
        <v>78</v>
      </c>
      <c r="AC1998" t="s">
        <v>79</v>
      </c>
      <c r="AD1998" t="s">
        <v>75</v>
      </c>
      <c r="AE1998" t="s">
        <v>80</v>
      </c>
      <c r="AG1998" t="s">
        <v>81</v>
      </c>
    </row>
    <row r="1999" spans="1:33" x14ac:dyDescent="0.25">
      <c r="A1999" t="str">
        <f>"1831464031"</f>
        <v>1831464031</v>
      </c>
      <c r="B1999" t="str">
        <f>"04045887"</f>
        <v>04045887</v>
      </c>
      <c r="C1999" t="s">
        <v>13837</v>
      </c>
      <c r="D1999" t="s">
        <v>13838</v>
      </c>
      <c r="E1999" t="s">
        <v>13839</v>
      </c>
      <c r="L1999" t="s">
        <v>102</v>
      </c>
      <c r="M1999" t="s">
        <v>75</v>
      </c>
      <c r="R1999" t="s">
        <v>13840</v>
      </c>
      <c r="W1999" t="s">
        <v>13839</v>
      </c>
      <c r="X1999" t="s">
        <v>13841</v>
      </c>
      <c r="Y1999" t="s">
        <v>97</v>
      </c>
      <c r="Z1999" t="s">
        <v>77</v>
      </c>
      <c r="AA1999" t="str">
        <f>"10003-3851"</f>
        <v>10003-3851</v>
      </c>
      <c r="AB1999" t="s">
        <v>78</v>
      </c>
      <c r="AC1999" t="s">
        <v>79</v>
      </c>
      <c r="AD1999" t="s">
        <v>75</v>
      </c>
      <c r="AE1999" t="s">
        <v>80</v>
      </c>
      <c r="AG1999" t="s">
        <v>81</v>
      </c>
    </row>
    <row r="2000" spans="1:33" x14ac:dyDescent="0.25">
      <c r="A2000" t="str">
        <f>"1982921540"</f>
        <v>1982921540</v>
      </c>
      <c r="C2000" t="s">
        <v>13842</v>
      </c>
      <c r="K2000" t="s">
        <v>99</v>
      </c>
      <c r="L2000" t="s">
        <v>102</v>
      </c>
      <c r="M2000" t="s">
        <v>75</v>
      </c>
      <c r="R2000" t="s">
        <v>13843</v>
      </c>
      <c r="S2000" t="s">
        <v>13844</v>
      </c>
      <c r="T2000" t="s">
        <v>13845</v>
      </c>
      <c r="U2000" t="s">
        <v>2659</v>
      </c>
      <c r="V2000" t="str">
        <f>"980342831"</f>
        <v>980342831</v>
      </c>
      <c r="AC2000" t="s">
        <v>79</v>
      </c>
      <c r="AD2000" t="s">
        <v>75</v>
      </c>
      <c r="AE2000" t="s">
        <v>103</v>
      </c>
      <c r="AG2000" t="s">
        <v>81</v>
      </c>
    </row>
    <row r="2001" spans="1:33" x14ac:dyDescent="0.25">
      <c r="A2001" t="str">
        <f>"1881918548"</f>
        <v>1881918548</v>
      </c>
      <c r="B2001" t="str">
        <f>"03539860"</f>
        <v>03539860</v>
      </c>
      <c r="C2001" t="s">
        <v>13846</v>
      </c>
      <c r="D2001" t="s">
        <v>13847</v>
      </c>
      <c r="E2001" t="s">
        <v>13848</v>
      </c>
      <c r="L2001" t="s">
        <v>74</v>
      </c>
      <c r="M2001" t="s">
        <v>75</v>
      </c>
      <c r="R2001" t="s">
        <v>13849</v>
      </c>
      <c r="W2001" t="s">
        <v>13848</v>
      </c>
      <c r="X2001" t="s">
        <v>585</v>
      </c>
      <c r="Y2001" t="s">
        <v>180</v>
      </c>
      <c r="Z2001" t="s">
        <v>77</v>
      </c>
      <c r="AA2001" t="str">
        <f>"10701-4006"</f>
        <v>10701-4006</v>
      </c>
      <c r="AB2001" t="s">
        <v>78</v>
      </c>
      <c r="AC2001" t="s">
        <v>79</v>
      </c>
      <c r="AD2001" t="s">
        <v>75</v>
      </c>
      <c r="AE2001" t="s">
        <v>80</v>
      </c>
      <c r="AG2001" t="s">
        <v>81</v>
      </c>
    </row>
    <row r="2002" spans="1:33" x14ac:dyDescent="0.25">
      <c r="A2002" t="str">
        <f>"1235221870"</f>
        <v>1235221870</v>
      </c>
      <c r="B2002" t="str">
        <f>"02150296"</f>
        <v>02150296</v>
      </c>
      <c r="C2002" t="s">
        <v>13850</v>
      </c>
      <c r="D2002" t="s">
        <v>13851</v>
      </c>
      <c r="E2002" t="s">
        <v>13852</v>
      </c>
      <c r="H2002" t="s">
        <v>13853</v>
      </c>
      <c r="J2002" t="s">
        <v>13854</v>
      </c>
      <c r="L2002" t="s">
        <v>83</v>
      </c>
      <c r="M2002" t="s">
        <v>85</v>
      </c>
      <c r="R2002" t="s">
        <v>13855</v>
      </c>
      <c r="W2002" t="s">
        <v>13856</v>
      </c>
      <c r="X2002" t="s">
        <v>13857</v>
      </c>
      <c r="Y2002" t="s">
        <v>171</v>
      </c>
      <c r="Z2002" t="s">
        <v>77</v>
      </c>
      <c r="AA2002" t="str">
        <f>"11434-3700"</f>
        <v>11434-3700</v>
      </c>
      <c r="AB2002" t="s">
        <v>128</v>
      </c>
      <c r="AC2002" t="s">
        <v>79</v>
      </c>
      <c r="AD2002" t="s">
        <v>75</v>
      </c>
      <c r="AE2002" t="s">
        <v>80</v>
      </c>
      <c r="AG2002" t="s">
        <v>81</v>
      </c>
    </row>
    <row r="2003" spans="1:33" x14ac:dyDescent="0.25">
      <c r="A2003" t="str">
        <f>"1275594434"</f>
        <v>1275594434</v>
      </c>
      <c r="B2003" t="str">
        <f>"01342378"</f>
        <v>01342378</v>
      </c>
      <c r="C2003" t="s">
        <v>13858</v>
      </c>
      <c r="D2003" t="s">
        <v>13859</v>
      </c>
      <c r="E2003" t="s">
        <v>13860</v>
      </c>
      <c r="L2003" t="s">
        <v>37</v>
      </c>
      <c r="M2003" t="s">
        <v>75</v>
      </c>
      <c r="R2003" t="s">
        <v>13860</v>
      </c>
      <c r="W2003" t="s">
        <v>13860</v>
      </c>
      <c r="X2003" t="s">
        <v>5557</v>
      </c>
      <c r="Y2003" t="s">
        <v>97</v>
      </c>
      <c r="Z2003" t="s">
        <v>77</v>
      </c>
      <c r="AA2003" t="str">
        <f>"10029-6501"</f>
        <v>10029-6501</v>
      </c>
      <c r="AB2003" t="s">
        <v>127</v>
      </c>
      <c r="AC2003" t="s">
        <v>79</v>
      </c>
      <c r="AD2003" t="s">
        <v>75</v>
      </c>
      <c r="AE2003" t="s">
        <v>80</v>
      </c>
      <c r="AG2003" t="s">
        <v>81</v>
      </c>
    </row>
    <row r="2004" spans="1:33" x14ac:dyDescent="0.25">
      <c r="A2004" t="str">
        <f>"1295006526"</f>
        <v>1295006526</v>
      </c>
      <c r="B2004" t="str">
        <f>"03439925"</f>
        <v>03439925</v>
      </c>
      <c r="C2004" t="s">
        <v>13861</v>
      </c>
      <c r="D2004" t="s">
        <v>3088</v>
      </c>
      <c r="E2004" t="s">
        <v>3089</v>
      </c>
      <c r="L2004" t="s">
        <v>35</v>
      </c>
      <c r="M2004" t="s">
        <v>85</v>
      </c>
      <c r="R2004" t="s">
        <v>3090</v>
      </c>
      <c r="W2004" t="s">
        <v>3089</v>
      </c>
      <c r="X2004" t="s">
        <v>3091</v>
      </c>
      <c r="Y2004" t="s">
        <v>97</v>
      </c>
      <c r="Z2004" t="s">
        <v>77</v>
      </c>
      <c r="AA2004" t="str">
        <f>"10017-6603"</f>
        <v>10017-6603</v>
      </c>
      <c r="AB2004" t="s">
        <v>98</v>
      </c>
      <c r="AC2004" t="s">
        <v>79</v>
      </c>
      <c r="AD2004" t="s">
        <v>75</v>
      </c>
      <c r="AE2004" t="s">
        <v>80</v>
      </c>
      <c r="AG2004" t="s">
        <v>81</v>
      </c>
    </row>
    <row r="2005" spans="1:33" x14ac:dyDescent="0.25">
      <c r="A2005" t="str">
        <f>"1821387580"</f>
        <v>1821387580</v>
      </c>
      <c r="B2005" t="str">
        <f>"03689654"</f>
        <v>03689654</v>
      </c>
      <c r="C2005" t="s">
        <v>13862</v>
      </c>
      <c r="D2005" t="s">
        <v>13863</v>
      </c>
      <c r="E2005" t="s">
        <v>13864</v>
      </c>
      <c r="L2005" t="s">
        <v>102</v>
      </c>
      <c r="M2005" t="s">
        <v>75</v>
      </c>
      <c r="R2005" t="s">
        <v>13865</v>
      </c>
      <c r="W2005" t="s">
        <v>13866</v>
      </c>
      <c r="X2005" t="s">
        <v>13867</v>
      </c>
      <c r="Y2005" t="s">
        <v>97</v>
      </c>
      <c r="Z2005" t="s">
        <v>77</v>
      </c>
      <c r="AA2005" t="str">
        <f>"10087-8082"</f>
        <v>10087-8082</v>
      </c>
      <c r="AB2005" t="s">
        <v>78</v>
      </c>
      <c r="AC2005" t="s">
        <v>79</v>
      </c>
      <c r="AD2005" t="s">
        <v>75</v>
      </c>
      <c r="AE2005" t="s">
        <v>80</v>
      </c>
      <c r="AG2005" t="s">
        <v>81</v>
      </c>
    </row>
    <row r="2006" spans="1:33" x14ac:dyDescent="0.25">
      <c r="A2006" t="str">
        <f>"1992715387"</f>
        <v>1992715387</v>
      </c>
      <c r="B2006" t="str">
        <f>"02601994"</f>
        <v>02601994</v>
      </c>
      <c r="C2006" t="s">
        <v>13868</v>
      </c>
      <c r="D2006" t="s">
        <v>13869</v>
      </c>
      <c r="E2006" t="s">
        <v>13870</v>
      </c>
      <c r="H2006" t="s">
        <v>13871</v>
      </c>
      <c r="J2006" t="s">
        <v>13872</v>
      </c>
      <c r="L2006" t="s">
        <v>83</v>
      </c>
      <c r="M2006" t="s">
        <v>85</v>
      </c>
      <c r="R2006" t="s">
        <v>13873</v>
      </c>
      <c r="W2006" t="s">
        <v>13870</v>
      </c>
      <c r="X2006" t="s">
        <v>11945</v>
      </c>
      <c r="Y2006" t="s">
        <v>2128</v>
      </c>
      <c r="Z2006" t="s">
        <v>77</v>
      </c>
      <c r="AA2006" t="str">
        <f>"11743-2779"</f>
        <v>11743-2779</v>
      </c>
      <c r="AB2006" t="s">
        <v>78</v>
      </c>
      <c r="AC2006" t="s">
        <v>79</v>
      </c>
      <c r="AD2006" t="s">
        <v>75</v>
      </c>
      <c r="AE2006" t="s">
        <v>80</v>
      </c>
      <c r="AG2006" t="s">
        <v>81</v>
      </c>
    </row>
    <row r="2007" spans="1:33" x14ac:dyDescent="0.25">
      <c r="A2007" t="str">
        <f>"1891033676"</f>
        <v>1891033676</v>
      </c>
      <c r="C2007" t="s">
        <v>13874</v>
      </c>
      <c r="K2007" t="s">
        <v>99</v>
      </c>
      <c r="L2007" t="s">
        <v>102</v>
      </c>
      <c r="M2007" t="s">
        <v>75</v>
      </c>
      <c r="R2007" t="s">
        <v>13875</v>
      </c>
      <c r="S2007" t="s">
        <v>13876</v>
      </c>
      <c r="T2007" t="s">
        <v>4513</v>
      </c>
      <c r="U2007" t="s">
        <v>123</v>
      </c>
      <c r="V2007" t="str">
        <f>"021702520"</f>
        <v>021702520</v>
      </c>
      <c r="AC2007" t="s">
        <v>79</v>
      </c>
      <c r="AD2007" t="s">
        <v>75</v>
      </c>
      <c r="AE2007" t="s">
        <v>103</v>
      </c>
      <c r="AG2007" t="s">
        <v>81</v>
      </c>
    </row>
    <row r="2008" spans="1:33" x14ac:dyDescent="0.25">
      <c r="A2008" t="str">
        <f>"1790041846"</f>
        <v>1790041846</v>
      </c>
      <c r="C2008" t="s">
        <v>13877</v>
      </c>
      <c r="K2008" t="s">
        <v>99</v>
      </c>
      <c r="L2008" t="s">
        <v>102</v>
      </c>
      <c r="M2008" t="s">
        <v>75</v>
      </c>
      <c r="R2008" t="s">
        <v>13878</v>
      </c>
      <c r="S2008" t="s">
        <v>13879</v>
      </c>
      <c r="T2008" t="s">
        <v>13880</v>
      </c>
      <c r="U2008" t="s">
        <v>123</v>
      </c>
      <c r="V2008" t="str">
        <f>"027403464"</f>
        <v>027403464</v>
      </c>
      <c r="AC2008" t="s">
        <v>79</v>
      </c>
      <c r="AD2008" t="s">
        <v>75</v>
      </c>
      <c r="AE2008" t="s">
        <v>103</v>
      </c>
      <c r="AG2008" t="s">
        <v>81</v>
      </c>
    </row>
    <row r="2009" spans="1:33" x14ac:dyDescent="0.25">
      <c r="A2009" t="str">
        <f>"1861819104"</f>
        <v>1861819104</v>
      </c>
      <c r="C2009" t="s">
        <v>13881</v>
      </c>
      <c r="K2009" t="s">
        <v>99</v>
      </c>
      <c r="L2009" t="s">
        <v>102</v>
      </c>
      <c r="M2009" t="s">
        <v>75</v>
      </c>
      <c r="R2009" t="s">
        <v>13882</v>
      </c>
      <c r="S2009" t="s">
        <v>13883</v>
      </c>
      <c r="T2009" t="s">
        <v>13884</v>
      </c>
      <c r="U2009" t="s">
        <v>351</v>
      </c>
      <c r="V2009" t="str">
        <f>"331391844"</f>
        <v>331391844</v>
      </c>
      <c r="AC2009" t="s">
        <v>79</v>
      </c>
      <c r="AD2009" t="s">
        <v>75</v>
      </c>
      <c r="AE2009" t="s">
        <v>103</v>
      </c>
      <c r="AG2009" t="s">
        <v>81</v>
      </c>
    </row>
    <row r="2010" spans="1:33" x14ac:dyDescent="0.25">
      <c r="A2010" t="str">
        <f>"1790051795"</f>
        <v>1790051795</v>
      </c>
      <c r="C2010" t="s">
        <v>13885</v>
      </c>
      <c r="K2010" t="s">
        <v>99</v>
      </c>
      <c r="L2010" t="s">
        <v>102</v>
      </c>
      <c r="M2010" t="s">
        <v>75</v>
      </c>
      <c r="R2010" t="s">
        <v>13886</v>
      </c>
      <c r="S2010" t="s">
        <v>13887</v>
      </c>
      <c r="T2010" t="s">
        <v>155</v>
      </c>
      <c r="U2010" t="s">
        <v>77</v>
      </c>
      <c r="V2010" t="str">
        <f>"103146246"</f>
        <v>103146246</v>
      </c>
      <c r="AC2010" t="s">
        <v>79</v>
      </c>
      <c r="AD2010" t="s">
        <v>75</v>
      </c>
      <c r="AE2010" t="s">
        <v>103</v>
      </c>
      <c r="AG2010" t="s">
        <v>81</v>
      </c>
    </row>
    <row r="2011" spans="1:33" x14ac:dyDescent="0.25">
      <c r="A2011" t="str">
        <f>"1740243674"</f>
        <v>1740243674</v>
      </c>
      <c r="B2011" t="str">
        <f>"01719391"</f>
        <v>01719391</v>
      </c>
      <c r="C2011" t="s">
        <v>13888</v>
      </c>
      <c r="D2011" t="s">
        <v>13889</v>
      </c>
      <c r="E2011" t="s">
        <v>13890</v>
      </c>
      <c r="H2011" t="s">
        <v>11775</v>
      </c>
      <c r="J2011" t="s">
        <v>13891</v>
      </c>
      <c r="L2011" t="s">
        <v>83</v>
      </c>
      <c r="M2011" t="s">
        <v>85</v>
      </c>
      <c r="R2011" t="s">
        <v>13892</v>
      </c>
      <c r="W2011" t="s">
        <v>13893</v>
      </c>
      <c r="X2011" t="s">
        <v>12335</v>
      </c>
      <c r="Y2011" t="s">
        <v>3818</v>
      </c>
      <c r="Z2011" t="s">
        <v>77</v>
      </c>
      <c r="AA2011" t="str">
        <f>"11714-5700"</f>
        <v>11714-5700</v>
      </c>
      <c r="AB2011" t="s">
        <v>78</v>
      </c>
      <c r="AC2011" t="s">
        <v>79</v>
      </c>
      <c r="AD2011" t="s">
        <v>75</v>
      </c>
      <c r="AE2011" t="s">
        <v>80</v>
      </c>
      <c r="AG2011" t="s">
        <v>81</v>
      </c>
    </row>
    <row r="2012" spans="1:33" x14ac:dyDescent="0.25">
      <c r="A2012" t="str">
        <f>"1144200395"</f>
        <v>1144200395</v>
      </c>
      <c r="B2012" t="str">
        <f>"01665907"</f>
        <v>01665907</v>
      </c>
      <c r="C2012" t="s">
        <v>13894</v>
      </c>
      <c r="D2012" t="s">
        <v>13895</v>
      </c>
      <c r="E2012" t="s">
        <v>13896</v>
      </c>
      <c r="H2012" t="s">
        <v>13762</v>
      </c>
      <c r="J2012" t="s">
        <v>13897</v>
      </c>
      <c r="L2012" t="s">
        <v>83</v>
      </c>
      <c r="M2012" t="s">
        <v>85</v>
      </c>
      <c r="R2012" t="s">
        <v>13898</v>
      </c>
      <c r="W2012" t="s">
        <v>13896</v>
      </c>
      <c r="X2012" t="s">
        <v>625</v>
      </c>
      <c r="Y2012" t="s">
        <v>131</v>
      </c>
      <c r="Z2012" t="s">
        <v>77</v>
      </c>
      <c r="AA2012" t="str">
        <f>"10457-7697"</f>
        <v>10457-7697</v>
      </c>
      <c r="AB2012" t="s">
        <v>78</v>
      </c>
      <c r="AC2012" t="s">
        <v>79</v>
      </c>
      <c r="AD2012" t="s">
        <v>75</v>
      </c>
      <c r="AE2012" t="s">
        <v>80</v>
      </c>
      <c r="AG2012" t="s">
        <v>81</v>
      </c>
    </row>
    <row r="2013" spans="1:33" x14ac:dyDescent="0.25">
      <c r="A2013" t="str">
        <f>"1992144190"</f>
        <v>1992144190</v>
      </c>
      <c r="C2013" t="s">
        <v>13899</v>
      </c>
      <c r="K2013" t="s">
        <v>99</v>
      </c>
      <c r="L2013" t="s">
        <v>102</v>
      </c>
      <c r="M2013" t="s">
        <v>75</v>
      </c>
      <c r="R2013" t="s">
        <v>13900</v>
      </c>
      <c r="S2013" t="s">
        <v>13901</v>
      </c>
      <c r="T2013" t="s">
        <v>97</v>
      </c>
      <c r="U2013" t="s">
        <v>77</v>
      </c>
      <c r="V2013" t="str">
        <f>"100353832"</f>
        <v>100353832</v>
      </c>
      <c r="AC2013" t="s">
        <v>79</v>
      </c>
      <c r="AD2013" t="s">
        <v>75</v>
      </c>
      <c r="AE2013" t="s">
        <v>103</v>
      </c>
      <c r="AG2013" t="s">
        <v>81</v>
      </c>
    </row>
    <row r="2014" spans="1:33" x14ac:dyDescent="0.25">
      <c r="A2014" t="str">
        <f>"1922064880"</f>
        <v>1922064880</v>
      </c>
      <c r="B2014" t="str">
        <f>"01716256"</f>
        <v>01716256</v>
      </c>
      <c r="C2014" t="s">
        <v>13902</v>
      </c>
      <c r="D2014" t="s">
        <v>13903</v>
      </c>
      <c r="E2014" t="s">
        <v>13904</v>
      </c>
      <c r="H2014" t="s">
        <v>13762</v>
      </c>
      <c r="J2014" t="s">
        <v>13905</v>
      </c>
      <c r="L2014" t="s">
        <v>83</v>
      </c>
      <c r="M2014" t="s">
        <v>85</v>
      </c>
      <c r="R2014" t="s">
        <v>13906</v>
      </c>
      <c r="W2014" t="s">
        <v>13904</v>
      </c>
      <c r="X2014" t="s">
        <v>4776</v>
      </c>
      <c r="Y2014" t="s">
        <v>179</v>
      </c>
      <c r="Z2014" t="s">
        <v>77</v>
      </c>
      <c r="AA2014" t="str">
        <f>"11550-8115"</f>
        <v>11550-8115</v>
      </c>
      <c r="AB2014" t="s">
        <v>78</v>
      </c>
      <c r="AC2014" t="s">
        <v>79</v>
      </c>
      <c r="AD2014" t="s">
        <v>75</v>
      </c>
      <c r="AE2014" t="s">
        <v>80</v>
      </c>
      <c r="AG2014" t="s">
        <v>81</v>
      </c>
    </row>
    <row r="2015" spans="1:33" x14ac:dyDescent="0.25">
      <c r="A2015" t="str">
        <f>"1891197844"</f>
        <v>1891197844</v>
      </c>
      <c r="C2015" t="s">
        <v>13907</v>
      </c>
      <c r="K2015" t="s">
        <v>99</v>
      </c>
      <c r="L2015" t="s">
        <v>102</v>
      </c>
      <c r="M2015" t="s">
        <v>75</v>
      </c>
      <c r="R2015" t="s">
        <v>13908</v>
      </c>
      <c r="S2015" t="s">
        <v>13909</v>
      </c>
      <c r="T2015" t="s">
        <v>97</v>
      </c>
      <c r="U2015" t="s">
        <v>77</v>
      </c>
      <c r="V2015" t="str">
        <f>"100016611"</f>
        <v>100016611</v>
      </c>
      <c r="AC2015" t="s">
        <v>79</v>
      </c>
      <c r="AD2015" t="s">
        <v>75</v>
      </c>
      <c r="AE2015" t="s">
        <v>103</v>
      </c>
      <c r="AG2015" t="s">
        <v>81</v>
      </c>
    </row>
    <row r="2016" spans="1:33" x14ac:dyDescent="0.25">
      <c r="A2016" t="str">
        <f>"1871750984"</f>
        <v>1871750984</v>
      </c>
      <c r="C2016" t="s">
        <v>13910</v>
      </c>
      <c r="K2016" t="s">
        <v>99</v>
      </c>
      <c r="L2016" t="s">
        <v>102</v>
      </c>
      <c r="M2016" t="s">
        <v>75</v>
      </c>
      <c r="R2016" t="s">
        <v>13911</v>
      </c>
      <c r="S2016" t="s">
        <v>13912</v>
      </c>
      <c r="T2016" t="s">
        <v>13913</v>
      </c>
      <c r="U2016" t="s">
        <v>3878</v>
      </c>
      <c r="V2016" t="str">
        <f>"799052709"</f>
        <v>799052709</v>
      </c>
      <c r="AC2016" t="s">
        <v>79</v>
      </c>
      <c r="AD2016" t="s">
        <v>75</v>
      </c>
      <c r="AE2016" t="s">
        <v>103</v>
      </c>
      <c r="AG2016" t="s">
        <v>81</v>
      </c>
    </row>
    <row r="2017" spans="1:33" x14ac:dyDescent="0.25">
      <c r="A2017" t="str">
        <f>"1902158272"</f>
        <v>1902158272</v>
      </c>
      <c r="B2017" t="str">
        <f>"04317699"</f>
        <v>04317699</v>
      </c>
      <c r="C2017" t="s">
        <v>13914</v>
      </c>
      <c r="D2017" t="s">
        <v>13915</v>
      </c>
      <c r="E2017" t="s">
        <v>13916</v>
      </c>
      <c r="L2017" t="s">
        <v>74</v>
      </c>
      <c r="M2017" t="s">
        <v>75</v>
      </c>
      <c r="R2017" t="s">
        <v>13917</v>
      </c>
      <c r="W2017" t="s">
        <v>13916</v>
      </c>
      <c r="X2017" t="s">
        <v>181</v>
      </c>
      <c r="Y2017" t="s">
        <v>97</v>
      </c>
      <c r="Z2017" t="s">
        <v>77</v>
      </c>
      <c r="AA2017" t="str">
        <f>"10025-1716"</f>
        <v>10025-1716</v>
      </c>
      <c r="AB2017" t="s">
        <v>78</v>
      </c>
      <c r="AC2017" t="s">
        <v>79</v>
      </c>
      <c r="AD2017" t="s">
        <v>75</v>
      </c>
      <c r="AE2017" t="s">
        <v>80</v>
      </c>
      <c r="AG2017" t="s">
        <v>81</v>
      </c>
    </row>
    <row r="2018" spans="1:33" x14ac:dyDescent="0.25">
      <c r="A2018" t="str">
        <f>"1891705208"</f>
        <v>1891705208</v>
      </c>
      <c r="B2018" t="str">
        <f>"00985699"</f>
        <v>00985699</v>
      </c>
      <c r="C2018" t="s">
        <v>13918</v>
      </c>
      <c r="D2018" t="s">
        <v>13919</v>
      </c>
      <c r="E2018" t="s">
        <v>13920</v>
      </c>
      <c r="H2018" t="s">
        <v>13921</v>
      </c>
      <c r="J2018" t="s">
        <v>13922</v>
      </c>
      <c r="L2018" t="s">
        <v>83</v>
      </c>
      <c r="M2018" t="s">
        <v>85</v>
      </c>
      <c r="R2018" t="s">
        <v>13923</v>
      </c>
      <c r="W2018" t="s">
        <v>13920</v>
      </c>
      <c r="X2018" t="s">
        <v>13924</v>
      </c>
      <c r="Y2018" t="s">
        <v>209</v>
      </c>
      <c r="Z2018" t="s">
        <v>77</v>
      </c>
      <c r="AA2018" t="str">
        <f>"11794-0001"</f>
        <v>11794-0001</v>
      </c>
      <c r="AB2018" t="s">
        <v>78</v>
      </c>
      <c r="AC2018" t="s">
        <v>79</v>
      </c>
      <c r="AD2018" t="s">
        <v>75</v>
      </c>
      <c r="AE2018" t="s">
        <v>80</v>
      </c>
      <c r="AG2018" t="s">
        <v>81</v>
      </c>
    </row>
    <row r="2019" spans="1:33" x14ac:dyDescent="0.25">
      <c r="A2019" t="str">
        <f>"1891816245"</f>
        <v>1891816245</v>
      </c>
      <c r="B2019" t="str">
        <f>"03060813"</f>
        <v>03060813</v>
      </c>
      <c r="C2019" t="s">
        <v>13925</v>
      </c>
      <c r="D2019" t="s">
        <v>13926</v>
      </c>
      <c r="E2019" t="s">
        <v>13927</v>
      </c>
      <c r="H2019" t="s">
        <v>13928</v>
      </c>
      <c r="J2019" t="s">
        <v>13929</v>
      </c>
      <c r="L2019" t="s">
        <v>83</v>
      </c>
      <c r="M2019" t="s">
        <v>85</v>
      </c>
      <c r="R2019" t="s">
        <v>13930</v>
      </c>
      <c r="W2019" t="s">
        <v>13931</v>
      </c>
      <c r="X2019" t="s">
        <v>159</v>
      </c>
      <c r="Y2019" t="s">
        <v>160</v>
      </c>
      <c r="Z2019" t="s">
        <v>77</v>
      </c>
      <c r="AA2019" t="str">
        <f>"11030-3816"</f>
        <v>11030-3816</v>
      </c>
      <c r="AB2019" t="s">
        <v>78</v>
      </c>
      <c r="AC2019" t="s">
        <v>79</v>
      </c>
      <c r="AD2019" t="s">
        <v>75</v>
      </c>
      <c r="AE2019" t="s">
        <v>80</v>
      </c>
      <c r="AG2019" t="s">
        <v>81</v>
      </c>
    </row>
    <row r="2020" spans="1:33" x14ac:dyDescent="0.25">
      <c r="A2020" t="str">
        <f>"1801028824"</f>
        <v>1801028824</v>
      </c>
      <c r="C2020" t="s">
        <v>13932</v>
      </c>
      <c r="K2020" t="s">
        <v>99</v>
      </c>
      <c r="L2020" t="s">
        <v>102</v>
      </c>
      <c r="M2020" t="s">
        <v>75</v>
      </c>
      <c r="R2020" t="s">
        <v>13933</v>
      </c>
      <c r="S2020" t="s">
        <v>13934</v>
      </c>
      <c r="T2020" t="s">
        <v>13935</v>
      </c>
      <c r="U2020" t="s">
        <v>290</v>
      </c>
      <c r="V2020" t="str">
        <f>"637034914"</f>
        <v>637034914</v>
      </c>
      <c r="AC2020" t="s">
        <v>79</v>
      </c>
      <c r="AD2020" t="s">
        <v>75</v>
      </c>
      <c r="AE2020" t="s">
        <v>103</v>
      </c>
      <c r="AG2020" t="s">
        <v>81</v>
      </c>
    </row>
    <row r="2021" spans="1:33" x14ac:dyDescent="0.25">
      <c r="A2021" t="str">
        <f>"1922363670"</f>
        <v>1922363670</v>
      </c>
      <c r="B2021" t="str">
        <f>"04490864"</f>
        <v>04490864</v>
      </c>
      <c r="C2021" t="s">
        <v>13936</v>
      </c>
      <c r="D2021" t="s">
        <v>13937</v>
      </c>
      <c r="E2021" t="s">
        <v>13938</v>
      </c>
      <c r="L2021" t="s">
        <v>102</v>
      </c>
      <c r="M2021" t="s">
        <v>75</v>
      </c>
      <c r="R2021" t="s">
        <v>13939</v>
      </c>
      <c r="W2021" t="s">
        <v>13938</v>
      </c>
      <c r="AB2021" t="s">
        <v>78</v>
      </c>
      <c r="AC2021" t="s">
        <v>79</v>
      </c>
      <c r="AD2021" t="s">
        <v>75</v>
      </c>
      <c r="AE2021" t="s">
        <v>80</v>
      </c>
      <c r="AG2021" t="s">
        <v>81</v>
      </c>
    </row>
    <row r="2022" spans="1:33" x14ac:dyDescent="0.25">
      <c r="A2022" t="str">
        <f>"1952547945"</f>
        <v>1952547945</v>
      </c>
      <c r="B2022" t="str">
        <f>"03450795"</f>
        <v>03450795</v>
      </c>
      <c r="C2022" t="s">
        <v>13940</v>
      </c>
      <c r="D2022" t="s">
        <v>13941</v>
      </c>
      <c r="E2022" t="s">
        <v>13942</v>
      </c>
      <c r="H2022" t="s">
        <v>13943</v>
      </c>
      <c r="J2022" t="s">
        <v>13944</v>
      </c>
      <c r="L2022" t="s">
        <v>83</v>
      </c>
      <c r="M2022" t="s">
        <v>85</v>
      </c>
      <c r="R2022" t="s">
        <v>13945</v>
      </c>
      <c r="W2022" t="s">
        <v>13942</v>
      </c>
      <c r="X2022" t="s">
        <v>13946</v>
      </c>
      <c r="Y2022" t="s">
        <v>1965</v>
      </c>
      <c r="Z2022" t="s">
        <v>77</v>
      </c>
      <c r="AA2022" t="str">
        <f>"11767-1089"</f>
        <v>11767-1089</v>
      </c>
      <c r="AB2022" t="s">
        <v>78</v>
      </c>
      <c r="AC2022" t="s">
        <v>79</v>
      </c>
      <c r="AD2022" t="s">
        <v>75</v>
      </c>
      <c r="AE2022" t="s">
        <v>80</v>
      </c>
      <c r="AG2022" t="s">
        <v>81</v>
      </c>
    </row>
    <row r="2023" spans="1:33" x14ac:dyDescent="0.25">
      <c r="A2023" t="str">
        <f>"1366602856"</f>
        <v>1366602856</v>
      </c>
      <c r="B2023" t="str">
        <f>"03481358"</f>
        <v>03481358</v>
      </c>
      <c r="C2023" t="s">
        <v>13947</v>
      </c>
      <c r="D2023" t="s">
        <v>13948</v>
      </c>
      <c r="E2023" t="s">
        <v>13949</v>
      </c>
      <c r="H2023" t="s">
        <v>13950</v>
      </c>
      <c r="J2023" t="s">
        <v>13951</v>
      </c>
      <c r="L2023" t="s">
        <v>74</v>
      </c>
      <c r="M2023" t="s">
        <v>85</v>
      </c>
      <c r="R2023" t="s">
        <v>13952</v>
      </c>
      <c r="W2023" t="s">
        <v>13949</v>
      </c>
      <c r="X2023" t="s">
        <v>2926</v>
      </c>
      <c r="Y2023" t="s">
        <v>97</v>
      </c>
      <c r="Z2023" t="s">
        <v>77</v>
      </c>
      <c r="AA2023" t="str">
        <f>"10029-6503"</f>
        <v>10029-6503</v>
      </c>
      <c r="AB2023" t="s">
        <v>78</v>
      </c>
      <c r="AC2023" t="s">
        <v>79</v>
      </c>
      <c r="AD2023" t="s">
        <v>75</v>
      </c>
      <c r="AE2023" t="s">
        <v>80</v>
      </c>
      <c r="AG2023" t="s">
        <v>81</v>
      </c>
    </row>
    <row r="2024" spans="1:33" x14ac:dyDescent="0.25">
      <c r="A2024" t="str">
        <f>"1891089157"</f>
        <v>1891089157</v>
      </c>
      <c r="B2024" t="str">
        <f>"03690815"</f>
        <v>03690815</v>
      </c>
      <c r="C2024" t="s">
        <v>13953</v>
      </c>
      <c r="D2024" t="s">
        <v>13954</v>
      </c>
      <c r="E2024" t="s">
        <v>13955</v>
      </c>
      <c r="L2024" t="s">
        <v>105</v>
      </c>
      <c r="M2024" t="s">
        <v>75</v>
      </c>
      <c r="R2024" t="s">
        <v>13956</v>
      </c>
      <c r="W2024" t="s">
        <v>13955</v>
      </c>
      <c r="X2024" t="s">
        <v>329</v>
      </c>
      <c r="Y2024" t="s">
        <v>97</v>
      </c>
      <c r="Z2024" t="s">
        <v>77</v>
      </c>
      <c r="AA2024" t="str">
        <f>"10029-6574"</f>
        <v>10029-6574</v>
      </c>
      <c r="AB2024" t="s">
        <v>78</v>
      </c>
      <c r="AC2024" t="s">
        <v>79</v>
      </c>
      <c r="AD2024" t="s">
        <v>75</v>
      </c>
      <c r="AE2024" t="s">
        <v>80</v>
      </c>
      <c r="AG2024" t="s">
        <v>81</v>
      </c>
    </row>
    <row r="2025" spans="1:33" x14ac:dyDescent="0.25">
      <c r="A2025" t="str">
        <f>"1821415019"</f>
        <v>1821415019</v>
      </c>
      <c r="C2025" t="s">
        <v>13957</v>
      </c>
      <c r="K2025" t="s">
        <v>99</v>
      </c>
      <c r="L2025" t="s">
        <v>102</v>
      </c>
      <c r="M2025" t="s">
        <v>75</v>
      </c>
      <c r="R2025" t="s">
        <v>13958</v>
      </c>
      <c r="S2025" t="s">
        <v>13959</v>
      </c>
      <c r="T2025" t="s">
        <v>97</v>
      </c>
      <c r="U2025" t="s">
        <v>77</v>
      </c>
      <c r="V2025" t="str">
        <f>"100341343"</f>
        <v>100341343</v>
      </c>
      <c r="AC2025" t="s">
        <v>79</v>
      </c>
      <c r="AD2025" t="s">
        <v>75</v>
      </c>
      <c r="AE2025" t="s">
        <v>103</v>
      </c>
      <c r="AG2025" t="s">
        <v>81</v>
      </c>
    </row>
    <row r="2026" spans="1:33" x14ac:dyDescent="0.25">
      <c r="A2026" t="str">
        <f>"1861819831"</f>
        <v>1861819831</v>
      </c>
      <c r="C2026" t="s">
        <v>13960</v>
      </c>
      <c r="K2026" t="s">
        <v>99</v>
      </c>
      <c r="L2026" t="s">
        <v>102</v>
      </c>
      <c r="M2026" t="s">
        <v>75</v>
      </c>
      <c r="R2026" t="s">
        <v>13961</v>
      </c>
      <c r="S2026" t="s">
        <v>13962</v>
      </c>
      <c r="T2026" t="s">
        <v>97</v>
      </c>
      <c r="U2026" t="s">
        <v>77</v>
      </c>
      <c r="V2026" t="str">
        <f>"100296504"</f>
        <v>100296504</v>
      </c>
      <c r="AC2026" t="s">
        <v>79</v>
      </c>
      <c r="AD2026" t="s">
        <v>75</v>
      </c>
      <c r="AE2026" t="s">
        <v>103</v>
      </c>
      <c r="AG2026" t="s">
        <v>81</v>
      </c>
    </row>
    <row r="2027" spans="1:33" x14ac:dyDescent="0.25">
      <c r="A2027" t="str">
        <f>"1912325986"</f>
        <v>1912325986</v>
      </c>
      <c r="C2027" t="s">
        <v>13963</v>
      </c>
      <c r="K2027" t="s">
        <v>99</v>
      </c>
      <c r="L2027" t="s">
        <v>102</v>
      </c>
      <c r="M2027" t="s">
        <v>75</v>
      </c>
      <c r="R2027" t="s">
        <v>13964</v>
      </c>
      <c r="S2027" t="s">
        <v>191</v>
      </c>
      <c r="T2027" t="s">
        <v>97</v>
      </c>
      <c r="U2027" t="s">
        <v>77</v>
      </c>
      <c r="V2027" t="str">
        <f>"100191147"</f>
        <v>100191147</v>
      </c>
      <c r="AC2027" t="s">
        <v>79</v>
      </c>
      <c r="AD2027" t="s">
        <v>75</v>
      </c>
      <c r="AE2027" t="s">
        <v>103</v>
      </c>
      <c r="AG2027" t="s">
        <v>81</v>
      </c>
    </row>
    <row r="2028" spans="1:33" x14ac:dyDescent="0.25">
      <c r="A2028" t="str">
        <f>"1780950535"</f>
        <v>1780950535</v>
      </c>
      <c r="B2028" t="str">
        <f>"04354743"</f>
        <v>04354743</v>
      </c>
      <c r="C2028" t="s">
        <v>13965</v>
      </c>
      <c r="D2028" t="s">
        <v>13966</v>
      </c>
      <c r="E2028" t="s">
        <v>13967</v>
      </c>
      <c r="L2028" t="s">
        <v>74</v>
      </c>
      <c r="M2028" t="s">
        <v>75</v>
      </c>
      <c r="R2028" t="s">
        <v>13968</v>
      </c>
      <c r="W2028" t="s">
        <v>13967</v>
      </c>
      <c r="X2028" t="s">
        <v>191</v>
      </c>
      <c r="Y2028" t="s">
        <v>97</v>
      </c>
      <c r="Z2028" t="s">
        <v>77</v>
      </c>
      <c r="AA2028" t="str">
        <f>"10019-1147"</f>
        <v>10019-1147</v>
      </c>
      <c r="AB2028" t="s">
        <v>78</v>
      </c>
      <c r="AC2028" t="s">
        <v>79</v>
      </c>
      <c r="AD2028" t="s">
        <v>75</v>
      </c>
      <c r="AE2028" t="s">
        <v>80</v>
      </c>
      <c r="AG2028" t="s">
        <v>81</v>
      </c>
    </row>
    <row r="2029" spans="1:33" x14ac:dyDescent="0.25">
      <c r="A2029" t="str">
        <f>"1821364266"</f>
        <v>1821364266</v>
      </c>
      <c r="C2029" t="s">
        <v>13969</v>
      </c>
      <c r="K2029" t="s">
        <v>99</v>
      </c>
      <c r="L2029" t="s">
        <v>102</v>
      </c>
      <c r="M2029" t="s">
        <v>75</v>
      </c>
      <c r="R2029" t="s">
        <v>13970</v>
      </c>
      <c r="S2029" t="s">
        <v>13971</v>
      </c>
      <c r="T2029" t="s">
        <v>1789</v>
      </c>
      <c r="U2029" t="s">
        <v>285</v>
      </c>
      <c r="V2029" t="str">
        <f>"606371447"</f>
        <v>606371447</v>
      </c>
      <c r="AC2029" t="s">
        <v>79</v>
      </c>
      <c r="AD2029" t="s">
        <v>75</v>
      </c>
      <c r="AE2029" t="s">
        <v>103</v>
      </c>
      <c r="AG2029" t="s">
        <v>81</v>
      </c>
    </row>
    <row r="2030" spans="1:33" x14ac:dyDescent="0.25">
      <c r="A2030" t="str">
        <f>"1780092585"</f>
        <v>1780092585</v>
      </c>
      <c r="C2030" t="s">
        <v>13972</v>
      </c>
      <c r="K2030" t="s">
        <v>99</v>
      </c>
      <c r="L2030" t="s">
        <v>102</v>
      </c>
      <c r="M2030" t="s">
        <v>75</v>
      </c>
      <c r="R2030" t="s">
        <v>13973</v>
      </c>
      <c r="S2030" t="s">
        <v>13974</v>
      </c>
      <c r="T2030" t="s">
        <v>97</v>
      </c>
      <c r="U2030" t="s">
        <v>77</v>
      </c>
      <c r="V2030" t="str">
        <f>"100259823"</f>
        <v>100259823</v>
      </c>
      <c r="AC2030" t="s">
        <v>79</v>
      </c>
      <c r="AD2030" t="s">
        <v>75</v>
      </c>
      <c r="AE2030" t="s">
        <v>103</v>
      </c>
      <c r="AG2030" t="s">
        <v>81</v>
      </c>
    </row>
    <row r="2031" spans="1:33" x14ac:dyDescent="0.25">
      <c r="A2031" t="str">
        <f>"1871883918"</f>
        <v>1871883918</v>
      </c>
      <c r="C2031" t="s">
        <v>13975</v>
      </c>
      <c r="K2031" t="s">
        <v>99</v>
      </c>
      <c r="L2031" t="s">
        <v>102</v>
      </c>
      <c r="M2031" t="s">
        <v>75</v>
      </c>
      <c r="R2031" t="s">
        <v>13976</v>
      </c>
      <c r="S2031" t="s">
        <v>13977</v>
      </c>
      <c r="T2031" t="s">
        <v>97</v>
      </c>
      <c r="U2031" t="s">
        <v>77</v>
      </c>
      <c r="V2031" t="str">
        <f>"100251737"</f>
        <v>100251737</v>
      </c>
      <c r="AC2031" t="s">
        <v>79</v>
      </c>
      <c r="AD2031" t="s">
        <v>75</v>
      </c>
      <c r="AE2031" t="s">
        <v>103</v>
      </c>
      <c r="AG2031" t="s">
        <v>81</v>
      </c>
    </row>
    <row r="2032" spans="1:33" x14ac:dyDescent="0.25">
      <c r="A2032" t="str">
        <f>"1932465333"</f>
        <v>1932465333</v>
      </c>
      <c r="B2032" t="str">
        <f>"04502109"</f>
        <v>04502109</v>
      </c>
      <c r="C2032" t="s">
        <v>13978</v>
      </c>
      <c r="D2032" t="s">
        <v>13979</v>
      </c>
      <c r="E2032" t="s">
        <v>13980</v>
      </c>
      <c r="L2032" t="s">
        <v>74</v>
      </c>
      <c r="M2032" t="s">
        <v>75</v>
      </c>
      <c r="R2032" t="s">
        <v>13980</v>
      </c>
      <c r="W2032" t="s">
        <v>13980</v>
      </c>
      <c r="AB2032" t="s">
        <v>78</v>
      </c>
      <c r="AC2032" t="s">
        <v>79</v>
      </c>
      <c r="AD2032" t="s">
        <v>75</v>
      </c>
      <c r="AE2032" t="s">
        <v>80</v>
      </c>
      <c r="AG2032" t="s">
        <v>81</v>
      </c>
    </row>
    <row r="2033" spans="1:33" x14ac:dyDescent="0.25">
      <c r="A2033" t="str">
        <f>"1114928967"</f>
        <v>1114928967</v>
      </c>
      <c r="B2033" t="str">
        <f>"01251087"</f>
        <v>01251087</v>
      </c>
      <c r="C2033" t="s">
        <v>13981</v>
      </c>
      <c r="D2033" t="s">
        <v>13982</v>
      </c>
      <c r="E2033" t="s">
        <v>13983</v>
      </c>
      <c r="H2033" t="s">
        <v>13984</v>
      </c>
      <c r="J2033" t="s">
        <v>13985</v>
      </c>
      <c r="L2033" t="s">
        <v>83</v>
      </c>
      <c r="M2033" t="s">
        <v>85</v>
      </c>
      <c r="R2033" t="s">
        <v>13986</v>
      </c>
      <c r="W2033" t="s">
        <v>13983</v>
      </c>
      <c r="X2033" t="s">
        <v>11808</v>
      </c>
      <c r="Y2033" t="s">
        <v>2664</v>
      </c>
      <c r="Z2033" t="s">
        <v>77</v>
      </c>
      <c r="AA2033" t="str">
        <f>"11772-4863"</f>
        <v>11772-4863</v>
      </c>
      <c r="AB2033" t="s">
        <v>78</v>
      </c>
      <c r="AC2033" t="s">
        <v>79</v>
      </c>
      <c r="AD2033" t="s">
        <v>75</v>
      </c>
      <c r="AE2033" t="s">
        <v>80</v>
      </c>
      <c r="AG2033" t="s">
        <v>81</v>
      </c>
    </row>
    <row r="2034" spans="1:33" x14ac:dyDescent="0.25">
      <c r="A2034" t="str">
        <f>"1639263130"</f>
        <v>1639263130</v>
      </c>
      <c r="B2034" t="str">
        <f>"01070039"</f>
        <v>01070039</v>
      </c>
      <c r="C2034" t="s">
        <v>13987</v>
      </c>
      <c r="D2034" t="s">
        <v>5804</v>
      </c>
      <c r="E2034" t="s">
        <v>5805</v>
      </c>
      <c r="H2034" t="s">
        <v>12222</v>
      </c>
      <c r="J2034" t="s">
        <v>13988</v>
      </c>
      <c r="L2034" t="s">
        <v>83</v>
      </c>
      <c r="M2034" t="s">
        <v>85</v>
      </c>
      <c r="R2034" t="s">
        <v>5806</v>
      </c>
      <c r="W2034" t="s">
        <v>5805</v>
      </c>
      <c r="X2034" t="s">
        <v>5807</v>
      </c>
      <c r="Y2034" t="s">
        <v>131</v>
      </c>
      <c r="Z2034" t="s">
        <v>77</v>
      </c>
      <c r="AA2034" t="str">
        <f>"10461-2375"</f>
        <v>10461-2375</v>
      </c>
      <c r="AB2034" t="s">
        <v>78</v>
      </c>
      <c r="AC2034" t="s">
        <v>79</v>
      </c>
      <c r="AD2034" t="s">
        <v>75</v>
      </c>
      <c r="AE2034" t="s">
        <v>80</v>
      </c>
      <c r="AG2034" t="s">
        <v>81</v>
      </c>
    </row>
    <row r="2035" spans="1:33" x14ac:dyDescent="0.25">
      <c r="A2035" t="str">
        <f>"1427004175"</f>
        <v>1427004175</v>
      </c>
      <c r="B2035" t="str">
        <f>"00764489"</f>
        <v>00764489</v>
      </c>
      <c r="C2035" t="s">
        <v>13989</v>
      </c>
      <c r="D2035" t="s">
        <v>13990</v>
      </c>
      <c r="E2035" t="s">
        <v>13991</v>
      </c>
      <c r="H2035" t="s">
        <v>13992</v>
      </c>
      <c r="J2035" t="s">
        <v>13993</v>
      </c>
      <c r="L2035" t="s">
        <v>83</v>
      </c>
      <c r="M2035" t="s">
        <v>85</v>
      </c>
      <c r="R2035" t="s">
        <v>13994</v>
      </c>
      <c r="W2035" t="s">
        <v>13994</v>
      </c>
      <c r="X2035" t="s">
        <v>13995</v>
      </c>
      <c r="Y2035" t="s">
        <v>1818</v>
      </c>
      <c r="Z2035" t="s">
        <v>77</v>
      </c>
      <c r="AA2035" t="str">
        <f>"11787-1454"</f>
        <v>11787-1454</v>
      </c>
      <c r="AB2035" t="s">
        <v>78</v>
      </c>
      <c r="AC2035" t="s">
        <v>79</v>
      </c>
      <c r="AD2035" t="s">
        <v>75</v>
      </c>
      <c r="AE2035" t="s">
        <v>80</v>
      </c>
      <c r="AG2035" t="s">
        <v>81</v>
      </c>
    </row>
    <row r="2036" spans="1:33" x14ac:dyDescent="0.25">
      <c r="A2036" t="str">
        <f>"1538130802"</f>
        <v>1538130802</v>
      </c>
      <c r="B2036" t="str">
        <f>"01268991"</f>
        <v>01268991</v>
      </c>
      <c r="C2036" t="s">
        <v>13996</v>
      </c>
      <c r="D2036" t="s">
        <v>13997</v>
      </c>
      <c r="E2036" t="s">
        <v>13998</v>
      </c>
      <c r="H2036" t="s">
        <v>13461</v>
      </c>
      <c r="J2036" t="s">
        <v>13999</v>
      </c>
      <c r="L2036" t="s">
        <v>83</v>
      </c>
      <c r="M2036" t="s">
        <v>85</v>
      </c>
      <c r="R2036" t="s">
        <v>14000</v>
      </c>
      <c r="W2036" t="s">
        <v>13998</v>
      </c>
      <c r="X2036" t="s">
        <v>11749</v>
      </c>
      <c r="Y2036" t="s">
        <v>212</v>
      </c>
      <c r="Z2036" t="s">
        <v>77</v>
      </c>
      <c r="AA2036" t="str">
        <f>"11803-4942"</f>
        <v>11803-4942</v>
      </c>
      <c r="AB2036" t="s">
        <v>78</v>
      </c>
      <c r="AC2036" t="s">
        <v>79</v>
      </c>
      <c r="AD2036" t="s">
        <v>75</v>
      </c>
      <c r="AE2036" t="s">
        <v>80</v>
      </c>
      <c r="AG2036" t="s">
        <v>81</v>
      </c>
    </row>
    <row r="2037" spans="1:33" x14ac:dyDescent="0.25">
      <c r="A2037" t="str">
        <f>"1831138049"</f>
        <v>1831138049</v>
      </c>
      <c r="B2037" t="str">
        <f>"02090004"</f>
        <v>02090004</v>
      </c>
      <c r="C2037" t="s">
        <v>14001</v>
      </c>
      <c r="D2037" t="s">
        <v>14002</v>
      </c>
      <c r="E2037" t="s">
        <v>14003</v>
      </c>
      <c r="H2037" t="s">
        <v>11746</v>
      </c>
      <c r="J2037" t="s">
        <v>14004</v>
      </c>
      <c r="L2037" t="s">
        <v>83</v>
      </c>
      <c r="M2037" t="s">
        <v>85</v>
      </c>
      <c r="R2037" t="s">
        <v>14005</v>
      </c>
      <c r="W2037" t="s">
        <v>14003</v>
      </c>
      <c r="X2037" t="s">
        <v>14006</v>
      </c>
      <c r="Y2037" t="s">
        <v>209</v>
      </c>
      <c r="Z2037" t="s">
        <v>77</v>
      </c>
      <c r="AA2037" t="str">
        <f>"11790-2555"</f>
        <v>11790-2555</v>
      </c>
      <c r="AB2037" t="s">
        <v>78</v>
      </c>
      <c r="AC2037" t="s">
        <v>79</v>
      </c>
      <c r="AD2037" t="s">
        <v>75</v>
      </c>
      <c r="AE2037" t="s">
        <v>80</v>
      </c>
      <c r="AG2037" t="s">
        <v>81</v>
      </c>
    </row>
    <row r="2038" spans="1:33" x14ac:dyDescent="0.25">
      <c r="A2038" t="str">
        <f>"1891758710"</f>
        <v>1891758710</v>
      </c>
      <c r="B2038" t="str">
        <f>"02417334"</f>
        <v>02417334</v>
      </c>
      <c r="C2038" t="s">
        <v>14007</v>
      </c>
      <c r="D2038" t="s">
        <v>14008</v>
      </c>
      <c r="E2038" t="s">
        <v>14009</v>
      </c>
      <c r="H2038" t="s">
        <v>13008</v>
      </c>
      <c r="J2038" t="s">
        <v>14010</v>
      </c>
      <c r="L2038" t="s">
        <v>83</v>
      </c>
      <c r="M2038" t="s">
        <v>85</v>
      </c>
      <c r="R2038" t="s">
        <v>14011</v>
      </c>
      <c r="W2038" t="s">
        <v>14009</v>
      </c>
      <c r="X2038" t="s">
        <v>12315</v>
      </c>
      <c r="Y2038" t="s">
        <v>240</v>
      </c>
      <c r="Z2038" t="s">
        <v>77</v>
      </c>
      <c r="AA2038" t="str">
        <f>"11530-1630"</f>
        <v>11530-1630</v>
      </c>
      <c r="AB2038" t="s">
        <v>78</v>
      </c>
      <c r="AC2038" t="s">
        <v>79</v>
      </c>
      <c r="AD2038" t="s">
        <v>75</v>
      </c>
      <c r="AE2038" t="s">
        <v>80</v>
      </c>
      <c r="AG2038" t="s">
        <v>81</v>
      </c>
    </row>
    <row r="2039" spans="1:33" x14ac:dyDescent="0.25">
      <c r="A2039" t="str">
        <f>"1780091553"</f>
        <v>1780091553</v>
      </c>
      <c r="C2039" t="s">
        <v>14012</v>
      </c>
      <c r="K2039" t="s">
        <v>99</v>
      </c>
      <c r="L2039" t="s">
        <v>102</v>
      </c>
      <c r="M2039" t="s">
        <v>75</v>
      </c>
      <c r="R2039" t="s">
        <v>14013</v>
      </c>
      <c r="S2039" t="s">
        <v>14014</v>
      </c>
      <c r="T2039" t="s">
        <v>97</v>
      </c>
      <c r="U2039" t="s">
        <v>77</v>
      </c>
      <c r="V2039" t="str">
        <f>"100191047"</f>
        <v>100191047</v>
      </c>
      <c r="AC2039" t="s">
        <v>79</v>
      </c>
      <c r="AD2039" t="s">
        <v>75</v>
      </c>
      <c r="AE2039" t="s">
        <v>103</v>
      </c>
      <c r="AG2039" t="s">
        <v>81</v>
      </c>
    </row>
    <row r="2040" spans="1:33" x14ac:dyDescent="0.25">
      <c r="A2040" t="str">
        <f>"1306880133"</f>
        <v>1306880133</v>
      </c>
      <c r="B2040" t="str">
        <f>"00213167"</f>
        <v>00213167</v>
      </c>
      <c r="C2040" t="s">
        <v>14015</v>
      </c>
      <c r="D2040" t="s">
        <v>14016</v>
      </c>
      <c r="E2040" t="s">
        <v>14017</v>
      </c>
      <c r="L2040" t="s">
        <v>83</v>
      </c>
      <c r="M2040" t="s">
        <v>85</v>
      </c>
      <c r="R2040" t="s">
        <v>14018</v>
      </c>
      <c r="W2040" t="s">
        <v>14019</v>
      </c>
      <c r="X2040" t="s">
        <v>14020</v>
      </c>
      <c r="Y2040" t="s">
        <v>129</v>
      </c>
      <c r="Z2040" t="s">
        <v>77</v>
      </c>
      <c r="AA2040" t="str">
        <f>"11372-6630"</f>
        <v>11372-6630</v>
      </c>
      <c r="AB2040" t="s">
        <v>78</v>
      </c>
      <c r="AC2040" t="s">
        <v>79</v>
      </c>
      <c r="AD2040" t="s">
        <v>75</v>
      </c>
      <c r="AE2040" t="s">
        <v>80</v>
      </c>
      <c r="AG2040" t="s">
        <v>81</v>
      </c>
    </row>
    <row r="2041" spans="1:33" x14ac:dyDescent="0.25">
      <c r="A2041" t="str">
        <f>"1811277130"</f>
        <v>1811277130</v>
      </c>
      <c r="C2041" t="s">
        <v>14021</v>
      </c>
      <c r="K2041" t="s">
        <v>99</v>
      </c>
      <c r="L2041" t="s">
        <v>102</v>
      </c>
      <c r="M2041" t="s">
        <v>75</v>
      </c>
      <c r="R2041" t="s">
        <v>14022</v>
      </c>
      <c r="S2041" t="s">
        <v>14023</v>
      </c>
      <c r="T2041" t="s">
        <v>97</v>
      </c>
      <c r="U2041" t="s">
        <v>77</v>
      </c>
      <c r="V2041" t="str">
        <f>"100166402"</f>
        <v>100166402</v>
      </c>
      <c r="AC2041" t="s">
        <v>79</v>
      </c>
      <c r="AD2041" t="s">
        <v>75</v>
      </c>
      <c r="AE2041" t="s">
        <v>103</v>
      </c>
      <c r="AG2041" t="s">
        <v>81</v>
      </c>
    </row>
    <row r="2042" spans="1:33" x14ac:dyDescent="0.25">
      <c r="A2042" t="str">
        <f>"1801182555"</f>
        <v>1801182555</v>
      </c>
      <c r="B2042" t="str">
        <f>"04207663"</f>
        <v>04207663</v>
      </c>
      <c r="C2042" t="s">
        <v>14024</v>
      </c>
      <c r="D2042" t="s">
        <v>14025</v>
      </c>
      <c r="E2042" t="s">
        <v>14026</v>
      </c>
      <c r="L2042" t="s">
        <v>74</v>
      </c>
      <c r="M2042" t="s">
        <v>75</v>
      </c>
      <c r="R2042" t="s">
        <v>14027</v>
      </c>
      <c r="W2042" t="s">
        <v>14028</v>
      </c>
      <c r="X2042" t="s">
        <v>14029</v>
      </c>
      <c r="Y2042" t="s">
        <v>97</v>
      </c>
      <c r="Z2042" t="s">
        <v>77</v>
      </c>
      <c r="AA2042" t="str">
        <f>"10029-6501"</f>
        <v>10029-6501</v>
      </c>
      <c r="AB2042" t="s">
        <v>78</v>
      </c>
      <c r="AC2042" t="s">
        <v>79</v>
      </c>
      <c r="AD2042" t="s">
        <v>75</v>
      </c>
      <c r="AE2042" t="s">
        <v>80</v>
      </c>
      <c r="AG2042" t="s">
        <v>81</v>
      </c>
    </row>
    <row r="2043" spans="1:33" x14ac:dyDescent="0.25">
      <c r="A2043" t="str">
        <f>"1942511597"</f>
        <v>1942511597</v>
      </c>
      <c r="C2043" t="s">
        <v>14030</v>
      </c>
      <c r="K2043" t="s">
        <v>99</v>
      </c>
      <c r="L2043" t="s">
        <v>102</v>
      </c>
      <c r="M2043" t="s">
        <v>75</v>
      </c>
      <c r="R2043" t="s">
        <v>14031</v>
      </c>
      <c r="S2043" t="s">
        <v>329</v>
      </c>
      <c r="T2043" t="s">
        <v>97</v>
      </c>
      <c r="U2043" t="s">
        <v>77</v>
      </c>
      <c r="V2043" t="str">
        <f>"100296504"</f>
        <v>100296504</v>
      </c>
      <c r="AC2043" t="s">
        <v>79</v>
      </c>
      <c r="AD2043" t="s">
        <v>75</v>
      </c>
      <c r="AE2043" t="s">
        <v>103</v>
      </c>
      <c r="AG2043" t="s">
        <v>81</v>
      </c>
    </row>
    <row r="2044" spans="1:33" x14ac:dyDescent="0.25">
      <c r="A2044" t="str">
        <f>"1831464932"</f>
        <v>1831464932</v>
      </c>
      <c r="C2044" t="s">
        <v>14032</v>
      </c>
      <c r="K2044" t="s">
        <v>99</v>
      </c>
      <c r="L2044" t="s">
        <v>102</v>
      </c>
      <c r="M2044" t="s">
        <v>75</v>
      </c>
      <c r="R2044" t="s">
        <v>14033</v>
      </c>
      <c r="S2044" t="s">
        <v>2926</v>
      </c>
      <c r="T2044" t="s">
        <v>97</v>
      </c>
      <c r="U2044" t="s">
        <v>77</v>
      </c>
      <c r="V2044" t="str">
        <f>"100296503"</f>
        <v>100296503</v>
      </c>
      <c r="AC2044" t="s">
        <v>79</v>
      </c>
      <c r="AD2044" t="s">
        <v>75</v>
      </c>
      <c r="AE2044" t="s">
        <v>103</v>
      </c>
      <c r="AG2044" t="s">
        <v>81</v>
      </c>
    </row>
    <row r="2045" spans="1:33" x14ac:dyDescent="0.25">
      <c r="A2045" t="str">
        <f>"1861783938"</f>
        <v>1861783938</v>
      </c>
      <c r="B2045" t="str">
        <f>"04160990"</f>
        <v>04160990</v>
      </c>
      <c r="C2045" t="s">
        <v>14034</v>
      </c>
      <c r="D2045" t="s">
        <v>14035</v>
      </c>
      <c r="E2045" t="s">
        <v>14036</v>
      </c>
      <c r="L2045" t="s">
        <v>74</v>
      </c>
      <c r="M2045" t="s">
        <v>75</v>
      </c>
      <c r="R2045" t="s">
        <v>14037</v>
      </c>
      <c r="W2045" t="s">
        <v>14036</v>
      </c>
      <c r="X2045" t="s">
        <v>86</v>
      </c>
      <c r="Y2045" t="s">
        <v>87</v>
      </c>
      <c r="Z2045" t="s">
        <v>77</v>
      </c>
      <c r="AA2045" t="str">
        <f>"11220-2508"</f>
        <v>11220-2508</v>
      </c>
      <c r="AB2045" t="s">
        <v>78</v>
      </c>
      <c r="AC2045" t="s">
        <v>79</v>
      </c>
      <c r="AD2045" t="s">
        <v>75</v>
      </c>
      <c r="AE2045" t="s">
        <v>80</v>
      </c>
      <c r="AG2045" t="s">
        <v>81</v>
      </c>
    </row>
    <row r="2046" spans="1:33" x14ac:dyDescent="0.25">
      <c r="A2046" t="str">
        <f>"1962795781"</f>
        <v>1962795781</v>
      </c>
      <c r="C2046" t="s">
        <v>14038</v>
      </c>
      <c r="K2046" t="s">
        <v>99</v>
      </c>
      <c r="L2046" t="s">
        <v>102</v>
      </c>
      <c r="M2046" t="s">
        <v>75</v>
      </c>
      <c r="R2046" t="s">
        <v>14039</v>
      </c>
      <c r="S2046" t="s">
        <v>14040</v>
      </c>
      <c r="T2046" t="s">
        <v>1783</v>
      </c>
      <c r="U2046" t="s">
        <v>1784</v>
      </c>
      <c r="V2046" t="str">
        <f>"191044238"</f>
        <v>191044238</v>
      </c>
      <c r="AC2046" t="s">
        <v>79</v>
      </c>
      <c r="AD2046" t="s">
        <v>75</v>
      </c>
      <c r="AE2046" t="s">
        <v>103</v>
      </c>
      <c r="AG2046" t="s">
        <v>81</v>
      </c>
    </row>
    <row r="2047" spans="1:33" x14ac:dyDescent="0.25">
      <c r="A2047" t="str">
        <f>"1790076941"</f>
        <v>1790076941</v>
      </c>
      <c r="C2047" t="s">
        <v>14041</v>
      </c>
      <c r="K2047" t="s">
        <v>99</v>
      </c>
      <c r="L2047" t="s">
        <v>102</v>
      </c>
      <c r="M2047" t="s">
        <v>75</v>
      </c>
      <c r="R2047" t="s">
        <v>14042</v>
      </c>
      <c r="S2047" t="s">
        <v>329</v>
      </c>
      <c r="T2047" t="s">
        <v>97</v>
      </c>
      <c r="U2047" t="s">
        <v>77</v>
      </c>
      <c r="V2047" t="str">
        <f>"100296504"</f>
        <v>100296504</v>
      </c>
      <c r="AC2047" t="s">
        <v>79</v>
      </c>
      <c r="AD2047" t="s">
        <v>75</v>
      </c>
      <c r="AE2047" t="s">
        <v>103</v>
      </c>
      <c r="AG2047" t="s">
        <v>81</v>
      </c>
    </row>
    <row r="2048" spans="1:33" x14ac:dyDescent="0.25">
      <c r="A2048" t="str">
        <f>"1952643785"</f>
        <v>1952643785</v>
      </c>
      <c r="C2048" t="s">
        <v>14043</v>
      </c>
      <c r="K2048" t="s">
        <v>99</v>
      </c>
      <c r="L2048" t="s">
        <v>102</v>
      </c>
      <c r="M2048" t="s">
        <v>75</v>
      </c>
      <c r="R2048" t="s">
        <v>14044</v>
      </c>
      <c r="S2048" t="s">
        <v>14045</v>
      </c>
      <c r="T2048" t="s">
        <v>97</v>
      </c>
      <c r="U2048" t="s">
        <v>77</v>
      </c>
      <c r="V2048" t="str">
        <f>"10029"</f>
        <v>10029</v>
      </c>
      <c r="AC2048" t="s">
        <v>79</v>
      </c>
      <c r="AD2048" t="s">
        <v>75</v>
      </c>
      <c r="AE2048" t="s">
        <v>103</v>
      </c>
      <c r="AG2048" t="s">
        <v>81</v>
      </c>
    </row>
    <row r="2049" spans="1:33" x14ac:dyDescent="0.25">
      <c r="A2049" t="str">
        <f>"1982047163"</f>
        <v>1982047163</v>
      </c>
      <c r="C2049" t="s">
        <v>14046</v>
      </c>
      <c r="K2049" t="s">
        <v>99</v>
      </c>
      <c r="L2049" t="s">
        <v>102</v>
      </c>
      <c r="M2049" t="s">
        <v>75</v>
      </c>
      <c r="R2049" t="s">
        <v>14047</v>
      </c>
      <c r="S2049" t="s">
        <v>14048</v>
      </c>
      <c r="T2049" t="s">
        <v>1827</v>
      </c>
      <c r="U2049" t="s">
        <v>77</v>
      </c>
      <c r="V2049" t="str">
        <f>"121444713"</f>
        <v>121444713</v>
      </c>
      <c r="AC2049" t="s">
        <v>79</v>
      </c>
      <c r="AD2049" t="s">
        <v>75</v>
      </c>
      <c r="AE2049" t="s">
        <v>103</v>
      </c>
      <c r="AG2049" t="s">
        <v>81</v>
      </c>
    </row>
    <row r="2050" spans="1:33" x14ac:dyDescent="0.25">
      <c r="A2050" t="str">
        <f>"1871869511"</f>
        <v>1871869511</v>
      </c>
      <c r="C2050" t="s">
        <v>14049</v>
      </c>
      <c r="K2050" t="s">
        <v>99</v>
      </c>
      <c r="L2050" t="s">
        <v>102</v>
      </c>
      <c r="M2050" t="s">
        <v>75</v>
      </c>
      <c r="R2050" t="s">
        <v>14050</v>
      </c>
      <c r="S2050" t="s">
        <v>191</v>
      </c>
      <c r="T2050" t="s">
        <v>97</v>
      </c>
      <c r="U2050" t="s">
        <v>77</v>
      </c>
      <c r="V2050" t="str">
        <f>"100191147"</f>
        <v>100191147</v>
      </c>
      <c r="AC2050" t="s">
        <v>79</v>
      </c>
      <c r="AD2050" t="s">
        <v>75</v>
      </c>
      <c r="AE2050" t="s">
        <v>103</v>
      </c>
      <c r="AG2050" t="s">
        <v>81</v>
      </c>
    </row>
    <row r="2051" spans="1:33" x14ac:dyDescent="0.25">
      <c r="A2051" t="str">
        <f>"1780785071"</f>
        <v>1780785071</v>
      </c>
      <c r="B2051" t="str">
        <f>"00258966"</f>
        <v>00258966</v>
      </c>
      <c r="C2051" t="s">
        <v>14051</v>
      </c>
      <c r="D2051" t="s">
        <v>14052</v>
      </c>
      <c r="E2051" t="s">
        <v>14053</v>
      </c>
      <c r="L2051" t="s">
        <v>74</v>
      </c>
      <c r="M2051" t="s">
        <v>75</v>
      </c>
      <c r="R2051" t="s">
        <v>14054</v>
      </c>
      <c r="W2051" t="s">
        <v>14053</v>
      </c>
      <c r="X2051" t="s">
        <v>14055</v>
      </c>
      <c r="Y2051" t="s">
        <v>97</v>
      </c>
      <c r="Z2051" t="s">
        <v>77</v>
      </c>
      <c r="AA2051" t="str">
        <f>"10032-3720"</f>
        <v>10032-3720</v>
      </c>
      <c r="AB2051" t="s">
        <v>78</v>
      </c>
      <c r="AC2051" t="s">
        <v>79</v>
      </c>
      <c r="AD2051" t="s">
        <v>75</v>
      </c>
      <c r="AE2051" t="s">
        <v>80</v>
      </c>
      <c r="AG2051" t="s">
        <v>81</v>
      </c>
    </row>
    <row r="2052" spans="1:33" x14ac:dyDescent="0.25">
      <c r="A2052" t="str">
        <f>"1932493913"</f>
        <v>1932493913</v>
      </c>
      <c r="B2052" t="str">
        <f>"04171844"</f>
        <v>04171844</v>
      </c>
      <c r="C2052" t="s">
        <v>14056</v>
      </c>
      <c r="D2052" t="s">
        <v>14057</v>
      </c>
      <c r="E2052" t="s">
        <v>14058</v>
      </c>
      <c r="L2052" t="s">
        <v>74</v>
      </c>
      <c r="M2052" t="s">
        <v>75</v>
      </c>
      <c r="R2052" t="s">
        <v>14059</v>
      </c>
      <c r="W2052" t="s">
        <v>14058</v>
      </c>
      <c r="X2052" t="s">
        <v>14060</v>
      </c>
      <c r="Y2052" t="s">
        <v>171</v>
      </c>
      <c r="Z2052" t="s">
        <v>77</v>
      </c>
      <c r="AA2052" t="str">
        <f>"11432-3822"</f>
        <v>11432-3822</v>
      </c>
      <c r="AB2052" t="s">
        <v>78</v>
      </c>
      <c r="AC2052" t="s">
        <v>79</v>
      </c>
      <c r="AD2052" t="s">
        <v>75</v>
      </c>
      <c r="AE2052" t="s">
        <v>80</v>
      </c>
      <c r="AG2052" t="s">
        <v>81</v>
      </c>
    </row>
    <row r="2053" spans="1:33" x14ac:dyDescent="0.25">
      <c r="A2053" t="str">
        <f>"1841619624"</f>
        <v>1841619624</v>
      </c>
      <c r="C2053" t="s">
        <v>14061</v>
      </c>
      <c r="K2053" t="s">
        <v>99</v>
      </c>
      <c r="L2053" t="s">
        <v>102</v>
      </c>
      <c r="M2053" t="s">
        <v>75</v>
      </c>
      <c r="R2053" t="s">
        <v>14062</v>
      </c>
      <c r="S2053" t="s">
        <v>14063</v>
      </c>
      <c r="T2053" t="s">
        <v>97</v>
      </c>
      <c r="U2053" t="s">
        <v>77</v>
      </c>
      <c r="V2053" t="str">
        <f>"100296574"</f>
        <v>100296574</v>
      </c>
      <c r="AC2053" t="s">
        <v>79</v>
      </c>
      <c r="AD2053" t="s">
        <v>75</v>
      </c>
      <c r="AE2053" t="s">
        <v>103</v>
      </c>
      <c r="AG2053" t="s">
        <v>81</v>
      </c>
    </row>
    <row r="2054" spans="1:33" x14ac:dyDescent="0.25">
      <c r="A2054" t="str">
        <f>"1841516952"</f>
        <v>1841516952</v>
      </c>
      <c r="C2054" t="s">
        <v>14064</v>
      </c>
      <c r="K2054" t="s">
        <v>99</v>
      </c>
      <c r="L2054" t="s">
        <v>102</v>
      </c>
      <c r="M2054" t="s">
        <v>75</v>
      </c>
      <c r="R2054" t="s">
        <v>14065</v>
      </c>
      <c r="S2054" t="s">
        <v>14066</v>
      </c>
      <c r="T2054" t="s">
        <v>97</v>
      </c>
      <c r="U2054" t="s">
        <v>77</v>
      </c>
      <c r="V2054" t="str">
        <f>"100296504"</f>
        <v>100296504</v>
      </c>
      <c r="AC2054" t="s">
        <v>79</v>
      </c>
      <c r="AD2054" t="s">
        <v>75</v>
      </c>
      <c r="AE2054" t="s">
        <v>103</v>
      </c>
      <c r="AG2054" t="s">
        <v>81</v>
      </c>
    </row>
    <row r="2055" spans="1:33" x14ac:dyDescent="0.25">
      <c r="A2055" t="str">
        <f>"1881919256"</f>
        <v>1881919256</v>
      </c>
      <c r="B2055" t="str">
        <f>"03696086"</f>
        <v>03696086</v>
      </c>
      <c r="C2055" t="s">
        <v>14067</v>
      </c>
      <c r="D2055" t="s">
        <v>14068</v>
      </c>
      <c r="E2055" t="s">
        <v>14069</v>
      </c>
      <c r="L2055" t="s">
        <v>74</v>
      </c>
      <c r="M2055" t="s">
        <v>75</v>
      </c>
      <c r="R2055" t="s">
        <v>14070</v>
      </c>
      <c r="W2055" t="s">
        <v>14069</v>
      </c>
      <c r="X2055" t="s">
        <v>329</v>
      </c>
      <c r="Y2055" t="s">
        <v>97</v>
      </c>
      <c r="Z2055" t="s">
        <v>77</v>
      </c>
      <c r="AA2055" t="str">
        <f>"10029-6504"</f>
        <v>10029-6504</v>
      </c>
      <c r="AB2055" t="s">
        <v>78</v>
      </c>
      <c r="AC2055" t="s">
        <v>79</v>
      </c>
      <c r="AD2055" t="s">
        <v>75</v>
      </c>
      <c r="AE2055" t="s">
        <v>80</v>
      </c>
      <c r="AG2055" t="s">
        <v>81</v>
      </c>
    </row>
    <row r="2056" spans="1:33" x14ac:dyDescent="0.25">
      <c r="A2056" t="str">
        <f>"1992021281"</f>
        <v>1992021281</v>
      </c>
      <c r="B2056" t="str">
        <f>"03690773"</f>
        <v>03690773</v>
      </c>
      <c r="C2056" t="s">
        <v>14071</v>
      </c>
      <c r="D2056" t="s">
        <v>14072</v>
      </c>
      <c r="E2056" t="s">
        <v>14073</v>
      </c>
      <c r="L2056" t="s">
        <v>74</v>
      </c>
      <c r="M2056" t="s">
        <v>75</v>
      </c>
      <c r="R2056" t="s">
        <v>14074</v>
      </c>
      <c r="W2056" t="s">
        <v>14073</v>
      </c>
      <c r="X2056" t="s">
        <v>329</v>
      </c>
      <c r="Y2056" t="s">
        <v>97</v>
      </c>
      <c r="Z2056" t="s">
        <v>77</v>
      </c>
      <c r="AA2056" t="str">
        <f>"10029-6504"</f>
        <v>10029-6504</v>
      </c>
      <c r="AB2056" t="s">
        <v>78</v>
      </c>
      <c r="AC2056" t="s">
        <v>79</v>
      </c>
      <c r="AD2056" t="s">
        <v>75</v>
      </c>
      <c r="AE2056" t="s">
        <v>80</v>
      </c>
      <c r="AG2056" t="s">
        <v>81</v>
      </c>
    </row>
    <row r="2057" spans="1:33" x14ac:dyDescent="0.25">
      <c r="A2057" t="str">
        <f>"1780751016"</f>
        <v>1780751016</v>
      </c>
      <c r="B2057" t="str">
        <f>"01239409"</f>
        <v>01239409</v>
      </c>
      <c r="C2057" t="s">
        <v>14075</v>
      </c>
      <c r="D2057" t="s">
        <v>14076</v>
      </c>
      <c r="E2057" t="s">
        <v>14077</v>
      </c>
      <c r="H2057" t="s">
        <v>13657</v>
      </c>
      <c r="J2057" t="s">
        <v>14078</v>
      </c>
      <c r="L2057" t="s">
        <v>83</v>
      </c>
      <c r="M2057" t="s">
        <v>85</v>
      </c>
      <c r="R2057" t="s">
        <v>14079</v>
      </c>
      <c r="W2057" t="s">
        <v>14077</v>
      </c>
      <c r="X2057" t="s">
        <v>11597</v>
      </c>
      <c r="Y2057" t="s">
        <v>2128</v>
      </c>
      <c r="Z2057" t="s">
        <v>77</v>
      </c>
      <c r="AA2057" t="str">
        <f>"11743-2743"</f>
        <v>11743-2743</v>
      </c>
      <c r="AB2057" t="s">
        <v>78</v>
      </c>
      <c r="AC2057" t="s">
        <v>79</v>
      </c>
      <c r="AD2057" t="s">
        <v>75</v>
      </c>
      <c r="AE2057" t="s">
        <v>80</v>
      </c>
      <c r="AG2057" t="s">
        <v>81</v>
      </c>
    </row>
    <row r="2058" spans="1:33" x14ac:dyDescent="0.25">
      <c r="A2058" t="str">
        <f>"1851378210"</f>
        <v>1851378210</v>
      </c>
      <c r="B2058" t="str">
        <f>"00467607"</f>
        <v>00467607</v>
      </c>
      <c r="C2058" t="s">
        <v>14080</v>
      </c>
      <c r="D2058" t="s">
        <v>14081</v>
      </c>
      <c r="E2058" t="s">
        <v>14082</v>
      </c>
      <c r="H2058" t="s">
        <v>14083</v>
      </c>
      <c r="J2058" t="s">
        <v>14084</v>
      </c>
      <c r="L2058" t="s">
        <v>83</v>
      </c>
      <c r="M2058" t="s">
        <v>85</v>
      </c>
      <c r="R2058" t="s">
        <v>14085</v>
      </c>
      <c r="W2058" t="s">
        <v>14082</v>
      </c>
      <c r="X2058" t="s">
        <v>14086</v>
      </c>
      <c r="Y2058" t="s">
        <v>1818</v>
      </c>
      <c r="Z2058" t="s">
        <v>77</v>
      </c>
      <c r="AA2058" t="str">
        <f>"11787-4750"</f>
        <v>11787-4750</v>
      </c>
      <c r="AB2058" t="s">
        <v>78</v>
      </c>
      <c r="AC2058" t="s">
        <v>79</v>
      </c>
      <c r="AD2058" t="s">
        <v>75</v>
      </c>
      <c r="AE2058" t="s">
        <v>80</v>
      </c>
      <c r="AG2058" t="s">
        <v>81</v>
      </c>
    </row>
    <row r="2059" spans="1:33" x14ac:dyDescent="0.25">
      <c r="A2059" t="str">
        <f>"1871912527"</f>
        <v>1871912527</v>
      </c>
      <c r="C2059" t="s">
        <v>14087</v>
      </c>
      <c r="K2059" t="s">
        <v>99</v>
      </c>
      <c r="L2059" t="s">
        <v>102</v>
      </c>
      <c r="M2059" t="s">
        <v>75</v>
      </c>
      <c r="R2059" t="s">
        <v>14088</v>
      </c>
      <c r="S2059" t="s">
        <v>130</v>
      </c>
      <c r="T2059" t="s">
        <v>131</v>
      </c>
      <c r="U2059" t="s">
        <v>77</v>
      </c>
      <c r="V2059" t="str">
        <f>"104611138"</f>
        <v>104611138</v>
      </c>
      <c r="AC2059" t="s">
        <v>79</v>
      </c>
      <c r="AD2059" t="s">
        <v>75</v>
      </c>
      <c r="AE2059" t="s">
        <v>103</v>
      </c>
      <c r="AG2059" t="s">
        <v>81</v>
      </c>
    </row>
    <row r="2060" spans="1:33" x14ac:dyDescent="0.25">
      <c r="A2060" t="str">
        <f>"1841583473"</f>
        <v>1841583473</v>
      </c>
      <c r="C2060" t="s">
        <v>14089</v>
      </c>
      <c r="K2060" t="s">
        <v>99</v>
      </c>
      <c r="L2060" t="s">
        <v>102</v>
      </c>
      <c r="M2060" t="s">
        <v>75</v>
      </c>
      <c r="R2060" t="s">
        <v>14090</v>
      </c>
      <c r="S2060" t="s">
        <v>14091</v>
      </c>
      <c r="T2060" t="s">
        <v>97</v>
      </c>
      <c r="U2060" t="s">
        <v>77</v>
      </c>
      <c r="V2060" t="str">
        <f>"100440097"</f>
        <v>100440097</v>
      </c>
      <c r="AC2060" t="s">
        <v>79</v>
      </c>
      <c r="AD2060" t="s">
        <v>75</v>
      </c>
      <c r="AE2060" t="s">
        <v>103</v>
      </c>
      <c r="AG2060" t="s">
        <v>81</v>
      </c>
    </row>
    <row r="2061" spans="1:33" x14ac:dyDescent="0.25">
      <c r="A2061" t="str">
        <f>"1942590880"</f>
        <v>1942590880</v>
      </c>
      <c r="C2061" t="s">
        <v>14092</v>
      </c>
      <c r="K2061" t="s">
        <v>99</v>
      </c>
      <c r="L2061" t="s">
        <v>102</v>
      </c>
      <c r="M2061" t="s">
        <v>75</v>
      </c>
      <c r="R2061" t="s">
        <v>14093</v>
      </c>
      <c r="S2061" t="s">
        <v>14094</v>
      </c>
      <c r="T2061" t="s">
        <v>97</v>
      </c>
      <c r="U2061" t="s">
        <v>77</v>
      </c>
      <c r="V2061" t="str">
        <f>"100102640"</f>
        <v>100102640</v>
      </c>
      <c r="AC2061" t="s">
        <v>79</v>
      </c>
      <c r="AD2061" t="s">
        <v>75</v>
      </c>
      <c r="AE2061" t="s">
        <v>103</v>
      </c>
      <c r="AG2061" t="s">
        <v>81</v>
      </c>
    </row>
    <row r="2062" spans="1:33" x14ac:dyDescent="0.25">
      <c r="A2062" t="str">
        <f>"1982021135"</f>
        <v>1982021135</v>
      </c>
      <c r="C2062" t="s">
        <v>14095</v>
      </c>
      <c r="K2062" t="s">
        <v>99</v>
      </c>
      <c r="L2062" t="s">
        <v>102</v>
      </c>
      <c r="M2062" t="s">
        <v>75</v>
      </c>
      <c r="R2062" t="s">
        <v>14096</v>
      </c>
      <c r="S2062" t="s">
        <v>14097</v>
      </c>
      <c r="T2062" t="s">
        <v>97</v>
      </c>
      <c r="U2062" t="s">
        <v>77</v>
      </c>
      <c r="V2062" t="str">
        <f>"100245787"</f>
        <v>100245787</v>
      </c>
      <c r="AC2062" t="s">
        <v>79</v>
      </c>
      <c r="AD2062" t="s">
        <v>75</v>
      </c>
      <c r="AE2062" t="s">
        <v>103</v>
      </c>
      <c r="AG2062" t="s">
        <v>81</v>
      </c>
    </row>
    <row r="2063" spans="1:33" x14ac:dyDescent="0.25">
      <c r="A2063" t="str">
        <f>"1972920825"</f>
        <v>1972920825</v>
      </c>
      <c r="C2063" t="s">
        <v>14098</v>
      </c>
      <c r="K2063" t="s">
        <v>99</v>
      </c>
      <c r="L2063" t="s">
        <v>102</v>
      </c>
      <c r="M2063" t="s">
        <v>75</v>
      </c>
      <c r="R2063" t="s">
        <v>14099</v>
      </c>
      <c r="S2063" t="s">
        <v>11489</v>
      </c>
      <c r="T2063" t="s">
        <v>97</v>
      </c>
      <c r="U2063" t="s">
        <v>77</v>
      </c>
      <c r="V2063" t="str">
        <f>"100033804"</f>
        <v>100033804</v>
      </c>
      <c r="AC2063" t="s">
        <v>79</v>
      </c>
      <c r="AD2063" t="s">
        <v>75</v>
      </c>
      <c r="AE2063" t="s">
        <v>103</v>
      </c>
      <c r="AG2063" t="s">
        <v>81</v>
      </c>
    </row>
    <row r="2064" spans="1:33" x14ac:dyDescent="0.25">
      <c r="A2064" t="str">
        <f>"1962781138"</f>
        <v>1962781138</v>
      </c>
      <c r="C2064" t="s">
        <v>14100</v>
      </c>
      <c r="K2064" t="s">
        <v>99</v>
      </c>
      <c r="L2064" t="s">
        <v>102</v>
      </c>
      <c r="M2064" t="s">
        <v>75</v>
      </c>
      <c r="R2064" t="s">
        <v>14101</v>
      </c>
      <c r="S2064" t="s">
        <v>14102</v>
      </c>
      <c r="T2064" t="s">
        <v>1789</v>
      </c>
      <c r="U2064" t="s">
        <v>285</v>
      </c>
      <c r="V2064" t="str">
        <f>"606113468"</f>
        <v>606113468</v>
      </c>
      <c r="AC2064" t="s">
        <v>79</v>
      </c>
      <c r="AD2064" t="s">
        <v>75</v>
      </c>
      <c r="AE2064" t="s">
        <v>103</v>
      </c>
      <c r="AG2064" t="s">
        <v>81</v>
      </c>
    </row>
    <row r="2065" spans="1:33" x14ac:dyDescent="0.25">
      <c r="A2065" t="str">
        <f>"1962783357"</f>
        <v>1962783357</v>
      </c>
      <c r="C2065" t="s">
        <v>14103</v>
      </c>
      <c r="K2065" t="s">
        <v>99</v>
      </c>
      <c r="L2065" t="s">
        <v>102</v>
      </c>
      <c r="M2065" t="s">
        <v>75</v>
      </c>
      <c r="R2065" t="s">
        <v>14104</v>
      </c>
      <c r="S2065" t="s">
        <v>14105</v>
      </c>
      <c r="T2065" t="s">
        <v>97</v>
      </c>
      <c r="U2065" t="s">
        <v>77</v>
      </c>
      <c r="V2065" t="str">
        <f>"101280814"</f>
        <v>101280814</v>
      </c>
      <c r="AC2065" t="s">
        <v>79</v>
      </c>
      <c r="AD2065" t="s">
        <v>75</v>
      </c>
      <c r="AE2065" t="s">
        <v>103</v>
      </c>
      <c r="AG2065" t="s">
        <v>81</v>
      </c>
    </row>
    <row r="2066" spans="1:33" x14ac:dyDescent="0.25">
      <c r="A2066" t="str">
        <f>"1881032787"</f>
        <v>1881032787</v>
      </c>
      <c r="C2066" t="s">
        <v>14106</v>
      </c>
      <c r="K2066" t="s">
        <v>99</v>
      </c>
      <c r="L2066" t="s">
        <v>102</v>
      </c>
      <c r="M2066" t="s">
        <v>75</v>
      </c>
      <c r="R2066" t="s">
        <v>14107</v>
      </c>
      <c r="S2066" t="s">
        <v>14108</v>
      </c>
      <c r="T2066" t="s">
        <v>97</v>
      </c>
      <c r="U2066" t="s">
        <v>77</v>
      </c>
      <c r="V2066" t="str">
        <f>"10029"</f>
        <v>10029</v>
      </c>
      <c r="AC2066" t="s">
        <v>79</v>
      </c>
      <c r="AD2066" t="s">
        <v>75</v>
      </c>
      <c r="AE2066" t="s">
        <v>103</v>
      </c>
      <c r="AG2066" t="s">
        <v>81</v>
      </c>
    </row>
    <row r="2067" spans="1:33" x14ac:dyDescent="0.25">
      <c r="A2067" t="str">
        <f>"1972878148"</f>
        <v>1972878148</v>
      </c>
      <c r="C2067" t="s">
        <v>14109</v>
      </c>
      <c r="K2067" t="s">
        <v>99</v>
      </c>
      <c r="L2067" t="s">
        <v>102</v>
      </c>
      <c r="M2067" t="s">
        <v>75</v>
      </c>
      <c r="R2067" t="s">
        <v>14110</v>
      </c>
      <c r="S2067" t="s">
        <v>14111</v>
      </c>
      <c r="T2067" t="s">
        <v>1789</v>
      </c>
      <c r="U2067" t="s">
        <v>285</v>
      </c>
      <c r="V2067" t="str">
        <f>"606074001"</f>
        <v>606074001</v>
      </c>
      <c r="AC2067" t="s">
        <v>79</v>
      </c>
      <c r="AD2067" t="s">
        <v>75</v>
      </c>
      <c r="AE2067" t="s">
        <v>103</v>
      </c>
      <c r="AG2067" t="s">
        <v>81</v>
      </c>
    </row>
    <row r="2068" spans="1:33" x14ac:dyDescent="0.25">
      <c r="A2068" t="str">
        <f>"1982913737"</f>
        <v>1982913737</v>
      </c>
      <c r="B2068" t="str">
        <f>"04207425"</f>
        <v>04207425</v>
      </c>
      <c r="C2068" t="s">
        <v>14112</v>
      </c>
      <c r="D2068" t="s">
        <v>14113</v>
      </c>
      <c r="E2068" t="s">
        <v>14114</v>
      </c>
      <c r="L2068" t="s">
        <v>74</v>
      </c>
      <c r="M2068" t="s">
        <v>75</v>
      </c>
      <c r="R2068" t="s">
        <v>14115</v>
      </c>
      <c r="W2068" t="s">
        <v>14114</v>
      </c>
      <c r="X2068" t="s">
        <v>169</v>
      </c>
      <c r="Y2068" t="s">
        <v>155</v>
      </c>
      <c r="Z2068" t="s">
        <v>77</v>
      </c>
      <c r="AA2068" t="str">
        <f>"10305-3436"</f>
        <v>10305-3436</v>
      </c>
      <c r="AB2068" t="s">
        <v>78</v>
      </c>
      <c r="AC2068" t="s">
        <v>79</v>
      </c>
      <c r="AD2068" t="s">
        <v>75</v>
      </c>
      <c r="AE2068" t="s">
        <v>80</v>
      </c>
      <c r="AG2068" t="s">
        <v>81</v>
      </c>
    </row>
    <row r="2069" spans="1:33" x14ac:dyDescent="0.25">
      <c r="A2069" t="str">
        <f>"1992048615"</f>
        <v>1992048615</v>
      </c>
      <c r="C2069" t="s">
        <v>14116</v>
      </c>
      <c r="K2069" t="s">
        <v>99</v>
      </c>
      <c r="L2069" t="s">
        <v>102</v>
      </c>
      <c r="M2069" t="s">
        <v>75</v>
      </c>
      <c r="R2069" t="s">
        <v>14117</v>
      </c>
      <c r="S2069" t="s">
        <v>14118</v>
      </c>
      <c r="T2069" t="s">
        <v>97</v>
      </c>
      <c r="U2069" t="s">
        <v>77</v>
      </c>
      <c r="V2069" t="str">
        <f>"100033314"</f>
        <v>100033314</v>
      </c>
      <c r="AC2069" t="s">
        <v>79</v>
      </c>
      <c r="AD2069" t="s">
        <v>75</v>
      </c>
      <c r="AE2069" t="s">
        <v>103</v>
      </c>
      <c r="AG2069" t="s">
        <v>81</v>
      </c>
    </row>
    <row r="2070" spans="1:33" x14ac:dyDescent="0.25">
      <c r="A2070" t="str">
        <f>"1912209347"</f>
        <v>1912209347</v>
      </c>
      <c r="C2070" t="s">
        <v>14119</v>
      </c>
      <c r="K2070" t="s">
        <v>99</v>
      </c>
      <c r="L2070" t="s">
        <v>102</v>
      </c>
      <c r="M2070" t="s">
        <v>75</v>
      </c>
      <c r="R2070" t="s">
        <v>14120</v>
      </c>
      <c r="S2070" t="s">
        <v>14121</v>
      </c>
      <c r="T2070" t="s">
        <v>97</v>
      </c>
      <c r="U2070" t="s">
        <v>77</v>
      </c>
      <c r="V2070" t="str">
        <f>"100033314"</f>
        <v>100033314</v>
      </c>
      <c r="AC2070" t="s">
        <v>79</v>
      </c>
      <c r="AD2070" t="s">
        <v>75</v>
      </c>
      <c r="AE2070" t="s">
        <v>103</v>
      </c>
      <c r="AG2070" t="s">
        <v>81</v>
      </c>
    </row>
    <row r="2071" spans="1:33" x14ac:dyDescent="0.25">
      <c r="A2071" t="str">
        <f>"1831489871"</f>
        <v>1831489871</v>
      </c>
      <c r="C2071" t="s">
        <v>14122</v>
      </c>
      <c r="K2071" t="s">
        <v>99</v>
      </c>
      <c r="L2071" t="s">
        <v>102</v>
      </c>
      <c r="M2071" t="s">
        <v>75</v>
      </c>
      <c r="R2071" t="s">
        <v>14123</v>
      </c>
      <c r="S2071" t="s">
        <v>14124</v>
      </c>
      <c r="T2071" t="s">
        <v>14125</v>
      </c>
      <c r="U2071" t="s">
        <v>14126</v>
      </c>
      <c r="V2071" t="str">
        <f>"662134417"</f>
        <v>662134417</v>
      </c>
      <c r="AC2071" t="s">
        <v>79</v>
      </c>
      <c r="AD2071" t="s">
        <v>75</v>
      </c>
      <c r="AE2071" t="s">
        <v>103</v>
      </c>
      <c r="AG2071" t="s">
        <v>81</v>
      </c>
    </row>
    <row r="2072" spans="1:33" x14ac:dyDescent="0.25">
      <c r="A2072" t="str">
        <f>"1972921021"</f>
        <v>1972921021</v>
      </c>
      <c r="C2072" t="s">
        <v>14127</v>
      </c>
      <c r="K2072" t="s">
        <v>99</v>
      </c>
      <c r="L2072" t="s">
        <v>102</v>
      </c>
      <c r="M2072" t="s">
        <v>75</v>
      </c>
      <c r="R2072" t="s">
        <v>14128</v>
      </c>
      <c r="S2072" t="s">
        <v>14129</v>
      </c>
      <c r="T2072" t="s">
        <v>97</v>
      </c>
      <c r="U2072" t="s">
        <v>77</v>
      </c>
      <c r="V2072" t="str">
        <f>"100033804"</f>
        <v>100033804</v>
      </c>
      <c r="AC2072" t="s">
        <v>79</v>
      </c>
      <c r="AD2072" t="s">
        <v>75</v>
      </c>
      <c r="AE2072" t="s">
        <v>103</v>
      </c>
      <c r="AG2072" t="s">
        <v>81</v>
      </c>
    </row>
    <row r="2073" spans="1:33" x14ac:dyDescent="0.25">
      <c r="A2073" t="str">
        <f>"1861743403"</f>
        <v>1861743403</v>
      </c>
      <c r="C2073" t="s">
        <v>14130</v>
      </c>
      <c r="K2073" t="s">
        <v>99</v>
      </c>
      <c r="L2073" t="s">
        <v>102</v>
      </c>
      <c r="M2073" t="s">
        <v>75</v>
      </c>
      <c r="R2073" t="s">
        <v>14131</v>
      </c>
      <c r="S2073" t="s">
        <v>14132</v>
      </c>
      <c r="T2073" t="s">
        <v>97</v>
      </c>
      <c r="U2073" t="s">
        <v>77</v>
      </c>
      <c r="V2073" t="str">
        <f>"100033804"</f>
        <v>100033804</v>
      </c>
      <c r="AC2073" t="s">
        <v>79</v>
      </c>
      <c r="AD2073" t="s">
        <v>75</v>
      </c>
      <c r="AE2073" t="s">
        <v>103</v>
      </c>
      <c r="AG2073" t="s">
        <v>81</v>
      </c>
    </row>
    <row r="2074" spans="1:33" x14ac:dyDescent="0.25">
      <c r="A2074" t="str">
        <f>"1902164288"</f>
        <v>1902164288</v>
      </c>
      <c r="C2074" t="s">
        <v>14133</v>
      </c>
      <c r="K2074" t="s">
        <v>99</v>
      </c>
      <c r="L2074" t="s">
        <v>102</v>
      </c>
      <c r="M2074" t="s">
        <v>75</v>
      </c>
      <c r="R2074" t="s">
        <v>14134</v>
      </c>
      <c r="S2074" t="s">
        <v>4607</v>
      </c>
      <c r="T2074" t="s">
        <v>4515</v>
      </c>
      <c r="U2074" t="s">
        <v>1842</v>
      </c>
      <c r="V2074" t="str">
        <f>"066064201"</f>
        <v>066064201</v>
      </c>
      <c r="AC2074" t="s">
        <v>79</v>
      </c>
      <c r="AD2074" t="s">
        <v>75</v>
      </c>
      <c r="AE2074" t="s">
        <v>103</v>
      </c>
      <c r="AG2074" t="s">
        <v>81</v>
      </c>
    </row>
    <row r="2075" spans="1:33" x14ac:dyDescent="0.25">
      <c r="A2075" t="str">
        <f>"1972921765"</f>
        <v>1972921765</v>
      </c>
      <c r="C2075" t="s">
        <v>14135</v>
      </c>
      <c r="K2075" t="s">
        <v>99</v>
      </c>
      <c r="L2075" t="s">
        <v>102</v>
      </c>
      <c r="M2075" t="s">
        <v>75</v>
      </c>
      <c r="R2075" t="s">
        <v>14136</v>
      </c>
      <c r="S2075" t="s">
        <v>14137</v>
      </c>
      <c r="T2075" t="s">
        <v>97</v>
      </c>
      <c r="U2075" t="s">
        <v>77</v>
      </c>
      <c r="V2075" t="str">
        <f>"10029"</f>
        <v>10029</v>
      </c>
      <c r="AC2075" t="s">
        <v>79</v>
      </c>
      <c r="AD2075" t="s">
        <v>75</v>
      </c>
      <c r="AE2075" t="s">
        <v>103</v>
      </c>
      <c r="AG2075" t="s">
        <v>81</v>
      </c>
    </row>
    <row r="2076" spans="1:33" x14ac:dyDescent="0.25">
      <c r="A2076" t="str">
        <f>"1851731004"</f>
        <v>1851731004</v>
      </c>
      <c r="C2076" t="s">
        <v>14138</v>
      </c>
      <c r="K2076" t="s">
        <v>99</v>
      </c>
      <c r="L2076" t="s">
        <v>102</v>
      </c>
      <c r="M2076" t="s">
        <v>75</v>
      </c>
      <c r="R2076" t="s">
        <v>14139</v>
      </c>
      <c r="S2076" t="s">
        <v>191</v>
      </c>
      <c r="T2076" t="s">
        <v>97</v>
      </c>
      <c r="U2076" t="s">
        <v>77</v>
      </c>
      <c r="V2076" t="str">
        <f>"100191147"</f>
        <v>100191147</v>
      </c>
      <c r="AC2076" t="s">
        <v>79</v>
      </c>
      <c r="AD2076" t="s">
        <v>75</v>
      </c>
      <c r="AE2076" t="s">
        <v>103</v>
      </c>
      <c r="AG2076" t="s">
        <v>81</v>
      </c>
    </row>
    <row r="2077" spans="1:33" x14ac:dyDescent="0.25">
      <c r="A2077" t="str">
        <f>"1447348115"</f>
        <v>1447348115</v>
      </c>
      <c r="B2077" t="str">
        <f>"01837567"</f>
        <v>01837567</v>
      </c>
      <c r="C2077" t="s">
        <v>14140</v>
      </c>
      <c r="D2077" t="s">
        <v>14141</v>
      </c>
      <c r="E2077" t="s">
        <v>14142</v>
      </c>
      <c r="H2077" t="s">
        <v>14143</v>
      </c>
      <c r="J2077" t="s">
        <v>14144</v>
      </c>
      <c r="L2077" t="s">
        <v>83</v>
      </c>
      <c r="M2077" t="s">
        <v>85</v>
      </c>
      <c r="R2077" t="s">
        <v>14142</v>
      </c>
      <c r="W2077" t="s">
        <v>14145</v>
      </c>
      <c r="X2077" t="s">
        <v>14146</v>
      </c>
      <c r="Y2077" t="s">
        <v>1818</v>
      </c>
      <c r="Z2077" t="s">
        <v>77</v>
      </c>
      <c r="AA2077" t="str">
        <f>"11787-4759"</f>
        <v>11787-4759</v>
      </c>
      <c r="AB2077" t="s">
        <v>78</v>
      </c>
      <c r="AC2077" t="s">
        <v>79</v>
      </c>
      <c r="AD2077" t="s">
        <v>75</v>
      </c>
      <c r="AE2077" t="s">
        <v>80</v>
      </c>
      <c r="AG2077" t="s">
        <v>81</v>
      </c>
    </row>
    <row r="2078" spans="1:33" x14ac:dyDescent="0.25">
      <c r="A2078" t="str">
        <f>"1801828199"</f>
        <v>1801828199</v>
      </c>
      <c r="B2078" t="str">
        <f>"01508378"</f>
        <v>01508378</v>
      </c>
      <c r="C2078" t="s">
        <v>14147</v>
      </c>
      <c r="D2078" t="s">
        <v>14148</v>
      </c>
      <c r="E2078" t="s">
        <v>14149</v>
      </c>
      <c r="H2078" t="s">
        <v>13461</v>
      </c>
      <c r="J2078" t="s">
        <v>14150</v>
      </c>
      <c r="L2078" t="s">
        <v>83</v>
      </c>
      <c r="M2078" t="s">
        <v>85</v>
      </c>
      <c r="R2078" t="s">
        <v>14151</v>
      </c>
      <c r="W2078" t="s">
        <v>14152</v>
      </c>
      <c r="X2078" t="s">
        <v>14153</v>
      </c>
      <c r="Y2078" t="s">
        <v>198</v>
      </c>
      <c r="Z2078" t="s">
        <v>77</v>
      </c>
      <c r="AA2078" t="str">
        <f>"11542-2101"</f>
        <v>11542-2101</v>
      </c>
      <c r="AB2078" t="s">
        <v>78</v>
      </c>
      <c r="AC2078" t="s">
        <v>79</v>
      </c>
      <c r="AD2078" t="s">
        <v>75</v>
      </c>
      <c r="AE2078" t="s">
        <v>80</v>
      </c>
      <c r="AG2078" t="s">
        <v>81</v>
      </c>
    </row>
    <row r="2079" spans="1:33" x14ac:dyDescent="0.25">
      <c r="A2079" t="str">
        <f>"1568456606"</f>
        <v>1568456606</v>
      </c>
      <c r="B2079" t="str">
        <f>"01888513"</f>
        <v>01888513</v>
      </c>
      <c r="C2079" t="s">
        <v>14154</v>
      </c>
      <c r="D2079" t="s">
        <v>14155</v>
      </c>
      <c r="E2079" t="s">
        <v>14156</v>
      </c>
      <c r="H2079" t="s">
        <v>12011</v>
      </c>
      <c r="J2079" t="s">
        <v>14157</v>
      </c>
      <c r="L2079" t="s">
        <v>83</v>
      </c>
      <c r="M2079" t="s">
        <v>85</v>
      </c>
      <c r="R2079" t="s">
        <v>14158</v>
      </c>
      <c r="W2079" t="s">
        <v>14156</v>
      </c>
      <c r="X2079" t="s">
        <v>5130</v>
      </c>
      <c r="Y2079" t="s">
        <v>212</v>
      </c>
      <c r="Z2079" t="s">
        <v>77</v>
      </c>
      <c r="AA2079" t="str">
        <f>"11803-1311"</f>
        <v>11803-1311</v>
      </c>
      <c r="AB2079" t="s">
        <v>78</v>
      </c>
      <c r="AC2079" t="s">
        <v>79</v>
      </c>
      <c r="AD2079" t="s">
        <v>75</v>
      </c>
      <c r="AE2079" t="s">
        <v>80</v>
      </c>
      <c r="AG2079" t="s">
        <v>81</v>
      </c>
    </row>
    <row r="2080" spans="1:33" x14ac:dyDescent="0.25">
      <c r="A2080" t="str">
        <f>"1497768808"</f>
        <v>1497768808</v>
      </c>
      <c r="B2080" t="str">
        <f>"02165855"</f>
        <v>02165855</v>
      </c>
      <c r="C2080" t="s">
        <v>14159</v>
      </c>
      <c r="D2080" t="s">
        <v>2510</v>
      </c>
      <c r="E2080" t="s">
        <v>2511</v>
      </c>
      <c r="G2080" t="s">
        <v>14159</v>
      </c>
      <c r="H2080" t="s">
        <v>14160</v>
      </c>
      <c r="L2080" t="s">
        <v>84</v>
      </c>
      <c r="M2080" t="s">
        <v>75</v>
      </c>
      <c r="R2080" t="s">
        <v>2509</v>
      </c>
      <c r="W2080" t="s">
        <v>2511</v>
      </c>
      <c r="X2080" t="s">
        <v>2512</v>
      </c>
      <c r="Y2080" t="s">
        <v>131</v>
      </c>
      <c r="Z2080" t="s">
        <v>77</v>
      </c>
      <c r="AA2080" t="str">
        <f>"10469-6424"</f>
        <v>10469-6424</v>
      </c>
      <c r="AB2080" t="s">
        <v>78</v>
      </c>
      <c r="AC2080" t="s">
        <v>79</v>
      </c>
      <c r="AD2080" t="s">
        <v>75</v>
      </c>
      <c r="AE2080" t="s">
        <v>80</v>
      </c>
      <c r="AG2080" t="s">
        <v>81</v>
      </c>
    </row>
    <row r="2081" spans="1:33" x14ac:dyDescent="0.25">
      <c r="A2081" t="str">
        <f>"1912058801"</f>
        <v>1912058801</v>
      </c>
      <c r="B2081" t="str">
        <f>"03171097"</f>
        <v>03171097</v>
      </c>
      <c r="C2081" t="s">
        <v>14161</v>
      </c>
      <c r="D2081" t="s">
        <v>2518</v>
      </c>
      <c r="E2081" t="s">
        <v>2519</v>
      </c>
      <c r="G2081" t="s">
        <v>14161</v>
      </c>
      <c r="H2081" t="s">
        <v>14162</v>
      </c>
      <c r="L2081" t="s">
        <v>74</v>
      </c>
      <c r="M2081" t="s">
        <v>75</v>
      </c>
      <c r="R2081" t="s">
        <v>2517</v>
      </c>
      <c r="W2081" t="s">
        <v>2519</v>
      </c>
      <c r="X2081" t="s">
        <v>2520</v>
      </c>
      <c r="Y2081" t="s">
        <v>180</v>
      </c>
      <c r="Z2081" t="s">
        <v>77</v>
      </c>
      <c r="AA2081" t="str">
        <f>"10703-2241"</f>
        <v>10703-2241</v>
      </c>
      <c r="AB2081" t="s">
        <v>78</v>
      </c>
      <c r="AC2081" t="s">
        <v>79</v>
      </c>
      <c r="AD2081" t="s">
        <v>75</v>
      </c>
      <c r="AE2081" t="s">
        <v>80</v>
      </c>
      <c r="AG2081" t="s">
        <v>81</v>
      </c>
    </row>
    <row r="2082" spans="1:33" x14ac:dyDescent="0.25">
      <c r="A2082" t="str">
        <f>"1265430433"</f>
        <v>1265430433</v>
      </c>
      <c r="B2082" t="str">
        <f>"01096446"</f>
        <v>01096446</v>
      </c>
      <c r="C2082" t="s">
        <v>14163</v>
      </c>
      <c r="D2082" t="s">
        <v>14164</v>
      </c>
      <c r="E2082" t="s">
        <v>14165</v>
      </c>
      <c r="H2082" t="s">
        <v>11775</v>
      </c>
      <c r="J2082" t="s">
        <v>14166</v>
      </c>
      <c r="L2082" t="s">
        <v>83</v>
      </c>
      <c r="M2082" t="s">
        <v>85</v>
      </c>
      <c r="R2082" t="s">
        <v>14167</v>
      </c>
      <c r="W2082" t="s">
        <v>14165</v>
      </c>
      <c r="X2082" t="s">
        <v>14168</v>
      </c>
      <c r="Y2082" t="s">
        <v>209</v>
      </c>
      <c r="Z2082" t="s">
        <v>77</v>
      </c>
      <c r="AA2082" t="str">
        <f>"11794-0001"</f>
        <v>11794-0001</v>
      </c>
      <c r="AB2082" t="s">
        <v>78</v>
      </c>
      <c r="AC2082" t="s">
        <v>79</v>
      </c>
      <c r="AD2082" t="s">
        <v>75</v>
      </c>
      <c r="AE2082" t="s">
        <v>80</v>
      </c>
      <c r="AG2082" t="s">
        <v>81</v>
      </c>
    </row>
    <row r="2083" spans="1:33" x14ac:dyDescent="0.25">
      <c r="A2083" t="str">
        <f>"1316908692"</f>
        <v>1316908692</v>
      </c>
      <c r="B2083" t="str">
        <f>"01524730"</f>
        <v>01524730</v>
      </c>
      <c r="C2083" t="s">
        <v>14169</v>
      </c>
      <c r="D2083" t="s">
        <v>14170</v>
      </c>
      <c r="E2083" t="s">
        <v>14171</v>
      </c>
      <c r="H2083" t="s">
        <v>14172</v>
      </c>
      <c r="J2083" t="s">
        <v>14173</v>
      </c>
      <c r="L2083" t="s">
        <v>83</v>
      </c>
      <c r="M2083" t="s">
        <v>85</v>
      </c>
      <c r="R2083" t="s">
        <v>14174</v>
      </c>
      <c r="W2083" t="s">
        <v>14175</v>
      </c>
      <c r="X2083" t="s">
        <v>258</v>
      </c>
      <c r="Y2083" t="s">
        <v>131</v>
      </c>
      <c r="Z2083" t="s">
        <v>77</v>
      </c>
      <c r="AA2083" t="str">
        <f>"10467-2401"</f>
        <v>10467-2401</v>
      </c>
      <c r="AB2083" t="s">
        <v>78</v>
      </c>
      <c r="AC2083" t="s">
        <v>79</v>
      </c>
      <c r="AD2083" t="s">
        <v>75</v>
      </c>
      <c r="AE2083" t="s">
        <v>80</v>
      </c>
      <c r="AG2083" t="s">
        <v>81</v>
      </c>
    </row>
    <row r="2084" spans="1:33" x14ac:dyDescent="0.25">
      <c r="A2084" t="str">
        <f>"1154492247"</f>
        <v>1154492247</v>
      </c>
      <c r="B2084" t="str">
        <f>"01196441"</f>
        <v>01196441</v>
      </c>
      <c r="C2084" t="s">
        <v>14176</v>
      </c>
      <c r="D2084" t="s">
        <v>14177</v>
      </c>
      <c r="E2084" t="s">
        <v>14178</v>
      </c>
      <c r="H2084" t="s">
        <v>12889</v>
      </c>
      <c r="J2084" t="s">
        <v>14179</v>
      </c>
      <c r="L2084" t="s">
        <v>83</v>
      </c>
      <c r="M2084" t="s">
        <v>85</v>
      </c>
      <c r="R2084" t="s">
        <v>4655</v>
      </c>
      <c r="W2084" t="s">
        <v>14178</v>
      </c>
      <c r="X2084" t="s">
        <v>159</v>
      </c>
      <c r="Y2084" t="s">
        <v>160</v>
      </c>
      <c r="Z2084" t="s">
        <v>77</v>
      </c>
      <c r="AA2084" t="str">
        <f>"11030-3816"</f>
        <v>11030-3816</v>
      </c>
      <c r="AB2084" t="s">
        <v>78</v>
      </c>
      <c r="AC2084" t="s">
        <v>79</v>
      </c>
      <c r="AD2084" t="s">
        <v>75</v>
      </c>
      <c r="AE2084" t="s">
        <v>80</v>
      </c>
      <c r="AG2084" t="s">
        <v>81</v>
      </c>
    </row>
    <row r="2085" spans="1:33" x14ac:dyDescent="0.25">
      <c r="A2085" t="str">
        <f>"1942469663"</f>
        <v>1942469663</v>
      </c>
      <c r="C2085" t="s">
        <v>14180</v>
      </c>
      <c r="K2085" t="s">
        <v>99</v>
      </c>
      <c r="L2085" t="s">
        <v>102</v>
      </c>
      <c r="M2085" t="s">
        <v>75</v>
      </c>
      <c r="R2085" t="s">
        <v>14181</v>
      </c>
      <c r="S2085" t="s">
        <v>14182</v>
      </c>
      <c r="T2085" t="s">
        <v>14183</v>
      </c>
      <c r="U2085" t="s">
        <v>2595</v>
      </c>
      <c r="V2085" t="str">
        <f>"913263211"</f>
        <v>913263211</v>
      </c>
      <c r="AC2085" t="s">
        <v>79</v>
      </c>
      <c r="AD2085" t="s">
        <v>75</v>
      </c>
      <c r="AE2085" t="s">
        <v>103</v>
      </c>
      <c r="AG2085" t="s">
        <v>81</v>
      </c>
    </row>
    <row r="2086" spans="1:33" x14ac:dyDescent="0.25">
      <c r="A2086" t="str">
        <f>"1831410299"</f>
        <v>1831410299</v>
      </c>
      <c r="C2086" t="s">
        <v>14184</v>
      </c>
      <c r="K2086" t="s">
        <v>99</v>
      </c>
      <c r="L2086" t="s">
        <v>102</v>
      </c>
      <c r="M2086" t="s">
        <v>75</v>
      </c>
      <c r="R2086" t="s">
        <v>14185</v>
      </c>
      <c r="S2086" t="s">
        <v>14186</v>
      </c>
      <c r="T2086" t="s">
        <v>97</v>
      </c>
      <c r="U2086" t="s">
        <v>77</v>
      </c>
      <c r="V2086" t="str">
        <f>"100297219"</f>
        <v>100297219</v>
      </c>
      <c r="AC2086" t="s">
        <v>79</v>
      </c>
      <c r="AD2086" t="s">
        <v>75</v>
      </c>
      <c r="AE2086" t="s">
        <v>103</v>
      </c>
      <c r="AG2086" t="s">
        <v>81</v>
      </c>
    </row>
    <row r="2087" spans="1:33" x14ac:dyDescent="0.25">
      <c r="A2087" t="str">
        <f>"1942524590"</f>
        <v>1942524590</v>
      </c>
      <c r="B2087" t="str">
        <f>"04229416"</f>
        <v>04229416</v>
      </c>
      <c r="C2087" t="s">
        <v>14187</v>
      </c>
      <c r="D2087" t="s">
        <v>14188</v>
      </c>
      <c r="E2087" t="s">
        <v>14189</v>
      </c>
      <c r="L2087" t="s">
        <v>102</v>
      </c>
      <c r="M2087" t="s">
        <v>75</v>
      </c>
      <c r="R2087" t="s">
        <v>14190</v>
      </c>
      <c r="W2087" t="s">
        <v>14189</v>
      </c>
      <c r="X2087" t="s">
        <v>267</v>
      </c>
      <c r="Y2087" t="s">
        <v>91</v>
      </c>
      <c r="Z2087" t="s">
        <v>77</v>
      </c>
      <c r="AA2087" t="str">
        <f>"11373-1329"</f>
        <v>11373-1329</v>
      </c>
      <c r="AB2087" t="s">
        <v>78</v>
      </c>
      <c r="AC2087" t="s">
        <v>79</v>
      </c>
      <c r="AD2087" t="s">
        <v>75</v>
      </c>
      <c r="AE2087" t="s">
        <v>80</v>
      </c>
      <c r="AG2087" t="s">
        <v>81</v>
      </c>
    </row>
    <row r="2088" spans="1:33" x14ac:dyDescent="0.25">
      <c r="A2088" t="str">
        <f>"1821418989"</f>
        <v>1821418989</v>
      </c>
      <c r="C2088" t="s">
        <v>14191</v>
      </c>
      <c r="K2088" t="s">
        <v>99</v>
      </c>
      <c r="L2088" t="s">
        <v>102</v>
      </c>
      <c r="M2088" t="s">
        <v>75</v>
      </c>
      <c r="R2088" t="s">
        <v>14192</v>
      </c>
      <c r="S2088" t="s">
        <v>181</v>
      </c>
      <c r="T2088" t="s">
        <v>97</v>
      </c>
      <c r="U2088" t="s">
        <v>77</v>
      </c>
      <c r="V2088" t="str">
        <f>"100251716"</f>
        <v>100251716</v>
      </c>
      <c r="AC2088" t="s">
        <v>79</v>
      </c>
      <c r="AD2088" t="s">
        <v>75</v>
      </c>
      <c r="AE2088" t="s">
        <v>103</v>
      </c>
      <c r="AG2088" t="s">
        <v>81</v>
      </c>
    </row>
    <row r="2089" spans="1:33" x14ac:dyDescent="0.25">
      <c r="A2089" t="str">
        <f>"1225094980"</f>
        <v>1225094980</v>
      </c>
      <c r="B2089" t="str">
        <f>"00197457"</f>
        <v>00197457</v>
      </c>
      <c r="C2089" t="s">
        <v>14193</v>
      </c>
      <c r="D2089" t="s">
        <v>14194</v>
      </c>
      <c r="E2089" t="s">
        <v>14195</v>
      </c>
      <c r="H2089" t="s">
        <v>12016</v>
      </c>
      <c r="J2089" t="s">
        <v>14196</v>
      </c>
      <c r="L2089" t="s">
        <v>83</v>
      </c>
      <c r="M2089" t="s">
        <v>85</v>
      </c>
      <c r="R2089" t="s">
        <v>14197</v>
      </c>
      <c r="W2089" t="s">
        <v>14195</v>
      </c>
      <c r="X2089" t="s">
        <v>1806</v>
      </c>
      <c r="Y2089" t="s">
        <v>240</v>
      </c>
      <c r="Z2089" t="s">
        <v>77</v>
      </c>
      <c r="AA2089" t="str">
        <f>"11530-1630"</f>
        <v>11530-1630</v>
      </c>
      <c r="AB2089" t="s">
        <v>78</v>
      </c>
      <c r="AC2089" t="s">
        <v>79</v>
      </c>
      <c r="AD2089" t="s">
        <v>75</v>
      </c>
      <c r="AE2089" t="s">
        <v>80</v>
      </c>
      <c r="AG2089" t="s">
        <v>81</v>
      </c>
    </row>
    <row r="2090" spans="1:33" x14ac:dyDescent="0.25">
      <c r="A2090" t="str">
        <f>"1942207493"</f>
        <v>1942207493</v>
      </c>
      <c r="B2090" t="str">
        <f>"00188243"</f>
        <v>00188243</v>
      </c>
      <c r="C2090" t="s">
        <v>14198</v>
      </c>
      <c r="D2090" t="s">
        <v>14199</v>
      </c>
      <c r="E2090" t="s">
        <v>14200</v>
      </c>
      <c r="H2090" t="s">
        <v>12889</v>
      </c>
      <c r="J2090" t="s">
        <v>14201</v>
      </c>
      <c r="L2090" t="s">
        <v>83</v>
      </c>
      <c r="M2090" t="s">
        <v>85</v>
      </c>
      <c r="R2090" t="s">
        <v>14202</v>
      </c>
      <c r="W2090" t="s">
        <v>14200</v>
      </c>
      <c r="X2090" t="s">
        <v>14203</v>
      </c>
      <c r="Y2090" t="s">
        <v>160</v>
      </c>
      <c r="Z2090" t="s">
        <v>77</v>
      </c>
      <c r="AA2090" t="str">
        <f>"11030-3876"</f>
        <v>11030-3876</v>
      </c>
      <c r="AB2090" t="s">
        <v>78</v>
      </c>
      <c r="AC2090" t="s">
        <v>79</v>
      </c>
      <c r="AD2090" t="s">
        <v>75</v>
      </c>
      <c r="AE2090" t="s">
        <v>80</v>
      </c>
      <c r="AG2090" t="s">
        <v>81</v>
      </c>
    </row>
    <row r="2091" spans="1:33" x14ac:dyDescent="0.25">
      <c r="A2091" t="str">
        <f>"1356304273"</f>
        <v>1356304273</v>
      </c>
      <c r="B2091" t="str">
        <f>"01990918"</f>
        <v>01990918</v>
      </c>
      <c r="C2091" t="s">
        <v>14204</v>
      </c>
      <c r="D2091" t="s">
        <v>14205</v>
      </c>
      <c r="E2091" t="s">
        <v>14206</v>
      </c>
      <c r="H2091" t="s">
        <v>11805</v>
      </c>
      <c r="J2091" t="s">
        <v>14207</v>
      </c>
      <c r="L2091" t="s">
        <v>83</v>
      </c>
      <c r="M2091" t="s">
        <v>85</v>
      </c>
      <c r="R2091" t="s">
        <v>14208</v>
      </c>
      <c r="W2091" t="s">
        <v>14206</v>
      </c>
      <c r="X2091" t="s">
        <v>13064</v>
      </c>
      <c r="Y2091" t="s">
        <v>3818</v>
      </c>
      <c r="Z2091" t="s">
        <v>77</v>
      </c>
      <c r="AA2091" t="str">
        <f>"11714-5700"</f>
        <v>11714-5700</v>
      </c>
      <c r="AB2091" t="s">
        <v>78</v>
      </c>
      <c r="AC2091" t="s">
        <v>79</v>
      </c>
      <c r="AD2091" t="s">
        <v>75</v>
      </c>
      <c r="AE2091" t="s">
        <v>80</v>
      </c>
      <c r="AG2091" t="s">
        <v>81</v>
      </c>
    </row>
    <row r="2092" spans="1:33" x14ac:dyDescent="0.25">
      <c r="A2092" t="str">
        <f>"1356564934"</f>
        <v>1356564934</v>
      </c>
      <c r="B2092" t="str">
        <f>"02889150"</f>
        <v>02889150</v>
      </c>
      <c r="C2092" t="s">
        <v>14209</v>
      </c>
      <c r="D2092" t="s">
        <v>14210</v>
      </c>
      <c r="E2092" t="s">
        <v>14211</v>
      </c>
      <c r="H2092" t="s">
        <v>12016</v>
      </c>
      <c r="J2092" t="s">
        <v>14212</v>
      </c>
      <c r="L2092" t="s">
        <v>83</v>
      </c>
      <c r="M2092" t="s">
        <v>85</v>
      </c>
      <c r="R2092" t="s">
        <v>14213</v>
      </c>
      <c r="W2092" t="s">
        <v>14211</v>
      </c>
      <c r="X2092" t="s">
        <v>6231</v>
      </c>
      <c r="Y2092" t="s">
        <v>1797</v>
      </c>
      <c r="Z2092" t="s">
        <v>77</v>
      </c>
      <c r="AA2092" t="str">
        <f>"12550-6524"</f>
        <v>12550-6524</v>
      </c>
      <c r="AB2092" t="s">
        <v>78</v>
      </c>
      <c r="AC2092" t="s">
        <v>79</v>
      </c>
      <c r="AD2092" t="s">
        <v>75</v>
      </c>
      <c r="AE2092" t="s">
        <v>80</v>
      </c>
      <c r="AG2092" t="s">
        <v>81</v>
      </c>
    </row>
    <row r="2093" spans="1:33" x14ac:dyDescent="0.25">
      <c r="A2093" t="str">
        <f>"1780023986"</f>
        <v>1780023986</v>
      </c>
      <c r="C2093" t="s">
        <v>14214</v>
      </c>
      <c r="K2093" t="s">
        <v>99</v>
      </c>
      <c r="L2093" t="s">
        <v>102</v>
      </c>
      <c r="M2093" t="s">
        <v>75</v>
      </c>
      <c r="R2093" t="s">
        <v>14215</v>
      </c>
      <c r="S2093" t="s">
        <v>13901</v>
      </c>
      <c r="T2093" t="s">
        <v>97</v>
      </c>
      <c r="U2093" t="s">
        <v>77</v>
      </c>
      <c r="V2093" t="str">
        <f>"100353832"</f>
        <v>100353832</v>
      </c>
      <c r="AC2093" t="s">
        <v>79</v>
      </c>
      <c r="AD2093" t="s">
        <v>75</v>
      </c>
      <c r="AE2093" t="s">
        <v>103</v>
      </c>
      <c r="AG2093" t="s">
        <v>81</v>
      </c>
    </row>
    <row r="2094" spans="1:33" x14ac:dyDescent="0.25">
      <c r="A2094" t="str">
        <f>"1972947729"</f>
        <v>1972947729</v>
      </c>
      <c r="B2094" t="str">
        <f>"04502705"</f>
        <v>04502705</v>
      </c>
      <c r="C2094" t="s">
        <v>14216</v>
      </c>
      <c r="D2094" t="s">
        <v>14217</v>
      </c>
      <c r="E2094" t="s">
        <v>14218</v>
      </c>
      <c r="L2094" t="s">
        <v>102</v>
      </c>
      <c r="M2094" t="s">
        <v>75</v>
      </c>
      <c r="R2094" t="s">
        <v>14218</v>
      </c>
      <c r="W2094" t="s">
        <v>14219</v>
      </c>
      <c r="AB2094" t="s">
        <v>78</v>
      </c>
      <c r="AC2094" t="s">
        <v>79</v>
      </c>
      <c r="AD2094" t="s">
        <v>75</v>
      </c>
      <c r="AE2094" t="s">
        <v>80</v>
      </c>
      <c r="AG2094" t="s">
        <v>81</v>
      </c>
    </row>
    <row r="2095" spans="1:33" x14ac:dyDescent="0.25">
      <c r="A2095" t="str">
        <f>"1871759365"</f>
        <v>1871759365</v>
      </c>
      <c r="C2095" t="s">
        <v>14220</v>
      </c>
      <c r="K2095" t="s">
        <v>99</v>
      </c>
      <c r="L2095" t="s">
        <v>102</v>
      </c>
      <c r="M2095" t="s">
        <v>75</v>
      </c>
      <c r="R2095" t="s">
        <v>14221</v>
      </c>
      <c r="S2095" t="s">
        <v>14222</v>
      </c>
      <c r="T2095" t="s">
        <v>14223</v>
      </c>
      <c r="U2095" t="s">
        <v>3878</v>
      </c>
      <c r="V2095" t="str">
        <f>"750425706"</f>
        <v>750425706</v>
      </c>
      <c r="AC2095" t="s">
        <v>79</v>
      </c>
      <c r="AD2095" t="s">
        <v>75</v>
      </c>
      <c r="AE2095" t="s">
        <v>103</v>
      </c>
      <c r="AG2095" t="s">
        <v>81</v>
      </c>
    </row>
    <row r="2096" spans="1:33" x14ac:dyDescent="0.25">
      <c r="A2096" t="str">
        <f>"1801107552"</f>
        <v>1801107552</v>
      </c>
      <c r="C2096" t="s">
        <v>14224</v>
      </c>
      <c r="K2096" t="s">
        <v>99</v>
      </c>
      <c r="L2096" t="s">
        <v>102</v>
      </c>
      <c r="M2096" t="s">
        <v>75</v>
      </c>
      <c r="R2096" t="s">
        <v>14225</v>
      </c>
      <c r="S2096" t="s">
        <v>14226</v>
      </c>
      <c r="T2096" t="s">
        <v>14227</v>
      </c>
      <c r="U2096" t="s">
        <v>4544</v>
      </c>
      <c r="V2096" t="str">
        <f>"498558977"</f>
        <v>498558977</v>
      </c>
      <c r="AC2096" t="s">
        <v>79</v>
      </c>
      <c r="AD2096" t="s">
        <v>75</v>
      </c>
      <c r="AE2096" t="s">
        <v>103</v>
      </c>
      <c r="AG2096" t="s">
        <v>81</v>
      </c>
    </row>
    <row r="2097" spans="1:33" x14ac:dyDescent="0.25">
      <c r="A2097" t="str">
        <f>"1952728024"</f>
        <v>1952728024</v>
      </c>
      <c r="C2097" t="s">
        <v>14228</v>
      </c>
      <c r="K2097" t="s">
        <v>99</v>
      </c>
      <c r="L2097" t="s">
        <v>102</v>
      </c>
      <c r="M2097" t="s">
        <v>75</v>
      </c>
      <c r="R2097" t="s">
        <v>14229</v>
      </c>
      <c r="S2097" t="s">
        <v>3553</v>
      </c>
      <c r="T2097" t="s">
        <v>97</v>
      </c>
      <c r="U2097" t="s">
        <v>77</v>
      </c>
      <c r="V2097" t="str">
        <f>"100033851"</f>
        <v>100033851</v>
      </c>
      <c r="AC2097" t="s">
        <v>79</v>
      </c>
      <c r="AD2097" t="s">
        <v>75</v>
      </c>
      <c r="AE2097" t="s">
        <v>103</v>
      </c>
      <c r="AG2097" t="s">
        <v>81</v>
      </c>
    </row>
    <row r="2098" spans="1:33" x14ac:dyDescent="0.25">
      <c r="A2098" t="str">
        <f>"1437112356"</f>
        <v>1437112356</v>
      </c>
      <c r="B2098" t="str">
        <f>"00729662"</f>
        <v>00729662</v>
      </c>
      <c r="C2098" t="s">
        <v>14230</v>
      </c>
      <c r="D2098" t="s">
        <v>14231</v>
      </c>
      <c r="E2098" t="s">
        <v>14232</v>
      </c>
      <c r="H2098" t="s">
        <v>11775</v>
      </c>
      <c r="J2098" t="s">
        <v>14233</v>
      </c>
      <c r="L2098" t="s">
        <v>83</v>
      </c>
      <c r="M2098" t="s">
        <v>85</v>
      </c>
      <c r="R2098" t="s">
        <v>14234</v>
      </c>
      <c r="W2098" t="s">
        <v>14232</v>
      </c>
      <c r="X2098" t="s">
        <v>13469</v>
      </c>
      <c r="Y2098" t="s">
        <v>212</v>
      </c>
      <c r="Z2098" t="s">
        <v>77</v>
      </c>
      <c r="AA2098" t="str">
        <f>"11803-4911"</f>
        <v>11803-4911</v>
      </c>
      <c r="AB2098" t="s">
        <v>78</v>
      </c>
      <c r="AC2098" t="s">
        <v>79</v>
      </c>
      <c r="AD2098" t="s">
        <v>75</v>
      </c>
      <c r="AE2098" t="s">
        <v>80</v>
      </c>
      <c r="AG2098" t="s">
        <v>81</v>
      </c>
    </row>
    <row r="2099" spans="1:33" x14ac:dyDescent="0.25">
      <c r="A2099" t="str">
        <f>"1336134139"</f>
        <v>1336134139</v>
      </c>
      <c r="B2099" t="str">
        <f>"01093425"</f>
        <v>01093425</v>
      </c>
      <c r="C2099" t="s">
        <v>14235</v>
      </c>
      <c r="D2099" t="s">
        <v>14236</v>
      </c>
      <c r="E2099" t="s">
        <v>14237</v>
      </c>
      <c r="H2099" t="s">
        <v>13461</v>
      </c>
      <c r="J2099" t="s">
        <v>14238</v>
      </c>
      <c r="L2099" t="s">
        <v>83</v>
      </c>
      <c r="M2099" t="s">
        <v>85</v>
      </c>
      <c r="R2099" t="s">
        <v>14239</v>
      </c>
      <c r="W2099" t="s">
        <v>14237</v>
      </c>
      <c r="X2099" t="s">
        <v>14240</v>
      </c>
      <c r="Y2099" t="s">
        <v>1935</v>
      </c>
      <c r="Z2099" t="s">
        <v>77</v>
      </c>
      <c r="AA2099" t="str">
        <f>"11779-2324"</f>
        <v>11779-2324</v>
      </c>
      <c r="AB2099" t="s">
        <v>78</v>
      </c>
      <c r="AC2099" t="s">
        <v>79</v>
      </c>
      <c r="AD2099" t="s">
        <v>75</v>
      </c>
      <c r="AE2099" t="s">
        <v>80</v>
      </c>
      <c r="AG2099" t="s">
        <v>81</v>
      </c>
    </row>
    <row r="2100" spans="1:33" x14ac:dyDescent="0.25">
      <c r="A2100" t="str">
        <f>"1629289277"</f>
        <v>1629289277</v>
      </c>
      <c r="B2100" t="str">
        <f>"02898406"</f>
        <v>02898406</v>
      </c>
      <c r="C2100" t="s">
        <v>14241</v>
      </c>
      <c r="D2100" t="s">
        <v>14242</v>
      </c>
      <c r="E2100" t="s">
        <v>14243</v>
      </c>
      <c r="H2100" t="s">
        <v>11782</v>
      </c>
      <c r="J2100" t="s">
        <v>14244</v>
      </c>
      <c r="L2100" t="s">
        <v>83</v>
      </c>
      <c r="M2100" t="s">
        <v>85</v>
      </c>
      <c r="R2100" t="s">
        <v>14245</v>
      </c>
      <c r="W2100" t="s">
        <v>14243</v>
      </c>
      <c r="X2100" t="s">
        <v>13469</v>
      </c>
      <c r="Y2100" t="s">
        <v>212</v>
      </c>
      <c r="Z2100" t="s">
        <v>77</v>
      </c>
      <c r="AA2100" t="str">
        <f>"11803-4911"</f>
        <v>11803-4911</v>
      </c>
      <c r="AB2100" t="s">
        <v>78</v>
      </c>
      <c r="AC2100" t="s">
        <v>79</v>
      </c>
      <c r="AD2100" t="s">
        <v>75</v>
      </c>
      <c r="AE2100" t="s">
        <v>80</v>
      </c>
      <c r="AG2100" t="s">
        <v>81</v>
      </c>
    </row>
    <row r="2101" spans="1:33" x14ac:dyDescent="0.25">
      <c r="A2101" t="str">
        <f>"1205892163"</f>
        <v>1205892163</v>
      </c>
      <c r="B2101" t="str">
        <f>"01731671"</f>
        <v>01731671</v>
      </c>
      <c r="C2101" t="s">
        <v>14246</v>
      </c>
      <c r="D2101" t="s">
        <v>14247</v>
      </c>
      <c r="E2101" t="s">
        <v>14248</v>
      </c>
      <c r="H2101" t="s">
        <v>11746</v>
      </c>
      <c r="J2101" t="s">
        <v>14249</v>
      </c>
      <c r="L2101" t="s">
        <v>83</v>
      </c>
      <c r="M2101" t="s">
        <v>85</v>
      </c>
      <c r="R2101" t="s">
        <v>14250</v>
      </c>
      <c r="W2101" t="s">
        <v>14248</v>
      </c>
      <c r="X2101" t="s">
        <v>1806</v>
      </c>
      <c r="Y2101" t="s">
        <v>240</v>
      </c>
      <c r="Z2101" t="s">
        <v>77</v>
      </c>
      <c r="AA2101" t="str">
        <f>"11530-1630"</f>
        <v>11530-1630</v>
      </c>
      <c r="AB2101" t="s">
        <v>78</v>
      </c>
      <c r="AC2101" t="s">
        <v>79</v>
      </c>
      <c r="AD2101" t="s">
        <v>75</v>
      </c>
      <c r="AE2101" t="s">
        <v>80</v>
      </c>
      <c r="AG2101" t="s">
        <v>81</v>
      </c>
    </row>
    <row r="2102" spans="1:33" x14ac:dyDescent="0.25">
      <c r="A2102" t="str">
        <f>"1750315883"</f>
        <v>1750315883</v>
      </c>
      <c r="B2102" t="str">
        <f>"02780789"</f>
        <v>02780789</v>
      </c>
      <c r="C2102" t="s">
        <v>14251</v>
      </c>
      <c r="D2102" t="s">
        <v>14252</v>
      </c>
      <c r="E2102" t="s">
        <v>14253</v>
      </c>
      <c r="H2102" t="s">
        <v>12889</v>
      </c>
      <c r="J2102" t="s">
        <v>14254</v>
      </c>
      <c r="L2102" t="s">
        <v>83</v>
      </c>
      <c r="M2102" t="s">
        <v>85</v>
      </c>
      <c r="R2102" t="s">
        <v>14255</v>
      </c>
      <c r="W2102" t="s">
        <v>14253</v>
      </c>
      <c r="X2102" t="s">
        <v>2539</v>
      </c>
      <c r="Y2102" t="s">
        <v>2540</v>
      </c>
      <c r="Z2102" t="s">
        <v>77</v>
      </c>
      <c r="AA2102" t="str">
        <f>"11783-1324"</f>
        <v>11783-1324</v>
      </c>
      <c r="AB2102" t="s">
        <v>78</v>
      </c>
      <c r="AC2102" t="s">
        <v>79</v>
      </c>
      <c r="AD2102" t="s">
        <v>75</v>
      </c>
      <c r="AE2102" t="s">
        <v>80</v>
      </c>
      <c r="AG2102" t="s">
        <v>81</v>
      </c>
    </row>
    <row r="2103" spans="1:33" x14ac:dyDescent="0.25">
      <c r="A2103" t="str">
        <f>"1932323748"</f>
        <v>1932323748</v>
      </c>
      <c r="B2103" t="str">
        <f>"01881438"</f>
        <v>01881438</v>
      </c>
      <c r="C2103" t="s">
        <v>14256</v>
      </c>
      <c r="D2103" t="s">
        <v>14257</v>
      </c>
      <c r="E2103" t="s">
        <v>14258</v>
      </c>
      <c r="L2103" t="s">
        <v>102</v>
      </c>
      <c r="M2103" t="s">
        <v>85</v>
      </c>
      <c r="R2103" t="s">
        <v>14259</v>
      </c>
      <c r="W2103" t="s">
        <v>14260</v>
      </c>
      <c r="X2103" t="s">
        <v>14261</v>
      </c>
      <c r="Y2103" t="s">
        <v>97</v>
      </c>
      <c r="Z2103" t="s">
        <v>77</v>
      </c>
      <c r="AA2103" t="str">
        <f>"10035-4801"</f>
        <v>10035-4801</v>
      </c>
      <c r="AB2103" t="s">
        <v>98</v>
      </c>
      <c r="AC2103" t="s">
        <v>79</v>
      </c>
      <c r="AD2103" t="s">
        <v>75</v>
      </c>
      <c r="AE2103" t="s">
        <v>80</v>
      </c>
      <c r="AG2103" t="s">
        <v>81</v>
      </c>
    </row>
    <row r="2104" spans="1:33" x14ac:dyDescent="0.25">
      <c r="A2104" t="str">
        <f>"1447409560"</f>
        <v>1447409560</v>
      </c>
      <c r="B2104" t="str">
        <f>"03384232"</f>
        <v>03384232</v>
      </c>
      <c r="C2104" t="s">
        <v>13436</v>
      </c>
      <c r="D2104" t="s">
        <v>14262</v>
      </c>
      <c r="E2104" t="s">
        <v>14263</v>
      </c>
      <c r="G2104" t="s">
        <v>14264</v>
      </c>
      <c r="L2104" t="s">
        <v>83</v>
      </c>
      <c r="M2104" t="s">
        <v>85</v>
      </c>
      <c r="R2104" t="s">
        <v>14265</v>
      </c>
      <c r="W2104" t="s">
        <v>14266</v>
      </c>
      <c r="X2104" t="s">
        <v>5585</v>
      </c>
      <c r="Y2104" t="s">
        <v>97</v>
      </c>
      <c r="Z2104" t="s">
        <v>77</v>
      </c>
      <c r="AA2104" t="str">
        <f>"10003-0000"</f>
        <v>10003-0000</v>
      </c>
      <c r="AB2104" t="s">
        <v>78</v>
      </c>
      <c r="AC2104" t="s">
        <v>79</v>
      </c>
      <c r="AD2104" t="s">
        <v>75</v>
      </c>
      <c r="AE2104" t="s">
        <v>80</v>
      </c>
      <c r="AG2104" t="s">
        <v>81</v>
      </c>
    </row>
    <row r="2105" spans="1:33" x14ac:dyDescent="0.25">
      <c r="A2105" t="str">
        <f>"1457312910"</f>
        <v>1457312910</v>
      </c>
      <c r="B2105" t="str">
        <f>"02188916"</f>
        <v>02188916</v>
      </c>
      <c r="C2105" t="s">
        <v>13436</v>
      </c>
      <c r="D2105" t="s">
        <v>14267</v>
      </c>
      <c r="E2105" t="s">
        <v>14268</v>
      </c>
      <c r="G2105" t="s">
        <v>14269</v>
      </c>
      <c r="L2105" t="s">
        <v>84</v>
      </c>
      <c r="M2105" t="s">
        <v>85</v>
      </c>
      <c r="R2105" t="s">
        <v>14270</v>
      </c>
      <c r="W2105" t="s">
        <v>14268</v>
      </c>
      <c r="X2105" t="s">
        <v>4551</v>
      </c>
      <c r="Y2105" t="s">
        <v>227</v>
      </c>
      <c r="Z2105" t="s">
        <v>77</v>
      </c>
      <c r="AA2105" t="str">
        <f>"10604-3155"</f>
        <v>10604-3155</v>
      </c>
      <c r="AB2105" t="s">
        <v>78</v>
      </c>
      <c r="AC2105" t="s">
        <v>79</v>
      </c>
      <c r="AD2105" t="s">
        <v>75</v>
      </c>
      <c r="AE2105" t="s">
        <v>80</v>
      </c>
      <c r="AG2105" t="s">
        <v>81</v>
      </c>
    </row>
    <row r="2106" spans="1:33" x14ac:dyDescent="0.25">
      <c r="A2106" t="str">
        <f>"1457383150"</f>
        <v>1457383150</v>
      </c>
      <c r="B2106" t="str">
        <f>"01483903"</f>
        <v>01483903</v>
      </c>
      <c r="C2106" t="s">
        <v>13436</v>
      </c>
      <c r="D2106" t="s">
        <v>14271</v>
      </c>
      <c r="E2106" t="s">
        <v>14272</v>
      </c>
      <c r="G2106" t="s">
        <v>14273</v>
      </c>
      <c r="L2106" t="s">
        <v>83</v>
      </c>
      <c r="M2106" t="s">
        <v>85</v>
      </c>
      <c r="R2106" t="s">
        <v>14274</v>
      </c>
      <c r="W2106" t="s">
        <v>14272</v>
      </c>
      <c r="X2106" t="s">
        <v>14275</v>
      </c>
      <c r="Y2106" t="s">
        <v>327</v>
      </c>
      <c r="Z2106" t="s">
        <v>77</v>
      </c>
      <c r="AA2106" t="str">
        <f>"11415-1519"</f>
        <v>11415-1519</v>
      </c>
      <c r="AB2106" t="s">
        <v>78</v>
      </c>
      <c r="AC2106" t="s">
        <v>79</v>
      </c>
      <c r="AD2106" t="s">
        <v>75</v>
      </c>
      <c r="AE2106" t="s">
        <v>80</v>
      </c>
      <c r="AG2106" t="s">
        <v>81</v>
      </c>
    </row>
    <row r="2107" spans="1:33" x14ac:dyDescent="0.25">
      <c r="A2107" t="str">
        <f>"1457558363"</f>
        <v>1457558363</v>
      </c>
      <c r="C2107" t="s">
        <v>13436</v>
      </c>
      <c r="G2107" t="s">
        <v>14276</v>
      </c>
      <c r="K2107" t="s">
        <v>99</v>
      </c>
      <c r="L2107" t="s">
        <v>102</v>
      </c>
      <c r="M2107" t="s">
        <v>85</v>
      </c>
      <c r="R2107" t="s">
        <v>14277</v>
      </c>
      <c r="S2107" t="s">
        <v>14278</v>
      </c>
      <c r="T2107" t="s">
        <v>14279</v>
      </c>
      <c r="U2107" t="s">
        <v>290</v>
      </c>
      <c r="V2107" t="str">
        <f>"641314510"</f>
        <v>641314510</v>
      </c>
      <c r="AC2107" t="s">
        <v>79</v>
      </c>
      <c r="AD2107" t="s">
        <v>75</v>
      </c>
      <c r="AE2107" t="s">
        <v>103</v>
      </c>
      <c r="AG2107" t="s">
        <v>81</v>
      </c>
    </row>
    <row r="2108" spans="1:33" x14ac:dyDescent="0.25">
      <c r="A2108" t="str">
        <f>"1467419291"</f>
        <v>1467419291</v>
      </c>
      <c r="B2108" t="str">
        <f>"02502129"</f>
        <v>02502129</v>
      </c>
      <c r="C2108" t="s">
        <v>13436</v>
      </c>
      <c r="D2108" t="s">
        <v>14280</v>
      </c>
      <c r="E2108" t="s">
        <v>14281</v>
      </c>
      <c r="G2108" t="s">
        <v>14282</v>
      </c>
      <c r="L2108" t="s">
        <v>83</v>
      </c>
      <c r="M2108" t="s">
        <v>85</v>
      </c>
      <c r="R2108" t="s">
        <v>14283</v>
      </c>
      <c r="W2108" t="s">
        <v>14284</v>
      </c>
      <c r="X2108" t="s">
        <v>14285</v>
      </c>
      <c r="Y2108" t="s">
        <v>14286</v>
      </c>
      <c r="Z2108" t="s">
        <v>1784</v>
      </c>
      <c r="AA2108" t="str">
        <f>"16801-4138"</f>
        <v>16801-4138</v>
      </c>
      <c r="AB2108" t="s">
        <v>78</v>
      </c>
      <c r="AC2108" t="s">
        <v>79</v>
      </c>
      <c r="AD2108" t="s">
        <v>75</v>
      </c>
      <c r="AE2108" t="s">
        <v>80</v>
      </c>
      <c r="AG2108" t="s">
        <v>81</v>
      </c>
    </row>
    <row r="2109" spans="1:33" x14ac:dyDescent="0.25">
      <c r="A2109" t="str">
        <f>"1467538918"</f>
        <v>1467538918</v>
      </c>
      <c r="B2109" t="str">
        <f>"01999646"</f>
        <v>01999646</v>
      </c>
      <c r="C2109" t="s">
        <v>13436</v>
      </c>
      <c r="D2109" t="s">
        <v>14287</v>
      </c>
      <c r="E2109" t="s">
        <v>14288</v>
      </c>
      <c r="G2109" t="s">
        <v>14289</v>
      </c>
      <c r="L2109" t="s">
        <v>83</v>
      </c>
      <c r="M2109" t="s">
        <v>85</v>
      </c>
      <c r="R2109" t="s">
        <v>14290</v>
      </c>
      <c r="W2109" t="s">
        <v>14288</v>
      </c>
      <c r="X2109" t="s">
        <v>4815</v>
      </c>
      <c r="Y2109" t="s">
        <v>227</v>
      </c>
      <c r="Z2109" t="s">
        <v>77</v>
      </c>
      <c r="AA2109" t="str">
        <f>"10601-4710"</f>
        <v>10601-4710</v>
      </c>
      <c r="AB2109" t="s">
        <v>78</v>
      </c>
      <c r="AC2109" t="s">
        <v>79</v>
      </c>
      <c r="AD2109" t="s">
        <v>75</v>
      </c>
      <c r="AE2109" t="s">
        <v>80</v>
      </c>
      <c r="AG2109" t="s">
        <v>81</v>
      </c>
    </row>
    <row r="2110" spans="1:33" x14ac:dyDescent="0.25">
      <c r="A2110" t="str">
        <f>"1902118706"</f>
        <v>1902118706</v>
      </c>
      <c r="C2110" t="s">
        <v>14291</v>
      </c>
      <c r="K2110" t="s">
        <v>99</v>
      </c>
      <c r="L2110" t="s">
        <v>102</v>
      </c>
      <c r="M2110" t="s">
        <v>75</v>
      </c>
      <c r="R2110" t="s">
        <v>14292</v>
      </c>
      <c r="S2110" t="s">
        <v>14293</v>
      </c>
      <c r="T2110" t="s">
        <v>1141</v>
      </c>
      <c r="U2110" t="s">
        <v>156</v>
      </c>
      <c r="V2110" t="str">
        <f>"075032621"</f>
        <v>075032621</v>
      </c>
      <c r="AC2110" t="s">
        <v>79</v>
      </c>
      <c r="AD2110" t="s">
        <v>75</v>
      </c>
      <c r="AE2110" t="s">
        <v>103</v>
      </c>
      <c r="AG2110" t="s">
        <v>81</v>
      </c>
    </row>
    <row r="2111" spans="1:33" x14ac:dyDescent="0.25">
      <c r="A2111" t="str">
        <f>"1780824581"</f>
        <v>1780824581</v>
      </c>
      <c r="C2111" t="s">
        <v>14294</v>
      </c>
      <c r="K2111" t="s">
        <v>99</v>
      </c>
      <c r="L2111" t="s">
        <v>102</v>
      </c>
      <c r="M2111" t="s">
        <v>75</v>
      </c>
      <c r="R2111" t="s">
        <v>14295</v>
      </c>
      <c r="S2111" t="s">
        <v>14296</v>
      </c>
      <c r="T2111" t="s">
        <v>4467</v>
      </c>
      <c r="U2111" t="s">
        <v>1842</v>
      </c>
      <c r="V2111" t="str">
        <f>"060321936"</f>
        <v>060321936</v>
      </c>
      <c r="AC2111" t="s">
        <v>79</v>
      </c>
      <c r="AD2111" t="s">
        <v>75</v>
      </c>
      <c r="AE2111" t="s">
        <v>103</v>
      </c>
      <c r="AG2111" t="s">
        <v>81</v>
      </c>
    </row>
    <row r="2112" spans="1:33" x14ac:dyDescent="0.25">
      <c r="A2112" t="str">
        <f>"1912326174"</f>
        <v>1912326174</v>
      </c>
      <c r="C2112" t="s">
        <v>14297</v>
      </c>
      <c r="K2112" t="s">
        <v>99</v>
      </c>
      <c r="L2112" t="s">
        <v>102</v>
      </c>
      <c r="M2112" t="s">
        <v>75</v>
      </c>
      <c r="R2112" t="s">
        <v>14298</v>
      </c>
      <c r="S2112" t="s">
        <v>14299</v>
      </c>
      <c r="T2112" t="s">
        <v>97</v>
      </c>
      <c r="U2112" t="s">
        <v>77</v>
      </c>
      <c r="V2112" t="str">
        <f>"100033821"</f>
        <v>100033821</v>
      </c>
      <c r="AC2112" t="s">
        <v>79</v>
      </c>
      <c r="AD2112" t="s">
        <v>75</v>
      </c>
      <c r="AE2112" t="s">
        <v>103</v>
      </c>
      <c r="AG2112" t="s">
        <v>81</v>
      </c>
    </row>
    <row r="2113" spans="1:33" x14ac:dyDescent="0.25">
      <c r="A2113" t="str">
        <f>"1932499563"</f>
        <v>1932499563</v>
      </c>
      <c r="C2113" t="s">
        <v>14300</v>
      </c>
      <c r="K2113" t="s">
        <v>99</v>
      </c>
      <c r="L2113" t="s">
        <v>102</v>
      </c>
      <c r="M2113" t="s">
        <v>75</v>
      </c>
      <c r="R2113" t="s">
        <v>14301</v>
      </c>
      <c r="S2113" t="s">
        <v>14302</v>
      </c>
      <c r="T2113" t="s">
        <v>4582</v>
      </c>
      <c r="U2113" t="s">
        <v>739</v>
      </c>
      <c r="V2113" t="str">
        <f>"432121485"</f>
        <v>432121485</v>
      </c>
      <c r="AC2113" t="s">
        <v>79</v>
      </c>
      <c r="AD2113" t="s">
        <v>75</v>
      </c>
      <c r="AE2113" t="s">
        <v>103</v>
      </c>
      <c r="AG2113" t="s">
        <v>81</v>
      </c>
    </row>
    <row r="2114" spans="1:33" x14ac:dyDescent="0.25">
      <c r="A2114" t="str">
        <f>"1811316490"</f>
        <v>1811316490</v>
      </c>
      <c r="C2114" t="s">
        <v>14303</v>
      </c>
      <c r="K2114" t="s">
        <v>99</v>
      </c>
      <c r="L2114" t="s">
        <v>102</v>
      </c>
      <c r="M2114" t="s">
        <v>75</v>
      </c>
      <c r="R2114" t="s">
        <v>14304</v>
      </c>
      <c r="S2114" t="s">
        <v>181</v>
      </c>
      <c r="T2114" t="s">
        <v>97</v>
      </c>
      <c r="U2114" t="s">
        <v>77</v>
      </c>
      <c r="V2114" t="str">
        <f>"100251716"</f>
        <v>100251716</v>
      </c>
      <c r="AC2114" t="s">
        <v>79</v>
      </c>
      <c r="AD2114" t="s">
        <v>75</v>
      </c>
      <c r="AE2114" t="s">
        <v>103</v>
      </c>
      <c r="AG2114" t="s">
        <v>81</v>
      </c>
    </row>
    <row r="2115" spans="1:33" x14ac:dyDescent="0.25">
      <c r="A2115" t="str">
        <f>"1841432457"</f>
        <v>1841432457</v>
      </c>
      <c r="B2115" t="str">
        <f>"03844680"</f>
        <v>03844680</v>
      </c>
      <c r="C2115" t="s">
        <v>14305</v>
      </c>
      <c r="D2115" t="s">
        <v>14306</v>
      </c>
      <c r="E2115" t="s">
        <v>14307</v>
      </c>
      <c r="L2115" t="s">
        <v>74</v>
      </c>
      <c r="M2115" t="s">
        <v>75</v>
      </c>
      <c r="R2115" t="s">
        <v>14308</v>
      </c>
      <c r="W2115" t="s">
        <v>14307</v>
      </c>
      <c r="X2115" t="s">
        <v>329</v>
      </c>
      <c r="Y2115" t="s">
        <v>97</v>
      </c>
      <c r="Z2115" t="s">
        <v>77</v>
      </c>
      <c r="AA2115" t="str">
        <f>"10029-6504"</f>
        <v>10029-6504</v>
      </c>
      <c r="AB2115" t="s">
        <v>78</v>
      </c>
      <c r="AC2115" t="s">
        <v>79</v>
      </c>
      <c r="AD2115" t="s">
        <v>75</v>
      </c>
      <c r="AE2115" t="s">
        <v>80</v>
      </c>
      <c r="AG2115" t="s">
        <v>81</v>
      </c>
    </row>
    <row r="2116" spans="1:33" x14ac:dyDescent="0.25">
      <c r="A2116" t="str">
        <f>"1831352350"</f>
        <v>1831352350</v>
      </c>
      <c r="B2116" t="str">
        <f>"03859221"</f>
        <v>03859221</v>
      </c>
      <c r="C2116" t="s">
        <v>14309</v>
      </c>
      <c r="D2116" t="s">
        <v>14310</v>
      </c>
      <c r="E2116" t="s">
        <v>14311</v>
      </c>
      <c r="L2116" t="s">
        <v>102</v>
      </c>
      <c r="M2116" t="s">
        <v>75</v>
      </c>
      <c r="R2116" t="s">
        <v>14312</v>
      </c>
      <c r="W2116" t="s">
        <v>14311</v>
      </c>
      <c r="X2116" t="s">
        <v>329</v>
      </c>
      <c r="Y2116" t="s">
        <v>97</v>
      </c>
      <c r="Z2116" t="s">
        <v>77</v>
      </c>
      <c r="AA2116" t="str">
        <f>"10029-6504"</f>
        <v>10029-6504</v>
      </c>
      <c r="AB2116" t="s">
        <v>78</v>
      </c>
      <c r="AC2116" t="s">
        <v>79</v>
      </c>
      <c r="AD2116" t="s">
        <v>75</v>
      </c>
      <c r="AE2116" t="s">
        <v>80</v>
      </c>
      <c r="AG2116" t="s">
        <v>81</v>
      </c>
    </row>
    <row r="2117" spans="1:33" x14ac:dyDescent="0.25">
      <c r="A2117" t="str">
        <f>"1821382086"</f>
        <v>1821382086</v>
      </c>
      <c r="B2117" t="str">
        <f>"04464504"</f>
        <v>04464504</v>
      </c>
      <c r="C2117" t="s">
        <v>14313</v>
      </c>
      <c r="D2117" t="s">
        <v>14314</v>
      </c>
      <c r="E2117" t="s">
        <v>14315</v>
      </c>
      <c r="L2117" t="s">
        <v>102</v>
      </c>
      <c r="M2117" t="s">
        <v>75</v>
      </c>
      <c r="R2117" t="s">
        <v>14316</v>
      </c>
      <c r="W2117" t="s">
        <v>14315</v>
      </c>
      <c r="AB2117" t="s">
        <v>78</v>
      </c>
      <c r="AC2117" t="s">
        <v>79</v>
      </c>
      <c r="AD2117" t="s">
        <v>75</v>
      </c>
      <c r="AE2117" t="s">
        <v>80</v>
      </c>
      <c r="AG2117" t="s">
        <v>81</v>
      </c>
    </row>
    <row r="2118" spans="1:33" x14ac:dyDescent="0.25">
      <c r="A2118" t="str">
        <f>"1841635273"</f>
        <v>1841635273</v>
      </c>
      <c r="C2118" t="s">
        <v>14317</v>
      </c>
      <c r="K2118" t="s">
        <v>99</v>
      </c>
      <c r="L2118" t="s">
        <v>102</v>
      </c>
      <c r="M2118" t="s">
        <v>75</v>
      </c>
      <c r="R2118" t="s">
        <v>14318</v>
      </c>
      <c r="S2118" t="s">
        <v>191</v>
      </c>
      <c r="T2118" t="s">
        <v>97</v>
      </c>
      <c r="U2118" t="s">
        <v>77</v>
      </c>
      <c r="V2118" t="str">
        <f>"100191147"</f>
        <v>100191147</v>
      </c>
      <c r="AC2118" t="s">
        <v>79</v>
      </c>
      <c r="AD2118" t="s">
        <v>75</v>
      </c>
      <c r="AE2118" t="s">
        <v>103</v>
      </c>
      <c r="AG2118" t="s">
        <v>81</v>
      </c>
    </row>
    <row r="2119" spans="1:33" x14ac:dyDescent="0.25">
      <c r="A2119" t="str">
        <f>"1467546754"</f>
        <v>1467546754</v>
      </c>
      <c r="B2119" t="str">
        <f>"03631885"</f>
        <v>03631885</v>
      </c>
      <c r="C2119" t="s">
        <v>13436</v>
      </c>
      <c r="D2119" t="s">
        <v>14319</v>
      </c>
      <c r="E2119" t="s">
        <v>14320</v>
      </c>
      <c r="G2119" t="s">
        <v>14321</v>
      </c>
      <c r="L2119" t="s">
        <v>84</v>
      </c>
      <c r="M2119" t="s">
        <v>85</v>
      </c>
      <c r="R2119" t="s">
        <v>14322</v>
      </c>
      <c r="W2119" t="s">
        <v>14320</v>
      </c>
      <c r="X2119" t="s">
        <v>181</v>
      </c>
      <c r="Y2119" t="s">
        <v>97</v>
      </c>
      <c r="Z2119" t="s">
        <v>77</v>
      </c>
      <c r="AA2119" t="str">
        <f>"10025-1716"</f>
        <v>10025-1716</v>
      </c>
      <c r="AB2119" t="s">
        <v>78</v>
      </c>
      <c r="AC2119" t="s">
        <v>79</v>
      </c>
      <c r="AD2119" t="s">
        <v>75</v>
      </c>
      <c r="AE2119" t="s">
        <v>80</v>
      </c>
      <c r="AG2119" t="s">
        <v>81</v>
      </c>
    </row>
    <row r="2120" spans="1:33" x14ac:dyDescent="0.25">
      <c r="A2120" t="str">
        <f>"1154421998"</f>
        <v>1154421998</v>
      </c>
      <c r="B2120" t="str">
        <f>"02842813"</f>
        <v>02842813</v>
      </c>
      <c r="C2120" t="s">
        <v>14323</v>
      </c>
      <c r="D2120" t="s">
        <v>2239</v>
      </c>
      <c r="E2120" t="s">
        <v>2240</v>
      </c>
      <c r="H2120" t="s">
        <v>2558</v>
      </c>
      <c r="J2120" t="s">
        <v>14324</v>
      </c>
      <c r="L2120" t="s">
        <v>83</v>
      </c>
      <c r="M2120" t="s">
        <v>85</v>
      </c>
      <c r="R2120" t="s">
        <v>2238</v>
      </c>
      <c r="W2120" t="s">
        <v>2240</v>
      </c>
      <c r="X2120" t="s">
        <v>2241</v>
      </c>
      <c r="Y2120" t="s">
        <v>131</v>
      </c>
      <c r="Z2120" t="s">
        <v>77</v>
      </c>
      <c r="AA2120" t="str">
        <f>"10453-4994"</f>
        <v>10453-4994</v>
      </c>
      <c r="AB2120" t="s">
        <v>78</v>
      </c>
      <c r="AC2120" t="s">
        <v>79</v>
      </c>
      <c r="AD2120" t="s">
        <v>75</v>
      </c>
      <c r="AE2120" t="s">
        <v>80</v>
      </c>
      <c r="AG2120" t="s">
        <v>81</v>
      </c>
    </row>
    <row r="2121" spans="1:33" x14ac:dyDescent="0.25">
      <c r="A2121" t="str">
        <f>"1235202243"</f>
        <v>1235202243</v>
      </c>
      <c r="B2121" t="str">
        <f>"01978312"</f>
        <v>01978312</v>
      </c>
      <c r="C2121" t="s">
        <v>14325</v>
      </c>
      <c r="D2121" t="s">
        <v>5490</v>
      </c>
      <c r="E2121" t="s">
        <v>5491</v>
      </c>
      <c r="G2121" t="s">
        <v>14326</v>
      </c>
      <c r="H2121" t="s">
        <v>14327</v>
      </c>
      <c r="J2121" t="s">
        <v>14328</v>
      </c>
      <c r="L2121" t="s">
        <v>74</v>
      </c>
      <c r="M2121" t="s">
        <v>85</v>
      </c>
      <c r="R2121" t="s">
        <v>5492</v>
      </c>
      <c r="W2121" t="s">
        <v>5491</v>
      </c>
      <c r="X2121" t="s">
        <v>5016</v>
      </c>
      <c r="Y2121" t="s">
        <v>97</v>
      </c>
      <c r="Z2121" t="s">
        <v>77</v>
      </c>
      <c r="AA2121" t="str">
        <f>"10025-3923"</f>
        <v>10025-3923</v>
      </c>
      <c r="AB2121" t="s">
        <v>78</v>
      </c>
      <c r="AC2121" t="s">
        <v>79</v>
      </c>
      <c r="AD2121" t="s">
        <v>75</v>
      </c>
      <c r="AE2121" t="s">
        <v>80</v>
      </c>
      <c r="AG2121" t="s">
        <v>81</v>
      </c>
    </row>
    <row r="2122" spans="1:33" x14ac:dyDescent="0.25">
      <c r="A2122" t="str">
        <f>"1902972052"</f>
        <v>1902972052</v>
      </c>
      <c r="B2122" t="str">
        <f>"03775399"</f>
        <v>03775399</v>
      </c>
      <c r="C2122" t="s">
        <v>14329</v>
      </c>
      <c r="D2122" t="s">
        <v>5239</v>
      </c>
      <c r="E2122" t="s">
        <v>5240</v>
      </c>
      <c r="G2122" t="s">
        <v>14326</v>
      </c>
      <c r="H2122" t="s">
        <v>14327</v>
      </c>
      <c r="J2122" t="s">
        <v>14328</v>
      </c>
      <c r="L2122" t="s">
        <v>74</v>
      </c>
      <c r="M2122" t="s">
        <v>75</v>
      </c>
      <c r="R2122" t="s">
        <v>5241</v>
      </c>
      <c r="W2122" t="s">
        <v>5240</v>
      </c>
      <c r="X2122" t="s">
        <v>5242</v>
      </c>
      <c r="Y2122" t="s">
        <v>5243</v>
      </c>
      <c r="Z2122" t="s">
        <v>1842</v>
      </c>
      <c r="AA2122" t="str">
        <f>"06320-0000"</f>
        <v>06320-0000</v>
      </c>
      <c r="AB2122" t="s">
        <v>78</v>
      </c>
      <c r="AC2122" t="s">
        <v>79</v>
      </c>
      <c r="AD2122" t="s">
        <v>75</v>
      </c>
      <c r="AE2122" t="s">
        <v>80</v>
      </c>
      <c r="AG2122" t="s">
        <v>81</v>
      </c>
    </row>
    <row r="2123" spans="1:33" x14ac:dyDescent="0.25">
      <c r="A2123" t="str">
        <f>"1841290608"</f>
        <v>1841290608</v>
      </c>
      <c r="B2123" t="str">
        <f>"00385539"</f>
        <v>00385539</v>
      </c>
      <c r="C2123" t="s">
        <v>14330</v>
      </c>
      <c r="D2123" t="s">
        <v>14331</v>
      </c>
      <c r="E2123" t="s">
        <v>14332</v>
      </c>
      <c r="G2123" t="s">
        <v>13504</v>
      </c>
      <c r="H2123" t="s">
        <v>13505</v>
      </c>
      <c r="J2123" t="s">
        <v>13506</v>
      </c>
      <c r="L2123" t="s">
        <v>84</v>
      </c>
      <c r="M2123" t="s">
        <v>85</v>
      </c>
      <c r="R2123" t="s">
        <v>14333</v>
      </c>
      <c r="W2123" t="s">
        <v>14332</v>
      </c>
      <c r="X2123" t="s">
        <v>14334</v>
      </c>
      <c r="Y2123" t="s">
        <v>247</v>
      </c>
      <c r="Z2123" t="s">
        <v>77</v>
      </c>
      <c r="AA2123" t="str">
        <f>"11791"</f>
        <v>11791</v>
      </c>
      <c r="AB2123" t="s">
        <v>78</v>
      </c>
      <c r="AC2123" t="s">
        <v>79</v>
      </c>
      <c r="AD2123" t="s">
        <v>75</v>
      </c>
      <c r="AE2123" t="s">
        <v>80</v>
      </c>
      <c r="AG2123" t="s">
        <v>81</v>
      </c>
    </row>
    <row r="2124" spans="1:33" x14ac:dyDescent="0.25">
      <c r="A2124" t="str">
        <f>"1114990108"</f>
        <v>1114990108</v>
      </c>
      <c r="B2124" t="str">
        <f>"00228400"</f>
        <v>00228400</v>
      </c>
      <c r="C2124" t="s">
        <v>14335</v>
      </c>
      <c r="D2124" t="s">
        <v>14336</v>
      </c>
      <c r="E2124" t="s">
        <v>14337</v>
      </c>
      <c r="G2124" t="s">
        <v>13504</v>
      </c>
      <c r="H2124" t="s">
        <v>13505</v>
      </c>
      <c r="J2124" t="s">
        <v>13506</v>
      </c>
      <c r="L2124" t="s">
        <v>84</v>
      </c>
      <c r="M2124" t="s">
        <v>75</v>
      </c>
      <c r="R2124" t="s">
        <v>14338</v>
      </c>
      <c r="W2124" t="s">
        <v>14337</v>
      </c>
      <c r="X2124" t="s">
        <v>14339</v>
      </c>
      <c r="Y2124" t="s">
        <v>87</v>
      </c>
      <c r="Z2124" t="s">
        <v>77</v>
      </c>
      <c r="AA2124" t="str">
        <f>"11226-7607"</f>
        <v>11226-7607</v>
      </c>
      <c r="AB2124" t="s">
        <v>78</v>
      </c>
      <c r="AC2124" t="s">
        <v>79</v>
      </c>
      <c r="AD2124" t="s">
        <v>75</v>
      </c>
      <c r="AE2124" t="s">
        <v>80</v>
      </c>
      <c r="AG2124" t="s">
        <v>81</v>
      </c>
    </row>
    <row r="2125" spans="1:33" x14ac:dyDescent="0.25">
      <c r="A2125" t="str">
        <f>"1528122314"</f>
        <v>1528122314</v>
      </c>
      <c r="B2125" t="str">
        <f>"00228428"</f>
        <v>00228428</v>
      </c>
      <c r="C2125" t="s">
        <v>14340</v>
      </c>
      <c r="D2125" t="s">
        <v>1693</v>
      </c>
      <c r="E2125" t="s">
        <v>1694</v>
      </c>
      <c r="G2125" t="s">
        <v>13504</v>
      </c>
      <c r="H2125" t="s">
        <v>13505</v>
      </c>
      <c r="J2125" t="s">
        <v>13506</v>
      </c>
      <c r="L2125" t="s">
        <v>84</v>
      </c>
      <c r="M2125" t="s">
        <v>75</v>
      </c>
      <c r="R2125" t="s">
        <v>1692</v>
      </c>
      <c r="W2125" t="s">
        <v>1694</v>
      </c>
      <c r="X2125" t="s">
        <v>1695</v>
      </c>
      <c r="Y2125" t="s">
        <v>171</v>
      </c>
      <c r="Z2125" t="s">
        <v>77</v>
      </c>
      <c r="AA2125" t="str">
        <f>"11432-5248"</f>
        <v>11432-5248</v>
      </c>
      <c r="AB2125" t="s">
        <v>78</v>
      </c>
      <c r="AC2125" t="s">
        <v>79</v>
      </c>
      <c r="AD2125" t="s">
        <v>75</v>
      </c>
      <c r="AE2125" t="s">
        <v>80</v>
      </c>
      <c r="AG2125" t="s">
        <v>81</v>
      </c>
    </row>
    <row r="2126" spans="1:33" x14ac:dyDescent="0.25">
      <c r="A2126" t="str">
        <f>"1902223852"</f>
        <v>1902223852</v>
      </c>
      <c r="C2126" t="s">
        <v>14341</v>
      </c>
      <c r="K2126" t="s">
        <v>99</v>
      </c>
      <c r="L2126" t="s">
        <v>102</v>
      </c>
      <c r="M2126" t="s">
        <v>75</v>
      </c>
      <c r="R2126" t="s">
        <v>14342</v>
      </c>
      <c r="S2126" t="s">
        <v>14343</v>
      </c>
      <c r="T2126" t="s">
        <v>97</v>
      </c>
      <c r="U2126" t="s">
        <v>77</v>
      </c>
      <c r="V2126" t="str">
        <f>"100296504"</f>
        <v>100296504</v>
      </c>
      <c r="AC2126" t="s">
        <v>79</v>
      </c>
      <c r="AD2126" t="s">
        <v>75</v>
      </c>
      <c r="AE2126" t="s">
        <v>103</v>
      </c>
      <c r="AG2126" t="s">
        <v>81</v>
      </c>
    </row>
    <row r="2127" spans="1:33" x14ac:dyDescent="0.25">
      <c r="A2127" t="str">
        <f>"1922427368"</f>
        <v>1922427368</v>
      </c>
      <c r="C2127" t="s">
        <v>14344</v>
      </c>
      <c r="K2127" t="s">
        <v>99</v>
      </c>
      <c r="L2127" t="s">
        <v>102</v>
      </c>
      <c r="M2127" t="s">
        <v>75</v>
      </c>
      <c r="R2127" t="s">
        <v>14345</v>
      </c>
      <c r="S2127" t="s">
        <v>11850</v>
      </c>
      <c r="T2127" t="s">
        <v>97</v>
      </c>
      <c r="U2127" t="s">
        <v>77</v>
      </c>
      <c r="V2127" t="str">
        <f>"100296504"</f>
        <v>100296504</v>
      </c>
      <c r="AC2127" t="s">
        <v>79</v>
      </c>
      <c r="AD2127" t="s">
        <v>75</v>
      </c>
      <c r="AE2127" t="s">
        <v>103</v>
      </c>
      <c r="AG2127" t="s">
        <v>81</v>
      </c>
    </row>
    <row r="2128" spans="1:33" x14ac:dyDescent="0.25">
      <c r="A2128" t="str">
        <f>"1801862271"</f>
        <v>1801862271</v>
      </c>
      <c r="B2128" t="str">
        <f>"02470620"</f>
        <v>02470620</v>
      </c>
      <c r="C2128" t="s">
        <v>14346</v>
      </c>
      <c r="D2128" t="s">
        <v>14347</v>
      </c>
      <c r="E2128" t="s">
        <v>14348</v>
      </c>
      <c r="H2128" t="s">
        <v>14349</v>
      </c>
      <c r="J2128" t="s">
        <v>14350</v>
      </c>
      <c r="L2128" t="s">
        <v>74</v>
      </c>
      <c r="M2128" t="s">
        <v>75</v>
      </c>
      <c r="R2128" t="s">
        <v>14351</v>
      </c>
      <c r="W2128" t="s">
        <v>14348</v>
      </c>
      <c r="X2128" t="s">
        <v>14348</v>
      </c>
      <c r="Y2128" t="s">
        <v>240</v>
      </c>
      <c r="Z2128" t="s">
        <v>77</v>
      </c>
      <c r="AA2128" t="str">
        <f>"11530-5806"</f>
        <v>11530-5806</v>
      </c>
      <c r="AB2128" t="s">
        <v>78</v>
      </c>
      <c r="AC2128" t="s">
        <v>79</v>
      </c>
      <c r="AD2128" t="s">
        <v>75</v>
      </c>
      <c r="AE2128" t="s">
        <v>80</v>
      </c>
      <c r="AG2128" t="s">
        <v>81</v>
      </c>
    </row>
    <row r="2129" spans="1:33" x14ac:dyDescent="0.25">
      <c r="A2129" t="str">
        <f>"1487696522"</f>
        <v>1487696522</v>
      </c>
      <c r="B2129" t="str">
        <f>"00718534"</f>
        <v>00718534</v>
      </c>
      <c r="C2129" t="s">
        <v>14352</v>
      </c>
      <c r="D2129" t="s">
        <v>14353</v>
      </c>
      <c r="E2129" t="s">
        <v>14354</v>
      </c>
      <c r="G2129" t="s">
        <v>13504</v>
      </c>
      <c r="H2129" t="s">
        <v>13505</v>
      </c>
      <c r="J2129" t="s">
        <v>13506</v>
      </c>
      <c r="L2129" t="s">
        <v>83</v>
      </c>
      <c r="M2129" t="s">
        <v>75</v>
      </c>
      <c r="R2129" t="s">
        <v>14355</v>
      </c>
      <c r="W2129" t="s">
        <v>14354</v>
      </c>
      <c r="X2129" t="s">
        <v>14356</v>
      </c>
      <c r="Y2129" t="s">
        <v>87</v>
      </c>
      <c r="Z2129" t="s">
        <v>77</v>
      </c>
      <c r="AA2129" t="str">
        <f>"11225-1604"</f>
        <v>11225-1604</v>
      </c>
      <c r="AB2129" t="s">
        <v>78</v>
      </c>
      <c r="AC2129" t="s">
        <v>79</v>
      </c>
      <c r="AD2129" t="s">
        <v>75</v>
      </c>
      <c r="AE2129" t="s">
        <v>80</v>
      </c>
      <c r="AG2129" t="s">
        <v>81</v>
      </c>
    </row>
    <row r="2130" spans="1:33" x14ac:dyDescent="0.25">
      <c r="A2130" t="str">
        <f>"1548256258"</f>
        <v>1548256258</v>
      </c>
      <c r="B2130" t="str">
        <f>"00645267"</f>
        <v>00645267</v>
      </c>
      <c r="C2130" t="s">
        <v>14357</v>
      </c>
      <c r="D2130" t="s">
        <v>14358</v>
      </c>
      <c r="E2130" t="s">
        <v>14359</v>
      </c>
      <c r="G2130" t="s">
        <v>13504</v>
      </c>
      <c r="H2130" t="s">
        <v>13505</v>
      </c>
      <c r="J2130" t="s">
        <v>13506</v>
      </c>
      <c r="L2130" t="s">
        <v>84</v>
      </c>
      <c r="M2130" t="s">
        <v>75</v>
      </c>
      <c r="R2130" t="s">
        <v>14360</v>
      </c>
      <c r="W2130" t="s">
        <v>14359</v>
      </c>
      <c r="X2130" t="s">
        <v>14361</v>
      </c>
      <c r="Y2130" t="s">
        <v>87</v>
      </c>
      <c r="Z2130" t="s">
        <v>77</v>
      </c>
      <c r="AA2130" t="str">
        <f>"11230-2042"</f>
        <v>11230-2042</v>
      </c>
      <c r="AB2130" t="s">
        <v>78</v>
      </c>
      <c r="AC2130" t="s">
        <v>79</v>
      </c>
      <c r="AD2130" t="s">
        <v>75</v>
      </c>
      <c r="AE2130" t="s">
        <v>80</v>
      </c>
      <c r="AG2130" t="s">
        <v>81</v>
      </c>
    </row>
    <row r="2131" spans="1:33" x14ac:dyDescent="0.25">
      <c r="A2131" t="str">
        <f>"1184707812"</f>
        <v>1184707812</v>
      </c>
      <c r="B2131" t="str">
        <f>"02891954"</f>
        <v>02891954</v>
      </c>
      <c r="C2131" t="s">
        <v>13436</v>
      </c>
      <c r="D2131" t="s">
        <v>14362</v>
      </c>
      <c r="E2131" t="s">
        <v>14363</v>
      </c>
      <c r="G2131" t="s">
        <v>14364</v>
      </c>
      <c r="L2131" t="s">
        <v>105</v>
      </c>
      <c r="M2131" t="s">
        <v>85</v>
      </c>
      <c r="R2131" t="s">
        <v>14365</v>
      </c>
      <c r="W2131" t="s">
        <v>14363</v>
      </c>
      <c r="X2131" t="s">
        <v>329</v>
      </c>
      <c r="Y2131" t="s">
        <v>97</v>
      </c>
      <c r="Z2131" t="s">
        <v>77</v>
      </c>
      <c r="AA2131" t="str">
        <f>"10029-6500"</f>
        <v>10029-6500</v>
      </c>
      <c r="AB2131" t="s">
        <v>78</v>
      </c>
      <c r="AC2131" t="s">
        <v>79</v>
      </c>
      <c r="AD2131" t="s">
        <v>75</v>
      </c>
      <c r="AE2131" t="s">
        <v>80</v>
      </c>
      <c r="AG2131" t="s">
        <v>81</v>
      </c>
    </row>
    <row r="2132" spans="1:33" x14ac:dyDescent="0.25">
      <c r="A2132" t="str">
        <f>"1194803890"</f>
        <v>1194803890</v>
      </c>
      <c r="B2132" t="str">
        <f>"01523326"</f>
        <v>01523326</v>
      </c>
      <c r="C2132" t="s">
        <v>13436</v>
      </c>
      <c r="D2132" t="s">
        <v>14366</v>
      </c>
      <c r="E2132" t="s">
        <v>14367</v>
      </c>
      <c r="G2132" t="s">
        <v>14368</v>
      </c>
      <c r="L2132" t="s">
        <v>94</v>
      </c>
      <c r="M2132" t="s">
        <v>85</v>
      </c>
      <c r="R2132" t="s">
        <v>14367</v>
      </c>
      <c r="W2132" t="s">
        <v>14367</v>
      </c>
      <c r="X2132" t="s">
        <v>14369</v>
      </c>
      <c r="Y2132" t="s">
        <v>97</v>
      </c>
      <c r="Z2132" t="s">
        <v>77</v>
      </c>
      <c r="AA2132" t="str">
        <f>"10021-4873"</f>
        <v>10021-4873</v>
      </c>
      <c r="AB2132" t="s">
        <v>78</v>
      </c>
      <c r="AC2132" t="s">
        <v>79</v>
      </c>
      <c r="AD2132" t="s">
        <v>75</v>
      </c>
      <c r="AE2132" t="s">
        <v>80</v>
      </c>
      <c r="AG2132" t="s">
        <v>81</v>
      </c>
    </row>
    <row r="2133" spans="1:33" x14ac:dyDescent="0.25">
      <c r="A2133" t="str">
        <f>"1194980458"</f>
        <v>1194980458</v>
      </c>
      <c r="B2133" t="str">
        <f>"03366763"</f>
        <v>03366763</v>
      </c>
      <c r="C2133" t="s">
        <v>13436</v>
      </c>
      <c r="D2133" t="s">
        <v>14370</v>
      </c>
      <c r="E2133" t="s">
        <v>14371</v>
      </c>
      <c r="G2133" t="s">
        <v>14372</v>
      </c>
      <c r="L2133" t="s">
        <v>94</v>
      </c>
      <c r="M2133" t="s">
        <v>85</v>
      </c>
      <c r="R2133" t="s">
        <v>14373</v>
      </c>
      <c r="W2133" t="s">
        <v>14374</v>
      </c>
      <c r="X2133" t="s">
        <v>330</v>
      </c>
      <c r="Y2133" t="s">
        <v>97</v>
      </c>
      <c r="Z2133" t="s">
        <v>77</v>
      </c>
      <c r="AA2133" t="str">
        <f>"10029-5204"</f>
        <v>10029-5204</v>
      </c>
      <c r="AB2133" t="s">
        <v>78</v>
      </c>
      <c r="AC2133" t="s">
        <v>79</v>
      </c>
      <c r="AD2133" t="s">
        <v>75</v>
      </c>
      <c r="AE2133" t="s">
        <v>80</v>
      </c>
      <c r="AG2133" t="s">
        <v>81</v>
      </c>
    </row>
    <row r="2134" spans="1:33" x14ac:dyDescent="0.25">
      <c r="A2134" t="str">
        <f>"1194980623"</f>
        <v>1194980623</v>
      </c>
      <c r="B2134" t="str">
        <f>"03117008"</f>
        <v>03117008</v>
      </c>
      <c r="C2134" t="s">
        <v>13436</v>
      </c>
      <c r="D2134" t="s">
        <v>14375</v>
      </c>
      <c r="E2134" t="s">
        <v>14376</v>
      </c>
      <c r="G2134" t="s">
        <v>14377</v>
      </c>
      <c r="L2134" t="s">
        <v>94</v>
      </c>
      <c r="M2134" t="s">
        <v>85</v>
      </c>
      <c r="R2134" t="s">
        <v>14378</v>
      </c>
      <c r="W2134" t="s">
        <v>14379</v>
      </c>
      <c r="X2134" t="s">
        <v>330</v>
      </c>
      <c r="Y2134" t="s">
        <v>97</v>
      </c>
      <c r="Z2134" t="s">
        <v>77</v>
      </c>
      <c r="AA2134" t="str">
        <f>"10029-5204"</f>
        <v>10029-5204</v>
      </c>
      <c r="AB2134" t="s">
        <v>78</v>
      </c>
      <c r="AC2134" t="s">
        <v>79</v>
      </c>
      <c r="AD2134" t="s">
        <v>75</v>
      </c>
      <c r="AE2134" t="s">
        <v>80</v>
      </c>
      <c r="AG2134" t="s">
        <v>81</v>
      </c>
    </row>
    <row r="2135" spans="1:33" x14ac:dyDescent="0.25">
      <c r="A2135" t="str">
        <f>"1205030228"</f>
        <v>1205030228</v>
      </c>
      <c r="B2135" t="str">
        <f>"03127391"</f>
        <v>03127391</v>
      </c>
      <c r="C2135" t="s">
        <v>13436</v>
      </c>
      <c r="D2135" t="s">
        <v>14380</v>
      </c>
      <c r="E2135" t="s">
        <v>14381</v>
      </c>
      <c r="G2135" t="s">
        <v>14382</v>
      </c>
      <c r="L2135" t="s">
        <v>94</v>
      </c>
      <c r="M2135" t="s">
        <v>75</v>
      </c>
      <c r="R2135" t="s">
        <v>14383</v>
      </c>
      <c r="W2135" t="s">
        <v>14381</v>
      </c>
      <c r="X2135" t="s">
        <v>14384</v>
      </c>
      <c r="Y2135" t="s">
        <v>97</v>
      </c>
      <c r="Z2135" t="s">
        <v>77</v>
      </c>
      <c r="AA2135" t="str">
        <f>"10128-5604"</f>
        <v>10128-5604</v>
      </c>
      <c r="AB2135" t="s">
        <v>78</v>
      </c>
      <c r="AC2135" t="s">
        <v>79</v>
      </c>
      <c r="AD2135" t="s">
        <v>75</v>
      </c>
      <c r="AE2135" t="s">
        <v>80</v>
      </c>
      <c r="AG2135" t="s">
        <v>81</v>
      </c>
    </row>
    <row r="2136" spans="1:33" x14ac:dyDescent="0.25">
      <c r="A2136" t="str">
        <f>"1073773768"</f>
        <v>1073773768</v>
      </c>
      <c r="B2136" t="str">
        <f>"03929146"</f>
        <v>03929146</v>
      </c>
      <c r="C2136" t="s">
        <v>14385</v>
      </c>
      <c r="D2136" t="s">
        <v>14386</v>
      </c>
      <c r="E2136" t="s">
        <v>14387</v>
      </c>
      <c r="G2136" t="s">
        <v>13504</v>
      </c>
      <c r="H2136" t="s">
        <v>13505</v>
      </c>
      <c r="J2136" t="s">
        <v>13506</v>
      </c>
      <c r="L2136" t="s">
        <v>83</v>
      </c>
      <c r="M2136" t="s">
        <v>75</v>
      </c>
      <c r="R2136" t="s">
        <v>14388</v>
      </c>
      <c r="W2136" t="s">
        <v>14387</v>
      </c>
      <c r="X2136" t="s">
        <v>202</v>
      </c>
      <c r="Y2136" t="s">
        <v>87</v>
      </c>
      <c r="Z2136" t="s">
        <v>77</v>
      </c>
      <c r="AA2136" t="str">
        <f>"11201-5425"</f>
        <v>11201-5425</v>
      </c>
      <c r="AB2136" t="s">
        <v>78</v>
      </c>
      <c r="AC2136" t="s">
        <v>79</v>
      </c>
      <c r="AD2136" t="s">
        <v>75</v>
      </c>
      <c r="AE2136" t="s">
        <v>80</v>
      </c>
      <c r="AG2136" t="s">
        <v>81</v>
      </c>
    </row>
    <row r="2137" spans="1:33" x14ac:dyDescent="0.25">
      <c r="A2137" t="str">
        <f>"1780990499"</f>
        <v>1780990499</v>
      </c>
      <c r="B2137" t="str">
        <f>"03820844"</f>
        <v>03820844</v>
      </c>
      <c r="C2137" t="s">
        <v>14389</v>
      </c>
      <c r="D2137" t="s">
        <v>14390</v>
      </c>
      <c r="E2137" t="s">
        <v>14391</v>
      </c>
      <c r="G2137" t="s">
        <v>13504</v>
      </c>
      <c r="H2137" t="s">
        <v>13505</v>
      </c>
      <c r="J2137" t="s">
        <v>13506</v>
      </c>
      <c r="L2137" t="s">
        <v>105</v>
      </c>
      <c r="M2137" t="s">
        <v>75</v>
      </c>
      <c r="R2137" t="s">
        <v>14392</v>
      </c>
      <c r="W2137" t="s">
        <v>14391</v>
      </c>
      <c r="X2137" t="s">
        <v>202</v>
      </c>
      <c r="Y2137" t="s">
        <v>87</v>
      </c>
      <c r="Z2137" t="s">
        <v>77</v>
      </c>
      <c r="AA2137" t="str">
        <f>"11201-5425"</f>
        <v>11201-5425</v>
      </c>
      <c r="AB2137" t="s">
        <v>78</v>
      </c>
      <c r="AC2137" t="s">
        <v>79</v>
      </c>
      <c r="AD2137" t="s">
        <v>75</v>
      </c>
      <c r="AE2137" t="s">
        <v>80</v>
      </c>
      <c r="AG2137" t="s">
        <v>81</v>
      </c>
    </row>
    <row r="2138" spans="1:33" x14ac:dyDescent="0.25">
      <c r="A2138" t="str">
        <f>"1497909345"</f>
        <v>1497909345</v>
      </c>
      <c r="B2138" t="str">
        <f>"03090517"</f>
        <v>03090517</v>
      </c>
      <c r="C2138" t="s">
        <v>14393</v>
      </c>
      <c r="D2138" t="s">
        <v>14394</v>
      </c>
      <c r="E2138" t="s">
        <v>14395</v>
      </c>
      <c r="G2138" t="s">
        <v>13504</v>
      </c>
      <c r="H2138" t="s">
        <v>13505</v>
      </c>
      <c r="J2138" t="s">
        <v>13506</v>
      </c>
      <c r="L2138" t="s">
        <v>84</v>
      </c>
      <c r="M2138" t="s">
        <v>75</v>
      </c>
      <c r="R2138" t="s">
        <v>14396</v>
      </c>
      <c r="W2138" t="s">
        <v>14395</v>
      </c>
      <c r="X2138" t="s">
        <v>14397</v>
      </c>
      <c r="Y2138" t="s">
        <v>87</v>
      </c>
      <c r="Z2138" t="s">
        <v>77</v>
      </c>
      <c r="AA2138" t="str">
        <f>"11211-6620"</f>
        <v>11211-6620</v>
      </c>
      <c r="AB2138" t="s">
        <v>78</v>
      </c>
      <c r="AC2138" t="s">
        <v>79</v>
      </c>
      <c r="AD2138" t="s">
        <v>75</v>
      </c>
      <c r="AE2138" t="s">
        <v>80</v>
      </c>
      <c r="AG2138" t="s">
        <v>81</v>
      </c>
    </row>
    <row r="2139" spans="1:33" x14ac:dyDescent="0.25">
      <c r="A2139" t="str">
        <f>"1043451883"</f>
        <v>1043451883</v>
      </c>
      <c r="B2139" t="str">
        <f>"03719880"</f>
        <v>03719880</v>
      </c>
      <c r="C2139" t="s">
        <v>14398</v>
      </c>
      <c r="D2139" t="s">
        <v>14399</v>
      </c>
      <c r="E2139" t="s">
        <v>14400</v>
      </c>
      <c r="G2139" t="s">
        <v>13504</v>
      </c>
      <c r="H2139" t="s">
        <v>13505</v>
      </c>
      <c r="J2139" t="s">
        <v>13506</v>
      </c>
      <c r="L2139" t="s">
        <v>83</v>
      </c>
      <c r="M2139" t="s">
        <v>75</v>
      </c>
      <c r="R2139" t="s">
        <v>14401</v>
      </c>
      <c r="W2139" t="s">
        <v>14400</v>
      </c>
      <c r="X2139" t="s">
        <v>159</v>
      </c>
      <c r="Y2139" t="s">
        <v>160</v>
      </c>
      <c r="Z2139" t="s">
        <v>77</v>
      </c>
      <c r="AA2139" t="str">
        <f>"11030-3816"</f>
        <v>11030-3816</v>
      </c>
      <c r="AB2139" t="s">
        <v>78</v>
      </c>
      <c r="AC2139" t="s">
        <v>79</v>
      </c>
      <c r="AD2139" t="s">
        <v>75</v>
      </c>
      <c r="AE2139" t="s">
        <v>80</v>
      </c>
      <c r="AG2139" t="s">
        <v>81</v>
      </c>
    </row>
    <row r="2140" spans="1:33" x14ac:dyDescent="0.25">
      <c r="A2140" t="str">
        <f>"1770802399"</f>
        <v>1770802399</v>
      </c>
      <c r="B2140" t="str">
        <f>"03959377"</f>
        <v>03959377</v>
      </c>
      <c r="C2140" t="s">
        <v>14402</v>
      </c>
      <c r="D2140" t="s">
        <v>14403</v>
      </c>
      <c r="E2140" t="s">
        <v>14404</v>
      </c>
      <c r="G2140" t="s">
        <v>13504</v>
      </c>
      <c r="H2140" t="s">
        <v>13505</v>
      </c>
      <c r="J2140" t="s">
        <v>13506</v>
      </c>
      <c r="L2140" t="s">
        <v>83</v>
      </c>
      <c r="M2140" t="s">
        <v>75</v>
      </c>
      <c r="R2140" t="s">
        <v>14404</v>
      </c>
      <c r="W2140" t="s">
        <v>14404</v>
      </c>
      <c r="X2140" t="s">
        <v>14405</v>
      </c>
      <c r="Y2140" t="s">
        <v>87</v>
      </c>
      <c r="Z2140" t="s">
        <v>77</v>
      </c>
      <c r="AA2140" t="str">
        <f>"11225-1604"</f>
        <v>11225-1604</v>
      </c>
      <c r="AB2140" t="s">
        <v>78</v>
      </c>
      <c r="AC2140" t="s">
        <v>79</v>
      </c>
      <c r="AD2140" t="s">
        <v>75</v>
      </c>
      <c r="AE2140" t="s">
        <v>80</v>
      </c>
      <c r="AG2140" t="s">
        <v>81</v>
      </c>
    </row>
    <row r="2141" spans="1:33" x14ac:dyDescent="0.25">
      <c r="A2141" t="str">
        <f>"1831432590"</f>
        <v>1831432590</v>
      </c>
      <c r="B2141" t="str">
        <f>"03950718"</f>
        <v>03950718</v>
      </c>
      <c r="C2141" t="s">
        <v>14406</v>
      </c>
      <c r="D2141" t="s">
        <v>14407</v>
      </c>
      <c r="E2141" t="s">
        <v>14408</v>
      </c>
      <c r="G2141" t="s">
        <v>13504</v>
      </c>
      <c r="H2141" t="s">
        <v>13505</v>
      </c>
      <c r="J2141" t="s">
        <v>13506</v>
      </c>
      <c r="L2141" t="s">
        <v>74</v>
      </c>
      <c r="M2141" t="s">
        <v>75</v>
      </c>
      <c r="R2141" t="s">
        <v>14408</v>
      </c>
      <c r="W2141" t="s">
        <v>14408</v>
      </c>
      <c r="X2141" t="s">
        <v>202</v>
      </c>
      <c r="Y2141" t="s">
        <v>87</v>
      </c>
      <c r="Z2141" t="s">
        <v>77</v>
      </c>
      <c r="AA2141" t="str">
        <f>"11201-5425"</f>
        <v>11201-5425</v>
      </c>
      <c r="AB2141" t="s">
        <v>78</v>
      </c>
      <c r="AC2141" t="s">
        <v>79</v>
      </c>
      <c r="AD2141" t="s">
        <v>75</v>
      </c>
      <c r="AE2141" t="s">
        <v>80</v>
      </c>
      <c r="AG2141" t="s">
        <v>81</v>
      </c>
    </row>
    <row r="2142" spans="1:33" x14ac:dyDescent="0.25">
      <c r="A2142" t="str">
        <f>"1083753958"</f>
        <v>1083753958</v>
      </c>
      <c r="B2142" t="str">
        <f>"00207507"</f>
        <v>00207507</v>
      </c>
      <c r="C2142" t="s">
        <v>14409</v>
      </c>
      <c r="D2142" t="s">
        <v>14410</v>
      </c>
      <c r="E2142" t="s">
        <v>14411</v>
      </c>
      <c r="G2142" t="s">
        <v>13504</v>
      </c>
      <c r="H2142" t="s">
        <v>13505</v>
      </c>
      <c r="J2142" t="s">
        <v>13506</v>
      </c>
      <c r="L2142" t="s">
        <v>83</v>
      </c>
      <c r="M2142" t="s">
        <v>75</v>
      </c>
      <c r="R2142" t="s">
        <v>14412</v>
      </c>
      <c r="W2142" t="s">
        <v>14411</v>
      </c>
      <c r="X2142" t="s">
        <v>14413</v>
      </c>
      <c r="Y2142" t="s">
        <v>155</v>
      </c>
      <c r="Z2142" t="s">
        <v>77</v>
      </c>
      <c r="AA2142" t="str">
        <f>"10314-6623"</f>
        <v>10314-6623</v>
      </c>
      <c r="AB2142" t="s">
        <v>78</v>
      </c>
      <c r="AC2142" t="s">
        <v>79</v>
      </c>
      <c r="AD2142" t="s">
        <v>75</v>
      </c>
      <c r="AE2142" t="s">
        <v>80</v>
      </c>
      <c r="AG2142" t="s">
        <v>81</v>
      </c>
    </row>
    <row r="2143" spans="1:33" x14ac:dyDescent="0.25">
      <c r="A2143" t="str">
        <f>"1760493647"</f>
        <v>1760493647</v>
      </c>
      <c r="B2143" t="str">
        <f>"02280248"</f>
        <v>02280248</v>
      </c>
      <c r="C2143" t="s">
        <v>14414</v>
      </c>
      <c r="D2143" t="s">
        <v>14415</v>
      </c>
      <c r="E2143" t="s">
        <v>14416</v>
      </c>
      <c r="G2143" t="s">
        <v>13504</v>
      </c>
      <c r="H2143" t="s">
        <v>13505</v>
      </c>
      <c r="J2143" t="s">
        <v>13506</v>
      </c>
      <c r="L2143" t="s">
        <v>74</v>
      </c>
      <c r="M2143" t="s">
        <v>75</v>
      </c>
      <c r="R2143" t="s">
        <v>14417</v>
      </c>
      <c r="W2143" t="s">
        <v>14416</v>
      </c>
      <c r="X2143" t="s">
        <v>173</v>
      </c>
      <c r="Y2143" t="s">
        <v>87</v>
      </c>
      <c r="Z2143" t="s">
        <v>77</v>
      </c>
      <c r="AA2143" t="str">
        <f>"11219-2916"</f>
        <v>11219-2916</v>
      </c>
      <c r="AB2143" t="s">
        <v>78</v>
      </c>
      <c r="AC2143" t="s">
        <v>79</v>
      </c>
      <c r="AD2143" t="s">
        <v>75</v>
      </c>
      <c r="AE2143" t="s">
        <v>80</v>
      </c>
      <c r="AG2143" t="s">
        <v>81</v>
      </c>
    </row>
    <row r="2144" spans="1:33" x14ac:dyDescent="0.25">
      <c r="A2144" t="str">
        <f>"1831445113"</f>
        <v>1831445113</v>
      </c>
      <c r="C2144" t="s">
        <v>14418</v>
      </c>
      <c r="G2144" t="s">
        <v>13504</v>
      </c>
      <c r="H2144" t="s">
        <v>13505</v>
      </c>
      <c r="J2144" t="s">
        <v>13506</v>
      </c>
      <c r="K2144" t="s">
        <v>99</v>
      </c>
      <c r="L2144" t="s">
        <v>74</v>
      </c>
      <c r="M2144" t="s">
        <v>75</v>
      </c>
      <c r="R2144" t="s">
        <v>14419</v>
      </c>
      <c r="S2144" t="s">
        <v>14420</v>
      </c>
      <c r="T2144" t="s">
        <v>14421</v>
      </c>
      <c r="U2144" t="s">
        <v>14422</v>
      </c>
      <c r="V2144" t="str">
        <f>"58316"</f>
        <v>58316</v>
      </c>
      <c r="AC2144" t="s">
        <v>79</v>
      </c>
      <c r="AD2144" t="s">
        <v>75</v>
      </c>
      <c r="AE2144" t="s">
        <v>103</v>
      </c>
      <c r="AG2144" t="s">
        <v>81</v>
      </c>
    </row>
    <row r="2145" spans="1:33" x14ac:dyDescent="0.25">
      <c r="A2145" t="str">
        <f>"1568689685"</f>
        <v>1568689685</v>
      </c>
      <c r="B2145" t="str">
        <f>"02353611"</f>
        <v>02353611</v>
      </c>
      <c r="C2145" t="s">
        <v>14423</v>
      </c>
      <c r="D2145" t="s">
        <v>14424</v>
      </c>
      <c r="E2145" t="s">
        <v>14425</v>
      </c>
      <c r="G2145" t="s">
        <v>13504</v>
      </c>
      <c r="H2145" t="s">
        <v>13505</v>
      </c>
      <c r="J2145" t="s">
        <v>13506</v>
      </c>
      <c r="L2145" t="s">
        <v>74</v>
      </c>
      <c r="M2145" t="s">
        <v>75</v>
      </c>
      <c r="R2145" t="s">
        <v>14426</v>
      </c>
      <c r="W2145" t="s">
        <v>14427</v>
      </c>
      <c r="X2145" t="s">
        <v>14428</v>
      </c>
      <c r="Y2145" t="s">
        <v>87</v>
      </c>
      <c r="Z2145" t="s">
        <v>77</v>
      </c>
      <c r="AA2145" t="str">
        <f>"11210-4749"</f>
        <v>11210-4749</v>
      </c>
      <c r="AB2145" t="s">
        <v>78</v>
      </c>
      <c r="AC2145" t="s">
        <v>79</v>
      </c>
      <c r="AD2145" t="s">
        <v>75</v>
      </c>
      <c r="AE2145" t="s">
        <v>80</v>
      </c>
      <c r="AG2145" t="s">
        <v>81</v>
      </c>
    </row>
    <row r="2146" spans="1:33" x14ac:dyDescent="0.25">
      <c r="A2146" t="str">
        <f>"1023282829"</f>
        <v>1023282829</v>
      </c>
      <c r="B2146" t="str">
        <f>"03923553"</f>
        <v>03923553</v>
      </c>
      <c r="C2146" t="s">
        <v>14429</v>
      </c>
      <c r="D2146" t="s">
        <v>14430</v>
      </c>
      <c r="E2146" t="s">
        <v>14431</v>
      </c>
      <c r="G2146" t="s">
        <v>13504</v>
      </c>
      <c r="H2146" t="s">
        <v>13505</v>
      </c>
      <c r="J2146" t="s">
        <v>13506</v>
      </c>
      <c r="L2146" t="s">
        <v>83</v>
      </c>
      <c r="M2146" t="s">
        <v>75</v>
      </c>
      <c r="R2146" t="s">
        <v>14432</v>
      </c>
      <c r="W2146" t="s">
        <v>14433</v>
      </c>
      <c r="X2146" t="s">
        <v>14434</v>
      </c>
      <c r="Y2146" t="s">
        <v>240</v>
      </c>
      <c r="Z2146" t="s">
        <v>77</v>
      </c>
      <c r="AA2146" t="str">
        <f>"11530-2913"</f>
        <v>11530-2913</v>
      </c>
      <c r="AB2146" t="s">
        <v>78</v>
      </c>
      <c r="AC2146" t="s">
        <v>79</v>
      </c>
      <c r="AD2146" t="s">
        <v>75</v>
      </c>
      <c r="AE2146" t="s">
        <v>80</v>
      </c>
      <c r="AG2146" t="s">
        <v>81</v>
      </c>
    </row>
    <row r="2147" spans="1:33" x14ac:dyDescent="0.25">
      <c r="A2147" t="str">
        <f>"1467687574"</f>
        <v>1467687574</v>
      </c>
      <c r="B2147" t="str">
        <f>"03949511"</f>
        <v>03949511</v>
      </c>
      <c r="C2147" t="s">
        <v>14435</v>
      </c>
      <c r="D2147" t="s">
        <v>14436</v>
      </c>
      <c r="E2147" t="s">
        <v>14437</v>
      </c>
      <c r="G2147" t="s">
        <v>13504</v>
      </c>
      <c r="H2147" t="s">
        <v>13505</v>
      </c>
      <c r="J2147" t="s">
        <v>13506</v>
      </c>
      <c r="L2147" t="s">
        <v>74</v>
      </c>
      <c r="M2147" t="s">
        <v>75</v>
      </c>
      <c r="R2147" t="s">
        <v>14438</v>
      </c>
      <c r="W2147" t="s">
        <v>14437</v>
      </c>
      <c r="X2147" t="s">
        <v>14439</v>
      </c>
      <c r="Y2147" t="s">
        <v>87</v>
      </c>
      <c r="Z2147" t="s">
        <v>77</v>
      </c>
      <c r="AA2147" t="str">
        <f>"11201-5465"</f>
        <v>11201-5465</v>
      </c>
      <c r="AB2147" t="s">
        <v>78</v>
      </c>
      <c r="AC2147" t="s">
        <v>79</v>
      </c>
      <c r="AD2147" t="s">
        <v>75</v>
      </c>
      <c r="AE2147" t="s">
        <v>80</v>
      </c>
      <c r="AG2147" t="s">
        <v>81</v>
      </c>
    </row>
    <row r="2148" spans="1:33" x14ac:dyDescent="0.25">
      <c r="A2148" t="str">
        <f>"1588951974"</f>
        <v>1588951974</v>
      </c>
      <c r="B2148" t="str">
        <f>"03932785"</f>
        <v>03932785</v>
      </c>
      <c r="C2148" t="s">
        <v>14440</v>
      </c>
      <c r="D2148" t="s">
        <v>14441</v>
      </c>
      <c r="E2148" t="s">
        <v>14442</v>
      </c>
      <c r="G2148" t="s">
        <v>13504</v>
      </c>
      <c r="H2148" t="s">
        <v>13505</v>
      </c>
      <c r="J2148" t="s">
        <v>13506</v>
      </c>
      <c r="L2148" t="s">
        <v>83</v>
      </c>
      <c r="M2148" t="s">
        <v>75</v>
      </c>
      <c r="R2148" t="s">
        <v>14443</v>
      </c>
      <c r="W2148" t="s">
        <v>14442</v>
      </c>
      <c r="X2148" t="s">
        <v>265</v>
      </c>
      <c r="Y2148" t="s">
        <v>247</v>
      </c>
      <c r="Z2148" t="s">
        <v>77</v>
      </c>
      <c r="AA2148" t="str">
        <f>"11791-4515"</f>
        <v>11791-4515</v>
      </c>
      <c r="AB2148" t="s">
        <v>78</v>
      </c>
      <c r="AC2148" t="s">
        <v>79</v>
      </c>
      <c r="AD2148" t="s">
        <v>75</v>
      </c>
      <c r="AE2148" t="s">
        <v>80</v>
      </c>
      <c r="AG2148" t="s">
        <v>81</v>
      </c>
    </row>
    <row r="2149" spans="1:33" x14ac:dyDescent="0.25">
      <c r="A2149" t="str">
        <f>"1942621263"</f>
        <v>1942621263</v>
      </c>
      <c r="B2149" t="str">
        <f>"03998616"</f>
        <v>03998616</v>
      </c>
      <c r="C2149" t="s">
        <v>14444</v>
      </c>
      <c r="D2149" t="s">
        <v>14445</v>
      </c>
      <c r="E2149" t="s">
        <v>14446</v>
      </c>
      <c r="G2149" t="s">
        <v>13504</v>
      </c>
      <c r="H2149" t="s">
        <v>13505</v>
      </c>
      <c r="J2149" t="s">
        <v>13506</v>
      </c>
      <c r="L2149" t="s">
        <v>74</v>
      </c>
      <c r="M2149" t="s">
        <v>75</v>
      </c>
      <c r="R2149" t="s">
        <v>14446</v>
      </c>
      <c r="W2149" t="s">
        <v>14446</v>
      </c>
      <c r="X2149" t="s">
        <v>14447</v>
      </c>
      <c r="Y2149" t="s">
        <v>87</v>
      </c>
      <c r="Z2149" t="s">
        <v>77</v>
      </c>
      <c r="AA2149" t="str">
        <f>"11238-7109"</f>
        <v>11238-7109</v>
      </c>
      <c r="AB2149" t="s">
        <v>78</v>
      </c>
      <c r="AC2149" t="s">
        <v>79</v>
      </c>
      <c r="AD2149" t="s">
        <v>75</v>
      </c>
      <c r="AE2149" t="s">
        <v>80</v>
      </c>
      <c r="AG2149" t="s">
        <v>81</v>
      </c>
    </row>
    <row r="2150" spans="1:33" x14ac:dyDescent="0.25">
      <c r="A2150" t="str">
        <f>"1649688862"</f>
        <v>1649688862</v>
      </c>
      <c r="C2150" t="s">
        <v>14448</v>
      </c>
      <c r="G2150" t="s">
        <v>14449</v>
      </c>
      <c r="H2150" t="s">
        <v>14450</v>
      </c>
      <c r="K2150" t="s">
        <v>99</v>
      </c>
      <c r="L2150" t="s">
        <v>74</v>
      </c>
      <c r="M2150" t="s">
        <v>75</v>
      </c>
      <c r="R2150" t="s">
        <v>14451</v>
      </c>
      <c r="S2150" t="s">
        <v>3743</v>
      </c>
      <c r="T2150" t="s">
        <v>97</v>
      </c>
      <c r="U2150" t="s">
        <v>77</v>
      </c>
      <c r="V2150" t="str">
        <f>"100114401"</f>
        <v>100114401</v>
      </c>
      <c r="AC2150" t="s">
        <v>79</v>
      </c>
      <c r="AD2150" t="s">
        <v>75</v>
      </c>
      <c r="AE2150" t="s">
        <v>103</v>
      </c>
      <c r="AG2150" t="s">
        <v>81</v>
      </c>
    </row>
    <row r="2151" spans="1:33" x14ac:dyDescent="0.25">
      <c r="A2151" t="str">
        <f>"1952662389"</f>
        <v>1952662389</v>
      </c>
      <c r="C2151" t="s">
        <v>14452</v>
      </c>
      <c r="K2151" t="s">
        <v>99</v>
      </c>
      <c r="L2151" t="s">
        <v>102</v>
      </c>
      <c r="M2151" t="s">
        <v>75</v>
      </c>
      <c r="R2151" t="s">
        <v>14453</v>
      </c>
      <c r="S2151" t="s">
        <v>1714</v>
      </c>
      <c r="T2151" t="s">
        <v>316</v>
      </c>
      <c r="U2151" t="s">
        <v>77</v>
      </c>
      <c r="V2151" t="str">
        <f>"108015502"</f>
        <v>108015502</v>
      </c>
      <c r="AC2151" t="s">
        <v>79</v>
      </c>
      <c r="AD2151" t="s">
        <v>75</v>
      </c>
      <c r="AE2151" t="s">
        <v>103</v>
      </c>
      <c r="AG2151" t="s">
        <v>81</v>
      </c>
    </row>
    <row r="2152" spans="1:33" x14ac:dyDescent="0.25">
      <c r="A2152" t="str">
        <f>"1861734253"</f>
        <v>1861734253</v>
      </c>
      <c r="C2152" t="s">
        <v>14454</v>
      </c>
      <c r="K2152" t="s">
        <v>99</v>
      </c>
      <c r="L2152" t="s">
        <v>102</v>
      </c>
      <c r="M2152" t="s">
        <v>75</v>
      </c>
      <c r="R2152" t="s">
        <v>14455</v>
      </c>
      <c r="S2152" t="s">
        <v>14456</v>
      </c>
      <c r="T2152" t="s">
        <v>1783</v>
      </c>
      <c r="U2152" t="s">
        <v>1784</v>
      </c>
      <c r="V2152" t="str">
        <f>"191112351"</f>
        <v>191112351</v>
      </c>
      <c r="AC2152" t="s">
        <v>79</v>
      </c>
      <c r="AD2152" t="s">
        <v>75</v>
      </c>
      <c r="AE2152" t="s">
        <v>103</v>
      </c>
      <c r="AG2152" t="s">
        <v>81</v>
      </c>
    </row>
    <row r="2153" spans="1:33" x14ac:dyDescent="0.25">
      <c r="C2153" t="s">
        <v>14457</v>
      </c>
      <c r="G2153" t="s">
        <v>13504</v>
      </c>
      <c r="H2153" t="s">
        <v>13505</v>
      </c>
      <c r="J2153" t="s">
        <v>13506</v>
      </c>
      <c r="K2153" t="s">
        <v>99</v>
      </c>
      <c r="L2153" t="s">
        <v>100</v>
      </c>
      <c r="M2153" t="s">
        <v>75</v>
      </c>
      <c r="N2153" t="s">
        <v>14458</v>
      </c>
      <c r="O2153" t="s">
        <v>431</v>
      </c>
      <c r="P2153" t="s">
        <v>77</v>
      </c>
      <c r="Q2153" t="str">
        <f>"11201"</f>
        <v>11201</v>
      </c>
      <c r="AC2153" t="s">
        <v>79</v>
      </c>
      <c r="AD2153" t="s">
        <v>75</v>
      </c>
      <c r="AE2153" t="s">
        <v>101</v>
      </c>
      <c r="AG2153" t="s">
        <v>81</v>
      </c>
    </row>
    <row r="2154" spans="1:33" x14ac:dyDescent="0.25">
      <c r="A2154" t="str">
        <f>"1831456466"</f>
        <v>1831456466</v>
      </c>
      <c r="C2154" t="s">
        <v>14459</v>
      </c>
      <c r="K2154" t="s">
        <v>99</v>
      </c>
      <c r="L2154" t="s">
        <v>102</v>
      </c>
      <c r="M2154" t="s">
        <v>75</v>
      </c>
      <c r="R2154" t="s">
        <v>14460</v>
      </c>
      <c r="S2154" t="s">
        <v>14461</v>
      </c>
      <c r="T2154" t="s">
        <v>4651</v>
      </c>
      <c r="U2154" t="s">
        <v>2659</v>
      </c>
      <c r="V2154" t="str">
        <f>"981036701"</f>
        <v>981036701</v>
      </c>
      <c r="AC2154" t="s">
        <v>79</v>
      </c>
      <c r="AD2154" t="s">
        <v>75</v>
      </c>
      <c r="AE2154" t="s">
        <v>103</v>
      </c>
      <c r="AG2154" t="s">
        <v>81</v>
      </c>
    </row>
    <row r="2155" spans="1:33" x14ac:dyDescent="0.25">
      <c r="A2155" t="str">
        <f>"1932498508"</f>
        <v>1932498508</v>
      </c>
      <c r="B2155" t="str">
        <f>"04180778"</f>
        <v>04180778</v>
      </c>
      <c r="C2155" t="s">
        <v>14462</v>
      </c>
      <c r="D2155" t="s">
        <v>14463</v>
      </c>
      <c r="E2155" t="s">
        <v>14464</v>
      </c>
      <c r="L2155" t="s">
        <v>102</v>
      </c>
      <c r="M2155" t="s">
        <v>75</v>
      </c>
      <c r="R2155" t="s">
        <v>14464</v>
      </c>
      <c r="W2155" t="s">
        <v>14464</v>
      </c>
      <c r="X2155" t="s">
        <v>14465</v>
      </c>
      <c r="Y2155" t="s">
        <v>161</v>
      </c>
      <c r="Z2155" t="s">
        <v>77</v>
      </c>
      <c r="AA2155" t="str">
        <f>"11042-1113"</f>
        <v>11042-1113</v>
      </c>
      <c r="AB2155" t="s">
        <v>78</v>
      </c>
      <c r="AC2155" t="s">
        <v>79</v>
      </c>
      <c r="AD2155" t="s">
        <v>75</v>
      </c>
      <c r="AE2155" t="s">
        <v>80</v>
      </c>
      <c r="AG2155" t="s">
        <v>81</v>
      </c>
    </row>
    <row r="2156" spans="1:33" x14ac:dyDescent="0.25">
      <c r="A2156" t="str">
        <f>"1952677502"</f>
        <v>1952677502</v>
      </c>
      <c r="C2156" t="s">
        <v>14466</v>
      </c>
      <c r="K2156" t="s">
        <v>99</v>
      </c>
      <c r="L2156" t="s">
        <v>102</v>
      </c>
      <c r="M2156" t="s">
        <v>75</v>
      </c>
      <c r="R2156" t="s">
        <v>14467</v>
      </c>
      <c r="S2156" t="s">
        <v>14468</v>
      </c>
      <c r="T2156" t="s">
        <v>97</v>
      </c>
      <c r="U2156" t="s">
        <v>77</v>
      </c>
      <c r="V2156" t="str">
        <f>"100033821"</f>
        <v>100033821</v>
      </c>
      <c r="AC2156" t="s">
        <v>79</v>
      </c>
      <c r="AD2156" t="s">
        <v>75</v>
      </c>
      <c r="AE2156" t="s">
        <v>103</v>
      </c>
      <c r="AG2156" t="s">
        <v>81</v>
      </c>
    </row>
    <row r="2157" spans="1:33" x14ac:dyDescent="0.25">
      <c r="A2157" t="str">
        <f>"1801214937"</f>
        <v>1801214937</v>
      </c>
      <c r="C2157" t="s">
        <v>14469</v>
      </c>
      <c r="K2157" t="s">
        <v>99</v>
      </c>
      <c r="L2157" t="s">
        <v>102</v>
      </c>
      <c r="M2157" t="s">
        <v>75</v>
      </c>
      <c r="R2157" t="s">
        <v>14470</v>
      </c>
      <c r="S2157" t="s">
        <v>14129</v>
      </c>
      <c r="T2157" t="s">
        <v>97</v>
      </c>
      <c r="U2157" t="s">
        <v>77</v>
      </c>
      <c r="V2157" t="str">
        <f>"100033804"</f>
        <v>100033804</v>
      </c>
      <c r="AC2157" t="s">
        <v>79</v>
      </c>
      <c r="AD2157" t="s">
        <v>75</v>
      </c>
      <c r="AE2157" t="s">
        <v>103</v>
      </c>
      <c r="AG2157" t="s">
        <v>81</v>
      </c>
    </row>
    <row r="2158" spans="1:33" x14ac:dyDescent="0.25">
      <c r="A2158" t="str">
        <f>"1972878379"</f>
        <v>1972878379</v>
      </c>
      <c r="B2158" t="str">
        <f>"04554243"</f>
        <v>04554243</v>
      </c>
      <c r="C2158" t="s">
        <v>14471</v>
      </c>
      <c r="D2158" t="s">
        <v>14472</v>
      </c>
      <c r="E2158" t="s">
        <v>14473</v>
      </c>
      <c r="L2158" t="s">
        <v>102</v>
      </c>
      <c r="M2158" t="s">
        <v>75</v>
      </c>
      <c r="R2158" t="s">
        <v>14474</v>
      </c>
      <c r="W2158" t="s">
        <v>14473</v>
      </c>
      <c r="AB2158" t="s">
        <v>78</v>
      </c>
      <c r="AC2158" t="s">
        <v>79</v>
      </c>
      <c r="AD2158" t="s">
        <v>75</v>
      </c>
      <c r="AE2158" t="s">
        <v>80</v>
      </c>
      <c r="AG2158" t="s">
        <v>81</v>
      </c>
    </row>
    <row r="2159" spans="1:33" x14ac:dyDescent="0.25">
      <c r="A2159" t="str">
        <f>"1851654438"</f>
        <v>1851654438</v>
      </c>
      <c r="C2159" t="s">
        <v>14475</v>
      </c>
      <c r="K2159" t="s">
        <v>99</v>
      </c>
      <c r="L2159" t="s">
        <v>102</v>
      </c>
      <c r="M2159" t="s">
        <v>75</v>
      </c>
      <c r="R2159" t="s">
        <v>14476</v>
      </c>
      <c r="S2159" t="s">
        <v>14477</v>
      </c>
      <c r="T2159" t="s">
        <v>97</v>
      </c>
      <c r="U2159" t="s">
        <v>77</v>
      </c>
      <c r="V2159" t="str">
        <f>"100033804"</f>
        <v>100033804</v>
      </c>
      <c r="AC2159" t="s">
        <v>79</v>
      </c>
      <c r="AD2159" t="s">
        <v>75</v>
      </c>
      <c r="AE2159" t="s">
        <v>103</v>
      </c>
      <c r="AG2159" t="s">
        <v>81</v>
      </c>
    </row>
    <row r="2160" spans="1:33" x14ac:dyDescent="0.25">
      <c r="A2160" t="str">
        <f>"1871938597"</f>
        <v>1871938597</v>
      </c>
      <c r="C2160" t="s">
        <v>14478</v>
      </c>
      <c r="K2160" t="s">
        <v>99</v>
      </c>
      <c r="L2160" t="s">
        <v>102</v>
      </c>
      <c r="M2160" t="s">
        <v>75</v>
      </c>
      <c r="R2160" t="s">
        <v>5444</v>
      </c>
      <c r="S2160" t="s">
        <v>12670</v>
      </c>
      <c r="T2160" t="s">
        <v>97</v>
      </c>
      <c r="U2160" t="s">
        <v>77</v>
      </c>
      <c r="V2160" t="str">
        <f>"100033821"</f>
        <v>100033821</v>
      </c>
      <c r="AC2160" t="s">
        <v>79</v>
      </c>
      <c r="AD2160" t="s">
        <v>75</v>
      </c>
      <c r="AE2160" t="s">
        <v>103</v>
      </c>
      <c r="AG2160" t="s">
        <v>81</v>
      </c>
    </row>
    <row r="2161" spans="1:33" x14ac:dyDescent="0.25">
      <c r="A2161" t="str">
        <f>"1972947414"</f>
        <v>1972947414</v>
      </c>
      <c r="B2161" t="str">
        <f>"04501800"</f>
        <v>04501800</v>
      </c>
      <c r="C2161" t="s">
        <v>14479</v>
      </c>
      <c r="D2161" t="s">
        <v>14480</v>
      </c>
      <c r="E2161" t="s">
        <v>14481</v>
      </c>
      <c r="L2161" t="s">
        <v>74</v>
      </c>
      <c r="M2161" t="s">
        <v>75</v>
      </c>
      <c r="R2161" t="s">
        <v>14482</v>
      </c>
      <c r="W2161" t="s">
        <v>14481</v>
      </c>
      <c r="AB2161" t="s">
        <v>78</v>
      </c>
      <c r="AC2161" t="s">
        <v>79</v>
      </c>
      <c r="AD2161" t="s">
        <v>75</v>
      </c>
      <c r="AE2161" t="s">
        <v>80</v>
      </c>
      <c r="AG2161" t="s">
        <v>81</v>
      </c>
    </row>
    <row r="2162" spans="1:33" x14ac:dyDescent="0.25">
      <c r="A2162" t="str">
        <f>"1811331903"</f>
        <v>1811331903</v>
      </c>
      <c r="C2162" t="s">
        <v>14483</v>
      </c>
      <c r="K2162" t="s">
        <v>99</v>
      </c>
      <c r="L2162" t="s">
        <v>102</v>
      </c>
      <c r="M2162" t="s">
        <v>75</v>
      </c>
      <c r="R2162" t="s">
        <v>14484</v>
      </c>
      <c r="S2162" t="s">
        <v>13791</v>
      </c>
      <c r="T2162" t="s">
        <v>97</v>
      </c>
      <c r="U2162" t="s">
        <v>77</v>
      </c>
      <c r="V2162" t="str">
        <f>"100353832"</f>
        <v>100353832</v>
      </c>
      <c r="AC2162" t="s">
        <v>79</v>
      </c>
      <c r="AD2162" t="s">
        <v>75</v>
      </c>
      <c r="AE2162" t="s">
        <v>103</v>
      </c>
      <c r="AG2162" t="s">
        <v>81</v>
      </c>
    </row>
    <row r="2163" spans="1:33" x14ac:dyDescent="0.25">
      <c r="A2163" t="str">
        <f>"1649543265"</f>
        <v>1649543265</v>
      </c>
      <c r="B2163" t="str">
        <f>"03630348"</f>
        <v>03630348</v>
      </c>
      <c r="C2163" t="s">
        <v>14485</v>
      </c>
      <c r="D2163" t="s">
        <v>14486</v>
      </c>
      <c r="E2163" t="s">
        <v>14487</v>
      </c>
      <c r="G2163" t="s">
        <v>7218</v>
      </c>
      <c r="H2163" t="s">
        <v>6801</v>
      </c>
      <c r="I2163">
        <v>6136</v>
      </c>
      <c r="J2163" t="s">
        <v>7219</v>
      </c>
      <c r="L2163" t="s">
        <v>74</v>
      </c>
      <c r="M2163" t="s">
        <v>75</v>
      </c>
      <c r="R2163" t="s">
        <v>14488</v>
      </c>
      <c r="W2163" t="s">
        <v>14487</v>
      </c>
      <c r="X2163" t="s">
        <v>8385</v>
      </c>
      <c r="Y2163" t="s">
        <v>97</v>
      </c>
      <c r="Z2163" t="s">
        <v>77</v>
      </c>
      <c r="AA2163" t="str">
        <f>"10001-2320"</f>
        <v>10001-2320</v>
      </c>
      <c r="AB2163" t="s">
        <v>125</v>
      </c>
      <c r="AC2163" t="s">
        <v>79</v>
      </c>
      <c r="AD2163" t="s">
        <v>75</v>
      </c>
      <c r="AE2163" t="s">
        <v>80</v>
      </c>
      <c r="AG2163" t="s">
        <v>81</v>
      </c>
    </row>
    <row r="2164" spans="1:33" x14ac:dyDescent="0.25">
      <c r="A2164" t="str">
        <f>"1659606416"</f>
        <v>1659606416</v>
      </c>
      <c r="B2164" t="str">
        <f>"03808880"</f>
        <v>03808880</v>
      </c>
      <c r="C2164" t="s">
        <v>14489</v>
      </c>
      <c r="D2164" t="s">
        <v>14490</v>
      </c>
      <c r="E2164" t="s">
        <v>14491</v>
      </c>
      <c r="G2164" t="s">
        <v>7218</v>
      </c>
      <c r="H2164" t="s">
        <v>6801</v>
      </c>
      <c r="I2164">
        <v>6136</v>
      </c>
      <c r="J2164" t="s">
        <v>7219</v>
      </c>
      <c r="L2164" t="s">
        <v>74</v>
      </c>
      <c r="M2164" t="s">
        <v>75</v>
      </c>
      <c r="R2164" t="s">
        <v>14492</v>
      </c>
      <c r="W2164" t="s">
        <v>14491</v>
      </c>
      <c r="X2164" t="s">
        <v>8385</v>
      </c>
      <c r="Y2164" t="s">
        <v>97</v>
      </c>
      <c r="Z2164" t="s">
        <v>77</v>
      </c>
      <c r="AA2164" t="str">
        <f>"10001-2382"</f>
        <v>10001-2382</v>
      </c>
      <c r="AB2164" t="s">
        <v>113</v>
      </c>
      <c r="AC2164" t="s">
        <v>79</v>
      </c>
      <c r="AD2164" t="s">
        <v>75</v>
      </c>
      <c r="AE2164" t="s">
        <v>80</v>
      </c>
      <c r="AG2164" t="s">
        <v>81</v>
      </c>
    </row>
    <row r="2165" spans="1:33" x14ac:dyDescent="0.25">
      <c r="A2165" t="str">
        <f>"1659680270"</f>
        <v>1659680270</v>
      </c>
      <c r="B2165" t="str">
        <f>"03906549"</f>
        <v>03906549</v>
      </c>
      <c r="C2165" t="s">
        <v>14493</v>
      </c>
      <c r="D2165" t="s">
        <v>14494</v>
      </c>
      <c r="E2165" t="s">
        <v>14495</v>
      </c>
      <c r="G2165" t="s">
        <v>7218</v>
      </c>
      <c r="H2165" t="s">
        <v>6801</v>
      </c>
      <c r="I2165">
        <v>6136</v>
      </c>
      <c r="J2165" t="s">
        <v>7219</v>
      </c>
      <c r="L2165" t="s">
        <v>74</v>
      </c>
      <c r="M2165" t="s">
        <v>75</v>
      </c>
      <c r="R2165" t="s">
        <v>14496</v>
      </c>
      <c r="W2165" t="s">
        <v>14497</v>
      </c>
      <c r="X2165" t="s">
        <v>10704</v>
      </c>
      <c r="Y2165" t="s">
        <v>87</v>
      </c>
      <c r="Z2165" t="s">
        <v>77</v>
      </c>
      <c r="AA2165" t="str">
        <f>"11229-4004"</f>
        <v>11229-4004</v>
      </c>
      <c r="AB2165" t="s">
        <v>113</v>
      </c>
      <c r="AC2165" t="s">
        <v>79</v>
      </c>
      <c r="AD2165" t="s">
        <v>75</v>
      </c>
      <c r="AE2165" t="s">
        <v>80</v>
      </c>
      <c r="AG2165" t="s">
        <v>81</v>
      </c>
    </row>
    <row r="2166" spans="1:33" x14ac:dyDescent="0.25">
      <c r="A2166" t="str">
        <f>"1023156049"</f>
        <v>1023156049</v>
      </c>
      <c r="B2166" t="str">
        <f>"01749848"</f>
        <v>01749848</v>
      </c>
      <c r="C2166" t="s">
        <v>14498</v>
      </c>
      <c r="D2166" t="s">
        <v>14499</v>
      </c>
      <c r="E2166" t="s">
        <v>14500</v>
      </c>
      <c r="G2166" t="s">
        <v>13504</v>
      </c>
      <c r="H2166" t="s">
        <v>13505</v>
      </c>
      <c r="J2166" t="s">
        <v>13506</v>
      </c>
      <c r="L2166" t="s">
        <v>84</v>
      </c>
      <c r="M2166" t="s">
        <v>75</v>
      </c>
      <c r="R2166" t="s">
        <v>14501</v>
      </c>
      <c r="W2166" t="s">
        <v>14500</v>
      </c>
      <c r="X2166" t="s">
        <v>14502</v>
      </c>
      <c r="Y2166" t="s">
        <v>87</v>
      </c>
      <c r="Z2166" t="s">
        <v>77</v>
      </c>
      <c r="AA2166" t="str">
        <f>"11201-5232"</f>
        <v>11201-5232</v>
      </c>
      <c r="AB2166" t="s">
        <v>78</v>
      </c>
      <c r="AC2166" t="s">
        <v>79</v>
      </c>
      <c r="AD2166" t="s">
        <v>75</v>
      </c>
      <c r="AE2166" t="s">
        <v>80</v>
      </c>
      <c r="AG2166" t="s">
        <v>81</v>
      </c>
    </row>
    <row r="2167" spans="1:33" x14ac:dyDescent="0.25">
      <c r="C2167" t="s">
        <v>14503</v>
      </c>
      <c r="G2167" t="s">
        <v>13504</v>
      </c>
      <c r="H2167" t="s">
        <v>13505</v>
      </c>
      <c r="J2167" t="s">
        <v>13506</v>
      </c>
      <c r="K2167" t="s">
        <v>99</v>
      </c>
      <c r="L2167" t="s">
        <v>100</v>
      </c>
      <c r="M2167" t="s">
        <v>75</v>
      </c>
      <c r="N2167" t="s">
        <v>14458</v>
      </c>
      <c r="O2167" t="s">
        <v>431</v>
      </c>
      <c r="P2167" t="s">
        <v>77</v>
      </c>
      <c r="Q2167" t="str">
        <f>"11201"</f>
        <v>11201</v>
      </c>
      <c r="AC2167" t="s">
        <v>79</v>
      </c>
      <c r="AD2167" t="s">
        <v>75</v>
      </c>
      <c r="AE2167" t="s">
        <v>101</v>
      </c>
      <c r="AG2167" t="s">
        <v>81</v>
      </c>
    </row>
    <row r="2168" spans="1:33" x14ac:dyDescent="0.25">
      <c r="C2168" t="s">
        <v>14504</v>
      </c>
      <c r="G2168" t="s">
        <v>13504</v>
      </c>
      <c r="H2168" t="s">
        <v>13505</v>
      </c>
      <c r="J2168" t="s">
        <v>13506</v>
      </c>
      <c r="K2168" t="s">
        <v>99</v>
      </c>
      <c r="L2168" t="s">
        <v>100</v>
      </c>
      <c r="M2168" t="s">
        <v>75</v>
      </c>
      <c r="N2168" t="s">
        <v>14458</v>
      </c>
      <c r="O2168" t="s">
        <v>431</v>
      </c>
      <c r="P2168" t="s">
        <v>77</v>
      </c>
      <c r="Q2168" t="str">
        <f>"11201"</f>
        <v>11201</v>
      </c>
      <c r="AC2168" t="s">
        <v>79</v>
      </c>
      <c r="AD2168" t="s">
        <v>75</v>
      </c>
      <c r="AE2168" t="s">
        <v>101</v>
      </c>
      <c r="AG2168" t="s">
        <v>81</v>
      </c>
    </row>
    <row r="2169" spans="1:33" x14ac:dyDescent="0.25">
      <c r="A2169" t="str">
        <f>"1932126828"</f>
        <v>1932126828</v>
      </c>
      <c r="B2169" t="str">
        <f>"02912494"</f>
        <v>02912494</v>
      </c>
      <c r="C2169" t="s">
        <v>14505</v>
      </c>
      <c r="D2169" t="s">
        <v>14506</v>
      </c>
      <c r="E2169" t="s">
        <v>14507</v>
      </c>
      <c r="G2169" t="s">
        <v>13504</v>
      </c>
      <c r="H2169" t="s">
        <v>13505</v>
      </c>
      <c r="J2169" t="s">
        <v>13506</v>
      </c>
      <c r="L2169" t="s">
        <v>105</v>
      </c>
      <c r="M2169" t="s">
        <v>85</v>
      </c>
      <c r="R2169" t="s">
        <v>14508</v>
      </c>
      <c r="W2169" t="s">
        <v>14507</v>
      </c>
      <c r="X2169" t="s">
        <v>202</v>
      </c>
      <c r="Y2169" t="s">
        <v>87</v>
      </c>
      <c r="Z2169" t="s">
        <v>77</v>
      </c>
      <c r="AA2169" t="str">
        <f>"11201-5425"</f>
        <v>11201-5425</v>
      </c>
      <c r="AB2169" t="s">
        <v>78</v>
      </c>
      <c r="AC2169" t="s">
        <v>79</v>
      </c>
      <c r="AD2169" t="s">
        <v>75</v>
      </c>
      <c r="AE2169" t="s">
        <v>80</v>
      </c>
      <c r="AG2169" t="s">
        <v>81</v>
      </c>
    </row>
    <row r="2170" spans="1:33" x14ac:dyDescent="0.25">
      <c r="A2170" t="str">
        <f>"1851338164"</f>
        <v>1851338164</v>
      </c>
      <c r="B2170" t="str">
        <f>"02236340"</f>
        <v>02236340</v>
      </c>
      <c r="C2170" t="s">
        <v>14509</v>
      </c>
      <c r="D2170" t="s">
        <v>14510</v>
      </c>
      <c r="E2170" t="s">
        <v>14511</v>
      </c>
      <c r="G2170" t="s">
        <v>13504</v>
      </c>
      <c r="H2170" t="s">
        <v>13505</v>
      </c>
      <c r="J2170" t="s">
        <v>13506</v>
      </c>
      <c r="L2170" t="s">
        <v>84</v>
      </c>
      <c r="M2170" t="s">
        <v>75</v>
      </c>
      <c r="R2170" t="s">
        <v>14512</v>
      </c>
      <c r="W2170" t="s">
        <v>14511</v>
      </c>
      <c r="AB2170" t="s">
        <v>78</v>
      </c>
      <c r="AC2170" t="s">
        <v>79</v>
      </c>
      <c r="AD2170" t="s">
        <v>75</v>
      </c>
      <c r="AE2170" t="s">
        <v>80</v>
      </c>
      <c r="AG2170" t="s">
        <v>81</v>
      </c>
    </row>
    <row r="2171" spans="1:33" x14ac:dyDescent="0.25">
      <c r="A2171" t="str">
        <f>"1881620227"</f>
        <v>1881620227</v>
      </c>
      <c r="B2171" t="str">
        <f>"01786612"</f>
        <v>01786612</v>
      </c>
      <c r="C2171" t="s">
        <v>14513</v>
      </c>
      <c r="D2171" t="s">
        <v>1486</v>
      </c>
      <c r="E2171" t="s">
        <v>1487</v>
      </c>
      <c r="G2171" t="s">
        <v>13504</v>
      </c>
      <c r="H2171" t="s">
        <v>13505</v>
      </c>
      <c r="J2171" t="s">
        <v>13506</v>
      </c>
      <c r="L2171" t="s">
        <v>84</v>
      </c>
      <c r="M2171" t="s">
        <v>85</v>
      </c>
      <c r="R2171" t="s">
        <v>1485</v>
      </c>
      <c r="W2171" t="s">
        <v>1487</v>
      </c>
      <c r="X2171" t="s">
        <v>202</v>
      </c>
      <c r="Y2171" t="s">
        <v>87</v>
      </c>
      <c r="Z2171" t="s">
        <v>77</v>
      </c>
      <c r="AA2171" t="str">
        <f>"11201-5425"</f>
        <v>11201-5425</v>
      </c>
      <c r="AB2171" t="s">
        <v>78</v>
      </c>
      <c r="AC2171" t="s">
        <v>79</v>
      </c>
      <c r="AD2171" t="s">
        <v>75</v>
      </c>
      <c r="AE2171" t="s">
        <v>80</v>
      </c>
      <c r="AG2171" t="s">
        <v>81</v>
      </c>
    </row>
    <row r="2172" spans="1:33" x14ac:dyDescent="0.25">
      <c r="A2172" t="str">
        <f>"1043486285"</f>
        <v>1043486285</v>
      </c>
      <c r="B2172" t="str">
        <f>"03363059"</f>
        <v>03363059</v>
      </c>
      <c r="C2172" t="s">
        <v>14514</v>
      </c>
      <c r="D2172" t="s">
        <v>14515</v>
      </c>
      <c r="E2172" t="s">
        <v>14516</v>
      </c>
      <c r="G2172" t="s">
        <v>13504</v>
      </c>
      <c r="H2172" t="s">
        <v>13505</v>
      </c>
      <c r="J2172" t="s">
        <v>13506</v>
      </c>
      <c r="L2172" t="s">
        <v>74</v>
      </c>
      <c r="M2172" t="s">
        <v>75</v>
      </c>
      <c r="R2172" t="s">
        <v>14516</v>
      </c>
      <c r="W2172" t="s">
        <v>14517</v>
      </c>
      <c r="X2172" t="s">
        <v>14518</v>
      </c>
      <c r="Y2172" t="s">
        <v>87</v>
      </c>
      <c r="Z2172" t="s">
        <v>77</v>
      </c>
      <c r="AA2172" t="str">
        <f>"11235-0000"</f>
        <v>11235-0000</v>
      </c>
      <c r="AB2172" t="s">
        <v>78</v>
      </c>
      <c r="AC2172" t="s">
        <v>79</v>
      </c>
      <c r="AD2172" t="s">
        <v>75</v>
      </c>
      <c r="AE2172" t="s">
        <v>80</v>
      </c>
      <c r="AG2172" t="s">
        <v>81</v>
      </c>
    </row>
    <row r="2173" spans="1:33" x14ac:dyDescent="0.25">
      <c r="A2173" t="str">
        <f>"1508166026"</f>
        <v>1508166026</v>
      </c>
      <c r="B2173" t="str">
        <f>"03328838"</f>
        <v>03328838</v>
      </c>
      <c r="C2173" t="s">
        <v>14519</v>
      </c>
      <c r="D2173" t="s">
        <v>14520</v>
      </c>
      <c r="E2173" t="s">
        <v>14521</v>
      </c>
      <c r="G2173" t="s">
        <v>13504</v>
      </c>
      <c r="H2173" t="s">
        <v>13505</v>
      </c>
      <c r="J2173" t="s">
        <v>13506</v>
      </c>
      <c r="L2173" t="s">
        <v>84</v>
      </c>
      <c r="M2173" t="s">
        <v>85</v>
      </c>
      <c r="R2173" t="s">
        <v>14522</v>
      </c>
      <c r="W2173" t="s">
        <v>14521</v>
      </c>
      <c r="X2173" t="s">
        <v>202</v>
      </c>
      <c r="Y2173" t="s">
        <v>87</v>
      </c>
      <c r="Z2173" t="s">
        <v>77</v>
      </c>
      <c r="AA2173" t="str">
        <f>"11201-5425"</f>
        <v>11201-5425</v>
      </c>
      <c r="AB2173" t="s">
        <v>78</v>
      </c>
      <c r="AC2173" t="s">
        <v>79</v>
      </c>
      <c r="AD2173" t="s">
        <v>75</v>
      </c>
      <c r="AE2173" t="s">
        <v>80</v>
      </c>
      <c r="AG2173" t="s">
        <v>81</v>
      </c>
    </row>
    <row r="2174" spans="1:33" x14ac:dyDescent="0.25">
      <c r="A2174" t="str">
        <f>"1578713806"</f>
        <v>1578713806</v>
      </c>
      <c r="B2174" t="str">
        <f>"03608913"</f>
        <v>03608913</v>
      </c>
      <c r="C2174" t="s">
        <v>14523</v>
      </c>
      <c r="D2174" t="s">
        <v>14524</v>
      </c>
      <c r="E2174" t="s">
        <v>14525</v>
      </c>
      <c r="G2174" t="s">
        <v>13504</v>
      </c>
      <c r="H2174" t="s">
        <v>13505</v>
      </c>
      <c r="J2174" t="s">
        <v>13506</v>
      </c>
      <c r="L2174" t="s">
        <v>84</v>
      </c>
      <c r="M2174" t="s">
        <v>85</v>
      </c>
      <c r="R2174" t="s">
        <v>14526</v>
      </c>
      <c r="W2174" t="s">
        <v>14525</v>
      </c>
      <c r="X2174" t="s">
        <v>14527</v>
      </c>
      <c r="Y2174" t="s">
        <v>131</v>
      </c>
      <c r="Z2174" t="s">
        <v>77</v>
      </c>
      <c r="AA2174" t="str">
        <f>"10463-1845"</f>
        <v>10463-1845</v>
      </c>
      <c r="AB2174" t="s">
        <v>78</v>
      </c>
      <c r="AC2174" t="s">
        <v>79</v>
      </c>
      <c r="AD2174" t="s">
        <v>75</v>
      </c>
      <c r="AE2174" t="s">
        <v>80</v>
      </c>
      <c r="AG2174" t="s">
        <v>81</v>
      </c>
    </row>
    <row r="2175" spans="1:33" x14ac:dyDescent="0.25">
      <c r="A2175" t="str">
        <f>"1710283460"</f>
        <v>1710283460</v>
      </c>
      <c r="B2175" t="str">
        <f>"03541357"</f>
        <v>03541357</v>
      </c>
      <c r="C2175" t="s">
        <v>14528</v>
      </c>
      <c r="D2175" t="s">
        <v>14529</v>
      </c>
      <c r="E2175" t="s">
        <v>14530</v>
      </c>
      <c r="G2175" t="s">
        <v>13504</v>
      </c>
      <c r="H2175" t="s">
        <v>13505</v>
      </c>
      <c r="J2175" t="s">
        <v>13506</v>
      </c>
      <c r="L2175" t="s">
        <v>83</v>
      </c>
      <c r="M2175" t="s">
        <v>75</v>
      </c>
      <c r="R2175" t="s">
        <v>14531</v>
      </c>
      <c r="W2175" t="s">
        <v>14530</v>
      </c>
      <c r="X2175" t="s">
        <v>14532</v>
      </c>
      <c r="Y2175" t="s">
        <v>87</v>
      </c>
      <c r="Z2175" t="s">
        <v>77</v>
      </c>
      <c r="AA2175" t="str">
        <f>"11205-4924"</f>
        <v>11205-4924</v>
      </c>
      <c r="AB2175" t="s">
        <v>78</v>
      </c>
      <c r="AC2175" t="s">
        <v>79</v>
      </c>
      <c r="AD2175" t="s">
        <v>75</v>
      </c>
      <c r="AE2175" t="s">
        <v>80</v>
      </c>
      <c r="AG2175" t="s">
        <v>81</v>
      </c>
    </row>
    <row r="2176" spans="1:33" x14ac:dyDescent="0.25">
      <c r="A2176" t="str">
        <f>"1073800330"</f>
        <v>1073800330</v>
      </c>
      <c r="B2176" t="str">
        <f>"03493414"</f>
        <v>03493414</v>
      </c>
      <c r="C2176" t="s">
        <v>14533</v>
      </c>
      <c r="D2176" t="s">
        <v>5681</v>
      </c>
      <c r="E2176" t="s">
        <v>5682</v>
      </c>
      <c r="G2176" t="s">
        <v>13504</v>
      </c>
      <c r="H2176" t="s">
        <v>13505</v>
      </c>
      <c r="J2176" t="s">
        <v>13506</v>
      </c>
      <c r="L2176" t="s">
        <v>83</v>
      </c>
      <c r="M2176" t="s">
        <v>75</v>
      </c>
      <c r="R2176" t="s">
        <v>5683</v>
      </c>
      <c r="W2176" t="s">
        <v>5682</v>
      </c>
      <c r="X2176" t="s">
        <v>258</v>
      </c>
      <c r="Y2176" t="s">
        <v>131</v>
      </c>
      <c r="Z2176" t="s">
        <v>77</v>
      </c>
      <c r="AA2176" t="str">
        <f>"10467-2401"</f>
        <v>10467-2401</v>
      </c>
      <c r="AB2176" t="s">
        <v>78</v>
      </c>
      <c r="AC2176" t="s">
        <v>79</v>
      </c>
      <c r="AD2176" t="s">
        <v>75</v>
      </c>
      <c r="AE2176" t="s">
        <v>80</v>
      </c>
      <c r="AG2176" t="s">
        <v>81</v>
      </c>
    </row>
    <row r="2177" spans="1:33" x14ac:dyDescent="0.25">
      <c r="A2177" t="str">
        <f>"1508158015"</f>
        <v>1508158015</v>
      </c>
      <c r="B2177" t="str">
        <f>"03367099"</f>
        <v>03367099</v>
      </c>
      <c r="C2177" t="s">
        <v>14534</v>
      </c>
      <c r="D2177" t="s">
        <v>14535</v>
      </c>
      <c r="E2177" t="s">
        <v>14536</v>
      </c>
      <c r="G2177" t="s">
        <v>13504</v>
      </c>
      <c r="H2177" t="s">
        <v>13505</v>
      </c>
      <c r="J2177" t="s">
        <v>13506</v>
      </c>
      <c r="L2177" t="s">
        <v>83</v>
      </c>
      <c r="M2177" t="s">
        <v>85</v>
      </c>
      <c r="R2177" t="s">
        <v>14536</v>
      </c>
      <c r="W2177" t="s">
        <v>14536</v>
      </c>
      <c r="X2177" t="s">
        <v>202</v>
      </c>
      <c r="Y2177" t="s">
        <v>87</v>
      </c>
      <c r="Z2177" t="s">
        <v>77</v>
      </c>
      <c r="AA2177" t="str">
        <f>"11201-5425"</f>
        <v>11201-5425</v>
      </c>
      <c r="AB2177" t="s">
        <v>78</v>
      </c>
      <c r="AC2177" t="s">
        <v>79</v>
      </c>
      <c r="AD2177" t="s">
        <v>75</v>
      </c>
      <c r="AE2177" t="s">
        <v>80</v>
      </c>
      <c r="AG2177" t="s">
        <v>81</v>
      </c>
    </row>
    <row r="2178" spans="1:33" x14ac:dyDescent="0.25">
      <c r="A2178" t="str">
        <f>"1346421781"</f>
        <v>1346421781</v>
      </c>
      <c r="B2178" t="str">
        <f>"03454148"</f>
        <v>03454148</v>
      </c>
      <c r="C2178" t="s">
        <v>14537</v>
      </c>
      <c r="D2178" t="s">
        <v>14538</v>
      </c>
      <c r="E2178" t="s">
        <v>14539</v>
      </c>
      <c r="G2178" t="s">
        <v>13504</v>
      </c>
      <c r="H2178" t="s">
        <v>13505</v>
      </c>
      <c r="J2178" t="s">
        <v>13506</v>
      </c>
      <c r="L2178" t="s">
        <v>83</v>
      </c>
      <c r="M2178" t="s">
        <v>85</v>
      </c>
      <c r="R2178" t="s">
        <v>14539</v>
      </c>
      <c r="W2178" t="s">
        <v>14539</v>
      </c>
      <c r="X2178" t="s">
        <v>202</v>
      </c>
      <c r="Y2178" t="s">
        <v>87</v>
      </c>
      <c r="Z2178" t="s">
        <v>77</v>
      </c>
      <c r="AA2178" t="str">
        <f>"11201-5425"</f>
        <v>11201-5425</v>
      </c>
      <c r="AB2178" t="s">
        <v>78</v>
      </c>
      <c r="AC2178" t="s">
        <v>79</v>
      </c>
      <c r="AD2178" t="s">
        <v>75</v>
      </c>
      <c r="AE2178" t="s">
        <v>80</v>
      </c>
      <c r="AG2178" t="s">
        <v>81</v>
      </c>
    </row>
    <row r="2179" spans="1:33" x14ac:dyDescent="0.25">
      <c r="A2179" t="str">
        <f>"1598997025"</f>
        <v>1598997025</v>
      </c>
      <c r="B2179" t="str">
        <f>"03608633"</f>
        <v>03608633</v>
      </c>
      <c r="C2179" t="s">
        <v>14540</v>
      </c>
      <c r="D2179" t="s">
        <v>14541</v>
      </c>
      <c r="E2179" t="s">
        <v>14542</v>
      </c>
      <c r="G2179" t="s">
        <v>13504</v>
      </c>
      <c r="H2179" t="s">
        <v>13505</v>
      </c>
      <c r="J2179" t="s">
        <v>13506</v>
      </c>
      <c r="L2179" t="s">
        <v>74</v>
      </c>
      <c r="M2179" t="s">
        <v>75</v>
      </c>
      <c r="R2179" t="s">
        <v>14543</v>
      </c>
      <c r="W2179" t="s">
        <v>14542</v>
      </c>
      <c r="X2179" t="s">
        <v>202</v>
      </c>
      <c r="Y2179" t="s">
        <v>87</v>
      </c>
      <c r="Z2179" t="s">
        <v>77</v>
      </c>
      <c r="AA2179" t="str">
        <f>"11201-5425"</f>
        <v>11201-5425</v>
      </c>
      <c r="AB2179" t="s">
        <v>78</v>
      </c>
      <c r="AC2179" t="s">
        <v>79</v>
      </c>
      <c r="AD2179" t="s">
        <v>75</v>
      </c>
      <c r="AE2179" t="s">
        <v>80</v>
      </c>
      <c r="AG2179" t="s">
        <v>81</v>
      </c>
    </row>
    <row r="2180" spans="1:33" x14ac:dyDescent="0.25">
      <c r="A2180" t="str">
        <f>"1992970602"</f>
        <v>1992970602</v>
      </c>
      <c r="B2180" t="str">
        <f>"03447014"</f>
        <v>03447014</v>
      </c>
      <c r="C2180" t="s">
        <v>14544</v>
      </c>
      <c r="D2180" t="s">
        <v>14545</v>
      </c>
      <c r="E2180" t="s">
        <v>14546</v>
      </c>
      <c r="G2180" t="s">
        <v>13504</v>
      </c>
      <c r="H2180" t="s">
        <v>13505</v>
      </c>
      <c r="J2180" t="s">
        <v>13506</v>
      </c>
      <c r="L2180" t="s">
        <v>74</v>
      </c>
      <c r="M2180" t="s">
        <v>75</v>
      </c>
      <c r="R2180" t="s">
        <v>14547</v>
      </c>
      <c r="W2180" t="s">
        <v>14546</v>
      </c>
      <c r="X2180" t="s">
        <v>202</v>
      </c>
      <c r="Y2180" t="s">
        <v>87</v>
      </c>
      <c r="Z2180" t="s">
        <v>77</v>
      </c>
      <c r="AA2180" t="str">
        <f>"11201-5425"</f>
        <v>11201-5425</v>
      </c>
      <c r="AB2180" t="s">
        <v>78</v>
      </c>
      <c r="AC2180" t="s">
        <v>79</v>
      </c>
      <c r="AD2180" t="s">
        <v>75</v>
      </c>
      <c r="AE2180" t="s">
        <v>80</v>
      </c>
      <c r="AG2180" t="s">
        <v>81</v>
      </c>
    </row>
    <row r="2181" spans="1:33" x14ac:dyDescent="0.25">
      <c r="A2181" t="str">
        <f>"1346456340"</f>
        <v>1346456340</v>
      </c>
      <c r="B2181" t="str">
        <f>"03539824"</f>
        <v>03539824</v>
      </c>
      <c r="C2181" t="s">
        <v>14548</v>
      </c>
      <c r="D2181" t="s">
        <v>14549</v>
      </c>
      <c r="E2181" t="s">
        <v>14550</v>
      </c>
      <c r="G2181" t="s">
        <v>13504</v>
      </c>
      <c r="H2181" t="s">
        <v>13505</v>
      </c>
      <c r="J2181" t="s">
        <v>13506</v>
      </c>
      <c r="L2181" t="s">
        <v>94</v>
      </c>
      <c r="M2181" t="s">
        <v>75</v>
      </c>
      <c r="R2181" t="s">
        <v>14551</v>
      </c>
      <c r="W2181" t="s">
        <v>14550</v>
      </c>
      <c r="X2181" t="s">
        <v>2779</v>
      </c>
      <c r="Y2181" t="s">
        <v>87</v>
      </c>
      <c r="Z2181" t="s">
        <v>77</v>
      </c>
      <c r="AA2181" t="str">
        <f>"11217-1702"</f>
        <v>11217-1702</v>
      </c>
      <c r="AB2181" t="s">
        <v>78</v>
      </c>
      <c r="AC2181" t="s">
        <v>79</v>
      </c>
      <c r="AD2181" t="s">
        <v>75</v>
      </c>
      <c r="AE2181" t="s">
        <v>80</v>
      </c>
      <c r="AG2181" t="s">
        <v>81</v>
      </c>
    </row>
    <row r="2182" spans="1:33" x14ac:dyDescent="0.25">
      <c r="A2182" t="str">
        <f>"1871910885"</f>
        <v>1871910885</v>
      </c>
      <c r="C2182" t="s">
        <v>14552</v>
      </c>
      <c r="K2182" t="s">
        <v>99</v>
      </c>
      <c r="L2182" t="s">
        <v>102</v>
      </c>
      <c r="M2182" t="s">
        <v>75</v>
      </c>
      <c r="R2182" t="s">
        <v>14553</v>
      </c>
      <c r="S2182" t="s">
        <v>14554</v>
      </c>
      <c r="T2182" t="s">
        <v>14555</v>
      </c>
      <c r="U2182" t="s">
        <v>3878</v>
      </c>
      <c r="V2182" t="str">
        <f>"787025416"</f>
        <v>787025416</v>
      </c>
      <c r="AC2182" t="s">
        <v>79</v>
      </c>
      <c r="AD2182" t="s">
        <v>75</v>
      </c>
      <c r="AE2182" t="s">
        <v>103</v>
      </c>
      <c r="AG2182" t="s">
        <v>81</v>
      </c>
    </row>
    <row r="2183" spans="1:33" x14ac:dyDescent="0.25">
      <c r="A2183" t="str">
        <f>"1871868489"</f>
        <v>1871868489</v>
      </c>
      <c r="B2183" t="str">
        <f>"03765928"</f>
        <v>03765928</v>
      </c>
      <c r="C2183" t="s">
        <v>14556</v>
      </c>
      <c r="D2183" t="s">
        <v>14557</v>
      </c>
      <c r="E2183" t="s">
        <v>14558</v>
      </c>
      <c r="L2183" t="s">
        <v>102</v>
      </c>
      <c r="M2183" t="s">
        <v>75</v>
      </c>
      <c r="R2183" t="s">
        <v>14559</v>
      </c>
      <c r="W2183" t="s">
        <v>14560</v>
      </c>
      <c r="X2183" t="s">
        <v>4766</v>
      </c>
      <c r="Y2183" t="s">
        <v>97</v>
      </c>
      <c r="Z2183" t="s">
        <v>77</v>
      </c>
      <c r="AA2183" t="str">
        <f>"10021-4823"</f>
        <v>10021-4823</v>
      </c>
      <c r="AB2183" t="s">
        <v>78</v>
      </c>
      <c r="AC2183" t="s">
        <v>79</v>
      </c>
      <c r="AD2183" t="s">
        <v>75</v>
      </c>
      <c r="AE2183" t="s">
        <v>80</v>
      </c>
      <c r="AG2183" t="s">
        <v>81</v>
      </c>
    </row>
    <row r="2184" spans="1:33" x14ac:dyDescent="0.25">
      <c r="A2184" t="str">
        <f>"1487673612"</f>
        <v>1487673612</v>
      </c>
      <c r="B2184" t="str">
        <f>"02645274"</f>
        <v>02645274</v>
      </c>
      <c r="C2184" t="s">
        <v>14561</v>
      </c>
      <c r="D2184" t="s">
        <v>14562</v>
      </c>
      <c r="E2184" t="s">
        <v>14563</v>
      </c>
      <c r="H2184" t="s">
        <v>13461</v>
      </c>
      <c r="J2184" t="s">
        <v>14564</v>
      </c>
      <c r="L2184" t="s">
        <v>83</v>
      </c>
      <c r="M2184" t="s">
        <v>85</v>
      </c>
      <c r="R2184" t="s">
        <v>14565</v>
      </c>
      <c r="W2184" t="s">
        <v>14566</v>
      </c>
      <c r="X2184" t="s">
        <v>11763</v>
      </c>
      <c r="Y2184" t="s">
        <v>1818</v>
      </c>
      <c r="Z2184" t="s">
        <v>77</v>
      </c>
      <c r="AA2184" t="str">
        <f>"11787-4759"</f>
        <v>11787-4759</v>
      </c>
      <c r="AB2184" t="s">
        <v>78</v>
      </c>
      <c r="AC2184" t="s">
        <v>79</v>
      </c>
      <c r="AD2184" t="s">
        <v>75</v>
      </c>
      <c r="AE2184" t="s">
        <v>80</v>
      </c>
      <c r="AG2184" t="s">
        <v>81</v>
      </c>
    </row>
    <row r="2185" spans="1:33" x14ac:dyDescent="0.25">
      <c r="A2185" t="str">
        <f>"1821073289"</f>
        <v>1821073289</v>
      </c>
      <c r="B2185" t="str">
        <f>"01762409"</f>
        <v>01762409</v>
      </c>
      <c r="C2185" t="s">
        <v>14567</v>
      </c>
      <c r="D2185" t="s">
        <v>14568</v>
      </c>
      <c r="E2185" t="s">
        <v>14569</v>
      </c>
      <c r="H2185" t="s">
        <v>14570</v>
      </c>
      <c r="J2185" t="s">
        <v>14571</v>
      </c>
      <c r="L2185" t="s">
        <v>83</v>
      </c>
      <c r="M2185" t="s">
        <v>85</v>
      </c>
      <c r="R2185" t="s">
        <v>14572</v>
      </c>
      <c r="W2185" t="s">
        <v>14569</v>
      </c>
      <c r="X2185" t="s">
        <v>12915</v>
      </c>
      <c r="Y2185" t="s">
        <v>12902</v>
      </c>
      <c r="Z2185" t="s">
        <v>77</v>
      </c>
      <c r="AA2185" t="str">
        <f>"10994-1966"</f>
        <v>10994-1966</v>
      </c>
      <c r="AB2185" t="s">
        <v>78</v>
      </c>
      <c r="AC2185" t="s">
        <v>79</v>
      </c>
      <c r="AD2185" t="s">
        <v>75</v>
      </c>
      <c r="AE2185" t="s">
        <v>80</v>
      </c>
      <c r="AG2185" t="s">
        <v>81</v>
      </c>
    </row>
    <row r="2186" spans="1:33" x14ac:dyDescent="0.25">
      <c r="A2186" t="str">
        <f>"1891754735"</f>
        <v>1891754735</v>
      </c>
      <c r="B2186" t="str">
        <f>"01173284"</f>
        <v>01173284</v>
      </c>
      <c r="C2186" t="s">
        <v>13436</v>
      </c>
      <c r="D2186" t="s">
        <v>14573</v>
      </c>
      <c r="E2186" t="s">
        <v>14574</v>
      </c>
      <c r="G2186" t="s">
        <v>14575</v>
      </c>
      <c r="L2186" t="s">
        <v>83</v>
      </c>
      <c r="M2186" t="s">
        <v>85</v>
      </c>
      <c r="R2186" t="s">
        <v>14576</v>
      </c>
      <c r="W2186" t="s">
        <v>14574</v>
      </c>
      <c r="X2186" t="s">
        <v>14577</v>
      </c>
      <c r="Y2186" t="s">
        <v>97</v>
      </c>
      <c r="Z2186" t="s">
        <v>77</v>
      </c>
      <c r="AA2186" t="str">
        <f>"10003-4201"</f>
        <v>10003-4201</v>
      </c>
      <c r="AB2186" t="s">
        <v>78</v>
      </c>
      <c r="AC2186" t="s">
        <v>79</v>
      </c>
      <c r="AD2186" t="s">
        <v>75</v>
      </c>
      <c r="AE2186" t="s">
        <v>80</v>
      </c>
      <c r="AG2186" t="s">
        <v>81</v>
      </c>
    </row>
    <row r="2187" spans="1:33" x14ac:dyDescent="0.25">
      <c r="A2187" t="str">
        <f>"1891768107"</f>
        <v>1891768107</v>
      </c>
      <c r="B2187" t="str">
        <f>"01696946"</f>
        <v>01696946</v>
      </c>
      <c r="C2187" t="s">
        <v>13436</v>
      </c>
      <c r="D2187" t="s">
        <v>14578</v>
      </c>
      <c r="E2187" t="s">
        <v>14579</v>
      </c>
      <c r="G2187" t="s">
        <v>14580</v>
      </c>
      <c r="L2187" t="s">
        <v>74</v>
      </c>
      <c r="M2187" t="s">
        <v>85</v>
      </c>
      <c r="R2187" t="s">
        <v>14581</v>
      </c>
      <c r="W2187" t="s">
        <v>14582</v>
      </c>
      <c r="X2187" t="s">
        <v>14583</v>
      </c>
      <c r="Y2187" t="s">
        <v>97</v>
      </c>
      <c r="Z2187" t="s">
        <v>77</v>
      </c>
      <c r="AA2187" t="str">
        <f>"10016-4337"</f>
        <v>10016-4337</v>
      </c>
      <c r="AB2187" t="s">
        <v>78</v>
      </c>
      <c r="AC2187" t="s">
        <v>79</v>
      </c>
      <c r="AD2187" t="s">
        <v>75</v>
      </c>
      <c r="AE2187" t="s">
        <v>80</v>
      </c>
      <c r="AG2187" t="s">
        <v>81</v>
      </c>
    </row>
    <row r="2188" spans="1:33" x14ac:dyDescent="0.25">
      <c r="A2188" t="str">
        <f>"1891784286"</f>
        <v>1891784286</v>
      </c>
      <c r="B2188" t="str">
        <f>"01725424"</f>
        <v>01725424</v>
      </c>
      <c r="C2188" t="s">
        <v>13436</v>
      </c>
      <c r="D2188" t="s">
        <v>14584</v>
      </c>
      <c r="E2188" t="s">
        <v>14585</v>
      </c>
      <c r="G2188" t="s">
        <v>14586</v>
      </c>
      <c r="L2188" t="s">
        <v>84</v>
      </c>
      <c r="M2188" t="s">
        <v>85</v>
      </c>
      <c r="R2188" t="s">
        <v>14587</v>
      </c>
      <c r="W2188" t="s">
        <v>14585</v>
      </c>
      <c r="X2188" t="s">
        <v>14588</v>
      </c>
      <c r="Y2188" t="s">
        <v>97</v>
      </c>
      <c r="Z2188" t="s">
        <v>77</v>
      </c>
      <c r="AA2188" t="str">
        <f>"10003-3314"</f>
        <v>10003-3314</v>
      </c>
      <c r="AB2188" t="s">
        <v>78</v>
      </c>
      <c r="AC2188" t="s">
        <v>79</v>
      </c>
      <c r="AD2188" t="s">
        <v>75</v>
      </c>
      <c r="AE2188" t="s">
        <v>80</v>
      </c>
      <c r="AG2188" t="s">
        <v>81</v>
      </c>
    </row>
    <row r="2189" spans="1:33" x14ac:dyDescent="0.25">
      <c r="A2189" t="str">
        <f>"1891867198"</f>
        <v>1891867198</v>
      </c>
      <c r="B2189" t="str">
        <f>"02903684"</f>
        <v>02903684</v>
      </c>
      <c r="C2189" t="s">
        <v>13436</v>
      </c>
      <c r="D2189" t="s">
        <v>14589</v>
      </c>
      <c r="E2189" t="s">
        <v>14590</v>
      </c>
      <c r="G2189" t="s">
        <v>14591</v>
      </c>
      <c r="L2189" t="s">
        <v>84</v>
      </c>
      <c r="M2189" t="s">
        <v>85</v>
      </c>
      <c r="R2189" t="s">
        <v>14592</v>
      </c>
      <c r="W2189" t="s">
        <v>14590</v>
      </c>
      <c r="X2189" t="s">
        <v>2587</v>
      </c>
      <c r="Y2189" t="s">
        <v>97</v>
      </c>
      <c r="Z2189" t="s">
        <v>77</v>
      </c>
      <c r="AA2189" t="str">
        <f>"10003-3314"</f>
        <v>10003-3314</v>
      </c>
      <c r="AB2189" t="s">
        <v>78</v>
      </c>
      <c r="AC2189" t="s">
        <v>79</v>
      </c>
      <c r="AD2189" t="s">
        <v>75</v>
      </c>
      <c r="AE2189" t="s">
        <v>80</v>
      </c>
      <c r="AG2189" t="s">
        <v>81</v>
      </c>
    </row>
    <row r="2190" spans="1:33" x14ac:dyDescent="0.25">
      <c r="A2190" t="str">
        <f>"1891881868"</f>
        <v>1891881868</v>
      </c>
      <c r="B2190" t="str">
        <f>"01456697"</f>
        <v>01456697</v>
      </c>
      <c r="C2190" t="s">
        <v>13436</v>
      </c>
      <c r="D2190" t="s">
        <v>14593</v>
      </c>
      <c r="E2190" t="s">
        <v>14594</v>
      </c>
      <c r="G2190" t="s">
        <v>14595</v>
      </c>
      <c r="L2190" t="s">
        <v>84</v>
      </c>
      <c r="M2190" t="s">
        <v>85</v>
      </c>
      <c r="R2190" t="s">
        <v>14596</v>
      </c>
      <c r="W2190" t="s">
        <v>14596</v>
      </c>
      <c r="X2190" t="s">
        <v>3262</v>
      </c>
      <c r="Y2190" t="s">
        <v>97</v>
      </c>
      <c r="Z2190" t="s">
        <v>77</v>
      </c>
      <c r="AA2190" t="str">
        <f>"10011-6609"</f>
        <v>10011-6609</v>
      </c>
      <c r="AB2190" t="s">
        <v>78</v>
      </c>
      <c r="AC2190" t="s">
        <v>79</v>
      </c>
      <c r="AD2190" t="s">
        <v>75</v>
      </c>
      <c r="AE2190" t="s">
        <v>80</v>
      </c>
      <c r="AG2190" t="s">
        <v>81</v>
      </c>
    </row>
    <row r="2191" spans="1:33" x14ac:dyDescent="0.25">
      <c r="A2191" t="str">
        <f>"1891900775"</f>
        <v>1891900775</v>
      </c>
      <c r="B2191" t="str">
        <f>"02696477"</f>
        <v>02696477</v>
      </c>
      <c r="C2191" t="s">
        <v>13436</v>
      </c>
      <c r="D2191" t="s">
        <v>14597</v>
      </c>
      <c r="E2191" t="s">
        <v>14598</v>
      </c>
      <c r="G2191" t="s">
        <v>14599</v>
      </c>
      <c r="L2191" t="s">
        <v>83</v>
      </c>
      <c r="M2191" t="s">
        <v>85</v>
      </c>
      <c r="R2191" t="s">
        <v>14600</v>
      </c>
      <c r="W2191" t="s">
        <v>14598</v>
      </c>
      <c r="X2191" t="s">
        <v>181</v>
      </c>
      <c r="Y2191" t="s">
        <v>97</v>
      </c>
      <c r="Z2191" t="s">
        <v>77</v>
      </c>
      <c r="AA2191" t="str">
        <f>"10025-1716"</f>
        <v>10025-1716</v>
      </c>
      <c r="AB2191" t="s">
        <v>114</v>
      </c>
      <c r="AC2191" t="s">
        <v>79</v>
      </c>
      <c r="AD2191" t="s">
        <v>75</v>
      </c>
      <c r="AE2191" t="s">
        <v>80</v>
      </c>
      <c r="AG2191" t="s">
        <v>81</v>
      </c>
    </row>
    <row r="2192" spans="1:33" x14ac:dyDescent="0.25">
      <c r="A2192" t="str">
        <f>"1891910204"</f>
        <v>1891910204</v>
      </c>
      <c r="C2192" t="s">
        <v>13436</v>
      </c>
      <c r="G2192" t="s">
        <v>14601</v>
      </c>
      <c r="K2192" t="s">
        <v>99</v>
      </c>
      <c r="L2192" t="s">
        <v>74</v>
      </c>
      <c r="M2192" t="s">
        <v>85</v>
      </c>
      <c r="R2192" t="s">
        <v>14602</v>
      </c>
      <c r="S2192" t="s">
        <v>14603</v>
      </c>
      <c r="T2192" t="s">
        <v>14604</v>
      </c>
      <c r="U2192" t="s">
        <v>156</v>
      </c>
      <c r="V2192" t="str">
        <f>"079202311"</f>
        <v>079202311</v>
      </c>
      <c r="AC2192" t="s">
        <v>79</v>
      </c>
      <c r="AD2192" t="s">
        <v>75</v>
      </c>
      <c r="AE2192" t="s">
        <v>103</v>
      </c>
      <c r="AG2192" t="s">
        <v>81</v>
      </c>
    </row>
    <row r="2193" spans="1:33" x14ac:dyDescent="0.25">
      <c r="A2193" t="str">
        <f>"1891992475"</f>
        <v>1891992475</v>
      </c>
      <c r="B2193" t="str">
        <f>"02915048"</f>
        <v>02915048</v>
      </c>
      <c r="C2193" t="s">
        <v>13436</v>
      </c>
      <c r="D2193" t="s">
        <v>14605</v>
      </c>
      <c r="E2193" t="s">
        <v>14606</v>
      </c>
      <c r="G2193" t="s">
        <v>14607</v>
      </c>
      <c r="L2193" t="s">
        <v>83</v>
      </c>
      <c r="M2193" t="s">
        <v>85</v>
      </c>
      <c r="R2193" t="s">
        <v>14608</v>
      </c>
      <c r="W2193" t="s">
        <v>14606</v>
      </c>
      <c r="X2193" t="s">
        <v>6696</v>
      </c>
      <c r="Y2193" t="s">
        <v>97</v>
      </c>
      <c r="Z2193" t="s">
        <v>77</v>
      </c>
      <c r="AA2193" t="str">
        <f>"10003"</f>
        <v>10003</v>
      </c>
      <c r="AB2193" t="s">
        <v>78</v>
      </c>
      <c r="AC2193" t="s">
        <v>79</v>
      </c>
      <c r="AD2193" t="s">
        <v>75</v>
      </c>
      <c r="AE2193" t="s">
        <v>80</v>
      </c>
      <c r="AG2193" t="s">
        <v>81</v>
      </c>
    </row>
    <row r="2194" spans="1:33" x14ac:dyDescent="0.25">
      <c r="A2194" t="str">
        <f>"1912998428"</f>
        <v>1912998428</v>
      </c>
      <c r="B2194" t="str">
        <f>"01783619"</f>
        <v>01783619</v>
      </c>
      <c r="C2194" t="s">
        <v>13436</v>
      </c>
      <c r="D2194" t="s">
        <v>14609</v>
      </c>
      <c r="E2194" t="s">
        <v>14610</v>
      </c>
      <c r="G2194" t="s">
        <v>14611</v>
      </c>
      <c r="L2194" t="s">
        <v>74</v>
      </c>
      <c r="M2194" t="s">
        <v>85</v>
      </c>
      <c r="R2194" t="s">
        <v>14612</v>
      </c>
      <c r="W2194" t="s">
        <v>14610</v>
      </c>
      <c r="X2194" t="s">
        <v>14613</v>
      </c>
      <c r="Y2194" t="s">
        <v>97</v>
      </c>
      <c r="Z2194" t="s">
        <v>77</v>
      </c>
      <c r="AA2194" t="str">
        <f>"10087-0001"</f>
        <v>10087-0001</v>
      </c>
      <c r="AB2194" t="s">
        <v>78</v>
      </c>
      <c r="AC2194" t="s">
        <v>79</v>
      </c>
      <c r="AD2194" t="s">
        <v>75</v>
      </c>
      <c r="AE2194" t="s">
        <v>80</v>
      </c>
      <c r="AG2194" t="s">
        <v>81</v>
      </c>
    </row>
    <row r="2195" spans="1:33" x14ac:dyDescent="0.25">
      <c r="A2195" t="str">
        <f>"1922028794"</f>
        <v>1922028794</v>
      </c>
      <c r="B2195" t="str">
        <f>"02817283"</f>
        <v>02817283</v>
      </c>
      <c r="C2195" t="s">
        <v>13436</v>
      </c>
      <c r="D2195" t="s">
        <v>14614</v>
      </c>
      <c r="E2195" t="s">
        <v>14615</v>
      </c>
      <c r="G2195" t="s">
        <v>14616</v>
      </c>
      <c r="L2195" t="s">
        <v>83</v>
      </c>
      <c r="M2195" t="s">
        <v>85</v>
      </c>
      <c r="R2195" t="s">
        <v>14617</v>
      </c>
      <c r="W2195" t="s">
        <v>14615</v>
      </c>
      <c r="X2195" t="s">
        <v>14618</v>
      </c>
      <c r="Y2195" t="s">
        <v>97</v>
      </c>
      <c r="Z2195" t="s">
        <v>77</v>
      </c>
      <c r="AA2195" t="str">
        <f>"10023-7906"</f>
        <v>10023-7906</v>
      </c>
      <c r="AB2195" t="s">
        <v>78</v>
      </c>
      <c r="AC2195" t="s">
        <v>79</v>
      </c>
      <c r="AD2195" t="s">
        <v>75</v>
      </c>
      <c r="AE2195" t="s">
        <v>80</v>
      </c>
      <c r="AG2195" t="s">
        <v>81</v>
      </c>
    </row>
    <row r="2196" spans="1:33" x14ac:dyDescent="0.25">
      <c r="A2196" t="str">
        <f>"1922043850"</f>
        <v>1922043850</v>
      </c>
      <c r="B2196" t="str">
        <f>"02854795"</f>
        <v>02854795</v>
      </c>
      <c r="C2196" t="s">
        <v>13436</v>
      </c>
      <c r="D2196" t="s">
        <v>14619</v>
      </c>
      <c r="E2196" t="s">
        <v>14620</v>
      </c>
      <c r="G2196" t="s">
        <v>14621</v>
      </c>
      <c r="L2196" t="s">
        <v>83</v>
      </c>
      <c r="M2196" t="s">
        <v>85</v>
      </c>
      <c r="R2196" t="s">
        <v>14622</v>
      </c>
      <c r="W2196" t="s">
        <v>14620</v>
      </c>
      <c r="X2196" t="s">
        <v>263</v>
      </c>
      <c r="Y2196" t="s">
        <v>97</v>
      </c>
      <c r="Z2196" t="s">
        <v>77</v>
      </c>
      <c r="AA2196" t="str">
        <f>"10011-8202"</f>
        <v>10011-8202</v>
      </c>
      <c r="AB2196" t="s">
        <v>78</v>
      </c>
      <c r="AC2196" t="s">
        <v>79</v>
      </c>
      <c r="AD2196" t="s">
        <v>75</v>
      </c>
      <c r="AE2196" t="s">
        <v>80</v>
      </c>
      <c r="AG2196" t="s">
        <v>81</v>
      </c>
    </row>
    <row r="2197" spans="1:33" x14ac:dyDescent="0.25">
      <c r="A2197" t="str">
        <f>"1922071372"</f>
        <v>1922071372</v>
      </c>
      <c r="B2197" t="str">
        <f>"02270193"</f>
        <v>02270193</v>
      </c>
      <c r="C2197" t="s">
        <v>13436</v>
      </c>
      <c r="D2197" t="s">
        <v>14623</v>
      </c>
      <c r="E2197" t="s">
        <v>14624</v>
      </c>
      <c r="G2197" t="s">
        <v>14625</v>
      </c>
      <c r="L2197" t="s">
        <v>83</v>
      </c>
      <c r="M2197" t="s">
        <v>85</v>
      </c>
      <c r="R2197" t="s">
        <v>14626</v>
      </c>
      <c r="W2197" t="s">
        <v>14624</v>
      </c>
      <c r="Y2197" t="s">
        <v>131</v>
      </c>
      <c r="Z2197" t="s">
        <v>77</v>
      </c>
      <c r="AA2197" t="str">
        <f>"10461-4509"</f>
        <v>10461-4509</v>
      </c>
      <c r="AB2197" t="s">
        <v>78</v>
      </c>
      <c r="AC2197" t="s">
        <v>79</v>
      </c>
      <c r="AD2197" t="s">
        <v>75</v>
      </c>
      <c r="AE2197" t="s">
        <v>80</v>
      </c>
      <c r="AG2197" t="s">
        <v>81</v>
      </c>
    </row>
    <row r="2198" spans="1:33" x14ac:dyDescent="0.25">
      <c r="A2198" t="str">
        <f>"1922087931"</f>
        <v>1922087931</v>
      </c>
      <c r="B2198" t="str">
        <f>"00857589"</f>
        <v>00857589</v>
      </c>
      <c r="C2198" t="s">
        <v>13436</v>
      </c>
      <c r="D2198" t="s">
        <v>14627</v>
      </c>
      <c r="E2198" t="s">
        <v>14628</v>
      </c>
      <c r="G2198" t="s">
        <v>14629</v>
      </c>
      <c r="L2198" t="s">
        <v>83</v>
      </c>
      <c r="M2198" t="s">
        <v>85</v>
      </c>
      <c r="R2198" t="s">
        <v>14630</v>
      </c>
      <c r="W2198" t="s">
        <v>14628</v>
      </c>
      <c r="X2198" t="s">
        <v>200</v>
      </c>
      <c r="Y2198" t="s">
        <v>97</v>
      </c>
      <c r="Z2198" t="s">
        <v>77</v>
      </c>
      <c r="AA2198" t="str">
        <f>"10032-3720"</f>
        <v>10032-3720</v>
      </c>
      <c r="AB2198" t="s">
        <v>78</v>
      </c>
      <c r="AC2198" t="s">
        <v>79</v>
      </c>
      <c r="AD2198" t="s">
        <v>75</v>
      </c>
      <c r="AE2198" t="s">
        <v>80</v>
      </c>
      <c r="AG2198" t="s">
        <v>81</v>
      </c>
    </row>
    <row r="2199" spans="1:33" x14ac:dyDescent="0.25">
      <c r="A2199" t="str">
        <f>"1922089655"</f>
        <v>1922089655</v>
      </c>
      <c r="B2199" t="str">
        <f>"01413625"</f>
        <v>01413625</v>
      </c>
      <c r="C2199" t="s">
        <v>13436</v>
      </c>
      <c r="D2199" t="s">
        <v>14631</v>
      </c>
      <c r="E2199" t="s">
        <v>14632</v>
      </c>
      <c r="G2199" t="s">
        <v>14633</v>
      </c>
      <c r="L2199" t="s">
        <v>83</v>
      </c>
      <c r="M2199" t="s">
        <v>85</v>
      </c>
      <c r="R2199" t="s">
        <v>14634</v>
      </c>
      <c r="W2199" t="s">
        <v>14632</v>
      </c>
      <c r="X2199" t="s">
        <v>14635</v>
      </c>
      <c r="Y2199" t="s">
        <v>97</v>
      </c>
      <c r="Z2199" t="s">
        <v>77</v>
      </c>
      <c r="AA2199" t="str">
        <f>"10023"</f>
        <v>10023</v>
      </c>
      <c r="AB2199" t="s">
        <v>78</v>
      </c>
      <c r="AC2199" t="s">
        <v>79</v>
      </c>
      <c r="AD2199" t="s">
        <v>75</v>
      </c>
      <c r="AE2199" t="s">
        <v>80</v>
      </c>
      <c r="AG2199" t="s">
        <v>81</v>
      </c>
    </row>
    <row r="2200" spans="1:33" x14ac:dyDescent="0.25">
      <c r="A2200" t="str">
        <f>"1922091842"</f>
        <v>1922091842</v>
      </c>
      <c r="B2200" t="str">
        <f>"01592745"</f>
        <v>01592745</v>
      </c>
      <c r="C2200" t="s">
        <v>13436</v>
      </c>
      <c r="D2200" t="s">
        <v>14636</v>
      </c>
      <c r="E2200" t="s">
        <v>14637</v>
      </c>
      <c r="G2200" t="s">
        <v>14638</v>
      </c>
      <c r="L2200" t="s">
        <v>84</v>
      </c>
      <c r="M2200" t="s">
        <v>85</v>
      </c>
      <c r="R2200" t="s">
        <v>14639</v>
      </c>
      <c r="W2200" t="s">
        <v>14637</v>
      </c>
      <c r="X2200" t="s">
        <v>737</v>
      </c>
      <c r="Y2200" t="s">
        <v>97</v>
      </c>
      <c r="Z2200" t="s">
        <v>77</v>
      </c>
      <c r="AA2200" t="str">
        <f>"10019-1147"</f>
        <v>10019-1147</v>
      </c>
      <c r="AB2200" t="s">
        <v>78</v>
      </c>
      <c r="AC2200" t="s">
        <v>79</v>
      </c>
      <c r="AD2200" t="s">
        <v>75</v>
      </c>
      <c r="AE2200" t="s">
        <v>80</v>
      </c>
      <c r="AG2200" t="s">
        <v>81</v>
      </c>
    </row>
    <row r="2201" spans="1:33" x14ac:dyDescent="0.25">
      <c r="A2201" t="str">
        <f>"1922163112"</f>
        <v>1922163112</v>
      </c>
      <c r="B2201" t="str">
        <f>"03325711"</f>
        <v>03325711</v>
      </c>
      <c r="C2201" t="s">
        <v>13436</v>
      </c>
      <c r="D2201" t="s">
        <v>14640</v>
      </c>
      <c r="E2201" t="s">
        <v>14641</v>
      </c>
      <c r="G2201" t="s">
        <v>14642</v>
      </c>
      <c r="L2201" t="s">
        <v>74</v>
      </c>
      <c r="M2201" t="s">
        <v>85</v>
      </c>
      <c r="R2201" t="s">
        <v>14643</v>
      </c>
      <c r="W2201" t="s">
        <v>14641</v>
      </c>
      <c r="X2201" t="s">
        <v>181</v>
      </c>
      <c r="Y2201" t="s">
        <v>97</v>
      </c>
      <c r="Z2201" t="s">
        <v>77</v>
      </c>
      <c r="AA2201" t="str">
        <f>"10025-1716"</f>
        <v>10025-1716</v>
      </c>
      <c r="AB2201" t="s">
        <v>78</v>
      </c>
      <c r="AC2201" t="s">
        <v>79</v>
      </c>
      <c r="AD2201" t="s">
        <v>75</v>
      </c>
      <c r="AE2201" t="s">
        <v>80</v>
      </c>
      <c r="AG2201" t="s">
        <v>81</v>
      </c>
    </row>
    <row r="2202" spans="1:33" x14ac:dyDescent="0.25">
      <c r="A2202" t="str">
        <f>"1194011338"</f>
        <v>1194011338</v>
      </c>
      <c r="B2202" t="str">
        <f>"03397537"</f>
        <v>03397537</v>
      </c>
      <c r="C2202" t="s">
        <v>14644</v>
      </c>
      <c r="D2202" t="s">
        <v>14645</v>
      </c>
      <c r="E2202" t="s">
        <v>14646</v>
      </c>
      <c r="G2202" t="s">
        <v>14644</v>
      </c>
      <c r="H2202" t="s">
        <v>14647</v>
      </c>
      <c r="J2202" t="s">
        <v>14648</v>
      </c>
      <c r="L2202" t="s">
        <v>84</v>
      </c>
      <c r="M2202" t="s">
        <v>85</v>
      </c>
      <c r="R2202" t="s">
        <v>14649</v>
      </c>
      <c r="W2202" t="s">
        <v>14646</v>
      </c>
      <c r="X2202" t="s">
        <v>14650</v>
      </c>
      <c r="Y2202" t="s">
        <v>87</v>
      </c>
      <c r="Z2202" t="s">
        <v>77</v>
      </c>
      <c r="AA2202" t="str">
        <f>"11216-4211"</f>
        <v>11216-4211</v>
      </c>
      <c r="AB2202" t="s">
        <v>78</v>
      </c>
      <c r="AC2202" t="s">
        <v>79</v>
      </c>
      <c r="AD2202" t="s">
        <v>75</v>
      </c>
      <c r="AE2202" t="s">
        <v>80</v>
      </c>
      <c r="AG2202" t="s">
        <v>81</v>
      </c>
    </row>
    <row r="2203" spans="1:33" x14ac:dyDescent="0.25">
      <c r="A2203" t="str">
        <f>"1740221282"</f>
        <v>1740221282</v>
      </c>
      <c r="B2203" t="str">
        <f>"00795955"</f>
        <v>00795955</v>
      </c>
      <c r="C2203" t="s">
        <v>13436</v>
      </c>
      <c r="D2203" t="s">
        <v>14651</v>
      </c>
      <c r="E2203" t="s">
        <v>14652</v>
      </c>
      <c r="G2203" t="s">
        <v>14653</v>
      </c>
      <c r="L2203" t="s">
        <v>83</v>
      </c>
      <c r="M2203" t="s">
        <v>85</v>
      </c>
      <c r="R2203" t="s">
        <v>14654</v>
      </c>
      <c r="W2203" t="s">
        <v>14655</v>
      </c>
      <c r="X2203" t="s">
        <v>181</v>
      </c>
      <c r="Y2203" t="s">
        <v>97</v>
      </c>
      <c r="Z2203" t="s">
        <v>77</v>
      </c>
      <c r="AA2203" t="str">
        <f>"10025-1716"</f>
        <v>10025-1716</v>
      </c>
      <c r="AB2203" t="s">
        <v>78</v>
      </c>
      <c r="AC2203" t="s">
        <v>79</v>
      </c>
      <c r="AD2203" t="s">
        <v>75</v>
      </c>
      <c r="AE2203" t="s">
        <v>80</v>
      </c>
      <c r="AG2203" t="s">
        <v>81</v>
      </c>
    </row>
    <row r="2204" spans="1:33" x14ac:dyDescent="0.25">
      <c r="A2204" t="str">
        <f>"1740254531"</f>
        <v>1740254531</v>
      </c>
      <c r="B2204" t="str">
        <f>"02974041"</f>
        <v>02974041</v>
      </c>
      <c r="C2204" t="s">
        <v>13436</v>
      </c>
      <c r="D2204" t="s">
        <v>14656</v>
      </c>
      <c r="E2204" t="s">
        <v>14657</v>
      </c>
      <c r="G2204" t="s">
        <v>14658</v>
      </c>
      <c r="L2204" t="s">
        <v>83</v>
      </c>
      <c r="M2204" t="s">
        <v>85</v>
      </c>
      <c r="R2204" t="s">
        <v>14659</v>
      </c>
      <c r="W2204" t="s">
        <v>14657</v>
      </c>
      <c r="X2204" t="s">
        <v>3553</v>
      </c>
      <c r="Y2204" t="s">
        <v>97</v>
      </c>
      <c r="Z2204" t="s">
        <v>77</v>
      </c>
      <c r="AA2204" t="str">
        <f>"10003-3851"</f>
        <v>10003-3851</v>
      </c>
      <c r="AB2204" t="s">
        <v>78</v>
      </c>
      <c r="AC2204" t="s">
        <v>79</v>
      </c>
      <c r="AD2204" t="s">
        <v>75</v>
      </c>
      <c r="AE2204" t="s">
        <v>80</v>
      </c>
      <c r="AG2204" t="s">
        <v>81</v>
      </c>
    </row>
    <row r="2205" spans="1:33" x14ac:dyDescent="0.25">
      <c r="A2205" t="str">
        <f>"1740254895"</f>
        <v>1740254895</v>
      </c>
      <c r="B2205" t="str">
        <f>"01850004"</f>
        <v>01850004</v>
      </c>
      <c r="C2205" t="s">
        <v>13436</v>
      </c>
      <c r="D2205" t="s">
        <v>14660</v>
      </c>
      <c r="E2205" t="s">
        <v>14661</v>
      </c>
      <c r="G2205" t="s">
        <v>14662</v>
      </c>
      <c r="L2205" t="s">
        <v>84</v>
      </c>
      <c r="M2205" t="s">
        <v>85</v>
      </c>
      <c r="R2205" t="s">
        <v>14663</v>
      </c>
      <c r="W2205" t="s">
        <v>14661</v>
      </c>
      <c r="X2205" t="s">
        <v>14583</v>
      </c>
      <c r="Y2205" t="s">
        <v>97</v>
      </c>
      <c r="Z2205" t="s">
        <v>77</v>
      </c>
      <c r="AA2205" t="str">
        <f>"10016-4337"</f>
        <v>10016-4337</v>
      </c>
      <c r="AB2205" t="s">
        <v>78</v>
      </c>
      <c r="AC2205" t="s">
        <v>79</v>
      </c>
      <c r="AD2205" t="s">
        <v>75</v>
      </c>
      <c r="AE2205" t="s">
        <v>80</v>
      </c>
      <c r="AG2205" t="s">
        <v>81</v>
      </c>
    </row>
    <row r="2206" spans="1:33" x14ac:dyDescent="0.25">
      <c r="A2206" t="str">
        <f>"1740263276"</f>
        <v>1740263276</v>
      </c>
      <c r="B2206" t="str">
        <f>"02052808"</f>
        <v>02052808</v>
      </c>
      <c r="C2206" t="s">
        <v>13436</v>
      </c>
      <c r="D2206" t="s">
        <v>14664</v>
      </c>
      <c r="E2206" t="s">
        <v>14665</v>
      </c>
      <c r="G2206" t="s">
        <v>14666</v>
      </c>
      <c r="L2206" t="s">
        <v>83</v>
      </c>
      <c r="M2206" t="s">
        <v>85</v>
      </c>
      <c r="R2206" t="s">
        <v>14667</v>
      </c>
      <c r="W2206" t="s">
        <v>14665</v>
      </c>
      <c r="X2206" t="s">
        <v>181</v>
      </c>
      <c r="Y2206" t="s">
        <v>97</v>
      </c>
      <c r="Z2206" t="s">
        <v>77</v>
      </c>
      <c r="AA2206" t="str">
        <f>"10025-1716"</f>
        <v>10025-1716</v>
      </c>
      <c r="AB2206" t="s">
        <v>78</v>
      </c>
      <c r="AC2206" t="s">
        <v>79</v>
      </c>
      <c r="AD2206" t="s">
        <v>75</v>
      </c>
      <c r="AE2206" t="s">
        <v>80</v>
      </c>
      <c r="AG2206" t="s">
        <v>81</v>
      </c>
    </row>
    <row r="2207" spans="1:33" x14ac:dyDescent="0.25">
      <c r="A2207" t="str">
        <f>"1952559932"</f>
        <v>1952559932</v>
      </c>
      <c r="B2207" t="str">
        <f>"03427245"</f>
        <v>03427245</v>
      </c>
      <c r="C2207" t="s">
        <v>14668</v>
      </c>
      <c r="D2207" t="s">
        <v>14669</v>
      </c>
      <c r="E2207" t="s">
        <v>14670</v>
      </c>
      <c r="G2207" t="s">
        <v>7218</v>
      </c>
      <c r="H2207" t="s">
        <v>6801</v>
      </c>
      <c r="I2207">
        <v>6136</v>
      </c>
      <c r="J2207" t="s">
        <v>7219</v>
      </c>
      <c r="L2207" t="s">
        <v>105</v>
      </c>
      <c r="M2207" t="s">
        <v>75</v>
      </c>
      <c r="R2207" t="s">
        <v>14671</v>
      </c>
      <c r="W2207" t="s">
        <v>14670</v>
      </c>
      <c r="X2207" t="s">
        <v>14672</v>
      </c>
      <c r="Y2207" t="s">
        <v>97</v>
      </c>
      <c r="Z2207" t="s">
        <v>77</v>
      </c>
      <c r="AA2207" t="str">
        <f>"10011-8919"</f>
        <v>10011-8919</v>
      </c>
      <c r="AB2207" t="s">
        <v>125</v>
      </c>
      <c r="AC2207" t="s">
        <v>79</v>
      </c>
      <c r="AD2207" t="s">
        <v>75</v>
      </c>
      <c r="AE2207" t="s">
        <v>80</v>
      </c>
      <c r="AG2207" t="s">
        <v>81</v>
      </c>
    </row>
    <row r="2208" spans="1:33" x14ac:dyDescent="0.25">
      <c r="A2208" t="str">
        <f>"1952718736"</f>
        <v>1952718736</v>
      </c>
      <c r="C2208" t="s">
        <v>14673</v>
      </c>
      <c r="G2208" t="s">
        <v>7218</v>
      </c>
      <c r="H2208" t="s">
        <v>6801</v>
      </c>
      <c r="I2208">
        <v>6136</v>
      </c>
      <c r="J2208" t="s">
        <v>7219</v>
      </c>
      <c r="K2208" t="s">
        <v>99</v>
      </c>
      <c r="L2208" t="s">
        <v>102</v>
      </c>
      <c r="M2208" t="s">
        <v>75</v>
      </c>
      <c r="R2208" t="s">
        <v>14674</v>
      </c>
      <c r="S2208" t="s">
        <v>14675</v>
      </c>
      <c r="T2208" t="s">
        <v>97</v>
      </c>
      <c r="U2208" t="s">
        <v>77</v>
      </c>
      <c r="V2208" t="str">
        <f>"10001"</f>
        <v>10001</v>
      </c>
      <c r="AC2208" t="s">
        <v>79</v>
      </c>
      <c r="AD2208" t="s">
        <v>75</v>
      </c>
      <c r="AE2208" t="s">
        <v>103</v>
      </c>
      <c r="AG2208" t="s">
        <v>81</v>
      </c>
    </row>
    <row r="2209" spans="1:33" x14ac:dyDescent="0.25">
      <c r="A2209" t="str">
        <f>"1962567933"</f>
        <v>1962567933</v>
      </c>
      <c r="C2209" t="s">
        <v>14676</v>
      </c>
      <c r="G2209" t="s">
        <v>7218</v>
      </c>
      <c r="H2209" t="s">
        <v>6801</v>
      </c>
      <c r="I2209">
        <v>6136</v>
      </c>
      <c r="J2209" t="s">
        <v>7219</v>
      </c>
      <c r="K2209" t="s">
        <v>99</v>
      </c>
      <c r="L2209" t="s">
        <v>74</v>
      </c>
      <c r="M2209" t="s">
        <v>75</v>
      </c>
      <c r="R2209" t="s">
        <v>14677</v>
      </c>
      <c r="S2209" t="s">
        <v>6229</v>
      </c>
      <c r="T2209" t="s">
        <v>97</v>
      </c>
      <c r="U2209" t="s">
        <v>77</v>
      </c>
      <c r="V2209" t="str">
        <f>"100012320"</f>
        <v>100012320</v>
      </c>
      <c r="AC2209" t="s">
        <v>79</v>
      </c>
      <c r="AD2209" t="s">
        <v>75</v>
      </c>
      <c r="AE2209" t="s">
        <v>103</v>
      </c>
      <c r="AG2209" t="s">
        <v>81</v>
      </c>
    </row>
    <row r="2210" spans="1:33" x14ac:dyDescent="0.25">
      <c r="A2210" t="str">
        <f>"1962694786"</f>
        <v>1962694786</v>
      </c>
      <c r="C2210" t="s">
        <v>14678</v>
      </c>
      <c r="G2210" t="s">
        <v>7218</v>
      </c>
      <c r="H2210" t="s">
        <v>6801</v>
      </c>
      <c r="I2210">
        <v>6136</v>
      </c>
      <c r="J2210" t="s">
        <v>7219</v>
      </c>
      <c r="K2210" t="s">
        <v>99</v>
      </c>
      <c r="L2210" t="s">
        <v>102</v>
      </c>
      <c r="M2210" t="s">
        <v>75</v>
      </c>
      <c r="R2210" t="s">
        <v>14679</v>
      </c>
      <c r="S2210" t="s">
        <v>6229</v>
      </c>
      <c r="T2210" t="s">
        <v>97</v>
      </c>
      <c r="U2210" t="s">
        <v>77</v>
      </c>
      <c r="V2210" t="str">
        <f>"100012320"</f>
        <v>100012320</v>
      </c>
      <c r="AC2210" t="s">
        <v>79</v>
      </c>
      <c r="AD2210" t="s">
        <v>75</v>
      </c>
      <c r="AE2210" t="s">
        <v>103</v>
      </c>
      <c r="AG2210" t="s">
        <v>81</v>
      </c>
    </row>
    <row r="2211" spans="1:33" x14ac:dyDescent="0.25">
      <c r="A2211" t="str">
        <f>"1699768408"</f>
        <v>1699768408</v>
      </c>
      <c r="B2211" t="str">
        <f>"02605223"</f>
        <v>02605223</v>
      </c>
      <c r="C2211" t="s">
        <v>13436</v>
      </c>
      <c r="D2211" t="s">
        <v>14680</v>
      </c>
      <c r="E2211" t="s">
        <v>14681</v>
      </c>
      <c r="G2211" t="s">
        <v>14682</v>
      </c>
      <c r="L2211" t="s">
        <v>83</v>
      </c>
      <c r="M2211" t="s">
        <v>85</v>
      </c>
      <c r="R2211" t="s">
        <v>14683</v>
      </c>
      <c r="W2211" t="s">
        <v>14681</v>
      </c>
      <c r="X2211" t="s">
        <v>4640</v>
      </c>
      <c r="Y2211" t="s">
        <v>97</v>
      </c>
      <c r="Z2211" t="s">
        <v>77</v>
      </c>
      <c r="AA2211" t="str">
        <f>"10019-8022"</f>
        <v>10019-8022</v>
      </c>
      <c r="AB2211" t="s">
        <v>78</v>
      </c>
      <c r="AC2211" t="s">
        <v>79</v>
      </c>
      <c r="AD2211" t="s">
        <v>75</v>
      </c>
      <c r="AE2211" t="s">
        <v>80</v>
      </c>
      <c r="AG2211" t="s">
        <v>81</v>
      </c>
    </row>
    <row r="2212" spans="1:33" x14ac:dyDescent="0.25">
      <c r="A2212" t="str">
        <f>"1699805200"</f>
        <v>1699805200</v>
      </c>
      <c r="B2212" t="str">
        <f>"01810448"</f>
        <v>01810448</v>
      </c>
      <c r="C2212" t="s">
        <v>13436</v>
      </c>
      <c r="D2212" t="s">
        <v>14684</v>
      </c>
      <c r="E2212" t="s">
        <v>14685</v>
      </c>
      <c r="G2212" t="s">
        <v>14686</v>
      </c>
      <c r="L2212" t="s">
        <v>84</v>
      </c>
      <c r="M2212" t="s">
        <v>85</v>
      </c>
      <c r="R2212" t="s">
        <v>14687</v>
      </c>
      <c r="W2212" t="s">
        <v>14685</v>
      </c>
      <c r="X2212" t="s">
        <v>5385</v>
      </c>
      <c r="Y2212" t="s">
        <v>87</v>
      </c>
      <c r="Z2212" t="s">
        <v>77</v>
      </c>
      <c r="AA2212" t="str">
        <f>"11211-5058"</f>
        <v>11211-5058</v>
      </c>
      <c r="AB2212" t="s">
        <v>78</v>
      </c>
      <c r="AC2212" t="s">
        <v>79</v>
      </c>
      <c r="AD2212" t="s">
        <v>75</v>
      </c>
      <c r="AE2212" t="s">
        <v>80</v>
      </c>
      <c r="AG2212" t="s">
        <v>81</v>
      </c>
    </row>
    <row r="2213" spans="1:33" x14ac:dyDescent="0.25">
      <c r="A2213" t="str">
        <f>"1699850057"</f>
        <v>1699850057</v>
      </c>
      <c r="B2213" t="str">
        <f>"02782570"</f>
        <v>02782570</v>
      </c>
      <c r="C2213" t="s">
        <v>13436</v>
      </c>
      <c r="D2213" t="s">
        <v>14688</v>
      </c>
      <c r="E2213" t="s">
        <v>14689</v>
      </c>
      <c r="G2213" t="s">
        <v>14690</v>
      </c>
      <c r="L2213" t="s">
        <v>84</v>
      </c>
      <c r="M2213" t="s">
        <v>85</v>
      </c>
      <c r="R2213" t="s">
        <v>14691</v>
      </c>
      <c r="W2213" t="s">
        <v>14689</v>
      </c>
      <c r="X2213" t="s">
        <v>14692</v>
      </c>
      <c r="Y2213" t="s">
        <v>97</v>
      </c>
      <c r="Z2213" t="s">
        <v>77</v>
      </c>
      <c r="AA2213" t="str">
        <f>"10024-3625"</f>
        <v>10024-3625</v>
      </c>
      <c r="AB2213" t="s">
        <v>78</v>
      </c>
      <c r="AC2213" t="s">
        <v>79</v>
      </c>
      <c r="AD2213" t="s">
        <v>75</v>
      </c>
      <c r="AE2213" t="s">
        <v>80</v>
      </c>
      <c r="AG2213" t="s">
        <v>81</v>
      </c>
    </row>
    <row r="2214" spans="1:33" x14ac:dyDescent="0.25">
      <c r="A2214" t="str">
        <f>"1699957548"</f>
        <v>1699957548</v>
      </c>
      <c r="C2214" t="s">
        <v>13436</v>
      </c>
      <c r="G2214" t="s">
        <v>14693</v>
      </c>
      <c r="K2214" t="s">
        <v>99</v>
      </c>
      <c r="L2214" t="s">
        <v>102</v>
      </c>
      <c r="M2214" t="s">
        <v>85</v>
      </c>
      <c r="R2214" t="s">
        <v>14694</v>
      </c>
      <c r="S2214" t="s">
        <v>186</v>
      </c>
      <c r="T2214" t="s">
        <v>97</v>
      </c>
      <c r="U2214" t="s">
        <v>77</v>
      </c>
      <c r="V2214" t="str">
        <f>"100297404"</f>
        <v>100297404</v>
      </c>
      <c r="AC2214" t="s">
        <v>79</v>
      </c>
      <c r="AD2214" t="s">
        <v>75</v>
      </c>
      <c r="AE2214" t="s">
        <v>103</v>
      </c>
      <c r="AG2214" t="s">
        <v>81</v>
      </c>
    </row>
    <row r="2215" spans="1:33" x14ac:dyDescent="0.25">
      <c r="A2215" t="str">
        <f>"1083677280"</f>
        <v>1083677280</v>
      </c>
      <c r="B2215" t="str">
        <f>"00409903"</f>
        <v>00409903</v>
      </c>
      <c r="C2215" t="s">
        <v>14695</v>
      </c>
      <c r="D2215" t="s">
        <v>2498</v>
      </c>
      <c r="E2215" t="s">
        <v>2499</v>
      </c>
      <c r="G2215" t="s">
        <v>14695</v>
      </c>
      <c r="H2215" t="s">
        <v>14696</v>
      </c>
      <c r="L2215" t="s">
        <v>94</v>
      </c>
      <c r="M2215" t="s">
        <v>75</v>
      </c>
      <c r="R2215" t="s">
        <v>2497</v>
      </c>
      <c r="W2215" t="s">
        <v>2499</v>
      </c>
      <c r="X2215" t="s">
        <v>2500</v>
      </c>
      <c r="Y2215" t="s">
        <v>131</v>
      </c>
      <c r="Z2215" t="s">
        <v>77</v>
      </c>
      <c r="AA2215" t="str">
        <f>"10461"</f>
        <v>10461</v>
      </c>
      <c r="AB2215" t="s">
        <v>78</v>
      </c>
      <c r="AC2215" t="s">
        <v>79</v>
      </c>
      <c r="AD2215" t="s">
        <v>75</v>
      </c>
      <c r="AE2215" t="s">
        <v>80</v>
      </c>
      <c r="AG2215" t="s">
        <v>81</v>
      </c>
    </row>
    <row r="2216" spans="1:33" x14ac:dyDescent="0.25">
      <c r="A2216" t="str">
        <f>"1881622181"</f>
        <v>1881622181</v>
      </c>
      <c r="B2216" t="str">
        <f>"02847703"</f>
        <v>02847703</v>
      </c>
      <c r="C2216" t="s">
        <v>14697</v>
      </c>
      <c r="D2216" t="s">
        <v>2502</v>
      </c>
      <c r="E2216" t="s">
        <v>2503</v>
      </c>
      <c r="G2216" t="s">
        <v>14697</v>
      </c>
      <c r="H2216" t="s">
        <v>14698</v>
      </c>
      <c r="L2216" t="s">
        <v>74</v>
      </c>
      <c r="M2216" t="s">
        <v>75</v>
      </c>
      <c r="R2216" t="s">
        <v>2501</v>
      </c>
      <c r="W2216" t="s">
        <v>2503</v>
      </c>
      <c r="X2216" t="s">
        <v>2504</v>
      </c>
      <c r="Y2216" t="s">
        <v>131</v>
      </c>
      <c r="Z2216" t="s">
        <v>77</v>
      </c>
      <c r="AA2216" t="str">
        <f>"10475-5002"</f>
        <v>10475-5002</v>
      </c>
      <c r="AB2216" t="s">
        <v>78</v>
      </c>
      <c r="AC2216" t="s">
        <v>79</v>
      </c>
      <c r="AD2216" t="s">
        <v>75</v>
      </c>
      <c r="AE2216" t="s">
        <v>80</v>
      </c>
      <c r="AG2216" t="s">
        <v>81</v>
      </c>
    </row>
    <row r="2217" spans="1:33" x14ac:dyDescent="0.25">
      <c r="A2217" t="str">
        <f>"1083667315"</f>
        <v>1083667315</v>
      </c>
      <c r="B2217" t="str">
        <f>"02150145"</f>
        <v>02150145</v>
      </c>
      <c r="C2217" t="s">
        <v>14699</v>
      </c>
      <c r="D2217" t="s">
        <v>2506</v>
      </c>
      <c r="E2217" t="s">
        <v>2507</v>
      </c>
      <c r="G2217" t="s">
        <v>14699</v>
      </c>
      <c r="H2217" t="s">
        <v>14700</v>
      </c>
      <c r="L2217" t="s">
        <v>84</v>
      </c>
      <c r="M2217" t="s">
        <v>75</v>
      </c>
      <c r="R2217" t="s">
        <v>2505</v>
      </c>
      <c r="W2217" t="s">
        <v>2507</v>
      </c>
      <c r="X2217" t="s">
        <v>2508</v>
      </c>
      <c r="Y2217" t="s">
        <v>131</v>
      </c>
      <c r="Z2217" t="s">
        <v>77</v>
      </c>
      <c r="AA2217" t="str">
        <f>"10461"</f>
        <v>10461</v>
      </c>
      <c r="AB2217" t="s">
        <v>78</v>
      </c>
      <c r="AC2217" t="s">
        <v>79</v>
      </c>
      <c r="AD2217" t="s">
        <v>75</v>
      </c>
      <c r="AE2217" t="s">
        <v>80</v>
      </c>
      <c r="AG2217" t="s">
        <v>81</v>
      </c>
    </row>
    <row r="2218" spans="1:33" x14ac:dyDescent="0.25">
      <c r="A2218" t="str">
        <f>"1861659187"</f>
        <v>1861659187</v>
      </c>
      <c r="B2218" t="str">
        <f>"03484806"</f>
        <v>03484806</v>
      </c>
      <c r="C2218" t="s">
        <v>14701</v>
      </c>
      <c r="D2218" t="s">
        <v>14702</v>
      </c>
      <c r="E2218" t="s">
        <v>14703</v>
      </c>
      <c r="H2218" t="s">
        <v>14704</v>
      </c>
      <c r="J2218" t="s">
        <v>14705</v>
      </c>
      <c r="L2218" t="s">
        <v>74</v>
      </c>
      <c r="M2218" t="s">
        <v>85</v>
      </c>
      <c r="R2218" t="s">
        <v>14706</v>
      </c>
      <c r="W2218" t="s">
        <v>14707</v>
      </c>
      <c r="X2218" t="s">
        <v>272</v>
      </c>
      <c r="Y2218" t="s">
        <v>97</v>
      </c>
      <c r="Z2218" t="s">
        <v>77</v>
      </c>
      <c r="AA2218" t="str">
        <f>"10029-6501"</f>
        <v>10029-6501</v>
      </c>
      <c r="AB2218" t="s">
        <v>78</v>
      </c>
      <c r="AC2218" t="s">
        <v>79</v>
      </c>
      <c r="AD2218" t="s">
        <v>75</v>
      </c>
      <c r="AE2218" t="s">
        <v>80</v>
      </c>
      <c r="AG2218" t="s">
        <v>81</v>
      </c>
    </row>
    <row r="2219" spans="1:33" x14ac:dyDescent="0.25">
      <c r="A2219" t="str">
        <f>"1831320902"</f>
        <v>1831320902</v>
      </c>
      <c r="B2219" t="str">
        <f>"03157513"</f>
        <v>03157513</v>
      </c>
      <c r="C2219" t="s">
        <v>14708</v>
      </c>
      <c r="D2219" t="s">
        <v>14709</v>
      </c>
      <c r="E2219" t="s">
        <v>14710</v>
      </c>
      <c r="L2219" t="s">
        <v>74</v>
      </c>
      <c r="M2219" t="s">
        <v>75</v>
      </c>
      <c r="R2219" t="s">
        <v>14711</v>
      </c>
      <c r="W2219" t="s">
        <v>14711</v>
      </c>
      <c r="X2219" t="s">
        <v>235</v>
      </c>
      <c r="Y2219" t="s">
        <v>190</v>
      </c>
      <c r="Z2219" t="s">
        <v>77</v>
      </c>
      <c r="AA2219" t="str">
        <f>"11102-2448"</f>
        <v>11102-2448</v>
      </c>
      <c r="AB2219" t="s">
        <v>78</v>
      </c>
      <c r="AC2219" t="s">
        <v>79</v>
      </c>
      <c r="AD2219" t="s">
        <v>75</v>
      </c>
      <c r="AE2219" t="s">
        <v>80</v>
      </c>
      <c r="AG2219" t="s">
        <v>81</v>
      </c>
    </row>
    <row r="2220" spans="1:33" x14ac:dyDescent="0.25">
      <c r="A2220" t="str">
        <f>"1801232566"</f>
        <v>1801232566</v>
      </c>
      <c r="C2220" t="s">
        <v>14712</v>
      </c>
      <c r="K2220" t="s">
        <v>99</v>
      </c>
      <c r="L2220" t="s">
        <v>102</v>
      </c>
      <c r="M2220" t="s">
        <v>75</v>
      </c>
      <c r="R2220" t="s">
        <v>14713</v>
      </c>
      <c r="S2220" t="s">
        <v>14714</v>
      </c>
      <c r="T2220" t="s">
        <v>97</v>
      </c>
      <c r="U2220" t="s">
        <v>77</v>
      </c>
      <c r="V2220" t="str">
        <f>"10025"</f>
        <v>10025</v>
      </c>
      <c r="AC2220" t="s">
        <v>79</v>
      </c>
      <c r="AD2220" t="s">
        <v>75</v>
      </c>
      <c r="AE2220" t="s">
        <v>103</v>
      </c>
      <c r="AG2220" t="s">
        <v>81</v>
      </c>
    </row>
    <row r="2221" spans="1:33" x14ac:dyDescent="0.25">
      <c r="A2221" t="str">
        <f>"1952612624"</f>
        <v>1952612624</v>
      </c>
      <c r="C2221" t="s">
        <v>14715</v>
      </c>
      <c r="K2221" t="s">
        <v>99</v>
      </c>
      <c r="L2221" t="s">
        <v>102</v>
      </c>
      <c r="M2221" t="s">
        <v>75</v>
      </c>
      <c r="R2221" t="s">
        <v>14716</v>
      </c>
      <c r="S2221" t="s">
        <v>14717</v>
      </c>
      <c r="T2221" t="s">
        <v>11906</v>
      </c>
      <c r="U2221" t="s">
        <v>1788</v>
      </c>
      <c r="V2221" t="str">
        <f>"294258909"</f>
        <v>294258909</v>
      </c>
      <c r="AC2221" t="s">
        <v>79</v>
      </c>
      <c r="AD2221" t="s">
        <v>75</v>
      </c>
      <c r="AE2221" t="s">
        <v>103</v>
      </c>
      <c r="AG2221" t="s">
        <v>81</v>
      </c>
    </row>
    <row r="2222" spans="1:33" x14ac:dyDescent="0.25">
      <c r="A2222" t="str">
        <f>"1831443357"</f>
        <v>1831443357</v>
      </c>
      <c r="C2222" t="s">
        <v>14718</v>
      </c>
      <c r="K2222" t="s">
        <v>99</v>
      </c>
      <c r="L2222" t="s">
        <v>102</v>
      </c>
      <c r="M2222" t="s">
        <v>75</v>
      </c>
      <c r="R2222" t="s">
        <v>14719</v>
      </c>
      <c r="S2222" t="s">
        <v>181</v>
      </c>
      <c r="T2222" t="s">
        <v>97</v>
      </c>
      <c r="U2222" t="s">
        <v>77</v>
      </c>
      <c r="V2222" t="str">
        <f>"100251716"</f>
        <v>100251716</v>
      </c>
      <c r="AC2222" t="s">
        <v>79</v>
      </c>
      <c r="AD2222" t="s">
        <v>75</v>
      </c>
      <c r="AE2222" t="s">
        <v>103</v>
      </c>
      <c r="AG2222" t="s">
        <v>81</v>
      </c>
    </row>
    <row r="2223" spans="1:33" x14ac:dyDescent="0.25">
      <c r="A2223" t="str">
        <f>"1801230750"</f>
        <v>1801230750</v>
      </c>
      <c r="C2223" t="s">
        <v>14720</v>
      </c>
      <c r="K2223" t="s">
        <v>99</v>
      </c>
      <c r="L2223" t="s">
        <v>102</v>
      </c>
      <c r="M2223" t="s">
        <v>75</v>
      </c>
      <c r="R2223" t="s">
        <v>14721</v>
      </c>
      <c r="S2223" t="s">
        <v>181</v>
      </c>
      <c r="T2223" t="s">
        <v>97</v>
      </c>
      <c r="U2223" t="s">
        <v>77</v>
      </c>
      <c r="V2223" t="str">
        <f>"100251716"</f>
        <v>100251716</v>
      </c>
      <c r="AC2223" t="s">
        <v>79</v>
      </c>
      <c r="AD2223" t="s">
        <v>75</v>
      </c>
      <c r="AE2223" t="s">
        <v>103</v>
      </c>
      <c r="AG2223" t="s">
        <v>81</v>
      </c>
    </row>
    <row r="2224" spans="1:33" x14ac:dyDescent="0.25">
      <c r="A2224" t="str">
        <f>"1881918340"</f>
        <v>1881918340</v>
      </c>
      <c r="B2224" t="str">
        <f>"03890493"</f>
        <v>03890493</v>
      </c>
      <c r="C2224" t="s">
        <v>14722</v>
      </c>
      <c r="D2224" t="s">
        <v>14723</v>
      </c>
      <c r="E2224" t="s">
        <v>14724</v>
      </c>
      <c r="L2224" t="s">
        <v>74</v>
      </c>
      <c r="M2224" t="s">
        <v>75</v>
      </c>
      <c r="R2224" t="s">
        <v>14725</v>
      </c>
      <c r="W2224" t="s">
        <v>14724</v>
      </c>
      <c r="X2224" t="s">
        <v>6192</v>
      </c>
      <c r="Y2224" t="s">
        <v>97</v>
      </c>
      <c r="Z2224" t="s">
        <v>77</v>
      </c>
      <c r="AA2224" t="str">
        <f>"10003-3314"</f>
        <v>10003-3314</v>
      </c>
      <c r="AB2224" t="s">
        <v>78</v>
      </c>
      <c r="AC2224" t="s">
        <v>79</v>
      </c>
      <c r="AD2224" t="s">
        <v>75</v>
      </c>
      <c r="AE2224" t="s">
        <v>80</v>
      </c>
      <c r="AG2224" t="s">
        <v>81</v>
      </c>
    </row>
    <row r="2225" spans="1:33" x14ac:dyDescent="0.25">
      <c r="A2225" t="str">
        <f>"1992762108"</f>
        <v>1992762108</v>
      </c>
      <c r="B2225" t="str">
        <f>"02726823"</f>
        <v>02726823</v>
      </c>
      <c r="C2225" t="s">
        <v>14726</v>
      </c>
      <c r="D2225" t="s">
        <v>14727</v>
      </c>
      <c r="E2225" t="s">
        <v>14728</v>
      </c>
      <c r="L2225" t="s">
        <v>84</v>
      </c>
      <c r="M2225" t="s">
        <v>75</v>
      </c>
      <c r="R2225" t="s">
        <v>14729</v>
      </c>
      <c r="W2225" t="s">
        <v>14728</v>
      </c>
      <c r="X2225" t="s">
        <v>14730</v>
      </c>
      <c r="Y2225" t="s">
        <v>87</v>
      </c>
      <c r="Z2225" t="s">
        <v>77</v>
      </c>
      <c r="AA2225" t="str">
        <f>"11203-2017"</f>
        <v>11203-2017</v>
      </c>
      <c r="AB2225" t="s">
        <v>78</v>
      </c>
      <c r="AC2225" t="s">
        <v>79</v>
      </c>
      <c r="AD2225" t="s">
        <v>75</v>
      </c>
      <c r="AE2225" t="s">
        <v>80</v>
      </c>
      <c r="AG2225" t="s">
        <v>81</v>
      </c>
    </row>
    <row r="2226" spans="1:33" x14ac:dyDescent="0.25">
      <c r="A2226" t="str">
        <f>"1942501663"</f>
        <v>1942501663</v>
      </c>
      <c r="B2226" t="str">
        <f>"04360683"</f>
        <v>04360683</v>
      </c>
      <c r="C2226" t="s">
        <v>14731</v>
      </c>
      <c r="D2226" t="s">
        <v>14732</v>
      </c>
      <c r="E2226" t="s">
        <v>14733</v>
      </c>
      <c r="L2226" t="s">
        <v>94</v>
      </c>
      <c r="M2226" t="s">
        <v>75</v>
      </c>
      <c r="R2226" t="s">
        <v>14734</v>
      </c>
      <c r="W2226" t="s">
        <v>14733</v>
      </c>
      <c r="X2226" t="s">
        <v>14735</v>
      </c>
      <c r="Y2226" t="s">
        <v>95</v>
      </c>
      <c r="Z2226" t="s">
        <v>77</v>
      </c>
      <c r="AA2226" t="str">
        <f>"12204-1030"</f>
        <v>12204-1030</v>
      </c>
      <c r="AB2226" t="s">
        <v>78</v>
      </c>
      <c r="AC2226" t="s">
        <v>79</v>
      </c>
      <c r="AD2226" t="s">
        <v>75</v>
      </c>
      <c r="AE2226" t="s">
        <v>80</v>
      </c>
      <c r="AG2226" t="s">
        <v>81</v>
      </c>
    </row>
    <row r="2227" spans="1:33" x14ac:dyDescent="0.25">
      <c r="A2227" t="str">
        <f>"1285864280"</f>
        <v>1285864280</v>
      </c>
      <c r="B2227" t="str">
        <f>"03981528"</f>
        <v>03981528</v>
      </c>
      <c r="C2227" t="s">
        <v>14736</v>
      </c>
      <c r="D2227" t="s">
        <v>2864</v>
      </c>
      <c r="E2227" t="s">
        <v>1836</v>
      </c>
      <c r="G2227" t="s">
        <v>12446</v>
      </c>
      <c r="H2227" t="s">
        <v>797</v>
      </c>
      <c r="J2227" t="s">
        <v>3051</v>
      </c>
      <c r="L2227" t="s">
        <v>84</v>
      </c>
      <c r="M2227" t="s">
        <v>75</v>
      </c>
      <c r="R2227" t="s">
        <v>1836</v>
      </c>
      <c r="W2227" t="s">
        <v>1836</v>
      </c>
      <c r="X2227" t="s">
        <v>2855</v>
      </c>
      <c r="Y2227" t="s">
        <v>131</v>
      </c>
      <c r="Z2227" t="s">
        <v>77</v>
      </c>
      <c r="AA2227" t="str">
        <f>"10459-3204"</f>
        <v>10459-3204</v>
      </c>
      <c r="AB2227" t="s">
        <v>78</v>
      </c>
      <c r="AC2227" t="s">
        <v>79</v>
      </c>
      <c r="AD2227" t="s">
        <v>75</v>
      </c>
      <c r="AE2227" t="s">
        <v>80</v>
      </c>
      <c r="AG2227" t="s">
        <v>81</v>
      </c>
    </row>
    <row r="2228" spans="1:33" x14ac:dyDescent="0.25">
      <c r="A2228" t="str">
        <f>"1245393875"</f>
        <v>1245393875</v>
      </c>
      <c r="B2228" t="str">
        <f>"02831758"</f>
        <v>02831758</v>
      </c>
      <c r="C2228" t="s">
        <v>14737</v>
      </c>
      <c r="D2228" t="s">
        <v>3231</v>
      </c>
      <c r="E2228" t="s">
        <v>3232</v>
      </c>
      <c r="G2228" t="s">
        <v>12446</v>
      </c>
      <c r="H2228" t="s">
        <v>797</v>
      </c>
      <c r="J2228" t="s">
        <v>3051</v>
      </c>
      <c r="L2228" t="s">
        <v>84</v>
      </c>
      <c r="M2228" t="s">
        <v>85</v>
      </c>
      <c r="R2228" t="s">
        <v>3233</v>
      </c>
      <c r="W2228" t="s">
        <v>3232</v>
      </c>
      <c r="X2228" t="s">
        <v>200</v>
      </c>
      <c r="Y2228" t="s">
        <v>97</v>
      </c>
      <c r="Z2228" t="s">
        <v>77</v>
      </c>
      <c r="AA2228" t="str">
        <f>"10032-3720"</f>
        <v>10032-3720</v>
      </c>
      <c r="AB2228" t="s">
        <v>78</v>
      </c>
      <c r="AC2228" t="s">
        <v>79</v>
      </c>
      <c r="AD2228" t="s">
        <v>75</v>
      </c>
      <c r="AE2228" t="s">
        <v>80</v>
      </c>
      <c r="AG2228" t="s">
        <v>81</v>
      </c>
    </row>
    <row r="2229" spans="1:33" x14ac:dyDescent="0.25">
      <c r="A2229" t="str">
        <f>"1538494448"</f>
        <v>1538494448</v>
      </c>
      <c r="B2229" t="str">
        <f>"03174256"</f>
        <v>03174256</v>
      </c>
      <c r="C2229" t="s">
        <v>14738</v>
      </c>
      <c r="D2229" t="s">
        <v>4242</v>
      </c>
      <c r="E2229" t="s">
        <v>4243</v>
      </c>
      <c r="G2229" t="s">
        <v>12446</v>
      </c>
      <c r="H2229" t="s">
        <v>797</v>
      </c>
      <c r="J2229" t="s">
        <v>3051</v>
      </c>
      <c r="L2229" t="s">
        <v>84</v>
      </c>
      <c r="M2229" t="s">
        <v>85</v>
      </c>
      <c r="R2229" t="s">
        <v>4243</v>
      </c>
      <c r="W2229" t="s">
        <v>4244</v>
      </c>
      <c r="X2229" t="s">
        <v>1690</v>
      </c>
      <c r="Y2229" t="s">
        <v>4245</v>
      </c>
      <c r="Z2229" t="s">
        <v>77</v>
      </c>
      <c r="AA2229" t="str">
        <f>"10065-4885"</f>
        <v>10065-4885</v>
      </c>
      <c r="AB2229" t="s">
        <v>78</v>
      </c>
      <c r="AC2229" t="s">
        <v>79</v>
      </c>
      <c r="AD2229" t="s">
        <v>75</v>
      </c>
      <c r="AE2229" t="s">
        <v>80</v>
      </c>
      <c r="AG2229" t="s">
        <v>81</v>
      </c>
    </row>
    <row r="2230" spans="1:33" x14ac:dyDescent="0.25">
      <c r="A2230" t="str">
        <f>"1578648770"</f>
        <v>1578648770</v>
      </c>
      <c r="B2230" t="str">
        <f>"02583131"</f>
        <v>02583131</v>
      </c>
      <c r="C2230" t="s">
        <v>14739</v>
      </c>
      <c r="D2230" t="s">
        <v>2824</v>
      </c>
      <c r="E2230" t="s">
        <v>2825</v>
      </c>
      <c r="G2230" t="s">
        <v>12446</v>
      </c>
      <c r="H2230" t="s">
        <v>797</v>
      </c>
      <c r="J2230" t="s">
        <v>3051</v>
      </c>
      <c r="L2230" t="s">
        <v>84</v>
      </c>
      <c r="M2230" t="s">
        <v>85</v>
      </c>
      <c r="R2230" t="s">
        <v>2825</v>
      </c>
      <c r="W2230" t="s">
        <v>2826</v>
      </c>
      <c r="X2230" t="s">
        <v>2827</v>
      </c>
      <c r="Y2230" t="s">
        <v>97</v>
      </c>
      <c r="Z2230" t="s">
        <v>77</v>
      </c>
      <c r="AA2230" t="str">
        <f>"10002-2301"</f>
        <v>10002-2301</v>
      </c>
      <c r="AB2230" t="s">
        <v>78</v>
      </c>
      <c r="AC2230" t="s">
        <v>79</v>
      </c>
      <c r="AD2230" t="s">
        <v>75</v>
      </c>
      <c r="AE2230" t="s">
        <v>80</v>
      </c>
      <c r="AG2230" t="s">
        <v>81</v>
      </c>
    </row>
    <row r="2231" spans="1:33" x14ac:dyDescent="0.25">
      <c r="A2231" t="str">
        <f>"1093045353"</f>
        <v>1093045353</v>
      </c>
      <c r="B2231" t="str">
        <f>"03194305"</f>
        <v>03194305</v>
      </c>
      <c r="C2231" t="s">
        <v>14740</v>
      </c>
      <c r="D2231" t="s">
        <v>2846</v>
      </c>
      <c r="E2231" t="s">
        <v>2847</v>
      </c>
      <c r="G2231" t="s">
        <v>12446</v>
      </c>
      <c r="H2231" t="s">
        <v>797</v>
      </c>
      <c r="J2231" t="s">
        <v>3051</v>
      </c>
      <c r="L2231" t="s">
        <v>84</v>
      </c>
      <c r="M2231" t="s">
        <v>85</v>
      </c>
      <c r="R2231" t="s">
        <v>2848</v>
      </c>
      <c r="W2231" t="s">
        <v>2847</v>
      </c>
      <c r="X2231" t="s">
        <v>323</v>
      </c>
      <c r="Y2231" t="s">
        <v>87</v>
      </c>
      <c r="Z2231" t="s">
        <v>77</v>
      </c>
      <c r="AA2231" t="str">
        <f>"11201-5509"</f>
        <v>11201-5509</v>
      </c>
      <c r="AB2231" t="s">
        <v>78</v>
      </c>
      <c r="AC2231" t="s">
        <v>79</v>
      </c>
      <c r="AD2231" t="s">
        <v>75</v>
      </c>
      <c r="AE2231" t="s">
        <v>80</v>
      </c>
      <c r="AG2231" t="s">
        <v>81</v>
      </c>
    </row>
    <row r="2232" spans="1:33" x14ac:dyDescent="0.25">
      <c r="A2232" t="str">
        <f>"1851621460"</f>
        <v>1851621460</v>
      </c>
      <c r="C2232" t="s">
        <v>14741</v>
      </c>
      <c r="K2232" t="s">
        <v>99</v>
      </c>
      <c r="L2232" t="s">
        <v>102</v>
      </c>
      <c r="M2232" t="s">
        <v>75</v>
      </c>
      <c r="R2232" t="s">
        <v>14742</v>
      </c>
      <c r="S2232" t="s">
        <v>14743</v>
      </c>
      <c r="T2232" t="s">
        <v>988</v>
      </c>
      <c r="U2232" t="s">
        <v>290</v>
      </c>
      <c r="V2232" t="str">
        <f>"631417134"</f>
        <v>631417134</v>
      </c>
      <c r="AC2232" t="s">
        <v>79</v>
      </c>
      <c r="AD2232" t="s">
        <v>75</v>
      </c>
      <c r="AE2232" t="s">
        <v>103</v>
      </c>
      <c r="AG2232" t="s">
        <v>81</v>
      </c>
    </row>
    <row r="2233" spans="1:33" x14ac:dyDescent="0.25">
      <c r="A2233" t="str">
        <f>"1831324227"</f>
        <v>1831324227</v>
      </c>
      <c r="C2233" t="s">
        <v>14744</v>
      </c>
      <c r="K2233" t="s">
        <v>99</v>
      </c>
      <c r="L2233" t="s">
        <v>102</v>
      </c>
      <c r="M2233" t="s">
        <v>75</v>
      </c>
      <c r="R2233" t="s">
        <v>14745</v>
      </c>
      <c r="S2233" t="s">
        <v>14746</v>
      </c>
      <c r="T2233" t="s">
        <v>846</v>
      </c>
      <c r="U2233" t="s">
        <v>156</v>
      </c>
      <c r="V2233" t="str">
        <f>"076011960"</f>
        <v>076011960</v>
      </c>
      <c r="AC2233" t="s">
        <v>79</v>
      </c>
      <c r="AD2233" t="s">
        <v>75</v>
      </c>
      <c r="AE2233" t="s">
        <v>103</v>
      </c>
      <c r="AG2233" t="s">
        <v>81</v>
      </c>
    </row>
    <row r="2234" spans="1:33" x14ac:dyDescent="0.25">
      <c r="A2234" t="str">
        <f>"1447446091"</f>
        <v>1447446091</v>
      </c>
      <c r="C2234" t="s">
        <v>12298</v>
      </c>
      <c r="K2234" t="s">
        <v>99</v>
      </c>
      <c r="L2234" t="s">
        <v>102</v>
      </c>
      <c r="M2234" t="s">
        <v>75</v>
      </c>
      <c r="R2234" t="s">
        <v>3395</v>
      </c>
      <c r="S2234" t="s">
        <v>12299</v>
      </c>
      <c r="T2234" t="s">
        <v>97</v>
      </c>
      <c r="U2234" t="s">
        <v>77</v>
      </c>
      <c r="V2234" t="str">
        <f>"100026803"</f>
        <v>100026803</v>
      </c>
      <c r="AC2234" t="s">
        <v>79</v>
      </c>
      <c r="AD2234" t="s">
        <v>75</v>
      </c>
      <c r="AE2234" t="s">
        <v>103</v>
      </c>
      <c r="AG2234" t="s">
        <v>81</v>
      </c>
    </row>
    <row r="2235" spans="1:33" x14ac:dyDescent="0.25">
      <c r="A2235" t="str">
        <f>"1942613484"</f>
        <v>1942613484</v>
      </c>
      <c r="C2235" t="s">
        <v>14747</v>
      </c>
      <c r="K2235" t="s">
        <v>99</v>
      </c>
      <c r="L2235" t="s">
        <v>102</v>
      </c>
      <c r="M2235" t="s">
        <v>75</v>
      </c>
      <c r="R2235" t="s">
        <v>14748</v>
      </c>
      <c r="S2235" t="s">
        <v>12769</v>
      </c>
      <c r="T2235" t="s">
        <v>4861</v>
      </c>
      <c r="U2235" t="s">
        <v>156</v>
      </c>
      <c r="V2235" t="str">
        <f>"076311808"</f>
        <v>076311808</v>
      </c>
      <c r="AC2235" t="s">
        <v>79</v>
      </c>
      <c r="AD2235" t="s">
        <v>75</v>
      </c>
      <c r="AE2235" t="s">
        <v>103</v>
      </c>
      <c r="AG2235" t="s">
        <v>81</v>
      </c>
    </row>
    <row r="2236" spans="1:33" x14ac:dyDescent="0.25">
      <c r="A2236" t="str">
        <f>"1841619632"</f>
        <v>1841619632</v>
      </c>
      <c r="C2236" t="s">
        <v>14749</v>
      </c>
      <c r="K2236" t="s">
        <v>99</v>
      </c>
      <c r="L2236" t="s">
        <v>102</v>
      </c>
      <c r="M2236" t="s">
        <v>75</v>
      </c>
      <c r="R2236" t="s">
        <v>14750</v>
      </c>
      <c r="S2236" t="s">
        <v>14751</v>
      </c>
      <c r="T2236" t="s">
        <v>4861</v>
      </c>
      <c r="U2236" t="s">
        <v>156</v>
      </c>
      <c r="V2236" t="str">
        <f>"076312431"</f>
        <v>076312431</v>
      </c>
      <c r="AC2236" t="s">
        <v>79</v>
      </c>
      <c r="AD2236" t="s">
        <v>75</v>
      </c>
      <c r="AE2236" t="s">
        <v>103</v>
      </c>
      <c r="AG2236" t="s">
        <v>81</v>
      </c>
    </row>
    <row r="2237" spans="1:33" x14ac:dyDescent="0.25">
      <c r="A2237" t="str">
        <f>"1750479036"</f>
        <v>1750479036</v>
      </c>
      <c r="B2237" t="str">
        <f>"02762485"</f>
        <v>02762485</v>
      </c>
      <c r="C2237" t="s">
        <v>13436</v>
      </c>
      <c r="D2237" t="s">
        <v>14752</v>
      </c>
      <c r="E2237" t="s">
        <v>14753</v>
      </c>
      <c r="G2237" t="s">
        <v>14754</v>
      </c>
      <c r="L2237" t="s">
        <v>83</v>
      </c>
      <c r="M2237" t="s">
        <v>85</v>
      </c>
      <c r="R2237" t="s">
        <v>14753</v>
      </c>
      <c r="W2237" t="s">
        <v>14753</v>
      </c>
      <c r="X2237" t="s">
        <v>3021</v>
      </c>
      <c r="Y2237" t="s">
        <v>182</v>
      </c>
      <c r="Z2237" t="s">
        <v>77</v>
      </c>
      <c r="AA2237" t="str">
        <f>"11501-3957"</f>
        <v>11501-3957</v>
      </c>
      <c r="AB2237" t="s">
        <v>78</v>
      </c>
      <c r="AC2237" t="s">
        <v>79</v>
      </c>
      <c r="AD2237" t="s">
        <v>75</v>
      </c>
      <c r="AE2237" t="s">
        <v>80</v>
      </c>
      <c r="AG2237" t="s">
        <v>81</v>
      </c>
    </row>
    <row r="2238" spans="1:33" x14ac:dyDescent="0.25">
      <c r="A2238" t="str">
        <f>"1760408512"</f>
        <v>1760408512</v>
      </c>
      <c r="B2238" t="str">
        <f>"01098791"</f>
        <v>01098791</v>
      </c>
      <c r="C2238" t="s">
        <v>13436</v>
      </c>
      <c r="D2238" t="s">
        <v>14755</v>
      </c>
      <c r="E2238" t="s">
        <v>14756</v>
      </c>
      <c r="G2238" t="s">
        <v>14757</v>
      </c>
      <c r="L2238" t="s">
        <v>74</v>
      </c>
      <c r="M2238" t="s">
        <v>85</v>
      </c>
      <c r="R2238" t="s">
        <v>14758</v>
      </c>
      <c r="W2238" t="s">
        <v>14756</v>
      </c>
      <c r="X2238" t="s">
        <v>14759</v>
      </c>
      <c r="Y2238" t="s">
        <v>97</v>
      </c>
      <c r="Z2238" t="s">
        <v>77</v>
      </c>
      <c r="AA2238" t="str">
        <f>"10032-3720"</f>
        <v>10032-3720</v>
      </c>
      <c r="AB2238" t="s">
        <v>78</v>
      </c>
      <c r="AC2238" t="s">
        <v>79</v>
      </c>
      <c r="AD2238" t="s">
        <v>75</v>
      </c>
      <c r="AE2238" t="s">
        <v>80</v>
      </c>
      <c r="AG2238" t="s">
        <v>81</v>
      </c>
    </row>
    <row r="2239" spans="1:33" x14ac:dyDescent="0.25">
      <c r="A2239" t="str">
        <f>"1760443394"</f>
        <v>1760443394</v>
      </c>
      <c r="B2239" t="str">
        <f>"01936965"</f>
        <v>01936965</v>
      </c>
      <c r="C2239" t="s">
        <v>13436</v>
      </c>
      <c r="D2239" t="s">
        <v>14760</v>
      </c>
      <c r="E2239" t="s">
        <v>14761</v>
      </c>
      <c r="G2239" t="s">
        <v>14762</v>
      </c>
      <c r="L2239" t="s">
        <v>83</v>
      </c>
      <c r="M2239" t="s">
        <v>85</v>
      </c>
      <c r="R2239" t="s">
        <v>14763</v>
      </c>
      <c r="W2239" t="s">
        <v>14761</v>
      </c>
      <c r="AB2239" t="s">
        <v>78</v>
      </c>
      <c r="AC2239" t="s">
        <v>79</v>
      </c>
      <c r="AD2239" t="s">
        <v>75</v>
      </c>
      <c r="AE2239" t="s">
        <v>80</v>
      </c>
      <c r="AG2239" t="s">
        <v>81</v>
      </c>
    </row>
    <row r="2240" spans="1:33" x14ac:dyDescent="0.25">
      <c r="A2240" t="str">
        <f>"1790918613"</f>
        <v>1790918613</v>
      </c>
      <c r="B2240" t="str">
        <f>"03255685"</f>
        <v>03255685</v>
      </c>
      <c r="C2240" t="s">
        <v>14764</v>
      </c>
      <c r="D2240" t="s">
        <v>4234</v>
      </c>
      <c r="E2240" t="s">
        <v>4235</v>
      </c>
      <c r="G2240" t="s">
        <v>12446</v>
      </c>
      <c r="H2240" t="s">
        <v>797</v>
      </c>
      <c r="J2240" t="s">
        <v>3051</v>
      </c>
      <c r="L2240" t="s">
        <v>84</v>
      </c>
      <c r="M2240" t="s">
        <v>85</v>
      </c>
      <c r="R2240" t="s">
        <v>4235</v>
      </c>
      <c r="W2240" t="s">
        <v>4235</v>
      </c>
      <c r="X2240" t="s">
        <v>2710</v>
      </c>
      <c r="Y2240" t="s">
        <v>97</v>
      </c>
      <c r="Z2240" t="s">
        <v>77</v>
      </c>
      <c r="AA2240" t="str">
        <f>"10002-2301"</f>
        <v>10002-2301</v>
      </c>
      <c r="AB2240" t="s">
        <v>78</v>
      </c>
      <c r="AC2240" t="s">
        <v>79</v>
      </c>
      <c r="AD2240" t="s">
        <v>75</v>
      </c>
      <c r="AE2240" t="s">
        <v>80</v>
      </c>
      <c r="AG2240" t="s">
        <v>81</v>
      </c>
    </row>
    <row r="2241" spans="1:33" x14ac:dyDescent="0.25">
      <c r="C2241" t="s">
        <v>14765</v>
      </c>
      <c r="G2241" t="s">
        <v>12446</v>
      </c>
      <c r="H2241" t="s">
        <v>797</v>
      </c>
      <c r="J2241" t="s">
        <v>3051</v>
      </c>
      <c r="K2241" t="s">
        <v>99</v>
      </c>
      <c r="L2241" t="s">
        <v>100</v>
      </c>
      <c r="M2241" t="s">
        <v>75</v>
      </c>
      <c r="N2241" t="s">
        <v>14766</v>
      </c>
      <c r="O2241" t="s">
        <v>6410</v>
      </c>
      <c r="P2241" t="s">
        <v>77</v>
      </c>
      <c r="Q2241" t="str">
        <f>"10032"</f>
        <v>10032</v>
      </c>
      <c r="AC2241" t="s">
        <v>79</v>
      </c>
      <c r="AD2241" t="s">
        <v>75</v>
      </c>
      <c r="AE2241" t="s">
        <v>101</v>
      </c>
      <c r="AG2241" t="s">
        <v>81</v>
      </c>
    </row>
    <row r="2242" spans="1:33" x14ac:dyDescent="0.25">
      <c r="A2242" t="str">
        <f>"1407097249"</f>
        <v>1407097249</v>
      </c>
      <c r="B2242" t="str">
        <f>"03113531"</f>
        <v>03113531</v>
      </c>
      <c r="C2242" t="s">
        <v>14767</v>
      </c>
      <c r="D2242" t="s">
        <v>14768</v>
      </c>
      <c r="E2242" t="s">
        <v>14769</v>
      </c>
      <c r="G2242" t="s">
        <v>13504</v>
      </c>
      <c r="H2242" t="s">
        <v>13505</v>
      </c>
      <c r="J2242" t="s">
        <v>13506</v>
      </c>
      <c r="L2242" t="s">
        <v>83</v>
      </c>
      <c r="M2242" t="s">
        <v>75</v>
      </c>
      <c r="R2242" t="s">
        <v>14770</v>
      </c>
      <c r="W2242" t="s">
        <v>14769</v>
      </c>
      <c r="X2242" t="s">
        <v>4536</v>
      </c>
      <c r="Y2242" t="s">
        <v>4537</v>
      </c>
      <c r="Z2242" t="s">
        <v>1784</v>
      </c>
      <c r="AA2242" t="str">
        <f>"16550-0002"</f>
        <v>16550-0002</v>
      </c>
      <c r="AB2242" t="s">
        <v>78</v>
      </c>
      <c r="AC2242" t="s">
        <v>79</v>
      </c>
      <c r="AD2242" t="s">
        <v>75</v>
      </c>
      <c r="AE2242" t="s">
        <v>80</v>
      </c>
      <c r="AG2242" t="s">
        <v>81</v>
      </c>
    </row>
    <row r="2243" spans="1:33" x14ac:dyDescent="0.25">
      <c r="A2243" t="str">
        <f>"1538224654"</f>
        <v>1538224654</v>
      </c>
      <c r="B2243" t="str">
        <f>"03550516"</f>
        <v>03550516</v>
      </c>
      <c r="C2243" t="s">
        <v>14771</v>
      </c>
      <c r="D2243" t="s">
        <v>14772</v>
      </c>
      <c r="E2243" t="s">
        <v>14773</v>
      </c>
      <c r="G2243" t="s">
        <v>7218</v>
      </c>
      <c r="H2243" t="s">
        <v>6801</v>
      </c>
      <c r="I2243">
        <v>6136</v>
      </c>
      <c r="J2243" t="s">
        <v>7219</v>
      </c>
      <c r="L2243" t="s">
        <v>74</v>
      </c>
      <c r="M2243" t="s">
        <v>75</v>
      </c>
      <c r="R2243" t="s">
        <v>14774</v>
      </c>
      <c r="W2243" t="s">
        <v>14773</v>
      </c>
      <c r="X2243" t="s">
        <v>8686</v>
      </c>
      <c r="Y2243" t="s">
        <v>145</v>
      </c>
      <c r="Z2243" t="s">
        <v>77</v>
      </c>
      <c r="AA2243" t="str">
        <f>"11361-3241"</f>
        <v>11361-3241</v>
      </c>
      <c r="AB2243" t="s">
        <v>440</v>
      </c>
      <c r="AC2243" t="s">
        <v>79</v>
      </c>
      <c r="AD2243" t="s">
        <v>75</v>
      </c>
      <c r="AE2243" t="s">
        <v>80</v>
      </c>
      <c r="AG2243" t="s">
        <v>81</v>
      </c>
    </row>
    <row r="2244" spans="1:33" x14ac:dyDescent="0.25">
      <c r="A2244" t="str">
        <f>"1831518638"</f>
        <v>1831518638</v>
      </c>
      <c r="C2244" t="s">
        <v>14775</v>
      </c>
      <c r="K2244" t="s">
        <v>99</v>
      </c>
      <c r="L2244" t="s">
        <v>102</v>
      </c>
      <c r="M2244" t="s">
        <v>75</v>
      </c>
      <c r="R2244" t="s">
        <v>14776</v>
      </c>
      <c r="S2244" t="s">
        <v>14777</v>
      </c>
      <c r="T2244" t="s">
        <v>4665</v>
      </c>
      <c r="U2244" t="s">
        <v>77</v>
      </c>
      <c r="V2244" t="str">
        <f>"109521123"</f>
        <v>109521123</v>
      </c>
      <c r="AC2244" t="s">
        <v>79</v>
      </c>
      <c r="AD2244" t="s">
        <v>75</v>
      </c>
      <c r="AE2244" t="s">
        <v>103</v>
      </c>
      <c r="AG2244" t="s">
        <v>81</v>
      </c>
    </row>
    <row r="2245" spans="1:33" x14ac:dyDescent="0.25">
      <c r="A2245" t="str">
        <f>"1265417323"</f>
        <v>1265417323</v>
      </c>
      <c r="B2245" t="str">
        <f>"01395555"</f>
        <v>01395555</v>
      </c>
      <c r="C2245" t="s">
        <v>13436</v>
      </c>
      <c r="D2245" t="s">
        <v>14778</v>
      </c>
      <c r="E2245" t="s">
        <v>14779</v>
      </c>
      <c r="G2245" t="s">
        <v>14780</v>
      </c>
      <c r="L2245" t="s">
        <v>74</v>
      </c>
      <c r="M2245" t="s">
        <v>85</v>
      </c>
      <c r="R2245" t="s">
        <v>14781</v>
      </c>
      <c r="W2245" t="s">
        <v>14779</v>
      </c>
      <c r="X2245" t="s">
        <v>3553</v>
      </c>
      <c r="Y2245" t="s">
        <v>97</v>
      </c>
      <c r="Z2245" t="s">
        <v>77</v>
      </c>
      <c r="AA2245" t="str">
        <f>"10003-3851"</f>
        <v>10003-3851</v>
      </c>
      <c r="AB2245" t="s">
        <v>78</v>
      </c>
      <c r="AC2245" t="s">
        <v>79</v>
      </c>
      <c r="AD2245" t="s">
        <v>75</v>
      </c>
      <c r="AE2245" t="s">
        <v>80</v>
      </c>
      <c r="AG2245" t="s">
        <v>81</v>
      </c>
    </row>
    <row r="2246" spans="1:33" x14ac:dyDescent="0.25">
      <c r="A2246" t="str">
        <f>"1265653406"</f>
        <v>1265653406</v>
      </c>
      <c r="B2246" t="str">
        <f>"02777920"</f>
        <v>02777920</v>
      </c>
      <c r="C2246" t="s">
        <v>13436</v>
      </c>
      <c r="D2246" t="s">
        <v>14782</v>
      </c>
      <c r="E2246" t="s">
        <v>14783</v>
      </c>
      <c r="G2246" t="s">
        <v>14784</v>
      </c>
      <c r="L2246" t="s">
        <v>102</v>
      </c>
      <c r="M2246" t="s">
        <v>85</v>
      </c>
      <c r="R2246" t="s">
        <v>14785</v>
      </c>
      <c r="W2246" t="s">
        <v>14783</v>
      </c>
      <c r="X2246" t="s">
        <v>191</v>
      </c>
      <c r="Y2246" t="s">
        <v>97</v>
      </c>
      <c r="Z2246" t="s">
        <v>77</v>
      </c>
      <c r="AA2246" t="str">
        <f>"10019-1147"</f>
        <v>10019-1147</v>
      </c>
      <c r="AB2246" t="s">
        <v>125</v>
      </c>
      <c r="AC2246" t="s">
        <v>79</v>
      </c>
      <c r="AD2246" t="s">
        <v>75</v>
      </c>
      <c r="AE2246" t="s">
        <v>80</v>
      </c>
      <c r="AG2246" t="s">
        <v>81</v>
      </c>
    </row>
    <row r="2247" spans="1:33" x14ac:dyDescent="0.25">
      <c r="A2247" t="str">
        <f>"1265688220"</f>
        <v>1265688220</v>
      </c>
      <c r="B2247" t="str">
        <f>"03108638"</f>
        <v>03108638</v>
      </c>
      <c r="C2247" t="s">
        <v>13436</v>
      </c>
      <c r="D2247" t="s">
        <v>14786</v>
      </c>
      <c r="E2247" t="s">
        <v>14787</v>
      </c>
      <c r="G2247" t="s">
        <v>14788</v>
      </c>
      <c r="L2247" t="s">
        <v>83</v>
      </c>
      <c r="M2247" t="s">
        <v>85</v>
      </c>
      <c r="R2247" t="s">
        <v>14787</v>
      </c>
      <c r="W2247" t="s">
        <v>14787</v>
      </c>
      <c r="X2247" t="s">
        <v>191</v>
      </c>
      <c r="Y2247" t="s">
        <v>97</v>
      </c>
      <c r="Z2247" t="s">
        <v>77</v>
      </c>
      <c r="AA2247" t="str">
        <f>"10019-1147"</f>
        <v>10019-1147</v>
      </c>
      <c r="AB2247" t="s">
        <v>78</v>
      </c>
      <c r="AC2247" t="s">
        <v>79</v>
      </c>
      <c r="AD2247" t="s">
        <v>75</v>
      </c>
      <c r="AE2247" t="s">
        <v>80</v>
      </c>
      <c r="AG2247" t="s">
        <v>81</v>
      </c>
    </row>
    <row r="2248" spans="1:33" x14ac:dyDescent="0.25">
      <c r="A2248" t="str">
        <f>"1275534687"</f>
        <v>1275534687</v>
      </c>
      <c r="B2248" t="str">
        <f>"02103015"</f>
        <v>02103015</v>
      </c>
      <c r="C2248" t="s">
        <v>13436</v>
      </c>
      <c r="D2248" t="s">
        <v>14789</v>
      </c>
      <c r="E2248" t="s">
        <v>14790</v>
      </c>
      <c r="G2248" t="s">
        <v>14791</v>
      </c>
      <c r="L2248" t="s">
        <v>83</v>
      </c>
      <c r="M2248" t="s">
        <v>85</v>
      </c>
      <c r="R2248" t="s">
        <v>14792</v>
      </c>
      <c r="W2248" t="s">
        <v>14790</v>
      </c>
      <c r="X2248" t="s">
        <v>14793</v>
      </c>
      <c r="Y2248" t="s">
        <v>97</v>
      </c>
      <c r="Z2248" t="s">
        <v>77</v>
      </c>
      <c r="AA2248" t="str">
        <f>"10019-1147"</f>
        <v>10019-1147</v>
      </c>
      <c r="AB2248" t="s">
        <v>78</v>
      </c>
      <c r="AC2248" t="s">
        <v>79</v>
      </c>
      <c r="AD2248" t="s">
        <v>75</v>
      </c>
      <c r="AE2248" t="s">
        <v>80</v>
      </c>
      <c r="AG2248" t="s">
        <v>81</v>
      </c>
    </row>
    <row r="2249" spans="1:33" x14ac:dyDescent="0.25">
      <c r="A2249" t="str">
        <f>"1972948214"</f>
        <v>1972948214</v>
      </c>
      <c r="C2249" t="s">
        <v>14794</v>
      </c>
      <c r="K2249" t="s">
        <v>99</v>
      </c>
      <c r="L2249" t="s">
        <v>102</v>
      </c>
      <c r="M2249" t="s">
        <v>75</v>
      </c>
      <c r="R2249" t="s">
        <v>14795</v>
      </c>
      <c r="S2249" t="s">
        <v>14796</v>
      </c>
      <c r="T2249" t="s">
        <v>97</v>
      </c>
      <c r="U2249" t="s">
        <v>77</v>
      </c>
      <c r="V2249" t="str">
        <f>"100296501"</f>
        <v>100296501</v>
      </c>
      <c r="AC2249" t="s">
        <v>79</v>
      </c>
      <c r="AD2249" t="s">
        <v>75</v>
      </c>
      <c r="AE2249" t="s">
        <v>103</v>
      </c>
      <c r="AG2249" t="s">
        <v>81</v>
      </c>
    </row>
    <row r="2250" spans="1:33" x14ac:dyDescent="0.25">
      <c r="A2250" t="str">
        <f>"1831415231"</f>
        <v>1831415231</v>
      </c>
      <c r="B2250" t="str">
        <f>"03966483"</f>
        <v>03966483</v>
      </c>
      <c r="C2250" t="s">
        <v>14797</v>
      </c>
      <c r="D2250" t="s">
        <v>14798</v>
      </c>
      <c r="E2250" t="s">
        <v>14799</v>
      </c>
      <c r="H2250" t="s">
        <v>14800</v>
      </c>
      <c r="J2250" t="s">
        <v>14801</v>
      </c>
      <c r="L2250" t="s">
        <v>74</v>
      </c>
      <c r="M2250" t="s">
        <v>75</v>
      </c>
      <c r="R2250" t="s">
        <v>14799</v>
      </c>
      <c r="W2250" t="s">
        <v>14799</v>
      </c>
      <c r="X2250" t="s">
        <v>14802</v>
      </c>
      <c r="Y2250" t="s">
        <v>97</v>
      </c>
      <c r="Z2250" t="s">
        <v>77</v>
      </c>
      <c r="AA2250" t="str">
        <f>"10128-1233"</f>
        <v>10128-1233</v>
      </c>
      <c r="AB2250" t="s">
        <v>78</v>
      </c>
      <c r="AC2250" t="s">
        <v>79</v>
      </c>
      <c r="AD2250" t="s">
        <v>75</v>
      </c>
      <c r="AE2250" t="s">
        <v>80</v>
      </c>
      <c r="AG2250" t="s">
        <v>81</v>
      </c>
    </row>
    <row r="2251" spans="1:33" x14ac:dyDescent="0.25">
      <c r="A2251" t="str">
        <f>"1275549305"</f>
        <v>1275549305</v>
      </c>
      <c r="B2251" t="str">
        <f>"01654920"</f>
        <v>01654920</v>
      </c>
      <c r="C2251" t="s">
        <v>13436</v>
      </c>
      <c r="D2251" t="s">
        <v>14803</v>
      </c>
      <c r="E2251" t="s">
        <v>14804</v>
      </c>
      <c r="G2251" t="s">
        <v>14805</v>
      </c>
      <c r="L2251" t="s">
        <v>83</v>
      </c>
      <c r="M2251" t="s">
        <v>85</v>
      </c>
      <c r="R2251" t="s">
        <v>14806</v>
      </c>
      <c r="W2251" t="s">
        <v>14804</v>
      </c>
      <c r="X2251" t="s">
        <v>14807</v>
      </c>
      <c r="Y2251" t="s">
        <v>97</v>
      </c>
      <c r="Z2251" t="s">
        <v>77</v>
      </c>
      <c r="AA2251" t="str">
        <f>"10128-7603"</f>
        <v>10128-7603</v>
      </c>
      <c r="AB2251" t="s">
        <v>78</v>
      </c>
      <c r="AC2251" t="s">
        <v>79</v>
      </c>
      <c r="AD2251" t="s">
        <v>75</v>
      </c>
      <c r="AE2251" t="s">
        <v>80</v>
      </c>
      <c r="AG2251" t="s">
        <v>81</v>
      </c>
    </row>
    <row r="2252" spans="1:33" x14ac:dyDescent="0.25">
      <c r="A2252" t="str">
        <f>"1275553869"</f>
        <v>1275553869</v>
      </c>
      <c r="B2252" t="str">
        <f>"02795586"</f>
        <v>02795586</v>
      </c>
      <c r="C2252" t="s">
        <v>13436</v>
      </c>
      <c r="D2252" t="s">
        <v>14808</v>
      </c>
      <c r="E2252" t="s">
        <v>14809</v>
      </c>
      <c r="G2252" t="s">
        <v>14810</v>
      </c>
      <c r="L2252" t="s">
        <v>84</v>
      </c>
      <c r="M2252" t="s">
        <v>85</v>
      </c>
      <c r="R2252" t="s">
        <v>14811</v>
      </c>
      <c r="W2252" t="s">
        <v>14809</v>
      </c>
      <c r="X2252" t="s">
        <v>610</v>
      </c>
      <c r="Y2252" t="s">
        <v>87</v>
      </c>
      <c r="Z2252" t="s">
        <v>77</v>
      </c>
      <c r="AA2252" t="str">
        <f>"11203-2056"</f>
        <v>11203-2056</v>
      </c>
      <c r="AB2252" t="s">
        <v>78</v>
      </c>
      <c r="AC2252" t="s">
        <v>79</v>
      </c>
      <c r="AD2252" t="s">
        <v>75</v>
      </c>
      <c r="AE2252" t="s">
        <v>80</v>
      </c>
      <c r="AG2252" t="s">
        <v>81</v>
      </c>
    </row>
    <row r="2253" spans="1:33" x14ac:dyDescent="0.25">
      <c r="A2253" t="str">
        <f>"1275613366"</f>
        <v>1275613366</v>
      </c>
      <c r="B2253" t="str">
        <f>"02959093"</f>
        <v>02959093</v>
      </c>
      <c r="C2253" t="s">
        <v>13436</v>
      </c>
      <c r="D2253" t="s">
        <v>14812</v>
      </c>
      <c r="E2253" t="s">
        <v>14813</v>
      </c>
      <c r="G2253" t="s">
        <v>14814</v>
      </c>
      <c r="L2253" t="s">
        <v>83</v>
      </c>
      <c r="M2253" t="s">
        <v>85</v>
      </c>
      <c r="R2253" t="s">
        <v>14815</v>
      </c>
      <c r="W2253" t="s">
        <v>14816</v>
      </c>
      <c r="X2253" t="s">
        <v>2587</v>
      </c>
      <c r="Y2253" t="s">
        <v>97</v>
      </c>
      <c r="Z2253" t="s">
        <v>77</v>
      </c>
      <c r="AA2253" t="str">
        <f>"10003-3314"</f>
        <v>10003-3314</v>
      </c>
      <c r="AB2253" t="s">
        <v>78</v>
      </c>
      <c r="AC2253" t="s">
        <v>79</v>
      </c>
      <c r="AD2253" t="s">
        <v>75</v>
      </c>
      <c r="AE2253" t="s">
        <v>80</v>
      </c>
      <c r="AG2253" t="s">
        <v>81</v>
      </c>
    </row>
    <row r="2254" spans="1:33" x14ac:dyDescent="0.25">
      <c r="A2254" t="str">
        <f>"1275699548"</f>
        <v>1275699548</v>
      </c>
      <c r="B2254" t="str">
        <f>"01661169"</f>
        <v>01661169</v>
      </c>
      <c r="C2254" t="s">
        <v>13436</v>
      </c>
      <c r="D2254" t="s">
        <v>14817</v>
      </c>
      <c r="E2254" t="s">
        <v>14818</v>
      </c>
      <c r="G2254" t="s">
        <v>14819</v>
      </c>
      <c r="L2254" t="s">
        <v>74</v>
      </c>
      <c r="M2254" t="s">
        <v>85</v>
      </c>
      <c r="R2254" t="s">
        <v>14818</v>
      </c>
      <c r="W2254" t="s">
        <v>14818</v>
      </c>
      <c r="X2254" t="s">
        <v>14820</v>
      </c>
      <c r="Y2254" t="s">
        <v>131</v>
      </c>
      <c r="Z2254" t="s">
        <v>77</v>
      </c>
      <c r="AA2254" t="str">
        <f>"10467-2401"</f>
        <v>10467-2401</v>
      </c>
      <c r="AB2254" t="s">
        <v>78</v>
      </c>
      <c r="AC2254" t="s">
        <v>79</v>
      </c>
      <c r="AD2254" t="s">
        <v>75</v>
      </c>
      <c r="AE2254" t="s">
        <v>80</v>
      </c>
      <c r="AG2254" t="s">
        <v>81</v>
      </c>
    </row>
    <row r="2255" spans="1:33" x14ac:dyDescent="0.25">
      <c r="A2255" t="str">
        <f>"1275730947"</f>
        <v>1275730947</v>
      </c>
      <c r="B2255" t="str">
        <f>"02886542"</f>
        <v>02886542</v>
      </c>
      <c r="C2255" t="s">
        <v>13436</v>
      </c>
      <c r="D2255" t="s">
        <v>14821</v>
      </c>
      <c r="E2255" t="s">
        <v>14822</v>
      </c>
      <c r="G2255" t="s">
        <v>14823</v>
      </c>
      <c r="L2255" t="s">
        <v>94</v>
      </c>
      <c r="M2255" t="s">
        <v>85</v>
      </c>
      <c r="R2255" t="s">
        <v>14824</v>
      </c>
      <c r="W2255" t="s">
        <v>14825</v>
      </c>
      <c r="X2255" t="s">
        <v>14826</v>
      </c>
      <c r="Y2255" t="s">
        <v>97</v>
      </c>
      <c r="Z2255" t="s">
        <v>77</v>
      </c>
      <c r="AA2255" t="str">
        <f>"10003-0000"</f>
        <v>10003-0000</v>
      </c>
      <c r="AB2255" t="s">
        <v>78</v>
      </c>
      <c r="AC2255" t="s">
        <v>79</v>
      </c>
      <c r="AD2255" t="s">
        <v>75</v>
      </c>
      <c r="AE2255" t="s">
        <v>80</v>
      </c>
      <c r="AG2255" t="s">
        <v>81</v>
      </c>
    </row>
    <row r="2256" spans="1:33" x14ac:dyDescent="0.25">
      <c r="A2256" t="str">
        <f>"1275736555"</f>
        <v>1275736555</v>
      </c>
      <c r="B2256" t="str">
        <f>"03162407"</f>
        <v>03162407</v>
      </c>
      <c r="C2256" t="s">
        <v>13436</v>
      </c>
      <c r="D2256" t="s">
        <v>14827</v>
      </c>
      <c r="E2256" t="s">
        <v>14828</v>
      </c>
      <c r="G2256" t="s">
        <v>14829</v>
      </c>
      <c r="L2256" t="s">
        <v>83</v>
      </c>
      <c r="M2256" t="s">
        <v>85</v>
      </c>
      <c r="R2256" t="s">
        <v>14830</v>
      </c>
      <c r="W2256" t="s">
        <v>14828</v>
      </c>
      <c r="X2256" t="s">
        <v>1920</v>
      </c>
      <c r="Y2256" t="s">
        <v>1859</v>
      </c>
      <c r="Z2256" t="s">
        <v>77</v>
      </c>
      <c r="AA2256" t="str">
        <f>"11777-1928"</f>
        <v>11777-1928</v>
      </c>
      <c r="AB2256" t="s">
        <v>78</v>
      </c>
      <c r="AC2256" t="s">
        <v>79</v>
      </c>
      <c r="AD2256" t="s">
        <v>75</v>
      </c>
      <c r="AE2256" t="s">
        <v>80</v>
      </c>
      <c r="AG2256" t="s">
        <v>81</v>
      </c>
    </row>
    <row r="2257" spans="1:33" x14ac:dyDescent="0.25">
      <c r="A2257" t="str">
        <f>"1285606533"</f>
        <v>1285606533</v>
      </c>
      <c r="B2257" t="str">
        <f>"01490995"</f>
        <v>01490995</v>
      </c>
      <c r="C2257" t="s">
        <v>13436</v>
      </c>
      <c r="D2257" t="s">
        <v>14831</v>
      </c>
      <c r="E2257" t="s">
        <v>14832</v>
      </c>
      <c r="G2257" t="s">
        <v>14833</v>
      </c>
      <c r="L2257" t="s">
        <v>83</v>
      </c>
      <c r="M2257" t="s">
        <v>85</v>
      </c>
      <c r="R2257" t="s">
        <v>14834</v>
      </c>
      <c r="W2257" t="s">
        <v>14832</v>
      </c>
      <c r="X2257" t="s">
        <v>14835</v>
      </c>
      <c r="Y2257" t="s">
        <v>97</v>
      </c>
      <c r="Z2257" t="s">
        <v>77</v>
      </c>
      <c r="AA2257" t="str">
        <f>"10003-0000"</f>
        <v>10003-0000</v>
      </c>
      <c r="AB2257" t="s">
        <v>78</v>
      </c>
      <c r="AC2257" t="s">
        <v>79</v>
      </c>
      <c r="AD2257" t="s">
        <v>75</v>
      </c>
      <c r="AE2257" t="s">
        <v>80</v>
      </c>
      <c r="AG2257" t="s">
        <v>81</v>
      </c>
    </row>
    <row r="2258" spans="1:33" x14ac:dyDescent="0.25">
      <c r="A2258" t="str">
        <f>"1609821297"</f>
        <v>1609821297</v>
      </c>
      <c r="B2258" t="str">
        <f>"03233401"</f>
        <v>03233401</v>
      </c>
      <c r="C2258" t="s">
        <v>13436</v>
      </c>
      <c r="D2258" t="s">
        <v>14836</v>
      </c>
      <c r="E2258" t="s">
        <v>14837</v>
      </c>
      <c r="G2258" t="s">
        <v>14838</v>
      </c>
      <c r="L2258" t="s">
        <v>74</v>
      </c>
      <c r="M2258" t="s">
        <v>85</v>
      </c>
      <c r="R2258" t="s">
        <v>14839</v>
      </c>
      <c r="W2258" t="s">
        <v>14837</v>
      </c>
      <c r="X2258" t="s">
        <v>2587</v>
      </c>
      <c r="Y2258" t="s">
        <v>97</v>
      </c>
      <c r="Z2258" t="s">
        <v>77</v>
      </c>
      <c r="AA2258" t="str">
        <f>"10003-3314"</f>
        <v>10003-3314</v>
      </c>
      <c r="AB2258" t="s">
        <v>78</v>
      </c>
      <c r="AC2258" t="s">
        <v>79</v>
      </c>
      <c r="AD2258" t="s">
        <v>75</v>
      </c>
      <c r="AE2258" t="s">
        <v>80</v>
      </c>
      <c r="AG2258" t="s">
        <v>81</v>
      </c>
    </row>
    <row r="2259" spans="1:33" x14ac:dyDescent="0.25">
      <c r="A2259" t="str">
        <f>"1770927519"</f>
        <v>1770927519</v>
      </c>
      <c r="C2259" t="s">
        <v>14840</v>
      </c>
      <c r="K2259" t="s">
        <v>99</v>
      </c>
      <c r="L2259" t="s">
        <v>102</v>
      </c>
      <c r="M2259" t="s">
        <v>75</v>
      </c>
      <c r="R2259" t="s">
        <v>14841</v>
      </c>
      <c r="S2259" t="s">
        <v>14842</v>
      </c>
      <c r="T2259" t="s">
        <v>97</v>
      </c>
      <c r="U2259" t="s">
        <v>77</v>
      </c>
      <c r="V2259" t="str">
        <f>"100251737"</f>
        <v>100251737</v>
      </c>
      <c r="AC2259" t="s">
        <v>79</v>
      </c>
      <c r="AD2259" t="s">
        <v>75</v>
      </c>
      <c r="AE2259" t="s">
        <v>103</v>
      </c>
      <c r="AG2259" t="s">
        <v>81</v>
      </c>
    </row>
    <row r="2260" spans="1:33" x14ac:dyDescent="0.25">
      <c r="A2260" t="str">
        <f>"1922428622"</f>
        <v>1922428622</v>
      </c>
      <c r="C2260" t="s">
        <v>14843</v>
      </c>
      <c r="K2260" t="s">
        <v>99</v>
      </c>
      <c r="L2260" t="s">
        <v>102</v>
      </c>
      <c r="M2260" t="s">
        <v>75</v>
      </c>
      <c r="R2260" t="s">
        <v>14844</v>
      </c>
      <c r="S2260" t="s">
        <v>14845</v>
      </c>
      <c r="T2260" t="s">
        <v>97</v>
      </c>
      <c r="U2260" t="s">
        <v>77</v>
      </c>
      <c r="V2260" t="str">
        <f>"100251737"</f>
        <v>100251737</v>
      </c>
      <c r="AC2260" t="s">
        <v>79</v>
      </c>
      <c r="AD2260" t="s">
        <v>75</v>
      </c>
      <c r="AE2260" t="s">
        <v>103</v>
      </c>
      <c r="AG2260" t="s">
        <v>81</v>
      </c>
    </row>
    <row r="2261" spans="1:33" x14ac:dyDescent="0.25">
      <c r="A2261" t="str">
        <f>"1285658989"</f>
        <v>1285658989</v>
      </c>
      <c r="B2261" t="str">
        <f>"00662840"</f>
        <v>00662840</v>
      </c>
      <c r="C2261" t="s">
        <v>14846</v>
      </c>
      <c r="D2261" t="s">
        <v>14847</v>
      </c>
      <c r="E2261" t="s">
        <v>14848</v>
      </c>
      <c r="H2261" t="s">
        <v>14849</v>
      </c>
      <c r="J2261" t="s">
        <v>14850</v>
      </c>
      <c r="L2261" t="s">
        <v>83</v>
      </c>
      <c r="M2261" t="s">
        <v>85</v>
      </c>
      <c r="R2261" t="s">
        <v>14851</v>
      </c>
      <c r="W2261" t="s">
        <v>14848</v>
      </c>
      <c r="X2261" t="s">
        <v>14852</v>
      </c>
      <c r="Y2261" t="s">
        <v>209</v>
      </c>
      <c r="Z2261" t="s">
        <v>77</v>
      </c>
      <c r="AA2261" t="str">
        <f>"11794-0001"</f>
        <v>11794-0001</v>
      </c>
      <c r="AB2261" t="s">
        <v>78</v>
      </c>
      <c r="AC2261" t="s">
        <v>79</v>
      </c>
      <c r="AD2261" t="s">
        <v>75</v>
      </c>
      <c r="AE2261" t="s">
        <v>80</v>
      </c>
      <c r="AG2261" t="s">
        <v>81</v>
      </c>
    </row>
    <row r="2262" spans="1:33" x14ac:dyDescent="0.25">
      <c r="A2262" t="str">
        <f>"1851607410"</f>
        <v>1851607410</v>
      </c>
      <c r="C2262" t="s">
        <v>14853</v>
      </c>
      <c r="K2262" t="s">
        <v>99</v>
      </c>
      <c r="L2262" t="s">
        <v>102</v>
      </c>
      <c r="M2262" t="s">
        <v>75</v>
      </c>
      <c r="R2262" t="s">
        <v>14854</v>
      </c>
      <c r="S2262" t="s">
        <v>14855</v>
      </c>
      <c r="T2262" t="s">
        <v>6257</v>
      </c>
      <c r="U2262" t="s">
        <v>285</v>
      </c>
      <c r="V2262" t="str">
        <f>"60153"</f>
        <v>60153</v>
      </c>
      <c r="AC2262" t="s">
        <v>79</v>
      </c>
      <c r="AD2262" t="s">
        <v>75</v>
      </c>
      <c r="AE2262" t="s">
        <v>103</v>
      </c>
      <c r="AG2262" t="s">
        <v>81</v>
      </c>
    </row>
    <row r="2263" spans="1:33" x14ac:dyDescent="0.25">
      <c r="A2263" t="str">
        <f>"1871856815"</f>
        <v>1871856815</v>
      </c>
      <c r="C2263" t="s">
        <v>14856</v>
      </c>
      <c r="K2263" t="s">
        <v>99</v>
      </c>
      <c r="L2263" t="s">
        <v>102</v>
      </c>
      <c r="M2263" t="s">
        <v>75</v>
      </c>
      <c r="R2263" t="s">
        <v>14857</v>
      </c>
      <c r="S2263" t="s">
        <v>323</v>
      </c>
      <c r="T2263" t="s">
        <v>87</v>
      </c>
      <c r="U2263" t="s">
        <v>77</v>
      </c>
      <c r="V2263" t="str">
        <f>"112015509"</f>
        <v>112015509</v>
      </c>
      <c r="AC2263" t="s">
        <v>79</v>
      </c>
      <c r="AD2263" t="s">
        <v>75</v>
      </c>
      <c r="AE2263" t="s">
        <v>103</v>
      </c>
      <c r="AG2263" t="s">
        <v>81</v>
      </c>
    </row>
    <row r="2264" spans="1:33" x14ac:dyDescent="0.25">
      <c r="A2264" t="str">
        <f>"1861712531"</f>
        <v>1861712531</v>
      </c>
      <c r="C2264" t="s">
        <v>14858</v>
      </c>
      <c r="K2264" t="s">
        <v>99</v>
      </c>
      <c r="L2264" t="s">
        <v>102</v>
      </c>
      <c r="M2264" t="s">
        <v>75</v>
      </c>
      <c r="R2264" t="s">
        <v>14859</v>
      </c>
      <c r="S2264" t="s">
        <v>14860</v>
      </c>
      <c r="T2264" t="s">
        <v>14861</v>
      </c>
      <c r="U2264" t="s">
        <v>1784</v>
      </c>
      <c r="V2264" t="str">
        <f>"185101724"</f>
        <v>185101724</v>
      </c>
      <c r="AC2264" t="s">
        <v>79</v>
      </c>
      <c r="AD2264" t="s">
        <v>75</v>
      </c>
      <c r="AE2264" t="s">
        <v>103</v>
      </c>
      <c r="AG2264" t="s">
        <v>81</v>
      </c>
    </row>
    <row r="2265" spans="1:33" x14ac:dyDescent="0.25">
      <c r="A2265" t="str">
        <f>"1609850346"</f>
        <v>1609850346</v>
      </c>
      <c r="B2265" t="str">
        <f>"01355779"</f>
        <v>01355779</v>
      </c>
      <c r="C2265" t="s">
        <v>13436</v>
      </c>
      <c r="D2265" t="s">
        <v>14862</v>
      </c>
      <c r="E2265" t="s">
        <v>14863</v>
      </c>
      <c r="G2265" t="s">
        <v>14864</v>
      </c>
      <c r="L2265" t="s">
        <v>83</v>
      </c>
      <c r="M2265" t="s">
        <v>85</v>
      </c>
      <c r="R2265" t="s">
        <v>14865</v>
      </c>
      <c r="W2265" t="s">
        <v>14865</v>
      </c>
      <c r="X2265" t="s">
        <v>14866</v>
      </c>
      <c r="Y2265" t="s">
        <v>97</v>
      </c>
      <c r="Z2265" t="s">
        <v>77</v>
      </c>
      <c r="AA2265" t="str">
        <f>"10003"</f>
        <v>10003</v>
      </c>
      <c r="AB2265" t="s">
        <v>78</v>
      </c>
      <c r="AC2265" t="s">
        <v>79</v>
      </c>
      <c r="AD2265" t="s">
        <v>75</v>
      </c>
      <c r="AE2265" t="s">
        <v>80</v>
      </c>
      <c r="AG2265" t="s">
        <v>81</v>
      </c>
    </row>
    <row r="2266" spans="1:33" x14ac:dyDescent="0.25">
      <c r="A2266" t="str">
        <f>"1609858836"</f>
        <v>1609858836</v>
      </c>
      <c r="B2266" t="str">
        <f>"00695914"</f>
        <v>00695914</v>
      </c>
      <c r="C2266" t="s">
        <v>13436</v>
      </c>
      <c r="D2266" t="s">
        <v>14867</v>
      </c>
      <c r="E2266" t="s">
        <v>14868</v>
      </c>
      <c r="G2266" t="s">
        <v>14869</v>
      </c>
      <c r="L2266" t="s">
        <v>84</v>
      </c>
      <c r="M2266" t="s">
        <v>85</v>
      </c>
      <c r="R2266" t="s">
        <v>14870</v>
      </c>
      <c r="W2266" t="s">
        <v>14868</v>
      </c>
      <c r="X2266" t="s">
        <v>14871</v>
      </c>
      <c r="Y2266" t="s">
        <v>97</v>
      </c>
      <c r="Z2266" t="s">
        <v>77</v>
      </c>
      <c r="AA2266" t="str">
        <f>"10003"</f>
        <v>10003</v>
      </c>
      <c r="AB2266" t="s">
        <v>78</v>
      </c>
      <c r="AC2266" t="s">
        <v>79</v>
      </c>
      <c r="AD2266" t="s">
        <v>75</v>
      </c>
      <c r="AE2266" t="s">
        <v>80</v>
      </c>
      <c r="AG2266" t="s">
        <v>81</v>
      </c>
    </row>
    <row r="2267" spans="1:33" x14ac:dyDescent="0.25">
      <c r="A2267" t="str">
        <f>"1609869551"</f>
        <v>1609869551</v>
      </c>
      <c r="B2267" t="str">
        <f>"01105820"</f>
        <v>01105820</v>
      </c>
      <c r="C2267" t="s">
        <v>13436</v>
      </c>
      <c r="D2267" t="s">
        <v>14872</v>
      </c>
      <c r="E2267" t="s">
        <v>14873</v>
      </c>
      <c r="G2267" t="s">
        <v>14874</v>
      </c>
      <c r="L2267" t="s">
        <v>74</v>
      </c>
      <c r="M2267" t="s">
        <v>85</v>
      </c>
      <c r="R2267" t="s">
        <v>14875</v>
      </c>
      <c r="W2267" t="s">
        <v>14873</v>
      </c>
      <c r="X2267" t="s">
        <v>14876</v>
      </c>
      <c r="Y2267" t="s">
        <v>97</v>
      </c>
      <c r="Z2267" t="s">
        <v>77</v>
      </c>
      <c r="AA2267" t="str">
        <f>"10029-6500"</f>
        <v>10029-6500</v>
      </c>
      <c r="AB2267" t="s">
        <v>78</v>
      </c>
      <c r="AC2267" t="s">
        <v>79</v>
      </c>
      <c r="AD2267" t="s">
        <v>75</v>
      </c>
      <c r="AE2267" t="s">
        <v>80</v>
      </c>
      <c r="AG2267" t="s">
        <v>81</v>
      </c>
    </row>
    <row r="2268" spans="1:33" x14ac:dyDescent="0.25">
      <c r="A2268" t="str">
        <f>"1841556842"</f>
        <v>1841556842</v>
      </c>
      <c r="C2268" t="s">
        <v>14877</v>
      </c>
      <c r="K2268" t="s">
        <v>99</v>
      </c>
      <c r="L2268" t="s">
        <v>102</v>
      </c>
      <c r="M2268" t="s">
        <v>75</v>
      </c>
      <c r="R2268" t="s">
        <v>14878</v>
      </c>
      <c r="S2268" t="s">
        <v>14879</v>
      </c>
      <c r="T2268" t="s">
        <v>14880</v>
      </c>
      <c r="U2268" t="s">
        <v>1800</v>
      </c>
      <c r="V2268" t="str">
        <f>"810822005"</f>
        <v>810822005</v>
      </c>
      <c r="AC2268" t="s">
        <v>79</v>
      </c>
      <c r="AD2268" t="s">
        <v>75</v>
      </c>
      <c r="AE2268" t="s">
        <v>103</v>
      </c>
      <c r="AG2268" t="s">
        <v>81</v>
      </c>
    </row>
    <row r="2269" spans="1:33" x14ac:dyDescent="0.25">
      <c r="A2269" t="str">
        <f>"1922374792"</f>
        <v>1922374792</v>
      </c>
      <c r="C2269" t="s">
        <v>14881</v>
      </c>
      <c r="K2269" t="s">
        <v>99</v>
      </c>
      <c r="L2269" t="s">
        <v>102</v>
      </c>
      <c r="M2269" t="s">
        <v>75</v>
      </c>
      <c r="R2269" t="s">
        <v>14882</v>
      </c>
      <c r="S2269" t="s">
        <v>14883</v>
      </c>
      <c r="T2269" t="s">
        <v>4626</v>
      </c>
      <c r="U2269" t="s">
        <v>4504</v>
      </c>
      <c r="V2269" t="str">
        <f>"029062853"</f>
        <v>029062853</v>
      </c>
      <c r="AC2269" t="s">
        <v>79</v>
      </c>
      <c r="AD2269" t="s">
        <v>75</v>
      </c>
      <c r="AE2269" t="s">
        <v>103</v>
      </c>
      <c r="AG2269" t="s">
        <v>81</v>
      </c>
    </row>
    <row r="2270" spans="1:33" x14ac:dyDescent="0.25">
      <c r="A2270" t="str">
        <f>"1982970455"</f>
        <v>1982970455</v>
      </c>
      <c r="B2270" t="str">
        <f>"04114274"</f>
        <v>04114274</v>
      </c>
      <c r="C2270" t="s">
        <v>14884</v>
      </c>
      <c r="D2270" t="s">
        <v>14885</v>
      </c>
      <c r="E2270" t="s">
        <v>14886</v>
      </c>
      <c r="L2270" t="s">
        <v>74</v>
      </c>
      <c r="M2270" t="s">
        <v>75</v>
      </c>
      <c r="R2270" t="s">
        <v>14887</v>
      </c>
      <c r="W2270" t="s">
        <v>14886</v>
      </c>
      <c r="X2270" t="s">
        <v>14888</v>
      </c>
      <c r="Y2270" t="s">
        <v>227</v>
      </c>
      <c r="Z2270" t="s">
        <v>77</v>
      </c>
      <c r="AA2270" t="str">
        <f>"10601-4615"</f>
        <v>10601-4615</v>
      </c>
      <c r="AB2270" t="s">
        <v>78</v>
      </c>
      <c r="AC2270" t="s">
        <v>79</v>
      </c>
      <c r="AD2270" t="s">
        <v>75</v>
      </c>
      <c r="AE2270" t="s">
        <v>80</v>
      </c>
      <c r="AG2270" t="s">
        <v>81</v>
      </c>
    </row>
    <row r="2271" spans="1:33" x14ac:dyDescent="0.25">
      <c r="A2271" t="str">
        <f>"1962796854"</f>
        <v>1962796854</v>
      </c>
      <c r="B2271" t="str">
        <f>"04207383"</f>
        <v>04207383</v>
      </c>
      <c r="C2271" t="s">
        <v>14889</v>
      </c>
      <c r="D2271" t="s">
        <v>14890</v>
      </c>
      <c r="E2271" t="s">
        <v>14891</v>
      </c>
      <c r="L2271" t="s">
        <v>74</v>
      </c>
      <c r="M2271" t="s">
        <v>75</v>
      </c>
      <c r="R2271" t="s">
        <v>14892</v>
      </c>
      <c r="W2271" t="s">
        <v>14893</v>
      </c>
      <c r="X2271" t="s">
        <v>14894</v>
      </c>
      <c r="Y2271" t="s">
        <v>97</v>
      </c>
      <c r="Z2271" t="s">
        <v>77</v>
      </c>
      <c r="AA2271" t="str">
        <f>"10003-1002"</f>
        <v>10003-1002</v>
      </c>
      <c r="AB2271" t="s">
        <v>78</v>
      </c>
      <c r="AC2271" t="s">
        <v>79</v>
      </c>
      <c r="AD2271" t="s">
        <v>75</v>
      </c>
      <c r="AE2271" t="s">
        <v>80</v>
      </c>
      <c r="AG2271" t="s">
        <v>81</v>
      </c>
    </row>
    <row r="2272" spans="1:33" x14ac:dyDescent="0.25">
      <c r="A2272" t="str">
        <f>"1780003731"</f>
        <v>1780003731</v>
      </c>
      <c r="C2272" t="s">
        <v>14895</v>
      </c>
      <c r="K2272" t="s">
        <v>99</v>
      </c>
      <c r="L2272" t="s">
        <v>102</v>
      </c>
      <c r="M2272" t="s">
        <v>75</v>
      </c>
      <c r="R2272" t="s">
        <v>14896</v>
      </c>
      <c r="S2272" t="s">
        <v>12605</v>
      </c>
      <c r="T2272" t="s">
        <v>97</v>
      </c>
      <c r="U2272" t="s">
        <v>77</v>
      </c>
      <c r="V2272" t="str">
        <f>"100251737"</f>
        <v>100251737</v>
      </c>
      <c r="AC2272" t="s">
        <v>79</v>
      </c>
      <c r="AD2272" t="s">
        <v>75</v>
      </c>
      <c r="AE2272" t="s">
        <v>103</v>
      </c>
      <c r="AG2272" t="s">
        <v>81</v>
      </c>
    </row>
    <row r="2273" spans="1:33" x14ac:dyDescent="0.25">
      <c r="A2273" t="str">
        <f>"1740314350"</f>
        <v>1740314350</v>
      </c>
      <c r="B2273" t="str">
        <f>"00714801"</f>
        <v>00714801</v>
      </c>
      <c r="C2273" t="s">
        <v>13436</v>
      </c>
      <c r="D2273" t="s">
        <v>14897</v>
      </c>
      <c r="E2273" t="s">
        <v>14898</v>
      </c>
      <c r="G2273" t="s">
        <v>14899</v>
      </c>
      <c r="L2273" t="s">
        <v>83</v>
      </c>
      <c r="M2273" t="s">
        <v>85</v>
      </c>
      <c r="R2273" t="s">
        <v>14900</v>
      </c>
      <c r="W2273" t="s">
        <v>14898</v>
      </c>
      <c r="X2273" t="s">
        <v>4489</v>
      </c>
      <c r="Y2273" t="s">
        <v>97</v>
      </c>
      <c r="Z2273" t="s">
        <v>77</v>
      </c>
      <c r="AA2273" t="str">
        <f>"10025"</f>
        <v>10025</v>
      </c>
      <c r="AB2273" t="s">
        <v>78</v>
      </c>
      <c r="AC2273" t="s">
        <v>79</v>
      </c>
      <c r="AD2273" t="s">
        <v>75</v>
      </c>
      <c r="AE2273" t="s">
        <v>80</v>
      </c>
      <c r="AG2273" t="s">
        <v>81</v>
      </c>
    </row>
    <row r="2274" spans="1:33" x14ac:dyDescent="0.25">
      <c r="A2274" t="str">
        <f>"1740320951"</f>
        <v>1740320951</v>
      </c>
      <c r="B2274" t="str">
        <f>"03489521"</f>
        <v>03489521</v>
      </c>
      <c r="C2274" t="s">
        <v>13436</v>
      </c>
      <c r="D2274" t="s">
        <v>14901</v>
      </c>
      <c r="E2274" t="s">
        <v>14902</v>
      </c>
      <c r="G2274" t="s">
        <v>14903</v>
      </c>
      <c r="L2274" t="s">
        <v>105</v>
      </c>
      <c r="M2274" t="s">
        <v>85</v>
      </c>
      <c r="R2274" t="s">
        <v>14902</v>
      </c>
      <c r="W2274" t="s">
        <v>14902</v>
      </c>
      <c r="X2274" t="s">
        <v>3553</v>
      </c>
      <c r="Y2274" t="s">
        <v>97</v>
      </c>
      <c r="Z2274" t="s">
        <v>77</v>
      </c>
      <c r="AA2274" t="str">
        <f>"10003-3851"</f>
        <v>10003-3851</v>
      </c>
      <c r="AB2274" t="s">
        <v>78</v>
      </c>
      <c r="AC2274" t="s">
        <v>79</v>
      </c>
      <c r="AD2274" t="s">
        <v>75</v>
      </c>
      <c r="AE2274" t="s">
        <v>80</v>
      </c>
      <c r="AG2274" t="s">
        <v>81</v>
      </c>
    </row>
    <row r="2275" spans="1:33" x14ac:dyDescent="0.25">
      <c r="A2275" t="str">
        <f>"1740355270"</f>
        <v>1740355270</v>
      </c>
      <c r="B2275" t="str">
        <f>"00465632"</f>
        <v>00465632</v>
      </c>
      <c r="C2275" t="s">
        <v>13436</v>
      </c>
      <c r="D2275" t="s">
        <v>14904</v>
      </c>
      <c r="E2275" t="s">
        <v>14905</v>
      </c>
      <c r="G2275" t="s">
        <v>14906</v>
      </c>
      <c r="L2275" t="s">
        <v>74</v>
      </c>
      <c r="M2275" t="s">
        <v>85</v>
      </c>
      <c r="R2275" t="s">
        <v>14907</v>
      </c>
      <c r="W2275" t="s">
        <v>14905</v>
      </c>
      <c r="X2275" t="s">
        <v>234</v>
      </c>
      <c r="Y2275" t="s">
        <v>97</v>
      </c>
      <c r="Z2275" t="s">
        <v>77</v>
      </c>
      <c r="AA2275" t="str">
        <f>"10032-3729"</f>
        <v>10032-3729</v>
      </c>
      <c r="AB2275" t="s">
        <v>78</v>
      </c>
      <c r="AC2275" t="s">
        <v>79</v>
      </c>
      <c r="AD2275" t="s">
        <v>75</v>
      </c>
      <c r="AE2275" t="s">
        <v>80</v>
      </c>
      <c r="AG2275" t="s">
        <v>81</v>
      </c>
    </row>
    <row r="2276" spans="1:33" x14ac:dyDescent="0.25">
      <c r="A2276" t="str">
        <f>"1942576400"</f>
        <v>1942576400</v>
      </c>
      <c r="C2276" t="s">
        <v>14908</v>
      </c>
      <c r="K2276" t="s">
        <v>99</v>
      </c>
      <c r="L2276" t="s">
        <v>102</v>
      </c>
      <c r="M2276" t="s">
        <v>75</v>
      </c>
      <c r="R2276" t="s">
        <v>14909</v>
      </c>
      <c r="S2276" t="s">
        <v>14910</v>
      </c>
      <c r="T2276" t="s">
        <v>97</v>
      </c>
      <c r="U2276" t="s">
        <v>77</v>
      </c>
      <c r="V2276" t="str">
        <f>"100296574"</f>
        <v>100296574</v>
      </c>
      <c r="AC2276" t="s">
        <v>79</v>
      </c>
      <c r="AD2276" t="s">
        <v>75</v>
      </c>
      <c r="AE2276" t="s">
        <v>103</v>
      </c>
      <c r="AG2276" t="s">
        <v>81</v>
      </c>
    </row>
    <row r="2277" spans="1:33" x14ac:dyDescent="0.25">
      <c r="A2277" t="str">
        <f>"1740356344"</f>
        <v>1740356344</v>
      </c>
      <c r="B2277" t="str">
        <f>"02398158"</f>
        <v>02398158</v>
      </c>
      <c r="C2277" t="s">
        <v>13436</v>
      </c>
      <c r="D2277" t="s">
        <v>5844</v>
      </c>
      <c r="E2277" t="s">
        <v>5845</v>
      </c>
      <c r="G2277" t="s">
        <v>14911</v>
      </c>
      <c r="L2277" t="s">
        <v>83</v>
      </c>
      <c r="M2277" t="s">
        <v>85</v>
      </c>
      <c r="R2277" t="s">
        <v>5846</v>
      </c>
      <c r="W2277" t="s">
        <v>5845</v>
      </c>
      <c r="X2277" t="s">
        <v>5847</v>
      </c>
      <c r="Y2277" t="s">
        <v>87</v>
      </c>
      <c r="Z2277" t="s">
        <v>77</v>
      </c>
      <c r="AA2277" t="str">
        <f>"11209-3205"</f>
        <v>11209-3205</v>
      </c>
      <c r="AB2277" t="s">
        <v>78</v>
      </c>
      <c r="AC2277" t="s">
        <v>79</v>
      </c>
      <c r="AD2277" t="s">
        <v>75</v>
      </c>
      <c r="AE2277" t="s">
        <v>80</v>
      </c>
      <c r="AG2277" t="s">
        <v>81</v>
      </c>
    </row>
    <row r="2278" spans="1:33" x14ac:dyDescent="0.25">
      <c r="A2278" t="str">
        <f>"1740396019"</f>
        <v>1740396019</v>
      </c>
      <c r="B2278" t="str">
        <f>"02229752"</f>
        <v>02229752</v>
      </c>
      <c r="C2278" t="s">
        <v>13436</v>
      </c>
      <c r="D2278" t="s">
        <v>14912</v>
      </c>
      <c r="E2278" t="s">
        <v>14913</v>
      </c>
      <c r="G2278" t="s">
        <v>14914</v>
      </c>
      <c r="L2278" t="s">
        <v>83</v>
      </c>
      <c r="M2278" t="s">
        <v>85</v>
      </c>
      <c r="R2278" t="s">
        <v>14913</v>
      </c>
      <c r="W2278" t="s">
        <v>14913</v>
      </c>
      <c r="X2278" t="s">
        <v>14915</v>
      </c>
      <c r="Y2278" t="s">
        <v>97</v>
      </c>
      <c r="Z2278" t="s">
        <v>77</v>
      </c>
      <c r="AA2278" t="str">
        <f>"10003-2925"</f>
        <v>10003-2925</v>
      </c>
      <c r="AB2278" t="s">
        <v>78</v>
      </c>
      <c r="AC2278" t="s">
        <v>79</v>
      </c>
      <c r="AD2278" t="s">
        <v>75</v>
      </c>
      <c r="AE2278" t="s">
        <v>80</v>
      </c>
      <c r="AG2278" t="s">
        <v>81</v>
      </c>
    </row>
    <row r="2279" spans="1:33" x14ac:dyDescent="0.25">
      <c r="A2279" t="str">
        <f>"1750315628"</f>
        <v>1750315628</v>
      </c>
      <c r="B2279" t="str">
        <f>"02797708"</f>
        <v>02797708</v>
      </c>
      <c r="C2279" t="s">
        <v>13436</v>
      </c>
      <c r="D2279" t="s">
        <v>14916</v>
      </c>
      <c r="E2279" t="s">
        <v>14917</v>
      </c>
      <c r="G2279" t="s">
        <v>14918</v>
      </c>
      <c r="L2279" t="s">
        <v>83</v>
      </c>
      <c r="M2279" t="s">
        <v>85</v>
      </c>
      <c r="R2279" t="s">
        <v>14919</v>
      </c>
      <c r="W2279" t="s">
        <v>14917</v>
      </c>
      <c r="X2279" t="s">
        <v>191</v>
      </c>
      <c r="Y2279" t="s">
        <v>97</v>
      </c>
      <c r="Z2279" t="s">
        <v>77</v>
      </c>
      <c r="AA2279" t="str">
        <f>"10019-1147"</f>
        <v>10019-1147</v>
      </c>
      <c r="AB2279" t="s">
        <v>78</v>
      </c>
      <c r="AC2279" t="s">
        <v>79</v>
      </c>
      <c r="AD2279" t="s">
        <v>75</v>
      </c>
      <c r="AE2279" t="s">
        <v>80</v>
      </c>
      <c r="AG2279" t="s">
        <v>81</v>
      </c>
    </row>
    <row r="2280" spans="1:33" x14ac:dyDescent="0.25">
      <c r="A2280" t="str">
        <f>"1750370524"</f>
        <v>1750370524</v>
      </c>
      <c r="B2280" t="str">
        <f>"01281974"</f>
        <v>01281974</v>
      </c>
      <c r="C2280" t="s">
        <v>13436</v>
      </c>
      <c r="D2280" t="s">
        <v>14920</v>
      </c>
      <c r="E2280" t="s">
        <v>14921</v>
      </c>
      <c r="G2280" t="s">
        <v>14922</v>
      </c>
      <c r="L2280" t="s">
        <v>74</v>
      </c>
      <c r="M2280" t="s">
        <v>85</v>
      </c>
      <c r="R2280" t="s">
        <v>14923</v>
      </c>
      <c r="W2280" t="s">
        <v>14924</v>
      </c>
      <c r="X2280" t="s">
        <v>2653</v>
      </c>
      <c r="Y2280" t="s">
        <v>97</v>
      </c>
      <c r="Z2280" t="s">
        <v>77</v>
      </c>
      <c r="AA2280" t="str">
        <f>"10019"</f>
        <v>10019</v>
      </c>
      <c r="AB2280" t="s">
        <v>78</v>
      </c>
      <c r="AC2280" t="s">
        <v>79</v>
      </c>
      <c r="AD2280" t="s">
        <v>75</v>
      </c>
      <c r="AE2280" t="s">
        <v>80</v>
      </c>
      <c r="AG2280" t="s">
        <v>81</v>
      </c>
    </row>
    <row r="2281" spans="1:33" x14ac:dyDescent="0.25">
      <c r="A2281" t="str">
        <f>"1750371993"</f>
        <v>1750371993</v>
      </c>
      <c r="B2281" t="str">
        <f>"01936149"</f>
        <v>01936149</v>
      </c>
      <c r="C2281" t="s">
        <v>13436</v>
      </c>
      <c r="D2281" t="s">
        <v>14925</v>
      </c>
      <c r="E2281" t="s">
        <v>14926</v>
      </c>
      <c r="G2281" t="s">
        <v>14927</v>
      </c>
      <c r="L2281" t="s">
        <v>83</v>
      </c>
      <c r="M2281" t="s">
        <v>85</v>
      </c>
      <c r="R2281" t="s">
        <v>14928</v>
      </c>
      <c r="W2281" t="s">
        <v>14926</v>
      </c>
      <c r="X2281" t="s">
        <v>14871</v>
      </c>
      <c r="Y2281" t="s">
        <v>97</v>
      </c>
      <c r="Z2281" t="s">
        <v>77</v>
      </c>
      <c r="AA2281" t="str">
        <f>"10003"</f>
        <v>10003</v>
      </c>
      <c r="AB2281" t="s">
        <v>78</v>
      </c>
      <c r="AC2281" t="s">
        <v>79</v>
      </c>
      <c r="AD2281" t="s">
        <v>75</v>
      </c>
      <c r="AE2281" t="s">
        <v>80</v>
      </c>
      <c r="AG2281" t="s">
        <v>81</v>
      </c>
    </row>
    <row r="2282" spans="1:33" x14ac:dyDescent="0.25">
      <c r="A2282" t="str">
        <f>"1750381877"</f>
        <v>1750381877</v>
      </c>
      <c r="B2282" t="str">
        <f>"01571333"</f>
        <v>01571333</v>
      </c>
      <c r="C2282" t="s">
        <v>13436</v>
      </c>
      <c r="D2282" t="s">
        <v>14929</v>
      </c>
      <c r="E2282" t="s">
        <v>14930</v>
      </c>
      <c r="G2282" t="s">
        <v>14931</v>
      </c>
      <c r="L2282" t="s">
        <v>83</v>
      </c>
      <c r="M2282" t="s">
        <v>85</v>
      </c>
      <c r="R2282" t="s">
        <v>14932</v>
      </c>
      <c r="W2282" t="s">
        <v>14930</v>
      </c>
      <c r="X2282" t="s">
        <v>191</v>
      </c>
      <c r="Y2282" t="s">
        <v>97</v>
      </c>
      <c r="Z2282" t="s">
        <v>77</v>
      </c>
      <c r="AA2282" t="str">
        <f>"10019-1147"</f>
        <v>10019-1147</v>
      </c>
      <c r="AB2282" t="s">
        <v>78</v>
      </c>
      <c r="AC2282" t="s">
        <v>79</v>
      </c>
      <c r="AD2282" t="s">
        <v>75</v>
      </c>
      <c r="AE2282" t="s">
        <v>80</v>
      </c>
      <c r="AG2282" t="s">
        <v>81</v>
      </c>
    </row>
    <row r="2283" spans="1:33" x14ac:dyDescent="0.25">
      <c r="A2283" t="str">
        <f>"1750400842"</f>
        <v>1750400842</v>
      </c>
      <c r="B2283" t="str">
        <f>"02426180"</f>
        <v>02426180</v>
      </c>
      <c r="C2283" t="s">
        <v>13436</v>
      </c>
      <c r="D2283" t="s">
        <v>14933</v>
      </c>
      <c r="E2283" t="s">
        <v>14934</v>
      </c>
      <c r="G2283" t="s">
        <v>14935</v>
      </c>
      <c r="L2283" t="s">
        <v>84</v>
      </c>
      <c r="M2283" t="s">
        <v>85</v>
      </c>
      <c r="R2283" t="s">
        <v>14936</v>
      </c>
      <c r="W2283" t="s">
        <v>14934</v>
      </c>
      <c r="X2283" t="s">
        <v>14937</v>
      </c>
      <c r="Y2283" t="s">
        <v>131</v>
      </c>
      <c r="Z2283" t="s">
        <v>77</v>
      </c>
      <c r="AA2283" t="str">
        <f>"10456-5305"</f>
        <v>10456-5305</v>
      </c>
      <c r="AB2283" t="s">
        <v>78</v>
      </c>
      <c r="AC2283" t="s">
        <v>79</v>
      </c>
      <c r="AD2283" t="s">
        <v>75</v>
      </c>
      <c r="AE2283" t="s">
        <v>80</v>
      </c>
      <c r="AG2283" t="s">
        <v>81</v>
      </c>
    </row>
    <row r="2284" spans="1:33" x14ac:dyDescent="0.25">
      <c r="A2284" t="str">
        <f>"1912348590"</f>
        <v>1912348590</v>
      </c>
      <c r="C2284" t="s">
        <v>14938</v>
      </c>
      <c r="K2284" t="s">
        <v>99</v>
      </c>
      <c r="L2284" t="s">
        <v>102</v>
      </c>
      <c r="M2284" t="s">
        <v>75</v>
      </c>
      <c r="R2284" t="s">
        <v>14939</v>
      </c>
      <c r="S2284" t="s">
        <v>2838</v>
      </c>
      <c r="T2284" t="s">
        <v>97</v>
      </c>
      <c r="U2284" t="s">
        <v>77</v>
      </c>
      <c r="V2284" t="str">
        <f>"100033105"</f>
        <v>100033105</v>
      </c>
      <c r="AC2284" t="s">
        <v>79</v>
      </c>
      <c r="AD2284" t="s">
        <v>75</v>
      </c>
      <c r="AE2284" t="s">
        <v>103</v>
      </c>
      <c r="AG2284" t="s">
        <v>81</v>
      </c>
    </row>
    <row r="2285" spans="1:33" x14ac:dyDescent="0.25">
      <c r="A2285" t="str">
        <f>"1801185053"</f>
        <v>1801185053</v>
      </c>
      <c r="C2285" t="s">
        <v>14940</v>
      </c>
      <c r="K2285" t="s">
        <v>99</v>
      </c>
      <c r="L2285" t="s">
        <v>102</v>
      </c>
      <c r="M2285" t="s">
        <v>75</v>
      </c>
      <c r="R2285" t="s">
        <v>14941</v>
      </c>
      <c r="S2285" t="s">
        <v>13644</v>
      </c>
      <c r="T2285" t="s">
        <v>5785</v>
      </c>
      <c r="U2285" t="s">
        <v>2595</v>
      </c>
      <c r="V2285" t="str">
        <f>"900335313"</f>
        <v>900335313</v>
      </c>
      <c r="AC2285" t="s">
        <v>79</v>
      </c>
      <c r="AD2285" t="s">
        <v>75</v>
      </c>
      <c r="AE2285" t="s">
        <v>103</v>
      </c>
      <c r="AG2285" t="s">
        <v>81</v>
      </c>
    </row>
    <row r="2286" spans="1:33" x14ac:dyDescent="0.25">
      <c r="A2286" t="str">
        <f>"1801232038"</f>
        <v>1801232038</v>
      </c>
      <c r="C2286" t="s">
        <v>14942</v>
      </c>
      <c r="K2286" t="s">
        <v>99</v>
      </c>
      <c r="L2286" t="s">
        <v>102</v>
      </c>
      <c r="M2286" t="s">
        <v>75</v>
      </c>
      <c r="R2286" t="s">
        <v>14943</v>
      </c>
      <c r="S2286" t="s">
        <v>14944</v>
      </c>
      <c r="T2286" t="s">
        <v>97</v>
      </c>
      <c r="U2286" t="s">
        <v>77</v>
      </c>
      <c r="V2286" t="str">
        <f>"100191147"</f>
        <v>100191147</v>
      </c>
      <c r="AC2286" t="s">
        <v>79</v>
      </c>
      <c r="AD2286" t="s">
        <v>75</v>
      </c>
      <c r="AE2286" t="s">
        <v>103</v>
      </c>
      <c r="AG2286" t="s">
        <v>81</v>
      </c>
    </row>
    <row r="2287" spans="1:33" x14ac:dyDescent="0.25">
      <c r="A2287" t="str">
        <f>"1255492245"</f>
        <v>1255492245</v>
      </c>
      <c r="B2287" t="str">
        <f>"01415961"</f>
        <v>01415961</v>
      </c>
      <c r="C2287" t="s">
        <v>13436</v>
      </c>
      <c r="D2287" t="s">
        <v>14945</v>
      </c>
      <c r="E2287" t="s">
        <v>14946</v>
      </c>
      <c r="G2287" t="s">
        <v>14947</v>
      </c>
      <c r="L2287" t="s">
        <v>83</v>
      </c>
      <c r="M2287" t="s">
        <v>85</v>
      </c>
      <c r="R2287" t="s">
        <v>14948</v>
      </c>
      <c r="W2287" t="s">
        <v>14946</v>
      </c>
      <c r="X2287" t="s">
        <v>14949</v>
      </c>
      <c r="Y2287" t="s">
        <v>97</v>
      </c>
      <c r="Z2287" t="s">
        <v>77</v>
      </c>
      <c r="AA2287" t="str">
        <f>"10019"</f>
        <v>10019</v>
      </c>
      <c r="AB2287" t="s">
        <v>78</v>
      </c>
      <c r="AC2287" t="s">
        <v>79</v>
      </c>
      <c r="AD2287" t="s">
        <v>75</v>
      </c>
      <c r="AE2287" t="s">
        <v>80</v>
      </c>
      <c r="AG2287" t="s">
        <v>81</v>
      </c>
    </row>
    <row r="2288" spans="1:33" x14ac:dyDescent="0.25">
      <c r="A2288" t="str">
        <f>"1780099457"</f>
        <v>1780099457</v>
      </c>
      <c r="C2288" t="s">
        <v>14950</v>
      </c>
      <c r="K2288" t="s">
        <v>99</v>
      </c>
      <c r="L2288" t="s">
        <v>102</v>
      </c>
      <c r="M2288" t="s">
        <v>75</v>
      </c>
      <c r="R2288" t="s">
        <v>14951</v>
      </c>
      <c r="S2288" t="s">
        <v>14952</v>
      </c>
      <c r="T2288" t="s">
        <v>97</v>
      </c>
      <c r="U2288" t="s">
        <v>77</v>
      </c>
      <c r="V2288" t="str">
        <f>"100113575"</f>
        <v>100113575</v>
      </c>
      <c r="AC2288" t="s">
        <v>79</v>
      </c>
      <c r="AD2288" t="s">
        <v>75</v>
      </c>
      <c r="AE2288" t="s">
        <v>103</v>
      </c>
      <c r="AG2288" t="s">
        <v>81</v>
      </c>
    </row>
    <row r="2289" spans="1:33" x14ac:dyDescent="0.25">
      <c r="A2289" t="str">
        <f>"1801214028"</f>
        <v>1801214028</v>
      </c>
      <c r="C2289" t="s">
        <v>14953</v>
      </c>
      <c r="K2289" t="s">
        <v>99</v>
      </c>
      <c r="L2289" t="s">
        <v>102</v>
      </c>
      <c r="M2289" t="s">
        <v>75</v>
      </c>
      <c r="R2289" t="s">
        <v>14954</v>
      </c>
      <c r="S2289" t="s">
        <v>14955</v>
      </c>
      <c r="T2289" t="s">
        <v>97</v>
      </c>
      <c r="U2289" t="s">
        <v>77</v>
      </c>
      <c r="V2289" t="str">
        <f>"100191147"</f>
        <v>100191147</v>
      </c>
      <c r="AC2289" t="s">
        <v>79</v>
      </c>
      <c r="AD2289" t="s">
        <v>75</v>
      </c>
      <c r="AE2289" t="s">
        <v>103</v>
      </c>
      <c r="AG2289" t="s">
        <v>81</v>
      </c>
    </row>
    <row r="2290" spans="1:33" x14ac:dyDescent="0.25">
      <c r="A2290" t="str">
        <f>"1992062079"</f>
        <v>1992062079</v>
      </c>
      <c r="C2290" t="s">
        <v>14956</v>
      </c>
      <c r="K2290" t="s">
        <v>99</v>
      </c>
      <c r="L2290" t="s">
        <v>102</v>
      </c>
      <c r="M2290" t="s">
        <v>75</v>
      </c>
      <c r="R2290" t="s">
        <v>14957</v>
      </c>
      <c r="S2290" t="s">
        <v>12670</v>
      </c>
      <c r="T2290" t="s">
        <v>97</v>
      </c>
      <c r="U2290" t="s">
        <v>77</v>
      </c>
      <c r="V2290" t="str">
        <f>"100033821"</f>
        <v>100033821</v>
      </c>
      <c r="AC2290" t="s">
        <v>79</v>
      </c>
      <c r="AD2290" t="s">
        <v>75</v>
      </c>
      <c r="AE2290" t="s">
        <v>103</v>
      </c>
      <c r="AG2290" t="s">
        <v>81</v>
      </c>
    </row>
    <row r="2291" spans="1:33" x14ac:dyDescent="0.25">
      <c r="A2291" t="str">
        <f>"1932442233"</f>
        <v>1932442233</v>
      </c>
      <c r="C2291" t="s">
        <v>14958</v>
      </c>
      <c r="K2291" t="s">
        <v>99</v>
      </c>
      <c r="L2291" t="s">
        <v>102</v>
      </c>
      <c r="M2291" t="s">
        <v>75</v>
      </c>
      <c r="R2291" t="s">
        <v>14959</v>
      </c>
      <c r="S2291" t="s">
        <v>14960</v>
      </c>
      <c r="T2291" t="s">
        <v>14961</v>
      </c>
      <c r="U2291" t="s">
        <v>2595</v>
      </c>
      <c r="V2291" t="str">
        <f>"905021603"</f>
        <v>905021603</v>
      </c>
      <c r="AC2291" t="s">
        <v>79</v>
      </c>
      <c r="AD2291" t="s">
        <v>75</v>
      </c>
      <c r="AE2291" t="s">
        <v>103</v>
      </c>
      <c r="AG2291" t="s">
        <v>81</v>
      </c>
    </row>
    <row r="2292" spans="1:33" x14ac:dyDescent="0.25">
      <c r="A2292" t="str">
        <f>"1790063865"</f>
        <v>1790063865</v>
      </c>
      <c r="C2292" t="s">
        <v>14962</v>
      </c>
      <c r="K2292" t="s">
        <v>99</v>
      </c>
      <c r="L2292" t="s">
        <v>102</v>
      </c>
      <c r="M2292" t="s">
        <v>75</v>
      </c>
      <c r="R2292" t="s">
        <v>14963</v>
      </c>
      <c r="S2292" t="s">
        <v>14964</v>
      </c>
      <c r="T2292" t="s">
        <v>1783</v>
      </c>
      <c r="U2292" t="s">
        <v>1784</v>
      </c>
      <c r="V2292" t="str">
        <f>"191413018"</f>
        <v>191413018</v>
      </c>
      <c r="AC2292" t="s">
        <v>79</v>
      </c>
      <c r="AD2292" t="s">
        <v>75</v>
      </c>
      <c r="AE2292" t="s">
        <v>103</v>
      </c>
      <c r="AG2292" t="s">
        <v>81</v>
      </c>
    </row>
    <row r="2293" spans="1:33" x14ac:dyDescent="0.25">
      <c r="A2293" t="str">
        <f>"1881919942"</f>
        <v>1881919942</v>
      </c>
      <c r="C2293" t="s">
        <v>14965</v>
      </c>
      <c r="K2293" t="s">
        <v>99</v>
      </c>
      <c r="L2293" t="s">
        <v>102</v>
      </c>
      <c r="M2293" t="s">
        <v>75</v>
      </c>
      <c r="R2293" t="s">
        <v>14966</v>
      </c>
      <c r="S2293" t="s">
        <v>159</v>
      </c>
      <c r="T2293" t="s">
        <v>160</v>
      </c>
      <c r="U2293" t="s">
        <v>77</v>
      </c>
      <c r="V2293" t="str">
        <f>"110303816"</f>
        <v>110303816</v>
      </c>
      <c r="AC2293" t="s">
        <v>79</v>
      </c>
      <c r="AD2293" t="s">
        <v>75</v>
      </c>
      <c r="AE2293" t="s">
        <v>103</v>
      </c>
      <c r="AG2293" t="s">
        <v>81</v>
      </c>
    </row>
    <row r="2294" spans="1:33" x14ac:dyDescent="0.25">
      <c r="A2294" t="str">
        <f>"1013987528"</f>
        <v>1013987528</v>
      </c>
      <c r="B2294" t="str">
        <f>"00225374"</f>
        <v>00225374</v>
      </c>
      <c r="C2294" t="s">
        <v>14967</v>
      </c>
      <c r="D2294" t="s">
        <v>14968</v>
      </c>
      <c r="E2294" t="s">
        <v>14969</v>
      </c>
      <c r="H2294" t="s">
        <v>14970</v>
      </c>
      <c r="J2294" t="s">
        <v>14971</v>
      </c>
      <c r="L2294" t="s">
        <v>84</v>
      </c>
      <c r="M2294" t="s">
        <v>85</v>
      </c>
      <c r="R2294" t="s">
        <v>14972</v>
      </c>
      <c r="W2294" t="s">
        <v>14969</v>
      </c>
      <c r="X2294" t="s">
        <v>14973</v>
      </c>
      <c r="Y2294" t="s">
        <v>14974</v>
      </c>
      <c r="Z2294" t="s">
        <v>77</v>
      </c>
      <c r="AA2294" t="str">
        <f>"10044-0190"</f>
        <v>10044-0190</v>
      </c>
      <c r="AB2294" t="s">
        <v>78</v>
      </c>
      <c r="AC2294" t="s">
        <v>79</v>
      </c>
      <c r="AD2294" t="s">
        <v>75</v>
      </c>
      <c r="AE2294" t="s">
        <v>80</v>
      </c>
      <c r="AG2294" t="s">
        <v>81</v>
      </c>
    </row>
    <row r="2295" spans="1:33" x14ac:dyDescent="0.25">
      <c r="A2295" t="str">
        <f>"1558438747"</f>
        <v>1558438747</v>
      </c>
      <c r="B2295" t="str">
        <f>"03323484"</f>
        <v>03323484</v>
      </c>
      <c r="C2295" t="s">
        <v>14975</v>
      </c>
      <c r="D2295" t="s">
        <v>14976</v>
      </c>
      <c r="E2295" t="s">
        <v>14977</v>
      </c>
      <c r="G2295" t="s">
        <v>14449</v>
      </c>
      <c r="H2295" t="s">
        <v>14450</v>
      </c>
      <c r="L2295" t="s">
        <v>105</v>
      </c>
      <c r="M2295" t="s">
        <v>75</v>
      </c>
      <c r="R2295" t="s">
        <v>14978</v>
      </c>
      <c r="W2295" t="s">
        <v>14977</v>
      </c>
      <c r="X2295" t="s">
        <v>3743</v>
      </c>
      <c r="Y2295" t="s">
        <v>97</v>
      </c>
      <c r="Z2295" t="s">
        <v>77</v>
      </c>
      <c r="AA2295" t="str">
        <f>"10011-4401"</f>
        <v>10011-4401</v>
      </c>
      <c r="AB2295" t="s">
        <v>113</v>
      </c>
      <c r="AC2295" t="s">
        <v>79</v>
      </c>
      <c r="AD2295" t="s">
        <v>75</v>
      </c>
      <c r="AE2295" t="s">
        <v>80</v>
      </c>
      <c r="AG2295" t="s">
        <v>81</v>
      </c>
    </row>
    <row r="2296" spans="1:33" x14ac:dyDescent="0.25">
      <c r="A2296" t="str">
        <f>"1942504436"</f>
        <v>1942504436</v>
      </c>
      <c r="B2296" t="str">
        <f>"03394305"</f>
        <v>03394305</v>
      </c>
      <c r="C2296" t="s">
        <v>14979</v>
      </c>
      <c r="D2296" t="s">
        <v>14980</v>
      </c>
      <c r="E2296" t="s">
        <v>14981</v>
      </c>
      <c r="G2296" t="s">
        <v>14449</v>
      </c>
      <c r="H2296" t="s">
        <v>14450</v>
      </c>
      <c r="L2296" t="s">
        <v>105</v>
      </c>
      <c r="M2296" t="s">
        <v>75</v>
      </c>
      <c r="R2296" t="s">
        <v>14981</v>
      </c>
      <c r="W2296" t="s">
        <v>14981</v>
      </c>
      <c r="X2296" t="s">
        <v>3743</v>
      </c>
      <c r="Y2296" t="s">
        <v>97</v>
      </c>
      <c r="Z2296" t="s">
        <v>77</v>
      </c>
      <c r="AA2296" t="str">
        <f>"10011-4401"</f>
        <v>10011-4401</v>
      </c>
      <c r="AB2296" t="s">
        <v>113</v>
      </c>
      <c r="AC2296" t="s">
        <v>79</v>
      </c>
      <c r="AD2296" t="s">
        <v>75</v>
      </c>
      <c r="AE2296" t="s">
        <v>80</v>
      </c>
      <c r="AG2296" t="s">
        <v>81</v>
      </c>
    </row>
    <row r="2297" spans="1:33" x14ac:dyDescent="0.25">
      <c r="A2297" t="str">
        <f>"1619981099"</f>
        <v>1619981099</v>
      </c>
      <c r="B2297" t="str">
        <f>"02796023"</f>
        <v>02796023</v>
      </c>
      <c r="C2297" t="s">
        <v>14982</v>
      </c>
      <c r="D2297" t="s">
        <v>14983</v>
      </c>
      <c r="E2297" t="s">
        <v>14984</v>
      </c>
      <c r="G2297" t="s">
        <v>14449</v>
      </c>
      <c r="H2297" t="s">
        <v>14450</v>
      </c>
      <c r="L2297" t="s">
        <v>84</v>
      </c>
      <c r="M2297" t="s">
        <v>75</v>
      </c>
      <c r="R2297" t="s">
        <v>14985</v>
      </c>
      <c r="W2297" t="s">
        <v>14984</v>
      </c>
      <c r="X2297" t="s">
        <v>203</v>
      </c>
      <c r="Y2297" t="s">
        <v>87</v>
      </c>
      <c r="Z2297" t="s">
        <v>77</v>
      </c>
      <c r="AA2297" t="str">
        <f>"11203-2057"</f>
        <v>11203-2057</v>
      </c>
      <c r="AB2297" t="s">
        <v>78</v>
      </c>
      <c r="AC2297" t="s">
        <v>79</v>
      </c>
      <c r="AD2297" t="s">
        <v>75</v>
      </c>
      <c r="AE2297" t="s">
        <v>80</v>
      </c>
      <c r="AG2297" t="s">
        <v>81</v>
      </c>
    </row>
    <row r="2298" spans="1:33" x14ac:dyDescent="0.25">
      <c r="A2298" t="str">
        <f>"1841565967"</f>
        <v>1841565967</v>
      </c>
      <c r="B2298" t="str">
        <f>"04532101"</f>
        <v>04532101</v>
      </c>
      <c r="C2298" t="s">
        <v>14986</v>
      </c>
      <c r="D2298" t="s">
        <v>14987</v>
      </c>
      <c r="E2298" t="s">
        <v>14988</v>
      </c>
      <c r="L2298" t="s">
        <v>102</v>
      </c>
      <c r="M2298" t="s">
        <v>75</v>
      </c>
      <c r="R2298" t="s">
        <v>14989</v>
      </c>
      <c r="W2298" t="s">
        <v>14988</v>
      </c>
      <c r="AB2298" t="s">
        <v>78</v>
      </c>
      <c r="AC2298" t="s">
        <v>79</v>
      </c>
      <c r="AD2298" t="s">
        <v>75</v>
      </c>
      <c r="AE2298" t="s">
        <v>80</v>
      </c>
      <c r="AG2298" t="s">
        <v>81</v>
      </c>
    </row>
    <row r="2299" spans="1:33" x14ac:dyDescent="0.25">
      <c r="A2299" t="str">
        <f>"1922368711"</f>
        <v>1922368711</v>
      </c>
      <c r="C2299" t="s">
        <v>14990</v>
      </c>
      <c r="K2299" t="s">
        <v>99</v>
      </c>
      <c r="L2299" t="s">
        <v>102</v>
      </c>
      <c r="M2299" t="s">
        <v>75</v>
      </c>
      <c r="R2299" t="s">
        <v>14991</v>
      </c>
      <c r="S2299" t="s">
        <v>14992</v>
      </c>
      <c r="T2299" t="s">
        <v>97</v>
      </c>
      <c r="U2299" t="s">
        <v>77</v>
      </c>
      <c r="V2299" t="str">
        <f>"100296503"</f>
        <v>100296503</v>
      </c>
      <c r="AC2299" t="s">
        <v>79</v>
      </c>
      <c r="AD2299" t="s">
        <v>75</v>
      </c>
      <c r="AE2299" t="s">
        <v>103</v>
      </c>
      <c r="AG2299" t="s">
        <v>81</v>
      </c>
    </row>
    <row r="2300" spans="1:33" x14ac:dyDescent="0.25">
      <c r="A2300" t="str">
        <f>"1679657688"</f>
        <v>1679657688</v>
      </c>
      <c r="B2300" t="str">
        <f>"02177448"</f>
        <v>02177448</v>
      </c>
      <c r="C2300" t="s">
        <v>14993</v>
      </c>
      <c r="D2300" t="s">
        <v>14994</v>
      </c>
      <c r="E2300" t="s">
        <v>14995</v>
      </c>
      <c r="H2300" t="s">
        <v>14996</v>
      </c>
      <c r="J2300" t="s">
        <v>14997</v>
      </c>
      <c r="L2300" t="s">
        <v>83</v>
      </c>
      <c r="M2300" t="s">
        <v>85</v>
      </c>
      <c r="R2300" t="s">
        <v>14998</v>
      </c>
      <c r="W2300" t="s">
        <v>14995</v>
      </c>
      <c r="X2300" t="s">
        <v>790</v>
      </c>
      <c r="Y2300" t="s">
        <v>236</v>
      </c>
      <c r="Z2300" t="s">
        <v>77</v>
      </c>
      <c r="AA2300" t="str">
        <f>"11102-1874"</f>
        <v>11102-1874</v>
      </c>
      <c r="AB2300" t="s">
        <v>78</v>
      </c>
      <c r="AC2300" t="s">
        <v>79</v>
      </c>
      <c r="AD2300" t="s">
        <v>75</v>
      </c>
      <c r="AE2300" t="s">
        <v>80</v>
      </c>
      <c r="AG2300" t="s">
        <v>81</v>
      </c>
    </row>
    <row r="2301" spans="1:33" x14ac:dyDescent="0.25">
      <c r="A2301" t="str">
        <f>"1881930683"</f>
        <v>1881930683</v>
      </c>
      <c r="C2301" t="s">
        <v>14999</v>
      </c>
      <c r="K2301" t="s">
        <v>99</v>
      </c>
      <c r="L2301" t="s">
        <v>102</v>
      </c>
      <c r="M2301" t="s">
        <v>75</v>
      </c>
      <c r="R2301" t="s">
        <v>15000</v>
      </c>
      <c r="S2301" t="s">
        <v>602</v>
      </c>
      <c r="T2301" t="s">
        <v>97</v>
      </c>
      <c r="U2301" t="s">
        <v>77</v>
      </c>
      <c r="V2301" t="str">
        <f>"100382612"</f>
        <v>100382612</v>
      </c>
      <c r="AC2301" t="s">
        <v>79</v>
      </c>
      <c r="AD2301" t="s">
        <v>75</v>
      </c>
      <c r="AE2301" t="s">
        <v>103</v>
      </c>
      <c r="AG2301" t="s">
        <v>81</v>
      </c>
    </row>
    <row r="2302" spans="1:33" x14ac:dyDescent="0.25">
      <c r="A2302" t="str">
        <f>"1891127304"</f>
        <v>1891127304</v>
      </c>
      <c r="C2302" t="s">
        <v>15001</v>
      </c>
      <c r="K2302" t="s">
        <v>99</v>
      </c>
      <c r="L2302" t="s">
        <v>102</v>
      </c>
      <c r="M2302" t="s">
        <v>75</v>
      </c>
      <c r="R2302" t="s">
        <v>15002</v>
      </c>
      <c r="S2302" t="s">
        <v>15003</v>
      </c>
      <c r="T2302" t="s">
        <v>2660</v>
      </c>
      <c r="U2302" t="s">
        <v>2661</v>
      </c>
      <c r="V2302" t="str">
        <f>"212011524"</f>
        <v>212011524</v>
      </c>
      <c r="AC2302" t="s">
        <v>79</v>
      </c>
      <c r="AD2302" t="s">
        <v>75</v>
      </c>
      <c r="AE2302" t="s">
        <v>103</v>
      </c>
      <c r="AG2302" t="s">
        <v>81</v>
      </c>
    </row>
    <row r="2303" spans="1:33" x14ac:dyDescent="0.25">
      <c r="A2303" t="str">
        <f>"1952748782"</f>
        <v>1952748782</v>
      </c>
      <c r="B2303" t="str">
        <f>"04539557"</f>
        <v>04539557</v>
      </c>
      <c r="C2303" t="s">
        <v>15004</v>
      </c>
      <c r="D2303" t="s">
        <v>15005</v>
      </c>
      <c r="E2303" t="s">
        <v>15006</v>
      </c>
      <c r="L2303" t="s">
        <v>102</v>
      </c>
      <c r="M2303" t="s">
        <v>75</v>
      </c>
      <c r="R2303" t="s">
        <v>15006</v>
      </c>
      <c r="W2303" t="s">
        <v>15006</v>
      </c>
      <c r="AB2303" t="s">
        <v>78</v>
      </c>
      <c r="AC2303" t="s">
        <v>79</v>
      </c>
      <c r="AD2303" t="s">
        <v>75</v>
      </c>
      <c r="AE2303" t="s">
        <v>80</v>
      </c>
      <c r="AG2303" t="s">
        <v>81</v>
      </c>
    </row>
    <row r="2304" spans="1:33" x14ac:dyDescent="0.25">
      <c r="A2304" t="str">
        <f>"1871682278"</f>
        <v>1871682278</v>
      </c>
      <c r="B2304" t="str">
        <f>"04381848"</f>
        <v>04381848</v>
      </c>
      <c r="C2304" t="s">
        <v>15007</v>
      </c>
      <c r="D2304" t="s">
        <v>15008</v>
      </c>
      <c r="E2304" t="s">
        <v>15009</v>
      </c>
      <c r="L2304" t="s">
        <v>102</v>
      </c>
      <c r="M2304" t="s">
        <v>75</v>
      </c>
      <c r="R2304" t="s">
        <v>15009</v>
      </c>
      <c r="W2304" t="s">
        <v>15009</v>
      </c>
      <c r="X2304" t="s">
        <v>15010</v>
      </c>
      <c r="Y2304" t="s">
        <v>129</v>
      </c>
      <c r="Z2304" t="s">
        <v>77</v>
      </c>
      <c r="AA2304" t="str">
        <f>"11372-7032"</f>
        <v>11372-7032</v>
      </c>
      <c r="AB2304" t="s">
        <v>78</v>
      </c>
      <c r="AC2304" t="s">
        <v>79</v>
      </c>
      <c r="AD2304" t="s">
        <v>75</v>
      </c>
      <c r="AE2304" t="s">
        <v>80</v>
      </c>
      <c r="AG2304" t="s">
        <v>81</v>
      </c>
    </row>
    <row r="2305" spans="1:33" x14ac:dyDescent="0.25">
      <c r="A2305" t="str">
        <f>"1962441816"</f>
        <v>1962441816</v>
      </c>
      <c r="B2305" t="str">
        <f>"02986423"</f>
        <v>02986423</v>
      </c>
      <c r="C2305" t="s">
        <v>15011</v>
      </c>
      <c r="D2305" t="s">
        <v>15012</v>
      </c>
      <c r="E2305" t="s">
        <v>15013</v>
      </c>
      <c r="L2305" t="s">
        <v>74</v>
      </c>
      <c r="M2305" t="s">
        <v>75</v>
      </c>
      <c r="R2305" t="s">
        <v>15014</v>
      </c>
      <c r="W2305" t="s">
        <v>15015</v>
      </c>
      <c r="X2305" t="s">
        <v>15016</v>
      </c>
      <c r="Y2305" t="s">
        <v>97</v>
      </c>
      <c r="Z2305" t="s">
        <v>77</v>
      </c>
      <c r="AA2305" t="str">
        <f>"11102"</f>
        <v>11102</v>
      </c>
      <c r="AB2305" t="s">
        <v>78</v>
      </c>
      <c r="AC2305" t="s">
        <v>79</v>
      </c>
      <c r="AD2305" t="s">
        <v>75</v>
      </c>
      <c r="AE2305" t="s">
        <v>80</v>
      </c>
      <c r="AG2305" t="s">
        <v>81</v>
      </c>
    </row>
    <row r="2306" spans="1:33" x14ac:dyDescent="0.25">
      <c r="A2306" t="str">
        <f>"1609026178"</f>
        <v>1609026178</v>
      </c>
      <c r="B2306" t="str">
        <f>"03152123"</f>
        <v>03152123</v>
      </c>
      <c r="C2306" t="s">
        <v>15017</v>
      </c>
      <c r="D2306" t="s">
        <v>15018</v>
      </c>
      <c r="E2306" t="s">
        <v>15019</v>
      </c>
      <c r="G2306" t="s">
        <v>14449</v>
      </c>
      <c r="H2306" t="s">
        <v>14450</v>
      </c>
      <c r="L2306" t="s">
        <v>84</v>
      </c>
      <c r="M2306" t="s">
        <v>85</v>
      </c>
      <c r="R2306" t="s">
        <v>15020</v>
      </c>
      <c r="W2306" t="s">
        <v>15019</v>
      </c>
      <c r="X2306" t="s">
        <v>3743</v>
      </c>
      <c r="Y2306" t="s">
        <v>97</v>
      </c>
      <c r="Z2306" t="s">
        <v>77</v>
      </c>
      <c r="AA2306" t="str">
        <f>"10011-4401"</f>
        <v>10011-4401</v>
      </c>
      <c r="AB2306" t="s">
        <v>78</v>
      </c>
      <c r="AC2306" t="s">
        <v>79</v>
      </c>
      <c r="AD2306" t="s">
        <v>75</v>
      </c>
      <c r="AE2306" t="s">
        <v>80</v>
      </c>
      <c r="AG2306" t="s">
        <v>81</v>
      </c>
    </row>
    <row r="2307" spans="1:33" x14ac:dyDescent="0.25">
      <c r="A2307" t="str">
        <f>"1902044555"</f>
        <v>1902044555</v>
      </c>
      <c r="B2307" t="str">
        <f>"03573860"</f>
        <v>03573860</v>
      </c>
      <c r="C2307" t="s">
        <v>15021</v>
      </c>
      <c r="D2307" t="s">
        <v>15022</v>
      </c>
      <c r="E2307" t="s">
        <v>15023</v>
      </c>
      <c r="G2307" t="s">
        <v>14449</v>
      </c>
      <c r="H2307" t="s">
        <v>14450</v>
      </c>
      <c r="L2307" t="s">
        <v>105</v>
      </c>
      <c r="M2307" t="s">
        <v>75</v>
      </c>
      <c r="R2307" t="s">
        <v>15024</v>
      </c>
      <c r="W2307" t="s">
        <v>15023</v>
      </c>
      <c r="X2307" t="s">
        <v>15025</v>
      </c>
      <c r="Y2307" t="s">
        <v>97</v>
      </c>
      <c r="Z2307" t="s">
        <v>77</v>
      </c>
      <c r="AA2307" t="str">
        <f>"10025-2756"</f>
        <v>10025-2756</v>
      </c>
      <c r="AB2307" t="s">
        <v>125</v>
      </c>
      <c r="AC2307" t="s">
        <v>79</v>
      </c>
      <c r="AD2307" t="s">
        <v>75</v>
      </c>
      <c r="AE2307" t="s">
        <v>80</v>
      </c>
      <c r="AG2307" t="s">
        <v>81</v>
      </c>
    </row>
    <row r="2308" spans="1:33" x14ac:dyDescent="0.25">
      <c r="A2308" t="str">
        <f>"1831347673"</f>
        <v>1831347673</v>
      </c>
      <c r="B2308" t="str">
        <f>"03183731"</f>
        <v>03183731</v>
      </c>
      <c r="C2308" t="s">
        <v>15026</v>
      </c>
      <c r="D2308" t="s">
        <v>15027</v>
      </c>
      <c r="E2308" t="s">
        <v>15028</v>
      </c>
      <c r="G2308" t="s">
        <v>14449</v>
      </c>
      <c r="H2308" t="s">
        <v>14450</v>
      </c>
      <c r="L2308" t="s">
        <v>143</v>
      </c>
      <c r="M2308" t="s">
        <v>85</v>
      </c>
      <c r="R2308" t="s">
        <v>15029</v>
      </c>
      <c r="W2308" t="s">
        <v>15028</v>
      </c>
      <c r="X2308" t="s">
        <v>3824</v>
      </c>
      <c r="Y2308" t="s">
        <v>141</v>
      </c>
      <c r="Z2308" t="s">
        <v>77</v>
      </c>
      <c r="AA2308" t="str">
        <f>"11377-5771"</f>
        <v>11377-5771</v>
      </c>
      <c r="AB2308" t="s">
        <v>78</v>
      </c>
      <c r="AC2308" t="s">
        <v>79</v>
      </c>
      <c r="AD2308" t="s">
        <v>75</v>
      </c>
      <c r="AE2308" t="s">
        <v>80</v>
      </c>
      <c r="AG2308" t="s">
        <v>81</v>
      </c>
    </row>
    <row r="2309" spans="1:33" x14ac:dyDescent="0.25">
      <c r="A2309" t="str">
        <f>"1497016067"</f>
        <v>1497016067</v>
      </c>
      <c r="B2309" t="str">
        <f>"04451832"</f>
        <v>04451832</v>
      </c>
      <c r="C2309" t="s">
        <v>15030</v>
      </c>
      <c r="D2309" t="s">
        <v>15031</v>
      </c>
      <c r="E2309" t="s">
        <v>15032</v>
      </c>
      <c r="G2309" t="s">
        <v>14449</v>
      </c>
      <c r="H2309" t="s">
        <v>14450</v>
      </c>
      <c r="L2309" t="s">
        <v>74</v>
      </c>
      <c r="M2309" t="s">
        <v>75</v>
      </c>
      <c r="R2309" t="s">
        <v>15033</v>
      </c>
      <c r="W2309" t="s">
        <v>15032</v>
      </c>
      <c r="AB2309" t="s">
        <v>113</v>
      </c>
      <c r="AC2309" t="s">
        <v>79</v>
      </c>
      <c r="AD2309" t="s">
        <v>75</v>
      </c>
      <c r="AE2309" t="s">
        <v>80</v>
      </c>
      <c r="AG2309" t="s">
        <v>81</v>
      </c>
    </row>
    <row r="2310" spans="1:33" x14ac:dyDescent="0.25">
      <c r="A2310" t="str">
        <f>"1588946073"</f>
        <v>1588946073</v>
      </c>
      <c r="B2310" t="str">
        <f>"03818462"</f>
        <v>03818462</v>
      </c>
      <c r="C2310" t="s">
        <v>15034</v>
      </c>
      <c r="D2310" t="s">
        <v>15035</v>
      </c>
      <c r="E2310" t="s">
        <v>15036</v>
      </c>
      <c r="G2310" t="s">
        <v>14449</v>
      </c>
      <c r="H2310" t="s">
        <v>14450</v>
      </c>
      <c r="L2310" t="s">
        <v>84</v>
      </c>
      <c r="M2310" t="s">
        <v>75</v>
      </c>
      <c r="R2310" t="s">
        <v>15037</v>
      </c>
      <c r="W2310" t="s">
        <v>15036</v>
      </c>
      <c r="X2310" t="s">
        <v>3743</v>
      </c>
      <c r="Y2310" t="s">
        <v>97</v>
      </c>
      <c r="Z2310" t="s">
        <v>77</v>
      </c>
      <c r="AA2310" t="str">
        <f>"10011-4401"</f>
        <v>10011-4401</v>
      </c>
      <c r="AB2310" t="s">
        <v>78</v>
      </c>
      <c r="AC2310" t="s">
        <v>79</v>
      </c>
      <c r="AD2310" t="s">
        <v>75</v>
      </c>
      <c r="AE2310" t="s">
        <v>80</v>
      </c>
      <c r="AG2310" t="s">
        <v>81</v>
      </c>
    </row>
    <row r="2311" spans="1:33" x14ac:dyDescent="0.25">
      <c r="A2311" t="str">
        <f>"1861798779"</f>
        <v>1861798779</v>
      </c>
      <c r="B2311" t="str">
        <f>"03424348"</f>
        <v>03424348</v>
      </c>
      <c r="C2311" t="s">
        <v>15038</v>
      </c>
      <c r="D2311" t="s">
        <v>15039</v>
      </c>
      <c r="E2311" t="s">
        <v>15040</v>
      </c>
      <c r="G2311" t="s">
        <v>14449</v>
      </c>
      <c r="H2311" t="s">
        <v>14450</v>
      </c>
      <c r="L2311" t="s">
        <v>83</v>
      </c>
      <c r="M2311" t="s">
        <v>85</v>
      </c>
      <c r="R2311" t="s">
        <v>15040</v>
      </c>
      <c r="W2311" t="s">
        <v>15040</v>
      </c>
      <c r="X2311" t="s">
        <v>3743</v>
      </c>
      <c r="Y2311" t="s">
        <v>97</v>
      </c>
      <c r="Z2311" t="s">
        <v>77</v>
      </c>
      <c r="AA2311" t="str">
        <f>"10011-4401"</f>
        <v>10011-4401</v>
      </c>
      <c r="AB2311" t="s">
        <v>78</v>
      </c>
      <c r="AC2311" t="s">
        <v>79</v>
      </c>
      <c r="AD2311" t="s">
        <v>75</v>
      </c>
      <c r="AE2311" t="s">
        <v>80</v>
      </c>
      <c r="AG2311" t="s">
        <v>81</v>
      </c>
    </row>
    <row r="2312" spans="1:33" x14ac:dyDescent="0.25">
      <c r="A2312" t="str">
        <f>"1275817272"</f>
        <v>1275817272</v>
      </c>
      <c r="C2312" t="s">
        <v>15041</v>
      </c>
      <c r="G2312" t="s">
        <v>14449</v>
      </c>
      <c r="H2312" t="s">
        <v>14450</v>
      </c>
      <c r="K2312" t="s">
        <v>99</v>
      </c>
      <c r="L2312" t="s">
        <v>74</v>
      </c>
      <c r="M2312" t="s">
        <v>75</v>
      </c>
      <c r="R2312" t="s">
        <v>15042</v>
      </c>
      <c r="S2312" t="s">
        <v>15043</v>
      </c>
      <c r="T2312" t="s">
        <v>97</v>
      </c>
      <c r="U2312" t="s">
        <v>77</v>
      </c>
      <c r="V2312" t="str">
        <f>"100114462"</f>
        <v>100114462</v>
      </c>
      <c r="AC2312" t="s">
        <v>79</v>
      </c>
      <c r="AD2312" t="s">
        <v>75</v>
      </c>
      <c r="AE2312" t="s">
        <v>103</v>
      </c>
      <c r="AG2312" t="s">
        <v>81</v>
      </c>
    </row>
    <row r="2313" spans="1:33" x14ac:dyDescent="0.25">
      <c r="A2313" t="str">
        <f>"1629488457"</f>
        <v>1629488457</v>
      </c>
      <c r="C2313" t="s">
        <v>15044</v>
      </c>
      <c r="G2313" t="s">
        <v>14449</v>
      </c>
      <c r="H2313" t="s">
        <v>14450</v>
      </c>
      <c r="K2313" t="s">
        <v>99</v>
      </c>
      <c r="L2313" t="s">
        <v>74</v>
      </c>
      <c r="M2313" t="s">
        <v>75</v>
      </c>
      <c r="R2313" t="s">
        <v>15045</v>
      </c>
      <c r="S2313" t="s">
        <v>3743</v>
      </c>
      <c r="T2313" t="s">
        <v>97</v>
      </c>
      <c r="U2313" t="s">
        <v>77</v>
      </c>
      <c r="V2313" t="str">
        <f>"100114401"</f>
        <v>100114401</v>
      </c>
      <c r="AC2313" t="s">
        <v>79</v>
      </c>
      <c r="AD2313" t="s">
        <v>75</v>
      </c>
      <c r="AE2313" t="s">
        <v>103</v>
      </c>
      <c r="AG2313" t="s">
        <v>81</v>
      </c>
    </row>
    <row r="2314" spans="1:33" x14ac:dyDescent="0.25">
      <c r="A2314" t="str">
        <f>"1942578489"</f>
        <v>1942578489</v>
      </c>
      <c r="B2314" t="str">
        <f>"03816548"</f>
        <v>03816548</v>
      </c>
      <c r="C2314" t="s">
        <v>15046</v>
      </c>
      <c r="D2314" t="s">
        <v>15047</v>
      </c>
      <c r="E2314" t="s">
        <v>15048</v>
      </c>
      <c r="G2314" t="s">
        <v>14449</v>
      </c>
      <c r="H2314" t="s">
        <v>14450</v>
      </c>
      <c r="L2314" t="s">
        <v>74</v>
      </c>
      <c r="M2314" t="s">
        <v>75</v>
      </c>
      <c r="R2314" t="s">
        <v>15049</v>
      </c>
      <c r="W2314" t="s">
        <v>15048</v>
      </c>
      <c r="X2314" t="s">
        <v>15050</v>
      </c>
      <c r="Y2314" t="s">
        <v>97</v>
      </c>
      <c r="Z2314" t="s">
        <v>77</v>
      </c>
      <c r="AA2314" t="str">
        <f>"10011-4401"</f>
        <v>10011-4401</v>
      </c>
      <c r="AB2314" t="s">
        <v>82</v>
      </c>
      <c r="AC2314" t="s">
        <v>79</v>
      </c>
      <c r="AD2314" t="s">
        <v>75</v>
      </c>
      <c r="AE2314" t="s">
        <v>80</v>
      </c>
      <c r="AG2314" t="s">
        <v>81</v>
      </c>
    </row>
    <row r="2315" spans="1:33" x14ac:dyDescent="0.25">
      <c r="A2315" t="str">
        <f>"1891757407"</f>
        <v>1891757407</v>
      </c>
      <c r="B2315" t="str">
        <f>"01990909"</f>
        <v>01990909</v>
      </c>
      <c r="C2315" t="s">
        <v>15051</v>
      </c>
      <c r="D2315" t="s">
        <v>15052</v>
      </c>
      <c r="E2315" t="s">
        <v>15053</v>
      </c>
      <c r="G2315" t="s">
        <v>13504</v>
      </c>
      <c r="H2315" t="s">
        <v>13505</v>
      </c>
      <c r="J2315" t="s">
        <v>13506</v>
      </c>
      <c r="L2315" t="s">
        <v>84</v>
      </c>
      <c r="M2315" t="s">
        <v>85</v>
      </c>
      <c r="R2315" t="s">
        <v>15054</v>
      </c>
      <c r="W2315" t="s">
        <v>15053</v>
      </c>
      <c r="X2315" t="s">
        <v>15055</v>
      </c>
      <c r="Y2315" t="s">
        <v>87</v>
      </c>
      <c r="Z2315" t="s">
        <v>77</v>
      </c>
      <c r="AA2315" t="str">
        <f>"11236-2339"</f>
        <v>11236-2339</v>
      </c>
      <c r="AB2315" t="s">
        <v>78</v>
      </c>
      <c r="AC2315" t="s">
        <v>79</v>
      </c>
      <c r="AD2315" t="s">
        <v>75</v>
      </c>
      <c r="AE2315" t="s">
        <v>80</v>
      </c>
      <c r="AG2315" t="s">
        <v>81</v>
      </c>
    </row>
    <row r="2316" spans="1:33" x14ac:dyDescent="0.25">
      <c r="A2316" t="str">
        <f>"1437205168"</f>
        <v>1437205168</v>
      </c>
      <c r="B2316" t="str">
        <f>"01914507"</f>
        <v>01914507</v>
      </c>
      <c r="C2316" t="s">
        <v>15056</v>
      </c>
      <c r="D2316" t="s">
        <v>1731</v>
      </c>
      <c r="E2316" t="s">
        <v>1732</v>
      </c>
      <c r="G2316" t="s">
        <v>13504</v>
      </c>
      <c r="H2316" t="s">
        <v>13505</v>
      </c>
      <c r="J2316" t="s">
        <v>13506</v>
      </c>
      <c r="L2316" t="s">
        <v>84</v>
      </c>
      <c r="M2316" t="s">
        <v>85</v>
      </c>
      <c r="R2316" t="s">
        <v>1730</v>
      </c>
      <c r="W2316" t="s">
        <v>1732</v>
      </c>
      <c r="X2316" t="s">
        <v>1733</v>
      </c>
      <c r="Y2316" t="s">
        <v>87</v>
      </c>
      <c r="Z2316" t="s">
        <v>77</v>
      </c>
      <c r="AA2316" t="str">
        <f>"11204-2114"</f>
        <v>11204-2114</v>
      </c>
      <c r="AB2316" t="s">
        <v>78</v>
      </c>
      <c r="AC2316" t="s">
        <v>79</v>
      </c>
      <c r="AD2316" t="s">
        <v>75</v>
      </c>
      <c r="AE2316" t="s">
        <v>80</v>
      </c>
      <c r="AG2316" t="s">
        <v>81</v>
      </c>
    </row>
    <row r="2317" spans="1:33" x14ac:dyDescent="0.25">
      <c r="A2317" t="str">
        <f>"1770900953"</f>
        <v>1770900953</v>
      </c>
      <c r="C2317" t="s">
        <v>15057</v>
      </c>
      <c r="K2317" t="s">
        <v>99</v>
      </c>
      <c r="L2317" t="s">
        <v>102</v>
      </c>
      <c r="M2317" t="s">
        <v>75</v>
      </c>
      <c r="R2317" t="s">
        <v>15058</v>
      </c>
      <c r="S2317" t="s">
        <v>15059</v>
      </c>
      <c r="T2317" t="s">
        <v>4512</v>
      </c>
      <c r="U2317" t="s">
        <v>2661</v>
      </c>
      <c r="V2317" t="str">
        <f>"210462467"</f>
        <v>210462467</v>
      </c>
      <c r="AC2317" t="s">
        <v>79</v>
      </c>
      <c r="AD2317" t="s">
        <v>75</v>
      </c>
      <c r="AE2317" t="s">
        <v>103</v>
      </c>
      <c r="AG2317" t="s">
        <v>81</v>
      </c>
    </row>
    <row r="2318" spans="1:33" x14ac:dyDescent="0.25">
      <c r="A2318" t="str">
        <f>"1003023029"</f>
        <v>1003023029</v>
      </c>
      <c r="B2318" t="str">
        <f>"03261474"</f>
        <v>03261474</v>
      </c>
      <c r="C2318" t="s">
        <v>13436</v>
      </c>
      <c r="D2318" t="s">
        <v>15060</v>
      </c>
      <c r="E2318" t="s">
        <v>15061</v>
      </c>
      <c r="G2318">
        <v>0</v>
      </c>
      <c r="L2318" t="s">
        <v>74</v>
      </c>
      <c r="M2318" t="s">
        <v>85</v>
      </c>
      <c r="R2318" t="s">
        <v>15062</v>
      </c>
      <c r="W2318" t="s">
        <v>15061</v>
      </c>
      <c r="X2318" t="s">
        <v>15063</v>
      </c>
      <c r="Y2318" t="s">
        <v>131</v>
      </c>
      <c r="Z2318" t="s">
        <v>77</v>
      </c>
      <c r="AA2318" t="str">
        <f>"10451-4605"</f>
        <v>10451-4605</v>
      </c>
      <c r="AB2318" t="s">
        <v>82</v>
      </c>
      <c r="AC2318" t="s">
        <v>79</v>
      </c>
      <c r="AD2318" t="s">
        <v>75</v>
      </c>
      <c r="AE2318" t="s">
        <v>80</v>
      </c>
      <c r="AG2318" t="s">
        <v>81</v>
      </c>
    </row>
    <row r="2319" spans="1:33" x14ac:dyDescent="0.25">
      <c r="A2319" t="str">
        <f>"1003066796"</f>
        <v>1003066796</v>
      </c>
      <c r="C2319" t="s">
        <v>13436</v>
      </c>
      <c r="G2319" t="s">
        <v>15064</v>
      </c>
      <c r="K2319" t="s">
        <v>99</v>
      </c>
      <c r="L2319" t="s">
        <v>102</v>
      </c>
      <c r="M2319" t="s">
        <v>85</v>
      </c>
      <c r="R2319" t="s">
        <v>15065</v>
      </c>
      <c r="S2319" t="s">
        <v>15066</v>
      </c>
      <c r="T2319" t="s">
        <v>139</v>
      </c>
      <c r="U2319" t="s">
        <v>77</v>
      </c>
      <c r="V2319" t="str">
        <f>"113583179"</f>
        <v>113583179</v>
      </c>
      <c r="AC2319" t="s">
        <v>79</v>
      </c>
      <c r="AD2319" t="s">
        <v>75</v>
      </c>
      <c r="AE2319" t="s">
        <v>103</v>
      </c>
      <c r="AG2319" t="s">
        <v>81</v>
      </c>
    </row>
    <row r="2320" spans="1:33" x14ac:dyDescent="0.25">
      <c r="A2320" t="str">
        <f>"1003163965"</f>
        <v>1003163965</v>
      </c>
      <c r="B2320" t="str">
        <f>"03796783"</f>
        <v>03796783</v>
      </c>
      <c r="C2320" t="s">
        <v>13436</v>
      </c>
      <c r="D2320" t="s">
        <v>15067</v>
      </c>
      <c r="E2320" t="s">
        <v>15068</v>
      </c>
      <c r="G2320" t="s">
        <v>15069</v>
      </c>
      <c r="L2320" t="s">
        <v>74</v>
      </c>
      <c r="M2320" t="s">
        <v>85</v>
      </c>
      <c r="R2320" t="s">
        <v>15070</v>
      </c>
      <c r="W2320" t="s">
        <v>15068</v>
      </c>
      <c r="X2320" t="s">
        <v>191</v>
      </c>
      <c r="Y2320" t="s">
        <v>97</v>
      </c>
      <c r="Z2320" t="s">
        <v>77</v>
      </c>
      <c r="AA2320" t="str">
        <f>"10019-1147"</f>
        <v>10019-1147</v>
      </c>
      <c r="AB2320" t="s">
        <v>78</v>
      </c>
      <c r="AC2320" t="s">
        <v>79</v>
      </c>
      <c r="AD2320" t="s">
        <v>75</v>
      </c>
      <c r="AE2320" t="s">
        <v>80</v>
      </c>
      <c r="AG2320" t="s">
        <v>81</v>
      </c>
    </row>
    <row r="2321" spans="1:33" x14ac:dyDescent="0.25">
      <c r="A2321" t="str">
        <f>"1013054360"</f>
        <v>1013054360</v>
      </c>
      <c r="B2321" t="str">
        <f>"01350614"</f>
        <v>01350614</v>
      </c>
      <c r="C2321" t="s">
        <v>13436</v>
      </c>
      <c r="D2321" t="s">
        <v>15071</v>
      </c>
      <c r="E2321" t="s">
        <v>15072</v>
      </c>
      <c r="G2321" t="s">
        <v>15073</v>
      </c>
      <c r="L2321" t="s">
        <v>102</v>
      </c>
      <c r="M2321" t="s">
        <v>85</v>
      </c>
      <c r="R2321" t="s">
        <v>15074</v>
      </c>
      <c r="W2321" t="s">
        <v>15072</v>
      </c>
      <c r="Y2321" t="s">
        <v>97</v>
      </c>
      <c r="Z2321" t="s">
        <v>77</v>
      </c>
      <c r="AA2321" t="str">
        <f>"10011-8305"</f>
        <v>10011-8305</v>
      </c>
      <c r="AB2321" t="s">
        <v>78</v>
      </c>
      <c r="AC2321" t="s">
        <v>79</v>
      </c>
      <c r="AD2321" t="s">
        <v>75</v>
      </c>
      <c r="AE2321" t="s">
        <v>80</v>
      </c>
      <c r="AG2321" t="s">
        <v>81</v>
      </c>
    </row>
    <row r="2322" spans="1:33" x14ac:dyDescent="0.25">
      <c r="A2322" t="str">
        <f>"1013055037"</f>
        <v>1013055037</v>
      </c>
      <c r="B2322" t="str">
        <f>"03481270"</f>
        <v>03481270</v>
      </c>
      <c r="C2322" t="s">
        <v>13436</v>
      </c>
      <c r="D2322" t="s">
        <v>15075</v>
      </c>
      <c r="E2322" t="s">
        <v>15076</v>
      </c>
      <c r="G2322" t="s">
        <v>15077</v>
      </c>
      <c r="L2322" t="s">
        <v>105</v>
      </c>
      <c r="M2322" t="s">
        <v>85</v>
      </c>
      <c r="R2322" t="s">
        <v>15078</v>
      </c>
      <c r="W2322" t="s">
        <v>15076</v>
      </c>
      <c r="X2322" t="s">
        <v>5911</v>
      </c>
      <c r="Y2322" t="s">
        <v>97</v>
      </c>
      <c r="Z2322" t="s">
        <v>77</v>
      </c>
      <c r="AA2322" t="str">
        <f>"10025-1737"</f>
        <v>10025-1737</v>
      </c>
      <c r="AB2322" t="s">
        <v>78</v>
      </c>
      <c r="AC2322" t="s">
        <v>79</v>
      </c>
      <c r="AD2322" t="s">
        <v>75</v>
      </c>
      <c r="AE2322" t="s">
        <v>80</v>
      </c>
      <c r="AG2322" t="s">
        <v>81</v>
      </c>
    </row>
    <row r="2323" spans="1:33" x14ac:dyDescent="0.25">
      <c r="A2323" t="str">
        <f>"1013087469"</f>
        <v>1013087469</v>
      </c>
      <c r="B2323" t="str">
        <f>"02605269"</f>
        <v>02605269</v>
      </c>
      <c r="C2323" t="s">
        <v>13436</v>
      </c>
      <c r="D2323" t="s">
        <v>15079</v>
      </c>
      <c r="E2323" t="s">
        <v>15080</v>
      </c>
      <c r="G2323" t="s">
        <v>15081</v>
      </c>
      <c r="L2323" t="s">
        <v>83</v>
      </c>
      <c r="M2323" t="s">
        <v>85</v>
      </c>
      <c r="R2323" t="s">
        <v>15082</v>
      </c>
      <c r="W2323" t="s">
        <v>15080</v>
      </c>
      <c r="X2323" t="s">
        <v>15083</v>
      </c>
      <c r="Y2323" t="s">
        <v>160</v>
      </c>
      <c r="Z2323" t="s">
        <v>77</v>
      </c>
      <c r="AA2323" t="str">
        <f>"11030-5200"</f>
        <v>11030-5200</v>
      </c>
      <c r="AB2323" t="s">
        <v>78</v>
      </c>
      <c r="AC2323" t="s">
        <v>79</v>
      </c>
      <c r="AD2323" t="s">
        <v>75</v>
      </c>
      <c r="AE2323" t="s">
        <v>80</v>
      </c>
      <c r="AG2323" t="s">
        <v>81</v>
      </c>
    </row>
    <row r="2324" spans="1:33" x14ac:dyDescent="0.25">
      <c r="A2324" t="str">
        <f>"1073569893"</f>
        <v>1073569893</v>
      </c>
      <c r="B2324" t="str">
        <f>"03386174"</f>
        <v>03386174</v>
      </c>
      <c r="C2324" t="s">
        <v>13436</v>
      </c>
      <c r="D2324" t="s">
        <v>15084</v>
      </c>
      <c r="E2324" t="s">
        <v>15085</v>
      </c>
      <c r="G2324" t="s">
        <v>15086</v>
      </c>
      <c r="L2324" t="s">
        <v>74</v>
      </c>
      <c r="M2324" t="s">
        <v>85</v>
      </c>
      <c r="R2324" t="s">
        <v>15087</v>
      </c>
      <c r="W2324" t="s">
        <v>15085</v>
      </c>
      <c r="X2324" t="s">
        <v>3784</v>
      </c>
      <c r="Y2324" t="s">
        <v>97</v>
      </c>
      <c r="Z2324" t="s">
        <v>77</v>
      </c>
      <c r="AA2324" t="str">
        <f>"10029-6500"</f>
        <v>10029-6500</v>
      </c>
      <c r="AB2324" t="s">
        <v>78</v>
      </c>
      <c r="AC2324" t="s">
        <v>79</v>
      </c>
      <c r="AD2324" t="s">
        <v>75</v>
      </c>
      <c r="AE2324" t="s">
        <v>80</v>
      </c>
      <c r="AG2324" t="s">
        <v>81</v>
      </c>
    </row>
    <row r="2325" spans="1:33" x14ac:dyDescent="0.25">
      <c r="A2325" t="str">
        <f>"1083646111"</f>
        <v>1083646111</v>
      </c>
      <c r="B2325" t="str">
        <f>"02335899"</f>
        <v>02335899</v>
      </c>
      <c r="C2325" t="s">
        <v>13436</v>
      </c>
      <c r="D2325" t="s">
        <v>15088</v>
      </c>
      <c r="E2325" t="s">
        <v>15089</v>
      </c>
      <c r="G2325" t="s">
        <v>15090</v>
      </c>
      <c r="L2325" t="s">
        <v>94</v>
      </c>
      <c r="M2325" t="s">
        <v>85</v>
      </c>
      <c r="R2325" t="s">
        <v>15091</v>
      </c>
      <c r="W2325" t="s">
        <v>15089</v>
      </c>
      <c r="X2325" t="s">
        <v>329</v>
      </c>
      <c r="Y2325" t="s">
        <v>97</v>
      </c>
      <c r="Z2325" t="s">
        <v>77</v>
      </c>
      <c r="AA2325" t="str">
        <f>"10029-6504"</f>
        <v>10029-6504</v>
      </c>
      <c r="AB2325" t="s">
        <v>78</v>
      </c>
      <c r="AC2325" t="s">
        <v>79</v>
      </c>
      <c r="AD2325" t="s">
        <v>75</v>
      </c>
      <c r="AE2325" t="s">
        <v>80</v>
      </c>
      <c r="AG2325" t="s">
        <v>81</v>
      </c>
    </row>
    <row r="2326" spans="1:33" x14ac:dyDescent="0.25">
      <c r="A2326" t="str">
        <f>"1083651202"</f>
        <v>1083651202</v>
      </c>
      <c r="B2326" t="str">
        <f>"02950498"</f>
        <v>02950498</v>
      </c>
      <c r="C2326" t="s">
        <v>13436</v>
      </c>
      <c r="D2326" t="s">
        <v>15092</v>
      </c>
      <c r="E2326" t="s">
        <v>15093</v>
      </c>
      <c r="G2326" t="s">
        <v>15094</v>
      </c>
      <c r="L2326" t="s">
        <v>94</v>
      </c>
      <c r="M2326" t="s">
        <v>85</v>
      </c>
      <c r="R2326" t="s">
        <v>15095</v>
      </c>
      <c r="W2326" t="s">
        <v>15096</v>
      </c>
      <c r="X2326" t="s">
        <v>11176</v>
      </c>
      <c r="Y2326" t="s">
        <v>97</v>
      </c>
      <c r="Z2326" t="s">
        <v>77</v>
      </c>
      <c r="AA2326" t="str">
        <f>"10029-6542"</f>
        <v>10029-6542</v>
      </c>
      <c r="AB2326" t="s">
        <v>78</v>
      </c>
      <c r="AC2326" t="s">
        <v>79</v>
      </c>
      <c r="AD2326" t="s">
        <v>75</v>
      </c>
      <c r="AE2326" t="s">
        <v>80</v>
      </c>
      <c r="AG2326" t="s">
        <v>81</v>
      </c>
    </row>
    <row r="2327" spans="1:33" x14ac:dyDescent="0.25">
      <c r="A2327" t="str">
        <f>"1083681217"</f>
        <v>1083681217</v>
      </c>
      <c r="B2327" t="str">
        <f>"01587806"</f>
        <v>01587806</v>
      </c>
      <c r="C2327" t="s">
        <v>13436</v>
      </c>
      <c r="D2327" t="s">
        <v>15097</v>
      </c>
      <c r="E2327" t="s">
        <v>15098</v>
      </c>
      <c r="G2327" t="s">
        <v>15099</v>
      </c>
      <c r="L2327" t="s">
        <v>74</v>
      </c>
      <c r="M2327" t="s">
        <v>85</v>
      </c>
      <c r="R2327" t="s">
        <v>15100</v>
      </c>
      <c r="W2327" t="s">
        <v>15098</v>
      </c>
      <c r="X2327" t="s">
        <v>11176</v>
      </c>
      <c r="Y2327" t="s">
        <v>97</v>
      </c>
      <c r="Z2327" t="s">
        <v>77</v>
      </c>
      <c r="AA2327" t="str">
        <f>"10029-6542"</f>
        <v>10029-6542</v>
      </c>
      <c r="AB2327" t="s">
        <v>78</v>
      </c>
      <c r="AC2327" t="s">
        <v>79</v>
      </c>
      <c r="AD2327" t="s">
        <v>75</v>
      </c>
      <c r="AE2327" t="s">
        <v>80</v>
      </c>
      <c r="AG2327" t="s">
        <v>81</v>
      </c>
    </row>
    <row r="2328" spans="1:33" x14ac:dyDescent="0.25">
      <c r="A2328" t="str">
        <f>"1083681761"</f>
        <v>1083681761</v>
      </c>
      <c r="B2328" t="str">
        <f>"02597120"</f>
        <v>02597120</v>
      </c>
      <c r="C2328" t="s">
        <v>13436</v>
      </c>
      <c r="D2328" t="s">
        <v>15101</v>
      </c>
      <c r="E2328" t="s">
        <v>15102</v>
      </c>
      <c r="G2328" t="s">
        <v>15103</v>
      </c>
      <c r="L2328" t="s">
        <v>74</v>
      </c>
      <c r="M2328" t="s">
        <v>85</v>
      </c>
      <c r="R2328" t="s">
        <v>15104</v>
      </c>
      <c r="W2328" t="s">
        <v>15105</v>
      </c>
      <c r="X2328" t="s">
        <v>329</v>
      </c>
      <c r="Y2328" t="s">
        <v>97</v>
      </c>
      <c r="Z2328" t="s">
        <v>77</v>
      </c>
      <c r="AA2328" t="str">
        <f>"10029-6500"</f>
        <v>10029-6500</v>
      </c>
      <c r="AB2328" t="s">
        <v>78</v>
      </c>
      <c r="AC2328" t="s">
        <v>79</v>
      </c>
      <c r="AD2328" t="s">
        <v>75</v>
      </c>
      <c r="AE2328" t="s">
        <v>80</v>
      </c>
      <c r="AG2328" t="s">
        <v>81</v>
      </c>
    </row>
    <row r="2329" spans="1:33" x14ac:dyDescent="0.25">
      <c r="A2329" t="str">
        <f>"1083938963"</f>
        <v>1083938963</v>
      </c>
      <c r="B2329" t="str">
        <f>"03652935"</f>
        <v>03652935</v>
      </c>
      <c r="C2329" t="s">
        <v>13436</v>
      </c>
      <c r="D2329" t="s">
        <v>15106</v>
      </c>
      <c r="E2329" t="s">
        <v>15107</v>
      </c>
      <c r="G2329" t="s">
        <v>15108</v>
      </c>
      <c r="L2329" t="s">
        <v>84</v>
      </c>
      <c r="M2329" t="s">
        <v>85</v>
      </c>
      <c r="R2329" t="s">
        <v>15107</v>
      </c>
      <c r="W2329" t="s">
        <v>15107</v>
      </c>
      <c r="X2329" t="s">
        <v>11195</v>
      </c>
      <c r="Y2329" t="s">
        <v>97</v>
      </c>
      <c r="Z2329" t="s">
        <v>77</v>
      </c>
      <c r="AA2329" t="str">
        <f>"10029-6030"</f>
        <v>10029-6030</v>
      </c>
      <c r="AB2329" t="s">
        <v>78</v>
      </c>
      <c r="AC2329" t="s">
        <v>79</v>
      </c>
      <c r="AD2329" t="s">
        <v>75</v>
      </c>
      <c r="AE2329" t="s">
        <v>80</v>
      </c>
      <c r="AG2329" t="s">
        <v>81</v>
      </c>
    </row>
    <row r="2330" spans="1:33" x14ac:dyDescent="0.25">
      <c r="A2330" t="str">
        <f>"1093080145"</f>
        <v>1093080145</v>
      </c>
      <c r="B2330" t="str">
        <f>"04230200"</f>
        <v>04230200</v>
      </c>
      <c r="C2330" t="s">
        <v>13436</v>
      </c>
      <c r="D2330" t="s">
        <v>15109</v>
      </c>
      <c r="E2330" t="s">
        <v>15110</v>
      </c>
      <c r="G2330" t="s">
        <v>15111</v>
      </c>
      <c r="L2330" t="s">
        <v>74</v>
      </c>
      <c r="M2330" t="s">
        <v>75</v>
      </c>
      <c r="R2330" t="s">
        <v>15112</v>
      </c>
      <c r="W2330" t="s">
        <v>15110</v>
      </c>
      <c r="X2330" t="s">
        <v>200</v>
      </c>
      <c r="Y2330" t="s">
        <v>97</v>
      </c>
      <c r="Z2330" t="s">
        <v>77</v>
      </c>
      <c r="AA2330" t="str">
        <f>"10032-3720"</f>
        <v>10032-3720</v>
      </c>
      <c r="AB2330" t="s">
        <v>78</v>
      </c>
      <c r="AC2330" t="s">
        <v>79</v>
      </c>
      <c r="AD2330" t="s">
        <v>75</v>
      </c>
      <c r="AE2330" t="s">
        <v>80</v>
      </c>
      <c r="AG2330" t="s">
        <v>81</v>
      </c>
    </row>
    <row r="2331" spans="1:33" x14ac:dyDescent="0.25">
      <c r="A2331" t="str">
        <f>"1093736696"</f>
        <v>1093736696</v>
      </c>
      <c r="B2331" t="str">
        <f>"02766085"</f>
        <v>02766085</v>
      </c>
      <c r="C2331" t="s">
        <v>13436</v>
      </c>
      <c r="D2331" t="s">
        <v>15113</v>
      </c>
      <c r="E2331" t="s">
        <v>15114</v>
      </c>
      <c r="G2331" t="s">
        <v>15115</v>
      </c>
      <c r="L2331" t="s">
        <v>94</v>
      </c>
      <c r="M2331" t="s">
        <v>75</v>
      </c>
      <c r="R2331" t="s">
        <v>15116</v>
      </c>
      <c r="W2331" t="s">
        <v>15114</v>
      </c>
      <c r="X2331" t="s">
        <v>6256</v>
      </c>
      <c r="Y2331" t="s">
        <v>97</v>
      </c>
      <c r="Z2331" t="s">
        <v>77</v>
      </c>
      <c r="AA2331" t="str">
        <f>"10128-5604"</f>
        <v>10128-5604</v>
      </c>
      <c r="AB2331" t="s">
        <v>78</v>
      </c>
      <c r="AC2331" t="s">
        <v>79</v>
      </c>
      <c r="AD2331" t="s">
        <v>75</v>
      </c>
      <c r="AE2331" t="s">
        <v>80</v>
      </c>
      <c r="AG2331" t="s">
        <v>81</v>
      </c>
    </row>
    <row r="2332" spans="1:33" x14ac:dyDescent="0.25">
      <c r="A2332" t="str">
        <f>"1093842825"</f>
        <v>1093842825</v>
      </c>
      <c r="C2332" t="s">
        <v>13436</v>
      </c>
      <c r="G2332" t="s">
        <v>15117</v>
      </c>
      <c r="K2332" t="s">
        <v>99</v>
      </c>
      <c r="L2332" t="s">
        <v>74</v>
      </c>
      <c r="M2332" t="s">
        <v>75</v>
      </c>
      <c r="R2332" t="s">
        <v>15118</v>
      </c>
      <c r="S2332" t="s">
        <v>15119</v>
      </c>
      <c r="T2332" t="s">
        <v>97</v>
      </c>
      <c r="U2332" t="s">
        <v>77</v>
      </c>
      <c r="V2332" t="str">
        <f>"100244530"</f>
        <v>100244530</v>
      </c>
      <c r="AC2332" t="s">
        <v>79</v>
      </c>
      <c r="AD2332" t="s">
        <v>75</v>
      </c>
      <c r="AE2332" t="s">
        <v>103</v>
      </c>
      <c r="AG2332" t="s">
        <v>81</v>
      </c>
    </row>
    <row r="2333" spans="1:33" x14ac:dyDescent="0.25">
      <c r="A2333" t="str">
        <f>"1093901050"</f>
        <v>1093901050</v>
      </c>
      <c r="B2333" t="str">
        <f>"03455507"</f>
        <v>03455507</v>
      </c>
      <c r="C2333" t="s">
        <v>13436</v>
      </c>
      <c r="D2333" t="s">
        <v>15120</v>
      </c>
      <c r="E2333" t="s">
        <v>15121</v>
      </c>
      <c r="G2333" t="s">
        <v>15122</v>
      </c>
      <c r="L2333" t="s">
        <v>105</v>
      </c>
      <c r="M2333" t="s">
        <v>85</v>
      </c>
      <c r="R2333" t="s">
        <v>15123</v>
      </c>
      <c r="W2333" t="s">
        <v>15121</v>
      </c>
      <c r="X2333" t="s">
        <v>329</v>
      </c>
      <c r="Y2333" t="s">
        <v>97</v>
      </c>
      <c r="Z2333" t="s">
        <v>77</v>
      </c>
      <c r="AA2333" t="str">
        <f>"10029-6504"</f>
        <v>10029-6504</v>
      </c>
      <c r="AB2333" t="s">
        <v>78</v>
      </c>
      <c r="AC2333" t="s">
        <v>79</v>
      </c>
      <c r="AD2333" t="s">
        <v>75</v>
      </c>
      <c r="AE2333" t="s">
        <v>80</v>
      </c>
      <c r="AG2333" t="s">
        <v>81</v>
      </c>
    </row>
    <row r="2334" spans="1:33" x14ac:dyDescent="0.25">
      <c r="A2334" t="str">
        <f>"1790066496"</f>
        <v>1790066496</v>
      </c>
      <c r="B2334" t="str">
        <f>"03525019"</f>
        <v>03525019</v>
      </c>
      <c r="C2334" t="s">
        <v>15124</v>
      </c>
      <c r="D2334" t="s">
        <v>15125</v>
      </c>
      <c r="E2334" t="s">
        <v>15126</v>
      </c>
      <c r="G2334" t="s">
        <v>7218</v>
      </c>
      <c r="H2334" t="s">
        <v>6801</v>
      </c>
      <c r="I2334">
        <v>6136</v>
      </c>
      <c r="J2334" t="s">
        <v>7219</v>
      </c>
      <c r="L2334" t="s">
        <v>74</v>
      </c>
      <c r="M2334" t="s">
        <v>75</v>
      </c>
      <c r="R2334" t="s">
        <v>15127</v>
      </c>
      <c r="W2334" t="s">
        <v>15126</v>
      </c>
      <c r="X2334" t="s">
        <v>8385</v>
      </c>
      <c r="Y2334" t="s">
        <v>97</v>
      </c>
      <c r="Z2334" t="s">
        <v>77</v>
      </c>
      <c r="AA2334" t="str">
        <f>"10001-2320"</f>
        <v>10001-2320</v>
      </c>
      <c r="AB2334" t="s">
        <v>109</v>
      </c>
      <c r="AC2334" t="s">
        <v>79</v>
      </c>
      <c r="AD2334" t="s">
        <v>75</v>
      </c>
      <c r="AE2334" t="s">
        <v>80</v>
      </c>
      <c r="AG2334" t="s">
        <v>81</v>
      </c>
    </row>
    <row r="2335" spans="1:33" x14ac:dyDescent="0.25">
      <c r="A2335" t="str">
        <f>"1790082469"</f>
        <v>1790082469</v>
      </c>
      <c r="C2335" t="s">
        <v>15128</v>
      </c>
      <c r="G2335" t="s">
        <v>7218</v>
      </c>
      <c r="H2335" t="s">
        <v>6801</v>
      </c>
      <c r="I2335">
        <v>6136</v>
      </c>
      <c r="J2335" t="s">
        <v>7219</v>
      </c>
      <c r="K2335" t="s">
        <v>99</v>
      </c>
      <c r="L2335" t="s">
        <v>102</v>
      </c>
      <c r="M2335" t="s">
        <v>75</v>
      </c>
      <c r="R2335" t="s">
        <v>15129</v>
      </c>
      <c r="S2335" t="s">
        <v>15130</v>
      </c>
      <c r="T2335" t="s">
        <v>87</v>
      </c>
      <c r="U2335" t="s">
        <v>77</v>
      </c>
      <c r="V2335" t="str">
        <f>"112353979"</f>
        <v>112353979</v>
      </c>
      <c r="AC2335" t="s">
        <v>79</v>
      </c>
      <c r="AD2335" t="s">
        <v>75</v>
      </c>
      <c r="AE2335" t="s">
        <v>103</v>
      </c>
      <c r="AG2335" t="s">
        <v>81</v>
      </c>
    </row>
    <row r="2336" spans="1:33" x14ac:dyDescent="0.25">
      <c r="A2336" t="str">
        <f>"1790099513"</f>
        <v>1790099513</v>
      </c>
      <c r="B2336" t="str">
        <f>"03532276"</f>
        <v>03532276</v>
      </c>
      <c r="C2336" t="s">
        <v>15131</v>
      </c>
      <c r="D2336" t="s">
        <v>15132</v>
      </c>
      <c r="E2336" t="s">
        <v>15133</v>
      </c>
      <c r="G2336" t="s">
        <v>7218</v>
      </c>
      <c r="H2336" t="s">
        <v>6801</v>
      </c>
      <c r="I2336">
        <v>6136</v>
      </c>
      <c r="J2336" t="s">
        <v>7219</v>
      </c>
      <c r="L2336" t="s">
        <v>74</v>
      </c>
      <c r="M2336" t="s">
        <v>75</v>
      </c>
      <c r="R2336" t="s">
        <v>15133</v>
      </c>
      <c r="W2336" t="s">
        <v>15133</v>
      </c>
      <c r="X2336" t="s">
        <v>8686</v>
      </c>
      <c r="Y2336" t="s">
        <v>145</v>
      </c>
      <c r="Z2336" t="s">
        <v>77</v>
      </c>
      <c r="AA2336" t="str">
        <f>"11361-3241"</f>
        <v>11361-3241</v>
      </c>
      <c r="AB2336" t="s">
        <v>109</v>
      </c>
      <c r="AC2336" t="s">
        <v>79</v>
      </c>
      <c r="AD2336" t="s">
        <v>75</v>
      </c>
      <c r="AE2336" t="s">
        <v>80</v>
      </c>
      <c r="AG2336" t="s">
        <v>81</v>
      </c>
    </row>
    <row r="2337" spans="1:33" x14ac:dyDescent="0.25">
      <c r="A2337" t="str">
        <f>"1790191062"</f>
        <v>1790191062</v>
      </c>
      <c r="C2337" t="s">
        <v>15134</v>
      </c>
      <c r="G2337" t="s">
        <v>7218</v>
      </c>
      <c r="H2337" t="s">
        <v>6801</v>
      </c>
      <c r="I2337">
        <v>6136</v>
      </c>
      <c r="J2337" t="s">
        <v>7219</v>
      </c>
      <c r="K2337" t="s">
        <v>99</v>
      </c>
      <c r="L2337" t="s">
        <v>102</v>
      </c>
      <c r="M2337" t="s">
        <v>75</v>
      </c>
      <c r="R2337" t="s">
        <v>1847</v>
      </c>
      <c r="S2337" t="s">
        <v>14675</v>
      </c>
      <c r="T2337" t="s">
        <v>97</v>
      </c>
      <c r="U2337" t="s">
        <v>77</v>
      </c>
      <c r="V2337" t="str">
        <f>"10001"</f>
        <v>10001</v>
      </c>
      <c r="AC2337" t="s">
        <v>79</v>
      </c>
      <c r="AD2337" t="s">
        <v>75</v>
      </c>
      <c r="AE2337" t="s">
        <v>103</v>
      </c>
      <c r="AG2337" t="s">
        <v>81</v>
      </c>
    </row>
    <row r="2338" spans="1:33" x14ac:dyDescent="0.25">
      <c r="A2338" t="str">
        <f>"1689895120"</f>
        <v>1689895120</v>
      </c>
      <c r="C2338" t="s">
        <v>13436</v>
      </c>
      <c r="G2338" t="s">
        <v>15135</v>
      </c>
      <c r="K2338" t="s">
        <v>99</v>
      </c>
      <c r="L2338" t="s">
        <v>102</v>
      </c>
      <c r="M2338" t="s">
        <v>85</v>
      </c>
      <c r="R2338" t="s">
        <v>8723</v>
      </c>
      <c r="S2338" t="s">
        <v>15136</v>
      </c>
      <c r="T2338" t="s">
        <v>87</v>
      </c>
      <c r="U2338" t="s">
        <v>77</v>
      </c>
      <c r="V2338" t="str">
        <f>"112231483"</f>
        <v>112231483</v>
      </c>
      <c r="AC2338" t="s">
        <v>79</v>
      </c>
      <c r="AD2338" t="s">
        <v>75</v>
      </c>
      <c r="AE2338" t="s">
        <v>103</v>
      </c>
      <c r="AG2338" t="s">
        <v>81</v>
      </c>
    </row>
    <row r="2339" spans="1:33" x14ac:dyDescent="0.25">
      <c r="A2339" t="str">
        <f>"1699756718"</f>
        <v>1699756718</v>
      </c>
      <c r="B2339" t="str">
        <f>"00401987"</f>
        <v>00401987</v>
      </c>
      <c r="C2339" t="s">
        <v>13436</v>
      </c>
      <c r="D2339" t="s">
        <v>15137</v>
      </c>
      <c r="E2339" t="s">
        <v>15138</v>
      </c>
      <c r="G2339" t="s">
        <v>15139</v>
      </c>
      <c r="L2339" t="s">
        <v>74</v>
      </c>
      <c r="M2339" t="s">
        <v>85</v>
      </c>
      <c r="R2339" t="s">
        <v>15140</v>
      </c>
      <c r="W2339" t="s">
        <v>15138</v>
      </c>
      <c r="X2339" t="s">
        <v>3553</v>
      </c>
      <c r="Y2339" t="s">
        <v>97</v>
      </c>
      <c r="Z2339" t="s">
        <v>77</v>
      </c>
      <c r="AA2339" t="str">
        <f>"10003-3851"</f>
        <v>10003-3851</v>
      </c>
      <c r="AB2339" t="s">
        <v>78</v>
      </c>
      <c r="AC2339" t="s">
        <v>79</v>
      </c>
      <c r="AD2339" t="s">
        <v>75</v>
      </c>
      <c r="AE2339" t="s">
        <v>80</v>
      </c>
      <c r="AG2339" t="s">
        <v>81</v>
      </c>
    </row>
    <row r="2340" spans="1:33" x14ac:dyDescent="0.25">
      <c r="A2340" t="str">
        <f>"1437233152"</f>
        <v>1437233152</v>
      </c>
      <c r="B2340" t="str">
        <f>"02202220"</f>
        <v>02202220</v>
      </c>
      <c r="C2340" t="s">
        <v>15141</v>
      </c>
      <c r="D2340" t="s">
        <v>15142</v>
      </c>
      <c r="E2340" t="s">
        <v>15143</v>
      </c>
      <c r="G2340" t="s">
        <v>13504</v>
      </c>
      <c r="H2340" t="s">
        <v>13505</v>
      </c>
      <c r="J2340" t="s">
        <v>13506</v>
      </c>
      <c r="L2340" t="s">
        <v>84</v>
      </c>
      <c r="M2340" t="s">
        <v>75</v>
      </c>
      <c r="R2340" t="s">
        <v>15144</v>
      </c>
      <c r="W2340" t="s">
        <v>15143</v>
      </c>
      <c r="X2340" t="s">
        <v>15145</v>
      </c>
      <c r="Y2340" t="s">
        <v>87</v>
      </c>
      <c r="Z2340" t="s">
        <v>77</v>
      </c>
      <c r="AA2340" t="str">
        <f>"11201-5425"</f>
        <v>11201-5425</v>
      </c>
      <c r="AB2340" t="s">
        <v>78</v>
      </c>
      <c r="AC2340" t="s">
        <v>79</v>
      </c>
      <c r="AD2340" t="s">
        <v>75</v>
      </c>
      <c r="AE2340" t="s">
        <v>80</v>
      </c>
      <c r="AG2340" t="s">
        <v>81</v>
      </c>
    </row>
    <row r="2341" spans="1:33" x14ac:dyDescent="0.25">
      <c r="A2341" t="str">
        <f>"1932279114"</f>
        <v>1932279114</v>
      </c>
      <c r="B2341" t="str">
        <f>"02530243"</f>
        <v>02530243</v>
      </c>
      <c r="C2341" t="s">
        <v>15146</v>
      </c>
      <c r="D2341" t="s">
        <v>15147</v>
      </c>
      <c r="E2341" t="s">
        <v>15148</v>
      </c>
      <c r="G2341" t="s">
        <v>13504</v>
      </c>
      <c r="H2341" t="s">
        <v>13505</v>
      </c>
      <c r="J2341" t="s">
        <v>13506</v>
      </c>
      <c r="L2341" t="s">
        <v>74</v>
      </c>
      <c r="M2341" t="s">
        <v>75</v>
      </c>
      <c r="R2341" t="s">
        <v>15149</v>
      </c>
      <c r="W2341" t="s">
        <v>15148</v>
      </c>
      <c r="X2341" t="s">
        <v>823</v>
      </c>
      <c r="Y2341" t="s">
        <v>131</v>
      </c>
      <c r="Z2341" t="s">
        <v>77</v>
      </c>
      <c r="AA2341" t="str">
        <f>"10467-2401"</f>
        <v>10467-2401</v>
      </c>
      <c r="AB2341" t="s">
        <v>78</v>
      </c>
      <c r="AC2341" t="s">
        <v>79</v>
      </c>
      <c r="AD2341" t="s">
        <v>75</v>
      </c>
      <c r="AE2341" t="s">
        <v>80</v>
      </c>
      <c r="AG2341" t="s">
        <v>81</v>
      </c>
    </row>
    <row r="2342" spans="1:33" x14ac:dyDescent="0.25">
      <c r="A2342" t="str">
        <f>"1225054984"</f>
        <v>1225054984</v>
      </c>
      <c r="B2342" t="str">
        <f>"03025550"</f>
        <v>03025550</v>
      </c>
      <c r="C2342" t="s">
        <v>15150</v>
      </c>
      <c r="D2342" t="s">
        <v>733</v>
      </c>
      <c r="E2342" t="s">
        <v>734</v>
      </c>
      <c r="G2342" t="s">
        <v>13504</v>
      </c>
      <c r="H2342" t="s">
        <v>13505</v>
      </c>
      <c r="J2342" t="s">
        <v>13506</v>
      </c>
      <c r="L2342" t="s">
        <v>83</v>
      </c>
      <c r="M2342" t="s">
        <v>75</v>
      </c>
      <c r="R2342" t="s">
        <v>732</v>
      </c>
      <c r="W2342" t="s">
        <v>734</v>
      </c>
      <c r="X2342" t="s">
        <v>735</v>
      </c>
      <c r="Y2342" t="s">
        <v>97</v>
      </c>
      <c r="Z2342" t="s">
        <v>77</v>
      </c>
      <c r="AA2342" t="str">
        <f>"10075-1851"</f>
        <v>10075-1851</v>
      </c>
      <c r="AB2342" t="s">
        <v>78</v>
      </c>
      <c r="AC2342" t="s">
        <v>79</v>
      </c>
      <c r="AD2342" t="s">
        <v>75</v>
      </c>
      <c r="AE2342" t="s">
        <v>80</v>
      </c>
      <c r="AG2342" t="s">
        <v>81</v>
      </c>
    </row>
    <row r="2343" spans="1:33" x14ac:dyDescent="0.25">
      <c r="A2343" t="str">
        <f>"1306998752"</f>
        <v>1306998752</v>
      </c>
      <c r="B2343" t="str">
        <f>"02245458"</f>
        <v>02245458</v>
      </c>
      <c r="C2343" t="s">
        <v>15151</v>
      </c>
      <c r="D2343" t="s">
        <v>15152</v>
      </c>
      <c r="E2343" t="s">
        <v>15153</v>
      </c>
      <c r="G2343" t="s">
        <v>13504</v>
      </c>
      <c r="H2343" t="s">
        <v>13505</v>
      </c>
      <c r="J2343" t="s">
        <v>13506</v>
      </c>
      <c r="L2343" t="s">
        <v>84</v>
      </c>
      <c r="M2343" t="s">
        <v>75</v>
      </c>
      <c r="R2343" t="s">
        <v>15154</v>
      </c>
      <c r="W2343" t="s">
        <v>15153</v>
      </c>
      <c r="X2343" t="s">
        <v>15155</v>
      </c>
      <c r="Y2343" t="s">
        <v>97</v>
      </c>
      <c r="Z2343" t="s">
        <v>77</v>
      </c>
      <c r="AA2343" t="str">
        <f>"10029-6430"</f>
        <v>10029-6430</v>
      </c>
      <c r="AB2343" t="s">
        <v>78</v>
      </c>
      <c r="AC2343" t="s">
        <v>79</v>
      </c>
      <c r="AD2343" t="s">
        <v>75</v>
      </c>
      <c r="AE2343" t="s">
        <v>80</v>
      </c>
      <c r="AG2343" t="s">
        <v>81</v>
      </c>
    </row>
    <row r="2344" spans="1:33" x14ac:dyDescent="0.25">
      <c r="A2344" t="str">
        <f>"1972731982"</f>
        <v>1972731982</v>
      </c>
      <c r="C2344" t="s">
        <v>15156</v>
      </c>
      <c r="K2344" t="s">
        <v>99</v>
      </c>
      <c r="L2344" t="s">
        <v>102</v>
      </c>
      <c r="M2344" t="s">
        <v>75</v>
      </c>
      <c r="R2344" t="s">
        <v>15157</v>
      </c>
      <c r="S2344" t="s">
        <v>15158</v>
      </c>
      <c r="T2344" t="s">
        <v>2625</v>
      </c>
      <c r="U2344" t="s">
        <v>2625</v>
      </c>
      <c r="V2344" t="str">
        <f>"110007"</f>
        <v>110007</v>
      </c>
      <c r="AC2344" t="s">
        <v>79</v>
      </c>
      <c r="AD2344" t="s">
        <v>75</v>
      </c>
      <c r="AE2344" t="s">
        <v>103</v>
      </c>
      <c r="AG2344" t="s">
        <v>81</v>
      </c>
    </row>
    <row r="2345" spans="1:33" x14ac:dyDescent="0.25">
      <c r="A2345" t="str">
        <f>"1235120171"</f>
        <v>1235120171</v>
      </c>
      <c r="B2345" t="str">
        <f>"01649361"</f>
        <v>01649361</v>
      </c>
      <c r="C2345" t="s">
        <v>13436</v>
      </c>
      <c r="D2345" t="s">
        <v>15159</v>
      </c>
      <c r="E2345" t="s">
        <v>15160</v>
      </c>
      <c r="G2345" t="s">
        <v>15161</v>
      </c>
      <c r="L2345" t="s">
        <v>83</v>
      </c>
      <c r="M2345" t="s">
        <v>85</v>
      </c>
      <c r="R2345" t="s">
        <v>15162</v>
      </c>
      <c r="W2345" t="s">
        <v>15160</v>
      </c>
      <c r="X2345" t="s">
        <v>2612</v>
      </c>
      <c r="Y2345" t="s">
        <v>131</v>
      </c>
      <c r="Z2345" t="s">
        <v>77</v>
      </c>
      <c r="AA2345" t="str">
        <f>"10461-2660"</f>
        <v>10461-2660</v>
      </c>
      <c r="AB2345" t="s">
        <v>78</v>
      </c>
      <c r="AC2345" t="s">
        <v>79</v>
      </c>
      <c r="AD2345" t="s">
        <v>75</v>
      </c>
      <c r="AE2345" t="s">
        <v>80</v>
      </c>
      <c r="AG2345" t="s">
        <v>81</v>
      </c>
    </row>
    <row r="2346" spans="1:33" x14ac:dyDescent="0.25">
      <c r="A2346" t="str">
        <f>"1790102655"</f>
        <v>1790102655</v>
      </c>
      <c r="C2346" t="s">
        <v>15163</v>
      </c>
      <c r="K2346" t="s">
        <v>99</v>
      </c>
      <c r="L2346" t="s">
        <v>102</v>
      </c>
      <c r="M2346" t="s">
        <v>75</v>
      </c>
      <c r="R2346" t="s">
        <v>15164</v>
      </c>
      <c r="S2346" t="s">
        <v>15165</v>
      </c>
      <c r="T2346" t="s">
        <v>97</v>
      </c>
      <c r="U2346" t="s">
        <v>77</v>
      </c>
      <c r="V2346" t="str">
        <f>"100296508"</f>
        <v>100296508</v>
      </c>
      <c r="AC2346" t="s">
        <v>79</v>
      </c>
      <c r="AD2346" t="s">
        <v>75</v>
      </c>
      <c r="AE2346" t="s">
        <v>103</v>
      </c>
      <c r="AG2346" t="s">
        <v>81</v>
      </c>
    </row>
    <row r="2347" spans="1:33" x14ac:dyDescent="0.25">
      <c r="A2347" t="str">
        <f>"1902123920"</f>
        <v>1902123920</v>
      </c>
      <c r="C2347" t="s">
        <v>15166</v>
      </c>
      <c r="K2347" t="s">
        <v>99</v>
      </c>
      <c r="L2347" t="s">
        <v>102</v>
      </c>
      <c r="M2347" t="s">
        <v>75</v>
      </c>
      <c r="R2347" t="s">
        <v>15167</v>
      </c>
      <c r="S2347" t="s">
        <v>329</v>
      </c>
      <c r="T2347" t="s">
        <v>97</v>
      </c>
      <c r="U2347" t="s">
        <v>77</v>
      </c>
      <c r="V2347" t="str">
        <f>"100296574"</f>
        <v>100296574</v>
      </c>
      <c r="AC2347" t="s">
        <v>79</v>
      </c>
      <c r="AD2347" t="s">
        <v>75</v>
      </c>
      <c r="AE2347" t="s">
        <v>103</v>
      </c>
      <c r="AG2347" t="s">
        <v>81</v>
      </c>
    </row>
    <row r="2348" spans="1:33" x14ac:dyDescent="0.25">
      <c r="A2348" t="str">
        <f>"1932475001"</f>
        <v>1932475001</v>
      </c>
      <c r="C2348" t="s">
        <v>15168</v>
      </c>
      <c r="K2348" t="s">
        <v>99</v>
      </c>
      <c r="L2348" t="s">
        <v>102</v>
      </c>
      <c r="M2348" t="s">
        <v>75</v>
      </c>
      <c r="R2348" t="s">
        <v>15169</v>
      </c>
      <c r="S2348" t="s">
        <v>6041</v>
      </c>
      <c r="T2348" t="s">
        <v>97</v>
      </c>
      <c r="U2348" t="s">
        <v>77</v>
      </c>
      <c r="V2348" t="str">
        <f>"10128"</f>
        <v>10128</v>
      </c>
      <c r="AC2348" t="s">
        <v>79</v>
      </c>
      <c r="AD2348" t="s">
        <v>75</v>
      </c>
      <c r="AE2348" t="s">
        <v>103</v>
      </c>
      <c r="AG2348" t="s">
        <v>81</v>
      </c>
    </row>
    <row r="2349" spans="1:33" x14ac:dyDescent="0.25">
      <c r="A2349" t="str">
        <f>"1780825091"</f>
        <v>1780825091</v>
      </c>
      <c r="B2349" t="str">
        <f>"03696068"</f>
        <v>03696068</v>
      </c>
      <c r="C2349" t="s">
        <v>15170</v>
      </c>
      <c r="D2349" t="s">
        <v>15171</v>
      </c>
      <c r="E2349" t="s">
        <v>15172</v>
      </c>
      <c r="G2349" t="s">
        <v>7218</v>
      </c>
      <c r="H2349" t="s">
        <v>6801</v>
      </c>
      <c r="I2349">
        <v>6136</v>
      </c>
      <c r="J2349" t="s">
        <v>7219</v>
      </c>
      <c r="L2349" t="s">
        <v>74</v>
      </c>
      <c r="M2349" t="s">
        <v>75</v>
      </c>
      <c r="R2349" t="s">
        <v>15173</v>
      </c>
      <c r="W2349" t="s">
        <v>15172</v>
      </c>
      <c r="X2349" t="s">
        <v>15174</v>
      </c>
      <c r="Y2349" t="s">
        <v>97</v>
      </c>
      <c r="Z2349" t="s">
        <v>77</v>
      </c>
      <c r="AA2349" t="str">
        <f>"10001-2403"</f>
        <v>10001-2403</v>
      </c>
      <c r="AB2349" t="s">
        <v>109</v>
      </c>
      <c r="AC2349" t="s">
        <v>79</v>
      </c>
      <c r="AD2349" t="s">
        <v>75</v>
      </c>
      <c r="AE2349" t="s">
        <v>80</v>
      </c>
      <c r="AG2349" t="s">
        <v>81</v>
      </c>
    </row>
    <row r="2350" spans="1:33" x14ac:dyDescent="0.25">
      <c r="A2350" t="str">
        <f>"1235266040"</f>
        <v>1235266040</v>
      </c>
      <c r="C2350" t="s">
        <v>15175</v>
      </c>
      <c r="G2350" t="s">
        <v>9477</v>
      </c>
      <c r="H2350" t="s">
        <v>4867</v>
      </c>
      <c r="I2350">
        <v>135</v>
      </c>
      <c r="J2350" t="s">
        <v>5634</v>
      </c>
      <c r="K2350" t="s">
        <v>99</v>
      </c>
      <c r="L2350" t="s">
        <v>102</v>
      </c>
      <c r="M2350" t="s">
        <v>75</v>
      </c>
      <c r="R2350" t="s">
        <v>5939</v>
      </c>
      <c r="S2350" t="s">
        <v>5940</v>
      </c>
      <c r="T2350" t="s">
        <v>316</v>
      </c>
      <c r="U2350" t="s">
        <v>77</v>
      </c>
      <c r="V2350" t="str">
        <f>"108017411"</f>
        <v>108017411</v>
      </c>
      <c r="AC2350" t="s">
        <v>79</v>
      </c>
      <c r="AD2350" t="s">
        <v>75</v>
      </c>
      <c r="AE2350" t="s">
        <v>103</v>
      </c>
      <c r="AG2350" t="s">
        <v>81</v>
      </c>
    </row>
    <row r="2351" spans="1:33" x14ac:dyDescent="0.25">
      <c r="A2351" t="str">
        <f>"1215017769"</f>
        <v>1215017769</v>
      </c>
      <c r="B2351" t="str">
        <f>"02107835"</f>
        <v>02107835</v>
      </c>
      <c r="C2351" t="s">
        <v>15176</v>
      </c>
      <c r="D2351" t="s">
        <v>5932</v>
      </c>
      <c r="E2351" t="s">
        <v>5933</v>
      </c>
      <c r="G2351" t="s">
        <v>9477</v>
      </c>
      <c r="H2351" t="s">
        <v>4867</v>
      </c>
      <c r="I2351">
        <v>135</v>
      </c>
      <c r="J2351" t="s">
        <v>5634</v>
      </c>
      <c r="L2351" t="s">
        <v>83</v>
      </c>
      <c r="M2351" t="s">
        <v>75</v>
      </c>
      <c r="R2351" t="s">
        <v>5934</v>
      </c>
      <c r="W2351" t="s">
        <v>5933</v>
      </c>
      <c r="X2351" t="s">
        <v>5935</v>
      </c>
      <c r="Y2351" t="s">
        <v>180</v>
      </c>
      <c r="Z2351" t="s">
        <v>77</v>
      </c>
      <c r="AA2351" t="str">
        <f>"10705-2970"</f>
        <v>10705-2970</v>
      </c>
      <c r="AB2351" t="s">
        <v>78</v>
      </c>
      <c r="AC2351" t="s">
        <v>79</v>
      </c>
      <c r="AD2351" t="s">
        <v>75</v>
      </c>
      <c r="AE2351" t="s">
        <v>80</v>
      </c>
      <c r="AG2351" t="s">
        <v>81</v>
      </c>
    </row>
    <row r="2352" spans="1:33" x14ac:dyDescent="0.25">
      <c r="A2352" t="str">
        <f>"1306890785"</f>
        <v>1306890785</v>
      </c>
      <c r="B2352" t="str">
        <f>"02196234"</f>
        <v>02196234</v>
      </c>
      <c r="C2352" t="s">
        <v>15177</v>
      </c>
      <c r="D2352" t="s">
        <v>5946</v>
      </c>
      <c r="E2352" t="s">
        <v>5947</v>
      </c>
      <c r="G2352" t="s">
        <v>9477</v>
      </c>
      <c r="H2352" t="s">
        <v>4867</v>
      </c>
      <c r="I2352">
        <v>135</v>
      </c>
      <c r="J2352" t="s">
        <v>5634</v>
      </c>
      <c r="L2352" t="s">
        <v>83</v>
      </c>
      <c r="M2352" t="s">
        <v>75</v>
      </c>
      <c r="R2352" t="s">
        <v>5948</v>
      </c>
      <c r="W2352" t="s">
        <v>5947</v>
      </c>
      <c r="X2352" t="s">
        <v>5949</v>
      </c>
      <c r="Y2352" t="s">
        <v>87</v>
      </c>
      <c r="Z2352" t="s">
        <v>77</v>
      </c>
      <c r="AA2352" t="str">
        <f>"11230-7201"</f>
        <v>11230-7201</v>
      </c>
      <c r="AB2352" t="s">
        <v>78</v>
      </c>
      <c r="AC2352" t="s">
        <v>79</v>
      </c>
      <c r="AD2352" t="s">
        <v>75</v>
      </c>
      <c r="AE2352" t="s">
        <v>80</v>
      </c>
      <c r="AG2352" t="s">
        <v>81</v>
      </c>
    </row>
    <row r="2353" spans="1:33" x14ac:dyDescent="0.25">
      <c r="A2353" t="str">
        <f>"1851334684"</f>
        <v>1851334684</v>
      </c>
      <c r="B2353" t="str">
        <f>"01819290"</f>
        <v>01819290</v>
      </c>
      <c r="C2353" t="s">
        <v>15178</v>
      </c>
      <c r="D2353" t="s">
        <v>3958</v>
      </c>
      <c r="E2353" t="s">
        <v>3959</v>
      </c>
      <c r="G2353" t="s">
        <v>9477</v>
      </c>
      <c r="H2353" t="s">
        <v>4867</v>
      </c>
      <c r="I2353">
        <v>135</v>
      </c>
      <c r="J2353" t="s">
        <v>5634</v>
      </c>
      <c r="L2353" t="s">
        <v>83</v>
      </c>
      <c r="M2353" t="s">
        <v>75</v>
      </c>
      <c r="R2353" t="s">
        <v>3960</v>
      </c>
      <c r="W2353" t="s">
        <v>3959</v>
      </c>
      <c r="Y2353" t="s">
        <v>180</v>
      </c>
      <c r="Z2353" t="s">
        <v>77</v>
      </c>
      <c r="AA2353" t="str">
        <f>"10701-4080"</f>
        <v>10701-4080</v>
      </c>
      <c r="AB2353" t="s">
        <v>128</v>
      </c>
      <c r="AC2353" t="s">
        <v>79</v>
      </c>
      <c r="AD2353" t="s">
        <v>75</v>
      </c>
      <c r="AE2353" t="s">
        <v>80</v>
      </c>
      <c r="AG2353" t="s">
        <v>81</v>
      </c>
    </row>
    <row r="2354" spans="1:33" x14ac:dyDescent="0.25">
      <c r="C2354" t="s">
        <v>15179</v>
      </c>
      <c r="G2354" t="s">
        <v>9477</v>
      </c>
      <c r="H2354" t="s">
        <v>4867</v>
      </c>
      <c r="I2354">
        <v>135</v>
      </c>
      <c r="J2354" t="s">
        <v>5634</v>
      </c>
      <c r="K2354" t="s">
        <v>99</v>
      </c>
      <c r="L2354" t="s">
        <v>100</v>
      </c>
      <c r="M2354" t="s">
        <v>75</v>
      </c>
      <c r="N2354" t="s">
        <v>9988</v>
      </c>
      <c r="O2354" t="s">
        <v>296</v>
      </c>
      <c r="P2354" t="s">
        <v>77</v>
      </c>
      <c r="Q2354" t="str">
        <f>"10463"</f>
        <v>10463</v>
      </c>
      <c r="AC2354" t="s">
        <v>79</v>
      </c>
      <c r="AD2354" t="s">
        <v>75</v>
      </c>
      <c r="AE2354" t="s">
        <v>101</v>
      </c>
      <c r="AG2354" t="s">
        <v>81</v>
      </c>
    </row>
    <row r="2355" spans="1:33" x14ac:dyDescent="0.25">
      <c r="C2355" t="s">
        <v>15180</v>
      </c>
      <c r="G2355" t="s">
        <v>9477</v>
      </c>
      <c r="H2355" t="s">
        <v>4867</v>
      </c>
      <c r="I2355">
        <v>135</v>
      </c>
      <c r="J2355" t="s">
        <v>5634</v>
      </c>
      <c r="K2355" t="s">
        <v>99</v>
      </c>
      <c r="L2355" t="s">
        <v>100</v>
      </c>
      <c r="M2355" t="s">
        <v>75</v>
      </c>
      <c r="N2355" t="s">
        <v>9990</v>
      </c>
      <c r="O2355" t="s">
        <v>9991</v>
      </c>
      <c r="P2355" t="s">
        <v>77</v>
      </c>
      <c r="Q2355" t="str">
        <f>"10573"</f>
        <v>10573</v>
      </c>
      <c r="AC2355" t="s">
        <v>79</v>
      </c>
      <c r="AD2355" t="s">
        <v>75</v>
      </c>
      <c r="AE2355" t="s">
        <v>101</v>
      </c>
      <c r="AG2355" t="s">
        <v>81</v>
      </c>
    </row>
    <row r="2356" spans="1:33" x14ac:dyDescent="0.25">
      <c r="A2356" t="str">
        <f>"1083610125"</f>
        <v>1083610125</v>
      </c>
      <c r="B2356" t="str">
        <f>"01066435"</f>
        <v>01066435</v>
      </c>
      <c r="C2356" t="s">
        <v>15181</v>
      </c>
      <c r="D2356" t="s">
        <v>5928</v>
      </c>
      <c r="E2356" t="s">
        <v>5929</v>
      </c>
      <c r="G2356" t="s">
        <v>9477</v>
      </c>
      <c r="H2356" t="s">
        <v>4867</v>
      </c>
      <c r="I2356">
        <v>135</v>
      </c>
      <c r="J2356" t="s">
        <v>5634</v>
      </c>
      <c r="L2356" t="s">
        <v>84</v>
      </c>
      <c r="M2356" t="s">
        <v>75</v>
      </c>
      <c r="R2356" t="s">
        <v>5930</v>
      </c>
      <c r="W2356" t="s">
        <v>5931</v>
      </c>
      <c r="X2356" t="s">
        <v>601</v>
      </c>
      <c r="Y2356" t="s">
        <v>180</v>
      </c>
      <c r="Z2356" t="s">
        <v>77</v>
      </c>
      <c r="AA2356" t="str">
        <f>"10701-1311"</f>
        <v>10701-1311</v>
      </c>
      <c r="AB2356" t="s">
        <v>78</v>
      </c>
      <c r="AC2356" t="s">
        <v>79</v>
      </c>
      <c r="AD2356" t="s">
        <v>75</v>
      </c>
      <c r="AE2356" t="s">
        <v>80</v>
      </c>
      <c r="AG2356" t="s">
        <v>81</v>
      </c>
    </row>
    <row r="2357" spans="1:33" x14ac:dyDescent="0.25">
      <c r="A2357" t="str">
        <f>"1477534196"</f>
        <v>1477534196</v>
      </c>
      <c r="B2357" t="str">
        <f>"01849861"</f>
        <v>01849861</v>
      </c>
      <c r="C2357" t="s">
        <v>13436</v>
      </c>
      <c r="D2357" t="s">
        <v>15182</v>
      </c>
      <c r="E2357" t="s">
        <v>15183</v>
      </c>
      <c r="G2357" t="s">
        <v>15184</v>
      </c>
      <c r="L2357" t="s">
        <v>84</v>
      </c>
      <c r="M2357" t="s">
        <v>85</v>
      </c>
      <c r="R2357" t="s">
        <v>15183</v>
      </c>
      <c r="W2357" t="s">
        <v>15183</v>
      </c>
      <c r="X2357" t="s">
        <v>15185</v>
      </c>
      <c r="Y2357" t="s">
        <v>97</v>
      </c>
      <c r="Z2357" t="s">
        <v>77</v>
      </c>
      <c r="AA2357" t="str">
        <f>"10003-3314"</f>
        <v>10003-3314</v>
      </c>
      <c r="AB2357" t="s">
        <v>78</v>
      </c>
      <c r="AC2357" t="s">
        <v>79</v>
      </c>
      <c r="AD2357" t="s">
        <v>75</v>
      </c>
      <c r="AE2357" t="s">
        <v>80</v>
      </c>
      <c r="AG2357" t="s">
        <v>81</v>
      </c>
    </row>
    <row r="2358" spans="1:33" x14ac:dyDescent="0.25">
      <c r="A2358" t="str">
        <f>"1780957662"</f>
        <v>1780957662</v>
      </c>
      <c r="C2358" t="s">
        <v>15186</v>
      </c>
      <c r="G2358" t="s">
        <v>15186</v>
      </c>
      <c r="H2358" t="s">
        <v>15187</v>
      </c>
      <c r="J2358" t="s">
        <v>15188</v>
      </c>
      <c r="K2358" t="s">
        <v>99</v>
      </c>
      <c r="L2358" t="s">
        <v>74</v>
      </c>
      <c r="M2358" t="s">
        <v>75</v>
      </c>
      <c r="R2358" t="s">
        <v>15189</v>
      </c>
      <c r="S2358" t="s">
        <v>3076</v>
      </c>
      <c r="T2358" t="s">
        <v>97</v>
      </c>
      <c r="U2358" t="s">
        <v>77</v>
      </c>
      <c r="V2358" t="str">
        <f>"100143518"</f>
        <v>100143518</v>
      </c>
      <c r="AC2358" t="s">
        <v>79</v>
      </c>
      <c r="AD2358" t="s">
        <v>75</v>
      </c>
      <c r="AE2358" t="s">
        <v>103</v>
      </c>
      <c r="AG2358" t="s">
        <v>81</v>
      </c>
    </row>
    <row r="2359" spans="1:33" x14ac:dyDescent="0.25">
      <c r="A2359" t="str">
        <f>"1689014508"</f>
        <v>1689014508</v>
      </c>
      <c r="C2359" t="s">
        <v>15190</v>
      </c>
      <c r="G2359" t="s">
        <v>15186</v>
      </c>
      <c r="H2359" t="s">
        <v>15187</v>
      </c>
      <c r="J2359" t="s">
        <v>15188</v>
      </c>
      <c r="K2359" t="s">
        <v>99</v>
      </c>
      <c r="L2359" t="s">
        <v>102</v>
      </c>
      <c r="M2359" t="s">
        <v>75</v>
      </c>
      <c r="R2359" t="s">
        <v>15191</v>
      </c>
      <c r="S2359" t="s">
        <v>3076</v>
      </c>
      <c r="T2359" t="s">
        <v>97</v>
      </c>
      <c r="U2359" t="s">
        <v>77</v>
      </c>
      <c r="V2359" t="str">
        <f>"100143518"</f>
        <v>100143518</v>
      </c>
      <c r="AC2359" t="s">
        <v>79</v>
      </c>
      <c r="AD2359" t="s">
        <v>75</v>
      </c>
      <c r="AE2359" t="s">
        <v>103</v>
      </c>
      <c r="AG2359" t="s">
        <v>81</v>
      </c>
    </row>
    <row r="2360" spans="1:33" x14ac:dyDescent="0.25">
      <c r="A2360" t="str">
        <f>"1073501300"</f>
        <v>1073501300</v>
      </c>
      <c r="B2360" t="str">
        <f>"00741759"</f>
        <v>00741759</v>
      </c>
      <c r="C2360" t="s">
        <v>13436</v>
      </c>
      <c r="D2360" t="s">
        <v>15192</v>
      </c>
      <c r="E2360" t="s">
        <v>15193</v>
      </c>
      <c r="G2360" t="s">
        <v>15194</v>
      </c>
      <c r="L2360" t="s">
        <v>83</v>
      </c>
      <c r="M2360" t="s">
        <v>85</v>
      </c>
      <c r="R2360" t="s">
        <v>15195</v>
      </c>
      <c r="W2360" t="s">
        <v>15193</v>
      </c>
      <c r="Y2360" t="s">
        <v>97</v>
      </c>
      <c r="Z2360" t="s">
        <v>77</v>
      </c>
      <c r="AA2360" t="str">
        <f>"10003-3851"</f>
        <v>10003-3851</v>
      </c>
      <c r="AB2360" t="s">
        <v>78</v>
      </c>
      <c r="AC2360" t="s">
        <v>79</v>
      </c>
      <c r="AD2360" t="s">
        <v>75</v>
      </c>
      <c r="AE2360" t="s">
        <v>80</v>
      </c>
      <c r="AG2360" t="s">
        <v>81</v>
      </c>
    </row>
    <row r="2361" spans="1:33" x14ac:dyDescent="0.25">
      <c r="A2361" t="str">
        <f>"1194042895"</f>
        <v>1194042895</v>
      </c>
      <c r="B2361" t="str">
        <f>"03224706"</f>
        <v>03224706</v>
      </c>
      <c r="C2361" t="s">
        <v>13436</v>
      </c>
      <c r="D2361" t="s">
        <v>15196</v>
      </c>
      <c r="E2361" t="s">
        <v>15197</v>
      </c>
      <c r="G2361" t="s">
        <v>15198</v>
      </c>
      <c r="L2361" t="s">
        <v>74</v>
      </c>
      <c r="M2361" t="s">
        <v>85</v>
      </c>
      <c r="R2361" t="s">
        <v>15197</v>
      </c>
      <c r="W2361" t="s">
        <v>15197</v>
      </c>
      <c r="X2361" t="s">
        <v>15199</v>
      </c>
      <c r="Y2361" t="s">
        <v>97</v>
      </c>
      <c r="Z2361" t="s">
        <v>77</v>
      </c>
      <c r="AA2361" t="str">
        <f>"10003-3851"</f>
        <v>10003-3851</v>
      </c>
      <c r="AB2361" t="s">
        <v>78</v>
      </c>
      <c r="AC2361" t="s">
        <v>79</v>
      </c>
      <c r="AD2361" t="s">
        <v>75</v>
      </c>
      <c r="AE2361" t="s">
        <v>80</v>
      </c>
      <c r="AG2361" t="s">
        <v>81</v>
      </c>
    </row>
    <row r="2362" spans="1:33" x14ac:dyDescent="0.25">
      <c r="A2362" t="str">
        <f>"1194816876"</f>
        <v>1194816876</v>
      </c>
      <c r="B2362" t="str">
        <f>"00944665"</f>
        <v>00944665</v>
      </c>
      <c r="C2362" t="s">
        <v>13436</v>
      </c>
      <c r="D2362" t="s">
        <v>15200</v>
      </c>
      <c r="E2362" t="s">
        <v>15201</v>
      </c>
      <c r="G2362" t="s">
        <v>15202</v>
      </c>
      <c r="L2362" t="s">
        <v>83</v>
      </c>
      <c r="M2362" t="s">
        <v>85</v>
      </c>
      <c r="R2362" t="s">
        <v>15203</v>
      </c>
      <c r="W2362" t="s">
        <v>15204</v>
      </c>
      <c r="X2362" t="s">
        <v>15205</v>
      </c>
      <c r="Y2362" t="s">
        <v>97</v>
      </c>
      <c r="Z2362" t="s">
        <v>77</v>
      </c>
      <c r="AA2362" t="str">
        <f>"10021-3653"</f>
        <v>10021-3653</v>
      </c>
      <c r="AB2362" t="s">
        <v>78</v>
      </c>
      <c r="AC2362" t="s">
        <v>79</v>
      </c>
      <c r="AD2362" t="s">
        <v>75</v>
      </c>
      <c r="AE2362" t="s">
        <v>80</v>
      </c>
      <c r="AG2362" t="s">
        <v>81</v>
      </c>
    </row>
    <row r="2363" spans="1:33" x14ac:dyDescent="0.25">
      <c r="A2363" t="str">
        <f>"1194898981"</f>
        <v>1194898981</v>
      </c>
      <c r="B2363" t="str">
        <f>"00894124"</f>
        <v>00894124</v>
      </c>
      <c r="C2363" t="s">
        <v>13436</v>
      </c>
      <c r="D2363" t="s">
        <v>15206</v>
      </c>
      <c r="E2363" t="s">
        <v>15207</v>
      </c>
      <c r="G2363" t="s">
        <v>15208</v>
      </c>
      <c r="L2363" t="s">
        <v>83</v>
      </c>
      <c r="M2363" t="s">
        <v>85</v>
      </c>
      <c r="R2363" t="s">
        <v>15209</v>
      </c>
      <c r="W2363" t="s">
        <v>15207</v>
      </c>
      <c r="X2363" t="s">
        <v>823</v>
      </c>
      <c r="Y2363" t="s">
        <v>97</v>
      </c>
      <c r="Z2363" t="s">
        <v>77</v>
      </c>
      <c r="AA2363" t="str">
        <f>"10019"</f>
        <v>10019</v>
      </c>
      <c r="AB2363" t="s">
        <v>78</v>
      </c>
      <c r="AC2363" t="s">
        <v>79</v>
      </c>
      <c r="AD2363" t="s">
        <v>75</v>
      </c>
      <c r="AE2363" t="s">
        <v>80</v>
      </c>
      <c r="AG2363" t="s">
        <v>81</v>
      </c>
    </row>
    <row r="2364" spans="1:33" x14ac:dyDescent="0.25">
      <c r="A2364" t="str">
        <f>"1205829017"</f>
        <v>1205829017</v>
      </c>
      <c r="B2364" t="str">
        <f>"01863212"</f>
        <v>01863212</v>
      </c>
      <c r="C2364" t="s">
        <v>13436</v>
      </c>
      <c r="D2364" t="s">
        <v>15210</v>
      </c>
      <c r="E2364" t="s">
        <v>15211</v>
      </c>
      <c r="G2364" t="s">
        <v>15212</v>
      </c>
      <c r="L2364" t="s">
        <v>83</v>
      </c>
      <c r="M2364" t="s">
        <v>85</v>
      </c>
      <c r="R2364" t="s">
        <v>15213</v>
      </c>
      <c r="W2364" t="s">
        <v>15211</v>
      </c>
      <c r="X2364" t="s">
        <v>15214</v>
      </c>
      <c r="Y2364" t="s">
        <v>97</v>
      </c>
      <c r="Z2364" t="s">
        <v>77</v>
      </c>
      <c r="AA2364" t="str">
        <f>"10019-1411"</f>
        <v>10019-1411</v>
      </c>
      <c r="AB2364" t="s">
        <v>78</v>
      </c>
      <c r="AC2364" t="s">
        <v>79</v>
      </c>
      <c r="AD2364" t="s">
        <v>75</v>
      </c>
      <c r="AE2364" t="s">
        <v>80</v>
      </c>
      <c r="AG2364" t="s">
        <v>81</v>
      </c>
    </row>
    <row r="2365" spans="1:33" x14ac:dyDescent="0.25">
      <c r="A2365" t="str">
        <f>"1205831401"</f>
        <v>1205831401</v>
      </c>
      <c r="B2365" t="str">
        <f>"02369937"</f>
        <v>02369937</v>
      </c>
      <c r="C2365" t="s">
        <v>13436</v>
      </c>
      <c r="D2365" t="s">
        <v>15215</v>
      </c>
      <c r="E2365" t="s">
        <v>15216</v>
      </c>
      <c r="G2365" t="s">
        <v>15217</v>
      </c>
      <c r="L2365" t="s">
        <v>74</v>
      </c>
      <c r="M2365" t="s">
        <v>85</v>
      </c>
      <c r="R2365" t="s">
        <v>15218</v>
      </c>
      <c r="W2365" t="s">
        <v>15219</v>
      </c>
      <c r="X2365" t="s">
        <v>15220</v>
      </c>
      <c r="Y2365" t="s">
        <v>97</v>
      </c>
      <c r="Z2365" t="s">
        <v>77</v>
      </c>
      <c r="AA2365" t="str">
        <f>"10025-1716"</f>
        <v>10025-1716</v>
      </c>
      <c r="AB2365" t="s">
        <v>78</v>
      </c>
      <c r="AC2365" t="s">
        <v>79</v>
      </c>
      <c r="AD2365" t="s">
        <v>75</v>
      </c>
      <c r="AE2365" t="s">
        <v>80</v>
      </c>
      <c r="AG2365" t="s">
        <v>81</v>
      </c>
    </row>
    <row r="2366" spans="1:33" x14ac:dyDescent="0.25">
      <c r="A2366" t="str">
        <f>"1942264189"</f>
        <v>1942264189</v>
      </c>
      <c r="B2366" t="str">
        <f>"00656079"</f>
        <v>00656079</v>
      </c>
      <c r="C2366" t="s">
        <v>15221</v>
      </c>
      <c r="D2366" t="s">
        <v>15222</v>
      </c>
      <c r="E2366" t="s">
        <v>15223</v>
      </c>
      <c r="G2366" t="s">
        <v>13504</v>
      </c>
      <c r="H2366" t="s">
        <v>13505</v>
      </c>
      <c r="J2366" t="s">
        <v>13506</v>
      </c>
      <c r="L2366" t="s">
        <v>83</v>
      </c>
      <c r="M2366" t="s">
        <v>75</v>
      </c>
      <c r="R2366" t="s">
        <v>15224</v>
      </c>
      <c r="W2366" t="s">
        <v>15223</v>
      </c>
      <c r="X2366" t="s">
        <v>15225</v>
      </c>
      <c r="Y2366" t="s">
        <v>87</v>
      </c>
      <c r="Z2366" t="s">
        <v>77</v>
      </c>
      <c r="AA2366" t="str">
        <f>"11238-3708"</f>
        <v>11238-3708</v>
      </c>
      <c r="AB2366" t="s">
        <v>128</v>
      </c>
      <c r="AC2366" t="s">
        <v>79</v>
      </c>
      <c r="AD2366" t="s">
        <v>75</v>
      </c>
      <c r="AE2366" t="s">
        <v>80</v>
      </c>
      <c r="AG2366" t="s">
        <v>81</v>
      </c>
    </row>
    <row r="2367" spans="1:33" x14ac:dyDescent="0.25">
      <c r="A2367" t="str">
        <f>"1992782189"</f>
        <v>1992782189</v>
      </c>
      <c r="B2367" t="str">
        <f>"00689478"</f>
        <v>00689478</v>
      </c>
      <c r="C2367" t="s">
        <v>15226</v>
      </c>
      <c r="D2367" t="s">
        <v>15227</v>
      </c>
      <c r="E2367" t="s">
        <v>15228</v>
      </c>
      <c r="G2367" t="s">
        <v>13504</v>
      </c>
      <c r="H2367" t="s">
        <v>13505</v>
      </c>
      <c r="J2367" t="s">
        <v>13506</v>
      </c>
      <c r="L2367" t="s">
        <v>83</v>
      </c>
      <c r="M2367" t="s">
        <v>75</v>
      </c>
      <c r="R2367" t="s">
        <v>15229</v>
      </c>
      <c r="W2367" t="s">
        <v>15230</v>
      </c>
      <c r="X2367" t="s">
        <v>15231</v>
      </c>
      <c r="Y2367" t="s">
        <v>87</v>
      </c>
      <c r="Z2367" t="s">
        <v>77</v>
      </c>
      <c r="AA2367" t="str">
        <f>"11220-4609"</f>
        <v>11220-4609</v>
      </c>
      <c r="AB2367" t="s">
        <v>128</v>
      </c>
      <c r="AC2367" t="s">
        <v>79</v>
      </c>
      <c r="AD2367" t="s">
        <v>75</v>
      </c>
      <c r="AE2367" t="s">
        <v>80</v>
      </c>
      <c r="AG2367" t="s">
        <v>81</v>
      </c>
    </row>
    <row r="2368" spans="1:33" x14ac:dyDescent="0.25">
      <c r="A2368" t="str">
        <f>"1093786162"</f>
        <v>1093786162</v>
      </c>
      <c r="B2368" t="str">
        <f>"00703993"</f>
        <v>00703993</v>
      </c>
      <c r="C2368" t="s">
        <v>15232</v>
      </c>
      <c r="D2368" t="s">
        <v>15233</v>
      </c>
      <c r="E2368" t="s">
        <v>15234</v>
      </c>
      <c r="G2368" t="s">
        <v>13504</v>
      </c>
      <c r="H2368" t="s">
        <v>13505</v>
      </c>
      <c r="J2368" t="s">
        <v>13506</v>
      </c>
      <c r="L2368" t="s">
        <v>74</v>
      </c>
      <c r="M2368" t="s">
        <v>75</v>
      </c>
      <c r="R2368" t="s">
        <v>15235</v>
      </c>
      <c r="W2368" t="s">
        <v>15234</v>
      </c>
      <c r="X2368" t="s">
        <v>15236</v>
      </c>
      <c r="Y2368" t="s">
        <v>87</v>
      </c>
      <c r="Z2368" t="s">
        <v>77</v>
      </c>
      <c r="AA2368" t="str">
        <f>"11201-2562"</f>
        <v>11201-2562</v>
      </c>
      <c r="AB2368" t="s">
        <v>128</v>
      </c>
      <c r="AC2368" t="s">
        <v>79</v>
      </c>
      <c r="AD2368" t="s">
        <v>75</v>
      </c>
      <c r="AE2368" t="s">
        <v>80</v>
      </c>
      <c r="AG2368" t="s">
        <v>81</v>
      </c>
    </row>
    <row r="2369" spans="1:33" x14ac:dyDescent="0.25">
      <c r="A2369" t="str">
        <f>"1184795692"</f>
        <v>1184795692</v>
      </c>
      <c r="B2369" t="str">
        <f>"00698655"</f>
        <v>00698655</v>
      </c>
      <c r="C2369" t="s">
        <v>15237</v>
      </c>
      <c r="D2369" t="s">
        <v>15238</v>
      </c>
      <c r="E2369" t="s">
        <v>15239</v>
      </c>
      <c r="G2369" t="s">
        <v>13504</v>
      </c>
      <c r="H2369" t="s">
        <v>13505</v>
      </c>
      <c r="J2369" t="s">
        <v>13506</v>
      </c>
      <c r="L2369" t="s">
        <v>83</v>
      </c>
      <c r="M2369" t="s">
        <v>75</v>
      </c>
      <c r="R2369" t="s">
        <v>3744</v>
      </c>
      <c r="W2369" t="s">
        <v>15239</v>
      </c>
      <c r="X2369" t="s">
        <v>15240</v>
      </c>
      <c r="Y2369" t="s">
        <v>87</v>
      </c>
      <c r="Z2369" t="s">
        <v>77</v>
      </c>
      <c r="AA2369" t="str">
        <f>"11237-3103"</f>
        <v>11237-3103</v>
      </c>
      <c r="AB2369" t="s">
        <v>128</v>
      </c>
      <c r="AC2369" t="s">
        <v>79</v>
      </c>
      <c r="AD2369" t="s">
        <v>75</v>
      </c>
      <c r="AE2369" t="s">
        <v>80</v>
      </c>
      <c r="AG2369" t="s">
        <v>81</v>
      </c>
    </row>
    <row r="2370" spans="1:33" x14ac:dyDescent="0.25">
      <c r="A2370" t="str">
        <f>"1063623585"</f>
        <v>1063623585</v>
      </c>
      <c r="C2370" t="s">
        <v>15241</v>
      </c>
      <c r="G2370" t="s">
        <v>13504</v>
      </c>
      <c r="H2370" t="s">
        <v>13505</v>
      </c>
      <c r="J2370" t="s">
        <v>13506</v>
      </c>
      <c r="K2370" t="s">
        <v>99</v>
      </c>
      <c r="L2370" t="s">
        <v>102</v>
      </c>
      <c r="M2370" t="s">
        <v>75</v>
      </c>
      <c r="R2370" t="s">
        <v>15242</v>
      </c>
      <c r="S2370" t="s">
        <v>349</v>
      </c>
      <c r="T2370" t="s">
        <v>91</v>
      </c>
      <c r="U2370" t="s">
        <v>77</v>
      </c>
      <c r="V2370" t="str">
        <f>"113734941"</f>
        <v>113734941</v>
      </c>
      <c r="AC2370" t="s">
        <v>79</v>
      </c>
      <c r="AD2370" t="s">
        <v>75</v>
      </c>
      <c r="AE2370" t="s">
        <v>103</v>
      </c>
      <c r="AG2370" t="s">
        <v>81</v>
      </c>
    </row>
    <row r="2371" spans="1:33" x14ac:dyDescent="0.25">
      <c r="A2371" t="str">
        <f>"1215930771"</f>
        <v>1215930771</v>
      </c>
      <c r="B2371" t="str">
        <f>"00820122"</f>
        <v>00820122</v>
      </c>
      <c r="C2371" t="s">
        <v>15243</v>
      </c>
      <c r="D2371" t="s">
        <v>15244</v>
      </c>
      <c r="E2371" t="s">
        <v>15245</v>
      </c>
      <c r="G2371" t="s">
        <v>13504</v>
      </c>
      <c r="H2371" t="s">
        <v>13505</v>
      </c>
      <c r="J2371" t="s">
        <v>13506</v>
      </c>
      <c r="L2371" t="s">
        <v>83</v>
      </c>
      <c r="M2371" t="s">
        <v>75</v>
      </c>
      <c r="R2371" t="s">
        <v>15246</v>
      </c>
      <c r="W2371" t="s">
        <v>15245</v>
      </c>
      <c r="X2371" t="s">
        <v>15247</v>
      </c>
      <c r="Y2371" t="s">
        <v>87</v>
      </c>
      <c r="Z2371" t="s">
        <v>77</v>
      </c>
      <c r="AA2371" t="str">
        <f>"11234-3523"</f>
        <v>11234-3523</v>
      </c>
      <c r="AB2371" t="s">
        <v>128</v>
      </c>
      <c r="AC2371" t="s">
        <v>79</v>
      </c>
      <c r="AD2371" t="s">
        <v>75</v>
      </c>
      <c r="AE2371" t="s">
        <v>80</v>
      </c>
      <c r="AG2371" t="s">
        <v>81</v>
      </c>
    </row>
    <row r="2372" spans="1:33" x14ac:dyDescent="0.25">
      <c r="A2372" t="str">
        <f>"1841261963"</f>
        <v>1841261963</v>
      </c>
      <c r="B2372" t="str">
        <f>"00805569"</f>
        <v>00805569</v>
      </c>
      <c r="C2372" t="s">
        <v>15248</v>
      </c>
      <c r="D2372" t="s">
        <v>15249</v>
      </c>
      <c r="E2372" t="s">
        <v>15250</v>
      </c>
      <c r="G2372" t="s">
        <v>13504</v>
      </c>
      <c r="H2372" t="s">
        <v>13505</v>
      </c>
      <c r="J2372" t="s">
        <v>13506</v>
      </c>
      <c r="L2372" t="s">
        <v>83</v>
      </c>
      <c r="M2372" t="s">
        <v>75</v>
      </c>
      <c r="R2372" t="s">
        <v>15251</v>
      </c>
      <c r="W2372" t="s">
        <v>15250</v>
      </c>
      <c r="X2372" t="s">
        <v>15252</v>
      </c>
      <c r="Y2372" t="s">
        <v>87</v>
      </c>
      <c r="Z2372" t="s">
        <v>77</v>
      </c>
      <c r="AA2372" t="str">
        <f>"11230-6042"</f>
        <v>11230-6042</v>
      </c>
      <c r="AB2372" t="s">
        <v>128</v>
      </c>
      <c r="AC2372" t="s">
        <v>79</v>
      </c>
      <c r="AD2372" t="s">
        <v>75</v>
      </c>
      <c r="AE2372" t="s">
        <v>80</v>
      </c>
      <c r="AG2372" t="s">
        <v>81</v>
      </c>
    </row>
    <row r="2373" spans="1:33" x14ac:dyDescent="0.25">
      <c r="A2373" t="str">
        <f>"1558322594"</f>
        <v>1558322594</v>
      </c>
      <c r="B2373" t="str">
        <f>"02255030"</f>
        <v>02255030</v>
      </c>
      <c r="C2373" t="s">
        <v>15253</v>
      </c>
      <c r="D2373" t="s">
        <v>15254</v>
      </c>
      <c r="E2373" t="s">
        <v>15255</v>
      </c>
      <c r="G2373" t="s">
        <v>13504</v>
      </c>
      <c r="H2373" t="s">
        <v>13505</v>
      </c>
      <c r="J2373" t="s">
        <v>13506</v>
      </c>
      <c r="L2373" t="s">
        <v>83</v>
      </c>
      <c r="M2373" t="s">
        <v>75</v>
      </c>
      <c r="R2373" t="s">
        <v>15256</v>
      </c>
      <c r="W2373" t="s">
        <v>15255</v>
      </c>
      <c r="X2373" t="s">
        <v>15257</v>
      </c>
      <c r="Y2373" t="s">
        <v>87</v>
      </c>
      <c r="Z2373" t="s">
        <v>77</v>
      </c>
      <c r="AA2373" t="str">
        <f>"11237-5430"</f>
        <v>11237-5430</v>
      </c>
      <c r="AB2373" t="s">
        <v>78</v>
      </c>
      <c r="AC2373" t="s">
        <v>79</v>
      </c>
      <c r="AD2373" t="s">
        <v>75</v>
      </c>
      <c r="AE2373" t="s">
        <v>80</v>
      </c>
      <c r="AG2373" t="s">
        <v>81</v>
      </c>
    </row>
    <row r="2374" spans="1:33" x14ac:dyDescent="0.25">
      <c r="A2374" t="str">
        <f>"1417069626"</f>
        <v>1417069626</v>
      </c>
      <c r="B2374" t="str">
        <f>"02807481"</f>
        <v>02807481</v>
      </c>
      <c r="C2374" t="s">
        <v>15258</v>
      </c>
      <c r="D2374" t="s">
        <v>15259</v>
      </c>
      <c r="E2374" t="s">
        <v>15260</v>
      </c>
      <c r="G2374" t="s">
        <v>13504</v>
      </c>
      <c r="H2374" t="s">
        <v>13505</v>
      </c>
      <c r="J2374" t="s">
        <v>13506</v>
      </c>
      <c r="L2374" t="s">
        <v>94</v>
      </c>
      <c r="M2374" t="s">
        <v>75</v>
      </c>
      <c r="R2374" t="s">
        <v>15261</v>
      </c>
      <c r="W2374" t="s">
        <v>15262</v>
      </c>
      <c r="X2374" t="s">
        <v>15263</v>
      </c>
      <c r="Y2374" t="s">
        <v>87</v>
      </c>
      <c r="Z2374" t="s">
        <v>77</v>
      </c>
      <c r="AA2374" t="str">
        <f>"11201-3949"</f>
        <v>11201-3949</v>
      </c>
      <c r="AB2374" t="s">
        <v>78</v>
      </c>
      <c r="AC2374" t="s">
        <v>79</v>
      </c>
      <c r="AD2374" t="s">
        <v>75</v>
      </c>
      <c r="AE2374" t="s">
        <v>80</v>
      </c>
      <c r="AG2374" t="s">
        <v>81</v>
      </c>
    </row>
    <row r="2375" spans="1:33" x14ac:dyDescent="0.25">
      <c r="A2375" t="str">
        <f>"1487846291"</f>
        <v>1487846291</v>
      </c>
      <c r="B2375" t="str">
        <f>"03658028"</f>
        <v>03658028</v>
      </c>
      <c r="C2375" t="s">
        <v>15264</v>
      </c>
      <c r="D2375" t="s">
        <v>15265</v>
      </c>
      <c r="E2375" t="s">
        <v>15266</v>
      </c>
      <c r="G2375" t="s">
        <v>7218</v>
      </c>
      <c r="H2375" t="s">
        <v>6801</v>
      </c>
      <c r="I2375">
        <v>6136</v>
      </c>
      <c r="J2375" t="s">
        <v>7219</v>
      </c>
      <c r="L2375" t="s">
        <v>74</v>
      </c>
      <c r="M2375" t="s">
        <v>75</v>
      </c>
      <c r="R2375" t="s">
        <v>15266</v>
      </c>
      <c r="W2375" t="s">
        <v>15266</v>
      </c>
      <c r="X2375" t="s">
        <v>3538</v>
      </c>
      <c r="Y2375" t="s">
        <v>131</v>
      </c>
      <c r="Z2375" t="s">
        <v>77</v>
      </c>
      <c r="AA2375" t="str">
        <f>"10461-5726"</f>
        <v>10461-5726</v>
      </c>
      <c r="AB2375" t="s">
        <v>109</v>
      </c>
      <c r="AC2375" t="s">
        <v>79</v>
      </c>
      <c r="AD2375" t="s">
        <v>75</v>
      </c>
      <c r="AE2375" t="s">
        <v>80</v>
      </c>
      <c r="AG2375" t="s">
        <v>81</v>
      </c>
    </row>
    <row r="2376" spans="1:33" x14ac:dyDescent="0.25">
      <c r="A2376" t="str">
        <f>"1487895173"</f>
        <v>1487895173</v>
      </c>
      <c r="C2376" t="s">
        <v>15267</v>
      </c>
      <c r="G2376" t="s">
        <v>7218</v>
      </c>
      <c r="H2376" t="s">
        <v>6801</v>
      </c>
      <c r="I2376">
        <v>6136</v>
      </c>
      <c r="J2376" t="s">
        <v>7219</v>
      </c>
      <c r="K2376" t="s">
        <v>99</v>
      </c>
      <c r="L2376" t="s">
        <v>102</v>
      </c>
      <c r="M2376" t="s">
        <v>75</v>
      </c>
      <c r="R2376" t="s">
        <v>15268</v>
      </c>
      <c r="S2376" t="s">
        <v>3538</v>
      </c>
      <c r="T2376" t="s">
        <v>131</v>
      </c>
      <c r="U2376" t="s">
        <v>77</v>
      </c>
      <c r="V2376" t="str">
        <f>"104615726"</f>
        <v>104615726</v>
      </c>
      <c r="AC2376" t="s">
        <v>79</v>
      </c>
      <c r="AD2376" t="s">
        <v>75</v>
      </c>
      <c r="AE2376" t="s">
        <v>103</v>
      </c>
      <c r="AG2376" t="s">
        <v>81</v>
      </c>
    </row>
    <row r="2377" spans="1:33" x14ac:dyDescent="0.25">
      <c r="A2377" t="str">
        <f>"1487990891"</f>
        <v>1487990891</v>
      </c>
      <c r="C2377" t="s">
        <v>15269</v>
      </c>
      <c r="G2377" t="s">
        <v>7218</v>
      </c>
      <c r="H2377" t="s">
        <v>6801</v>
      </c>
      <c r="I2377">
        <v>6136</v>
      </c>
      <c r="J2377" t="s">
        <v>7219</v>
      </c>
      <c r="K2377" t="s">
        <v>99</v>
      </c>
      <c r="L2377" t="s">
        <v>102</v>
      </c>
      <c r="M2377" t="s">
        <v>75</v>
      </c>
      <c r="R2377" t="s">
        <v>15270</v>
      </c>
      <c r="S2377" t="s">
        <v>6229</v>
      </c>
      <c r="T2377" t="s">
        <v>97</v>
      </c>
      <c r="U2377" t="s">
        <v>77</v>
      </c>
      <c r="V2377" t="str">
        <f>"100012320"</f>
        <v>100012320</v>
      </c>
      <c r="AC2377" t="s">
        <v>79</v>
      </c>
      <c r="AD2377" t="s">
        <v>75</v>
      </c>
      <c r="AE2377" t="s">
        <v>103</v>
      </c>
      <c r="AG2377" t="s">
        <v>81</v>
      </c>
    </row>
    <row r="2378" spans="1:33" x14ac:dyDescent="0.25">
      <c r="A2378" t="str">
        <f>"1922329283"</f>
        <v>1922329283</v>
      </c>
      <c r="B2378" t="str">
        <f>"03359428"</f>
        <v>03359428</v>
      </c>
      <c r="C2378" t="s">
        <v>13436</v>
      </c>
      <c r="D2378" t="s">
        <v>15271</v>
      </c>
      <c r="E2378" t="s">
        <v>15272</v>
      </c>
      <c r="G2378" t="s">
        <v>15273</v>
      </c>
      <c r="L2378" t="s">
        <v>83</v>
      </c>
      <c r="M2378" t="s">
        <v>85</v>
      </c>
      <c r="R2378" t="s">
        <v>15272</v>
      </c>
      <c r="W2378" t="s">
        <v>15272</v>
      </c>
      <c r="X2378" t="s">
        <v>912</v>
      </c>
      <c r="Y2378" t="s">
        <v>97</v>
      </c>
      <c r="Z2378" t="s">
        <v>77</v>
      </c>
      <c r="AA2378" t="str">
        <f>"10027-4820"</f>
        <v>10027-4820</v>
      </c>
      <c r="AB2378" t="s">
        <v>78</v>
      </c>
      <c r="AC2378" t="s">
        <v>79</v>
      </c>
      <c r="AD2378" t="s">
        <v>75</v>
      </c>
      <c r="AE2378" t="s">
        <v>80</v>
      </c>
      <c r="AG2378" t="s">
        <v>81</v>
      </c>
    </row>
    <row r="2379" spans="1:33" x14ac:dyDescent="0.25">
      <c r="A2379" t="str">
        <f>"1932115979"</f>
        <v>1932115979</v>
      </c>
      <c r="B2379" t="str">
        <f>"01466164"</f>
        <v>01466164</v>
      </c>
      <c r="C2379" t="s">
        <v>13436</v>
      </c>
      <c r="D2379" t="s">
        <v>15274</v>
      </c>
      <c r="E2379" t="s">
        <v>15275</v>
      </c>
      <c r="G2379" t="s">
        <v>15276</v>
      </c>
      <c r="L2379" t="s">
        <v>84</v>
      </c>
      <c r="M2379" t="s">
        <v>85</v>
      </c>
      <c r="R2379" t="s">
        <v>15277</v>
      </c>
      <c r="W2379" t="s">
        <v>15275</v>
      </c>
      <c r="X2379" t="s">
        <v>15278</v>
      </c>
      <c r="Y2379" t="s">
        <v>97</v>
      </c>
      <c r="Z2379" t="s">
        <v>77</v>
      </c>
      <c r="AA2379" t="str">
        <f>"10019"</f>
        <v>10019</v>
      </c>
      <c r="AB2379" t="s">
        <v>78</v>
      </c>
      <c r="AC2379" t="s">
        <v>79</v>
      </c>
      <c r="AD2379" t="s">
        <v>75</v>
      </c>
      <c r="AE2379" t="s">
        <v>80</v>
      </c>
      <c r="AG2379" t="s">
        <v>81</v>
      </c>
    </row>
    <row r="2380" spans="1:33" x14ac:dyDescent="0.25">
      <c r="A2380" t="str">
        <f>"1518194455"</f>
        <v>1518194455</v>
      </c>
      <c r="B2380" t="str">
        <f>"03242073"</f>
        <v>03242073</v>
      </c>
      <c r="C2380" t="s">
        <v>13436</v>
      </c>
      <c r="D2380" t="s">
        <v>15279</v>
      </c>
      <c r="E2380" t="s">
        <v>15280</v>
      </c>
      <c r="G2380" t="s">
        <v>15281</v>
      </c>
      <c r="L2380" t="s">
        <v>74</v>
      </c>
      <c r="M2380" t="s">
        <v>85</v>
      </c>
      <c r="R2380" t="s">
        <v>15282</v>
      </c>
      <c r="W2380" t="s">
        <v>15283</v>
      </c>
      <c r="X2380" t="s">
        <v>15284</v>
      </c>
      <c r="Y2380" t="s">
        <v>87</v>
      </c>
      <c r="Z2380" t="s">
        <v>77</v>
      </c>
      <c r="AA2380" t="str">
        <f>"11220-4737"</f>
        <v>11220-4737</v>
      </c>
      <c r="AB2380" t="s">
        <v>78</v>
      </c>
      <c r="AC2380" t="s">
        <v>79</v>
      </c>
      <c r="AD2380" t="s">
        <v>75</v>
      </c>
      <c r="AE2380" t="s">
        <v>80</v>
      </c>
      <c r="AG2380" t="s">
        <v>81</v>
      </c>
    </row>
    <row r="2381" spans="1:33" x14ac:dyDescent="0.25">
      <c r="A2381" t="str">
        <f>"1518963636"</f>
        <v>1518963636</v>
      </c>
      <c r="B2381" t="str">
        <f>"02231010"</f>
        <v>02231010</v>
      </c>
      <c r="C2381" t="s">
        <v>13436</v>
      </c>
      <c r="D2381" t="s">
        <v>15285</v>
      </c>
      <c r="E2381" t="s">
        <v>15286</v>
      </c>
      <c r="G2381" t="s">
        <v>15287</v>
      </c>
      <c r="L2381" t="s">
        <v>74</v>
      </c>
      <c r="M2381" t="s">
        <v>85</v>
      </c>
      <c r="R2381" t="s">
        <v>15286</v>
      </c>
      <c r="W2381" t="s">
        <v>15286</v>
      </c>
      <c r="X2381" t="s">
        <v>191</v>
      </c>
      <c r="Y2381" t="s">
        <v>97</v>
      </c>
      <c r="Z2381" t="s">
        <v>77</v>
      </c>
      <c r="AA2381" t="str">
        <f>"10019-1147"</f>
        <v>10019-1147</v>
      </c>
      <c r="AB2381" t="s">
        <v>78</v>
      </c>
      <c r="AC2381" t="s">
        <v>79</v>
      </c>
      <c r="AD2381" t="s">
        <v>75</v>
      </c>
      <c r="AE2381" t="s">
        <v>80</v>
      </c>
      <c r="AG2381" t="s">
        <v>81</v>
      </c>
    </row>
    <row r="2382" spans="1:33" x14ac:dyDescent="0.25">
      <c r="A2382" t="str">
        <f>"1528228657"</f>
        <v>1528228657</v>
      </c>
      <c r="B2382" t="str">
        <f>"03481303"</f>
        <v>03481303</v>
      </c>
      <c r="C2382" t="s">
        <v>13436</v>
      </c>
      <c r="D2382" t="s">
        <v>15288</v>
      </c>
      <c r="E2382" t="s">
        <v>15289</v>
      </c>
      <c r="G2382" t="s">
        <v>15290</v>
      </c>
      <c r="L2382" t="s">
        <v>83</v>
      </c>
      <c r="M2382" t="s">
        <v>85</v>
      </c>
      <c r="R2382" t="s">
        <v>15291</v>
      </c>
      <c r="W2382" t="s">
        <v>15289</v>
      </c>
      <c r="X2382" t="s">
        <v>15292</v>
      </c>
      <c r="Y2382" t="s">
        <v>97</v>
      </c>
      <c r="Z2382" t="s">
        <v>77</v>
      </c>
      <c r="AA2382" t="str">
        <f>"10025-1737"</f>
        <v>10025-1737</v>
      </c>
      <c r="AB2382" t="s">
        <v>78</v>
      </c>
      <c r="AC2382" t="s">
        <v>79</v>
      </c>
      <c r="AD2382" t="s">
        <v>75</v>
      </c>
      <c r="AE2382" t="s">
        <v>80</v>
      </c>
      <c r="AG2382" t="s">
        <v>81</v>
      </c>
    </row>
    <row r="2383" spans="1:33" x14ac:dyDescent="0.25">
      <c r="A2383" t="str">
        <f>"1528335577"</f>
        <v>1528335577</v>
      </c>
      <c r="B2383" t="str">
        <f>"03725344"</f>
        <v>03725344</v>
      </c>
      <c r="C2383" t="s">
        <v>13436</v>
      </c>
      <c r="D2383" t="s">
        <v>2735</v>
      </c>
      <c r="E2383" t="s">
        <v>2736</v>
      </c>
      <c r="G2383" t="s">
        <v>15293</v>
      </c>
      <c r="L2383" t="s">
        <v>84</v>
      </c>
      <c r="M2383" t="s">
        <v>85</v>
      </c>
      <c r="R2383" t="s">
        <v>2737</v>
      </c>
      <c r="W2383" t="s">
        <v>2736</v>
      </c>
      <c r="X2383" t="s">
        <v>2738</v>
      </c>
      <c r="Y2383" t="s">
        <v>97</v>
      </c>
      <c r="Z2383" t="s">
        <v>77</v>
      </c>
      <c r="AA2383" t="str">
        <f>"10039-3027"</f>
        <v>10039-3027</v>
      </c>
      <c r="AB2383" t="s">
        <v>78</v>
      </c>
      <c r="AC2383" t="s">
        <v>79</v>
      </c>
      <c r="AD2383" t="s">
        <v>75</v>
      </c>
      <c r="AE2383" t="s">
        <v>80</v>
      </c>
      <c r="AG2383" t="s">
        <v>81</v>
      </c>
    </row>
    <row r="2384" spans="1:33" x14ac:dyDescent="0.25">
      <c r="A2384" t="str">
        <f>"1528371754"</f>
        <v>1528371754</v>
      </c>
      <c r="B2384" t="str">
        <f>"03631367"</f>
        <v>03631367</v>
      </c>
      <c r="C2384" t="s">
        <v>13436</v>
      </c>
      <c r="D2384" t="s">
        <v>15294</v>
      </c>
      <c r="E2384" t="s">
        <v>15295</v>
      </c>
      <c r="G2384" t="s">
        <v>15296</v>
      </c>
      <c r="L2384" t="s">
        <v>74</v>
      </c>
      <c r="M2384" t="s">
        <v>85</v>
      </c>
      <c r="R2384" t="s">
        <v>15295</v>
      </c>
      <c r="W2384" t="s">
        <v>15295</v>
      </c>
      <c r="X2384" t="s">
        <v>181</v>
      </c>
      <c r="Y2384" t="s">
        <v>97</v>
      </c>
      <c r="Z2384" t="s">
        <v>77</v>
      </c>
      <c r="AA2384" t="str">
        <f>"10025-1716"</f>
        <v>10025-1716</v>
      </c>
      <c r="AB2384" t="s">
        <v>78</v>
      </c>
      <c r="AC2384" t="s">
        <v>79</v>
      </c>
      <c r="AD2384" t="s">
        <v>75</v>
      </c>
      <c r="AE2384" t="s">
        <v>80</v>
      </c>
      <c r="AG2384" t="s">
        <v>81</v>
      </c>
    </row>
    <row r="2385" spans="1:33" x14ac:dyDescent="0.25">
      <c r="A2385" t="str">
        <f>"1538100870"</f>
        <v>1538100870</v>
      </c>
      <c r="B2385" t="str">
        <f>"01249274"</f>
        <v>01249274</v>
      </c>
      <c r="C2385" t="s">
        <v>13436</v>
      </c>
      <c r="D2385" t="s">
        <v>15297</v>
      </c>
      <c r="E2385" t="s">
        <v>15298</v>
      </c>
      <c r="G2385" t="s">
        <v>15299</v>
      </c>
      <c r="L2385" t="s">
        <v>105</v>
      </c>
      <c r="M2385" t="s">
        <v>85</v>
      </c>
      <c r="R2385" t="s">
        <v>15300</v>
      </c>
      <c r="W2385" t="s">
        <v>15298</v>
      </c>
      <c r="X2385" t="s">
        <v>15301</v>
      </c>
      <c r="Y2385" t="s">
        <v>97</v>
      </c>
      <c r="Z2385" t="s">
        <v>77</v>
      </c>
      <c r="AA2385" t="str">
        <f>"10011-7762"</f>
        <v>10011-7762</v>
      </c>
      <c r="AB2385" t="s">
        <v>78</v>
      </c>
      <c r="AC2385" t="s">
        <v>79</v>
      </c>
      <c r="AD2385" t="s">
        <v>75</v>
      </c>
      <c r="AE2385" t="s">
        <v>80</v>
      </c>
      <c r="AG2385" t="s">
        <v>81</v>
      </c>
    </row>
    <row r="2386" spans="1:33" x14ac:dyDescent="0.25">
      <c r="A2386" t="str">
        <f>"1538321336"</f>
        <v>1538321336</v>
      </c>
      <c r="B2386" t="str">
        <f>"03156829"</f>
        <v>03156829</v>
      </c>
      <c r="C2386" t="s">
        <v>13436</v>
      </c>
      <c r="D2386" t="s">
        <v>15302</v>
      </c>
      <c r="E2386" t="s">
        <v>15303</v>
      </c>
      <c r="G2386" t="s">
        <v>15304</v>
      </c>
      <c r="L2386" t="s">
        <v>105</v>
      </c>
      <c r="M2386" t="s">
        <v>85</v>
      </c>
      <c r="R2386" t="s">
        <v>15305</v>
      </c>
      <c r="W2386" t="s">
        <v>15305</v>
      </c>
      <c r="X2386" t="s">
        <v>659</v>
      </c>
      <c r="Y2386" t="s">
        <v>87</v>
      </c>
      <c r="Z2386" t="s">
        <v>77</v>
      </c>
      <c r="AA2386" t="str">
        <f>"11219-2918"</f>
        <v>11219-2918</v>
      </c>
      <c r="AB2386" t="s">
        <v>78</v>
      </c>
      <c r="AC2386" t="s">
        <v>79</v>
      </c>
      <c r="AD2386" t="s">
        <v>75</v>
      </c>
      <c r="AE2386" t="s">
        <v>80</v>
      </c>
      <c r="AG2386" t="s">
        <v>81</v>
      </c>
    </row>
    <row r="2387" spans="1:33" x14ac:dyDescent="0.25">
      <c r="A2387" t="str">
        <f>"1548233760"</f>
        <v>1548233760</v>
      </c>
      <c r="B2387" t="str">
        <f>"03209818"</f>
        <v>03209818</v>
      </c>
      <c r="C2387" t="s">
        <v>13436</v>
      </c>
      <c r="D2387" t="s">
        <v>15306</v>
      </c>
      <c r="E2387" t="s">
        <v>15307</v>
      </c>
      <c r="G2387" t="s">
        <v>15308</v>
      </c>
      <c r="L2387" t="s">
        <v>74</v>
      </c>
      <c r="M2387" t="s">
        <v>85</v>
      </c>
      <c r="R2387" t="s">
        <v>15309</v>
      </c>
      <c r="W2387" t="s">
        <v>15307</v>
      </c>
      <c r="X2387" t="s">
        <v>203</v>
      </c>
      <c r="Y2387" t="s">
        <v>87</v>
      </c>
      <c r="Z2387" t="s">
        <v>77</v>
      </c>
      <c r="AA2387" t="str">
        <f>"11203-2054"</f>
        <v>11203-2054</v>
      </c>
      <c r="AB2387" t="s">
        <v>78</v>
      </c>
      <c r="AC2387" t="s">
        <v>79</v>
      </c>
      <c r="AD2387" t="s">
        <v>75</v>
      </c>
      <c r="AE2387" t="s">
        <v>80</v>
      </c>
      <c r="AG2387" t="s">
        <v>81</v>
      </c>
    </row>
    <row r="2388" spans="1:33" x14ac:dyDescent="0.25">
      <c r="A2388" t="str">
        <f>"1548360795"</f>
        <v>1548360795</v>
      </c>
      <c r="B2388" t="str">
        <f>"01721993"</f>
        <v>01721993</v>
      </c>
      <c r="C2388" t="s">
        <v>13436</v>
      </c>
      <c r="D2388" t="s">
        <v>15310</v>
      </c>
      <c r="E2388" t="s">
        <v>15311</v>
      </c>
      <c r="G2388" t="s">
        <v>15312</v>
      </c>
      <c r="L2388" t="s">
        <v>83</v>
      </c>
      <c r="M2388" t="s">
        <v>85</v>
      </c>
      <c r="R2388" t="s">
        <v>15313</v>
      </c>
      <c r="W2388" t="s">
        <v>15311</v>
      </c>
      <c r="X2388" t="s">
        <v>15314</v>
      </c>
      <c r="Y2388" t="s">
        <v>97</v>
      </c>
      <c r="Z2388" t="s">
        <v>77</v>
      </c>
      <c r="AA2388" t="str">
        <f>"10022-1002"</f>
        <v>10022-1002</v>
      </c>
      <c r="AB2388" t="s">
        <v>78</v>
      </c>
      <c r="AC2388" t="s">
        <v>79</v>
      </c>
      <c r="AD2388" t="s">
        <v>75</v>
      </c>
      <c r="AE2388" t="s">
        <v>80</v>
      </c>
      <c r="AG2388" t="s">
        <v>81</v>
      </c>
    </row>
    <row r="2389" spans="1:33" x14ac:dyDescent="0.25">
      <c r="A2389" t="str">
        <f>"1548409402"</f>
        <v>1548409402</v>
      </c>
      <c r="B2389" t="str">
        <f>"03104863"</f>
        <v>03104863</v>
      </c>
      <c r="C2389" t="s">
        <v>13436</v>
      </c>
      <c r="D2389" t="s">
        <v>3531</v>
      </c>
      <c r="E2389" t="s">
        <v>3532</v>
      </c>
      <c r="G2389" t="s">
        <v>15315</v>
      </c>
      <c r="L2389" t="s">
        <v>83</v>
      </c>
      <c r="M2389" t="s">
        <v>85</v>
      </c>
      <c r="R2389" t="s">
        <v>3533</v>
      </c>
      <c r="W2389" t="s">
        <v>3534</v>
      </c>
      <c r="X2389" t="s">
        <v>318</v>
      </c>
      <c r="Y2389" t="s">
        <v>131</v>
      </c>
      <c r="Z2389" t="s">
        <v>77</v>
      </c>
      <c r="AA2389" t="str">
        <f>"10457-7606"</f>
        <v>10457-7606</v>
      </c>
      <c r="AB2389" t="s">
        <v>78</v>
      </c>
      <c r="AC2389" t="s">
        <v>79</v>
      </c>
      <c r="AD2389" t="s">
        <v>75</v>
      </c>
      <c r="AE2389" t="s">
        <v>80</v>
      </c>
      <c r="AG2389" t="s">
        <v>81</v>
      </c>
    </row>
    <row r="2390" spans="1:33" x14ac:dyDescent="0.25">
      <c r="A2390" t="str">
        <f>"1932490620"</f>
        <v>1932490620</v>
      </c>
      <c r="B2390" t="str">
        <f>"03367168"</f>
        <v>03367168</v>
      </c>
      <c r="C2390" t="s">
        <v>15316</v>
      </c>
      <c r="D2390" t="s">
        <v>15317</v>
      </c>
      <c r="E2390" t="s">
        <v>15318</v>
      </c>
      <c r="G2390" t="s">
        <v>14449</v>
      </c>
      <c r="H2390" t="s">
        <v>14450</v>
      </c>
      <c r="L2390" t="s">
        <v>105</v>
      </c>
      <c r="M2390" t="s">
        <v>75</v>
      </c>
      <c r="R2390" t="s">
        <v>15319</v>
      </c>
      <c r="W2390" t="s">
        <v>15318</v>
      </c>
      <c r="X2390" t="s">
        <v>3743</v>
      </c>
      <c r="Y2390" t="s">
        <v>97</v>
      </c>
      <c r="Z2390" t="s">
        <v>77</v>
      </c>
      <c r="AA2390" t="str">
        <f>"10011-4401"</f>
        <v>10011-4401</v>
      </c>
      <c r="AB2390" t="s">
        <v>113</v>
      </c>
      <c r="AC2390" t="s">
        <v>79</v>
      </c>
      <c r="AD2390" t="s">
        <v>75</v>
      </c>
      <c r="AE2390" t="s">
        <v>80</v>
      </c>
      <c r="AG2390" t="s">
        <v>81</v>
      </c>
    </row>
    <row r="2391" spans="1:33" x14ac:dyDescent="0.25">
      <c r="A2391" t="str">
        <f>"1184761314"</f>
        <v>1184761314</v>
      </c>
      <c r="B2391" t="str">
        <f>"03223549"</f>
        <v>03223549</v>
      </c>
      <c r="C2391" t="s">
        <v>15320</v>
      </c>
      <c r="D2391" t="s">
        <v>15321</v>
      </c>
      <c r="E2391" t="s">
        <v>15322</v>
      </c>
      <c r="G2391" t="s">
        <v>14449</v>
      </c>
      <c r="H2391" t="s">
        <v>14450</v>
      </c>
      <c r="L2391" t="s">
        <v>84</v>
      </c>
      <c r="M2391" t="s">
        <v>85</v>
      </c>
      <c r="R2391" t="s">
        <v>15323</v>
      </c>
      <c r="W2391" t="s">
        <v>15322</v>
      </c>
      <c r="X2391" t="s">
        <v>3743</v>
      </c>
      <c r="Y2391" t="s">
        <v>97</v>
      </c>
      <c r="Z2391" t="s">
        <v>77</v>
      </c>
      <c r="AA2391" t="str">
        <f>"10011-4401"</f>
        <v>10011-4401</v>
      </c>
      <c r="AB2391" t="s">
        <v>78</v>
      </c>
      <c r="AC2391" t="s">
        <v>79</v>
      </c>
      <c r="AD2391" t="s">
        <v>75</v>
      </c>
      <c r="AE2391" t="s">
        <v>80</v>
      </c>
      <c r="AG2391" t="s">
        <v>81</v>
      </c>
    </row>
    <row r="2392" spans="1:33" x14ac:dyDescent="0.25">
      <c r="A2392" t="str">
        <f>"1508045659"</f>
        <v>1508045659</v>
      </c>
      <c r="C2392" t="s">
        <v>15324</v>
      </c>
      <c r="G2392" t="s">
        <v>7218</v>
      </c>
      <c r="H2392" t="s">
        <v>6801</v>
      </c>
      <c r="I2392">
        <v>6136</v>
      </c>
      <c r="J2392" t="s">
        <v>7219</v>
      </c>
      <c r="K2392" t="s">
        <v>99</v>
      </c>
      <c r="L2392" t="s">
        <v>74</v>
      </c>
      <c r="M2392" t="s">
        <v>75</v>
      </c>
      <c r="R2392" t="s">
        <v>15325</v>
      </c>
      <c r="S2392" t="s">
        <v>15326</v>
      </c>
      <c r="T2392" t="s">
        <v>97</v>
      </c>
      <c r="U2392" t="s">
        <v>77</v>
      </c>
      <c r="V2392" t="str">
        <f>"100323720"</f>
        <v>100323720</v>
      </c>
      <c r="AC2392" t="s">
        <v>79</v>
      </c>
      <c r="AD2392" t="s">
        <v>75</v>
      </c>
      <c r="AE2392" t="s">
        <v>103</v>
      </c>
      <c r="AG2392" t="s">
        <v>81</v>
      </c>
    </row>
    <row r="2393" spans="1:33" x14ac:dyDescent="0.25">
      <c r="A2393" t="str">
        <f>"1508104399"</f>
        <v>1508104399</v>
      </c>
      <c r="B2393" t="str">
        <f>"03573544"</f>
        <v>03573544</v>
      </c>
      <c r="C2393" t="s">
        <v>15327</v>
      </c>
      <c r="D2393" t="s">
        <v>15328</v>
      </c>
      <c r="E2393" t="s">
        <v>15329</v>
      </c>
      <c r="G2393" t="s">
        <v>7218</v>
      </c>
      <c r="H2393" t="s">
        <v>6801</v>
      </c>
      <c r="I2393">
        <v>6136</v>
      </c>
      <c r="J2393" t="s">
        <v>7219</v>
      </c>
      <c r="L2393" t="s">
        <v>74</v>
      </c>
      <c r="M2393" t="s">
        <v>75</v>
      </c>
      <c r="R2393" t="s">
        <v>15330</v>
      </c>
      <c r="W2393" t="s">
        <v>15329</v>
      </c>
      <c r="X2393" t="s">
        <v>8509</v>
      </c>
      <c r="Y2393" t="s">
        <v>145</v>
      </c>
      <c r="Z2393" t="s">
        <v>77</v>
      </c>
      <c r="AA2393" t="str">
        <f>"11361-3241"</f>
        <v>11361-3241</v>
      </c>
      <c r="AB2393" t="s">
        <v>109</v>
      </c>
      <c r="AC2393" t="s">
        <v>79</v>
      </c>
      <c r="AD2393" t="s">
        <v>75</v>
      </c>
      <c r="AE2393" t="s">
        <v>80</v>
      </c>
      <c r="AG2393" t="s">
        <v>81</v>
      </c>
    </row>
    <row r="2394" spans="1:33" x14ac:dyDescent="0.25">
      <c r="A2394" t="str">
        <f>"1508159518"</f>
        <v>1508159518</v>
      </c>
      <c r="B2394" t="str">
        <f>"04334850"</f>
        <v>04334850</v>
      </c>
      <c r="C2394" t="s">
        <v>15331</v>
      </c>
      <c r="D2394" t="s">
        <v>15332</v>
      </c>
      <c r="E2394" t="s">
        <v>15333</v>
      </c>
      <c r="G2394" t="s">
        <v>7218</v>
      </c>
      <c r="H2394" t="s">
        <v>6801</v>
      </c>
      <c r="I2394">
        <v>6136</v>
      </c>
      <c r="J2394" t="s">
        <v>7219</v>
      </c>
      <c r="L2394" t="s">
        <v>74</v>
      </c>
      <c r="M2394" t="s">
        <v>75</v>
      </c>
      <c r="R2394" t="s">
        <v>15334</v>
      </c>
      <c r="W2394" t="s">
        <v>15333</v>
      </c>
      <c r="X2394" t="s">
        <v>9151</v>
      </c>
      <c r="Y2394" t="s">
        <v>97</v>
      </c>
      <c r="Z2394" t="s">
        <v>77</v>
      </c>
      <c r="AA2394" t="str">
        <f>"10001-2382"</f>
        <v>10001-2382</v>
      </c>
      <c r="AB2394" t="s">
        <v>113</v>
      </c>
      <c r="AC2394" t="s">
        <v>79</v>
      </c>
      <c r="AD2394" t="s">
        <v>75</v>
      </c>
      <c r="AE2394" t="s">
        <v>80</v>
      </c>
      <c r="AG2394" t="s">
        <v>81</v>
      </c>
    </row>
    <row r="2395" spans="1:33" x14ac:dyDescent="0.25">
      <c r="A2395" t="str">
        <f>"1023390291"</f>
        <v>1023390291</v>
      </c>
      <c r="B2395" t="str">
        <f>"03403298"</f>
        <v>03403298</v>
      </c>
      <c r="C2395" t="s">
        <v>15335</v>
      </c>
      <c r="D2395" t="s">
        <v>15336</v>
      </c>
      <c r="E2395" t="s">
        <v>15337</v>
      </c>
      <c r="G2395" t="s">
        <v>15335</v>
      </c>
      <c r="H2395" t="s">
        <v>15338</v>
      </c>
      <c r="J2395" t="s">
        <v>15339</v>
      </c>
      <c r="L2395" t="s">
        <v>74</v>
      </c>
      <c r="M2395" t="s">
        <v>75</v>
      </c>
      <c r="R2395" t="s">
        <v>5365</v>
      </c>
      <c r="W2395" t="s">
        <v>15337</v>
      </c>
      <c r="X2395" t="s">
        <v>15340</v>
      </c>
      <c r="Y2395" t="s">
        <v>97</v>
      </c>
      <c r="Z2395" t="s">
        <v>77</v>
      </c>
      <c r="AA2395" t="str">
        <f>"10027"</f>
        <v>10027</v>
      </c>
      <c r="AB2395" t="s">
        <v>113</v>
      </c>
      <c r="AC2395" t="s">
        <v>79</v>
      </c>
      <c r="AD2395" t="s">
        <v>75</v>
      </c>
      <c r="AE2395" t="s">
        <v>80</v>
      </c>
      <c r="AG2395" t="s">
        <v>81</v>
      </c>
    </row>
    <row r="2396" spans="1:33" x14ac:dyDescent="0.25">
      <c r="A2396" t="str">
        <f>"1689789471"</f>
        <v>1689789471</v>
      </c>
      <c r="B2396" t="str">
        <f>"02180601"</f>
        <v>02180601</v>
      </c>
      <c r="C2396" t="s">
        <v>15341</v>
      </c>
      <c r="D2396" t="s">
        <v>15342</v>
      </c>
      <c r="E2396" t="s">
        <v>15343</v>
      </c>
      <c r="G2396" t="s">
        <v>15344</v>
      </c>
      <c r="H2396" t="s">
        <v>15345</v>
      </c>
      <c r="J2396" t="s">
        <v>15346</v>
      </c>
      <c r="L2396" t="s">
        <v>105</v>
      </c>
      <c r="M2396" t="s">
        <v>85</v>
      </c>
      <c r="R2396" t="s">
        <v>15347</v>
      </c>
      <c r="W2396" t="s">
        <v>15343</v>
      </c>
      <c r="X2396" t="s">
        <v>1671</v>
      </c>
      <c r="Y2396" t="s">
        <v>97</v>
      </c>
      <c r="Z2396" t="s">
        <v>77</v>
      </c>
      <c r="AA2396" t="str">
        <f>"10031-4611"</f>
        <v>10031-4611</v>
      </c>
      <c r="AB2396" t="s">
        <v>78</v>
      </c>
      <c r="AC2396" t="s">
        <v>79</v>
      </c>
      <c r="AD2396" t="s">
        <v>75</v>
      </c>
      <c r="AE2396" t="s">
        <v>80</v>
      </c>
      <c r="AG2396" t="s">
        <v>81</v>
      </c>
    </row>
    <row r="2397" spans="1:33" x14ac:dyDescent="0.25">
      <c r="A2397" t="str">
        <f>"1093881435"</f>
        <v>1093881435</v>
      </c>
      <c r="B2397" t="str">
        <f>"02475065"</f>
        <v>02475065</v>
      </c>
      <c r="C2397" t="s">
        <v>15348</v>
      </c>
      <c r="D2397" t="s">
        <v>15349</v>
      </c>
      <c r="E2397" t="s">
        <v>15350</v>
      </c>
      <c r="G2397" t="s">
        <v>15344</v>
      </c>
      <c r="H2397" t="s">
        <v>15345</v>
      </c>
      <c r="J2397" t="s">
        <v>15351</v>
      </c>
      <c r="L2397" t="s">
        <v>105</v>
      </c>
      <c r="M2397" t="s">
        <v>75</v>
      </c>
      <c r="R2397" t="s">
        <v>15352</v>
      </c>
      <c r="W2397" t="s">
        <v>15350</v>
      </c>
      <c r="X2397" t="s">
        <v>1671</v>
      </c>
      <c r="Y2397" t="s">
        <v>97</v>
      </c>
      <c r="Z2397" t="s">
        <v>77</v>
      </c>
      <c r="AA2397" t="str">
        <f>"10031-4611"</f>
        <v>10031-4611</v>
      </c>
      <c r="AB2397" t="s">
        <v>78</v>
      </c>
      <c r="AC2397" t="s">
        <v>79</v>
      </c>
      <c r="AD2397" t="s">
        <v>75</v>
      </c>
      <c r="AE2397" t="s">
        <v>80</v>
      </c>
      <c r="AG2397" t="s">
        <v>81</v>
      </c>
    </row>
    <row r="2398" spans="1:33" x14ac:dyDescent="0.25">
      <c r="A2398" t="str">
        <f>"1245309624"</f>
        <v>1245309624</v>
      </c>
      <c r="B2398" t="str">
        <f>"00829314"</f>
        <v>00829314</v>
      </c>
      <c r="C2398" t="s">
        <v>15353</v>
      </c>
      <c r="D2398" t="s">
        <v>3031</v>
      </c>
      <c r="E2398" t="s">
        <v>3032</v>
      </c>
      <c r="G2398" t="s">
        <v>15344</v>
      </c>
      <c r="H2398" t="s">
        <v>15345</v>
      </c>
      <c r="J2398" t="s">
        <v>15354</v>
      </c>
      <c r="L2398" t="s">
        <v>105</v>
      </c>
      <c r="M2398" t="s">
        <v>85</v>
      </c>
      <c r="R2398" t="s">
        <v>3033</v>
      </c>
      <c r="W2398" t="s">
        <v>3032</v>
      </c>
      <c r="X2398" t="s">
        <v>3034</v>
      </c>
      <c r="Y2398" t="s">
        <v>97</v>
      </c>
      <c r="Z2398" t="s">
        <v>77</v>
      </c>
      <c r="AA2398" t="str">
        <f>"10029-2202"</f>
        <v>10029-2202</v>
      </c>
      <c r="AB2398" t="s">
        <v>78</v>
      </c>
      <c r="AC2398" t="s">
        <v>79</v>
      </c>
      <c r="AD2398" t="s">
        <v>75</v>
      </c>
      <c r="AE2398" t="s">
        <v>80</v>
      </c>
      <c r="AG2398" t="s">
        <v>81</v>
      </c>
    </row>
    <row r="2399" spans="1:33" x14ac:dyDescent="0.25">
      <c r="A2399" t="str">
        <f>"1982704797"</f>
        <v>1982704797</v>
      </c>
      <c r="B2399" t="str">
        <f>"00766418"</f>
        <v>00766418</v>
      </c>
      <c r="C2399" t="s">
        <v>15355</v>
      </c>
      <c r="D2399" t="s">
        <v>15356</v>
      </c>
      <c r="E2399" t="s">
        <v>15357</v>
      </c>
      <c r="G2399" t="s">
        <v>15344</v>
      </c>
      <c r="H2399" t="s">
        <v>15345</v>
      </c>
      <c r="J2399" t="s">
        <v>15358</v>
      </c>
      <c r="L2399" t="s">
        <v>74</v>
      </c>
      <c r="M2399" t="s">
        <v>85</v>
      </c>
      <c r="R2399" t="s">
        <v>15359</v>
      </c>
      <c r="W2399" t="s">
        <v>15357</v>
      </c>
      <c r="X2399" t="s">
        <v>15360</v>
      </c>
      <c r="Y2399" t="s">
        <v>87</v>
      </c>
      <c r="Z2399" t="s">
        <v>77</v>
      </c>
      <c r="AA2399" t="str">
        <f>"11226-4221"</f>
        <v>11226-4221</v>
      </c>
      <c r="AB2399" t="s">
        <v>78</v>
      </c>
      <c r="AC2399" t="s">
        <v>79</v>
      </c>
      <c r="AD2399" t="s">
        <v>75</v>
      </c>
      <c r="AE2399" t="s">
        <v>80</v>
      </c>
      <c r="AG2399" t="s">
        <v>81</v>
      </c>
    </row>
    <row r="2400" spans="1:33" x14ac:dyDescent="0.25">
      <c r="A2400" t="str">
        <f>"1093792970"</f>
        <v>1093792970</v>
      </c>
      <c r="B2400" t="str">
        <f>"01761095"</f>
        <v>01761095</v>
      </c>
      <c r="C2400" t="s">
        <v>15361</v>
      </c>
      <c r="D2400" t="s">
        <v>3045</v>
      </c>
      <c r="E2400" t="s">
        <v>3046</v>
      </c>
      <c r="G2400" t="s">
        <v>13504</v>
      </c>
      <c r="H2400" t="s">
        <v>13505</v>
      </c>
      <c r="J2400" t="s">
        <v>13506</v>
      </c>
      <c r="L2400" t="s">
        <v>83</v>
      </c>
      <c r="M2400" t="s">
        <v>75</v>
      </c>
      <c r="R2400" t="s">
        <v>3047</v>
      </c>
      <c r="W2400" t="s">
        <v>3046</v>
      </c>
      <c r="X2400" t="s">
        <v>3048</v>
      </c>
      <c r="Y2400" t="s">
        <v>327</v>
      </c>
      <c r="Z2400" t="s">
        <v>77</v>
      </c>
      <c r="AA2400" t="str">
        <f>"11415-3405"</f>
        <v>11415-3405</v>
      </c>
      <c r="AB2400" t="s">
        <v>78</v>
      </c>
      <c r="AC2400" t="s">
        <v>79</v>
      </c>
      <c r="AD2400" t="s">
        <v>75</v>
      </c>
      <c r="AE2400" t="s">
        <v>80</v>
      </c>
      <c r="AG2400" t="s">
        <v>81</v>
      </c>
    </row>
    <row r="2401" spans="1:33" x14ac:dyDescent="0.25">
      <c r="A2401" t="str">
        <f>"1477590875"</f>
        <v>1477590875</v>
      </c>
      <c r="B2401" t="str">
        <f>"01717651"</f>
        <v>01717651</v>
      </c>
      <c r="C2401" t="s">
        <v>15362</v>
      </c>
      <c r="D2401" t="s">
        <v>15363</v>
      </c>
      <c r="E2401" t="s">
        <v>15364</v>
      </c>
      <c r="G2401" t="s">
        <v>13504</v>
      </c>
      <c r="H2401" t="s">
        <v>13505</v>
      </c>
      <c r="J2401" t="s">
        <v>13506</v>
      </c>
      <c r="L2401" t="s">
        <v>74</v>
      </c>
      <c r="M2401" t="s">
        <v>75</v>
      </c>
      <c r="R2401" t="s">
        <v>15365</v>
      </c>
      <c r="W2401" t="s">
        <v>15366</v>
      </c>
      <c r="X2401" t="s">
        <v>202</v>
      </c>
      <c r="Y2401" t="s">
        <v>87</v>
      </c>
      <c r="Z2401" t="s">
        <v>77</v>
      </c>
      <c r="AA2401" t="str">
        <f>"11201-5425"</f>
        <v>11201-5425</v>
      </c>
      <c r="AB2401" t="s">
        <v>78</v>
      </c>
      <c r="AC2401" t="s">
        <v>79</v>
      </c>
      <c r="AD2401" t="s">
        <v>75</v>
      </c>
      <c r="AE2401" t="s">
        <v>80</v>
      </c>
      <c r="AG2401" t="s">
        <v>81</v>
      </c>
    </row>
    <row r="2402" spans="1:33" x14ac:dyDescent="0.25">
      <c r="A2402" t="str">
        <f>"1205938115"</f>
        <v>1205938115</v>
      </c>
      <c r="B2402" t="str">
        <f>"00229263"</f>
        <v>00229263</v>
      </c>
      <c r="C2402" t="s">
        <v>13436</v>
      </c>
      <c r="D2402" t="s">
        <v>15367</v>
      </c>
      <c r="E2402" t="s">
        <v>15368</v>
      </c>
      <c r="G2402" t="s">
        <v>15369</v>
      </c>
      <c r="L2402" t="s">
        <v>83</v>
      </c>
      <c r="M2402" t="s">
        <v>85</v>
      </c>
      <c r="R2402" t="s">
        <v>15370</v>
      </c>
      <c r="W2402" t="s">
        <v>15368</v>
      </c>
      <c r="X2402" t="s">
        <v>15371</v>
      </c>
      <c r="Y2402" t="s">
        <v>87</v>
      </c>
      <c r="Z2402" t="s">
        <v>77</v>
      </c>
      <c r="AA2402" t="str">
        <f>"11212"</f>
        <v>11212</v>
      </c>
      <c r="AB2402" t="s">
        <v>78</v>
      </c>
      <c r="AC2402" t="s">
        <v>79</v>
      </c>
      <c r="AD2402" t="s">
        <v>75</v>
      </c>
      <c r="AE2402" t="s">
        <v>80</v>
      </c>
      <c r="AG2402" t="s">
        <v>81</v>
      </c>
    </row>
    <row r="2403" spans="1:33" x14ac:dyDescent="0.25">
      <c r="A2403" t="str">
        <f>"1689667297"</f>
        <v>1689667297</v>
      </c>
      <c r="B2403" t="str">
        <f>"01039418"</f>
        <v>01039418</v>
      </c>
      <c r="C2403" t="s">
        <v>15372</v>
      </c>
      <c r="D2403" t="s">
        <v>2533</v>
      </c>
      <c r="E2403" t="s">
        <v>2534</v>
      </c>
      <c r="G2403" t="s">
        <v>15372</v>
      </c>
      <c r="H2403" t="s">
        <v>15373</v>
      </c>
      <c r="L2403" t="s">
        <v>74</v>
      </c>
      <c r="M2403" t="s">
        <v>75</v>
      </c>
      <c r="R2403" t="s">
        <v>2532</v>
      </c>
      <c r="W2403" t="s">
        <v>2534</v>
      </c>
      <c r="X2403" t="s">
        <v>2535</v>
      </c>
      <c r="Y2403" t="s">
        <v>131</v>
      </c>
      <c r="Z2403" t="s">
        <v>77</v>
      </c>
      <c r="AA2403" t="str">
        <f>"10466-1413"</f>
        <v>10466-1413</v>
      </c>
      <c r="AB2403" t="s">
        <v>128</v>
      </c>
      <c r="AC2403" t="s">
        <v>79</v>
      </c>
      <c r="AD2403" t="s">
        <v>75</v>
      </c>
      <c r="AE2403" t="s">
        <v>80</v>
      </c>
      <c r="AG2403" t="s">
        <v>81</v>
      </c>
    </row>
    <row r="2404" spans="1:33" x14ac:dyDescent="0.25">
      <c r="A2404" t="str">
        <f>"1346203536"</f>
        <v>1346203536</v>
      </c>
      <c r="B2404" t="str">
        <f>"02823018"</f>
        <v>02823018</v>
      </c>
      <c r="C2404" t="s">
        <v>15374</v>
      </c>
      <c r="D2404" t="s">
        <v>2537</v>
      </c>
      <c r="E2404" t="s">
        <v>2538</v>
      </c>
      <c r="G2404" t="s">
        <v>15374</v>
      </c>
      <c r="H2404" t="s">
        <v>15375</v>
      </c>
      <c r="L2404" t="s">
        <v>37</v>
      </c>
      <c r="M2404" t="s">
        <v>75</v>
      </c>
      <c r="R2404" t="s">
        <v>2536</v>
      </c>
      <c r="W2404" t="s">
        <v>2538</v>
      </c>
      <c r="X2404" t="s">
        <v>2539</v>
      </c>
      <c r="Y2404" t="s">
        <v>2540</v>
      </c>
      <c r="Z2404" t="s">
        <v>77</v>
      </c>
      <c r="AA2404" t="str">
        <f>"11783-1324"</f>
        <v>11783-1324</v>
      </c>
      <c r="AB2404" t="s">
        <v>127</v>
      </c>
      <c r="AC2404" t="s">
        <v>79</v>
      </c>
      <c r="AD2404" t="s">
        <v>75</v>
      </c>
      <c r="AE2404" t="s">
        <v>80</v>
      </c>
      <c r="AG2404" t="s">
        <v>81</v>
      </c>
    </row>
    <row r="2405" spans="1:33" x14ac:dyDescent="0.25">
      <c r="A2405" t="str">
        <f>"1013981380"</f>
        <v>1013981380</v>
      </c>
      <c r="B2405" t="str">
        <f>"00715857"</f>
        <v>00715857</v>
      </c>
      <c r="C2405" t="s">
        <v>13436</v>
      </c>
      <c r="D2405" t="s">
        <v>15376</v>
      </c>
      <c r="E2405" t="s">
        <v>15377</v>
      </c>
      <c r="G2405" t="s">
        <v>15378</v>
      </c>
      <c r="L2405" t="s">
        <v>83</v>
      </c>
      <c r="M2405" t="s">
        <v>85</v>
      </c>
      <c r="R2405" t="s">
        <v>15379</v>
      </c>
      <c r="W2405" t="s">
        <v>15377</v>
      </c>
      <c r="X2405" t="s">
        <v>15380</v>
      </c>
      <c r="Y2405" t="s">
        <v>97</v>
      </c>
      <c r="Z2405" t="s">
        <v>77</v>
      </c>
      <c r="AA2405" t="str">
        <f>"10003"</f>
        <v>10003</v>
      </c>
      <c r="AB2405" t="s">
        <v>78</v>
      </c>
      <c r="AC2405" t="s">
        <v>79</v>
      </c>
      <c r="AD2405" t="s">
        <v>75</v>
      </c>
      <c r="AE2405" t="s">
        <v>80</v>
      </c>
      <c r="AG2405" t="s">
        <v>81</v>
      </c>
    </row>
    <row r="2406" spans="1:33" x14ac:dyDescent="0.25">
      <c r="A2406" t="str">
        <f>"1437190006"</f>
        <v>1437190006</v>
      </c>
      <c r="B2406" t="str">
        <f>"03174930"</f>
        <v>03174930</v>
      </c>
      <c r="C2406" t="s">
        <v>13436</v>
      </c>
      <c r="D2406" t="s">
        <v>15381</v>
      </c>
      <c r="E2406" t="s">
        <v>15382</v>
      </c>
      <c r="G2406" t="s">
        <v>15383</v>
      </c>
      <c r="L2406" t="s">
        <v>74</v>
      </c>
      <c r="M2406" t="s">
        <v>85</v>
      </c>
      <c r="R2406" t="s">
        <v>15384</v>
      </c>
      <c r="W2406" t="s">
        <v>15382</v>
      </c>
      <c r="X2406" t="s">
        <v>181</v>
      </c>
      <c r="Y2406" t="s">
        <v>97</v>
      </c>
      <c r="Z2406" t="s">
        <v>77</v>
      </c>
      <c r="AA2406" t="str">
        <f>"10025-1716"</f>
        <v>10025-1716</v>
      </c>
      <c r="AB2406" t="s">
        <v>78</v>
      </c>
      <c r="AC2406" t="s">
        <v>79</v>
      </c>
      <c r="AD2406" t="s">
        <v>75</v>
      </c>
      <c r="AE2406" t="s">
        <v>80</v>
      </c>
      <c r="AG2406" t="s">
        <v>81</v>
      </c>
    </row>
    <row r="2407" spans="1:33" x14ac:dyDescent="0.25">
      <c r="A2407" t="str">
        <f>"1164633137"</f>
        <v>1164633137</v>
      </c>
      <c r="B2407" t="str">
        <f>"03130072"</f>
        <v>03130072</v>
      </c>
      <c r="C2407" t="s">
        <v>13436</v>
      </c>
      <c r="D2407" t="s">
        <v>15385</v>
      </c>
      <c r="E2407" t="s">
        <v>15386</v>
      </c>
      <c r="G2407" t="s">
        <v>15387</v>
      </c>
      <c r="L2407" t="s">
        <v>105</v>
      </c>
      <c r="M2407" t="s">
        <v>85</v>
      </c>
      <c r="R2407" t="s">
        <v>15388</v>
      </c>
      <c r="W2407" t="s">
        <v>15386</v>
      </c>
      <c r="X2407" t="s">
        <v>329</v>
      </c>
      <c r="Y2407" t="s">
        <v>97</v>
      </c>
      <c r="Z2407" t="s">
        <v>77</v>
      </c>
      <c r="AA2407" t="str">
        <f>"10029-6500"</f>
        <v>10029-6500</v>
      </c>
      <c r="AB2407" t="s">
        <v>78</v>
      </c>
      <c r="AC2407" t="s">
        <v>79</v>
      </c>
      <c r="AD2407" t="s">
        <v>75</v>
      </c>
      <c r="AE2407" t="s">
        <v>80</v>
      </c>
      <c r="AG2407" t="s">
        <v>81</v>
      </c>
    </row>
    <row r="2408" spans="1:33" x14ac:dyDescent="0.25">
      <c r="A2408" t="str">
        <f>"1023213071"</f>
        <v>1023213071</v>
      </c>
      <c r="B2408" t="str">
        <f>"02533131"</f>
        <v>02533131</v>
      </c>
      <c r="C2408" t="s">
        <v>13436</v>
      </c>
      <c r="D2408" t="s">
        <v>15389</v>
      </c>
      <c r="E2408" t="s">
        <v>15390</v>
      </c>
      <c r="G2408" t="s">
        <v>15391</v>
      </c>
      <c r="L2408" t="s">
        <v>83</v>
      </c>
      <c r="M2408" t="s">
        <v>75</v>
      </c>
      <c r="R2408" t="s">
        <v>15392</v>
      </c>
      <c r="W2408" t="s">
        <v>15390</v>
      </c>
      <c r="X2408" t="s">
        <v>15393</v>
      </c>
      <c r="Y2408" t="s">
        <v>87</v>
      </c>
      <c r="Z2408" t="s">
        <v>77</v>
      </c>
      <c r="AA2408" t="str">
        <f>"11229-1147"</f>
        <v>11229-1147</v>
      </c>
      <c r="AB2408" t="s">
        <v>78</v>
      </c>
      <c r="AC2408" t="s">
        <v>79</v>
      </c>
      <c r="AD2408" t="s">
        <v>75</v>
      </c>
      <c r="AE2408" t="s">
        <v>80</v>
      </c>
      <c r="AG2408" t="s">
        <v>81</v>
      </c>
    </row>
    <row r="2409" spans="1:33" x14ac:dyDescent="0.25">
      <c r="A2409" t="str">
        <f>"1023332079"</f>
        <v>1023332079</v>
      </c>
      <c r="B2409" t="str">
        <f>"03712512"</f>
        <v>03712512</v>
      </c>
      <c r="C2409" t="s">
        <v>13436</v>
      </c>
      <c r="D2409" t="s">
        <v>15394</v>
      </c>
      <c r="E2409" t="s">
        <v>15395</v>
      </c>
      <c r="G2409" t="s">
        <v>15396</v>
      </c>
      <c r="L2409" t="s">
        <v>74</v>
      </c>
      <c r="M2409" t="s">
        <v>75</v>
      </c>
      <c r="R2409" t="s">
        <v>15397</v>
      </c>
      <c r="W2409" t="s">
        <v>15395</v>
      </c>
      <c r="X2409" t="s">
        <v>329</v>
      </c>
      <c r="Y2409" t="s">
        <v>97</v>
      </c>
      <c r="Z2409" t="s">
        <v>77</v>
      </c>
      <c r="AA2409" t="str">
        <f>"10029-6504"</f>
        <v>10029-6504</v>
      </c>
      <c r="AB2409" t="s">
        <v>78</v>
      </c>
      <c r="AC2409" t="s">
        <v>79</v>
      </c>
      <c r="AD2409" t="s">
        <v>75</v>
      </c>
      <c r="AE2409" t="s">
        <v>80</v>
      </c>
      <c r="AG2409" t="s">
        <v>81</v>
      </c>
    </row>
    <row r="2410" spans="1:33" x14ac:dyDescent="0.25">
      <c r="A2410" t="str">
        <f>"1023350105"</f>
        <v>1023350105</v>
      </c>
      <c r="C2410" t="s">
        <v>13436</v>
      </c>
      <c r="G2410" t="s">
        <v>15398</v>
      </c>
      <c r="K2410" t="s">
        <v>99</v>
      </c>
      <c r="L2410" t="s">
        <v>102</v>
      </c>
      <c r="M2410" t="s">
        <v>75</v>
      </c>
      <c r="R2410" t="s">
        <v>15399</v>
      </c>
      <c r="S2410" t="s">
        <v>11602</v>
      </c>
      <c r="T2410" t="s">
        <v>97</v>
      </c>
      <c r="U2410" t="s">
        <v>77</v>
      </c>
      <c r="V2410" t="str">
        <f>"100295204"</f>
        <v>100295204</v>
      </c>
      <c r="AC2410" t="s">
        <v>79</v>
      </c>
      <c r="AD2410" t="s">
        <v>75</v>
      </c>
      <c r="AE2410" t="s">
        <v>103</v>
      </c>
      <c r="AG2410" t="s">
        <v>81</v>
      </c>
    </row>
    <row r="2411" spans="1:33" x14ac:dyDescent="0.25">
      <c r="A2411" t="str">
        <f>"1639132202"</f>
        <v>1639132202</v>
      </c>
      <c r="B2411" t="str">
        <f>"01896991"</f>
        <v>01896991</v>
      </c>
      <c r="C2411" t="s">
        <v>15400</v>
      </c>
      <c r="D2411" t="s">
        <v>15401</v>
      </c>
      <c r="E2411" t="s">
        <v>15402</v>
      </c>
      <c r="G2411" t="s">
        <v>13504</v>
      </c>
      <c r="H2411" t="s">
        <v>13505</v>
      </c>
      <c r="J2411" t="s">
        <v>13506</v>
      </c>
      <c r="L2411" t="s">
        <v>83</v>
      </c>
      <c r="M2411" t="s">
        <v>85</v>
      </c>
      <c r="R2411" t="s">
        <v>15403</v>
      </c>
      <c r="W2411" t="s">
        <v>15404</v>
      </c>
      <c r="X2411" t="s">
        <v>15405</v>
      </c>
      <c r="Y2411" t="s">
        <v>87</v>
      </c>
      <c r="Z2411" t="s">
        <v>77</v>
      </c>
      <c r="AA2411" t="str">
        <f>"11225-5006"</f>
        <v>11225-5006</v>
      </c>
      <c r="AB2411" t="s">
        <v>78</v>
      </c>
      <c r="AC2411" t="s">
        <v>79</v>
      </c>
      <c r="AD2411" t="s">
        <v>75</v>
      </c>
      <c r="AE2411" t="s">
        <v>80</v>
      </c>
      <c r="AG2411" t="s">
        <v>81</v>
      </c>
    </row>
    <row r="2412" spans="1:33" x14ac:dyDescent="0.25">
      <c r="A2412" t="str">
        <f>"1114958451"</f>
        <v>1114958451</v>
      </c>
      <c r="B2412" t="str">
        <f>"01693576"</f>
        <v>01693576</v>
      </c>
      <c r="C2412" t="s">
        <v>15406</v>
      </c>
      <c r="D2412" t="s">
        <v>15407</v>
      </c>
      <c r="E2412" t="s">
        <v>15408</v>
      </c>
      <c r="G2412" t="s">
        <v>13504</v>
      </c>
      <c r="H2412" t="s">
        <v>13505</v>
      </c>
      <c r="J2412" t="s">
        <v>13506</v>
      </c>
      <c r="L2412" t="s">
        <v>74</v>
      </c>
      <c r="M2412" t="s">
        <v>75</v>
      </c>
      <c r="R2412" t="s">
        <v>15409</v>
      </c>
      <c r="W2412" t="s">
        <v>15408</v>
      </c>
      <c r="X2412" t="s">
        <v>202</v>
      </c>
      <c r="Y2412" t="s">
        <v>87</v>
      </c>
      <c r="Z2412" t="s">
        <v>77</v>
      </c>
      <c r="AA2412" t="str">
        <f>"11201-5425"</f>
        <v>11201-5425</v>
      </c>
      <c r="AB2412" t="s">
        <v>78</v>
      </c>
      <c r="AC2412" t="s">
        <v>79</v>
      </c>
      <c r="AD2412" t="s">
        <v>75</v>
      </c>
      <c r="AE2412" t="s">
        <v>80</v>
      </c>
      <c r="AG2412" t="s">
        <v>81</v>
      </c>
    </row>
    <row r="2413" spans="1:33" x14ac:dyDescent="0.25">
      <c r="A2413" t="str">
        <f>"1700804713"</f>
        <v>1700804713</v>
      </c>
      <c r="B2413" t="str">
        <f>"02153900"</f>
        <v>02153900</v>
      </c>
      <c r="C2413" t="s">
        <v>15410</v>
      </c>
      <c r="D2413" t="s">
        <v>15411</v>
      </c>
      <c r="E2413" t="s">
        <v>15412</v>
      </c>
      <c r="G2413" t="s">
        <v>13504</v>
      </c>
      <c r="H2413" t="s">
        <v>13505</v>
      </c>
      <c r="J2413" t="s">
        <v>13506</v>
      </c>
      <c r="L2413" t="s">
        <v>83</v>
      </c>
      <c r="M2413" t="s">
        <v>75</v>
      </c>
      <c r="R2413" t="s">
        <v>15413</v>
      </c>
      <c r="W2413" t="s">
        <v>15412</v>
      </c>
      <c r="X2413" t="s">
        <v>15414</v>
      </c>
      <c r="Y2413" t="s">
        <v>180</v>
      </c>
      <c r="Z2413" t="s">
        <v>77</v>
      </c>
      <c r="AA2413" t="str">
        <f>"10701-4006"</f>
        <v>10701-4006</v>
      </c>
      <c r="AB2413" t="s">
        <v>78</v>
      </c>
      <c r="AC2413" t="s">
        <v>79</v>
      </c>
      <c r="AD2413" t="s">
        <v>75</v>
      </c>
      <c r="AE2413" t="s">
        <v>80</v>
      </c>
      <c r="AG2413" t="s">
        <v>81</v>
      </c>
    </row>
    <row r="2414" spans="1:33" x14ac:dyDescent="0.25">
      <c r="A2414" t="str">
        <f>"1386644714"</f>
        <v>1386644714</v>
      </c>
      <c r="B2414" t="str">
        <f>"02010039"</f>
        <v>02010039</v>
      </c>
      <c r="C2414" t="s">
        <v>15415</v>
      </c>
      <c r="D2414" t="s">
        <v>15416</v>
      </c>
      <c r="E2414" t="s">
        <v>15417</v>
      </c>
      <c r="G2414" t="s">
        <v>13504</v>
      </c>
      <c r="H2414" t="s">
        <v>13505</v>
      </c>
      <c r="J2414" t="s">
        <v>13506</v>
      </c>
      <c r="L2414" t="s">
        <v>83</v>
      </c>
      <c r="M2414" t="s">
        <v>75</v>
      </c>
      <c r="R2414" t="s">
        <v>15418</v>
      </c>
      <c r="W2414" t="s">
        <v>15417</v>
      </c>
      <c r="X2414" t="s">
        <v>2926</v>
      </c>
      <c r="Y2414" t="s">
        <v>97</v>
      </c>
      <c r="Z2414" t="s">
        <v>77</v>
      </c>
      <c r="AA2414" t="str">
        <f>"10029-6503"</f>
        <v>10029-6503</v>
      </c>
      <c r="AB2414" t="s">
        <v>78</v>
      </c>
      <c r="AC2414" t="s">
        <v>79</v>
      </c>
      <c r="AD2414" t="s">
        <v>75</v>
      </c>
      <c r="AE2414" t="s">
        <v>80</v>
      </c>
      <c r="AG2414" t="s">
        <v>81</v>
      </c>
    </row>
    <row r="2415" spans="1:33" x14ac:dyDescent="0.25">
      <c r="A2415" t="str">
        <f>"1144238924"</f>
        <v>1144238924</v>
      </c>
      <c r="B2415" t="str">
        <f>"01841556"</f>
        <v>01841556</v>
      </c>
      <c r="C2415" t="s">
        <v>15419</v>
      </c>
      <c r="D2415" t="s">
        <v>15420</v>
      </c>
      <c r="E2415" t="s">
        <v>15421</v>
      </c>
      <c r="G2415" t="s">
        <v>13504</v>
      </c>
      <c r="H2415" t="s">
        <v>13505</v>
      </c>
      <c r="J2415" t="s">
        <v>13506</v>
      </c>
      <c r="L2415" t="s">
        <v>84</v>
      </c>
      <c r="M2415" t="s">
        <v>85</v>
      </c>
      <c r="R2415" t="s">
        <v>15422</v>
      </c>
      <c r="W2415" t="s">
        <v>15421</v>
      </c>
      <c r="X2415" t="s">
        <v>642</v>
      </c>
      <c r="Y2415" t="s">
        <v>87</v>
      </c>
      <c r="Z2415" t="s">
        <v>77</v>
      </c>
      <c r="AA2415" t="str">
        <f>"11201-5493"</f>
        <v>11201-5493</v>
      </c>
      <c r="AB2415" t="s">
        <v>78</v>
      </c>
      <c r="AC2415" t="s">
        <v>79</v>
      </c>
      <c r="AD2415" t="s">
        <v>75</v>
      </c>
      <c r="AE2415" t="s">
        <v>80</v>
      </c>
      <c r="AG2415" t="s">
        <v>81</v>
      </c>
    </row>
    <row r="2416" spans="1:33" x14ac:dyDescent="0.25">
      <c r="A2416" t="str">
        <f>"1912967977"</f>
        <v>1912967977</v>
      </c>
      <c r="B2416" t="str">
        <f>"02089494"</f>
        <v>02089494</v>
      </c>
      <c r="C2416" t="s">
        <v>15423</v>
      </c>
      <c r="D2416" t="s">
        <v>15424</v>
      </c>
      <c r="E2416" t="s">
        <v>15425</v>
      </c>
      <c r="G2416" t="s">
        <v>13504</v>
      </c>
      <c r="H2416" t="s">
        <v>13505</v>
      </c>
      <c r="J2416" t="s">
        <v>13506</v>
      </c>
      <c r="L2416" t="s">
        <v>74</v>
      </c>
      <c r="M2416" t="s">
        <v>75</v>
      </c>
      <c r="R2416" t="s">
        <v>15426</v>
      </c>
      <c r="W2416" t="s">
        <v>15425</v>
      </c>
      <c r="X2416" t="s">
        <v>15427</v>
      </c>
      <c r="Y2416" t="s">
        <v>97</v>
      </c>
      <c r="Z2416" t="s">
        <v>77</v>
      </c>
      <c r="AA2416" t="str">
        <f>"10021"</f>
        <v>10021</v>
      </c>
      <c r="AB2416" t="s">
        <v>78</v>
      </c>
      <c r="AC2416" t="s">
        <v>79</v>
      </c>
      <c r="AD2416" t="s">
        <v>75</v>
      </c>
      <c r="AE2416" t="s">
        <v>80</v>
      </c>
      <c r="AG2416" t="s">
        <v>81</v>
      </c>
    </row>
    <row r="2417" spans="1:33" x14ac:dyDescent="0.25">
      <c r="A2417" t="str">
        <f>"1508861816"</f>
        <v>1508861816</v>
      </c>
      <c r="B2417" t="str">
        <f>"01775795"</f>
        <v>01775795</v>
      </c>
      <c r="C2417" t="s">
        <v>15428</v>
      </c>
      <c r="D2417" t="s">
        <v>15429</v>
      </c>
      <c r="E2417" t="s">
        <v>15430</v>
      </c>
      <c r="G2417" t="s">
        <v>13504</v>
      </c>
      <c r="H2417" t="s">
        <v>13505</v>
      </c>
      <c r="J2417" t="s">
        <v>13506</v>
      </c>
      <c r="L2417" t="s">
        <v>83</v>
      </c>
      <c r="M2417" t="s">
        <v>75</v>
      </c>
      <c r="R2417" t="s">
        <v>15431</v>
      </c>
      <c r="W2417" t="s">
        <v>15431</v>
      </c>
      <c r="X2417" t="s">
        <v>265</v>
      </c>
      <c r="Y2417" t="s">
        <v>247</v>
      </c>
      <c r="Z2417" t="s">
        <v>77</v>
      </c>
      <c r="AA2417" t="str">
        <f>"11791-4515"</f>
        <v>11791-4515</v>
      </c>
      <c r="AB2417" t="s">
        <v>78</v>
      </c>
      <c r="AC2417" t="s">
        <v>79</v>
      </c>
      <c r="AD2417" t="s">
        <v>75</v>
      </c>
      <c r="AE2417" t="s">
        <v>80</v>
      </c>
      <c r="AG2417" t="s">
        <v>81</v>
      </c>
    </row>
    <row r="2418" spans="1:33" x14ac:dyDescent="0.25">
      <c r="C2418" t="s">
        <v>15432</v>
      </c>
      <c r="G2418" t="s">
        <v>9477</v>
      </c>
      <c r="H2418" t="s">
        <v>4867</v>
      </c>
      <c r="I2418">
        <v>135</v>
      </c>
      <c r="J2418" t="s">
        <v>5634</v>
      </c>
      <c r="K2418" t="s">
        <v>99</v>
      </c>
      <c r="L2418" t="s">
        <v>100</v>
      </c>
      <c r="M2418" t="s">
        <v>75</v>
      </c>
      <c r="N2418" t="s">
        <v>15433</v>
      </c>
      <c r="O2418" t="s">
        <v>431</v>
      </c>
      <c r="P2418" t="s">
        <v>77</v>
      </c>
      <c r="Q2418" t="str">
        <f>"11237"</f>
        <v>11237</v>
      </c>
      <c r="AC2418" t="s">
        <v>79</v>
      </c>
      <c r="AD2418" t="s">
        <v>75</v>
      </c>
      <c r="AE2418" t="s">
        <v>101</v>
      </c>
      <c r="AG2418" t="s">
        <v>81</v>
      </c>
    </row>
    <row r="2419" spans="1:33" x14ac:dyDescent="0.25">
      <c r="A2419" t="str">
        <f>"1255306973"</f>
        <v>1255306973</v>
      </c>
      <c r="B2419" t="str">
        <f>"01528743"</f>
        <v>01528743</v>
      </c>
      <c r="C2419" t="s">
        <v>15434</v>
      </c>
      <c r="D2419" t="s">
        <v>6098</v>
      </c>
      <c r="E2419" t="s">
        <v>6099</v>
      </c>
      <c r="G2419" t="s">
        <v>9477</v>
      </c>
      <c r="H2419" t="s">
        <v>4867</v>
      </c>
      <c r="I2419">
        <v>135</v>
      </c>
      <c r="J2419" t="s">
        <v>5634</v>
      </c>
      <c r="L2419" t="s">
        <v>84</v>
      </c>
      <c r="M2419" t="s">
        <v>85</v>
      </c>
      <c r="R2419" t="s">
        <v>6100</v>
      </c>
      <c r="W2419" t="s">
        <v>6099</v>
      </c>
      <c r="X2419" t="s">
        <v>5971</v>
      </c>
      <c r="Y2419" t="s">
        <v>180</v>
      </c>
      <c r="Z2419" t="s">
        <v>77</v>
      </c>
      <c r="AA2419" t="str">
        <f>"10701-4004"</f>
        <v>10701-4004</v>
      </c>
      <c r="AB2419" t="s">
        <v>78</v>
      </c>
      <c r="AC2419" t="s">
        <v>79</v>
      </c>
      <c r="AD2419" t="s">
        <v>75</v>
      </c>
      <c r="AE2419" t="s">
        <v>80</v>
      </c>
      <c r="AG2419" t="s">
        <v>81</v>
      </c>
    </row>
    <row r="2420" spans="1:33" x14ac:dyDescent="0.25">
      <c r="A2420" t="str">
        <f>"1811077795"</f>
        <v>1811077795</v>
      </c>
      <c r="C2420" t="s">
        <v>15435</v>
      </c>
      <c r="G2420" t="s">
        <v>9477</v>
      </c>
      <c r="H2420" t="s">
        <v>4867</v>
      </c>
      <c r="I2420">
        <v>135</v>
      </c>
      <c r="J2420" t="s">
        <v>5634</v>
      </c>
      <c r="K2420" t="s">
        <v>99</v>
      </c>
      <c r="L2420" t="s">
        <v>102</v>
      </c>
      <c r="M2420" t="s">
        <v>75</v>
      </c>
      <c r="R2420" t="s">
        <v>5636</v>
      </c>
      <c r="S2420" t="s">
        <v>5637</v>
      </c>
      <c r="T2420" t="s">
        <v>180</v>
      </c>
      <c r="U2420" t="s">
        <v>77</v>
      </c>
      <c r="V2420" t="str">
        <f>"107011309"</f>
        <v>107011309</v>
      </c>
      <c r="AC2420" t="s">
        <v>79</v>
      </c>
      <c r="AD2420" t="s">
        <v>75</v>
      </c>
      <c r="AE2420" t="s">
        <v>103</v>
      </c>
      <c r="AG2420" t="s">
        <v>81</v>
      </c>
    </row>
    <row r="2421" spans="1:33" x14ac:dyDescent="0.25">
      <c r="A2421" t="str">
        <f>"1396746566"</f>
        <v>1396746566</v>
      </c>
      <c r="B2421" t="str">
        <f>"01496157"</f>
        <v>01496157</v>
      </c>
      <c r="C2421" t="s">
        <v>13436</v>
      </c>
      <c r="D2421" t="s">
        <v>15436</v>
      </c>
      <c r="E2421" t="s">
        <v>15437</v>
      </c>
      <c r="G2421" t="s">
        <v>15438</v>
      </c>
      <c r="L2421" t="s">
        <v>83</v>
      </c>
      <c r="M2421" t="s">
        <v>85</v>
      </c>
      <c r="R2421" t="s">
        <v>15439</v>
      </c>
      <c r="W2421" t="s">
        <v>15437</v>
      </c>
      <c r="X2421" t="s">
        <v>2653</v>
      </c>
      <c r="Y2421" t="s">
        <v>97</v>
      </c>
      <c r="Z2421" t="s">
        <v>77</v>
      </c>
      <c r="AA2421" t="str">
        <f>"10019"</f>
        <v>10019</v>
      </c>
      <c r="AB2421" t="s">
        <v>78</v>
      </c>
      <c r="AC2421" t="s">
        <v>79</v>
      </c>
      <c r="AD2421" t="s">
        <v>75</v>
      </c>
      <c r="AE2421" t="s">
        <v>80</v>
      </c>
      <c r="AG2421" t="s">
        <v>81</v>
      </c>
    </row>
    <row r="2422" spans="1:33" x14ac:dyDescent="0.25">
      <c r="A2422" t="str">
        <f>"1396791000"</f>
        <v>1396791000</v>
      </c>
      <c r="B2422" t="str">
        <f>"02799668"</f>
        <v>02799668</v>
      </c>
      <c r="C2422" t="s">
        <v>13436</v>
      </c>
      <c r="D2422" t="s">
        <v>15440</v>
      </c>
      <c r="E2422" t="s">
        <v>15441</v>
      </c>
      <c r="G2422" t="s">
        <v>15442</v>
      </c>
      <c r="L2422" t="s">
        <v>83</v>
      </c>
      <c r="M2422" t="s">
        <v>85</v>
      </c>
      <c r="R2422" t="s">
        <v>15443</v>
      </c>
      <c r="W2422" t="s">
        <v>15441</v>
      </c>
      <c r="X2422" t="s">
        <v>181</v>
      </c>
      <c r="Y2422" t="s">
        <v>97</v>
      </c>
      <c r="Z2422" t="s">
        <v>77</v>
      </c>
      <c r="AA2422" t="str">
        <f>"10025-1716"</f>
        <v>10025-1716</v>
      </c>
      <c r="AB2422" t="s">
        <v>78</v>
      </c>
      <c r="AC2422" t="s">
        <v>79</v>
      </c>
      <c r="AD2422" t="s">
        <v>75</v>
      </c>
      <c r="AE2422" t="s">
        <v>80</v>
      </c>
      <c r="AG2422" t="s">
        <v>81</v>
      </c>
    </row>
    <row r="2423" spans="1:33" x14ac:dyDescent="0.25">
      <c r="A2423" t="str">
        <f>"1396809943"</f>
        <v>1396809943</v>
      </c>
      <c r="B2423" t="str">
        <f>"01371306"</f>
        <v>01371306</v>
      </c>
      <c r="C2423" t="s">
        <v>13436</v>
      </c>
      <c r="D2423" t="s">
        <v>15444</v>
      </c>
      <c r="E2423" t="s">
        <v>15445</v>
      </c>
      <c r="G2423" t="s">
        <v>15446</v>
      </c>
      <c r="L2423" t="s">
        <v>83</v>
      </c>
      <c r="M2423" t="s">
        <v>85</v>
      </c>
      <c r="R2423" t="s">
        <v>15447</v>
      </c>
      <c r="W2423" t="s">
        <v>15448</v>
      </c>
      <c r="X2423" t="s">
        <v>15449</v>
      </c>
      <c r="Y2423" t="s">
        <v>97</v>
      </c>
      <c r="Z2423" t="s">
        <v>77</v>
      </c>
      <c r="AA2423" t="str">
        <f>"10019-3211"</f>
        <v>10019-3211</v>
      </c>
      <c r="AB2423" t="s">
        <v>78</v>
      </c>
      <c r="AC2423" t="s">
        <v>79</v>
      </c>
      <c r="AD2423" t="s">
        <v>75</v>
      </c>
      <c r="AE2423" t="s">
        <v>80</v>
      </c>
      <c r="AG2423" t="s">
        <v>81</v>
      </c>
    </row>
    <row r="2424" spans="1:33" x14ac:dyDescent="0.25">
      <c r="A2424" t="str">
        <f>"1396818415"</f>
        <v>1396818415</v>
      </c>
      <c r="B2424" t="str">
        <f>"01161100"</f>
        <v>01161100</v>
      </c>
      <c r="C2424" t="s">
        <v>13436</v>
      </c>
      <c r="D2424" t="s">
        <v>15450</v>
      </c>
      <c r="E2424" t="s">
        <v>15451</v>
      </c>
      <c r="G2424" t="s">
        <v>15452</v>
      </c>
      <c r="L2424" t="s">
        <v>74</v>
      </c>
      <c r="M2424" t="s">
        <v>85</v>
      </c>
      <c r="R2424" t="s">
        <v>15453</v>
      </c>
      <c r="W2424" t="s">
        <v>15451</v>
      </c>
      <c r="Y2424" t="s">
        <v>97</v>
      </c>
      <c r="Z2424" t="s">
        <v>77</v>
      </c>
      <c r="AA2424" t="str">
        <f>"10023-6406"</f>
        <v>10023-6406</v>
      </c>
      <c r="AB2424" t="s">
        <v>78</v>
      </c>
      <c r="AC2424" t="s">
        <v>79</v>
      </c>
      <c r="AD2424" t="s">
        <v>75</v>
      </c>
      <c r="AE2424" t="s">
        <v>80</v>
      </c>
      <c r="AG2424" t="s">
        <v>81</v>
      </c>
    </row>
    <row r="2425" spans="1:33" x14ac:dyDescent="0.25">
      <c r="C2425" t="s">
        <v>15454</v>
      </c>
      <c r="G2425" t="s">
        <v>9477</v>
      </c>
      <c r="H2425" t="s">
        <v>4867</v>
      </c>
      <c r="I2425">
        <v>135</v>
      </c>
      <c r="J2425" t="s">
        <v>5634</v>
      </c>
      <c r="K2425" t="s">
        <v>99</v>
      </c>
      <c r="L2425" t="s">
        <v>100</v>
      </c>
      <c r="M2425" t="s">
        <v>75</v>
      </c>
      <c r="N2425" t="s">
        <v>15455</v>
      </c>
      <c r="O2425" t="s">
        <v>15456</v>
      </c>
      <c r="P2425" t="s">
        <v>156</v>
      </c>
      <c r="Q2425" t="str">
        <f>"6457"</f>
        <v>6457</v>
      </c>
      <c r="AC2425" t="s">
        <v>79</v>
      </c>
      <c r="AD2425" t="s">
        <v>75</v>
      </c>
      <c r="AE2425" t="s">
        <v>101</v>
      </c>
      <c r="AG2425" t="s">
        <v>81</v>
      </c>
    </row>
    <row r="2426" spans="1:33" x14ac:dyDescent="0.25">
      <c r="A2426" t="str">
        <f>"1689747669"</f>
        <v>1689747669</v>
      </c>
      <c r="B2426" t="str">
        <f>"02519120"</f>
        <v>02519120</v>
      </c>
      <c r="C2426" t="s">
        <v>15457</v>
      </c>
      <c r="D2426" t="s">
        <v>4321</v>
      </c>
      <c r="E2426" t="s">
        <v>4322</v>
      </c>
      <c r="G2426" t="s">
        <v>9477</v>
      </c>
      <c r="H2426" t="s">
        <v>4867</v>
      </c>
      <c r="I2426">
        <v>135</v>
      </c>
      <c r="J2426" t="s">
        <v>5634</v>
      </c>
      <c r="L2426" t="s">
        <v>105</v>
      </c>
      <c r="M2426" t="s">
        <v>75</v>
      </c>
      <c r="R2426" t="s">
        <v>4323</v>
      </c>
      <c r="W2426" t="s">
        <v>4322</v>
      </c>
      <c r="X2426" t="s">
        <v>4324</v>
      </c>
      <c r="Y2426" t="s">
        <v>97</v>
      </c>
      <c r="Z2426" t="s">
        <v>77</v>
      </c>
      <c r="AA2426" t="str">
        <f>"10123-0101"</f>
        <v>10123-0101</v>
      </c>
      <c r="AB2426" t="s">
        <v>125</v>
      </c>
      <c r="AC2426" t="s">
        <v>79</v>
      </c>
      <c r="AD2426" t="s">
        <v>75</v>
      </c>
      <c r="AE2426" t="s">
        <v>80</v>
      </c>
      <c r="AG2426" t="s">
        <v>81</v>
      </c>
    </row>
    <row r="2427" spans="1:33" x14ac:dyDescent="0.25">
      <c r="A2427" t="str">
        <f>"1053652115"</f>
        <v>1053652115</v>
      </c>
      <c r="B2427" t="str">
        <f>"03586505"</f>
        <v>03586505</v>
      </c>
      <c r="C2427" t="s">
        <v>15458</v>
      </c>
      <c r="D2427" t="s">
        <v>5926</v>
      </c>
      <c r="E2427" t="s">
        <v>5927</v>
      </c>
      <c r="G2427" t="s">
        <v>9477</v>
      </c>
      <c r="H2427" t="s">
        <v>4867</v>
      </c>
      <c r="I2427">
        <v>135</v>
      </c>
      <c r="J2427" t="s">
        <v>5634</v>
      </c>
      <c r="L2427" t="s">
        <v>74</v>
      </c>
      <c r="M2427" t="s">
        <v>75</v>
      </c>
      <c r="R2427" t="s">
        <v>5927</v>
      </c>
      <c r="W2427" t="s">
        <v>5927</v>
      </c>
      <c r="X2427" t="s">
        <v>201</v>
      </c>
      <c r="Y2427" t="s">
        <v>87</v>
      </c>
      <c r="Z2427" t="s">
        <v>77</v>
      </c>
      <c r="AA2427" t="str">
        <f>"11237-4006"</f>
        <v>11237-4006</v>
      </c>
      <c r="AB2427" t="s">
        <v>78</v>
      </c>
      <c r="AC2427" t="s">
        <v>79</v>
      </c>
      <c r="AD2427" t="s">
        <v>75</v>
      </c>
      <c r="AE2427" t="s">
        <v>80</v>
      </c>
      <c r="AG2427" t="s">
        <v>81</v>
      </c>
    </row>
    <row r="2428" spans="1:33" x14ac:dyDescent="0.25">
      <c r="A2428" t="str">
        <f>"1356373534"</f>
        <v>1356373534</v>
      </c>
      <c r="B2428" t="str">
        <f>"01777999"</f>
        <v>01777999</v>
      </c>
      <c r="C2428" t="s">
        <v>15459</v>
      </c>
      <c r="D2428" t="s">
        <v>2179</v>
      </c>
      <c r="E2428" t="s">
        <v>2180</v>
      </c>
      <c r="G2428" t="s">
        <v>9477</v>
      </c>
      <c r="H2428" t="s">
        <v>4867</v>
      </c>
      <c r="I2428">
        <v>135</v>
      </c>
      <c r="J2428" t="s">
        <v>5634</v>
      </c>
      <c r="L2428" t="s">
        <v>83</v>
      </c>
      <c r="M2428" t="s">
        <v>85</v>
      </c>
      <c r="R2428" t="s">
        <v>2178</v>
      </c>
      <c r="W2428" t="s">
        <v>2180</v>
      </c>
      <c r="X2428" t="s">
        <v>2181</v>
      </c>
      <c r="Y2428" t="s">
        <v>2182</v>
      </c>
      <c r="Z2428" t="s">
        <v>77</v>
      </c>
      <c r="AA2428" t="str">
        <f>"10567-4121"</f>
        <v>10567-4121</v>
      </c>
      <c r="AB2428" t="s">
        <v>78</v>
      </c>
      <c r="AC2428" t="s">
        <v>79</v>
      </c>
      <c r="AD2428" t="s">
        <v>75</v>
      </c>
      <c r="AE2428" t="s">
        <v>80</v>
      </c>
      <c r="AG2428" t="s">
        <v>81</v>
      </c>
    </row>
    <row r="2429" spans="1:33" x14ac:dyDescent="0.25">
      <c r="A2429" t="str">
        <f>"1205998747"</f>
        <v>1205998747</v>
      </c>
      <c r="B2429" t="str">
        <f>"01195564"</f>
        <v>01195564</v>
      </c>
      <c r="C2429" t="s">
        <v>13436</v>
      </c>
      <c r="D2429" t="s">
        <v>15460</v>
      </c>
      <c r="E2429" t="s">
        <v>15461</v>
      </c>
      <c r="G2429" t="s">
        <v>15462</v>
      </c>
      <c r="L2429" t="s">
        <v>74</v>
      </c>
      <c r="M2429" t="s">
        <v>75</v>
      </c>
      <c r="R2429" t="s">
        <v>15463</v>
      </c>
      <c r="W2429" t="s">
        <v>15461</v>
      </c>
      <c r="X2429" t="s">
        <v>1728</v>
      </c>
      <c r="Y2429" t="s">
        <v>308</v>
      </c>
      <c r="Z2429" t="s">
        <v>77</v>
      </c>
      <c r="AA2429" t="str">
        <f>"11368-2327"</f>
        <v>11368-2327</v>
      </c>
      <c r="AB2429" t="s">
        <v>82</v>
      </c>
      <c r="AC2429" t="s">
        <v>79</v>
      </c>
      <c r="AD2429" t="s">
        <v>75</v>
      </c>
      <c r="AE2429" t="s">
        <v>80</v>
      </c>
      <c r="AG2429" t="s">
        <v>81</v>
      </c>
    </row>
    <row r="2430" spans="1:33" x14ac:dyDescent="0.25">
      <c r="A2430" t="str">
        <f>"1780625277"</f>
        <v>1780625277</v>
      </c>
      <c r="B2430" t="str">
        <f>"00772385"</f>
        <v>00772385</v>
      </c>
      <c r="C2430" t="s">
        <v>15464</v>
      </c>
      <c r="D2430" t="s">
        <v>15465</v>
      </c>
      <c r="E2430" t="s">
        <v>15466</v>
      </c>
      <c r="G2430" t="s">
        <v>13504</v>
      </c>
      <c r="H2430" t="s">
        <v>13505</v>
      </c>
      <c r="J2430" t="s">
        <v>13506</v>
      </c>
      <c r="L2430" t="s">
        <v>84</v>
      </c>
      <c r="M2430" t="s">
        <v>75</v>
      </c>
      <c r="R2430" t="s">
        <v>15467</v>
      </c>
      <c r="W2430" t="s">
        <v>15468</v>
      </c>
      <c r="X2430" t="s">
        <v>12534</v>
      </c>
      <c r="Y2430" t="s">
        <v>190</v>
      </c>
      <c r="Z2430" t="s">
        <v>77</v>
      </c>
      <c r="AA2430" t="str">
        <f>"11103-2910"</f>
        <v>11103-2910</v>
      </c>
      <c r="AB2430" t="s">
        <v>78</v>
      </c>
      <c r="AC2430" t="s">
        <v>79</v>
      </c>
      <c r="AD2430" t="s">
        <v>75</v>
      </c>
      <c r="AE2430" t="s">
        <v>80</v>
      </c>
      <c r="AG2430" t="s">
        <v>81</v>
      </c>
    </row>
    <row r="2431" spans="1:33" x14ac:dyDescent="0.25">
      <c r="A2431" t="str">
        <f>"1649440660"</f>
        <v>1649440660</v>
      </c>
      <c r="B2431" t="str">
        <f>"00913442"</f>
        <v>00913442</v>
      </c>
      <c r="C2431" t="s">
        <v>15469</v>
      </c>
      <c r="D2431" t="s">
        <v>15470</v>
      </c>
      <c r="E2431" t="s">
        <v>15471</v>
      </c>
      <c r="G2431" t="s">
        <v>13504</v>
      </c>
      <c r="H2431" t="s">
        <v>13505</v>
      </c>
      <c r="J2431" t="s">
        <v>13506</v>
      </c>
      <c r="L2431" t="s">
        <v>74</v>
      </c>
      <c r="M2431" t="s">
        <v>75</v>
      </c>
      <c r="R2431" t="s">
        <v>15472</v>
      </c>
      <c r="W2431" t="s">
        <v>15473</v>
      </c>
      <c r="X2431" t="s">
        <v>15474</v>
      </c>
      <c r="Y2431" t="s">
        <v>238</v>
      </c>
      <c r="Z2431" t="s">
        <v>77</v>
      </c>
      <c r="AA2431" t="str">
        <f>"11576-1589"</f>
        <v>11576-1589</v>
      </c>
      <c r="AB2431" t="s">
        <v>78</v>
      </c>
      <c r="AC2431" t="s">
        <v>79</v>
      </c>
      <c r="AD2431" t="s">
        <v>75</v>
      </c>
      <c r="AE2431" t="s">
        <v>80</v>
      </c>
      <c r="AG2431" t="s">
        <v>81</v>
      </c>
    </row>
    <row r="2432" spans="1:33" x14ac:dyDescent="0.25">
      <c r="A2432" t="str">
        <f>"1063845733"</f>
        <v>1063845733</v>
      </c>
      <c r="C2432" t="s">
        <v>15475</v>
      </c>
      <c r="G2432" t="s">
        <v>7218</v>
      </c>
      <c r="H2432" t="s">
        <v>6801</v>
      </c>
      <c r="I2432">
        <v>6136</v>
      </c>
      <c r="J2432" t="s">
        <v>7219</v>
      </c>
      <c r="K2432" t="s">
        <v>99</v>
      </c>
      <c r="L2432" t="s">
        <v>102</v>
      </c>
      <c r="M2432" t="s">
        <v>75</v>
      </c>
      <c r="R2432" t="s">
        <v>15476</v>
      </c>
      <c r="S2432" t="s">
        <v>15477</v>
      </c>
      <c r="T2432" t="s">
        <v>97</v>
      </c>
      <c r="U2432" t="s">
        <v>77</v>
      </c>
      <c r="V2432" t="str">
        <f>"10001"</f>
        <v>10001</v>
      </c>
      <c r="AC2432" t="s">
        <v>79</v>
      </c>
      <c r="AD2432" t="s">
        <v>75</v>
      </c>
      <c r="AE2432" t="s">
        <v>103</v>
      </c>
      <c r="AG2432" t="s">
        <v>81</v>
      </c>
    </row>
    <row r="2433" spans="1:33" x14ac:dyDescent="0.25">
      <c r="A2433" t="str">
        <f>"1174500102"</f>
        <v>1174500102</v>
      </c>
      <c r="B2433" t="str">
        <f>"02052468"</f>
        <v>02052468</v>
      </c>
      <c r="C2433" t="s">
        <v>13436</v>
      </c>
      <c r="D2433" t="s">
        <v>15478</v>
      </c>
      <c r="E2433" t="s">
        <v>15479</v>
      </c>
      <c r="G2433" t="s">
        <v>15480</v>
      </c>
      <c r="L2433" t="s">
        <v>74</v>
      </c>
      <c r="M2433" t="s">
        <v>85</v>
      </c>
      <c r="R2433" t="s">
        <v>15481</v>
      </c>
      <c r="W2433" t="s">
        <v>15479</v>
      </c>
      <c r="X2433" t="s">
        <v>5667</v>
      </c>
      <c r="Y2433" t="s">
        <v>97</v>
      </c>
      <c r="Z2433" t="s">
        <v>77</v>
      </c>
      <c r="AA2433" t="str">
        <f>"10025-1716"</f>
        <v>10025-1716</v>
      </c>
      <c r="AB2433" t="s">
        <v>78</v>
      </c>
      <c r="AC2433" t="s">
        <v>79</v>
      </c>
      <c r="AD2433" t="s">
        <v>75</v>
      </c>
      <c r="AE2433" t="s">
        <v>80</v>
      </c>
      <c r="AG2433" t="s">
        <v>81</v>
      </c>
    </row>
    <row r="2434" spans="1:33" x14ac:dyDescent="0.25">
      <c r="A2434" t="str">
        <f>"1174556088"</f>
        <v>1174556088</v>
      </c>
      <c r="B2434" t="str">
        <f>"02690191"</f>
        <v>02690191</v>
      </c>
      <c r="C2434" t="s">
        <v>13436</v>
      </c>
      <c r="D2434" t="s">
        <v>15482</v>
      </c>
      <c r="E2434" t="s">
        <v>15483</v>
      </c>
      <c r="G2434" t="s">
        <v>15484</v>
      </c>
      <c r="L2434" t="s">
        <v>74</v>
      </c>
      <c r="M2434" t="s">
        <v>75</v>
      </c>
      <c r="R2434" t="s">
        <v>15485</v>
      </c>
      <c r="W2434" t="s">
        <v>15483</v>
      </c>
      <c r="X2434" t="s">
        <v>267</v>
      </c>
      <c r="Y2434" t="s">
        <v>91</v>
      </c>
      <c r="Z2434" t="s">
        <v>77</v>
      </c>
      <c r="AA2434" t="str">
        <f>"11373-1329"</f>
        <v>11373-1329</v>
      </c>
      <c r="AB2434" t="s">
        <v>78</v>
      </c>
      <c r="AC2434" t="s">
        <v>79</v>
      </c>
      <c r="AD2434" t="s">
        <v>75</v>
      </c>
      <c r="AE2434" t="s">
        <v>80</v>
      </c>
      <c r="AG2434" t="s">
        <v>81</v>
      </c>
    </row>
    <row r="2435" spans="1:33" x14ac:dyDescent="0.25">
      <c r="A2435" t="str">
        <f>"1174577241"</f>
        <v>1174577241</v>
      </c>
      <c r="B2435" t="str">
        <f>"01548076"</f>
        <v>01548076</v>
      </c>
      <c r="C2435" t="s">
        <v>13436</v>
      </c>
      <c r="D2435" t="s">
        <v>15486</v>
      </c>
      <c r="E2435" t="s">
        <v>15487</v>
      </c>
      <c r="G2435" t="s">
        <v>15488</v>
      </c>
      <c r="L2435" t="s">
        <v>84</v>
      </c>
      <c r="M2435" t="s">
        <v>75</v>
      </c>
      <c r="R2435" t="s">
        <v>15489</v>
      </c>
      <c r="W2435" t="s">
        <v>15487</v>
      </c>
      <c r="X2435" t="s">
        <v>822</v>
      </c>
      <c r="Y2435" t="s">
        <v>97</v>
      </c>
      <c r="Z2435" t="s">
        <v>77</v>
      </c>
      <c r="AA2435" t="str">
        <f>"10019-1147"</f>
        <v>10019-1147</v>
      </c>
      <c r="AB2435" t="s">
        <v>78</v>
      </c>
      <c r="AC2435" t="s">
        <v>79</v>
      </c>
      <c r="AD2435" t="s">
        <v>75</v>
      </c>
      <c r="AE2435" t="s">
        <v>80</v>
      </c>
      <c r="AG2435" t="s">
        <v>81</v>
      </c>
    </row>
    <row r="2436" spans="1:33" x14ac:dyDescent="0.25">
      <c r="A2436" t="str">
        <f>"1174779565"</f>
        <v>1174779565</v>
      </c>
      <c r="B2436" t="str">
        <f>"03723439"</f>
        <v>03723439</v>
      </c>
      <c r="C2436" t="s">
        <v>13436</v>
      </c>
      <c r="D2436" t="s">
        <v>15490</v>
      </c>
      <c r="E2436" t="s">
        <v>15491</v>
      </c>
      <c r="G2436" t="s">
        <v>15492</v>
      </c>
      <c r="L2436" t="s">
        <v>74</v>
      </c>
      <c r="M2436" t="s">
        <v>75</v>
      </c>
      <c r="R2436" t="s">
        <v>15493</v>
      </c>
      <c r="W2436" t="s">
        <v>15491</v>
      </c>
      <c r="X2436" t="s">
        <v>15494</v>
      </c>
      <c r="Y2436" t="s">
        <v>97</v>
      </c>
      <c r="Z2436" t="s">
        <v>77</v>
      </c>
      <c r="AA2436" t="str">
        <f>"10128-5604"</f>
        <v>10128-5604</v>
      </c>
      <c r="AB2436" t="s">
        <v>78</v>
      </c>
      <c r="AC2436" t="s">
        <v>79</v>
      </c>
      <c r="AD2436" t="s">
        <v>75</v>
      </c>
      <c r="AE2436" t="s">
        <v>80</v>
      </c>
      <c r="AG2436" t="s">
        <v>81</v>
      </c>
    </row>
    <row r="2437" spans="1:33" x14ac:dyDescent="0.25">
      <c r="A2437" t="str">
        <f>"1174847107"</f>
        <v>1174847107</v>
      </c>
      <c r="B2437" t="str">
        <f>"03778672"</f>
        <v>03778672</v>
      </c>
      <c r="C2437" t="s">
        <v>13436</v>
      </c>
      <c r="D2437" t="s">
        <v>15495</v>
      </c>
      <c r="E2437" t="s">
        <v>15496</v>
      </c>
      <c r="G2437" t="s">
        <v>15497</v>
      </c>
      <c r="L2437" t="s">
        <v>74</v>
      </c>
      <c r="M2437" t="s">
        <v>75</v>
      </c>
      <c r="R2437" t="s">
        <v>15498</v>
      </c>
      <c r="W2437" t="s">
        <v>15496</v>
      </c>
      <c r="X2437" t="s">
        <v>15499</v>
      </c>
      <c r="Y2437" t="s">
        <v>97</v>
      </c>
      <c r="Z2437" t="s">
        <v>77</v>
      </c>
      <c r="AA2437" t="str">
        <f>"10001-6756"</f>
        <v>10001-6756</v>
      </c>
      <c r="AB2437" t="s">
        <v>78</v>
      </c>
      <c r="AC2437" t="s">
        <v>79</v>
      </c>
      <c r="AD2437" t="s">
        <v>75</v>
      </c>
      <c r="AE2437" t="s">
        <v>80</v>
      </c>
      <c r="AG2437" t="s">
        <v>81</v>
      </c>
    </row>
    <row r="2438" spans="1:33" x14ac:dyDescent="0.25">
      <c r="A2438" t="str">
        <f>"1184609240"</f>
        <v>1184609240</v>
      </c>
      <c r="B2438" t="str">
        <f>"02664762"</f>
        <v>02664762</v>
      </c>
      <c r="C2438" t="s">
        <v>13436</v>
      </c>
      <c r="D2438" t="s">
        <v>15500</v>
      </c>
      <c r="E2438" t="s">
        <v>15501</v>
      </c>
      <c r="G2438" t="s">
        <v>15502</v>
      </c>
      <c r="L2438" t="s">
        <v>83</v>
      </c>
      <c r="M2438" t="s">
        <v>85</v>
      </c>
      <c r="R2438" t="s">
        <v>15503</v>
      </c>
      <c r="W2438" t="s">
        <v>15504</v>
      </c>
      <c r="X2438" t="s">
        <v>2587</v>
      </c>
      <c r="Y2438" t="s">
        <v>97</v>
      </c>
      <c r="Z2438" t="s">
        <v>77</v>
      </c>
      <c r="AA2438" t="str">
        <f>"10003-3314"</f>
        <v>10003-3314</v>
      </c>
      <c r="AB2438" t="s">
        <v>78</v>
      </c>
      <c r="AC2438" t="s">
        <v>79</v>
      </c>
      <c r="AD2438" t="s">
        <v>75</v>
      </c>
      <c r="AE2438" t="s">
        <v>80</v>
      </c>
      <c r="AG2438" t="s">
        <v>81</v>
      </c>
    </row>
    <row r="2439" spans="1:33" x14ac:dyDescent="0.25">
      <c r="A2439" t="str">
        <f>"1679716179"</f>
        <v>1679716179</v>
      </c>
      <c r="C2439" t="s">
        <v>15505</v>
      </c>
      <c r="G2439" t="s">
        <v>7218</v>
      </c>
      <c r="H2439" t="s">
        <v>6801</v>
      </c>
      <c r="I2439">
        <v>6136</v>
      </c>
      <c r="J2439" t="s">
        <v>7219</v>
      </c>
      <c r="K2439" t="s">
        <v>99</v>
      </c>
      <c r="L2439" t="s">
        <v>74</v>
      </c>
      <c r="M2439" t="s">
        <v>75</v>
      </c>
      <c r="R2439" t="s">
        <v>15506</v>
      </c>
      <c r="S2439" t="s">
        <v>15507</v>
      </c>
      <c r="T2439" t="s">
        <v>2540</v>
      </c>
      <c r="U2439" t="s">
        <v>77</v>
      </c>
      <c r="V2439" t="str">
        <f>"117831328"</f>
        <v>117831328</v>
      </c>
      <c r="AC2439" t="s">
        <v>79</v>
      </c>
      <c r="AD2439" t="s">
        <v>75</v>
      </c>
      <c r="AE2439" t="s">
        <v>103</v>
      </c>
      <c r="AG2439" t="s">
        <v>81</v>
      </c>
    </row>
    <row r="2440" spans="1:33" x14ac:dyDescent="0.25">
      <c r="A2440" t="str">
        <f>"1689082877"</f>
        <v>1689082877</v>
      </c>
      <c r="C2440" t="s">
        <v>15508</v>
      </c>
      <c r="G2440" t="s">
        <v>7218</v>
      </c>
      <c r="H2440" t="s">
        <v>6801</v>
      </c>
      <c r="I2440">
        <v>6136</v>
      </c>
      <c r="J2440" t="s">
        <v>7219</v>
      </c>
      <c r="K2440" t="s">
        <v>99</v>
      </c>
      <c r="L2440" t="s">
        <v>102</v>
      </c>
      <c r="M2440" t="s">
        <v>75</v>
      </c>
      <c r="R2440" t="s">
        <v>15509</v>
      </c>
      <c r="S2440" t="s">
        <v>14675</v>
      </c>
      <c r="T2440" t="s">
        <v>97</v>
      </c>
      <c r="U2440" t="s">
        <v>77</v>
      </c>
      <c r="V2440" t="str">
        <f>"10001"</f>
        <v>10001</v>
      </c>
      <c r="AC2440" t="s">
        <v>79</v>
      </c>
      <c r="AD2440" t="s">
        <v>75</v>
      </c>
      <c r="AE2440" t="s">
        <v>103</v>
      </c>
      <c r="AG2440" t="s">
        <v>81</v>
      </c>
    </row>
    <row r="2441" spans="1:33" x14ac:dyDescent="0.25">
      <c r="A2441" t="str">
        <f>"1689739138"</f>
        <v>1689739138</v>
      </c>
      <c r="C2441" t="s">
        <v>15510</v>
      </c>
      <c r="G2441" t="s">
        <v>7218</v>
      </c>
      <c r="H2441" t="s">
        <v>6801</v>
      </c>
      <c r="I2441">
        <v>6136</v>
      </c>
      <c r="J2441" t="s">
        <v>7219</v>
      </c>
      <c r="K2441" t="s">
        <v>99</v>
      </c>
      <c r="L2441" t="s">
        <v>74</v>
      </c>
      <c r="M2441" t="s">
        <v>75</v>
      </c>
      <c r="R2441" t="s">
        <v>15511</v>
      </c>
      <c r="S2441" t="s">
        <v>6229</v>
      </c>
      <c r="T2441" t="s">
        <v>97</v>
      </c>
      <c r="U2441" t="s">
        <v>77</v>
      </c>
      <c r="V2441" t="str">
        <f>"100012320"</f>
        <v>100012320</v>
      </c>
      <c r="AC2441" t="s">
        <v>79</v>
      </c>
      <c r="AD2441" t="s">
        <v>75</v>
      </c>
      <c r="AE2441" t="s">
        <v>103</v>
      </c>
      <c r="AG2441" t="s">
        <v>81</v>
      </c>
    </row>
    <row r="2442" spans="1:33" x14ac:dyDescent="0.25">
      <c r="A2442" t="str">
        <f>"1689878423"</f>
        <v>1689878423</v>
      </c>
      <c r="C2442" t="s">
        <v>15512</v>
      </c>
      <c r="G2442" t="s">
        <v>7218</v>
      </c>
      <c r="H2442" t="s">
        <v>6801</v>
      </c>
      <c r="I2442">
        <v>6136</v>
      </c>
      <c r="J2442" t="s">
        <v>7219</v>
      </c>
      <c r="K2442" t="s">
        <v>99</v>
      </c>
      <c r="L2442" t="s">
        <v>74</v>
      </c>
      <c r="M2442" t="s">
        <v>75</v>
      </c>
      <c r="R2442" t="s">
        <v>15513</v>
      </c>
      <c r="S2442" t="s">
        <v>6229</v>
      </c>
      <c r="T2442" t="s">
        <v>97</v>
      </c>
      <c r="U2442" t="s">
        <v>77</v>
      </c>
      <c r="V2442" t="str">
        <f>"100012320"</f>
        <v>100012320</v>
      </c>
      <c r="AC2442" t="s">
        <v>79</v>
      </c>
      <c r="AD2442" t="s">
        <v>75</v>
      </c>
      <c r="AE2442" t="s">
        <v>103</v>
      </c>
      <c r="AG2442" t="s">
        <v>81</v>
      </c>
    </row>
    <row r="2443" spans="1:33" x14ac:dyDescent="0.25">
      <c r="A2443" t="str">
        <f>"1346268125"</f>
        <v>1346268125</v>
      </c>
      <c r="B2443" t="str">
        <f>"01724134"</f>
        <v>01724134</v>
      </c>
      <c r="C2443" t="s">
        <v>15514</v>
      </c>
      <c r="D2443" t="s">
        <v>15515</v>
      </c>
      <c r="E2443" t="s">
        <v>15516</v>
      </c>
      <c r="G2443" t="s">
        <v>13504</v>
      </c>
      <c r="H2443" t="s">
        <v>13505</v>
      </c>
      <c r="J2443" t="s">
        <v>13506</v>
      </c>
      <c r="L2443" t="s">
        <v>84</v>
      </c>
      <c r="M2443" t="s">
        <v>75</v>
      </c>
      <c r="R2443" t="s">
        <v>15516</v>
      </c>
      <c r="W2443" t="s">
        <v>15517</v>
      </c>
      <c r="X2443" t="s">
        <v>2779</v>
      </c>
      <c r="Y2443" t="s">
        <v>87</v>
      </c>
      <c r="Z2443" t="s">
        <v>77</v>
      </c>
      <c r="AA2443" t="str">
        <f>"11217-1702"</f>
        <v>11217-1702</v>
      </c>
      <c r="AB2443" t="s">
        <v>78</v>
      </c>
      <c r="AC2443" t="s">
        <v>79</v>
      </c>
      <c r="AD2443" t="s">
        <v>75</v>
      </c>
      <c r="AE2443" t="s">
        <v>80</v>
      </c>
      <c r="AG2443" t="s">
        <v>81</v>
      </c>
    </row>
    <row r="2444" spans="1:33" x14ac:dyDescent="0.25">
      <c r="A2444" t="str">
        <f>"1992814560"</f>
        <v>1992814560</v>
      </c>
      <c r="B2444" t="str">
        <f>"01707648"</f>
        <v>01707648</v>
      </c>
      <c r="C2444" t="s">
        <v>15518</v>
      </c>
      <c r="D2444" t="s">
        <v>15519</v>
      </c>
      <c r="E2444" t="s">
        <v>15520</v>
      </c>
      <c r="G2444" t="s">
        <v>13504</v>
      </c>
      <c r="H2444" t="s">
        <v>13505</v>
      </c>
      <c r="J2444" t="s">
        <v>13506</v>
      </c>
      <c r="L2444" t="s">
        <v>83</v>
      </c>
      <c r="M2444" t="s">
        <v>85</v>
      </c>
      <c r="R2444" t="s">
        <v>15521</v>
      </c>
      <c r="W2444" t="s">
        <v>15520</v>
      </c>
      <c r="X2444" t="s">
        <v>202</v>
      </c>
      <c r="Y2444" t="s">
        <v>87</v>
      </c>
      <c r="Z2444" t="s">
        <v>77</v>
      </c>
      <c r="AA2444" t="str">
        <f>"11201-5425"</f>
        <v>11201-5425</v>
      </c>
      <c r="AB2444" t="s">
        <v>78</v>
      </c>
      <c r="AC2444" t="s">
        <v>79</v>
      </c>
      <c r="AD2444" t="s">
        <v>75</v>
      </c>
      <c r="AE2444" t="s">
        <v>80</v>
      </c>
      <c r="AG2444" t="s">
        <v>81</v>
      </c>
    </row>
    <row r="2445" spans="1:33" x14ac:dyDescent="0.25">
      <c r="A2445" t="str">
        <f>"1346318342"</f>
        <v>1346318342</v>
      </c>
      <c r="B2445" t="str">
        <f>"01723064"</f>
        <v>01723064</v>
      </c>
      <c r="C2445" t="s">
        <v>15522</v>
      </c>
      <c r="D2445" t="s">
        <v>15523</v>
      </c>
      <c r="E2445" t="s">
        <v>15524</v>
      </c>
      <c r="G2445" t="s">
        <v>13504</v>
      </c>
      <c r="H2445" t="s">
        <v>13505</v>
      </c>
      <c r="J2445" t="s">
        <v>13506</v>
      </c>
      <c r="L2445" t="s">
        <v>84</v>
      </c>
      <c r="M2445" t="s">
        <v>75</v>
      </c>
      <c r="R2445" t="s">
        <v>15525</v>
      </c>
      <c r="W2445" t="s">
        <v>15524</v>
      </c>
      <c r="X2445" t="s">
        <v>15526</v>
      </c>
      <c r="Y2445" t="s">
        <v>87</v>
      </c>
      <c r="Z2445" t="s">
        <v>77</v>
      </c>
      <c r="AA2445" t="str">
        <f>"11218-2710"</f>
        <v>11218-2710</v>
      </c>
      <c r="AB2445" t="s">
        <v>78</v>
      </c>
      <c r="AC2445" t="s">
        <v>79</v>
      </c>
      <c r="AD2445" t="s">
        <v>75</v>
      </c>
      <c r="AE2445" t="s">
        <v>80</v>
      </c>
      <c r="AG2445" t="s">
        <v>81</v>
      </c>
    </row>
    <row r="2446" spans="1:33" x14ac:dyDescent="0.25">
      <c r="A2446" t="str">
        <f>"1346476124"</f>
        <v>1346476124</v>
      </c>
      <c r="B2446" t="str">
        <f>"03479738"</f>
        <v>03479738</v>
      </c>
      <c r="C2446" t="s">
        <v>15527</v>
      </c>
      <c r="D2446" t="s">
        <v>15528</v>
      </c>
      <c r="E2446" t="s">
        <v>15529</v>
      </c>
      <c r="G2446" t="s">
        <v>13504</v>
      </c>
      <c r="H2446" t="s">
        <v>13505</v>
      </c>
      <c r="J2446" t="s">
        <v>13506</v>
      </c>
      <c r="L2446" t="s">
        <v>134</v>
      </c>
      <c r="M2446" t="s">
        <v>85</v>
      </c>
      <c r="R2446" t="s">
        <v>15529</v>
      </c>
      <c r="W2446" t="s">
        <v>15529</v>
      </c>
      <c r="X2446" t="s">
        <v>1330</v>
      </c>
      <c r="Y2446" t="s">
        <v>87</v>
      </c>
      <c r="Z2446" t="s">
        <v>77</v>
      </c>
      <c r="AA2446" t="str">
        <f>"11219-2918"</f>
        <v>11219-2918</v>
      </c>
      <c r="AB2446" t="s">
        <v>78</v>
      </c>
      <c r="AC2446" t="s">
        <v>79</v>
      </c>
      <c r="AD2446" t="s">
        <v>75</v>
      </c>
      <c r="AE2446" t="s">
        <v>80</v>
      </c>
      <c r="AG2446" t="s">
        <v>81</v>
      </c>
    </row>
    <row r="2447" spans="1:33" x14ac:dyDescent="0.25">
      <c r="A2447" t="str">
        <f>"1356403042"</f>
        <v>1356403042</v>
      </c>
      <c r="B2447" t="str">
        <f>"02514730"</f>
        <v>02514730</v>
      </c>
      <c r="C2447" t="s">
        <v>15530</v>
      </c>
      <c r="D2447" t="s">
        <v>534</v>
      </c>
      <c r="E2447" t="s">
        <v>535</v>
      </c>
      <c r="G2447" t="s">
        <v>13504</v>
      </c>
      <c r="H2447" t="s">
        <v>13505</v>
      </c>
      <c r="J2447" t="s">
        <v>13506</v>
      </c>
      <c r="L2447" t="s">
        <v>84</v>
      </c>
      <c r="M2447" t="s">
        <v>85</v>
      </c>
      <c r="R2447" t="s">
        <v>536</v>
      </c>
      <c r="W2447" t="s">
        <v>536</v>
      </c>
      <c r="X2447" t="s">
        <v>150</v>
      </c>
      <c r="Y2447" t="s">
        <v>87</v>
      </c>
      <c r="Z2447" t="s">
        <v>77</v>
      </c>
      <c r="AA2447" t="str">
        <f>"11212-3139"</f>
        <v>11212-3139</v>
      </c>
      <c r="AB2447" t="s">
        <v>78</v>
      </c>
      <c r="AC2447" t="s">
        <v>79</v>
      </c>
      <c r="AD2447" t="s">
        <v>75</v>
      </c>
      <c r="AE2447" t="s">
        <v>80</v>
      </c>
      <c r="AG2447" t="s">
        <v>81</v>
      </c>
    </row>
    <row r="2448" spans="1:33" x14ac:dyDescent="0.25">
      <c r="A2448" t="str">
        <f>"1548416589"</f>
        <v>1548416589</v>
      </c>
      <c r="B2448" t="str">
        <f>"03052288"</f>
        <v>03052288</v>
      </c>
      <c r="C2448" t="s">
        <v>15531</v>
      </c>
      <c r="D2448" t="s">
        <v>15532</v>
      </c>
      <c r="E2448" t="s">
        <v>15533</v>
      </c>
      <c r="G2448" t="s">
        <v>13504</v>
      </c>
      <c r="H2448" t="s">
        <v>13505</v>
      </c>
      <c r="J2448" t="s">
        <v>13506</v>
      </c>
      <c r="L2448" t="s">
        <v>83</v>
      </c>
      <c r="M2448" t="s">
        <v>85</v>
      </c>
      <c r="R2448" t="s">
        <v>15533</v>
      </c>
      <c r="W2448" t="s">
        <v>15534</v>
      </c>
      <c r="X2448" t="s">
        <v>817</v>
      </c>
      <c r="Y2448" t="s">
        <v>87</v>
      </c>
      <c r="Z2448" t="s">
        <v>77</v>
      </c>
      <c r="AA2448" t="str">
        <f>"11222-1625"</f>
        <v>11222-1625</v>
      </c>
      <c r="AB2448" t="s">
        <v>78</v>
      </c>
      <c r="AC2448" t="s">
        <v>79</v>
      </c>
      <c r="AD2448" t="s">
        <v>75</v>
      </c>
      <c r="AE2448" t="s">
        <v>80</v>
      </c>
      <c r="AG2448" t="s">
        <v>81</v>
      </c>
    </row>
    <row r="2449" spans="1:33" x14ac:dyDescent="0.25">
      <c r="A2449" t="str">
        <f>"1497905293"</f>
        <v>1497905293</v>
      </c>
      <c r="B2449" t="str">
        <f>"03100290"</f>
        <v>03100290</v>
      </c>
      <c r="C2449" t="s">
        <v>15535</v>
      </c>
      <c r="D2449" t="s">
        <v>15536</v>
      </c>
      <c r="E2449" t="s">
        <v>15537</v>
      </c>
      <c r="G2449" t="s">
        <v>13504</v>
      </c>
      <c r="H2449" t="s">
        <v>13505</v>
      </c>
      <c r="J2449" t="s">
        <v>13506</v>
      </c>
      <c r="L2449" t="s">
        <v>83</v>
      </c>
      <c r="M2449" t="s">
        <v>75</v>
      </c>
      <c r="R2449" t="s">
        <v>15538</v>
      </c>
      <c r="W2449" t="s">
        <v>15537</v>
      </c>
      <c r="X2449" t="s">
        <v>14532</v>
      </c>
      <c r="Y2449" t="s">
        <v>87</v>
      </c>
      <c r="Z2449" t="s">
        <v>77</v>
      </c>
      <c r="AA2449" t="str">
        <f>"11205-4924"</f>
        <v>11205-4924</v>
      </c>
      <c r="AB2449" t="s">
        <v>78</v>
      </c>
      <c r="AC2449" t="s">
        <v>79</v>
      </c>
      <c r="AD2449" t="s">
        <v>75</v>
      </c>
      <c r="AE2449" t="s">
        <v>80</v>
      </c>
      <c r="AG2449" t="s">
        <v>81</v>
      </c>
    </row>
    <row r="2450" spans="1:33" x14ac:dyDescent="0.25">
      <c r="A2450" t="str">
        <f>"1306008594"</f>
        <v>1306008594</v>
      </c>
      <c r="B2450" t="str">
        <f>"03730536"</f>
        <v>03730536</v>
      </c>
      <c r="C2450" t="s">
        <v>13436</v>
      </c>
      <c r="D2450" t="s">
        <v>15539</v>
      </c>
      <c r="E2450" t="s">
        <v>15540</v>
      </c>
      <c r="G2450" t="s">
        <v>15541</v>
      </c>
      <c r="L2450" t="s">
        <v>74</v>
      </c>
      <c r="M2450" t="s">
        <v>85</v>
      </c>
      <c r="R2450" t="s">
        <v>15542</v>
      </c>
      <c r="W2450" t="s">
        <v>15540</v>
      </c>
      <c r="X2450" t="s">
        <v>15543</v>
      </c>
      <c r="Y2450" t="s">
        <v>97</v>
      </c>
      <c r="Z2450" t="s">
        <v>77</v>
      </c>
      <c r="AA2450" t="str">
        <f>"10011-5369"</f>
        <v>10011-5369</v>
      </c>
      <c r="AB2450" t="s">
        <v>82</v>
      </c>
      <c r="AC2450" t="s">
        <v>79</v>
      </c>
      <c r="AD2450" t="s">
        <v>75</v>
      </c>
      <c r="AE2450" t="s">
        <v>80</v>
      </c>
      <c r="AG2450" t="s">
        <v>81</v>
      </c>
    </row>
    <row r="2451" spans="1:33" x14ac:dyDescent="0.25">
      <c r="A2451" t="str">
        <f>"1730459751"</f>
        <v>1730459751</v>
      </c>
      <c r="C2451" t="s">
        <v>15544</v>
      </c>
      <c r="G2451" t="s">
        <v>15545</v>
      </c>
      <c r="H2451" t="s">
        <v>7060</v>
      </c>
      <c r="J2451" t="s">
        <v>7061</v>
      </c>
      <c r="K2451" t="s">
        <v>99</v>
      </c>
      <c r="L2451" t="s">
        <v>74</v>
      </c>
      <c r="M2451" t="s">
        <v>75</v>
      </c>
      <c r="R2451" t="s">
        <v>15546</v>
      </c>
      <c r="S2451" t="s">
        <v>5777</v>
      </c>
      <c r="T2451" t="s">
        <v>97</v>
      </c>
      <c r="U2451" t="s">
        <v>77</v>
      </c>
      <c r="V2451" t="str">
        <f>"100104019"</f>
        <v>100104019</v>
      </c>
      <c r="AC2451" t="s">
        <v>79</v>
      </c>
      <c r="AD2451" t="s">
        <v>75</v>
      </c>
      <c r="AE2451" t="s">
        <v>103</v>
      </c>
      <c r="AG2451" t="s">
        <v>81</v>
      </c>
    </row>
    <row r="2452" spans="1:33" x14ac:dyDescent="0.25">
      <c r="A2452" t="str">
        <f>"1689801375"</f>
        <v>1689801375</v>
      </c>
      <c r="C2452" t="s">
        <v>15547</v>
      </c>
      <c r="G2452" t="s">
        <v>15545</v>
      </c>
      <c r="H2452" t="s">
        <v>7060</v>
      </c>
      <c r="J2452" t="s">
        <v>7061</v>
      </c>
      <c r="K2452" t="s">
        <v>99</v>
      </c>
      <c r="L2452" t="s">
        <v>74</v>
      </c>
      <c r="M2452" t="s">
        <v>75</v>
      </c>
      <c r="R2452" t="s">
        <v>15548</v>
      </c>
      <c r="S2452" t="s">
        <v>3099</v>
      </c>
      <c r="T2452" t="s">
        <v>131</v>
      </c>
      <c r="U2452" t="s">
        <v>77</v>
      </c>
      <c r="V2452" t="str">
        <f>"104567815"</f>
        <v>104567815</v>
      </c>
      <c r="AC2452" t="s">
        <v>79</v>
      </c>
      <c r="AD2452" t="s">
        <v>75</v>
      </c>
      <c r="AE2452" t="s">
        <v>103</v>
      </c>
      <c r="AG2452" t="s">
        <v>81</v>
      </c>
    </row>
    <row r="2453" spans="1:33" x14ac:dyDescent="0.25">
      <c r="A2453" t="str">
        <f>"1083915227"</f>
        <v>1083915227</v>
      </c>
      <c r="C2453" t="s">
        <v>15549</v>
      </c>
      <c r="G2453" t="s">
        <v>15545</v>
      </c>
      <c r="H2453" t="s">
        <v>7060</v>
      </c>
      <c r="J2453" t="s">
        <v>7061</v>
      </c>
      <c r="K2453" t="s">
        <v>99</v>
      </c>
      <c r="L2453" t="s">
        <v>102</v>
      </c>
      <c r="M2453" t="s">
        <v>75</v>
      </c>
      <c r="R2453" t="s">
        <v>15550</v>
      </c>
      <c r="S2453" t="s">
        <v>3099</v>
      </c>
      <c r="T2453" t="s">
        <v>131</v>
      </c>
      <c r="U2453" t="s">
        <v>77</v>
      </c>
      <c r="V2453" t="str">
        <f>"104567815"</f>
        <v>104567815</v>
      </c>
      <c r="AC2453" t="s">
        <v>79</v>
      </c>
      <c r="AD2453" t="s">
        <v>75</v>
      </c>
      <c r="AE2453" t="s">
        <v>103</v>
      </c>
      <c r="AG2453" t="s">
        <v>81</v>
      </c>
    </row>
    <row r="2454" spans="1:33" x14ac:dyDescent="0.25">
      <c r="A2454" t="str">
        <f>"1801218714"</f>
        <v>1801218714</v>
      </c>
      <c r="B2454" t="str">
        <f>"03792367"</f>
        <v>03792367</v>
      </c>
      <c r="C2454" t="s">
        <v>15551</v>
      </c>
      <c r="D2454" t="s">
        <v>15552</v>
      </c>
      <c r="E2454" t="s">
        <v>15553</v>
      </c>
      <c r="G2454" t="s">
        <v>15545</v>
      </c>
      <c r="H2454" t="s">
        <v>7060</v>
      </c>
      <c r="J2454" t="s">
        <v>7061</v>
      </c>
      <c r="L2454" t="s">
        <v>102</v>
      </c>
      <c r="M2454" t="s">
        <v>75</v>
      </c>
      <c r="R2454" t="s">
        <v>15553</v>
      </c>
      <c r="W2454" t="s">
        <v>15553</v>
      </c>
      <c r="X2454" t="s">
        <v>15554</v>
      </c>
      <c r="Y2454" t="s">
        <v>131</v>
      </c>
      <c r="Z2454" t="s">
        <v>77</v>
      </c>
      <c r="AA2454" t="str">
        <f>"10465-4200"</f>
        <v>10465-4200</v>
      </c>
      <c r="AB2454" t="s">
        <v>114</v>
      </c>
      <c r="AC2454" t="s">
        <v>79</v>
      </c>
      <c r="AD2454" t="s">
        <v>75</v>
      </c>
      <c r="AE2454" t="s">
        <v>80</v>
      </c>
      <c r="AG2454" t="s">
        <v>81</v>
      </c>
    </row>
    <row r="2455" spans="1:33" x14ac:dyDescent="0.25">
      <c r="A2455" t="str">
        <f>"1013112952"</f>
        <v>1013112952</v>
      </c>
      <c r="B2455" t="str">
        <f>"03347293"</f>
        <v>03347293</v>
      </c>
      <c r="C2455" t="s">
        <v>15555</v>
      </c>
      <c r="D2455" t="s">
        <v>15556</v>
      </c>
      <c r="E2455" t="s">
        <v>15557</v>
      </c>
      <c r="G2455" t="s">
        <v>13504</v>
      </c>
      <c r="H2455" t="s">
        <v>13505</v>
      </c>
      <c r="J2455" t="s">
        <v>13506</v>
      </c>
      <c r="L2455" t="s">
        <v>83</v>
      </c>
      <c r="M2455" t="s">
        <v>75</v>
      </c>
      <c r="R2455" t="s">
        <v>15558</v>
      </c>
      <c r="W2455" t="s">
        <v>15557</v>
      </c>
      <c r="X2455" t="s">
        <v>15559</v>
      </c>
      <c r="Y2455" t="s">
        <v>97</v>
      </c>
      <c r="Z2455" t="s">
        <v>77</v>
      </c>
      <c r="AA2455" t="str">
        <f>"10024-5532"</f>
        <v>10024-5532</v>
      </c>
      <c r="AB2455" t="s">
        <v>78</v>
      </c>
      <c r="AC2455" t="s">
        <v>79</v>
      </c>
      <c r="AD2455" t="s">
        <v>75</v>
      </c>
      <c r="AE2455" t="s">
        <v>80</v>
      </c>
      <c r="AG2455" t="s">
        <v>81</v>
      </c>
    </row>
    <row r="2456" spans="1:33" x14ac:dyDescent="0.25">
      <c r="A2456" t="str">
        <f>"1598904013"</f>
        <v>1598904013</v>
      </c>
      <c r="B2456" t="str">
        <f>"03142683"</f>
        <v>03142683</v>
      </c>
      <c r="C2456" t="s">
        <v>15560</v>
      </c>
      <c r="D2456" t="s">
        <v>15561</v>
      </c>
      <c r="E2456" t="s">
        <v>15562</v>
      </c>
      <c r="G2456" t="s">
        <v>13504</v>
      </c>
      <c r="H2456" t="s">
        <v>13505</v>
      </c>
      <c r="J2456" t="s">
        <v>13506</v>
      </c>
      <c r="L2456" t="s">
        <v>84</v>
      </c>
      <c r="M2456" t="s">
        <v>85</v>
      </c>
      <c r="R2456" t="s">
        <v>15563</v>
      </c>
      <c r="W2456" t="s">
        <v>15562</v>
      </c>
      <c r="X2456" t="s">
        <v>15564</v>
      </c>
      <c r="Y2456" t="s">
        <v>327</v>
      </c>
      <c r="Z2456" t="s">
        <v>77</v>
      </c>
      <c r="AA2456" t="str">
        <f>"11415-2710"</f>
        <v>11415-2710</v>
      </c>
      <c r="AB2456" t="s">
        <v>78</v>
      </c>
      <c r="AC2456" t="s">
        <v>79</v>
      </c>
      <c r="AD2456" t="s">
        <v>75</v>
      </c>
      <c r="AE2456" t="s">
        <v>80</v>
      </c>
      <c r="AG2456" t="s">
        <v>81</v>
      </c>
    </row>
    <row r="2457" spans="1:33" x14ac:dyDescent="0.25">
      <c r="A2457" t="str">
        <f>"1740429869"</f>
        <v>1740429869</v>
      </c>
      <c r="B2457" t="str">
        <f>"03094653"</f>
        <v>03094653</v>
      </c>
      <c r="C2457" t="s">
        <v>15565</v>
      </c>
      <c r="D2457" t="s">
        <v>15566</v>
      </c>
      <c r="E2457" t="s">
        <v>15567</v>
      </c>
      <c r="G2457" t="s">
        <v>13504</v>
      </c>
      <c r="H2457" t="s">
        <v>13505</v>
      </c>
      <c r="J2457" t="s">
        <v>13506</v>
      </c>
      <c r="L2457" t="s">
        <v>83</v>
      </c>
      <c r="M2457" t="s">
        <v>75</v>
      </c>
      <c r="R2457" t="s">
        <v>15568</v>
      </c>
      <c r="W2457" t="s">
        <v>15567</v>
      </c>
      <c r="X2457" t="s">
        <v>15569</v>
      </c>
      <c r="Y2457" t="s">
        <v>87</v>
      </c>
      <c r="Z2457" t="s">
        <v>77</v>
      </c>
      <c r="AA2457" t="str">
        <f>"11201-5425"</f>
        <v>11201-5425</v>
      </c>
      <c r="AB2457" t="s">
        <v>78</v>
      </c>
      <c r="AC2457" t="s">
        <v>79</v>
      </c>
      <c r="AD2457" t="s">
        <v>75</v>
      </c>
      <c r="AE2457" t="s">
        <v>80</v>
      </c>
      <c r="AG2457" t="s">
        <v>81</v>
      </c>
    </row>
    <row r="2458" spans="1:33" x14ac:dyDescent="0.25">
      <c r="A2458" t="str">
        <f>"1679704605"</f>
        <v>1679704605</v>
      </c>
      <c r="B2458" t="str">
        <f>"03747142"</f>
        <v>03747142</v>
      </c>
      <c r="C2458" t="s">
        <v>15570</v>
      </c>
      <c r="D2458" t="s">
        <v>15571</v>
      </c>
      <c r="E2458" t="s">
        <v>15572</v>
      </c>
      <c r="G2458" t="s">
        <v>13504</v>
      </c>
      <c r="H2458" t="s">
        <v>13505</v>
      </c>
      <c r="J2458" t="s">
        <v>13506</v>
      </c>
      <c r="L2458" t="s">
        <v>83</v>
      </c>
      <c r="M2458" t="s">
        <v>75</v>
      </c>
      <c r="R2458" t="s">
        <v>15573</v>
      </c>
      <c r="W2458" t="s">
        <v>15572</v>
      </c>
      <c r="X2458" t="s">
        <v>15574</v>
      </c>
      <c r="Y2458" t="s">
        <v>87</v>
      </c>
      <c r="Z2458" t="s">
        <v>77</v>
      </c>
      <c r="AA2458" t="str">
        <f>"11211-6261"</f>
        <v>11211-6261</v>
      </c>
      <c r="AB2458" t="s">
        <v>78</v>
      </c>
      <c r="AC2458" t="s">
        <v>79</v>
      </c>
      <c r="AD2458" t="s">
        <v>75</v>
      </c>
      <c r="AE2458" t="s">
        <v>80</v>
      </c>
      <c r="AG2458" t="s">
        <v>81</v>
      </c>
    </row>
    <row r="2459" spans="1:33" x14ac:dyDescent="0.25">
      <c r="A2459" t="str">
        <f>"1023253580"</f>
        <v>1023253580</v>
      </c>
      <c r="B2459" t="str">
        <f>"03154354"</f>
        <v>03154354</v>
      </c>
      <c r="C2459" t="s">
        <v>15575</v>
      </c>
      <c r="D2459" t="s">
        <v>15576</v>
      </c>
      <c r="E2459" t="s">
        <v>15577</v>
      </c>
      <c r="G2459" t="s">
        <v>13504</v>
      </c>
      <c r="H2459" t="s">
        <v>13505</v>
      </c>
      <c r="J2459" t="s">
        <v>13506</v>
      </c>
      <c r="L2459" t="s">
        <v>83</v>
      </c>
      <c r="M2459" t="s">
        <v>75</v>
      </c>
      <c r="R2459" t="s">
        <v>15578</v>
      </c>
      <c r="W2459" t="s">
        <v>15577</v>
      </c>
      <c r="X2459" t="s">
        <v>15579</v>
      </c>
      <c r="Y2459" t="s">
        <v>76</v>
      </c>
      <c r="Z2459" t="s">
        <v>77</v>
      </c>
      <c r="AA2459" t="str">
        <f>"12953-1507"</f>
        <v>12953-1507</v>
      </c>
      <c r="AB2459" t="s">
        <v>78</v>
      </c>
      <c r="AC2459" t="s">
        <v>79</v>
      </c>
      <c r="AD2459" t="s">
        <v>75</v>
      </c>
      <c r="AE2459" t="s">
        <v>80</v>
      </c>
      <c r="AG2459" t="s">
        <v>81</v>
      </c>
    </row>
    <row r="2460" spans="1:33" x14ac:dyDescent="0.25">
      <c r="A2460" t="str">
        <f>"1730313487"</f>
        <v>1730313487</v>
      </c>
      <c r="B2460" t="str">
        <f>"03174518"</f>
        <v>03174518</v>
      </c>
      <c r="C2460" t="s">
        <v>15580</v>
      </c>
      <c r="D2460" t="s">
        <v>15581</v>
      </c>
      <c r="E2460" t="s">
        <v>15582</v>
      </c>
      <c r="G2460" t="s">
        <v>13504</v>
      </c>
      <c r="H2460" t="s">
        <v>13505</v>
      </c>
      <c r="J2460" t="s">
        <v>13506</v>
      </c>
      <c r="L2460" t="s">
        <v>83</v>
      </c>
      <c r="M2460" t="s">
        <v>75</v>
      </c>
      <c r="R2460" t="s">
        <v>15583</v>
      </c>
      <c r="W2460" t="s">
        <v>15584</v>
      </c>
      <c r="X2460" t="s">
        <v>15585</v>
      </c>
      <c r="Y2460" t="s">
        <v>91</v>
      </c>
      <c r="Z2460" t="s">
        <v>77</v>
      </c>
      <c r="AA2460" t="str">
        <f>"11373-1329"</f>
        <v>11373-1329</v>
      </c>
      <c r="AB2460" t="s">
        <v>78</v>
      </c>
      <c r="AC2460" t="s">
        <v>79</v>
      </c>
      <c r="AD2460" t="s">
        <v>75</v>
      </c>
      <c r="AE2460" t="s">
        <v>80</v>
      </c>
      <c r="AG2460" t="s">
        <v>81</v>
      </c>
    </row>
    <row r="2461" spans="1:33" x14ac:dyDescent="0.25">
      <c r="C2461" t="s">
        <v>15586</v>
      </c>
      <c r="G2461" t="s">
        <v>9477</v>
      </c>
      <c r="H2461" t="s">
        <v>4867</v>
      </c>
      <c r="I2461">
        <v>135</v>
      </c>
      <c r="J2461" t="s">
        <v>5634</v>
      </c>
      <c r="K2461" t="s">
        <v>99</v>
      </c>
      <c r="L2461" t="s">
        <v>100</v>
      </c>
      <c r="M2461" t="s">
        <v>75</v>
      </c>
      <c r="N2461" t="s">
        <v>9983</v>
      </c>
      <c r="O2461" t="s">
        <v>9984</v>
      </c>
      <c r="P2461" t="s">
        <v>77</v>
      </c>
      <c r="Q2461" t="str">
        <f>"10803"</f>
        <v>10803</v>
      </c>
      <c r="AC2461" t="s">
        <v>79</v>
      </c>
      <c r="AD2461" t="s">
        <v>75</v>
      </c>
      <c r="AE2461" t="s">
        <v>101</v>
      </c>
      <c r="AG2461" t="s">
        <v>81</v>
      </c>
    </row>
    <row r="2462" spans="1:33" x14ac:dyDescent="0.25">
      <c r="A2462" t="str">
        <f>"1730230103"</f>
        <v>1730230103</v>
      </c>
      <c r="C2462" t="s">
        <v>13436</v>
      </c>
      <c r="G2462" t="s">
        <v>15587</v>
      </c>
      <c r="K2462" t="s">
        <v>99</v>
      </c>
      <c r="L2462" t="s">
        <v>74</v>
      </c>
      <c r="M2462" t="s">
        <v>85</v>
      </c>
      <c r="R2462" t="s">
        <v>15588</v>
      </c>
      <c r="S2462" t="s">
        <v>15589</v>
      </c>
      <c r="T2462" t="s">
        <v>97</v>
      </c>
      <c r="U2462" t="s">
        <v>77</v>
      </c>
      <c r="V2462" t="str">
        <f>"100251716"</f>
        <v>100251716</v>
      </c>
      <c r="AC2462" t="s">
        <v>79</v>
      </c>
      <c r="AD2462" t="s">
        <v>75</v>
      </c>
      <c r="AE2462" t="s">
        <v>103</v>
      </c>
      <c r="AG2462" t="s">
        <v>81</v>
      </c>
    </row>
    <row r="2463" spans="1:33" x14ac:dyDescent="0.25">
      <c r="A2463" t="str">
        <f>"1730244328"</f>
        <v>1730244328</v>
      </c>
      <c r="B2463" t="str">
        <f>"00471009"</f>
        <v>00471009</v>
      </c>
      <c r="C2463" t="s">
        <v>13436</v>
      </c>
      <c r="D2463" t="s">
        <v>15590</v>
      </c>
      <c r="E2463" t="s">
        <v>15591</v>
      </c>
      <c r="G2463" t="s">
        <v>15592</v>
      </c>
      <c r="L2463" t="s">
        <v>83</v>
      </c>
      <c r="M2463" t="s">
        <v>85</v>
      </c>
      <c r="R2463" t="s">
        <v>15593</v>
      </c>
      <c r="W2463" t="s">
        <v>15591</v>
      </c>
      <c r="X2463" t="s">
        <v>15594</v>
      </c>
      <c r="Y2463" t="s">
        <v>97</v>
      </c>
      <c r="Z2463" t="s">
        <v>77</v>
      </c>
      <c r="AA2463" t="str">
        <f>"10023-6406"</f>
        <v>10023-6406</v>
      </c>
      <c r="AB2463" t="s">
        <v>78</v>
      </c>
      <c r="AC2463" t="s">
        <v>79</v>
      </c>
      <c r="AD2463" t="s">
        <v>75</v>
      </c>
      <c r="AE2463" t="s">
        <v>80</v>
      </c>
      <c r="AG2463" t="s">
        <v>81</v>
      </c>
    </row>
    <row r="2464" spans="1:33" x14ac:dyDescent="0.25">
      <c r="A2464" t="str">
        <f>"1730280348"</f>
        <v>1730280348</v>
      </c>
      <c r="B2464" t="str">
        <f>"01159131"</f>
        <v>01159131</v>
      </c>
      <c r="C2464" t="s">
        <v>13436</v>
      </c>
      <c r="D2464" t="s">
        <v>15595</v>
      </c>
      <c r="E2464" t="s">
        <v>15596</v>
      </c>
      <c r="G2464" t="s">
        <v>15597</v>
      </c>
      <c r="L2464" t="s">
        <v>94</v>
      </c>
      <c r="M2464" t="s">
        <v>85</v>
      </c>
      <c r="R2464" t="s">
        <v>15598</v>
      </c>
      <c r="W2464" t="s">
        <v>15596</v>
      </c>
      <c r="X2464" t="s">
        <v>15599</v>
      </c>
      <c r="Y2464" t="s">
        <v>97</v>
      </c>
      <c r="Z2464" t="s">
        <v>77</v>
      </c>
      <c r="AA2464" t="str">
        <f>"10011"</f>
        <v>10011</v>
      </c>
      <c r="AB2464" t="s">
        <v>78</v>
      </c>
      <c r="AC2464" t="s">
        <v>79</v>
      </c>
      <c r="AD2464" t="s">
        <v>75</v>
      </c>
      <c r="AE2464" t="s">
        <v>80</v>
      </c>
      <c r="AG2464" t="s">
        <v>81</v>
      </c>
    </row>
    <row r="2465" spans="1:33" x14ac:dyDescent="0.25">
      <c r="A2465" t="str">
        <f>"1740205509"</f>
        <v>1740205509</v>
      </c>
      <c r="B2465" t="str">
        <f>"00547782"</f>
        <v>00547782</v>
      </c>
      <c r="C2465" t="s">
        <v>3333</v>
      </c>
      <c r="D2465" t="s">
        <v>2208</v>
      </c>
      <c r="E2465" t="s">
        <v>2209</v>
      </c>
      <c r="G2465" t="s">
        <v>9477</v>
      </c>
      <c r="H2465" t="s">
        <v>4867</v>
      </c>
      <c r="I2465">
        <v>135</v>
      </c>
      <c r="J2465" t="s">
        <v>5634</v>
      </c>
      <c r="L2465" t="s">
        <v>105</v>
      </c>
      <c r="M2465" t="s">
        <v>85</v>
      </c>
      <c r="R2465" t="s">
        <v>2207</v>
      </c>
      <c r="W2465" t="s">
        <v>2209</v>
      </c>
      <c r="X2465" t="s">
        <v>2210</v>
      </c>
      <c r="Y2465" t="s">
        <v>131</v>
      </c>
      <c r="Z2465" t="s">
        <v>77</v>
      </c>
      <c r="AA2465" t="str">
        <f>"10473-2696"</f>
        <v>10473-2696</v>
      </c>
      <c r="AB2465" t="s">
        <v>78</v>
      </c>
      <c r="AC2465" t="s">
        <v>79</v>
      </c>
      <c r="AD2465" t="s">
        <v>75</v>
      </c>
      <c r="AE2465" t="s">
        <v>80</v>
      </c>
      <c r="AG2465" t="s">
        <v>81</v>
      </c>
    </row>
    <row r="2466" spans="1:33" x14ac:dyDescent="0.25">
      <c r="A2466" t="str">
        <f>"1912011107"</f>
        <v>1912011107</v>
      </c>
      <c r="B2466" t="str">
        <f>"02806182"</f>
        <v>02806182</v>
      </c>
      <c r="C2466" t="s">
        <v>15600</v>
      </c>
      <c r="D2466" t="s">
        <v>6170</v>
      </c>
      <c r="E2466" t="s">
        <v>6171</v>
      </c>
      <c r="G2466" t="s">
        <v>9477</v>
      </c>
      <c r="H2466" t="s">
        <v>4867</v>
      </c>
      <c r="I2466">
        <v>135</v>
      </c>
      <c r="J2466" t="s">
        <v>5634</v>
      </c>
      <c r="L2466" t="s">
        <v>84</v>
      </c>
      <c r="M2466" t="s">
        <v>85</v>
      </c>
      <c r="R2466" t="s">
        <v>6172</v>
      </c>
      <c r="W2466" t="s">
        <v>6171</v>
      </c>
      <c r="X2466" t="s">
        <v>197</v>
      </c>
      <c r="Y2466" t="s">
        <v>180</v>
      </c>
      <c r="Z2466" t="s">
        <v>77</v>
      </c>
      <c r="AA2466" t="str">
        <f>"10701-4006"</f>
        <v>10701-4006</v>
      </c>
      <c r="AB2466" t="s">
        <v>78</v>
      </c>
      <c r="AC2466" t="s">
        <v>79</v>
      </c>
      <c r="AD2466" t="s">
        <v>75</v>
      </c>
      <c r="AE2466" t="s">
        <v>80</v>
      </c>
      <c r="AG2466" t="s">
        <v>81</v>
      </c>
    </row>
    <row r="2467" spans="1:33" x14ac:dyDescent="0.25">
      <c r="A2467" t="str">
        <f>"1073529129"</f>
        <v>1073529129</v>
      </c>
      <c r="C2467" t="s">
        <v>13436</v>
      </c>
      <c r="G2467" t="s">
        <v>15601</v>
      </c>
      <c r="K2467" t="s">
        <v>99</v>
      </c>
      <c r="L2467" t="s">
        <v>102</v>
      </c>
      <c r="M2467" t="s">
        <v>85</v>
      </c>
      <c r="R2467" t="s">
        <v>15602</v>
      </c>
      <c r="S2467" t="s">
        <v>15603</v>
      </c>
      <c r="T2467" t="s">
        <v>97</v>
      </c>
      <c r="U2467" t="s">
        <v>77</v>
      </c>
      <c r="V2467" t="str">
        <f>"10019"</f>
        <v>10019</v>
      </c>
      <c r="AC2467" t="s">
        <v>79</v>
      </c>
      <c r="AD2467" t="s">
        <v>75</v>
      </c>
      <c r="AE2467" t="s">
        <v>103</v>
      </c>
      <c r="AG2467" t="s">
        <v>81</v>
      </c>
    </row>
    <row r="2468" spans="1:33" x14ac:dyDescent="0.25">
      <c r="A2468" t="str">
        <f>"1073546743"</f>
        <v>1073546743</v>
      </c>
      <c r="B2468" t="str">
        <f>"00442122"</f>
        <v>00442122</v>
      </c>
      <c r="C2468" t="s">
        <v>13436</v>
      </c>
      <c r="D2468" t="s">
        <v>15604</v>
      </c>
      <c r="E2468" t="s">
        <v>15605</v>
      </c>
      <c r="G2468" t="s">
        <v>15606</v>
      </c>
      <c r="L2468" t="s">
        <v>83</v>
      </c>
      <c r="M2468" t="s">
        <v>85</v>
      </c>
      <c r="R2468" t="s">
        <v>15607</v>
      </c>
      <c r="W2468" t="s">
        <v>15605</v>
      </c>
      <c r="X2468" t="s">
        <v>15608</v>
      </c>
      <c r="Y2468" t="s">
        <v>97</v>
      </c>
      <c r="Z2468" t="s">
        <v>77</v>
      </c>
      <c r="AA2468" t="str">
        <f>"10023-5503"</f>
        <v>10023-5503</v>
      </c>
      <c r="AB2468" t="s">
        <v>78</v>
      </c>
      <c r="AC2468" t="s">
        <v>79</v>
      </c>
      <c r="AD2468" t="s">
        <v>75</v>
      </c>
      <c r="AE2468" t="s">
        <v>80</v>
      </c>
      <c r="AG2468" t="s">
        <v>81</v>
      </c>
    </row>
    <row r="2469" spans="1:33" x14ac:dyDescent="0.25">
      <c r="A2469" t="str">
        <f>"1255401931"</f>
        <v>1255401931</v>
      </c>
      <c r="B2469" t="str">
        <f>"02292900"</f>
        <v>02292900</v>
      </c>
      <c r="C2469" t="s">
        <v>15609</v>
      </c>
      <c r="D2469" t="s">
        <v>3592</v>
      </c>
      <c r="E2469" t="s">
        <v>3593</v>
      </c>
      <c r="G2469" t="s">
        <v>9477</v>
      </c>
      <c r="H2469" t="s">
        <v>4867</v>
      </c>
      <c r="I2469">
        <v>135</v>
      </c>
      <c r="J2469" t="s">
        <v>5634</v>
      </c>
      <c r="L2469" t="s">
        <v>105</v>
      </c>
      <c r="M2469" t="s">
        <v>75</v>
      </c>
      <c r="R2469" t="s">
        <v>3594</v>
      </c>
      <c r="W2469" t="s">
        <v>3595</v>
      </c>
      <c r="X2469" t="s">
        <v>3596</v>
      </c>
      <c r="Y2469" t="s">
        <v>180</v>
      </c>
      <c r="Z2469" t="s">
        <v>77</v>
      </c>
      <c r="AA2469" t="str">
        <f>"10701-2930"</f>
        <v>10701-2930</v>
      </c>
      <c r="AB2469" t="s">
        <v>125</v>
      </c>
      <c r="AC2469" t="s">
        <v>79</v>
      </c>
      <c r="AD2469" t="s">
        <v>75</v>
      </c>
      <c r="AE2469" t="s">
        <v>80</v>
      </c>
      <c r="AG2469" t="s">
        <v>81</v>
      </c>
    </row>
    <row r="2470" spans="1:33" x14ac:dyDescent="0.25">
      <c r="A2470" t="str">
        <f>"1154698488"</f>
        <v>1154698488</v>
      </c>
      <c r="C2470" t="s">
        <v>15610</v>
      </c>
      <c r="G2470" t="s">
        <v>13504</v>
      </c>
      <c r="H2470" t="s">
        <v>13505</v>
      </c>
      <c r="J2470" t="s">
        <v>13506</v>
      </c>
      <c r="K2470" t="s">
        <v>99</v>
      </c>
      <c r="L2470" t="s">
        <v>102</v>
      </c>
      <c r="M2470" t="s">
        <v>75</v>
      </c>
      <c r="R2470" t="s">
        <v>15611</v>
      </c>
      <c r="S2470" t="s">
        <v>187</v>
      </c>
      <c r="T2470" t="s">
        <v>161</v>
      </c>
      <c r="U2470" t="s">
        <v>77</v>
      </c>
      <c r="V2470" t="str">
        <f>"110401402"</f>
        <v>110401402</v>
      </c>
      <c r="AC2470" t="s">
        <v>79</v>
      </c>
      <c r="AD2470" t="s">
        <v>75</v>
      </c>
      <c r="AE2470" t="s">
        <v>103</v>
      </c>
      <c r="AG2470" t="s">
        <v>81</v>
      </c>
    </row>
    <row r="2471" spans="1:33" x14ac:dyDescent="0.25">
      <c r="A2471" t="str">
        <f>"1922314186"</f>
        <v>1922314186</v>
      </c>
      <c r="C2471" t="s">
        <v>15612</v>
      </c>
      <c r="G2471" t="s">
        <v>13504</v>
      </c>
      <c r="H2471" t="s">
        <v>13505</v>
      </c>
      <c r="J2471" t="s">
        <v>13506</v>
      </c>
      <c r="K2471" t="s">
        <v>99</v>
      </c>
      <c r="L2471" t="s">
        <v>102</v>
      </c>
      <c r="M2471" t="s">
        <v>75</v>
      </c>
      <c r="R2471" t="s">
        <v>15613</v>
      </c>
      <c r="S2471" t="s">
        <v>15614</v>
      </c>
      <c r="T2471" t="s">
        <v>87</v>
      </c>
      <c r="U2471" t="s">
        <v>77</v>
      </c>
      <c r="V2471" t="str">
        <f>"112015425"</f>
        <v>112015425</v>
      </c>
      <c r="AC2471" t="s">
        <v>79</v>
      </c>
      <c r="AD2471" t="s">
        <v>75</v>
      </c>
      <c r="AE2471" t="s">
        <v>103</v>
      </c>
      <c r="AG2471" t="s">
        <v>81</v>
      </c>
    </row>
    <row r="2472" spans="1:33" x14ac:dyDescent="0.25">
      <c r="A2472" t="str">
        <f>"1932444973"</f>
        <v>1932444973</v>
      </c>
      <c r="C2472" t="s">
        <v>15615</v>
      </c>
      <c r="G2472" t="s">
        <v>13504</v>
      </c>
      <c r="H2472" t="s">
        <v>13505</v>
      </c>
      <c r="J2472" t="s">
        <v>13506</v>
      </c>
      <c r="K2472" t="s">
        <v>99</v>
      </c>
      <c r="L2472" t="s">
        <v>102</v>
      </c>
      <c r="M2472" t="s">
        <v>75</v>
      </c>
      <c r="R2472" t="s">
        <v>15616</v>
      </c>
      <c r="S2472" t="s">
        <v>15617</v>
      </c>
      <c r="T2472" t="s">
        <v>4861</v>
      </c>
      <c r="U2472" t="s">
        <v>1800</v>
      </c>
      <c r="V2472" t="str">
        <f>"801102330"</f>
        <v>801102330</v>
      </c>
      <c r="AC2472" t="s">
        <v>79</v>
      </c>
      <c r="AD2472" t="s">
        <v>75</v>
      </c>
      <c r="AE2472" t="s">
        <v>103</v>
      </c>
      <c r="AG2472" t="s">
        <v>81</v>
      </c>
    </row>
    <row r="2473" spans="1:33" x14ac:dyDescent="0.25">
      <c r="A2473" t="str">
        <f>"1013296854"</f>
        <v>1013296854</v>
      </c>
      <c r="B2473" t="str">
        <f>"03477378"</f>
        <v>03477378</v>
      </c>
      <c r="C2473" t="s">
        <v>13436</v>
      </c>
      <c r="D2473" t="s">
        <v>15618</v>
      </c>
      <c r="E2473" t="s">
        <v>15619</v>
      </c>
      <c r="G2473" t="s">
        <v>15620</v>
      </c>
      <c r="L2473" t="s">
        <v>84</v>
      </c>
      <c r="M2473" t="s">
        <v>85</v>
      </c>
      <c r="R2473" t="s">
        <v>15621</v>
      </c>
      <c r="W2473" t="s">
        <v>15619</v>
      </c>
      <c r="X2473" t="s">
        <v>2587</v>
      </c>
      <c r="Y2473" t="s">
        <v>97</v>
      </c>
      <c r="Z2473" t="s">
        <v>77</v>
      </c>
      <c r="AA2473" t="str">
        <f>"10003-3314"</f>
        <v>10003-3314</v>
      </c>
      <c r="AB2473" t="s">
        <v>78</v>
      </c>
      <c r="AC2473" t="s">
        <v>79</v>
      </c>
      <c r="AD2473" t="s">
        <v>75</v>
      </c>
      <c r="AE2473" t="s">
        <v>80</v>
      </c>
      <c r="AG2473" t="s">
        <v>81</v>
      </c>
    </row>
    <row r="2474" spans="1:33" x14ac:dyDescent="0.25">
      <c r="A2474" t="str">
        <f>"1023224870"</f>
        <v>1023224870</v>
      </c>
      <c r="B2474" t="str">
        <f>"03574274"</f>
        <v>03574274</v>
      </c>
      <c r="C2474" t="s">
        <v>13436</v>
      </c>
      <c r="D2474" t="s">
        <v>15622</v>
      </c>
      <c r="E2474" t="s">
        <v>15623</v>
      </c>
      <c r="G2474" t="s">
        <v>15624</v>
      </c>
      <c r="L2474" t="s">
        <v>105</v>
      </c>
      <c r="M2474" t="s">
        <v>85</v>
      </c>
      <c r="R2474" t="s">
        <v>15623</v>
      </c>
      <c r="W2474" t="s">
        <v>15623</v>
      </c>
      <c r="X2474" t="s">
        <v>15625</v>
      </c>
      <c r="Y2474" t="s">
        <v>97</v>
      </c>
      <c r="Z2474" t="s">
        <v>77</v>
      </c>
      <c r="AA2474" t="str">
        <f>"10025-0000"</f>
        <v>10025-0000</v>
      </c>
      <c r="AB2474" t="s">
        <v>78</v>
      </c>
      <c r="AC2474" t="s">
        <v>79</v>
      </c>
      <c r="AD2474" t="s">
        <v>75</v>
      </c>
      <c r="AE2474" t="s">
        <v>80</v>
      </c>
      <c r="AG2474" t="s">
        <v>81</v>
      </c>
    </row>
    <row r="2475" spans="1:33" x14ac:dyDescent="0.25">
      <c r="A2475" t="str">
        <f>"1023316429"</f>
        <v>1023316429</v>
      </c>
      <c r="B2475" t="str">
        <f>"03365280"</f>
        <v>03365280</v>
      </c>
      <c r="C2475" t="s">
        <v>13436</v>
      </c>
      <c r="D2475" t="s">
        <v>15626</v>
      </c>
      <c r="E2475" t="s">
        <v>15627</v>
      </c>
      <c r="G2475" t="s">
        <v>15628</v>
      </c>
      <c r="L2475" t="s">
        <v>83</v>
      </c>
      <c r="M2475" t="s">
        <v>85</v>
      </c>
      <c r="R2475" t="s">
        <v>15627</v>
      </c>
      <c r="W2475" t="s">
        <v>15629</v>
      </c>
      <c r="X2475" t="s">
        <v>3392</v>
      </c>
      <c r="Y2475" t="s">
        <v>97</v>
      </c>
      <c r="Z2475" t="s">
        <v>77</v>
      </c>
      <c r="AA2475" t="str">
        <f>"10003-0000"</f>
        <v>10003-0000</v>
      </c>
      <c r="AB2475" t="s">
        <v>78</v>
      </c>
      <c r="AC2475" t="s">
        <v>79</v>
      </c>
      <c r="AD2475" t="s">
        <v>75</v>
      </c>
      <c r="AE2475" t="s">
        <v>80</v>
      </c>
      <c r="AG2475" t="s">
        <v>81</v>
      </c>
    </row>
    <row r="2476" spans="1:33" x14ac:dyDescent="0.25">
      <c r="A2476" t="str">
        <f>"1164404158"</f>
        <v>1164404158</v>
      </c>
      <c r="B2476" t="str">
        <f>"02566672"</f>
        <v>02566672</v>
      </c>
      <c r="C2476" t="s">
        <v>13436</v>
      </c>
      <c r="D2476" t="s">
        <v>15630</v>
      </c>
      <c r="E2476" t="s">
        <v>15631</v>
      </c>
      <c r="G2476" t="s">
        <v>15632</v>
      </c>
      <c r="L2476" t="s">
        <v>83</v>
      </c>
      <c r="M2476" t="s">
        <v>85</v>
      </c>
      <c r="R2476" t="s">
        <v>15633</v>
      </c>
      <c r="W2476" t="s">
        <v>15631</v>
      </c>
      <c r="X2476" t="s">
        <v>2587</v>
      </c>
      <c r="Y2476" t="s">
        <v>97</v>
      </c>
      <c r="Z2476" t="s">
        <v>77</v>
      </c>
      <c r="AA2476" t="str">
        <f>"10003-3314"</f>
        <v>10003-3314</v>
      </c>
      <c r="AB2476" t="s">
        <v>78</v>
      </c>
      <c r="AC2476" t="s">
        <v>79</v>
      </c>
      <c r="AD2476" t="s">
        <v>75</v>
      </c>
      <c r="AE2476" t="s">
        <v>80</v>
      </c>
      <c r="AG2476" t="s">
        <v>81</v>
      </c>
    </row>
    <row r="2477" spans="1:33" x14ac:dyDescent="0.25">
      <c r="A2477" t="str">
        <f>"1164427522"</f>
        <v>1164427522</v>
      </c>
      <c r="B2477" t="str">
        <f>"00794270"</f>
        <v>00794270</v>
      </c>
      <c r="C2477" t="s">
        <v>13436</v>
      </c>
      <c r="D2477" t="s">
        <v>15634</v>
      </c>
      <c r="E2477" t="s">
        <v>15635</v>
      </c>
      <c r="G2477" t="s">
        <v>15636</v>
      </c>
      <c r="L2477" t="s">
        <v>84</v>
      </c>
      <c r="M2477" t="s">
        <v>85</v>
      </c>
      <c r="R2477" t="s">
        <v>15637</v>
      </c>
      <c r="W2477" t="s">
        <v>15635</v>
      </c>
      <c r="X2477" t="s">
        <v>15638</v>
      </c>
      <c r="Y2477" t="s">
        <v>97</v>
      </c>
      <c r="Z2477" t="s">
        <v>77</v>
      </c>
      <c r="AA2477" t="str">
        <f>"10032-3720"</f>
        <v>10032-3720</v>
      </c>
      <c r="AB2477" t="s">
        <v>78</v>
      </c>
      <c r="AC2477" t="s">
        <v>79</v>
      </c>
      <c r="AD2477" t="s">
        <v>75</v>
      </c>
      <c r="AE2477" t="s">
        <v>80</v>
      </c>
      <c r="AG2477" t="s">
        <v>81</v>
      </c>
    </row>
    <row r="2478" spans="1:33" x14ac:dyDescent="0.25">
      <c r="A2478" t="str">
        <f>"1164455465"</f>
        <v>1164455465</v>
      </c>
      <c r="B2478" t="str">
        <f>"02199640"</f>
        <v>02199640</v>
      </c>
      <c r="C2478" t="s">
        <v>13436</v>
      </c>
      <c r="D2478" t="s">
        <v>15639</v>
      </c>
      <c r="E2478" t="s">
        <v>15640</v>
      </c>
      <c r="G2478" t="s">
        <v>15641</v>
      </c>
      <c r="L2478" t="s">
        <v>94</v>
      </c>
      <c r="M2478" t="s">
        <v>85</v>
      </c>
      <c r="R2478" t="s">
        <v>15642</v>
      </c>
      <c r="W2478" t="s">
        <v>15640</v>
      </c>
      <c r="X2478" t="s">
        <v>15643</v>
      </c>
      <c r="Y2478" t="s">
        <v>97</v>
      </c>
      <c r="Z2478" t="s">
        <v>77</v>
      </c>
      <c r="AA2478" t="str">
        <f>"10019"</f>
        <v>10019</v>
      </c>
      <c r="AB2478" t="s">
        <v>78</v>
      </c>
      <c r="AC2478" t="s">
        <v>79</v>
      </c>
      <c r="AD2478" t="s">
        <v>75</v>
      </c>
      <c r="AE2478" t="s">
        <v>80</v>
      </c>
      <c r="AG2478" t="s">
        <v>81</v>
      </c>
    </row>
    <row r="2479" spans="1:33" x14ac:dyDescent="0.25">
      <c r="A2479" t="str">
        <f>"1881915197"</f>
        <v>1881915197</v>
      </c>
      <c r="B2479" t="str">
        <f>"03267521"</f>
        <v>03267521</v>
      </c>
      <c r="C2479" t="s">
        <v>15644</v>
      </c>
      <c r="D2479" t="s">
        <v>678</v>
      </c>
      <c r="E2479" t="s">
        <v>679</v>
      </c>
      <c r="G2479" t="s">
        <v>13504</v>
      </c>
      <c r="H2479" t="s">
        <v>13505</v>
      </c>
      <c r="J2479" t="s">
        <v>13506</v>
      </c>
      <c r="L2479" t="s">
        <v>83</v>
      </c>
      <c r="M2479" t="s">
        <v>85</v>
      </c>
      <c r="R2479" t="s">
        <v>677</v>
      </c>
      <c r="W2479" t="s">
        <v>679</v>
      </c>
      <c r="X2479" t="s">
        <v>680</v>
      </c>
      <c r="Y2479" t="s">
        <v>139</v>
      </c>
      <c r="Z2479" t="s">
        <v>77</v>
      </c>
      <c r="AA2479" t="str">
        <f>"11354-5516"</f>
        <v>11354-5516</v>
      </c>
      <c r="AB2479" t="s">
        <v>78</v>
      </c>
      <c r="AC2479" t="s">
        <v>79</v>
      </c>
      <c r="AD2479" t="s">
        <v>75</v>
      </c>
      <c r="AE2479" t="s">
        <v>80</v>
      </c>
      <c r="AG2479" t="s">
        <v>81</v>
      </c>
    </row>
    <row r="2480" spans="1:33" x14ac:dyDescent="0.25">
      <c r="A2480" t="str">
        <f>"1659490019"</f>
        <v>1659490019</v>
      </c>
      <c r="B2480" t="str">
        <f>"03246944"</f>
        <v>03246944</v>
      </c>
      <c r="C2480" t="s">
        <v>15645</v>
      </c>
      <c r="D2480" t="s">
        <v>15646</v>
      </c>
      <c r="E2480" t="s">
        <v>15647</v>
      </c>
      <c r="G2480" t="s">
        <v>13504</v>
      </c>
      <c r="H2480" t="s">
        <v>13505</v>
      </c>
      <c r="J2480" t="s">
        <v>13506</v>
      </c>
      <c r="L2480" t="s">
        <v>83</v>
      </c>
      <c r="M2480" t="s">
        <v>75</v>
      </c>
      <c r="R2480" t="s">
        <v>15648</v>
      </c>
      <c r="W2480" t="s">
        <v>15649</v>
      </c>
      <c r="X2480" t="s">
        <v>1778</v>
      </c>
      <c r="Y2480" t="s">
        <v>1779</v>
      </c>
      <c r="Z2480" t="s">
        <v>77</v>
      </c>
      <c r="AA2480" t="str">
        <f>"11572-1551"</f>
        <v>11572-1551</v>
      </c>
      <c r="AB2480" t="s">
        <v>78</v>
      </c>
      <c r="AC2480" t="s">
        <v>79</v>
      </c>
      <c r="AD2480" t="s">
        <v>75</v>
      </c>
      <c r="AE2480" t="s">
        <v>80</v>
      </c>
      <c r="AG2480" t="s">
        <v>81</v>
      </c>
    </row>
    <row r="2481" spans="1:33" x14ac:dyDescent="0.25">
      <c r="A2481" t="str">
        <f>"1801807748"</f>
        <v>1801807748</v>
      </c>
      <c r="B2481" t="str">
        <f>"03251883"</f>
        <v>03251883</v>
      </c>
      <c r="C2481" t="s">
        <v>15650</v>
      </c>
      <c r="D2481" t="s">
        <v>15651</v>
      </c>
      <c r="E2481" t="s">
        <v>15652</v>
      </c>
      <c r="G2481" t="s">
        <v>13504</v>
      </c>
      <c r="H2481" t="s">
        <v>13505</v>
      </c>
      <c r="J2481" t="s">
        <v>13506</v>
      </c>
      <c r="L2481" t="s">
        <v>83</v>
      </c>
      <c r="M2481" t="s">
        <v>85</v>
      </c>
      <c r="R2481" t="s">
        <v>15653</v>
      </c>
      <c r="W2481" t="s">
        <v>15654</v>
      </c>
      <c r="X2481" t="s">
        <v>1484</v>
      </c>
      <c r="Y2481" t="s">
        <v>87</v>
      </c>
      <c r="Z2481" t="s">
        <v>77</v>
      </c>
      <c r="AA2481" t="str">
        <f>"11201-5465"</f>
        <v>11201-5465</v>
      </c>
      <c r="AB2481" t="s">
        <v>78</v>
      </c>
      <c r="AC2481" t="s">
        <v>79</v>
      </c>
      <c r="AD2481" t="s">
        <v>75</v>
      </c>
      <c r="AE2481" t="s">
        <v>80</v>
      </c>
      <c r="AG2481" t="s">
        <v>81</v>
      </c>
    </row>
    <row r="2482" spans="1:33" x14ac:dyDescent="0.25">
      <c r="A2482" t="str">
        <f>"1023325016"</f>
        <v>1023325016</v>
      </c>
      <c r="B2482" t="str">
        <f>"03263210"</f>
        <v>03263210</v>
      </c>
      <c r="C2482" t="s">
        <v>15655</v>
      </c>
      <c r="D2482" t="s">
        <v>15656</v>
      </c>
      <c r="E2482" t="s">
        <v>15657</v>
      </c>
      <c r="G2482" t="s">
        <v>13504</v>
      </c>
      <c r="H2482" t="s">
        <v>13505</v>
      </c>
      <c r="J2482" t="s">
        <v>13506</v>
      </c>
      <c r="L2482" t="s">
        <v>84</v>
      </c>
      <c r="M2482" t="s">
        <v>75</v>
      </c>
      <c r="R2482" t="s">
        <v>15658</v>
      </c>
      <c r="W2482" t="s">
        <v>15657</v>
      </c>
      <c r="X2482" t="s">
        <v>15659</v>
      </c>
      <c r="Y2482" t="s">
        <v>87</v>
      </c>
      <c r="Z2482" t="s">
        <v>77</v>
      </c>
      <c r="AA2482" t="str">
        <f>"11237-3097"</f>
        <v>11237-3097</v>
      </c>
      <c r="AB2482" t="s">
        <v>78</v>
      </c>
      <c r="AC2482" t="s">
        <v>79</v>
      </c>
      <c r="AD2482" t="s">
        <v>75</v>
      </c>
      <c r="AE2482" t="s">
        <v>80</v>
      </c>
      <c r="AG2482" t="s">
        <v>81</v>
      </c>
    </row>
    <row r="2483" spans="1:33" x14ac:dyDescent="0.25">
      <c r="A2483" t="str">
        <f>"1285812057"</f>
        <v>1285812057</v>
      </c>
      <c r="B2483" t="str">
        <f>"03766534"</f>
        <v>03766534</v>
      </c>
      <c r="C2483" t="s">
        <v>13436</v>
      </c>
      <c r="D2483" t="s">
        <v>15660</v>
      </c>
      <c r="E2483" t="s">
        <v>15661</v>
      </c>
      <c r="G2483" t="s">
        <v>15662</v>
      </c>
      <c r="L2483" t="s">
        <v>74</v>
      </c>
      <c r="M2483" t="s">
        <v>85</v>
      </c>
      <c r="R2483" t="s">
        <v>15663</v>
      </c>
      <c r="W2483" t="s">
        <v>15661</v>
      </c>
      <c r="X2483" t="s">
        <v>15664</v>
      </c>
      <c r="Y2483" t="s">
        <v>87</v>
      </c>
      <c r="Z2483" t="s">
        <v>77</v>
      </c>
      <c r="AA2483" t="str">
        <f>"11219-2916"</f>
        <v>11219-2916</v>
      </c>
      <c r="AB2483" t="s">
        <v>78</v>
      </c>
      <c r="AC2483" t="s">
        <v>79</v>
      </c>
      <c r="AD2483" t="s">
        <v>75</v>
      </c>
      <c r="AE2483" t="s">
        <v>80</v>
      </c>
      <c r="AG2483" t="s">
        <v>81</v>
      </c>
    </row>
    <row r="2484" spans="1:33" x14ac:dyDescent="0.25">
      <c r="A2484" t="str">
        <f>"1295033629"</f>
        <v>1295033629</v>
      </c>
      <c r="B2484" t="str">
        <f>"03496100"</f>
        <v>03496100</v>
      </c>
      <c r="C2484" t="s">
        <v>13436</v>
      </c>
      <c r="D2484" t="s">
        <v>15665</v>
      </c>
      <c r="E2484" t="s">
        <v>15666</v>
      </c>
      <c r="G2484" t="s">
        <v>15667</v>
      </c>
      <c r="L2484" t="s">
        <v>105</v>
      </c>
      <c r="M2484" t="s">
        <v>85</v>
      </c>
      <c r="R2484" t="s">
        <v>15668</v>
      </c>
      <c r="W2484" t="s">
        <v>15666</v>
      </c>
      <c r="X2484" t="s">
        <v>5911</v>
      </c>
      <c r="Y2484" t="s">
        <v>97</v>
      </c>
      <c r="Z2484" t="s">
        <v>77</v>
      </c>
      <c r="AA2484" t="str">
        <f>"10025-1737"</f>
        <v>10025-1737</v>
      </c>
      <c r="AB2484" t="s">
        <v>78</v>
      </c>
      <c r="AC2484" t="s">
        <v>79</v>
      </c>
      <c r="AD2484" t="s">
        <v>75</v>
      </c>
      <c r="AE2484" t="s">
        <v>80</v>
      </c>
      <c r="AG2484" t="s">
        <v>81</v>
      </c>
    </row>
    <row r="2485" spans="1:33" x14ac:dyDescent="0.25">
      <c r="A2485" t="str">
        <f>"1295716173"</f>
        <v>1295716173</v>
      </c>
      <c r="B2485" t="str">
        <f>"01911559"</f>
        <v>01911559</v>
      </c>
      <c r="C2485" t="s">
        <v>13436</v>
      </c>
      <c r="D2485" t="s">
        <v>15669</v>
      </c>
      <c r="E2485" t="s">
        <v>15670</v>
      </c>
      <c r="G2485" t="s">
        <v>15671</v>
      </c>
      <c r="L2485" t="s">
        <v>74</v>
      </c>
      <c r="M2485" t="s">
        <v>85</v>
      </c>
      <c r="R2485" t="s">
        <v>15672</v>
      </c>
      <c r="W2485" t="s">
        <v>15670</v>
      </c>
      <c r="X2485" t="s">
        <v>537</v>
      </c>
      <c r="Y2485" t="s">
        <v>97</v>
      </c>
      <c r="Z2485" t="s">
        <v>77</v>
      </c>
      <c r="AA2485" t="str">
        <f>"10011-8305"</f>
        <v>10011-8305</v>
      </c>
      <c r="AB2485" t="s">
        <v>78</v>
      </c>
      <c r="AC2485" t="s">
        <v>79</v>
      </c>
      <c r="AD2485" t="s">
        <v>75</v>
      </c>
      <c r="AE2485" t="s">
        <v>80</v>
      </c>
      <c r="AG2485" t="s">
        <v>81</v>
      </c>
    </row>
    <row r="2486" spans="1:33" x14ac:dyDescent="0.25">
      <c r="A2486" t="str">
        <f>"1376657247"</f>
        <v>1376657247</v>
      </c>
      <c r="B2486" t="str">
        <f>"00224117"</f>
        <v>00224117</v>
      </c>
      <c r="C2486" t="s">
        <v>15673</v>
      </c>
      <c r="D2486" t="s">
        <v>15674</v>
      </c>
      <c r="E2486" t="s">
        <v>15675</v>
      </c>
      <c r="G2486" t="s">
        <v>13504</v>
      </c>
      <c r="H2486" t="s">
        <v>13505</v>
      </c>
      <c r="J2486" t="s">
        <v>13506</v>
      </c>
      <c r="L2486" t="s">
        <v>84</v>
      </c>
      <c r="M2486" t="s">
        <v>75</v>
      </c>
      <c r="R2486" t="s">
        <v>15676</v>
      </c>
      <c r="W2486" t="s">
        <v>15675</v>
      </c>
      <c r="X2486" t="s">
        <v>15677</v>
      </c>
      <c r="Y2486" t="s">
        <v>87</v>
      </c>
      <c r="Z2486" t="s">
        <v>77</v>
      </c>
      <c r="AA2486" t="str">
        <f>"11207"</f>
        <v>11207</v>
      </c>
      <c r="AB2486" t="s">
        <v>78</v>
      </c>
      <c r="AC2486" t="s">
        <v>79</v>
      </c>
      <c r="AD2486" t="s">
        <v>75</v>
      </c>
      <c r="AE2486" t="s">
        <v>80</v>
      </c>
      <c r="AG2486" t="s">
        <v>81</v>
      </c>
    </row>
    <row r="2487" spans="1:33" x14ac:dyDescent="0.25">
      <c r="A2487" t="str">
        <f>"1962729103"</f>
        <v>1962729103</v>
      </c>
      <c r="B2487" t="str">
        <f>"03819394"</f>
        <v>03819394</v>
      </c>
      <c r="C2487" t="s">
        <v>15678</v>
      </c>
      <c r="D2487" t="s">
        <v>15679</v>
      </c>
      <c r="E2487" t="s">
        <v>15680</v>
      </c>
      <c r="L2487" t="s">
        <v>74</v>
      </c>
      <c r="M2487" t="s">
        <v>75</v>
      </c>
      <c r="R2487" t="s">
        <v>15681</v>
      </c>
      <c r="W2487" t="s">
        <v>15680</v>
      </c>
      <c r="X2487" t="s">
        <v>1455</v>
      </c>
      <c r="Y2487" t="s">
        <v>91</v>
      </c>
      <c r="Z2487" t="s">
        <v>77</v>
      </c>
      <c r="AA2487" t="str">
        <f>"11373-1329"</f>
        <v>11373-1329</v>
      </c>
      <c r="AB2487" t="s">
        <v>78</v>
      </c>
      <c r="AC2487" t="s">
        <v>79</v>
      </c>
      <c r="AD2487" t="s">
        <v>75</v>
      </c>
      <c r="AE2487" t="s">
        <v>80</v>
      </c>
      <c r="AG2487" t="s">
        <v>81</v>
      </c>
    </row>
    <row r="2488" spans="1:33" x14ac:dyDescent="0.25">
      <c r="A2488" t="str">
        <f>"1487790986"</f>
        <v>1487790986</v>
      </c>
      <c r="B2488" t="str">
        <f>"03434448"</f>
        <v>03434448</v>
      </c>
      <c r="C2488" t="s">
        <v>13436</v>
      </c>
      <c r="D2488" t="s">
        <v>15682</v>
      </c>
      <c r="E2488" t="s">
        <v>15683</v>
      </c>
      <c r="G2488" t="s">
        <v>15684</v>
      </c>
      <c r="L2488" t="s">
        <v>83</v>
      </c>
      <c r="M2488" t="s">
        <v>85</v>
      </c>
      <c r="R2488" t="s">
        <v>15683</v>
      </c>
      <c r="W2488" t="s">
        <v>15683</v>
      </c>
      <c r="X2488" t="s">
        <v>3037</v>
      </c>
      <c r="Y2488" t="s">
        <v>97</v>
      </c>
      <c r="Z2488" t="s">
        <v>77</v>
      </c>
      <c r="AA2488" t="str">
        <f>"10003-0000"</f>
        <v>10003-0000</v>
      </c>
      <c r="AB2488" t="s">
        <v>78</v>
      </c>
      <c r="AC2488" t="s">
        <v>79</v>
      </c>
      <c r="AD2488" t="s">
        <v>75</v>
      </c>
      <c r="AE2488" t="s">
        <v>80</v>
      </c>
      <c r="AG2488" t="s">
        <v>81</v>
      </c>
    </row>
    <row r="2489" spans="1:33" x14ac:dyDescent="0.25">
      <c r="A2489" t="str">
        <f>"1487810636"</f>
        <v>1487810636</v>
      </c>
      <c r="B2489" t="str">
        <f>"03232597"</f>
        <v>03232597</v>
      </c>
      <c r="C2489" t="s">
        <v>13436</v>
      </c>
      <c r="D2489" t="s">
        <v>15685</v>
      </c>
      <c r="E2489" t="s">
        <v>15686</v>
      </c>
      <c r="G2489" t="s">
        <v>15687</v>
      </c>
      <c r="L2489" t="s">
        <v>84</v>
      </c>
      <c r="M2489" t="s">
        <v>85</v>
      </c>
      <c r="R2489" t="s">
        <v>15688</v>
      </c>
      <c r="W2489" t="s">
        <v>15686</v>
      </c>
      <c r="X2489" t="s">
        <v>181</v>
      </c>
      <c r="Y2489" t="s">
        <v>97</v>
      </c>
      <c r="Z2489" t="s">
        <v>77</v>
      </c>
      <c r="AA2489" t="str">
        <f>"10025-1716"</f>
        <v>10025-1716</v>
      </c>
      <c r="AB2489" t="s">
        <v>78</v>
      </c>
      <c r="AC2489" t="s">
        <v>79</v>
      </c>
      <c r="AD2489" t="s">
        <v>75</v>
      </c>
      <c r="AE2489" t="s">
        <v>80</v>
      </c>
      <c r="AG2489" t="s">
        <v>81</v>
      </c>
    </row>
    <row r="2490" spans="1:33" x14ac:dyDescent="0.25">
      <c r="A2490" t="str">
        <f>"1881689222"</f>
        <v>1881689222</v>
      </c>
      <c r="B2490" t="str">
        <f>"01765544"</f>
        <v>01765544</v>
      </c>
      <c r="C2490" t="s">
        <v>13436</v>
      </c>
      <c r="D2490" t="s">
        <v>15689</v>
      </c>
      <c r="E2490" t="s">
        <v>15690</v>
      </c>
      <c r="G2490" t="s">
        <v>15691</v>
      </c>
      <c r="L2490" t="s">
        <v>83</v>
      </c>
      <c r="M2490" t="s">
        <v>85</v>
      </c>
      <c r="R2490" t="s">
        <v>15692</v>
      </c>
      <c r="W2490" t="s">
        <v>15690</v>
      </c>
      <c r="X2490" t="s">
        <v>181</v>
      </c>
      <c r="Y2490" t="s">
        <v>97</v>
      </c>
      <c r="Z2490" t="s">
        <v>77</v>
      </c>
      <c r="AA2490" t="str">
        <f>"10025-1716"</f>
        <v>10025-1716</v>
      </c>
      <c r="AB2490" t="s">
        <v>78</v>
      </c>
      <c r="AC2490" t="s">
        <v>79</v>
      </c>
      <c r="AD2490" t="s">
        <v>75</v>
      </c>
      <c r="AE2490" t="s">
        <v>80</v>
      </c>
      <c r="AG2490" t="s">
        <v>81</v>
      </c>
    </row>
    <row r="2491" spans="1:33" x14ac:dyDescent="0.25">
      <c r="A2491" t="str">
        <f>"1881758399"</f>
        <v>1881758399</v>
      </c>
      <c r="B2491" t="str">
        <f>"02104121"</f>
        <v>02104121</v>
      </c>
      <c r="C2491" t="s">
        <v>13436</v>
      </c>
      <c r="D2491" t="s">
        <v>15693</v>
      </c>
      <c r="E2491" t="s">
        <v>15694</v>
      </c>
      <c r="G2491" t="s">
        <v>15695</v>
      </c>
      <c r="L2491" t="s">
        <v>83</v>
      </c>
      <c r="M2491" t="s">
        <v>85</v>
      </c>
      <c r="R2491" t="s">
        <v>15696</v>
      </c>
      <c r="W2491" t="s">
        <v>15694</v>
      </c>
      <c r="X2491" t="s">
        <v>174</v>
      </c>
      <c r="Y2491" t="s">
        <v>131</v>
      </c>
      <c r="Z2491" t="s">
        <v>77</v>
      </c>
      <c r="AA2491" t="str">
        <f>"10461-2301"</f>
        <v>10461-2301</v>
      </c>
      <c r="AB2491" t="s">
        <v>78</v>
      </c>
      <c r="AC2491" t="s">
        <v>79</v>
      </c>
      <c r="AD2491" t="s">
        <v>75</v>
      </c>
      <c r="AE2491" t="s">
        <v>80</v>
      </c>
      <c r="AG2491" t="s">
        <v>81</v>
      </c>
    </row>
    <row r="2492" spans="1:33" x14ac:dyDescent="0.25">
      <c r="A2492" t="str">
        <f>"1891738589"</f>
        <v>1891738589</v>
      </c>
      <c r="B2492" t="str">
        <f>"02268197"</f>
        <v>02268197</v>
      </c>
      <c r="C2492" t="s">
        <v>13436</v>
      </c>
      <c r="D2492" t="s">
        <v>15697</v>
      </c>
      <c r="E2492" t="s">
        <v>15698</v>
      </c>
      <c r="G2492" t="s">
        <v>15699</v>
      </c>
      <c r="L2492" t="s">
        <v>83</v>
      </c>
      <c r="M2492" t="s">
        <v>85</v>
      </c>
      <c r="R2492" t="s">
        <v>15700</v>
      </c>
      <c r="W2492" t="s">
        <v>15698</v>
      </c>
      <c r="X2492" t="s">
        <v>2587</v>
      </c>
      <c r="Y2492" t="s">
        <v>97</v>
      </c>
      <c r="Z2492" t="s">
        <v>77</v>
      </c>
      <c r="AA2492" t="str">
        <f>"10003-3314"</f>
        <v>10003-3314</v>
      </c>
      <c r="AB2492" t="s">
        <v>78</v>
      </c>
      <c r="AC2492" t="s">
        <v>79</v>
      </c>
      <c r="AD2492" t="s">
        <v>75</v>
      </c>
      <c r="AE2492" t="s">
        <v>80</v>
      </c>
      <c r="AG2492" t="s">
        <v>81</v>
      </c>
    </row>
    <row r="2493" spans="1:33" x14ac:dyDescent="0.25">
      <c r="A2493" t="str">
        <f>"1316145576"</f>
        <v>1316145576</v>
      </c>
      <c r="C2493" t="s">
        <v>15701</v>
      </c>
      <c r="G2493" t="s">
        <v>7218</v>
      </c>
      <c r="H2493" t="s">
        <v>6801</v>
      </c>
      <c r="I2493">
        <v>6136</v>
      </c>
      <c r="J2493" t="s">
        <v>7219</v>
      </c>
      <c r="K2493" t="s">
        <v>99</v>
      </c>
      <c r="L2493" t="s">
        <v>102</v>
      </c>
      <c r="M2493" t="s">
        <v>75</v>
      </c>
      <c r="R2493" t="s">
        <v>15702</v>
      </c>
      <c r="S2493" t="s">
        <v>6229</v>
      </c>
      <c r="T2493" t="s">
        <v>97</v>
      </c>
      <c r="U2493" t="s">
        <v>77</v>
      </c>
      <c r="V2493" t="str">
        <f>"100012320"</f>
        <v>100012320</v>
      </c>
      <c r="AC2493" t="s">
        <v>79</v>
      </c>
      <c r="AD2493" t="s">
        <v>75</v>
      </c>
      <c r="AE2493" t="s">
        <v>103</v>
      </c>
      <c r="AG2493" t="s">
        <v>81</v>
      </c>
    </row>
    <row r="2494" spans="1:33" x14ac:dyDescent="0.25">
      <c r="A2494" t="str">
        <f>"1326327560"</f>
        <v>1326327560</v>
      </c>
      <c r="B2494" t="str">
        <f>"04045790"</f>
        <v>04045790</v>
      </c>
      <c r="C2494" t="s">
        <v>15703</v>
      </c>
      <c r="D2494" t="s">
        <v>15704</v>
      </c>
      <c r="E2494" t="s">
        <v>15705</v>
      </c>
      <c r="G2494" t="s">
        <v>7218</v>
      </c>
      <c r="H2494" t="s">
        <v>6801</v>
      </c>
      <c r="I2494">
        <v>6136</v>
      </c>
      <c r="J2494" t="s">
        <v>7219</v>
      </c>
      <c r="L2494" t="s">
        <v>74</v>
      </c>
      <c r="M2494" t="s">
        <v>75</v>
      </c>
      <c r="R2494" t="s">
        <v>15706</v>
      </c>
      <c r="W2494" t="s">
        <v>15705</v>
      </c>
      <c r="X2494" t="s">
        <v>2997</v>
      </c>
      <c r="Y2494" t="s">
        <v>87</v>
      </c>
      <c r="Z2494" t="s">
        <v>77</v>
      </c>
      <c r="AA2494" t="str">
        <f>"11201-4333"</f>
        <v>11201-4333</v>
      </c>
      <c r="AB2494" t="s">
        <v>113</v>
      </c>
      <c r="AC2494" t="s">
        <v>79</v>
      </c>
      <c r="AD2494" t="s">
        <v>75</v>
      </c>
      <c r="AE2494" t="s">
        <v>80</v>
      </c>
      <c r="AG2494" t="s">
        <v>81</v>
      </c>
    </row>
    <row r="2495" spans="1:33" x14ac:dyDescent="0.25">
      <c r="A2495" t="str">
        <f>"1528049848"</f>
        <v>1528049848</v>
      </c>
      <c r="B2495" t="str">
        <f>"00547957"</f>
        <v>00547957</v>
      </c>
      <c r="C2495" t="s">
        <v>13436</v>
      </c>
      <c r="D2495" t="s">
        <v>15707</v>
      </c>
      <c r="E2495" t="s">
        <v>15708</v>
      </c>
      <c r="G2495" t="s">
        <v>15709</v>
      </c>
      <c r="L2495" t="s">
        <v>74</v>
      </c>
      <c r="M2495" t="s">
        <v>85</v>
      </c>
      <c r="R2495" t="s">
        <v>15710</v>
      </c>
      <c r="W2495" t="s">
        <v>15708</v>
      </c>
      <c r="X2495" t="s">
        <v>3553</v>
      </c>
      <c r="Y2495" t="s">
        <v>97</v>
      </c>
      <c r="Z2495" t="s">
        <v>77</v>
      </c>
      <c r="AA2495" t="str">
        <f>"10003-3851"</f>
        <v>10003-3851</v>
      </c>
      <c r="AB2495" t="s">
        <v>78</v>
      </c>
      <c r="AC2495" t="s">
        <v>79</v>
      </c>
      <c r="AD2495" t="s">
        <v>75</v>
      </c>
      <c r="AE2495" t="s">
        <v>80</v>
      </c>
      <c r="AG2495" t="s">
        <v>81</v>
      </c>
    </row>
    <row r="2496" spans="1:33" x14ac:dyDescent="0.25">
      <c r="A2496" t="str">
        <f>"1508108176"</f>
        <v>1508108176</v>
      </c>
      <c r="C2496" t="s">
        <v>13436</v>
      </c>
      <c r="K2496" t="s">
        <v>99</v>
      </c>
      <c r="L2496" t="s">
        <v>102</v>
      </c>
      <c r="M2496" t="s">
        <v>75</v>
      </c>
      <c r="R2496" t="s">
        <v>15711</v>
      </c>
      <c r="S2496" t="s">
        <v>15712</v>
      </c>
      <c r="T2496" t="s">
        <v>97</v>
      </c>
      <c r="U2496" t="s">
        <v>77</v>
      </c>
      <c r="V2496" t="str">
        <f>"100296501"</f>
        <v>100296501</v>
      </c>
      <c r="AC2496" t="s">
        <v>79</v>
      </c>
      <c r="AD2496" t="s">
        <v>75</v>
      </c>
      <c r="AE2496" t="s">
        <v>103</v>
      </c>
      <c r="AG2496" t="s">
        <v>81</v>
      </c>
    </row>
    <row r="2497" spans="1:33" x14ac:dyDescent="0.25">
      <c r="A2497" t="str">
        <f>"1508122086"</f>
        <v>1508122086</v>
      </c>
      <c r="C2497" t="s">
        <v>13436</v>
      </c>
      <c r="K2497" t="s">
        <v>99</v>
      </c>
      <c r="L2497" t="s">
        <v>102</v>
      </c>
      <c r="M2497" t="s">
        <v>75</v>
      </c>
      <c r="R2497" t="s">
        <v>15713</v>
      </c>
      <c r="S2497" t="s">
        <v>15714</v>
      </c>
      <c r="T2497" t="s">
        <v>15715</v>
      </c>
      <c r="U2497" t="s">
        <v>1214</v>
      </c>
      <c r="V2497" t="str">
        <f>"279494303"</f>
        <v>279494303</v>
      </c>
      <c r="AC2497" t="s">
        <v>79</v>
      </c>
      <c r="AD2497" t="s">
        <v>75</v>
      </c>
      <c r="AE2497" t="s">
        <v>103</v>
      </c>
      <c r="AG2497" t="s">
        <v>81</v>
      </c>
    </row>
    <row r="2498" spans="1:33" x14ac:dyDescent="0.25">
      <c r="A2498" t="str">
        <f>"1508124447"</f>
        <v>1508124447</v>
      </c>
      <c r="B2498" t="str">
        <f>"04310858"</f>
        <v>04310858</v>
      </c>
      <c r="C2498" t="s">
        <v>13436</v>
      </c>
      <c r="D2498" t="s">
        <v>15716</v>
      </c>
      <c r="E2498" t="s">
        <v>15717</v>
      </c>
      <c r="L2498" t="s">
        <v>74</v>
      </c>
      <c r="M2498" t="s">
        <v>75</v>
      </c>
      <c r="R2498" t="s">
        <v>15718</v>
      </c>
      <c r="W2498" t="s">
        <v>15719</v>
      </c>
      <c r="X2498" t="s">
        <v>15720</v>
      </c>
      <c r="Y2498" t="s">
        <v>97</v>
      </c>
      <c r="Z2498" t="s">
        <v>77</v>
      </c>
      <c r="AA2498" t="str">
        <f>"10025-1737"</f>
        <v>10025-1737</v>
      </c>
      <c r="AB2498" t="s">
        <v>128</v>
      </c>
      <c r="AC2498" t="s">
        <v>79</v>
      </c>
      <c r="AD2498" t="s">
        <v>75</v>
      </c>
      <c r="AE2498" t="s">
        <v>80</v>
      </c>
      <c r="AG2498" t="s">
        <v>81</v>
      </c>
    </row>
    <row r="2499" spans="1:33" x14ac:dyDescent="0.25">
      <c r="A2499" t="str">
        <f>"1508132093"</f>
        <v>1508132093</v>
      </c>
      <c r="B2499" t="str">
        <f>"04346970"</f>
        <v>04346970</v>
      </c>
      <c r="C2499" t="s">
        <v>13436</v>
      </c>
      <c r="D2499" t="s">
        <v>15721</v>
      </c>
      <c r="E2499" t="s">
        <v>15722</v>
      </c>
      <c r="L2499" t="s">
        <v>74</v>
      </c>
      <c r="M2499" t="s">
        <v>75</v>
      </c>
      <c r="R2499" t="s">
        <v>15723</v>
      </c>
      <c r="W2499" t="s">
        <v>15722</v>
      </c>
      <c r="X2499" t="s">
        <v>15724</v>
      </c>
      <c r="Y2499" t="s">
        <v>97</v>
      </c>
      <c r="Z2499" t="s">
        <v>77</v>
      </c>
      <c r="AA2499" t="str">
        <f>"10011-2202"</f>
        <v>10011-2202</v>
      </c>
      <c r="AB2499" t="s">
        <v>78</v>
      </c>
      <c r="AC2499" t="s">
        <v>79</v>
      </c>
      <c r="AD2499" t="s">
        <v>75</v>
      </c>
      <c r="AE2499" t="s">
        <v>80</v>
      </c>
      <c r="AG2499" t="s">
        <v>81</v>
      </c>
    </row>
    <row r="2500" spans="1:33" x14ac:dyDescent="0.25">
      <c r="A2500" t="str">
        <f>"1508137977"</f>
        <v>1508137977</v>
      </c>
      <c r="B2500" t="str">
        <f>"04428039"</f>
        <v>04428039</v>
      </c>
      <c r="C2500" t="s">
        <v>13436</v>
      </c>
      <c r="D2500" t="s">
        <v>15725</v>
      </c>
      <c r="E2500" t="s">
        <v>15726</v>
      </c>
      <c r="L2500" t="s">
        <v>74</v>
      </c>
      <c r="M2500" t="s">
        <v>75</v>
      </c>
      <c r="R2500" t="s">
        <v>15727</v>
      </c>
      <c r="W2500" t="s">
        <v>15726</v>
      </c>
      <c r="X2500" t="s">
        <v>1739</v>
      </c>
      <c r="Y2500" t="s">
        <v>95</v>
      </c>
      <c r="Z2500" t="s">
        <v>77</v>
      </c>
      <c r="AA2500" t="str">
        <f>"12208-1707"</f>
        <v>12208-1707</v>
      </c>
      <c r="AB2500" t="s">
        <v>78</v>
      </c>
      <c r="AC2500" t="s">
        <v>79</v>
      </c>
      <c r="AD2500" t="s">
        <v>75</v>
      </c>
      <c r="AE2500" t="s">
        <v>80</v>
      </c>
      <c r="AG2500" t="s">
        <v>81</v>
      </c>
    </row>
    <row r="2501" spans="1:33" x14ac:dyDescent="0.25">
      <c r="A2501" t="str">
        <f>"1508148016"</f>
        <v>1508148016</v>
      </c>
      <c r="B2501" t="str">
        <f>"03645521"</f>
        <v>03645521</v>
      </c>
      <c r="C2501" t="s">
        <v>13436</v>
      </c>
      <c r="D2501" t="s">
        <v>15728</v>
      </c>
      <c r="E2501" t="s">
        <v>15729</v>
      </c>
      <c r="L2501" t="s">
        <v>83</v>
      </c>
      <c r="M2501" t="s">
        <v>85</v>
      </c>
      <c r="R2501" t="s">
        <v>15730</v>
      </c>
      <c r="W2501" t="s">
        <v>15729</v>
      </c>
      <c r="X2501" t="s">
        <v>329</v>
      </c>
      <c r="Y2501" t="s">
        <v>97</v>
      </c>
      <c r="Z2501" t="s">
        <v>77</v>
      </c>
      <c r="AA2501" t="str">
        <f>"10029-6504"</f>
        <v>10029-6504</v>
      </c>
      <c r="AB2501" t="s">
        <v>78</v>
      </c>
      <c r="AC2501" t="s">
        <v>79</v>
      </c>
      <c r="AD2501" t="s">
        <v>75</v>
      </c>
      <c r="AE2501" t="s">
        <v>80</v>
      </c>
      <c r="AG2501" t="s">
        <v>81</v>
      </c>
    </row>
    <row r="2502" spans="1:33" x14ac:dyDescent="0.25">
      <c r="A2502" t="str">
        <f>"1508151762"</f>
        <v>1508151762</v>
      </c>
      <c r="B2502" t="str">
        <f>"04139488"</f>
        <v>04139488</v>
      </c>
      <c r="C2502" t="s">
        <v>13436</v>
      </c>
      <c r="D2502" t="s">
        <v>15731</v>
      </c>
      <c r="E2502" t="s">
        <v>15732</v>
      </c>
      <c r="L2502" t="s">
        <v>74</v>
      </c>
      <c r="M2502" t="s">
        <v>75</v>
      </c>
      <c r="R2502" t="s">
        <v>15733</v>
      </c>
      <c r="W2502" t="s">
        <v>15732</v>
      </c>
      <c r="X2502" t="s">
        <v>12415</v>
      </c>
      <c r="Y2502" t="s">
        <v>97</v>
      </c>
      <c r="Z2502" t="s">
        <v>77</v>
      </c>
      <c r="AA2502" t="str">
        <f>"10003-0000"</f>
        <v>10003-0000</v>
      </c>
      <c r="AB2502" t="s">
        <v>78</v>
      </c>
      <c r="AC2502" t="s">
        <v>79</v>
      </c>
      <c r="AD2502" t="s">
        <v>75</v>
      </c>
      <c r="AE2502" t="s">
        <v>80</v>
      </c>
      <c r="AG2502" t="s">
        <v>81</v>
      </c>
    </row>
    <row r="2503" spans="1:33" x14ac:dyDescent="0.25">
      <c r="A2503" t="str">
        <f>"1023322609"</f>
        <v>1023322609</v>
      </c>
      <c r="B2503" t="str">
        <f>"02546743"</f>
        <v>02546743</v>
      </c>
      <c r="C2503" t="s">
        <v>13436</v>
      </c>
      <c r="D2503" t="s">
        <v>15734</v>
      </c>
      <c r="E2503" t="s">
        <v>15735</v>
      </c>
      <c r="G2503" t="s">
        <v>15736</v>
      </c>
      <c r="L2503" t="s">
        <v>94</v>
      </c>
      <c r="M2503" t="s">
        <v>85</v>
      </c>
      <c r="R2503" t="s">
        <v>15737</v>
      </c>
      <c r="W2503" t="s">
        <v>15735</v>
      </c>
      <c r="X2503" t="s">
        <v>3845</v>
      </c>
      <c r="Y2503" t="s">
        <v>87</v>
      </c>
      <c r="Z2503" t="s">
        <v>77</v>
      </c>
      <c r="AA2503" t="str">
        <f>"11201-4730"</f>
        <v>11201-4730</v>
      </c>
      <c r="AB2503" t="s">
        <v>78</v>
      </c>
      <c r="AC2503" t="s">
        <v>79</v>
      </c>
      <c r="AD2503" t="s">
        <v>75</v>
      </c>
      <c r="AE2503" t="s">
        <v>80</v>
      </c>
      <c r="AG2503" t="s">
        <v>81</v>
      </c>
    </row>
    <row r="2504" spans="1:33" x14ac:dyDescent="0.25">
      <c r="A2504" t="str">
        <f>"1023386935"</f>
        <v>1023386935</v>
      </c>
      <c r="C2504" t="s">
        <v>13436</v>
      </c>
      <c r="G2504" t="s">
        <v>15738</v>
      </c>
      <c r="K2504" t="s">
        <v>99</v>
      </c>
      <c r="L2504" t="s">
        <v>102</v>
      </c>
      <c r="M2504" t="s">
        <v>85</v>
      </c>
      <c r="R2504" t="s">
        <v>15739</v>
      </c>
      <c r="S2504" t="s">
        <v>181</v>
      </c>
      <c r="T2504" t="s">
        <v>97</v>
      </c>
      <c r="U2504" t="s">
        <v>77</v>
      </c>
      <c r="V2504" t="str">
        <f>"100251716"</f>
        <v>100251716</v>
      </c>
      <c r="AC2504" t="s">
        <v>79</v>
      </c>
      <c r="AD2504" t="s">
        <v>75</v>
      </c>
      <c r="AE2504" t="s">
        <v>103</v>
      </c>
      <c r="AG2504" t="s">
        <v>81</v>
      </c>
    </row>
    <row r="2505" spans="1:33" x14ac:dyDescent="0.25">
      <c r="A2505" t="str">
        <f>"1033344205"</f>
        <v>1033344205</v>
      </c>
      <c r="B2505" t="str">
        <f>"03693661"</f>
        <v>03693661</v>
      </c>
      <c r="C2505" t="s">
        <v>13436</v>
      </c>
      <c r="D2505" t="s">
        <v>15740</v>
      </c>
      <c r="E2505" t="s">
        <v>15741</v>
      </c>
      <c r="G2505" t="s">
        <v>15742</v>
      </c>
      <c r="L2505" t="s">
        <v>83</v>
      </c>
      <c r="M2505" t="s">
        <v>85</v>
      </c>
      <c r="R2505" t="s">
        <v>15743</v>
      </c>
      <c r="W2505" t="s">
        <v>15741</v>
      </c>
      <c r="X2505" t="s">
        <v>181</v>
      </c>
      <c r="Y2505" t="s">
        <v>97</v>
      </c>
      <c r="Z2505" t="s">
        <v>77</v>
      </c>
      <c r="AA2505" t="str">
        <f>"10025-1716"</f>
        <v>10025-1716</v>
      </c>
      <c r="AB2505" t="s">
        <v>78</v>
      </c>
      <c r="AC2505" t="s">
        <v>79</v>
      </c>
      <c r="AD2505" t="s">
        <v>75</v>
      </c>
      <c r="AE2505" t="s">
        <v>80</v>
      </c>
      <c r="AG2505" t="s">
        <v>81</v>
      </c>
    </row>
    <row r="2506" spans="1:33" x14ac:dyDescent="0.25">
      <c r="A2506" t="str">
        <f>"1679566673"</f>
        <v>1679566673</v>
      </c>
      <c r="B2506" t="str">
        <f>"00785617"</f>
        <v>00785617</v>
      </c>
      <c r="C2506" t="s">
        <v>13436</v>
      </c>
      <c r="D2506" t="s">
        <v>15744</v>
      </c>
      <c r="E2506" t="s">
        <v>15745</v>
      </c>
      <c r="G2506" t="s">
        <v>15746</v>
      </c>
      <c r="L2506" t="s">
        <v>83</v>
      </c>
      <c r="M2506" t="s">
        <v>85</v>
      </c>
      <c r="R2506" t="s">
        <v>15747</v>
      </c>
      <c r="W2506" t="s">
        <v>15745</v>
      </c>
      <c r="X2506" t="s">
        <v>15748</v>
      </c>
      <c r="Y2506" t="s">
        <v>97</v>
      </c>
      <c r="Z2506" t="s">
        <v>77</v>
      </c>
      <c r="AA2506" t="str">
        <f>"10019"</f>
        <v>10019</v>
      </c>
      <c r="AB2506" t="s">
        <v>78</v>
      </c>
      <c r="AC2506" t="s">
        <v>79</v>
      </c>
      <c r="AD2506" t="s">
        <v>75</v>
      </c>
      <c r="AE2506" t="s">
        <v>80</v>
      </c>
      <c r="AG2506" t="s">
        <v>81</v>
      </c>
    </row>
    <row r="2507" spans="1:33" x14ac:dyDescent="0.25">
      <c r="A2507" t="str">
        <f>"1679589774"</f>
        <v>1679589774</v>
      </c>
      <c r="B2507" t="str">
        <f>"00222495"</f>
        <v>00222495</v>
      </c>
      <c r="C2507" t="s">
        <v>13436</v>
      </c>
      <c r="D2507" t="s">
        <v>1657</v>
      </c>
      <c r="E2507" t="s">
        <v>1658</v>
      </c>
      <c r="G2507" t="s">
        <v>15749</v>
      </c>
      <c r="L2507" t="s">
        <v>83</v>
      </c>
      <c r="M2507" t="s">
        <v>85</v>
      </c>
      <c r="R2507" t="s">
        <v>1656</v>
      </c>
      <c r="W2507" t="s">
        <v>1656</v>
      </c>
      <c r="X2507" t="s">
        <v>1659</v>
      </c>
      <c r="Y2507" t="s">
        <v>283</v>
      </c>
      <c r="Z2507" t="s">
        <v>77</v>
      </c>
      <c r="AA2507" t="str">
        <f>"11418-3218"</f>
        <v>11418-3218</v>
      </c>
      <c r="AB2507" t="s">
        <v>78</v>
      </c>
      <c r="AC2507" t="s">
        <v>79</v>
      </c>
      <c r="AD2507" t="s">
        <v>75</v>
      </c>
      <c r="AE2507" t="s">
        <v>80</v>
      </c>
      <c r="AG2507" t="s">
        <v>81</v>
      </c>
    </row>
    <row r="2508" spans="1:33" x14ac:dyDescent="0.25">
      <c r="A2508" t="str">
        <f>"1679619233"</f>
        <v>1679619233</v>
      </c>
      <c r="B2508" t="str">
        <f>"01440739"</f>
        <v>01440739</v>
      </c>
      <c r="C2508" t="s">
        <v>13436</v>
      </c>
      <c r="D2508" t="s">
        <v>15750</v>
      </c>
      <c r="E2508" t="s">
        <v>15751</v>
      </c>
      <c r="G2508" t="s">
        <v>15752</v>
      </c>
      <c r="L2508" t="s">
        <v>84</v>
      </c>
      <c r="M2508" t="s">
        <v>85</v>
      </c>
      <c r="R2508" t="s">
        <v>15753</v>
      </c>
      <c r="W2508" t="s">
        <v>15751</v>
      </c>
      <c r="X2508" t="s">
        <v>15754</v>
      </c>
      <c r="Y2508" t="s">
        <v>97</v>
      </c>
      <c r="Z2508" t="s">
        <v>77</v>
      </c>
      <c r="AA2508" t="str">
        <f>"10003-2674"</f>
        <v>10003-2674</v>
      </c>
      <c r="AB2508" t="s">
        <v>78</v>
      </c>
      <c r="AC2508" t="s">
        <v>79</v>
      </c>
      <c r="AD2508" t="s">
        <v>75</v>
      </c>
      <c r="AE2508" t="s">
        <v>80</v>
      </c>
      <c r="AG2508" t="s">
        <v>81</v>
      </c>
    </row>
    <row r="2509" spans="1:33" x14ac:dyDescent="0.25">
      <c r="A2509" t="str">
        <f>"1679765671"</f>
        <v>1679765671</v>
      </c>
      <c r="B2509" t="str">
        <f>"02926209"</f>
        <v>02926209</v>
      </c>
      <c r="C2509" t="s">
        <v>13436</v>
      </c>
      <c r="D2509" t="s">
        <v>15755</v>
      </c>
      <c r="E2509" t="s">
        <v>15756</v>
      </c>
      <c r="G2509" t="s">
        <v>15757</v>
      </c>
      <c r="L2509" t="s">
        <v>37</v>
      </c>
      <c r="M2509" t="s">
        <v>85</v>
      </c>
      <c r="R2509" t="s">
        <v>15758</v>
      </c>
      <c r="W2509" t="s">
        <v>15756</v>
      </c>
      <c r="X2509" t="s">
        <v>2603</v>
      </c>
      <c r="Y2509" t="s">
        <v>2604</v>
      </c>
      <c r="Z2509" t="s">
        <v>77</v>
      </c>
      <c r="AA2509" t="str">
        <f>"10901-4812"</f>
        <v>10901-4812</v>
      </c>
      <c r="AB2509" t="s">
        <v>78</v>
      </c>
      <c r="AC2509" t="s">
        <v>79</v>
      </c>
      <c r="AD2509" t="s">
        <v>75</v>
      </c>
      <c r="AE2509" t="s">
        <v>80</v>
      </c>
      <c r="AG2509" t="s">
        <v>81</v>
      </c>
    </row>
    <row r="2510" spans="1:33" x14ac:dyDescent="0.25">
      <c r="A2510" t="str">
        <f>"1689658007"</f>
        <v>1689658007</v>
      </c>
      <c r="B2510" t="str">
        <f>"02431652"</f>
        <v>02431652</v>
      </c>
      <c r="C2510" t="s">
        <v>13436</v>
      </c>
      <c r="D2510" t="s">
        <v>15759</v>
      </c>
      <c r="E2510" t="s">
        <v>15760</v>
      </c>
      <c r="G2510" t="s">
        <v>15761</v>
      </c>
      <c r="L2510" t="s">
        <v>83</v>
      </c>
      <c r="M2510" t="s">
        <v>85</v>
      </c>
      <c r="R2510" t="s">
        <v>15762</v>
      </c>
      <c r="W2510" t="s">
        <v>15760</v>
      </c>
      <c r="X2510" t="s">
        <v>2587</v>
      </c>
      <c r="Y2510" t="s">
        <v>97</v>
      </c>
      <c r="Z2510" t="s">
        <v>77</v>
      </c>
      <c r="AA2510" t="str">
        <f>"10003-3314"</f>
        <v>10003-3314</v>
      </c>
      <c r="AB2510" t="s">
        <v>78</v>
      </c>
      <c r="AC2510" t="s">
        <v>79</v>
      </c>
      <c r="AD2510" t="s">
        <v>75</v>
      </c>
      <c r="AE2510" t="s">
        <v>80</v>
      </c>
      <c r="AG2510" t="s">
        <v>81</v>
      </c>
    </row>
    <row r="2511" spans="1:33" x14ac:dyDescent="0.25">
      <c r="A2511" t="str">
        <f>"1689658304"</f>
        <v>1689658304</v>
      </c>
      <c r="B2511" t="str">
        <f>"01777242"</f>
        <v>01777242</v>
      </c>
      <c r="C2511" t="s">
        <v>13436</v>
      </c>
      <c r="D2511" t="s">
        <v>15763</v>
      </c>
      <c r="E2511" t="s">
        <v>15764</v>
      </c>
      <c r="G2511" t="s">
        <v>15765</v>
      </c>
      <c r="L2511" t="s">
        <v>83</v>
      </c>
      <c r="M2511" t="s">
        <v>85</v>
      </c>
      <c r="R2511" t="s">
        <v>15766</v>
      </c>
      <c r="W2511" t="s">
        <v>15764</v>
      </c>
      <c r="X2511" t="s">
        <v>15767</v>
      </c>
      <c r="Y2511" t="s">
        <v>97</v>
      </c>
      <c r="Z2511" t="s">
        <v>77</v>
      </c>
      <c r="AA2511" t="str">
        <f>"10003-3314"</f>
        <v>10003-3314</v>
      </c>
      <c r="AB2511" t="s">
        <v>78</v>
      </c>
      <c r="AC2511" t="s">
        <v>79</v>
      </c>
      <c r="AD2511" t="s">
        <v>75</v>
      </c>
      <c r="AE2511" t="s">
        <v>80</v>
      </c>
      <c r="AG2511" t="s">
        <v>81</v>
      </c>
    </row>
    <row r="2512" spans="1:33" x14ac:dyDescent="0.25">
      <c r="A2512" t="str">
        <f>"1689662132"</f>
        <v>1689662132</v>
      </c>
      <c r="B2512" t="str">
        <f>"02317884"</f>
        <v>02317884</v>
      </c>
      <c r="C2512" t="s">
        <v>13436</v>
      </c>
      <c r="D2512" t="s">
        <v>15768</v>
      </c>
      <c r="E2512" t="s">
        <v>15769</v>
      </c>
      <c r="G2512" t="s">
        <v>15770</v>
      </c>
      <c r="L2512" t="s">
        <v>83</v>
      </c>
      <c r="M2512" t="s">
        <v>85</v>
      </c>
      <c r="R2512" t="s">
        <v>15771</v>
      </c>
      <c r="W2512" t="s">
        <v>15769</v>
      </c>
      <c r="X2512" t="s">
        <v>537</v>
      </c>
      <c r="Y2512" t="s">
        <v>97</v>
      </c>
      <c r="Z2512" t="s">
        <v>77</v>
      </c>
      <c r="AA2512" t="str">
        <f>"10011-8305"</f>
        <v>10011-8305</v>
      </c>
      <c r="AB2512" t="s">
        <v>78</v>
      </c>
      <c r="AC2512" t="s">
        <v>79</v>
      </c>
      <c r="AD2512" t="s">
        <v>75</v>
      </c>
      <c r="AE2512" t="s">
        <v>80</v>
      </c>
      <c r="AG2512" t="s">
        <v>81</v>
      </c>
    </row>
    <row r="2513" spans="1:33" x14ac:dyDescent="0.25">
      <c r="A2513" t="str">
        <f>"1689663759"</f>
        <v>1689663759</v>
      </c>
      <c r="B2513" t="str">
        <f>"02091610"</f>
        <v>02091610</v>
      </c>
      <c r="C2513" t="s">
        <v>13436</v>
      </c>
      <c r="D2513" t="s">
        <v>15772</v>
      </c>
      <c r="E2513" t="s">
        <v>15773</v>
      </c>
      <c r="G2513" t="s">
        <v>15774</v>
      </c>
      <c r="L2513" t="s">
        <v>83</v>
      </c>
      <c r="M2513" t="s">
        <v>85</v>
      </c>
      <c r="R2513" t="s">
        <v>15775</v>
      </c>
      <c r="W2513" t="s">
        <v>15773</v>
      </c>
      <c r="X2513" t="s">
        <v>191</v>
      </c>
      <c r="Y2513" t="s">
        <v>97</v>
      </c>
      <c r="Z2513" t="s">
        <v>77</v>
      </c>
      <c r="AA2513" t="str">
        <f>"10019-1147"</f>
        <v>10019-1147</v>
      </c>
      <c r="AB2513" t="s">
        <v>78</v>
      </c>
      <c r="AC2513" t="s">
        <v>79</v>
      </c>
      <c r="AD2513" t="s">
        <v>75</v>
      </c>
      <c r="AE2513" t="s">
        <v>80</v>
      </c>
      <c r="AG2513" t="s">
        <v>81</v>
      </c>
    </row>
    <row r="2514" spans="1:33" x14ac:dyDescent="0.25">
      <c r="A2514" t="str">
        <f>"1659480515"</f>
        <v>1659480515</v>
      </c>
      <c r="B2514" t="str">
        <f>"02156009"</f>
        <v>02156009</v>
      </c>
      <c r="C2514" t="s">
        <v>13436</v>
      </c>
      <c r="D2514" t="s">
        <v>15776</v>
      </c>
      <c r="E2514" t="s">
        <v>15777</v>
      </c>
      <c r="G2514" t="s">
        <v>15778</v>
      </c>
      <c r="L2514" t="s">
        <v>74</v>
      </c>
      <c r="M2514" t="s">
        <v>85</v>
      </c>
      <c r="R2514" t="s">
        <v>15779</v>
      </c>
      <c r="W2514" t="s">
        <v>15777</v>
      </c>
      <c r="X2514" t="s">
        <v>15780</v>
      </c>
      <c r="Y2514" t="s">
        <v>97</v>
      </c>
      <c r="Z2514" t="s">
        <v>77</v>
      </c>
      <c r="AA2514" t="str">
        <f>"10011-8202"</f>
        <v>10011-8202</v>
      </c>
      <c r="AB2514" t="s">
        <v>78</v>
      </c>
      <c r="AC2514" t="s">
        <v>79</v>
      </c>
      <c r="AD2514" t="s">
        <v>75</v>
      </c>
      <c r="AE2514" t="s">
        <v>80</v>
      </c>
      <c r="AG2514" t="s">
        <v>81</v>
      </c>
    </row>
    <row r="2515" spans="1:33" x14ac:dyDescent="0.25">
      <c r="A2515" t="str">
        <f>"1831116268"</f>
        <v>1831116268</v>
      </c>
      <c r="B2515" t="str">
        <f>"00823161"</f>
        <v>00823161</v>
      </c>
      <c r="C2515" t="s">
        <v>15781</v>
      </c>
      <c r="D2515" t="s">
        <v>15782</v>
      </c>
      <c r="E2515" t="s">
        <v>15783</v>
      </c>
      <c r="G2515" t="s">
        <v>13504</v>
      </c>
      <c r="H2515" t="s">
        <v>13505</v>
      </c>
      <c r="J2515" t="s">
        <v>13506</v>
      </c>
      <c r="L2515" t="s">
        <v>83</v>
      </c>
      <c r="M2515" t="s">
        <v>75</v>
      </c>
      <c r="R2515" t="s">
        <v>15784</v>
      </c>
      <c r="W2515" t="s">
        <v>15783</v>
      </c>
      <c r="X2515" t="s">
        <v>15785</v>
      </c>
      <c r="Y2515" t="s">
        <v>288</v>
      </c>
      <c r="Z2515" t="s">
        <v>77</v>
      </c>
      <c r="AA2515" t="str">
        <f>"11520-5902"</f>
        <v>11520-5902</v>
      </c>
      <c r="AB2515" t="s">
        <v>78</v>
      </c>
      <c r="AC2515" t="s">
        <v>79</v>
      </c>
      <c r="AD2515" t="s">
        <v>75</v>
      </c>
      <c r="AE2515" t="s">
        <v>80</v>
      </c>
      <c r="AG2515" t="s">
        <v>81</v>
      </c>
    </row>
    <row r="2516" spans="1:33" x14ac:dyDescent="0.25">
      <c r="A2516" t="str">
        <f>"1205809050"</f>
        <v>1205809050</v>
      </c>
      <c r="B2516" t="str">
        <f>"01045321"</f>
        <v>01045321</v>
      </c>
      <c r="C2516" t="s">
        <v>15786</v>
      </c>
      <c r="D2516" t="s">
        <v>15787</v>
      </c>
      <c r="E2516" t="s">
        <v>15788</v>
      </c>
      <c r="G2516" t="s">
        <v>13504</v>
      </c>
      <c r="H2516" t="s">
        <v>13505</v>
      </c>
      <c r="J2516" t="s">
        <v>13506</v>
      </c>
      <c r="L2516" t="s">
        <v>84</v>
      </c>
      <c r="M2516" t="s">
        <v>75</v>
      </c>
      <c r="R2516" t="s">
        <v>15789</v>
      </c>
      <c r="W2516" t="s">
        <v>15788</v>
      </c>
      <c r="X2516" t="s">
        <v>15790</v>
      </c>
      <c r="Y2516" t="s">
        <v>87</v>
      </c>
      <c r="Z2516" t="s">
        <v>77</v>
      </c>
      <c r="AA2516" t="str">
        <f>"11225-5313"</f>
        <v>11225-5313</v>
      </c>
      <c r="AB2516" t="s">
        <v>78</v>
      </c>
      <c r="AC2516" t="s">
        <v>79</v>
      </c>
      <c r="AD2516" t="s">
        <v>75</v>
      </c>
      <c r="AE2516" t="s">
        <v>80</v>
      </c>
      <c r="AG2516" t="s">
        <v>81</v>
      </c>
    </row>
    <row r="2517" spans="1:33" x14ac:dyDescent="0.25">
      <c r="A2517" t="str">
        <f>"1366530966"</f>
        <v>1366530966</v>
      </c>
      <c r="B2517" t="str">
        <f>"02700925"</f>
        <v>02700925</v>
      </c>
      <c r="C2517" t="s">
        <v>15791</v>
      </c>
      <c r="D2517" t="s">
        <v>15792</v>
      </c>
      <c r="E2517" t="s">
        <v>15793</v>
      </c>
      <c r="G2517" t="s">
        <v>13504</v>
      </c>
      <c r="H2517" t="s">
        <v>13505</v>
      </c>
      <c r="J2517" t="s">
        <v>13506</v>
      </c>
      <c r="L2517" t="s">
        <v>74</v>
      </c>
      <c r="M2517" t="s">
        <v>75</v>
      </c>
      <c r="R2517" t="s">
        <v>15794</v>
      </c>
      <c r="W2517" t="s">
        <v>15793</v>
      </c>
      <c r="X2517" t="s">
        <v>202</v>
      </c>
      <c r="Y2517" t="s">
        <v>87</v>
      </c>
      <c r="Z2517" t="s">
        <v>77</v>
      </c>
      <c r="AA2517" t="str">
        <f>"11201-5425"</f>
        <v>11201-5425</v>
      </c>
      <c r="AB2517" t="s">
        <v>78</v>
      </c>
      <c r="AC2517" t="s">
        <v>79</v>
      </c>
      <c r="AD2517" t="s">
        <v>75</v>
      </c>
      <c r="AE2517" t="s">
        <v>80</v>
      </c>
      <c r="AG2517" t="s">
        <v>81</v>
      </c>
    </row>
    <row r="2518" spans="1:33" x14ac:dyDescent="0.25">
      <c r="A2518" t="str">
        <f>"1083728943"</f>
        <v>1083728943</v>
      </c>
      <c r="B2518" t="str">
        <f>"01438182"</f>
        <v>01438182</v>
      </c>
      <c r="C2518" t="s">
        <v>15795</v>
      </c>
      <c r="D2518" t="s">
        <v>15796</v>
      </c>
      <c r="E2518" t="s">
        <v>15797</v>
      </c>
      <c r="G2518" t="s">
        <v>13504</v>
      </c>
      <c r="H2518" t="s">
        <v>13505</v>
      </c>
      <c r="J2518" t="s">
        <v>13506</v>
      </c>
      <c r="L2518" t="s">
        <v>83</v>
      </c>
      <c r="M2518" t="s">
        <v>75</v>
      </c>
      <c r="R2518" t="s">
        <v>15798</v>
      </c>
      <c r="W2518" t="s">
        <v>15797</v>
      </c>
      <c r="X2518" t="s">
        <v>15799</v>
      </c>
      <c r="Y2518" t="s">
        <v>160</v>
      </c>
      <c r="Z2518" t="s">
        <v>77</v>
      </c>
      <c r="AA2518" t="str">
        <f>"11030-3816"</f>
        <v>11030-3816</v>
      </c>
      <c r="AB2518" t="s">
        <v>78</v>
      </c>
      <c r="AC2518" t="s">
        <v>79</v>
      </c>
      <c r="AD2518" t="s">
        <v>75</v>
      </c>
      <c r="AE2518" t="s">
        <v>80</v>
      </c>
      <c r="AG2518" t="s">
        <v>81</v>
      </c>
    </row>
    <row r="2519" spans="1:33" x14ac:dyDescent="0.25">
      <c r="A2519" t="str">
        <f>"1346360575"</f>
        <v>1346360575</v>
      </c>
      <c r="B2519" t="str">
        <f>"00979608"</f>
        <v>00979608</v>
      </c>
      <c r="C2519" t="s">
        <v>15800</v>
      </c>
      <c r="D2519" t="s">
        <v>15801</v>
      </c>
      <c r="E2519" t="s">
        <v>15802</v>
      </c>
      <c r="G2519" t="s">
        <v>13504</v>
      </c>
      <c r="H2519" t="s">
        <v>13505</v>
      </c>
      <c r="J2519" t="s">
        <v>13506</v>
      </c>
      <c r="L2519" t="s">
        <v>74</v>
      </c>
      <c r="M2519" t="s">
        <v>75</v>
      </c>
      <c r="R2519" t="s">
        <v>15803</v>
      </c>
      <c r="W2519" t="s">
        <v>15802</v>
      </c>
      <c r="X2519" t="s">
        <v>15804</v>
      </c>
      <c r="Y2519" t="s">
        <v>87</v>
      </c>
      <c r="Z2519" t="s">
        <v>77</v>
      </c>
      <c r="AA2519" t="str">
        <f>"11224-4576"</f>
        <v>11224-4576</v>
      </c>
      <c r="AB2519" t="s">
        <v>78</v>
      </c>
      <c r="AC2519" t="s">
        <v>79</v>
      </c>
      <c r="AD2519" t="s">
        <v>75</v>
      </c>
      <c r="AE2519" t="s">
        <v>80</v>
      </c>
      <c r="AG2519" t="s">
        <v>81</v>
      </c>
    </row>
    <row r="2520" spans="1:33" x14ac:dyDescent="0.25">
      <c r="A2520" t="str">
        <f>"1992704597"</f>
        <v>1992704597</v>
      </c>
      <c r="B2520" t="str">
        <f>"00647190"</f>
        <v>00647190</v>
      </c>
      <c r="C2520" t="s">
        <v>15805</v>
      </c>
      <c r="D2520" t="s">
        <v>15806</v>
      </c>
      <c r="E2520" t="s">
        <v>15807</v>
      </c>
      <c r="G2520" t="s">
        <v>13504</v>
      </c>
      <c r="H2520" t="s">
        <v>13505</v>
      </c>
      <c r="J2520" t="s">
        <v>13506</v>
      </c>
      <c r="L2520" t="s">
        <v>83</v>
      </c>
      <c r="M2520" t="s">
        <v>75</v>
      </c>
      <c r="R2520" t="s">
        <v>15808</v>
      </c>
      <c r="W2520" t="s">
        <v>15809</v>
      </c>
      <c r="X2520" t="s">
        <v>582</v>
      </c>
      <c r="Y2520" t="s">
        <v>216</v>
      </c>
      <c r="Z2520" t="s">
        <v>77</v>
      </c>
      <c r="AA2520" t="str">
        <f>"11691-4423"</f>
        <v>11691-4423</v>
      </c>
      <c r="AB2520" t="s">
        <v>78</v>
      </c>
      <c r="AC2520" t="s">
        <v>79</v>
      </c>
      <c r="AD2520" t="s">
        <v>75</v>
      </c>
      <c r="AE2520" t="s">
        <v>80</v>
      </c>
      <c r="AG2520" t="s">
        <v>81</v>
      </c>
    </row>
    <row r="2521" spans="1:33" x14ac:dyDescent="0.25">
      <c r="A2521" t="str">
        <f>"1598088221"</f>
        <v>1598088221</v>
      </c>
      <c r="C2521" t="s">
        <v>15810</v>
      </c>
      <c r="G2521" t="s">
        <v>7218</v>
      </c>
      <c r="H2521" t="s">
        <v>6801</v>
      </c>
      <c r="I2521">
        <v>6136</v>
      </c>
      <c r="J2521" t="s">
        <v>7219</v>
      </c>
      <c r="K2521" t="s">
        <v>99</v>
      </c>
      <c r="L2521" t="s">
        <v>102</v>
      </c>
      <c r="M2521" t="s">
        <v>75</v>
      </c>
      <c r="R2521" t="s">
        <v>15811</v>
      </c>
      <c r="S2521" t="s">
        <v>8385</v>
      </c>
      <c r="T2521" t="s">
        <v>97</v>
      </c>
      <c r="U2521" t="s">
        <v>77</v>
      </c>
      <c r="V2521" t="str">
        <f>"100012320"</f>
        <v>100012320</v>
      </c>
      <c r="AC2521" t="s">
        <v>79</v>
      </c>
      <c r="AD2521" t="s">
        <v>75</v>
      </c>
      <c r="AE2521" t="s">
        <v>103</v>
      </c>
      <c r="AG2521" t="s">
        <v>81</v>
      </c>
    </row>
    <row r="2522" spans="1:33" x14ac:dyDescent="0.25">
      <c r="A2522" t="str">
        <f>"1598820441"</f>
        <v>1598820441</v>
      </c>
      <c r="B2522" t="str">
        <f>"03528690"</f>
        <v>03528690</v>
      </c>
      <c r="C2522" t="s">
        <v>15812</v>
      </c>
      <c r="D2522" t="s">
        <v>15813</v>
      </c>
      <c r="E2522" t="s">
        <v>15814</v>
      </c>
      <c r="G2522" t="s">
        <v>7218</v>
      </c>
      <c r="H2522" t="s">
        <v>6801</v>
      </c>
      <c r="I2522">
        <v>6136</v>
      </c>
      <c r="J2522" t="s">
        <v>7219</v>
      </c>
      <c r="L2522" t="s">
        <v>74</v>
      </c>
      <c r="M2522" t="s">
        <v>75</v>
      </c>
      <c r="R2522" t="s">
        <v>15815</v>
      </c>
      <c r="W2522" t="s">
        <v>15814</v>
      </c>
      <c r="X2522" t="s">
        <v>2997</v>
      </c>
      <c r="Y2522" t="s">
        <v>87</v>
      </c>
      <c r="Z2522" t="s">
        <v>77</v>
      </c>
      <c r="AA2522" t="str">
        <f>"11201-4333"</f>
        <v>11201-4333</v>
      </c>
      <c r="AB2522" t="s">
        <v>109</v>
      </c>
      <c r="AC2522" t="s">
        <v>79</v>
      </c>
      <c r="AD2522" t="s">
        <v>75</v>
      </c>
      <c r="AE2522" t="s">
        <v>80</v>
      </c>
      <c r="AG2522" t="s">
        <v>81</v>
      </c>
    </row>
    <row r="2523" spans="1:33" x14ac:dyDescent="0.25">
      <c r="A2523" t="str">
        <f>"1609809540"</f>
        <v>1609809540</v>
      </c>
      <c r="C2523" t="s">
        <v>15816</v>
      </c>
      <c r="G2523" t="s">
        <v>7218</v>
      </c>
      <c r="H2523" t="s">
        <v>6801</v>
      </c>
      <c r="I2523">
        <v>6136</v>
      </c>
      <c r="J2523" t="s">
        <v>7219</v>
      </c>
      <c r="K2523" t="s">
        <v>99</v>
      </c>
      <c r="L2523" t="s">
        <v>74</v>
      </c>
      <c r="M2523" t="s">
        <v>75</v>
      </c>
      <c r="R2523" t="s">
        <v>15817</v>
      </c>
      <c r="S2523" t="s">
        <v>8385</v>
      </c>
      <c r="T2523" t="s">
        <v>97</v>
      </c>
      <c r="U2523" t="s">
        <v>77</v>
      </c>
      <c r="V2523" t="str">
        <f>"100012320"</f>
        <v>100012320</v>
      </c>
      <c r="AC2523" t="s">
        <v>79</v>
      </c>
      <c r="AD2523" t="s">
        <v>75</v>
      </c>
      <c r="AE2523" t="s">
        <v>103</v>
      </c>
      <c r="AG2523" t="s">
        <v>81</v>
      </c>
    </row>
    <row r="2524" spans="1:33" x14ac:dyDescent="0.25">
      <c r="A2524" t="str">
        <f>"1609932359"</f>
        <v>1609932359</v>
      </c>
      <c r="B2524" t="str">
        <f>"03582230"</f>
        <v>03582230</v>
      </c>
      <c r="C2524" t="s">
        <v>15818</v>
      </c>
      <c r="D2524" t="s">
        <v>15819</v>
      </c>
      <c r="E2524" t="s">
        <v>15820</v>
      </c>
      <c r="G2524" t="s">
        <v>7218</v>
      </c>
      <c r="H2524" t="s">
        <v>6801</v>
      </c>
      <c r="I2524">
        <v>6136</v>
      </c>
      <c r="J2524" t="s">
        <v>7219</v>
      </c>
      <c r="L2524" t="s">
        <v>74</v>
      </c>
      <c r="M2524" t="s">
        <v>75</v>
      </c>
      <c r="R2524" t="s">
        <v>15821</v>
      </c>
      <c r="W2524" t="s">
        <v>15820</v>
      </c>
      <c r="X2524" t="s">
        <v>3538</v>
      </c>
      <c r="Y2524" t="s">
        <v>131</v>
      </c>
      <c r="Z2524" t="s">
        <v>77</v>
      </c>
      <c r="AA2524" t="str">
        <f>"10461-5726"</f>
        <v>10461-5726</v>
      </c>
      <c r="AB2524" t="s">
        <v>109</v>
      </c>
      <c r="AC2524" t="s">
        <v>79</v>
      </c>
      <c r="AD2524" t="s">
        <v>75</v>
      </c>
      <c r="AE2524" t="s">
        <v>80</v>
      </c>
      <c r="AG2524" t="s">
        <v>81</v>
      </c>
    </row>
    <row r="2525" spans="1:33" x14ac:dyDescent="0.25">
      <c r="A2525" t="str">
        <f>"1437316866"</f>
        <v>1437316866</v>
      </c>
      <c r="B2525" t="str">
        <f>"03161057"</f>
        <v>03161057</v>
      </c>
      <c r="C2525" t="s">
        <v>15822</v>
      </c>
      <c r="D2525" t="s">
        <v>15823</v>
      </c>
      <c r="E2525" t="s">
        <v>15824</v>
      </c>
      <c r="G2525" t="s">
        <v>15344</v>
      </c>
      <c r="H2525" t="s">
        <v>15345</v>
      </c>
      <c r="J2525" t="s">
        <v>15825</v>
      </c>
      <c r="L2525" t="s">
        <v>134</v>
      </c>
      <c r="M2525" t="s">
        <v>75</v>
      </c>
      <c r="R2525" t="s">
        <v>15826</v>
      </c>
      <c r="W2525" t="s">
        <v>15824</v>
      </c>
      <c r="X2525" t="s">
        <v>1163</v>
      </c>
      <c r="Y2525" t="s">
        <v>97</v>
      </c>
      <c r="Z2525" t="s">
        <v>77</v>
      </c>
      <c r="AA2525" t="str">
        <f>"10029-4413"</f>
        <v>10029-4413</v>
      </c>
      <c r="AB2525" t="s">
        <v>78</v>
      </c>
      <c r="AC2525" t="s">
        <v>79</v>
      </c>
      <c r="AD2525" t="s">
        <v>75</v>
      </c>
      <c r="AE2525" t="s">
        <v>80</v>
      </c>
      <c r="AG2525" t="s">
        <v>81</v>
      </c>
    </row>
    <row r="2526" spans="1:33" x14ac:dyDescent="0.25">
      <c r="A2526" t="str">
        <f>"1386717890"</f>
        <v>1386717890</v>
      </c>
      <c r="B2526" t="str">
        <f>"00812340"</f>
        <v>00812340</v>
      </c>
      <c r="C2526" t="s">
        <v>15827</v>
      </c>
      <c r="D2526" t="s">
        <v>15828</v>
      </c>
      <c r="E2526" t="s">
        <v>15829</v>
      </c>
      <c r="G2526" t="s">
        <v>15344</v>
      </c>
      <c r="H2526" t="s">
        <v>15345</v>
      </c>
      <c r="J2526" t="s">
        <v>15830</v>
      </c>
      <c r="L2526" t="s">
        <v>105</v>
      </c>
      <c r="M2526" t="s">
        <v>85</v>
      </c>
      <c r="R2526" t="s">
        <v>15831</v>
      </c>
      <c r="W2526" t="s">
        <v>15829</v>
      </c>
      <c r="X2526" t="s">
        <v>1671</v>
      </c>
      <c r="Y2526" t="s">
        <v>97</v>
      </c>
      <c r="Z2526" t="s">
        <v>77</v>
      </c>
      <c r="AA2526" t="str">
        <f>"10031-4611"</f>
        <v>10031-4611</v>
      </c>
      <c r="AB2526" t="s">
        <v>78</v>
      </c>
      <c r="AC2526" t="s">
        <v>79</v>
      </c>
      <c r="AD2526" t="s">
        <v>75</v>
      </c>
      <c r="AE2526" t="s">
        <v>80</v>
      </c>
      <c r="AG2526" t="s">
        <v>81</v>
      </c>
    </row>
    <row r="2527" spans="1:33" x14ac:dyDescent="0.25">
      <c r="A2527" t="str">
        <f>"1265508725"</f>
        <v>1265508725</v>
      </c>
      <c r="B2527" t="str">
        <f>"00940689"</f>
        <v>00940689</v>
      </c>
      <c r="C2527" t="s">
        <v>15832</v>
      </c>
      <c r="D2527" t="s">
        <v>15833</v>
      </c>
      <c r="E2527" t="s">
        <v>15834</v>
      </c>
      <c r="G2527" t="s">
        <v>15344</v>
      </c>
      <c r="H2527" t="s">
        <v>15345</v>
      </c>
      <c r="J2527" t="s">
        <v>15835</v>
      </c>
      <c r="L2527" t="s">
        <v>105</v>
      </c>
      <c r="M2527" t="s">
        <v>85</v>
      </c>
      <c r="R2527" t="s">
        <v>15836</v>
      </c>
      <c r="W2527" t="s">
        <v>15837</v>
      </c>
      <c r="X2527" t="s">
        <v>1671</v>
      </c>
      <c r="Y2527" t="s">
        <v>97</v>
      </c>
      <c r="Z2527" t="s">
        <v>77</v>
      </c>
      <c r="AA2527" t="str">
        <f>"10031-4611"</f>
        <v>10031-4611</v>
      </c>
      <c r="AB2527" t="s">
        <v>78</v>
      </c>
      <c r="AC2527" t="s">
        <v>79</v>
      </c>
      <c r="AD2527" t="s">
        <v>75</v>
      </c>
      <c r="AE2527" t="s">
        <v>80</v>
      </c>
      <c r="AG2527" t="s">
        <v>81</v>
      </c>
    </row>
    <row r="2528" spans="1:33" x14ac:dyDescent="0.25">
      <c r="C2528" t="s">
        <v>15838</v>
      </c>
      <c r="K2528" t="s">
        <v>99</v>
      </c>
      <c r="L2528" t="s">
        <v>100</v>
      </c>
      <c r="M2528" t="s">
        <v>75</v>
      </c>
      <c r="N2528" t="s">
        <v>15839</v>
      </c>
      <c r="O2528" t="s">
        <v>296</v>
      </c>
      <c r="P2528" t="s">
        <v>77</v>
      </c>
      <c r="Q2528" t="str">
        <f>"10458"</f>
        <v>10458</v>
      </c>
      <c r="AC2528" t="s">
        <v>79</v>
      </c>
      <c r="AD2528" t="s">
        <v>75</v>
      </c>
      <c r="AE2528" t="s">
        <v>101</v>
      </c>
      <c r="AG2528" t="s">
        <v>81</v>
      </c>
    </row>
    <row r="2529" spans="1:33" x14ac:dyDescent="0.25">
      <c r="A2529" t="str">
        <f>"1346400421"</f>
        <v>1346400421</v>
      </c>
      <c r="B2529" t="str">
        <f>"03448708"</f>
        <v>03448708</v>
      </c>
      <c r="C2529" t="s">
        <v>13436</v>
      </c>
      <c r="D2529" t="s">
        <v>15840</v>
      </c>
      <c r="E2529" t="s">
        <v>15841</v>
      </c>
      <c r="G2529" t="s">
        <v>15842</v>
      </c>
      <c r="L2529" t="s">
        <v>83</v>
      </c>
      <c r="M2529" t="s">
        <v>85</v>
      </c>
      <c r="R2529" t="s">
        <v>15843</v>
      </c>
      <c r="W2529" t="s">
        <v>15841</v>
      </c>
      <c r="X2529" t="s">
        <v>15844</v>
      </c>
      <c r="Y2529" t="s">
        <v>236</v>
      </c>
      <c r="Z2529" t="s">
        <v>77</v>
      </c>
      <c r="AA2529" t="str">
        <f>"11103-4870"</f>
        <v>11103-4870</v>
      </c>
      <c r="AB2529" t="s">
        <v>78</v>
      </c>
      <c r="AC2529" t="s">
        <v>79</v>
      </c>
      <c r="AD2529" t="s">
        <v>75</v>
      </c>
      <c r="AE2529" t="s">
        <v>80</v>
      </c>
      <c r="AG2529" t="s">
        <v>81</v>
      </c>
    </row>
    <row r="2530" spans="1:33" x14ac:dyDescent="0.25">
      <c r="A2530" t="str">
        <f>"1356375430"</f>
        <v>1356375430</v>
      </c>
      <c r="B2530" t="str">
        <f>"02778316"</f>
        <v>02778316</v>
      </c>
      <c r="C2530" t="s">
        <v>13436</v>
      </c>
      <c r="D2530" t="s">
        <v>15845</v>
      </c>
      <c r="E2530" t="s">
        <v>15846</v>
      </c>
      <c r="G2530" t="s">
        <v>15847</v>
      </c>
      <c r="L2530" t="s">
        <v>84</v>
      </c>
      <c r="M2530" t="s">
        <v>85</v>
      </c>
      <c r="R2530" t="s">
        <v>15848</v>
      </c>
      <c r="W2530" t="s">
        <v>15849</v>
      </c>
      <c r="X2530" t="s">
        <v>15850</v>
      </c>
      <c r="Y2530" t="s">
        <v>97</v>
      </c>
      <c r="Z2530" t="s">
        <v>77</v>
      </c>
      <c r="AA2530" t="str">
        <f>"10075-1922"</f>
        <v>10075-1922</v>
      </c>
      <c r="AB2530" t="s">
        <v>78</v>
      </c>
      <c r="AC2530" t="s">
        <v>79</v>
      </c>
      <c r="AD2530" t="s">
        <v>75</v>
      </c>
      <c r="AE2530" t="s">
        <v>80</v>
      </c>
      <c r="AG2530" t="s">
        <v>81</v>
      </c>
    </row>
    <row r="2531" spans="1:33" x14ac:dyDescent="0.25">
      <c r="A2531" t="str">
        <f>"1356484398"</f>
        <v>1356484398</v>
      </c>
      <c r="B2531" t="str">
        <f>"02407954"</f>
        <v>02407954</v>
      </c>
      <c r="C2531" t="s">
        <v>13436</v>
      </c>
      <c r="D2531" t="s">
        <v>15851</v>
      </c>
      <c r="E2531" t="s">
        <v>15852</v>
      </c>
      <c r="G2531" t="s">
        <v>15853</v>
      </c>
      <c r="L2531" t="s">
        <v>83</v>
      </c>
      <c r="M2531" t="s">
        <v>85</v>
      </c>
      <c r="R2531" t="s">
        <v>15854</v>
      </c>
      <c r="W2531" t="s">
        <v>15852</v>
      </c>
      <c r="X2531" t="s">
        <v>2926</v>
      </c>
      <c r="Y2531" t="s">
        <v>97</v>
      </c>
      <c r="Z2531" t="s">
        <v>77</v>
      </c>
      <c r="AA2531" t="str">
        <f>"10029-6503"</f>
        <v>10029-6503</v>
      </c>
      <c r="AB2531" t="s">
        <v>78</v>
      </c>
      <c r="AC2531" t="s">
        <v>79</v>
      </c>
      <c r="AD2531" t="s">
        <v>75</v>
      </c>
      <c r="AE2531" t="s">
        <v>80</v>
      </c>
      <c r="AG2531" t="s">
        <v>81</v>
      </c>
    </row>
    <row r="2532" spans="1:33" x14ac:dyDescent="0.25">
      <c r="A2532" t="str">
        <f>"1356503346"</f>
        <v>1356503346</v>
      </c>
      <c r="B2532" t="str">
        <f>"03650846"</f>
        <v>03650846</v>
      </c>
      <c r="C2532" t="s">
        <v>13436</v>
      </c>
      <c r="D2532" t="s">
        <v>15855</v>
      </c>
      <c r="E2532" t="s">
        <v>15856</v>
      </c>
      <c r="G2532" t="s">
        <v>15857</v>
      </c>
      <c r="L2532" t="s">
        <v>74</v>
      </c>
      <c r="M2532" t="s">
        <v>85</v>
      </c>
      <c r="R2532" t="s">
        <v>15858</v>
      </c>
      <c r="W2532" t="s">
        <v>15859</v>
      </c>
      <c r="X2532" t="s">
        <v>442</v>
      </c>
      <c r="Y2532" t="s">
        <v>97</v>
      </c>
      <c r="Z2532" t="s">
        <v>77</v>
      </c>
      <c r="AA2532" t="str">
        <f>"10065-6007"</f>
        <v>10065-6007</v>
      </c>
      <c r="AB2532" t="s">
        <v>78</v>
      </c>
      <c r="AC2532" t="s">
        <v>79</v>
      </c>
      <c r="AD2532" t="s">
        <v>75</v>
      </c>
      <c r="AE2532" t="s">
        <v>80</v>
      </c>
      <c r="AG2532" t="s">
        <v>81</v>
      </c>
    </row>
    <row r="2533" spans="1:33" x14ac:dyDescent="0.25">
      <c r="A2533" t="str">
        <f>"1366609737"</f>
        <v>1366609737</v>
      </c>
      <c r="B2533" t="str">
        <f>"03192523"</f>
        <v>03192523</v>
      </c>
      <c r="C2533" t="s">
        <v>13436</v>
      </c>
      <c r="D2533" t="s">
        <v>15860</v>
      </c>
      <c r="E2533" t="s">
        <v>15861</v>
      </c>
      <c r="G2533" t="s">
        <v>15862</v>
      </c>
      <c r="L2533" t="s">
        <v>74</v>
      </c>
      <c r="M2533" t="s">
        <v>85</v>
      </c>
      <c r="R2533" t="s">
        <v>15863</v>
      </c>
      <c r="W2533" t="s">
        <v>15861</v>
      </c>
      <c r="X2533" t="s">
        <v>191</v>
      </c>
      <c r="Y2533" t="s">
        <v>97</v>
      </c>
      <c r="Z2533" t="s">
        <v>77</v>
      </c>
      <c r="AA2533" t="str">
        <f>"10019-1147"</f>
        <v>10019-1147</v>
      </c>
      <c r="AB2533" t="s">
        <v>78</v>
      </c>
      <c r="AC2533" t="s">
        <v>79</v>
      </c>
      <c r="AD2533" t="s">
        <v>75</v>
      </c>
      <c r="AE2533" t="s">
        <v>80</v>
      </c>
      <c r="AG2533" t="s">
        <v>81</v>
      </c>
    </row>
    <row r="2534" spans="1:33" x14ac:dyDescent="0.25">
      <c r="A2534" t="str">
        <f>"1366683237"</f>
        <v>1366683237</v>
      </c>
      <c r="B2534" t="str">
        <f>"03631358"</f>
        <v>03631358</v>
      </c>
      <c r="C2534" t="s">
        <v>13436</v>
      </c>
      <c r="D2534" t="s">
        <v>15864</v>
      </c>
      <c r="E2534" t="s">
        <v>15865</v>
      </c>
      <c r="G2534" t="s">
        <v>15866</v>
      </c>
      <c r="L2534" t="s">
        <v>74</v>
      </c>
      <c r="M2534" t="s">
        <v>85</v>
      </c>
      <c r="R2534" t="s">
        <v>15867</v>
      </c>
      <c r="W2534" t="s">
        <v>15865</v>
      </c>
      <c r="X2534" t="s">
        <v>12415</v>
      </c>
      <c r="Y2534" t="s">
        <v>97</v>
      </c>
      <c r="Z2534" t="s">
        <v>77</v>
      </c>
      <c r="AA2534" t="str">
        <f>"10003-0000"</f>
        <v>10003-0000</v>
      </c>
      <c r="AB2534" t="s">
        <v>78</v>
      </c>
      <c r="AC2534" t="s">
        <v>79</v>
      </c>
      <c r="AD2534" t="s">
        <v>75</v>
      </c>
      <c r="AE2534" t="s">
        <v>80</v>
      </c>
      <c r="AG2534" t="s">
        <v>81</v>
      </c>
    </row>
    <row r="2535" spans="1:33" x14ac:dyDescent="0.25">
      <c r="A2535" t="str">
        <f>"1376568436"</f>
        <v>1376568436</v>
      </c>
      <c r="B2535" t="str">
        <f>"02142354"</f>
        <v>02142354</v>
      </c>
      <c r="C2535" t="s">
        <v>13436</v>
      </c>
      <c r="D2535" t="s">
        <v>15868</v>
      </c>
      <c r="E2535" t="s">
        <v>15869</v>
      </c>
      <c r="G2535" t="s">
        <v>15870</v>
      </c>
      <c r="L2535" t="s">
        <v>74</v>
      </c>
      <c r="M2535" t="s">
        <v>85</v>
      </c>
      <c r="R2535" t="s">
        <v>15871</v>
      </c>
      <c r="W2535" t="s">
        <v>15869</v>
      </c>
      <c r="X2535" t="s">
        <v>15872</v>
      </c>
      <c r="Y2535" t="s">
        <v>97</v>
      </c>
      <c r="Z2535" t="s">
        <v>77</v>
      </c>
      <c r="AA2535" t="str">
        <f>"10029-2314"</f>
        <v>10029-2314</v>
      </c>
      <c r="AB2535" t="s">
        <v>78</v>
      </c>
      <c r="AC2535" t="s">
        <v>79</v>
      </c>
      <c r="AD2535" t="s">
        <v>75</v>
      </c>
      <c r="AE2535" t="s">
        <v>80</v>
      </c>
      <c r="AG2535" t="s">
        <v>81</v>
      </c>
    </row>
    <row r="2536" spans="1:33" x14ac:dyDescent="0.25">
      <c r="A2536" t="str">
        <f>"1376694471"</f>
        <v>1376694471</v>
      </c>
      <c r="B2536" t="str">
        <f>"03481289"</f>
        <v>03481289</v>
      </c>
      <c r="C2536" t="s">
        <v>13436</v>
      </c>
      <c r="D2536" t="s">
        <v>15873</v>
      </c>
      <c r="E2536" t="s">
        <v>15874</v>
      </c>
      <c r="G2536" t="s">
        <v>15875</v>
      </c>
      <c r="L2536" t="s">
        <v>105</v>
      </c>
      <c r="M2536" t="s">
        <v>85</v>
      </c>
      <c r="R2536" t="s">
        <v>15876</v>
      </c>
      <c r="W2536" t="s">
        <v>15877</v>
      </c>
      <c r="X2536" t="s">
        <v>5911</v>
      </c>
      <c r="Y2536" t="s">
        <v>97</v>
      </c>
      <c r="Z2536" t="s">
        <v>77</v>
      </c>
      <c r="AA2536" t="str">
        <f>"10025-1737"</f>
        <v>10025-1737</v>
      </c>
      <c r="AB2536" t="s">
        <v>78</v>
      </c>
      <c r="AC2536" t="s">
        <v>79</v>
      </c>
      <c r="AD2536" t="s">
        <v>75</v>
      </c>
      <c r="AE2536" t="s">
        <v>80</v>
      </c>
      <c r="AG2536" t="s">
        <v>81</v>
      </c>
    </row>
    <row r="2537" spans="1:33" x14ac:dyDescent="0.25">
      <c r="A2537" t="str">
        <f>"1386606796"</f>
        <v>1386606796</v>
      </c>
      <c r="B2537" t="str">
        <f>"02782314"</f>
        <v>02782314</v>
      </c>
      <c r="C2537" t="s">
        <v>13436</v>
      </c>
      <c r="D2537" t="s">
        <v>15878</v>
      </c>
      <c r="E2537" t="s">
        <v>15879</v>
      </c>
      <c r="G2537" t="s">
        <v>15880</v>
      </c>
      <c r="L2537" t="s">
        <v>74</v>
      </c>
      <c r="M2537" t="s">
        <v>85</v>
      </c>
      <c r="R2537" t="s">
        <v>15881</v>
      </c>
      <c r="W2537" t="s">
        <v>15879</v>
      </c>
      <c r="X2537" t="s">
        <v>181</v>
      </c>
      <c r="Y2537" t="s">
        <v>97</v>
      </c>
      <c r="Z2537" t="s">
        <v>77</v>
      </c>
      <c r="AA2537" t="str">
        <f>"10025-1716"</f>
        <v>10025-1716</v>
      </c>
      <c r="AB2537" t="s">
        <v>78</v>
      </c>
      <c r="AC2537" t="s">
        <v>79</v>
      </c>
      <c r="AD2537" t="s">
        <v>75</v>
      </c>
      <c r="AE2537" t="s">
        <v>80</v>
      </c>
      <c r="AG2537" t="s">
        <v>81</v>
      </c>
    </row>
    <row r="2538" spans="1:33" x14ac:dyDescent="0.25">
      <c r="A2538" t="str">
        <f>"1386622058"</f>
        <v>1386622058</v>
      </c>
      <c r="B2538" t="str">
        <f>"02336776"</f>
        <v>02336776</v>
      </c>
      <c r="C2538" t="s">
        <v>13436</v>
      </c>
      <c r="D2538" t="s">
        <v>15882</v>
      </c>
      <c r="E2538" t="s">
        <v>15883</v>
      </c>
      <c r="G2538" t="s">
        <v>15884</v>
      </c>
      <c r="L2538" t="s">
        <v>83</v>
      </c>
      <c r="M2538" t="s">
        <v>85</v>
      </c>
      <c r="R2538" t="s">
        <v>15885</v>
      </c>
      <c r="W2538" t="s">
        <v>15886</v>
      </c>
      <c r="X2538" t="s">
        <v>15887</v>
      </c>
      <c r="Y2538" t="s">
        <v>15888</v>
      </c>
      <c r="Z2538" t="s">
        <v>77</v>
      </c>
      <c r="AA2538" t="str">
        <f>"10003-0000"</f>
        <v>10003-0000</v>
      </c>
      <c r="AB2538" t="s">
        <v>78</v>
      </c>
      <c r="AC2538" t="s">
        <v>79</v>
      </c>
      <c r="AD2538" t="s">
        <v>75</v>
      </c>
      <c r="AE2538" t="s">
        <v>80</v>
      </c>
      <c r="AG2538" t="s">
        <v>81</v>
      </c>
    </row>
    <row r="2539" spans="1:33" x14ac:dyDescent="0.25">
      <c r="A2539" t="str">
        <f>"1386810117"</f>
        <v>1386810117</v>
      </c>
      <c r="B2539" t="str">
        <f>"02987635"</f>
        <v>02987635</v>
      </c>
      <c r="C2539" t="s">
        <v>13436</v>
      </c>
      <c r="D2539" t="s">
        <v>15889</v>
      </c>
      <c r="E2539" t="s">
        <v>15890</v>
      </c>
      <c r="G2539" t="s">
        <v>15891</v>
      </c>
      <c r="L2539" t="s">
        <v>83</v>
      </c>
      <c r="M2539" t="s">
        <v>85</v>
      </c>
      <c r="R2539" t="s">
        <v>15892</v>
      </c>
      <c r="W2539" t="s">
        <v>15890</v>
      </c>
      <c r="X2539" t="s">
        <v>334</v>
      </c>
      <c r="Y2539" t="s">
        <v>171</v>
      </c>
      <c r="Z2539" t="s">
        <v>77</v>
      </c>
      <c r="AA2539" t="str">
        <f>"11418"</f>
        <v>11418</v>
      </c>
      <c r="AB2539" t="s">
        <v>78</v>
      </c>
      <c r="AC2539" t="s">
        <v>79</v>
      </c>
      <c r="AD2539" t="s">
        <v>75</v>
      </c>
      <c r="AE2539" t="s">
        <v>80</v>
      </c>
      <c r="AG2539" t="s">
        <v>81</v>
      </c>
    </row>
    <row r="2540" spans="1:33" x14ac:dyDescent="0.25">
      <c r="A2540" t="str">
        <f>"1467601617"</f>
        <v>1467601617</v>
      </c>
      <c r="B2540" t="str">
        <f>"04336687"</f>
        <v>04336687</v>
      </c>
      <c r="C2540" t="s">
        <v>13436</v>
      </c>
      <c r="D2540" t="s">
        <v>15893</v>
      </c>
      <c r="E2540" t="s">
        <v>15894</v>
      </c>
      <c r="G2540" t="s">
        <v>15895</v>
      </c>
      <c r="L2540" t="s">
        <v>105</v>
      </c>
      <c r="M2540" t="s">
        <v>85</v>
      </c>
      <c r="R2540" t="s">
        <v>15896</v>
      </c>
      <c r="W2540" t="s">
        <v>15894</v>
      </c>
      <c r="X2540" t="s">
        <v>6696</v>
      </c>
      <c r="Y2540" t="s">
        <v>97</v>
      </c>
      <c r="Z2540" t="s">
        <v>77</v>
      </c>
      <c r="AA2540" t="str">
        <f>"10003-0000"</f>
        <v>10003-0000</v>
      </c>
      <c r="AB2540" t="s">
        <v>78</v>
      </c>
      <c r="AC2540" t="s">
        <v>79</v>
      </c>
      <c r="AD2540" t="s">
        <v>75</v>
      </c>
      <c r="AE2540" t="s">
        <v>80</v>
      </c>
      <c r="AG2540" t="s">
        <v>81</v>
      </c>
    </row>
    <row r="2541" spans="1:33" x14ac:dyDescent="0.25">
      <c r="A2541" t="str">
        <f>"1467607655"</f>
        <v>1467607655</v>
      </c>
      <c r="B2541" t="str">
        <f>"03352774"</f>
        <v>03352774</v>
      </c>
      <c r="C2541" t="s">
        <v>13436</v>
      </c>
      <c r="D2541" t="s">
        <v>15897</v>
      </c>
      <c r="E2541" t="s">
        <v>15898</v>
      </c>
      <c r="G2541" t="s">
        <v>15899</v>
      </c>
      <c r="L2541" t="s">
        <v>83</v>
      </c>
      <c r="M2541" t="s">
        <v>85</v>
      </c>
      <c r="R2541" t="s">
        <v>15898</v>
      </c>
      <c r="W2541" t="s">
        <v>15898</v>
      </c>
      <c r="X2541" t="s">
        <v>181</v>
      </c>
      <c r="Y2541" t="s">
        <v>97</v>
      </c>
      <c r="Z2541" t="s">
        <v>77</v>
      </c>
      <c r="AA2541" t="str">
        <f>"10025-1716"</f>
        <v>10025-1716</v>
      </c>
      <c r="AB2541" t="s">
        <v>78</v>
      </c>
      <c r="AC2541" t="s">
        <v>79</v>
      </c>
      <c r="AD2541" t="s">
        <v>75</v>
      </c>
      <c r="AE2541" t="s">
        <v>80</v>
      </c>
      <c r="AG2541" t="s">
        <v>81</v>
      </c>
    </row>
    <row r="2542" spans="1:33" x14ac:dyDescent="0.25">
      <c r="A2542" t="str">
        <f>"1255428082"</f>
        <v>1255428082</v>
      </c>
      <c r="B2542" t="str">
        <f>"01887787"</f>
        <v>01887787</v>
      </c>
      <c r="C2542" t="s">
        <v>13436</v>
      </c>
      <c r="D2542" t="s">
        <v>15900</v>
      </c>
      <c r="E2542" t="s">
        <v>15901</v>
      </c>
      <c r="G2542" t="s">
        <v>15902</v>
      </c>
      <c r="L2542" t="s">
        <v>83</v>
      </c>
      <c r="M2542" t="s">
        <v>85</v>
      </c>
      <c r="R2542" t="s">
        <v>15903</v>
      </c>
      <c r="W2542" t="s">
        <v>15901</v>
      </c>
      <c r="X2542" t="s">
        <v>4640</v>
      </c>
      <c r="Y2542" t="s">
        <v>97</v>
      </c>
      <c r="Z2542" t="s">
        <v>77</v>
      </c>
      <c r="AA2542" t="str">
        <f>"10019-1104"</f>
        <v>10019-1104</v>
      </c>
      <c r="AB2542" t="s">
        <v>78</v>
      </c>
      <c r="AC2542" t="s">
        <v>79</v>
      </c>
      <c r="AD2542" t="s">
        <v>75</v>
      </c>
      <c r="AE2542" t="s">
        <v>80</v>
      </c>
      <c r="AG2542" t="s">
        <v>81</v>
      </c>
    </row>
    <row r="2543" spans="1:33" x14ac:dyDescent="0.25">
      <c r="A2543" t="str">
        <f>"1255448106"</f>
        <v>1255448106</v>
      </c>
      <c r="B2543" t="str">
        <f>"02740187"</f>
        <v>02740187</v>
      </c>
      <c r="C2543" t="s">
        <v>13436</v>
      </c>
      <c r="D2543" t="s">
        <v>15904</v>
      </c>
      <c r="E2543" t="s">
        <v>15905</v>
      </c>
      <c r="G2543" t="s">
        <v>15906</v>
      </c>
      <c r="L2543" t="s">
        <v>74</v>
      </c>
      <c r="M2543" t="s">
        <v>85</v>
      </c>
      <c r="R2543" t="s">
        <v>15907</v>
      </c>
      <c r="W2543" t="s">
        <v>15905</v>
      </c>
      <c r="X2543" t="s">
        <v>15908</v>
      </c>
      <c r="Y2543" t="s">
        <v>97</v>
      </c>
      <c r="Z2543" t="s">
        <v>77</v>
      </c>
      <c r="AA2543" t="str">
        <f>"10021-9800"</f>
        <v>10021-9800</v>
      </c>
      <c r="AB2543" t="s">
        <v>78</v>
      </c>
      <c r="AC2543" t="s">
        <v>79</v>
      </c>
      <c r="AD2543" t="s">
        <v>75</v>
      </c>
      <c r="AE2543" t="s">
        <v>80</v>
      </c>
      <c r="AG2543" t="s">
        <v>81</v>
      </c>
    </row>
    <row r="2544" spans="1:33" x14ac:dyDescent="0.25">
      <c r="A2544" t="str">
        <f>"1891938825"</f>
        <v>1891938825</v>
      </c>
      <c r="B2544" t="str">
        <f>"03095503"</f>
        <v>03095503</v>
      </c>
      <c r="C2544" t="s">
        <v>15909</v>
      </c>
      <c r="D2544" t="s">
        <v>15910</v>
      </c>
      <c r="E2544" t="s">
        <v>15911</v>
      </c>
      <c r="G2544" t="s">
        <v>15912</v>
      </c>
      <c r="H2544" t="s">
        <v>15913</v>
      </c>
      <c r="J2544" t="s">
        <v>15914</v>
      </c>
      <c r="L2544" t="s">
        <v>84</v>
      </c>
      <c r="M2544" t="s">
        <v>85</v>
      </c>
      <c r="R2544" t="s">
        <v>15915</v>
      </c>
      <c r="W2544" t="s">
        <v>15916</v>
      </c>
      <c r="X2544" t="s">
        <v>12740</v>
      </c>
      <c r="Y2544" t="s">
        <v>139</v>
      </c>
      <c r="Z2544" t="s">
        <v>77</v>
      </c>
      <c r="AA2544" t="str">
        <f>"11355-3768"</f>
        <v>11355-3768</v>
      </c>
      <c r="AB2544" t="s">
        <v>78</v>
      </c>
      <c r="AC2544" t="s">
        <v>79</v>
      </c>
      <c r="AD2544" t="s">
        <v>75</v>
      </c>
      <c r="AE2544" t="s">
        <v>80</v>
      </c>
      <c r="AG2544" t="s">
        <v>81</v>
      </c>
    </row>
    <row r="2545" spans="1:33" x14ac:dyDescent="0.25">
      <c r="A2545" t="str">
        <f>"1952371270"</f>
        <v>1952371270</v>
      </c>
      <c r="B2545" t="str">
        <f>"03253303"</f>
        <v>03253303</v>
      </c>
      <c r="C2545" t="s">
        <v>15917</v>
      </c>
      <c r="D2545" t="s">
        <v>15918</v>
      </c>
      <c r="E2545" t="s">
        <v>15919</v>
      </c>
      <c r="H2545" t="s">
        <v>15920</v>
      </c>
      <c r="L2545" t="s">
        <v>102</v>
      </c>
      <c r="M2545" t="s">
        <v>75</v>
      </c>
      <c r="R2545" t="s">
        <v>15919</v>
      </c>
      <c r="W2545" t="s">
        <v>15919</v>
      </c>
      <c r="X2545" t="s">
        <v>1484</v>
      </c>
      <c r="Y2545" t="s">
        <v>87</v>
      </c>
      <c r="Z2545" t="s">
        <v>77</v>
      </c>
      <c r="AA2545" t="str">
        <f>"11201-5465"</f>
        <v>11201-5465</v>
      </c>
      <c r="AB2545" t="s">
        <v>641</v>
      </c>
      <c r="AC2545" t="s">
        <v>79</v>
      </c>
      <c r="AD2545" t="s">
        <v>75</v>
      </c>
      <c r="AE2545" t="s">
        <v>80</v>
      </c>
      <c r="AG2545" t="s">
        <v>81</v>
      </c>
    </row>
    <row r="2546" spans="1:33" x14ac:dyDescent="0.25">
      <c r="A2546" t="str">
        <f>"1588974448"</f>
        <v>1588974448</v>
      </c>
      <c r="B2546" t="str">
        <f>"03882726"</f>
        <v>03882726</v>
      </c>
      <c r="C2546" t="s">
        <v>13436</v>
      </c>
      <c r="D2546" t="s">
        <v>15921</v>
      </c>
      <c r="E2546" t="s">
        <v>15922</v>
      </c>
      <c r="G2546" t="s">
        <v>15923</v>
      </c>
      <c r="L2546" t="s">
        <v>102</v>
      </c>
      <c r="M2546" t="s">
        <v>75</v>
      </c>
      <c r="R2546" t="s">
        <v>15924</v>
      </c>
      <c r="W2546" t="s">
        <v>15925</v>
      </c>
      <c r="X2546" t="s">
        <v>15926</v>
      </c>
      <c r="Y2546" t="s">
        <v>87</v>
      </c>
      <c r="Z2546" t="s">
        <v>77</v>
      </c>
      <c r="AA2546" t="str">
        <f>"11201-5801"</f>
        <v>11201-5801</v>
      </c>
      <c r="AB2546" t="s">
        <v>78</v>
      </c>
      <c r="AC2546" t="s">
        <v>79</v>
      </c>
      <c r="AD2546" t="s">
        <v>75</v>
      </c>
      <c r="AE2546" t="s">
        <v>80</v>
      </c>
      <c r="AG2546" t="s">
        <v>81</v>
      </c>
    </row>
    <row r="2547" spans="1:33" x14ac:dyDescent="0.25">
      <c r="A2547" t="str">
        <f>"1598007072"</f>
        <v>1598007072</v>
      </c>
      <c r="C2547" t="s">
        <v>13436</v>
      </c>
      <c r="G2547" t="s">
        <v>15927</v>
      </c>
      <c r="K2547" t="s">
        <v>99</v>
      </c>
      <c r="L2547" t="s">
        <v>102</v>
      </c>
      <c r="M2547" t="s">
        <v>75</v>
      </c>
      <c r="R2547" t="s">
        <v>15928</v>
      </c>
      <c r="S2547" t="s">
        <v>11602</v>
      </c>
      <c r="T2547" t="s">
        <v>97</v>
      </c>
      <c r="U2547" t="s">
        <v>77</v>
      </c>
      <c r="V2547" t="str">
        <f>"100295204"</f>
        <v>100295204</v>
      </c>
      <c r="AC2547" t="s">
        <v>79</v>
      </c>
      <c r="AD2547" t="s">
        <v>75</v>
      </c>
      <c r="AE2547" t="s">
        <v>103</v>
      </c>
      <c r="AG2547" t="s">
        <v>81</v>
      </c>
    </row>
    <row r="2548" spans="1:33" x14ac:dyDescent="0.25">
      <c r="A2548" t="str">
        <f>"1598030793"</f>
        <v>1598030793</v>
      </c>
      <c r="C2548" t="s">
        <v>13436</v>
      </c>
      <c r="G2548" t="s">
        <v>15929</v>
      </c>
      <c r="K2548" t="s">
        <v>99</v>
      </c>
      <c r="L2548" t="s">
        <v>102</v>
      </c>
      <c r="M2548" t="s">
        <v>75</v>
      </c>
      <c r="R2548" t="s">
        <v>15930</v>
      </c>
      <c r="S2548" t="s">
        <v>15931</v>
      </c>
      <c r="T2548" t="s">
        <v>15932</v>
      </c>
      <c r="U2548" t="s">
        <v>4647</v>
      </c>
      <c r="V2548" t="str">
        <f>"300246114"</f>
        <v>300246114</v>
      </c>
      <c r="AC2548" t="s">
        <v>79</v>
      </c>
      <c r="AD2548" t="s">
        <v>75</v>
      </c>
      <c r="AE2548" t="s">
        <v>103</v>
      </c>
      <c r="AG2548" t="s">
        <v>81</v>
      </c>
    </row>
    <row r="2549" spans="1:33" x14ac:dyDescent="0.25">
      <c r="A2549" t="str">
        <f>"1841631652"</f>
        <v>1841631652</v>
      </c>
      <c r="B2549" t="str">
        <f>"03785040"</f>
        <v>03785040</v>
      </c>
      <c r="C2549" t="s">
        <v>15933</v>
      </c>
      <c r="D2549" t="s">
        <v>15934</v>
      </c>
      <c r="E2549" t="s">
        <v>15935</v>
      </c>
      <c r="G2549" t="s">
        <v>13504</v>
      </c>
      <c r="H2549" t="s">
        <v>13505</v>
      </c>
      <c r="J2549" t="s">
        <v>13506</v>
      </c>
      <c r="L2549" t="s">
        <v>74</v>
      </c>
      <c r="M2549" t="s">
        <v>75</v>
      </c>
      <c r="R2549" t="s">
        <v>15936</v>
      </c>
      <c r="W2549" t="s">
        <v>15935</v>
      </c>
      <c r="X2549" t="s">
        <v>202</v>
      </c>
      <c r="Y2549" t="s">
        <v>87</v>
      </c>
      <c r="Z2549" t="s">
        <v>77</v>
      </c>
      <c r="AA2549" t="str">
        <f>"11201-5425"</f>
        <v>11201-5425</v>
      </c>
      <c r="AB2549" t="s">
        <v>78</v>
      </c>
      <c r="AC2549" t="s">
        <v>79</v>
      </c>
      <c r="AD2549" t="s">
        <v>75</v>
      </c>
      <c r="AE2549" t="s">
        <v>80</v>
      </c>
      <c r="AG2549" t="s">
        <v>81</v>
      </c>
    </row>
    <row r="2550" spans="1:33" x14ac:dyDescent="0.25">
      <c r="A2550" t="str">
        <f>"1386650489"</f>
        <v>1386650489</v>
      </c>
      <c r="C2550" t="s">
        <v>13436</v>
      </c>
      <c r="G2550" t="s">
        <v>15937</v>
      </c>
      <c r="K2550" t="s">
        <v>99</v>
      </c>
      <c r="L2550" t="s">
        <v>102</v>
      </c>
      <c r="M2550" t="s">
        <v>85</v>
      </c>
      <c r="R2550" t="s">
        <v>15938</v>
      </c>
      <c r="S2550" t="s">
        <v>15939</v>
      </c>
      <c r="T2550" t="s">
        <v>97</v>
      </c>
      <c r="U2550" t="s">
        <v>77</v>
      </c>
      <c r="V2550" t="str">
        <f>"10019"</f>
        <v>10019</v>
      </c>
      <c r="AC2550" t="s">
        <v>79</v>
      </c>
      <c r="AD2550" t="s">
        <v>75</v>
      </c>
      <c r="AE2550" t="s">
        <v>103</v>
      </c>
      <c r="AG2550" t="s">
        <v>81</v>
      </c>
    </row>
    <row r="2551" spans="1:33" x14ac:dyDescent="0.25">
      <c r="A2551" t="str">
        <f>"1386660926"</f>
        <v>1386660926</v>
      </c>
      <c r="B2551" t="str">
        <f>"01647465"</f>
        <v>01647465</v>
      </c>
      <c r="C2551" t="s">
        <v>13436</v>
      </c>
      <c r="D2551" t="s">
        <v>15940</v>
      </c>
      <c r="E2551" t="s">
        <v>15941</v>
      </c>
      <c r="G2551" t="s">
        <v>15942</v>
      </c>
      <c r="L2551" t="s">
        <v>74</v>
      </c>
      <c r="M2551" t="s">
        <v>85</v>
      </c>
      <c r="R2551" t="s">
        <v>15943</v>
      </c>
      <c r="W2551" t="s">
        <v>15941</v>
      </c>
      <c r="X2551" t="s">
        <v>696</v>
      </c>
      <c r="Y2551" t="s">
        <v>97</v>
      </c>
      <c r="Z2551" t="s">
        <v>77</v>
      </c>
      <c r="AA2551" t="str">
        <f>"10029-6500"</f>
        <v>10029-6500</v>
      </c>
      <c r="AB2551" t="s">
        <v>78</v>
      </c>
      <c r="AC2551" t="s">
        <v>79</v>
      </c>
      <c r="AD2551" t="s">
        <v>75</v>
      </c>
      <c r="AE2551" t="s">
        <v>80</v>
      </c>
      <c r="AG2551" t="s">
        <v>81</v>
      </c>
    </row>
    <row r="2552" spans="1:33" x14ac:dyDescent="0.25">
      <c r="A2552" t="str">
        <f>"1386704088"</f>
        <v>1386704088</v>
      </c>
      <c r="B2552" t="str">
        <f>"02079909"</f>
        <v>02079909</v>
      </c>
      <c r="C2552" t="s">
        <v>13436</v>
      </c>
      <c r="D2552" t="s">
        <v>15944</v>
      </c>
      <c r="E2552" t="s">
        <v>15945</v>
      </c>
      <c r="G2552" t="s">
        <v>15946</v>
      </c>
      <c r="L2552" t="s">
        <v>84</v>
      </c>
      <c r="M2552" t="s">
        <v>85</v>
      </c>
      <c r="R2552" t="s">
        <v>15947</v>
      </c>
      <c r="W2552" t="s">
        <v>15945</v>
      </c>
      <c r="X2552" t="s">
        <v>11176</v>
      </c>
      <c r="Y2552" t="s">
        <v>97</v>
      </c>
      <c r="Z2552" t="s">
        <v>77</v>
      </c>
      <c r="AA2552" t="str">
        <f>"10029-6542"</f>
        <v>10029-6542</v>
      </c>
      <c r="AB2552" t="s">
        <v>78</v>
      </c>
      <c r="AC2552" t="s">
        <v>79</v>
      </c>
      <c r="AD2552" t="s">
        <v>75</v>
      </c>
      <c r="AE2552" t="s">
        <v>80</v>
      </c>
      <c r="AG2552" t="s">
        <v>81</v>
      </c>
    </row>
    <row r="2553" spans="1:33" x14ac:dyDescent="0.25">
      <c r="A2553" t="str">
        <f>"1386759116"</f>
        <v>1386759116</v>
      </c>
      <c r="B2553" t="str">
        <f>"02804786"</f>
        <v>02804786</v>
      </c>
      <c r="C2553" t="s">
        <v>13436</v>
      </c>
      <c r="D2553" t="s">
        <v>15948</v>
      </c>
      <c r="E2553" t="s">
        <v>15949</v>
      </c>
      <c r="G2553" t="s">
        <v>15950</v>
      </c>
      <c r="L2553" t="s">
        <v>83</v>
      </c>
      <c r="M2553" t="s">
        <v>85</v>
      </c>
      <c r="R2553" t="s">
        <v>15951</v>
      </c>
      <c r="W2553" t="s">
        <v>15949</v>
      </c>
      <c r="X2553" t="s">
        <v>9550</v>
      </c>
      <c r="Y2553" t="s">
        <v>87</v>
      </c>
      <c r="Z2553" t="s">
        <v>77</v>
      </c>
      <c r="AA2553" t="str">
        <f>"11222-2539"</f>
        <v>11222-2539</v>
      </c>
      <c r="AB2553" t="s">
        <v>78</v>
      </c>
      <c r="AC2553" t="s">
        <v>79</v>
      </c>
      <c r="AD2553" t="s">
        <v>75</v>
      </c>
      <c r="AE2553" t="s">
        <v>80</v>
      </c>
      <c r="AG2553" t="s">
        <v>81</v>
      </c>
    </row>
    <row r="2554" spans="1:33" x14ac:dyDescent="0.25">
      <c r="A2554" t="str">
        <f>"1386843381"</f>
        <v>1386843381</v>
      </c>
      <c r="B2554" t="str">
        <f>"02885138"</f>
        <v>02885138</v>
      </c>
      <c r="C2554" t="s">
        <v>13436</v>
      </c>
      <c r="D2554" t="s">
        <v>4811</v>
      </c>
      <c r="E2554" t="s">
        <v>4812</v>
      </c>
      <c r="G2554" t="s">
        <v>15952</v>
      </c>
      <c r="L2554" t="s">
        <v>74</v>
      </c>
      <c r="M2554" t="s">
        <v>85</v>
      </c>
      <c r="R2554" t="s">
        <v>4813</v>
      </c>
      <c r="W2554" t="s">
        <v>4812</v>
      </c>
      <c r="X2554" t="s">
        <v>2587</v>
      </c>
      <c r="Y2554" t="s">
        <v>97</v>
      </c>
      <c r="Z2554" t="s">
        <v>77</v>
      </c>
      <c r="AA2554" t="str">
        <f>"10003-3314"</f>
        <v>10003-3314</v>
      </c>
      <c r="AB2554" t="s">
        <v>78</v>
      </c>
      <c r="AC2554" t="s">
        <v>79</v>
      </c>
      <c r="AD2554" t="s">
        <v>75</v>
      </c>
      <c r="AE2554" t="s">
        <v>80</v>
      </c>
      <c r="AG2554" t="s">
        <v>81</v>
      </c>
    </row>
    <row r="2555" spans="1:33" x14ac:dyDescent="0.25">
      <c r="A2555" t="str">
        <f>"1386849081"</f>
        <v>1386849081</v>
      </c>
      <c r="B2555" t="str">
        <f>"03111942"</f>
        <v>03111942</v>
      </c>
      <c r="C2555" t="s">
        <v>13436</v>
      </c>
      <c r="D2555" t="s">
        <v>15953</v>
      </c>
      <c r="E2555" t="s">
        <v>15954</v>
      </c>
      <c r="G2555" t="s">
        <v>15955</v>
      </c>
      <c r="L2555" t="s">
        <v>84</v>
      </c>
      <c r="M2555" t="s">
        <v>85</v>
      </c>
      <c r="R2555" t="s">
        <v>15956</v>
      </c>
      <c r="W2555" t="s">
        <v>15954</v>
      </c>
      <c r="X2555" t="s">
        <v>181</v>
      </c>
      <c r="Y2555" t="s">
        <v>97</v>
      </c>
      <c r="Z2555" t="s">
        <v>77</v>
      </c>
      <c r="AA2555" t="str">
        <f>"10025-1716"</f>
        <v>10025-1716</v>
      </c>
      <c r="AB2555" t="s">
        <v>78</v>
      </c>
      <c r="AC2555" t="s">
        <v>79</v>
      </c>
      <c r="AD2555" t="s">
        <v>75</v>
      </c>
      <c r="AE2555" t="s">
        <v>80</v>
      </c>
      <c r="AG2555" t="s">
        <v>81</v>
      </c>
    </row>
    <row r="2556" spans="1:33" x14ac:dyDescent="0.25">
      <c r="A2556" t="str">
        <f>"1255600383"</f>
        <v>1255600383</v>
      </c>
      <c r="B2556" t="str">
        <f>"03417847"</f>
        <v>03417847</v>
      </c>
      <c r="C2556" t="s">
        <v>15957</v>
      </c>
      <c r="D2556" t="s">
        <v>2397</v>
      </c>
      <c r="E2556" t="s">
        <v>2398</v>
      </c>
      <c r="G2556" t="s">
        <v>15957</v>
      </c>
      <c r="H2556" t="s">
        <v>15958</v>
      </c>
      <c r="L2556" t="s">
        <v>105</v>
      </c>
      <c r="M2556" t="s">
        <v>75</v>
      </c>
      <c r="R2556" t="s">
        <v>2396</v>
      </c>
      <c r="W2556" t="s">
        <v>2399</v>
      </c>
      <c r="X2556" t="s">
        <v>2400</v>
      </c>
      <c r="Y2556" t="s">
        <v>97</v>
      </c>
      <c r="Z2556" t="s">
        <v>77</v>
      </c>
      <c r="AA2556" t="str">
        <f>"10025-3569"</f>
        <v>10025-3569</v>
      </c>
      <c r="AB2556" t="s">
        <v>125</v>
      </c>
      <c r="AC2556" t="s">
        <v>79</v>
      </c>
      <c r="AD2556" t="s">
        <v>75</v>
      </c>
      <c r="AE2556" t="s">
        <v>80</v>
      </c>
      <c r="AG2556" t="s">
        <v>81</v>
      </c>
    </row>
    <row r="2557" spans="1:33" x14ac:dyDescent="0.25">
      <c r="A2557" t="str">
        <f>"1972531366"</f>
        <v>1972531366</v>
      </c>
      <c r="B2557" t="str">
        <f>"01726585"</f>
        <v>01726585</v>
      </c>
      <c r="C2557" t="s">
        <v>13436</v>
      </c>
      <c r="D2557" t="s">
        <v>15959</v>
      </c>
      <c r="E2557" t="s">
        <v>15960</v>
      </c>
      <c r="G2557" t="s">
        <v>15961</v>
      </c>
      <c r="L2557" t="s">
        <v>83</v>
      </c>
      <c r="M2557" t="s">
        <v>85</v>
      </c>
      <c r="R2557" t="s">
        <v>15962</v>
      </c>
      <c r="W2557" t="s">
        <v>15962</v>
      </c>
      <c r="X2557" t="s">
        <v>830</v>
      </c>
      <c r="Y2557" t="s">
        <v>284</v>
      </c>
      <c r="Z2557" t="s">
        <v>77</v>
      </c>
      <c r="AA2557" t="str">
        <f>"11414-2750"</f>
        <v>11414-2750</v>
      </c>
      <c r="AB2557" t="s">
        <v>78</v>
      </c>
      <c r="AC2557" t="s">
        <v>79</v>
      </c>
      <c r="AD2557" t="s">
        <v>75</v>
      </c>
      <c r="AE2557" t="s">
        <v>80</v>
      </c>
      <c r="AG2557" t="s">
        <v>81</v>
      </c>
    </row>
    <row r="2558" spans="1:33" x14ac:dyDescent="0.25">
      <c r="A2558" t="str">
        <f>"1972765022"</f>
        <v>1972765022</v>
      </c>
      <c r="B2558" t="str">
        <f>"03333391"</f>
        <v>03333391</v>
      </c>
      <c r="C2558" t="s">
        <v>13436</v>
      </c>
      <c r="D2558" t="s">
        <v>15963</v>
      </c>
      <c r="E2558" t="s">
        <v>15964</v>
      </c>
      <c r="G2558" t="s">
        <v>15965</v>
      </c>
      <c r="L2558" t="s">
        <v>83</v>
      </c>
      <c r="M2558" t="s">
        <v>85</v>
      </c>
      <c r="R2558" t="s">
        <v>15966</v>
      </c>
      <c r="W2558" t="s">
        <v>15964</v>
      </c>
      <c r="X2558" t="s">
        <v>15967</v>
      </c>
      <c r="Y2558" t="s">
        <v>97</v>
      </c>
      <c r="Z2558" t="s">
        <v>77</v>
      </c>
      <c r="AA2558" t="str">
        <f>"10010-6326"</f>
        <v>10010-6326</v>
      </c>
      <c r="AB2558" t="s">
        <v>78</v>
      </c>
      <c r="AC2558" t="s">
        <v>79</v>
      </c>
      <c r="AD2558" t="s">
        <v>75</v>
      </c>
      <c r="AE2558" t="s">
        <v>80</v>
      </c>
      <c r="AG2558" t="s">
        <v>81</v>
      </c>
    </row>
    <row r="2559" spans="1:33" x14ac:dyDescent="0.25">
      <c r="A2559" t="str">
        <f>"1417079625"</f>
        <v>1417079625</v>
      </c>
      <c r="B2559" t="str">
        <f>"03245503"</f>
        <v>03245503</v>
      </c>
      <c r="C2559" t="s">
        <v>13436</v>
      </c>
      <c r="D2559" t="s">
        <v>15968</v>
      </c>
      <c r="E2559" t="s">
        <v>15969</v>
      </c>
      <c r="G2559" t="s">
        <v>15970</v>
      </c>
      <c r="L2559" t="s">
        <v>84</v>
      </c>
      <c r="M2559" t="s">
        <v>85</v>
      </c>
      <c r="R2559" t="s">
        <v>15971</v>
      </c>
      <c r="W2559" t="s">
        <v>15969</v>
      </c>
      <c r="X2559" t="s">
        <v>181</v>
      </c>
      <c r="Y2559" t="s">
        <v>97</v>
      </c>
      <c r="Z2559" t="s">
        <v>77</v>
      </c>
      <c r="AA2559" t="str">
        <f>"10025-1716"</f>
        <v>10025-1716</v>
      </c>
      <c r="AB2559" t="s">
        <v>78</v>
      </c>
      <c r="AC2559" t="s">
        <v>79</v>
      </c>
      <c r="AD2559" t="s">
        <v>75</v>
      </c>
      <c r="AE2559" t="s">
        <v>80</v>
      </c>
      <c r="AG2559" t="s">
        <v>81</v>
      </c>
    </row>
    <row r="2560" spans="1:33" x14ac:dyDescent="0.25">
      <c r="A2560" t="str">
        <f>"1417201476"</f>
        <v>1417201476</v>
      </c>
      <c r="B2560" t="str">
        <f>"03841178"</f>
        <v>03841178</v>
      </c>
      <c r="C2560" t="s">
        <v>13436</v>
      </c>
      <c r="D2560" t="s">
        <v>15972</v>
      </c>
      <c r="E2560" t="s">
        <v>15973</v>
      </c>
      <c r="G2560" t="s">
        <v>15974</v>
      </c>
      <c r="L2560" t="s">
        <v>74</v>
      </c>
      <c r="M2560" t="s">
        <v>85</v>
      </c>
      <c r="R2560" t="s">
        <v>15975</v>
      </c>
      <c r="W2560" t="s">
        <v>15973</v>
      </c>
      <c r="X2560" t="s">
        <v>4640</v>
      </c>
      <c r="Y2560" t="s">
        <v>97</v>
      </c>
      <c r="Z2560" t="s">
        <v>77</v>
      </c>
      <c r="AA2560" t="str">
        <f>"10019-8022"</f>
        <v>10019-8022</v>
      </c>
      <c r="AB2560" t="s">
        <v>78</v>
      </c>
      <c r="AC2560" t="s">
        <v>79</v>
      </c>
      <c r="AD2560" t="s">
        <v>75</v>
      </c>
      <c r="AE2560" t="s">
        <v>80</v>
      </c>
      <c r="AG2560" t="s">
        <v>81</v>
      </c>
    </row>
    <row r="2561" spans="1:33" x14ac:dyDescent="0.25">
      <c r="A2561" t="str">
        <f>"1417255142"</f>
        <v>1417255142</v>
      </c>
      <c r="B2561" t="str">
        <f>"03504336"</f>
        <v>03504336</v>
      </c>
      <c r="C2561" t="s">
        <v>13436</v>
      </c>
      <c r="D2561" t="s">
        <v>15976</v>
      </c>
      <c r="E2561" t="s">
        <v>15977</v>
      </c>
      <c r="G2561" t="s">
        <v>15978</v>
      </c>
      <c r="L2561" t="s">
        <v>83</v>
      </c>
      <c r="M2561" t="s">
        <v>85</v>
      </c>
      <c r="R2561" t="s">
        <v>15979</v>
      </c>
      <c r="W2561" t="s">
        <v>15980</v>
      </c>
      <c r="X2561" t="s">
        <v>323</v>
      </c>
      <c r="Y2561" t="s">
        <v>87</v>
      </c>
      <c r="Z2561" t="s">
        <v>77</v>
      </c>
      <c r="AA2561" t="str">
        <f>"11201-5509"</f>
        <v>11201-5509</v>
      </c>
      <c r="AB2561" t="s">
        <v>78</v>
      </c>
      <c r="AC2561" t="s">
        <v>79</v>
      </c>
      <c r="AD2561" t="s">
        <v>75</v>
      </c>
      <c r="AE2561" t="s">
        <v>80</v>
      </c>
      <c r="AG2561" t="s">
        <v>81</v>
      </c>
    </row>
    <row r="2562" spans="1:33" x14ac:dyDescent="0.25">
      <c r="A2562" t="str">
        <f>"1417284324"</f>
        <v>1417284324</v>
      </c>
      <c r="B2562" t="str">
        <f>"03232611"</f>
        <v>03232611</v>
      </c>
      <c r="C2562" t="s">
        <v>13436</v>
      </c>
      <c r="D2562" t="s">
        <v>15981</v>
      </c>
      <c r="E2562" t="s">
        <v>15982</v>
      </c>
      <c r="G2562" t="s">
        <v>15983</v>
      </c>
      <c r="L2562" t="s">
        <v>83</v>
      </c>
      <c r="M2562" t="s">
        <v>85</v>
      </c>
      <c r="R2562" t="s">
        <v>15982</v>
      </c>
      <c r="W2562" t="s">
        <v>15984</v>
      </c>
      <c r="X2562" t="s">
        <v>15985</v>
      </c>
      <c r="Y2562" t="s">
        <v>164</v>
      </c>
      <c r="Z2562" t="s">
        <v>77</v>
      </c>
      <c r="AA2562" t="str">
        <f>"11554-0000"</f>
        <v>11554-0000</v>
      </c>
      <c r="AB2562" t="s">
        <v>78</v>
      </c>
      <c r="AC2562" t="s">
        <v>79</v>
      </c>
      <c r="AD2562" t="s">
        <v>75</v>
      </c>
      <c r="AE2562" t="s">
        <v>80</v>
      </c>
      <c r="AG2562" t="s">
        <v>81</v>
      </c>
    </row>
    <row r="2563" spans="1:33" x14ac:dyDescent="0.25">
      <c r="A2563" t="str">
        <f>"1417288168"</f>
        <v>1417288168</v>
      </c>
      <c r="B2563" t="str">
        <f>"03417787"</f>
        <v>03417787</v>
      </c>
      <c r="C2563" t="s">
        <v>13436</v>
      </c>
      <c r="D2563" t="s">
        <v>15986</v>
      </c>
      <c r="E2563" t="s">
        <v>15987</v>
      </c>
      <c r="G2563" t="s">
        <v>15988</v>
      </c>
      <c r="L2563" t="s">
        <v>83</v>
      </c>
      <c r="M2563" t="s">
        <v>85</v>
      </c>
      <c r="R2563" t="s">
        <v>15987</v>
      </c>
      <c r="W2563" t="s">
        <v>15987</v>
      </c>
      <c r="X2563" t="s">
        <v>701</v>
      </c>
      <c r="Y2563" t="s">
        <v>97</v>
      </c>
      <c r="Z2563" t="s">
        <v>77</v>
      </c>
      <c r="AA2563" t="str">
        <f>"10013-4941"</f>
        <v>10013-4941</v>
      </c>
      <c r="AB2563" t="s">
        <v>78</v>
      </c>
      <c r="AC2563" t="s">
        <v>79</v>
      </c>
      <c r="AD2563" t="s">
        <v>75</v>
      </c>
      <c r="AE2563" t="s">
        <v>80</v>
      </c>
      <c r="AG2563" t="s">
        <v>81</v>
      </c>
    </row>
    <row r="2564" spans="1:33" x14ac:dyDescent="0.25">
      <c r="A2564" t="str">
        <f>"1427113034"</f>
        <v>1427113034</v>
      </c>
      <c r="B2564" t="str">
        <f>"03448895"</f>
        <v>03448895</v>
      </c>
      <c r="C2564" t="s">
        <v>13436</v>
      </c>
      <c r="D2564" t="s">
        <v>15989</v>
      </c>
      <c r="E2564" t="s">
        <v>15990</v>
      </c>
      <c r="G2564" t="s">
        <v>15991</v>
      </c>
      <c r="L2564" t="s">
        <v>83</v>
      </c>
      <c r="M2564" t="s">
        <v>85</v>
      </c>
      <c r="R2564" t="s">
        <v>15992</v>
      </c>
      <c r="W2564" t="s">
        <v>15990</v>
      </c>
      <c r="X2564" t="s">
        <v>181</v>
      </c>
      <c r="Y2564" t="s">
        <v>97</v>
      </c>
      <c r="Z2564" t="s">
        <v>77</v>
      </c>
      <c r="AA2564" t="str">
        <f>"10025-1716"</f>
        <v>10025-1716</v>
      </c>
      <c r="AB2564" t="s">
        <v>78</v>
      </c>
      <c r="AC2564" t="s">
        <v>79</v>
      </c>
      <c r="AD2564" t="s">
        <v>75</v>
      </c>
      <c r="AE2564" t="s">
        <v>80</v>
      </c>
      <c r="AG2564" t="s">
        <v>81</v>
      </c>
    </row>
    <row r="2565" spans="1:33" x14ac:dyDescent="0.25">
      <c r="A2565" t="str">
        <f>"1184683476"</f>
        <v>1184683476</v>
      </c>
      <c r="B2565" t="str">
        <f>"02658771"</f>
        <v>02658771</v>
      </c>
      <c r="C2565" t="s">
        <v>13436</v>
      </c>
      <c r="D2565" t="s">
        <v>15993</v>
      </c>
      <c r="E2565" t="s">
        <v>15994</v>
      </c>
      <c r="G2565" t="s">
        <v>15995</v>
      </c>
      <c r="L2565" t="s">
        <v>74</v>
      </c>
      <c r="M2565" t="s">
        <v>85</v>
      </c>
      <c r="R2565" t="s">
        <v>15996</v>
      </c>
      <c r="W2565" t="s">
        <v>15994</v>
      </c>
      <c r="X2565" t="s">
        <v>2608</v>
      </c>
      <c r="Y2565" t="s">
        <v>97</v>
      </c>
      <c r="Z2565" t="s">
        <v>77</v>
      </c>
      <c r="AA2565" t="str">
        <f>"10003-4201"</f>
        <v>10003-4201</v>
      </c>
      <c r="AB2565" t="s">
        <v>78</v>
      </c>
      <c r="AC2565" t="s">
        <v>79</v>
      </c>
      <c r="AD2565" t="s">
        <v>75</v>
      </c>
      <c r="AE2565" t="s">
        <v>80</v>
      </c>
      <c r="AG2565" t="s">
        <v>81</v>
      </c>
    </row>
    <row r="2566" spans="1:33" x14ac:dyDescent="0.25">
      <c r="A2566" t="str">
        <f>"1922067941"</f>
        <v>1922067941</v>
      </c>
      <c r="B2566" t="str">
        <f>"02104070"</f>
        <v>02104070</v>
      </c>
      <c r="C2566" t="s">
        <v>15997</v>
      </c>
      <c r="D2566" t="s">
        <v>15998</v>
      </c>
      <c r="E2566" t="s">
        <v>15999</v>
      </c>
      <c r="G2566" t="s">
        <v>13504</v>
      </c>
      <c r="H2566" t="s">
        <v>13505</v>
      </c>
      <c r="J2566" t="s">
        <v>13506</v>
      </c>
      <c r="L2566" t="s">
        <v>84</v>
      </c>
      <c r="M2566" t="s">
        <v>85</v>
      </c>
      <c r="R2566" t="s">
        <v>16000</v>
      </c>
      <c r="W2566" t="s">
        <v>15999</v>
      </c>
      <c r="X2566" t="s">
        <v>162</v>
      </c>
      <c r="Y2566" t="s">
        <v>87</v>
      </c>
      <c r="Z2566" t="s">
        <v>77</v>
      </c>
      <c r="AA2566" t="str">
        <f>"11215-3609"</f>
        <v>11215-3609</v>
      </c>
      <c r="AB2566" t="s">
        <v>78</v>
      </c>
      <c r="AC2566" t="s">
        <v>79</v>
      </c>
      <c r="AD2566" t="s">
        <v>75</v>
      </c>
      <c r="AE2566" t="s">
        <v>80</v>
      </c>
      <c r="AG2566" t="s">
        <v>81</v>
      </c>
    </row>
    <row r="2567" spans="1:33" x14ac:dyDescent="0.25">
      <c r="A2567" t="str">
        <f>"1487754693"</f>
        <v>1487754693</v>
      </c>
      <c r="B2567" t="str">
        <f>"00767753"</f>
        <v>00767753</v>
      </c>
      <c r="C2567" t="s">
        <v>16001</v>
      </c>
      <c r="D2567" t="s">
        <v>16002</v>
      </c>
      <c r="E2567" t="s">
        <v>16003</v>
      </c>
      <c r="G2567" t="s">
        <v>13504</v>
      </c>
      <c r="H2567" t="s">
        <v>13505</v>
      </c>
      <c r="J2567" t="s">
        <v>13506</v>
      </c>
      <c r="L2567" t="s">
        <v>84</v>
      </c>
      <c r="M2567" t="s">
        <v>85</v>
      </c>
      <c r="R2567" t="s">
        <v>16004</v>
      </c>
      <c r="W2567" t="s">
        <v>16003</v>
      </c>
      <c r="X2567" t="s">
        <v>16005</v>
      </c>
      <c r="Y2567" t="s">
        <v>87</v>
      </c>
      <c r="Z2567" t="s">
        <v>77</v>
      </c>
      <c r="AA2567" t="str">
        <f>"11236-5000"</f>
        <v>11236-5000</v>
      </c>
      <c r="AB2567" t="s">
        <v>78</v>
      </c>
      <c r="AC2567" t="s">
        <v>79</v>
      </c>
      <c r="AD2567" t="s">
        <v>75</v>
      </c>
      <c r="AE2567" t="s">
        <v>80</v>
      </c>
      <c r="AG2567" t="s">
        <v>81</v>
      </c>
    </row>
    <row r="2568" spans="1:33" x14ac:dyDescent="0.25">
      <c r="A2568" t="str">
        <f>"1447335450"</f>
        <v>1447335450</v>
      </c>
      <c r="B2568" t="str">
        <f>"00770012"</f>
        <v>00770012</v>
      </c>
      <c r="C2568" t="s">
        <v>16006</v>
      </c>
      <c r="D2568" t="s">
        <v>16007</v>
      </c>
      <c r="E2568" t="s">
        <v>16008</v>
      </c>
      <c r="G2568" t="s">
        <v>13504</v>
      </c>
      <c r="H2568" t="s">
        <v>13505</v>
      </c>
      <c r="J2568" t="s">
        <v>13506</v>
      </c>
      <c r="L2568" t="s">
        <v>84</v>
      </c>
      <c r="M2568" t="s">
        <v>85</v>
      </c>
      <c r="R2568" t="s">
        <v>16009</v>
      </c>
      <c r="W2568" t="s">
        <v>16008</v>
      </c>
      <c r="X2568" t="s">
        <v>16010</v>
      </c>
      <c r="Y2568" t="s">
        <v>87</v>
      </c>
      <c r="Z2568" t="s">
        <v>77</v>
      </c>
      <c r="AA2568" t="str">
        <f>"11203-5735"</f>
        <v>11203-5735</v>
      </c>
      <c r="AB2568" t="s">
        <v>78</v>
      </c>
      <c r="AC2568" t="s">
        <v>79</v>
      </c>
      <c r="AD2568" t="s">
        <v>75</v>
      </c>
      <c r="AE2568" t="s">
        <v>80</v>
      </c>
      <c r="AG2568" t="s">
        <v>81</v>
      </c>
    </row>
    <row r="2569" spans="1:33" x14ac:dyDescent="0.25">
      <c r="A2569" t="str">
        <f>"1255337986"</f>
        <v>1255337986</v>
      </c>
      <c r="B2569" t="str">
        <f>"01087883"</f>
        <v>01087883</v>
      </c>
      <c r="C2569" t="s">
        <v>16011</v>
      </c>
      <c r="D2569" t="s">
        <v>16012</v>
      </c>
      <c r="E2569" t="s">
        <v>16013</v>
      </c>
      <c r="G2569" t="s">
        <v>13504</v>
      </c>
      <c r="H2569" t="s">
        <v>13505</v>
      </c>
      <c r="J2569" t="s">
        <v>13506</v>
      </c>
      <c r="L2569" t="s">
        <v>83</v>
      </c>
      <c r="M2569" t="s">
        <v>75</v>
      </c>
      <c r="R2569" t="s">
        <v>16014</v>
      </c>
      <c r="W2569" t="s">
        <v>16015</v>
      </c>
      <c r="X2569" t="s">
        <v>159</v>
      </c>
      <c r="Y2569" t="s">
        <v>160</v>
      </c>
      <c r="Z2569" t="s">
        <v>77</v>
      </c>
      <c r="AA2569" t="str">
        <f>"11030-3816"</f>
        <v>11030-3816</v>
      </c>
      <c r="AB2569" t="s">
        <v>78</v>
      </c>
      <c r="AC2569" t="s">
        <v>79</v>
      </c>
      <c r="AD2569" t="s">
        <v>75</v>
      </c>
      <c r="AE2569" t="s">
        <v>80</v>
      </c>
      <c r="AG2569" t="s">
        <v>81</v>
      </c>
    </row>
    <row r="2570" spans="1:33" x14ac:dyDescent="0.25">
      <c r="A2570" t="str">
        <f>"1124011051"</f>
        <v>1124011051</v>
      </c>
      <c r="B2570" t="str">
        <f>"01665787"</f>
        <v>01665787</v>
      </c>
      <c r="C2570" t="s">
        <v>13436</v>
      </c>
      <c r="D2570" t="s">
        <v>16016</v>
      </c>
      <c r="E2570" t="s">
        <v>16017</v>
      </c>
      <c r="G2570" t="s">
        <v>16018</v>
      </c>
      <c r="L2570" t="s">
        <v>83</v>
      </c>
      <c r="M2570" t="s">
        <v>85</v>
      </c>
      <c r="R2570" t="s">
        <v>16019</v>
      </c>
      <c r="W2570" t="s">
        <v>16017</v>
      </c>
      <c r="X2570" t="s">
        <v>2653</v>
      </c>
      <c r="Y2570" t="s">
        <v>97</v>
      </c>
      <c r="Z2570" t="s">
        <v>77</v>
      </c>
      <c r="AA2570" t="str">
        <f>"10019"</f>
        <v>10019</v>
      </c>
      <c r="AB2570" t="s">
        <v>78</v>
      </c>
      <c r="AC2570" t="s">
        <v>79</v>
      </c>
      <c r="AD2570" t="s">
        <v>75</v>
      </c>
      <c r="AE2570" t="s">
        <v>80</v>
      </c>
      <c r="AG2570" t="s">
        <v>81</v>
      </c>
    </row>
    <row r="2571" spans="1:33" x14ac:dyDescent="0.25">
      <c r="A2571" t="str">
        <f>"1124039854"</f>
        <v>1124039854</v>
      </c>
      <c r="B2571" t="str">
        <f>"01579280"</f>
        <v>01579280</v>
      </c>
      <c r="C2571" t="s">
        <v>13436</v>
      </c>
      <c r="D2571" t="s">
        <v>16020</v>
      </c>
      <c r="E2571" t="s">
        <v>16021</v>
      </c>
      <c r="G2571" t="s">
        <v>16022</v>
      </c>
      <c r="L2571" t="s">
        <v>83</v>
      </c>
      <c r="M2571" t="s">
        <v>85</v>
      </c>
      <c r="R2571" t="s">
        <v>16023</v>
      </c>
      <c r="W2571" t="s">
        <v>16024</v>
      </c>
      <c r="X2571" t="s">
        <v>16025</v>
      </c>
      <c r="Y2571" t="s">
        <v>97</v>
      </c>
      <c r="Z2571" t="s">
        <v>77</v>
      </c>
      <c r="AA2571" t="str">
        <f>"10003"</f>
        <v>10003</v>
      </c>
      <c r="AB2571" t="s">
        <v>78</v>
      </c>
      <c r="AC2571" t="s">
        <v>79</v>
      </c>
      <c r="AD2571" t="s">
        <v>75</v>
      </c>
      <c r="AE2571" t="s">
        <v>80</v>
      </c>
      <c r="AG2571" t="s">
        <v>81</v>
      </c>
    </row>
    <row r="2572" spans="1:33" x14ac:dyDescent="0.25">
      <c r="A2572" t="str">
        <f>"1124050224"</f>
        <v>1124050224</v>
      </c>
      <c r="B2572" t="str">
        <f>"01611949"</f>
        <v>01611949</v>
      </c>
      <c r="C2572" t="s">
        <v>13436</v>
      </c>
      <c r="D2572" t="s">
        <v>16026</v>
      </c>
      <c r="E2572" t="s">
        <v>16027</v>
      </c>
      <c r="G2572" t="s">
        <v>16028</v>
      </c>
      <c r="L2572" t="s">
        <v>83</v>
      </c>
      <c r="M2572" t="s">
        <v>85</v>
      </c>
      <c r="R2572" t="s">
        <v>16029</v>
      </c>
      <c r="W2572" t="s">
        <v>16030</v>
      </c>
      <c r="X2572" t="s">
        <v>2838</v>
      </c>
      <c r="Y2572" t="s">
        <v>97</v>
      </c>
      <c r="Z2572" t="s">
        <v>77</v>
      </c>
      <c r="AA2572" t="str">
        <f>"10003-3105"</f>
        <v>10003-3105</v>
      </c>
      <c r="AB2572" t="s">
        <v>78</v>
      </c>
      <c r="AC2572" t="s">
        <v>79</v>
      </c>
      <c r="AD2572" t="s">
        <v>75</v>
      </c>
      <c r="AE2572" t="s">
        <v>80</v>
      </c>
      <c r="AG2572" t="s">
        <v>81</v>
      </c>
    </row>
    <row r="2573" spans="1:33" x14ac:dyDescent="0.25">
      <c r="A2573" t="str">
        <f>"1124061254"</f>
        <v>1124061254</v>
      </c>
      <c r="B2573" t="str">
        <f>"01783393"</f>
        <v>01783393</v>
      </c>
      <c r="C2573" t="s">
        <v>13436</v>
      </c>
      <c r="D2573" t="s">
        <v>16031</v>
      </c>
      <c r="E2573" t="s">
        <v>16032</v>
      </c>
      <c r="G2573" t="s">
        <v>16033</v>
      </c>
      <c r="L2573" t="s">
        <v>83</v>
      </c>
      <c r="M2573" t="s">
        <v>85</v>
      </c>
      <c r="R2573" t="s">
        <v>16034</v>
      </c>
      <c r="W2573" t="s">
        <v>16032</v>
      </c>
      <c r="X2573" t="s">
        <v>595</v>
      </c>
      <c r="Y2573" t="s">
        <v>152</v>
      </c>
      <c r="Z2573" t="s">
        <v>77</v>
      </c>
      <c r="AA2573" t="str">
        <f>"11375-3846"</f>
        <v>11375-3846</v>
      </c>
      <c r="AB2573" t="s">
        <v>78</v>
      </c>
      <c r="AC2573" t="s">
        <v>79</v>
      </c>
      <c r="AD2573" t="s">
        <v>75</v>
      </c>
      <c r="AE2573" t="s">
        <v>80</v>
      </c>
      <c r="AG2573" t="s">
        <v>81</v>
      </c>
    </row>
    <row r="2574" spans="1:33" x14ac:dyDescent="0.25">
      <c r="A2574" t="str">
        <f>"1124077870"</f>
        <v>1124077870</v>
      </c>
      <c r="B2574" t="str">
        <f>"01584101"</f>
        <v>01584101</v>
      </c>
      <c r="C2574" t="s">
        <v>13436</v>
      </c>
      <c r="D2574" t="s">
        <v>16035</v>
      </c>
      <c r="E2574" t="s">
        <v>16036</v>
      </c>
      <c r="G2574" t="s">
        <v>16037</v>
      </c>
      <c r="L2574" t="s">
        <v>83</v>
      </c>
      <c r="M2574" t="s">
        <v>85</v>
      </c>
      <c r="R2574" t="s">
        <v>16038</v>
      </c>
      <c r="W2574" t="s">
        <v>16036</v>
      </c>
      <c r="X2574" t="s">
        <v>181</v>
      </c>
      <c r="Y2574" t="s">
        <v>97</v>
      </c>
      <c r="Z2574" t="s">
        <v>77</v>
      </c>
      <c r="AA2574" t="str">
        <f>"10025-1716"</f>
        <v>10025-1716</v>
      </c>
      <c r="AB2574" t="s">
        <v>78</v>
      </c>
      <c r="AC2574" t="s">
        <v>79</v>
      </c>
      <c r="AD2574" t="s">
        <v>75</v>
      </c>
      <c r="AE2574" t="s">
        <v>80</v>
      </c>
      <c r="AG2574" t="s">
        <v>81</v>
      </c>
    </row>
    <row r="2575" spans="1:33" x14ac:dyDescent="0.25">
      <c r="A2575" t="str">
        <f>"1124081328"</f>
        <v>1124081328</v>
      </c>
      <c r="B2575" t="str">
        <f>"02177851"</f>
        <v>02177851</v>
      </c>
      <c r="C2575" t="s">
        <v>13436</v>
      </c>
      <c r="D2575" t="s">
        <v>16039</v>
      </c>
      <c r="E2575" t="s">
        <v>16040</v>
      </c>
      <c r="G2575" t="s">
        <v>16041</v>
      </c>
      <c r="L2575" t="s">
        <v>94</v>
      </c>
      <c r="M2575" t="s">
        <v>85</v>
      </c>
      <c r="R2575" t="s">
        <v>16042</v>
      </c>
      <c r="W2575" t="s">
        <v>16040</v>
      </c>
      <c r="X2575" t="s">
        <v>225</v>
      </c>
      <c r="Y2575" t="s">
        <v>131</v>
      </c>
      <c r="Z2575" t="s">
        <v>77</v>
      </c>
      <c r="AA2575" t="str">
        <f>"10457-2545"</f>
        <v>10457-2545</v>
      </c>
      <c r="AB2575" t="s">
        <v>78</v>
      </c>
      <c r="AC2575" t="s">
        <v>79</v>
      </c>
      <c r="AD2575" t="s">
        <v>75</v>
      </c>
      <c r="AE2575" t="s">
        <v>80</v>
      </c>
      <c r="AG2575" t="s">
        <v>81</v>
      </c>
    </row>
    <row r="2576" spans="1:33" x14ac:dyDescent="0.25">
      <c r="A2576" t="str">
        <f>"1124099734"</f>
        <v>1124099734</v>
      </c>
      <c r="B2576" t="str">
        <f>"01450577"</f>
        <v>01450577</v>
      </c>
      <c r="C2576" t="s">
        <v>13436</v>
      </c>
      <c r="D2576" t="s">
        <v>16043</v>
      </c>
      <c r="E2576" t="s">
        <v>16044</v>
      </c>
      <c r="G2576" t="s">
        <v>16045</v>
      </c>
      <c r="L2576" t="s">
        <v>83</v>
      </c>
      <c r="M2576" t="s">
        <v>85</v>
      </c>
      <c r="R2576" t="s">
        <v>16046</v>
      </c>
      <c r="W2576" t="s">
        <v>16044</v>
      </c>
      <c r="X2576" t="s">
        <v>16047</v>
      </c>
      <c r="Y2576" t="s">
        <v>97</v>
      </c>
      <c r="Z2576" t="s">
        <v>77</v>
      </c>
      <c r="AA2576" t="str">
        <f>"10034-1159"</f>
        <v>10034-1159</v>
      </c>
      <c r="AB2576" t="s">
        <v>78</v>
      </c>
      <c r="AC2576" t="s">
        <v>79</v>
      </c>
      <c r="AD2576" t="s">
        <v>75</v>
      </c>
      <c r="AE2576" t="s">
        <v>80</v>
      </c>
      <c r="AG2576" t="s">
        <v>81</v>
      </c>
    </row>
    <row r="2577" spans="1:33" x14ac:dyDescent="0.25">
      <c r="A2577" t="str">
        <f>"1124226287"</f>
        <v>1124226287</v>
      </c>
      <c r="B2577" t="str">
        <f>"03239952"</f>
        <v>03239952</v>
      </c>
      <c r="C2577" t="s">
        <v>13436</v>
      </c>
      <c r="D2577" t="s">
        <v>16048</v>
      </c>
      <c r="E2577" t="s">
        <v>16049</v>
      </c>
      <c r="G2577" t="s">
        <v>16050</v>
      </c>
      <c r="L2577" t="s">
        <v>94</v>
      </c>
      <c r="M2577" t="s">
        <v>85</v>
      </c>
      <c r="R2577" t="s">
        <v>16051</v>
      </c>
      <c r="W2577" t="s">
        <v>16052</v>
      </c>
      <c r="X2577" t="s">
        <v>2587</v>
      </c>
      <c r="Y2577" t="s">
        <v>97</v>
      </c>
      <c r="Z2577" t="s">
        <v>77</v>
      </c>
      <c r="AA2577" t="str">
        <f>"10003-3314"</f>
        <v>10003-3314</v>
      </c>
      <c r="AB2577" t="s">
        <v>78</v>
      </c>
      <c r="AC2577" t="s">
        <v>79</v>
      </c>
      <c r="AD2577" t="s">
        <v>75</v>
      </c>
      <c r="AE2577" t="s">
        <v>80</v>
      </c>
      <c r="AG2577" t="s">
        <v>81</v>
      </c>
    </row>
    <row r="2578" spans="1:33" x14ac:dyDescent="0.25">
      <c r="A2578" t="str">
        <f>"1689648545"</f>
        <v>1689648545</v>
      </c>
      <c r="B2578" t="str">
        <f>"02499383"</f>
        <v>02499383</v>
      </c>
      <c r="C2578" t="s">
        <v>16053</v>
      </c>
      <c r="D2578" t="s">
        <v>5780</v>
      </c>
      <c r="E2578" t="s">
        <v>5781</v>
      </c>
      <c r="G2578" t="s">
        <v>9477</v>
      </c>
      <c r="H2578" t="s">
        <v>4867</v>
      </c>
      <c r="I2578">
        <v>135</v>
      </c>
      <c r="J2578" t="s">
        <v>5634</v>
      </c>
      <c r="L2578" t="s">
        <v>84</v>
      </c>
      <c r="M2578" t="s">
        <v>75</v>
      </c>
      <c r="R2578" t="s">
        <v>5782</v>
      </c>
      <c r="W2578" t="s">
        <v>5783</v>
      </c>
      <c r="X2578" t="s">
        <v>5784</v>
      </c>
      <c r="Y2578" t="s">
        <v>221</v>
      </c>
      <c r="Z2578" t="s">
        <v>77</v>
      </c>
      <c r="AA2578" t="str">
        <f>"10550-2098"</f>
        <v>10550-2098</v>
      </c>
      <c r="AB2578" t="s">
        <v>78</v>
      </c>
      <c r="AC2578" t="s">
        <v>79</v>
      </c>
      <c r="AD2578" t="s">
        <v>75</v>
      </c>
      <c r="AE2578" t="s">
        <v>80</v>
      </c>
      <c r="AG2578" t="s">
        <v>81</v>
      </c>
    </row>
    <row r="2579" spans="1:33" x14ac:dyDescent="0.25">
      <c r="A2579" t="str">
        <f>"1932269677"</f>
        <v>1932269677</v>
      </c>
      <c r="B2579" t="str">
        <f>"02047749"</f>
        <v>02047749</v>
      </c>
      <c r="C2579" t="s">
        <v>16054</v>
      </c>
      <c r="D2579" t="s">
        <v>4171</v>
      </c>
      <c r="E2579" t="s">
        <v>4172</v>
      </c>
      <c r="G2579" t="s">
        <v>9477</v>
      </c>
      <c r="H2579" t="s">
        <v>4867</v>
      </c>
      <c r="I2579">
        <v>135</v>
      </c>
      <c r="J2579" t="s">
        <v>5634</v>
      </c>
      <c r="L2579" t="s">
        <v>105</v>
      </c>
      <c r="M2579" t="s">
        <v>85</v>
      </c>
      <c r="R2579" t="s">
        <v>4173</v>
      </c>
      <c r="W2579" t="s">
        <v>4172</v>
      </c>
      <c r="X2579" t="s">
        <v>4152</v>
      </c>
      <c r="Y2579" t="s">
        <v>227</v>
      </c>
      <c r="Z2579" t="s">
        <v>77</v>
      </c>
      <c r="AA2579" t="str">
        <f>"10601-1524"</f>
        <v>10601-1524</v>
      </c>
      <c r="AB2579" t="s">
        <v>78</v>
      </c>
      <c r="AC2579" t="s">
        <v>79</v>
      </c>
      <c r="AD2579" t="s">
        <v>75</v>
      </c>
      <c r="AE2579" t="s">
        <v>80</v>
      </c>
      <c r="AG2579" t="s">
        <v>81</v>
      </c>
    </row>
    <row r="2580" spans="1:33" x14ac:dyDescent="0.25">
      <c r="A2580" t="str">
        <f>"1487685913"</f>
        <v>1487685913</v>
      </c>
      <c r="B2580" t="str">
        <f>"01043847"</f>
        <v>01043847</v>
      </c>
      <c r="C2580" t="s">
        <v>16055</v>
      </c>
      <c r="D2580" t="s">
        <v>16056</v>
      </c>
      <c r="E2580" t="s">
        <v>16057</v>
      </c>
      <c r="G2580" t="s">
        <v>9774</v>
      </c>
      <c r="H2580" t="s">
        <v>9775</v>
      </c>
      <c r="J2580" t="s">
        <v>9776</v>
      </c>
      <c r="L2580" t="s">
        <v>105</v>
      </c>
      <c r="M2580" t="s">
        <v>75</v>
      </c>
      <c r="R2580" t="s">
        <v>16058</v>
      </c>
      <c r="W2580" t="s">
        <v>16059</v>
      </c>
      <c r="X2580" t="s">
        <v>16060</v>
      </c>
      <c r="Y2580" t="s">
        <v>16061</v>
      </c>
      <c r="Z2580" t="s">
        <v>77</v>
      </c>
      <c r="AA2580" t="str">
        <f>"11362-2530"</f>
        <v>11362-2530</v>
      </c>
      <c r="AB2580" t="s">
        <v>78</v>
      </c>
      <c r="AC2580" t="s">
        <v>79</v>
      </c>
      <c r="AD2580" t="s">
        <v>75</v>
      </c>
      <c r="AE2580" t="s">
        <v>80</v>
      </c>
      <c r="AG2580" t="s">
        <v>81</v>
      </c>
    </row>
    <row r="2581" spans="1:33" x14ac:dyDescent="0.25">
      <c r="A2581" t="str">
        <f>"1982624334"</f>
        <v>1982624334</v>
      </c>
      <c r="B2581" t="str">
        <f>"02425712"</f>
        <v>02425712</v>
      </c>
      <c r="C2581" t="s">
        <v>16062</v>
      </c>
      <c r="D2581" t="s">
        <v>16063</v>
      </c>
      <c r="E2581" t="s">
        <v>16064</v>
      </c>
      <c r="G2581" t="s">
        <v>9774</v>
      </c>
      <c r="H2581" t="s">
        <v>9775</v>
      </c>
      <c r="J2581" t="s">
        <v>9776</v>
      </c>
      <c r="L2581" t="s">
        <v>105</v>
      </c>
      <c r="M2581" t="s">
        <v>75</v>
      </c>
      <c r="R2581" t="s">
        <v>16065</v>
      </c>
      <c r="W2581" t="s">
        <v>16064</v>
      </c>
      <c r="X2581" t="s">
        <v>16066</v>
      </c>
      <c r="Y2581" t="s">
        <v>180</v>
      </c>
      <c r="Z2581" t="s">
        <v>77</v>
      </c>
      <c r="AA2581" t="str">
        <f>"10701-1301"</f>
        <v>10701-1301</v>
      </c>
      <c r="AB2581" t="s">
        <v>78</v>
      </c>
      <c r="AC2581" t="s">
        <v>79</v>
      </c>
      <c r="AD2581" t="s">
        <v>75</v>
      </c>
      <c r="AE2581" t="s">
        <v>80</v>
      </c>
      <c r="AG2581" t="s">
        <v>81</v>
      </c>
    </row>
    <row r="2582" spans="1:33" x14ac:dyDescent="0.25">
      <c r="A2582" t="str">
        <f>"1184731754"</f>
        <v>1184731754</v>
      </c>
      <c r="B2582" t="str">
        <f>"01205783"</f>
        <v>01205783</v>
      </c>
      <c r="C2582" t="s">
        <v>16067</v>
      </c>
      <c r="D2582" t="s">
        <v>3969</v>
      </c>
      <c r="E2582" t="s">
        <v>3970</v>
      </c>
      <c r="G2582" t="s">
        <v>7667</v>
      </c>
      <c r="H2582" t="s">
        <v>3971</v>
      </c>
      <c r="J2582" t="s">
        <v>16068</v>
      </c>
      <c r="L2582" t="s">
        <v>94</v>
      </c>
      <c r="M2582" t="s">
        <v>85</v>
      </c>
      <c r="R2582" t="s">
        <v>3973</v>
      </c>
      <c r="W2582" t="s">
        <v>3970</v>
      </c>
      <c r="X2582" t="s">
        <v>3974</v>
      </c>
      <c r="Y2582" t="s">
        <v>227</v>
      </c>
      <c r="Z2582" t="s">
        <v>77</v>
      </c>
      <c r="AA2582" t="str">
        <f>"10605-2232"</f>
        <v>10605-2232</v>
      </c>
      <c r="AB2582" t="s">
        <v>78</v>
      </c>
      <c r="AC2582" t="s">
        <v>79</v>
      </c>
      <c r="AD2582" t="s">
        <v>75</v>
      </c>
      <c r="AE2582" t="s">
        <v>80</v>
      </c>
      <c r="AG2582" t="s">
        <v>81</v>
      </c>
    </row>
    <row r="2583" spans="1:33" x14ac:dyDescent="0.25">
      <c r="A2583" t="str">
        <f>"1669448213"</f>
        <v>1669448213</v>
      </c>
      <c r="B2583" t="str">
        <f>"01649870"</f>
        <v>01649870</v>
      </c>
      <c r="C2583" t="s">
        <v>16069</v>
      </c>
      <c r="D2583" t="s">
        <v>3975</v>
      </c>
      <c r="E2583" t="s">
        <v>3976</v>
      </c>
      <c r="G2583" t="s">
        <v>7667</v>
      </c>
      <c r="H2583" t="s">
        <v>3971</v>
      </c>
      <c r="J2583" t="s">
        <v>16070</v>
      </c>
      <c r="L2583" t="s">
        <v>105</v>
      </c>
      <c r="M2583" t="s">
        <v>85</v>
      </c>
      <c r="R2583" t="s">
        <v>3977</v>
      </c>
      <c r="W2583" t="s">
        <v>3976</v>
      </c>
      <c r="X2583" t="s">
        <v>3978</v>
      </c>
      <c r="Y2583" t="s">
        <v>3979</v>
      </c>
      <c r="Z2583" t="s">
        <v>77</v>
      </c>
      <c r="AA2583" t="str">
        <f>"10541-1700"</f>
        <v>10541-1700</v>
      </c>
      <c r="AB2583" t="s">
        <v>78</v>
      </c>
      <c r="AC2583" t="s">
        <v>79</v>
      </c>
      <c r="AD2583" t="s">
        <v>75</v>
      </c>
      <c r="AE2583" t="s">
        <v>80</v>
      </c>
      <c r="AG2583" t="s">
        <v>81</v>
      </c>
    </row>
    <row r="2584" spans="1:33" x14ac:dyDescent="0.25">
      <c r="A2584" t="str">
        <f>"1629139654"</f>
        <v>1629139654</v>
      </c>
      <c r="B2584" t="str">
        <f>"03158303"</f>
        <v>03158303</v>
      </c>
      <c r="C2584" t="s">
        <v>16071</v>
      </c>
      <c r="D2584" t="s">
        <v>16072</v>
      </c>
      <c r="E2584" t="s">
        <v>16073</v>
      </c>
      <c r="G2584" t="s">
        <v>16074</v>
      </c>
      <c r="H2584" t="s">
        <v>16075</v>
      </c>
      <c r="I2584">
        <v>351</v>
      </c>
      <c r="J2584" t="s">
        <v>16076</v>
      </c>
      <c r="L2584" t="s">
        <v>83</v>
      </c>
      <c r="M2584" t="s">
        <v>75</v>
      </c>
      <c r="R2584" t="s">
        <v>16077</v>
      </c>
      <c r="W2584" t="s">
        <v>16073</v>
      </c>
      <c r="X2584" t="s">
        <v>16078</v>
      </c>
      <c r="Y2584" t="s">
        <v>87</v>
      </c>
      <c r="Z2584" t="s">
        <v>77</v>
      </c>
      <c r="AA2584" t="str">
        <f>"11201-0000"</f>
        <v>11201-0000</v>
      </c>
      <c r="AB2584" t="s">
        <v>78</v>
      </c>
      <c r="AC2584" t="s">
        <v>79</v>
      </c>
      <c r="AD2584" t="s">
        <v>75</v>
      </c>
      <c r="AE2584" t="s">
        <v>80</v>
      </c>
      <c r="AG2584" t="s">
        <v>81</v>
      </c>
    </row>
    <row r="2585" spans="1:33" x14ac:dyDescent="0.25">
      <c r="A2585" t="str">
        <f>"1275807190"</f>
        <v>1275807190</v>
      </c>
      <c r="B2585" t="str">
        <f>"03940769"</f>
        <v>03940769</v>
      </c>
      <c r="C2585" t="s">
        <v>16079</v>
      </c>
      <c r="D2585" t="s">
        <v>5943</v>
      </c>
      <c r="E2585" t="s">
        <v>5944</v>
      </c>
      <c r="G2585" t="s">
        <v>9477</v>
      </c>
      <c r="H2585" t="s">
        <v>4867</v>
      </c>
      <c r="I2585">
        <v>135</v>
      </c>
      <c r="J2585" t="s">
        <v>5634</v>
      </c>
      <c r="L2585" t="s">
        <v>74</v>
      </c>
      <c r="M2585" t="s">
        <v>75</v>
      </c>
      <c r="R2585" t="s">
        <v>5945</v>
      </c>
      <c r="W2585" t="s">
        <v>5944</v>
      </c>
      <c r="X2585" t="s">
        <v>2177</v>
      </c>
      <c r="Y2585" t="s">
        <v>97</v>
      </c>
      <c r="Z2585" t="s">
        <v>77</v>
      </c>
      <c r="AA2585" t="str">
        <f>"10119-0206"</f>
        <v>10119-0206</v>
      </c>
      <c r="AB2585" t="s">
        <v>78</v>
      </c>
      <c r="AC2585" t="s">
        <v>79</v>
      </c>
      <c r="AD2585" t="s">
        <v>75</v>
      </c>
      <c r="AE2585" t="s">
        <v>80</v>
      </c>
      <c r="AG2585" t="s">
        <v>81</v>
      </c>
    </row>
    <row r="2586" spans="1:33" x14ac:dyDescent="0.25">
      <c r="C2586" t="s">
        <v>16080</v>
      </c>
      <c r="G2586" t="s">
        <v>9477</v>
      </c>
      <c r="H2586" t="s">
        <v>4867</v>
      </c>
      <c r="I2586">
        <v>135</v>
      </c>
      <c r="J2586" t="s">
        <v>5634</v>
      </c>
      <c r="K2586" t="s">
        <v>99</v>
      </c>
      <c r="L2586" t="s">
        <v>100</v>
      </c>
      <c r="M2586" t="s">
        <v>75</v>
      </c>
      <c r="N2586" t="s">
        <v>16081</v>
      </c>
      <c r="O2586" t="s">
        <v>296</v>
      </c>
      <c r="P2586" t="s">
        <v>77</v>
      </c>
      <c r="Q2586" t="str">
        <f>"10657"</f>
        <v>10657</v>
      </c>
      <c r="AC2586" t="s">
        <v>79</v>
      </c>
      <c r="AD2586" t="s">
        <v>75</v>
      </c>
      <c r="AE2586" t="s">
        <v>101</v>
      </c>
      <c r="AG2586" t="s">
        <v>81</v>
      </c>
    </row>
    <row r="2587" spans="1:33" x14ac:dyDescent="0.25">
      <c r="A2587" t="str">
        <f>"1538570619"</f>
        <v>1538570619</v>
      </c>
      <c r="B2587" t="str">
        <f>"03937271"</f>
        <v>03937271</v>
      </c>
      <c r="C2587" t="s">
        <v>16082</v>
      </c>
      <c r="D2587" t="s">
        <v>5968</v>
      </c>
      <c r="E2587" t="s">
        <v>5969</v>
      </c>
      <c r="G2587" t="s">
        <v>9477</v>
      </c>
      <c r="H2587" t="s">
        <v>4867</v>
      </c>
      <c r="I2587">
        <v>135</v>
      </c>
      <c r="J2587" t="s">
        <v>5634</v>
      </c>
      <c r="L2587" t="s">
        <v>74</v>
      </c>
      <c r="M2587" t="s">
        <v>75</v>
      </c>
      <c r="R2587" t="s">
        <v>5970</v>
      </c>
      <c r="W2587" t="s">
        <v>5969</v>
      </c>
      <c r="X2587" t="s">
        <v>5971</v>
      </c>
      <c r="Y2587" t="s">
        <v>180</v>
      </c>
      <c r="Z2587" t="s">
        <v>77</v>
      </c>
      <c r="AA2587" t="str">
        <f>"10701-4004"</f>
        <v>10701-4004</v>
      </c>
      <c r="AB2587" t="s">
        <v>78</v>
      </c>
      <c r="AC2587" t="s">
        <v>79</v>
      </c>
      <c r="AD2587" t="s">
        <v>75</v>
      </c>
      <c r="AE2587" t="s">
        <v>80</v>
      </c>
      <c r="AG2587" t="s">
        <v>81</v>
      </c>
    </row>
    <row r="2588" spans="1:33" x14ac:dyDescent="0.25">
      <c r="A2588" t="str">
        <f>"1578678900"</f>
        <v>1578678900</v>
      </c>
      <c r="B2588" t="str">
        <f>"01411710"</f>
        <v>01411710</v>
      </c>
      <c r="C2588" t="s">
        <v>16083</v>
      </c>
      <c r="D2588" t="s">
        <v>5985</v>
      </c>
      <c r="E2588" t="s">
        <v>5986</v>
      </c>
      <c r="G2588" t="s">
        <v>9477</v>
      </c>
      <c r="H2588" t="s">
        <v>4867</v>
      </c>
      <c r="I2588">
        <v>135</v>
      </c>
      <c r="J2588" t="s">
        <v>5634</v>
      </c>
      <c r="L2588" t="s">
        <v>84</v>
      </c>
      <c r="M2588" t="s">
        <v>75</v>
      </c>
      <c r="R2588" t="s">
        <v>5987</v>
      </c>
      <c r="W2588" t="s">
        <v>5986</v>
      </c>
      <c r="X2588" t="s">
        <v>5988</v>
      </c>
      <c r="Y2588" t="s">
        <v>180</v>
      </c>
      <c r="Z2588" t="s">
        <v>77</v>
      </c>
      <c r="AA2588" t="str">
        <f>"10701"</f>
        <v>10701</v>
      </c>
      <c r="AB2588" t="s">
        <v>78</v>
      </c>
      <c r="AC2588" t="s">
        <v>79</v>
      </c>
      <c r="AD2588" t="s">
        <v>75</v>
      </c>
      <c r="AE2588" t="s">
        <v>80</v>
      </c>
      <c r="AG2588" t="s">
        <v>81</v>
      </c>
    </row>
    <row r="2589" spans="1:33" x14ac:dyDescent="0.25">
      <c r="A2589" t="str">
        <f>"1285601914"</f>
        <v>1285601914</v>
      </c>
      <c r="B2589" t="str">
        <f>"02097818"</f>
        <v>02097818</v>
      </c>
      <c r="C2589" t="s">
        <v>16084</v>
      </c>
      <c r="D2589" t="s">
        <v>5138</v>
      </c>
      <c r="E2589" t="s">
        <v>5139</v>
      </c>
      <c r="G2589" t="s">
        <v>9477</v>
      </c>
      <c r="H2589" t="s">
        <v>4867</v>
      </c>
      <c r="I2589">
        <v>135</v>
      </c>
      <c r="J2589" t="s">
        <v>5634</v>
      </c>
      <c r="L2589" t="s">
        <v>84</v>
      </c>
      <c r="M2589" t="s">
        <v>75</v>
      </c>
      <c r="R2589" t="s">
        <v>5140</v>
      </c>
      <c r="W2589" t="s">
        <v>5141</v>
      </c>
      <c r="X2589" t="s">
        <v>4734</v>
      </c>
      <c r="Y2589" t="s">
        <v>221</v>
      </c>
      <c r="Z2589" t="s">
        <v>77</v>
      </c>
      <c r="AA2589" t="str">
        <f>"10550-2026"</f>
        <v>10550-2026</v>
      </c>
      <c r="AB2589" t="s">
        <v>78</v>
      </c>
      <c r="AC2589" t="s">
        <v>79</v>
      </c>
      <c r="AD2589" t="s">
        <v>75</v>
      </c>
      <c r="AE2589" t="s">
        <v>80</v>
      </c>
      <c r="AG2589" t="s">
        <v>81</v>
      </c>
    </row>
    <row r="2590" spans="1:33" x14ac:dyDescent="0.25">
      <c r="A2590" t="str">
        <f>"1033122619"</f>
        <v>1033122619</v>
      </c>
      <c r="B2590" t="str">
        <f>"02195531"</f>
        <v>02195531</v>
      </c>
      <c r="C2590" t="s">
        <v>16085</v>
      </c>
      <c r="D2590" t="s">
        <v>4313</v>
      </c>
      <c r="E2590" t="s">
        <v>4314</v>
      </c>
      <c r="G2590" t="s">
        <v>9477</v>
      </c>
      <c r="H2590" t="s">
        <v>4867</v>
      </c>
      <c r="I2590">
        <v>135</v>
      </c>
      <c r="J2590" t="s">
        <v>5634</v>
      </c>
      <c r="L2590" t="s">
        <v>105</v>
      </c>
      <c r="M2590" t="s">
        <v>75</v>
      </c>
      <c r="R2590" t="s">
        <v>4315</v>
      </c>
      <c r="W2590" t="s">
        <v>4316</v>
      </c>
      <c r="X2590" t="s">
        <v>3596</v>
      </c>
      <c r="Y2590" t="s">
        <v>180</v>
      </c>
      <c r="Z2590" t="s">
        <v>77</v>
      </c>
      <c r="AA2590" t="str">
        <f>"10701-2930"</f>
        <v>10701-2930</v>
      </c>
      <c r="AB2590" t="s">
        <v>125</v>
      </c>
      <c r="AC2590" t="s">
        <v>79</v>
      </c>
      <c r="AD2590" t="s">
        <v>75</v>
      </c>
      <c r="AE2590" t="s">
        <v>80</v>
      </c>
      <c r="AG2590" t="s">
        <v>81</v>
      </c>
    </row>
    <row r="2591" spans="1:33" x14ac:dyDescent="0.25">
      <c r="A2591" t="str">
        <f>"1255312518"</f>
        <v>1255312518</v>
      </c>
      <c r="B2591" t="str">
        <f>"01788870"</f>
        <v>01788870</v>
      </c>
      <c r="C2591" t="s">
        <v>16086</v>
      </c>
      <c r="D2591" t="s">
        <v>5475</v>
      </c>
      <c r="E2591" t="s">
        <v>5476</v>
      </c>
      <c r="G2591" t="s">
        <v>9477</v>
      </c>
      <c r="H2591" t="s">
        <v>4867</v>
      </c>
      <c r="I2591">
        <v>135</v>
      </c>
      <c r="J2591" t="s">
        <v>5634</v>
      </c>
      <c r="L2591" t="s">
        <v>84</v>
      </c>
      <c r="M2591" t="s">
        <v>75</v>
      </c>
      <c r="R2591" t="s">
        <v>5477</v>
      </c>
      <c r="W2591" t="s">
        <v>5476</v>
      </c>
      <c r="X2591" t="s">
        <v>5478</v>
      </c>
      <c r="Y2591" t="s">
        <v>419</v>
      </c>
      <c r="Z2591" t="s">
        <v>77</v>
      </c>
      <c r="AA2591" t="str">
        <f>"10522"</f>
        <v>10522</v>
      </c>
      <c r="AB2591" t="s">
        <v>78</v>
      </c>
      <c r="AC2591" t="s">
        <v>79</v>
      </c>
      <c r="AD2591" t="s">
        <v>75</v>
      </c>
      <c r="AE2591" t="s">
        <v>80</v>
      </c>
      <c r="AG2591" t="s">
        <v>81</v>
      </c>
    </row>
    <row r="2592" spans="1:33" x14ac:dyDescent="0.25">
      <c r="A2592" t="str">
        <f>"1841510492"</f>
        <v>1841510492</v>
      </c>
      <c r="B2592" t="str">
        <f>"04227863"</f>
        <v>04227863</v>
      </c>
      <c r="C2592" t="s">
        <v>16087</v>
      </c>
      <c r="D2592" t="s">
        <v>2376</v>
      </c>
      <c r="E2592" t="s">
        <v>2377</v>
      </c>
      <c r="H2592" t="s">
        <v>16088</v>
      </c>
      <c r="J2592" t="s">
        <v>16089</v>
      </c>
      <c r="L2592" t="s">
        <v>94</v>
      </c>
      <c r="M2592" t="s">
        <v>75</v>
      </c>
      <c r="R2592" t="s">
        <v>2375</v>
      </c>
      <c r="W2592" t="s">
        <v>2377</v>
      </c>
      <c r="X2592" t="s">
        <v>2199</v>
      </c>
      <c r="Y2592" t="s">
        <v>131</v>
      </c>
      <c r="Z2592" t="s">
        <v>77</v>
      </c>
      <c r="AA2592" t="str">
        <f>"10461-5201"</f>
        <v>10461-5201</v>
      </c>
      <c r="AB2592" t="s">
        <v>78</v>
      </c>
      <c r="AC2592" t="s">
        <v>79</v>
      </c>
      <c r="AD2592" t="s">
        <v>75</v>
      </c>
      <c r="AE2592" t="s">
        <v>80</v>
      </c>
      <c r="AG2592" t="s">
        <v>81</v>
      </c>
    </row>
    <row r="2593" spans="1:33" x14ac:dyDescent="0.25">
      <c r="A2593" t="str">
        <f>"1598913618"</f>
        <v>1598913618</v>
      </c>
      <c r="B2593" t="str">
        <f>"03978654"</f>
        <v>03978654</v>
      </c>
      <c r="C2593" t="s">
        <v>16090</v>
      </c>
      <c r="D2593" t="s">
        <v>2379</v>
      </c>
      <c r="E2593" t="s">
        <v>2378</v>
      </c>
      <c r="H2593" t="s">
        <v>16091</v>
      </c>
      <c r="J2593" t="s">
        <v>16092</v>
      </c>
      <c r="L2593" t="s">
        <v>74</v>
      </c>
      <c r="M2593" t="s">
        <v>75</v>
      </c>
      <c r="R2593" t="s">
        <v>2378</v>
      </c>
      <c r="W2593" t="s">
        <v>2378</v>
      </c>
      <c r="X2593" t="s">
        <v>2093</v>
      </c>
      <c r="Y2593" t="s">
        <v>97</v>
      </c>
      <c r="Z2593" t="s">
        <v>77</v>
      </c>
      <c r="AA2593" t="str">
        <f>"10025-1715"</f>
        <v>10025-1715</v>
      </c>
      <c r="AB2593" t="s">
        <v>78</v>
      </c>
      <c r="AC2593" t="s">
        <v>79</v>
      </c>
      <c r="AD2593" t="s">
        <v>75</v>
      </c>
      <c r="AE2593" t="s">
        <v>80</v>
      </c>
      <c r="AG2593" t="s">
        <v>81</v>
      </c>
    </row>
    <row r="2594" spans="1:33" x14ac:dyDescent="0.25">
      <c r="A2594" t="str">
        <f>"1881992634"</f>
        <v>1881992634</v>
      </c>
      <c r="B2594" t="str">
        <f>"03316718"</f>
        <v>03316718</v>
      </c>
      <c r="C2594" t="s">
        <v>16093</v>
      </c>
      <c r="D2594" t="s">
        <v>2365</v>
      </c>
      <c r="E2594" t="s">
        <v>2366</v>
      </c>
      <c r="H2594" t="s">
        <v>16094</v>
      </c>
      <c r="L2594" t="s">
        <v>74</v>
      </c>
      <c r="M2594" t="s">
        <v>75</v>
      </c>
      <c r="R2594" t="s">
        <v>2364</v>
      </c>
      <c r="W2594" t="s">
        <v>2364</v>
      </c>
      <c r="X2594" t="s">
        <v>2367</v>
      </c>
      <c r="Y2594" t="s">
        <v>87</v>
      </c>
      <c r="Z2594" t="s">
        <v>77</v>
      </c>
      <c r="AA2594" t="str">
        <f>"11235-5279"</f>
        <v>11235-5279</v>
      </c>
      <c r="AB2594" t="s">
        <v>2069</v>
      </c>
      <c r="AC2594" t="s">
        <v>79</v>
      </c>
      <c r="AD2594" t="s">
        <v>75</v>
      </c>
      <c r="AE2594" t="s">
        <v>80</v>
      </c>
      <c r="AG2594" t="s">
        <v>81</v>
      </c>
    </row>
    <row r="2595" spans="1:33" x14ac:dyDescent="0.25">
      <c r="A2595" t="str">
        <f>"1407925274"</f>
        <v>1407925274</v>
      </c>
      <c r="B2595" t="str">
        <f>"00779800"</f>
        <v>00779800</v>
      </c>
      <c r="C2595" t="s">
        <v>16095</v>
      </c>
      <c r="D2595" t="s">
        <v>2369</v>
      </c>
      <c r="E2595" t="s">
        <v>2370</v>
      </c>
      <c r="H2595" t="s">
        <v>2558</v>
      </c>
      <c r="J2595" t="s">
        <v>16096</v>
      </c>
      <c r="L2595" t="s">
        <v>83</v>
      </c>
      <c r="M2595" t="s">
        <v>85</v>
      </c>
      <c r="R2595" t="s">
        <v>2368</v>
      </c>
      <c r="W2595" t="s">
        <v>2370</v>
      </c>
      <c r="X2595" t="s">
        <v>757</v>
      </c>
      <c r="Y2595" t="s">
        <v>131</v>
      </c>
      <c r="Z2595" t="s">
        <v>77</v>
      </c>
      <c r="AA2595" t="str">
        <f>"10457"</f>
        <v>10457</v>
      </c>
      <c r="AB2595" t="s">
        <v>78</v>
      </c>
      <c r="AC2595" t="s">
        <v>79</v>
      </c>
      <c r="AD2595" t="s">
        <v>75</v>
      </c>
      <c r="AE2595" t="s">
        <v>80</v>
      </c>
      <c r="AG2595" t="s">
        <v>81</v>
      </c>
    </row>
    <row r="2596" spans="1:33" x14ac:dyDescent="0.25">
      <c r="A2596" t="str">
        <f>"1831344456"</f>
        <v>1831344456</v>
      </c>
      <c r="C2596" t="s">
        <v>16097</v>
      </c>
      <c r="H2596" t="s">
        <v>16098</v>
      </c>
      <c r="J2596" t="s">
        <v>16099</v>
      </c>
      <c r="K2596" t="s">
        <v>99</v>
      </c>
      <c r="L2596" t="s">
        <v>74</v>
      </c>
      <c r="M2596" t="s">
        <v>75</v>
      </c>
      <c r="R2596" t="s">
        <v>2380</v>
      </c>
      <c r="S2596" t="s">
        <v>2381</v>
      </c>
      <c r="T2596" t="s">
        <v>152</v>
      </c>
      <c r="U2596" t="s">
        <v>77</v>
      </c>
      <c r="V2596" t="str">
        <f>"113757133"</f>
        <v>113757133</v>
      </c>
      <c r="AC2596" t="s">
        <v>79</v>
      </c>
      <c r="AD2596" t="s">
        <v>75</v>
      </c>
      <c r="AE2596" t="s">
        <v>103</v>
      </c>
      <c r="AG2596" t="s">
        <v>81</v>
      </c>
    </row>
    <row r="2597" spans="1:33" x14ac:dyDescent="0.25">
      <c r="A2597" t="str">
        <f>"1457377665"</f>
        <v>1457377665</v>
      </c>
      <c r="B2597" t="str">
        <f>"00783555"</f>
        <v>00783555</v>
      </c>
      <c r="C2597" t="s">
        <v>16100</v>
      </c>
      <c r="D2597" t="s">
        <v>2372</v>
      </c>
      <c r="E2597" t="s">
        <v>2373</v>
      </c>
      <c r="H2597" t="s">
        <v>2558</v>
      </c>
      <c r="J2597" t="s">
        <v>16101</v>
      </c>
      <c r="L2597" t="s">
        <v>83</v>
      </c>
      <c r="M2597" t="s">
        <v>85</v>
      </c>
      <c r="R2597" t="s">
        <v>2371</v>
      </c>
      <c r="W2597" t="s">
        <v>2371</v>
      </c>
      <c r="X2597" t="s">
        <v>2374</v>
      </c>
      <c r="Y2597" t="s">
        <v>97</v>
      </c>
      <c r="Z2597" t="s">
        <v>77</v>
      </c>
      <c r="AA2597" t="str">
        <f>"10128-1234"</f>
        <v>10128-1234</v>
      </c>
      <c r="AB2597" t="s">
        <v>78</v>
      </c>
      <c r="AC2597" t="s">
        <v>79</v>
      </c>
      <c r="AD2597" t="s">
        <v>75</v>
      </c>
      <c r="AE2597" t="s">
        <v>80</v>
      </c>
      <c r="AG2597" t="s">
        <v>81</v>
      </c>
    </row>
    <row r="2598" spans="1:33" x14ac:dyDescent="0.25">
      <c r="A2598" t="str">
        <f>"1801992813"</f>
        <v>1801992813</v>
      </c>
      <c r="B2598" t="str">
        <f>"03312856"</f>
        <v>03312856</v>
      </c>
      <c r="C2598" t="s">
        <v>16102</v>
      </c>
      <c r="D2598" t="s">
        <v>16103</v>
      </c>
      <c r="E2598" t="s">
        <v>16104</v>
      </c>
      <c r="G2598" t="s">
        <v>13504</v>
      </c>
      <c r="H2598" t="s">
        <v>13505</v>
      </c>
      <c r="J2598" t="s">
        <v>13506</v>
      </c>
      <c r="L2598" t="s">
        <v>83</v>
      </c>
      <c r="M2598" t="s">
        <v>75</v>
      </c>
      <c r="R2598" t="s">
        <v>16105</v>
      </c>
      <c r="W2598" t="s">
        <v>16104</v>
      </c>
      <c r="X2598" t="s">
        <v>222</v>
      </c>
      <c r="Y2598" t="s">
        <v>199</v>
      </c>
      <c r="Z2598" t="s">
        <v>77</v>
      </c>
      <c r="AA2598" t="str">
        <f>"11706-8408"</f>
        <v>11706-8408</v>
      </c>
      <c r="AB2598" t="s">
        <v>78</v>
      </c>
      <c r="AC2598" t="s">
        <v>79</v>
      </c>
      <c r="AD2598" t="s">
        <v>75</v>
      </c>
      <c r="AE2598" t="s">
        <v>80</v>
      </c>
      <c r="AG2598" t="s">
        <v>81</v>
      </c>
    </row>
    <row r="2599" spans="1:33" x14ac:dyDescent="0.25">
      <c r="A2599" t="str">
        <f>"1073587374"</f>
        <v>1073587374</v>
      </c>
      <c r="B2599" t="str">
        <f>"01205150"</f>
        <v>01205150</v>
      </c>
      <c r="C2599" t="s">
        <v>13436</v>
      </c>
      <c r="D2599" t="s">
        <v>5592</v>
      </c>
      <c r="E2599" t="s">
        <v>5593</v>
      </c>
      <c r="G2599" t="s">
        <v>16106</v>
      </c>
      <c r="L2599" t="s">
        <v>83</v>
      </c>
      <c r="M2599" t="s">
        <v>85</v>
      </c>
      <c r="R2599" t="s">
        <v>5594</v>
      </c>
      <c r="W2599" t="s">
        <v>5593</v>
      </c>
      <c r="X2599" t="s">
        <v>200</v>
      </c>
      <c r="Y2599" t="s">
        <v>97</v>
      </c>
      <c r="Z2599" t="s">
        <v>77</v>
      </c>
      <c r="AA2599" t="str">
        <f>"10032-3720"</f>
        <v>10032-3720</v>
      </c>
      <c r="AB2599" t="s">
        <v>78</v>
      </c>
      <c r="AC2599" t="s">
        <v>79</v>
      </c>
      <c r="AD2599" t="s">
        <v>75</v>
      </c>
      <c r="AE2599" t="s">
        <v>80</v>
      </c>
      <c r="AG2599" t="s">
        <v>81</v>
      </c>
    </row>
    <row r="2600" spans="1:33" x14ac:dyDescent="0.25">
      <c r="A2600" t="str">
        <f>"1316148265"</f>
        <v>1316148265</v>
      </c>
      <c r="B2600" t="str">
        <f>"02933200"</f>
        <v>02933200</v>
      </c>
      <c r="C2600" t="s">
        <v>16107</v>
      </c>
      <c r="D2600" t="s">
        <v>5493</v>
      </c>
      <c r="E2600" t="s">
        <v>5494</v>
      </c>
      <c r="G2600" t="s">
        <v>14326</v>
      </c>
      <c r="H2600" t="s">
        <v>14327</v>
      </c>
      <c r="J2600" t="s">
        <v>14328</v>
      </c>
      <c r="L2600" t="s">
        <v>74</v>
      </c>
      <c r="M2600" t="s">
        <v>75</v>
      </c>
      <c r="R2600" t="s">
        <v>5495</v>
      </c>
      <c r="W2600" t="s">
        <v>5496</v>
      </c>
      <c r="X2600" t="s">
        <v>5497</v>
      </c>
      <c r="Y2600" t="s">
        <v>97</v>
      </c>
      <c r="Z2600" t="s">
        <v>77</v>
      </c>
      <c r="AA2600" t="str">
        <f>"10032"</f>
        <v>10032</v>
      </c>
      <c r="AB2600" t="s">
        <v>78</v>
      </c>
      <c r="AC2600" t="s">
        <v>79</v>
      </c>
      <c r="AD2600" t="s">
        <v>75</v>
      </c>
      <c r="AE2600" t="s">
        <v>80</v>
      </c>
      <c r="AG2600" t="s">
        <v>81</v>
      </c>
    </row>
    <row r="2601" spans="1:33" x14ac:dyDescent="0.25">
      <c r="A2601" t="str">
        <f>"1164853891"</f>
        <v>1164853891</v>
      </c>
      <c r="B2601" t="str">
        <f>"04014893"</f>
        <v>04014893</v>
      </c>
      <c r="C2601" t="s">
        <v>16108</v>
      </c>
      <c r="D2601" t="s">
        <v>5481</v>
      </c>
      <c r="E2601" t="s">
        <v>5482</v>
      </c>
      <c r="G2601" t="s">
        <v>14326</v>
      </c>
      <c r="H2601">
        <v>212875940</v>
      </c>
      <c r="J2601" t="s">
        <v>14328</v>
      </c>
      <c r="L2601" t="s">
        <v>74</v>
      </c>
      <c r="M2601" t="s">
        <v>75</v>
      </c>
      <c r="R2601" t="s">
        <v>5483</v>
      </c>
      <c r="W2601" t="s">
        <v>5482</v>
      </c>
      <c r="X2601" t="s">
        <v>5330</v>
      </c>
      <c r="Y2601" t="s">
        <v>97</v>
      </c>
      <c r="Z2601" t="s">
        <v>77</v>
      </c>
      <c r="AA2601" t="str">
        <f>"10025-3923"</f>
        <v>10025-3923</v>
      </c>
      <c r="AB2601" t="s">
        <v>78</v>
      </c>
      <c r="AC2601" t="s">
        <v>79</v>
      </c>
      <c r="AD2601" t="s">
        <v>75</v>
      </c>
      <c r="AE2601" t="s">
        <v>80</v>
      </c>
      <c r="AG2601" t="s">
        <v>81</v>
      </c>
    </row>
    <row r="2602" spans="1:33" x14ac:dyDescent="0.25">
      <c r="A2602" t="str">
        <f>"1356787469"</f>
        <v>1356787469</v>
      </c>
      <c r="B2602" t="str">
        <f>"04079058"</f>
        <v>04079058</v>
      </c>
      <c r="C2602" t="s">
        <v>16109</v>
      </c>
      <c r="D2602" t="s">
        <v>5498</v>
      </c>
      <c r="E2602" t="s">
        <v>5499</v>
      </c>
      <c r="G2602" t="s">
        <v>14326</v>
      </c>
      <c r="H2602" t="s">
        <v>14327</v>
      </c>
      <c r="J2602" t="s">
        <v>14328</v>
      </c>
      <c r="L2602" t="s">
        <v>74</v>
      </c>
      <c r="M2602" t="s">
        <v>75</v>
      </c>
      <c r="R2602" t="s">
        <v>5500</v>
      </c>
      <c r="W2602" t="s">
        <v>5499</v>
      </c>
      <c r="X2602" t="s">
        <v>5016</v>
      </c>
      <c r="Y2602" t="s">
        <v>97</v>
      </c>
      <c r="Z2602" t="s">
        <v>77</v>
      </c>
      <c r="AA2602" t="str">
        <f>"10025-3923"</f>
        <v>10025-3923</v>
      </c>
      <c r="AB2602" t="s">
        <v>78</v>
      </c>
      <c r="AC2602" t="s">
        <v>79</v>
      </c>
      <c r="AD2602" t="s">
        <v>75</v>
      </c>
      <c r="AE2602" t="s">
        <v>80</v>
      </c>
      <c r="AG2602" t="s">
        <v>81</v>
      </c>
    </row>
    <row r="2603" spans="1:33" x14ac:dyDescent="0.25">
      <c r="A2603" t="str">
        <f>"1174785950"</f>
        <v>1174785950</v>
      </c>
      <c r="B2603" t="str">
        <f>"03433603"</f>
        <v>03433603</v>
      </c>
      <c r="C2603" t="s">
        <v>16110</v>
      </c>
      <c r="D2603" t="s">
        <v>5484</v>
      </c>
      <c r="E2603" t="s">
        <v>5485</v>
      </c>
      <c r="G2603" t="s">
        <v>14326</v>
      </c>
      <c r="H2603" t="s">
        <v>14327</v>
      </c>
      <c r="J2603" t="s">
        <v>14328</v>
      </c>
      <c r="L2603" t="s">
        <v>74</v>
      </c>
      <c r="M2603" t="s">
        <v>85</v>
      </c>
      <c r="R2603" t="s">
        <v>5486</v>
      </c>
      <c r="W2603" t="s">
        <v>5485</v>
      </c>
      <c r="X2603" t="s">
        <v>5016</v>
      </c>
      <c r="Y2603" t="s">
        <v>97</v>
      </c>
      <c r="Z2603" t="s">
        <v>77</v>
      </c>
      <c r="AA2603" t="str">
        <f>"10025-3923"</f>
        <v>10025-3923</v>
      </c>
      <c r="AB2603" t="s">
        <v>78</v>
      </c>
      <c r="AC2603" t="s">
        <v>79</v>
      </c>
      <c r="AD2603" t="s">
        <v>75</v>
      </c>
      <c r="AE2603" t="s">
        <v>80</v>
      </c>
      <c r="AG2603" t="s">
        <v>81</v>
      </c>
    </row>
    <row r="2604" spans="1:33" x14ac:dyDescent="0.25">
      <c r="A2604" t="str">
        <f>"1760576086"</f>
        <v>1760576086</v>
      </c>
      <c r="B2604" t="str">
        <f>"01970209"</f>
        <v>01970209</v>
      </c>
      <c r="C2604" t="s">
        <v>16111</v>
      </c>
      <c r="D2604" t="s">
        <v>16112</v>
      </c>
      <c r="E2604" t="s">
        <v>16113</v>
      </c>
      <c r="G2604" t="s">
        <v>13504</v>
      </c>
      <c r="H2604" t="s">
        <v>13505</v>
      </c>
      <c r="J2604" t="s">
        <v>13506</v>
      </c>
      <c r="L2604" t="s">
        <v>84</v>
      </c>
      <c r="M2604" t="s">
        <v>75</v>
      </c>
      <c r="R2604" t="s">
        <v>16114</v>
      </c>
      <c r="W2604" t="s">
        <v>16115</v>
      </c>
      <c r="X2604" t="s">
        <v>10648</v>
      </c>
      <c r="Y2604" t="s">
        <v>87</v>
      </c>
      <c r="Z2604" t="s">
        <v>77</v>
      </c>
      <c r="AA2604" t="str">
        <f>"11238-6030"</f>
        <v>11238-6030</v>
      </c>
      <c r="AB2604" t="s">
        <v>78</v>
      </c>
      <c r="AC2604" t="s">
        <v>79</v>
      </c>
      <c r="AD2604" t="s">
        <v>75</v>
      </c>
      <c r="AE2604" t="s">
        <v>80</v>
      </c>
      <c r="AG2604" t="s">
        <v>81</v>
      </c>
    </row>
    <row r="2605" spans="1:33" x14ac:dyDescent="0.25">
      <c r="A2605" t="str">
        <f>"1497791974"</f>
        <v>1497791974</v>
      </c>
      <c r="B2605" t="str">
        <f>"01982109"</f>
        <v>01982109</v>
      </c>
      <c r="C2605" t="s">
        <v>16116</v>
      </c>
      <c r="D2605" t="s">
        <v>16117</v>
      </c>
      <c r="E2605" t="s">
        <v>16118</v>
      </c>
      <c r="G2605" t="s">
        <v>13504</v>
      </c>
      <c r="H2605" t="s">
        <v>13505</v>
      </c>
      <c r="J2605" t="s">
        <v>13506</v>
      </c>
      <c r="L2605" t="s">
        <v>84</v>
      </c>
      <c r="M2605" t="s">
        <v>85</v>
      </c>
      <c r="R2605" t="s">
        <v>16118</v>
      </c>
      <c r="W2605" t="s">
        <v>16118</v>
      </c>
      <c r="X2605" t="s">
        <v>202</v>
      </c>
      <c r="Y2605" t="s">
        <v>87</v>
      </c>
      <c r="Z2605" t="s">
        <v>77</v>
      </c>
      <c r="AA2605" t="str">
        <f>"11201-5425"</f>
        <v>11201-5425</v>
      </c>
      <c r="AB2605" t="s">
        <v>78</v>
      </c>
      <c r="AC2605" t="s">
        <v>79</v>
      </c>
      <c r="AD2605" t="s">
        <v>75</v>
      </c>
      <c r="AE2605" t="s">
        <v>80</v>
      </c>
      <c r="AG2605" t="s">
        <v>81</v>
      </c>
    </row>
    <row r="2606" spans="1:33" x14ac:dyDescent="0.25">
      <c r="A2606" t="str">
        <f>"1073615696"</f>
        <v>1073615696</v>
      </c>
      <c r="B2606" t="str">
        <f>"03090246"</f>
        <v>03090246</v>
      </c>
      <c r="C2606" t="s">
        <v>16119</v>
      </c>
      <c r="D2606" t="s">
        <v>16120</v>
      </c>
      <c r="E2606" t="s">
        <v>16121</v>
      </c>
      <c r="G2606" t="s">
        <v>13504</v>
      </c>
      <c r="H2606" t="s">
        <v>13505</v>
      </c>
      <c r="J2606" t="s">
        <v>13506</v>
      </c>
      <c r="L2606" t="s">
        <v>83</v>
      </c>
      <c r="M2606" t="s">
        <v>75</v>
      </c>
      <c r="R2606" t="s">
        <v>16121</v>
      </c>
      <c r="W2606" t="s">
        <v>16122</v>
      </c>
      <c r="X2606" t="s">
        <v>202</v>
      </c>
      <c r="Y2606" t="s">
        <v>87</v>
      </c>
      <c r="Z2606" t="s">
        <v>77</v>
      </c>
      <c r="AA2606" t="str">
        <f>"11201-5425"</f>
        <v>11201-5425</v>
      </c>
      <c r="AB2606" t="s">
        <v>78</v>
      </c>
      <c r="AC2606" t="s">
        <v>79</v>
      </c>
      <c r="AD2606" t="s">
        <v>75</v>
      </c>
      <c r="AE2606" t="s">
        <v>80</v>
      </c>
      <c r="AG2606" t="s">
        <v>81</v>
      </c>
    </row>
    <row r="2607" spans="1:33" x14ac:dyDescent="0.25">
      <c r="A2607" t="str">
        <f>"1972524734"</f>
        <v>1972524734</v>
      </c>
      <c r="C2607" t="s">
        <v>16123</v>
      </c>
      <c r="G2607" t="s">
        <v>13504</v>
      </c>
      <c r="H2607" t="s">
        <v>13505</v>
      </c>
      <c r="J2607" t="s">
        <v>13506</v>
      </c>
      <c r="K2607" t="s">
        <v>99</v>
      </c>
      <c r="L2607" t="s">
        <v>74</v>
      </c>
      <c r="M2607" t="s">
        <v>75</v>
      </c>
      <c r="R2607" t="s">
        <v>16124</v>
      </c>
      <c r="S2607" t="s">
        <v>202</v>
      </c>
      <c r="T2607" t="s">
        <v>87</v>
      </c>
      <c r="U2607" t="s">
        <v>77</v>
      </c>
      <c r="V2607" t="str">
        <f>"112015425"</f>
        <v>112015425</v>
      </c>
      <c r="AC2607" t="s">
        <v>79</v>
      </c>
      <c r="AD2607" t="s">
        <v>75</v>
      </c>
      <c r="AE2607" t="s">
        <v>103</v>
      </c>
      <c r="AG2607" t="s">
        <v>81</v>
      </c>
    </row>
    <row r="2608" spans="1:33" x14ac:dyDescent="0.25">
      <c r="A2608" t="str">
        <f>"1306987581"</f>
        <v>1306987581</v>
      </c>
      <c r="B2608" t="str">
        <f>"01986685"</f>
        <v>01986685</v>
      </c>
      <c r="C2608" t="s">
        <v>16125</v>
      </c>
      <c r="D2608" t="s">
        <v>16126</v>
      </c>
      <c r="E2608" t="s">
        <v>16127</v>
      </c>
      <c r="G2608" t="s">
        <v>13504</v>
      </c>
      <c r="H2608" t="s">
        <v>13505</v>
      </c>
      <c r="J2608" t="s">
        <v>13506</v>
      </c>
      <c r="L2608" t="s">
        <v>84</v>
      </c>
      <c r="M2608" t="s">
        <v>75</v>
      </c>
      <c r="R2608" t="s">
        <v>16128</v>
      </c>
      <c r="W2608" t="s">
        <v>16127</v>
      </c>
      <c r="X2608" t="s">
        <v>16129</v>
      </c>
      <c r="Y2608" t="s">
        <v>335</v>
      </c>
      <c r="Z2608" t="s">
        <v>77</v>
      </c>
      <c r="AA2608" t="str">
        <f>"11385-7067"</f>
        <v>11385-7067</v>
      </c>
      <c r="AB2608" t="s">
        <v>78</v>
      </c>
      <c r="AC2608" t="s">
        <v>79</v>
      </c>
      <c r="AD2608" t="s">
        <v>75</v>
      </c>
      <c r="AE2608" t="s">
        <v>80</v>
      </c>
      <c r="AG2608" t="s">
        <v>81</v>
      </c>
    </row>
    <row r="2609" spans="1:33" x14ac:dyDescent="0.25">
      <c r="A2609" t="str">
        <f>"1861461113"</f>
        <v>1861461113</v>
      </c>
      <c r="B2609" t="str">
        <f>"03493267"</f>
        <v>03493267</v>
      </c>
      <c r="C2609" t="s">
        <v>16130</v>
      </c>
      <c r="D2609" t="s">
        <v>16131</v>
      </c>
      <c r="E2609" t="s">
        <v>16132</v>
      </c>
      <c r="G2609" t="s">
        <v>13504</v>
      </c>
      <c r="H2609" t="s">
        <v>13505</v>
      </c>
      <c r="J2609" t="s">
        <v>13506</v>
      </c>
      <c r="L2609" t="s">
        <v>74</v>
      </c>
      <c r="M2609" t="s">
        <v>85</v>
      </c>
      <c r="R2609" t="s">
        <v>16133</v>
      </c>
      <c r="W2609" t="s">
        <v>16134</v>
      </c>
      <c r="X2609" t="s">
        <v>16135</v>
      </c>
      <c r="Y2609" t="s">
        <v>87</v>
      </c>
      <c r="Z2609" t="s">
        <v>77</v>
      </c>
      <c r="AA2609" t="str">
        <f>"11201-5418"</f>
        <v>11201-5418</v>
      </c>
      <c r="AB2609" t="s">
        <v>78</v>
      </c>
      <c r="AC2609" t="s">
        <v>79</v>
      </c>
      <c r="AD2609" t="s">
        <v>75</v>
      </c>
      <c r="AE2609" t="s">
        <v>80</v>
      </c>
      <c r="AG2609" t="s">
        <v>81</v>
      </c>
    </row>
    <row r="2610" spans="1:33" x14ac:dyDescent="0.25">
      <c r="A2610" t="str">
        <f>"1952358079"</f>
        <v>1952358079</v>
      </c>
      <c r="B2610" t="str">
        <f>"02753400"</f>
        <v>02753400</v>
      </c>
      <c r="C2610" t="s">
        <v>16136</v>
      </c>
      <c r="D2610" t="s">
        <v>4783</v>
      </c>
      <c r="E2610" t="s">
        <v>4784</v>
      </c>
      <c r="G2610" t="s">
        <v>13504</v>
      </c>
      <c r="H2610" t="s">
        <v>13505</v>
      </c>
      <c r="J2610" t="s">
        <v>13506</v>
      </c>
      <c r="L2610" t="s">
        <v>84</v>
      </c>
      <c r="M2610" t="s">
        <v>85</v>
      </c>
      <c r="R2610" t="s">
        <v>4785</v>
      </c>
      <c r="W2610" t="s">
        <v>4784</v>
      </c>
      <c r="X2610" t="s">
        <v>2902</v>
      </c>
      <c r="Y2610" t="s">
        <v>2903</v>
      </c>
      <c r="Z2610" t="s">
        <v>77</v>
      </c>
      <c r="AA2610" t="str">
        <f>"12775-6049"</f>
        <v>12775-6049</v>
      </c>
      <c r="AB2610" t="s">
        <v>78</v>
      </c>
      <c r="AC2610" t="s">
        <v>79</v>
      </c>
      <c r="AD2610" t="s">
        <v>75</v>
      </c>
      <c r="AE2610" t="s">
        <v>80</v>
      </c>
      <c r="AG2610" t="s">
        <v>81</v>
      </c>
    </row>
    <row r="2611" spans="1:33" x14ac:dyDescent="0.25">
      <c r="A2611" t="str">
        <f>"1356400998"</f>
        <v>1356400998</v>
      </c>
      <c r="B2611" t="str">
        <f>"02310552"</f>
        <v>02310552</v>
      </c>
      <c r="C2611" t="s">
        <v>16137</v>
      </c>
      <c r="D2611" t="s">
        <v>16138</v>
      </c>
      <c r="E2611" t="s">
        <v>16139</v>
      </c>
      <c r="G2611" t="s">
        <v>13504</v>
      </c>
      <c r="H2611" t="s">
        <v>13505</v>
      </c>
      <c r="J2611" t="s">
        <v>13506</v>
      </c>
      <c r="L2611" t="s">
        <v>84</v>
      </c>
      <c r="M2611" t="s">
        <v>75</v>
      </c>
      <c r="R2611" t="s">
        <v>16139</v>
      </c>
      <c r="W2611" t="s">
        <v>16139</v>
      </c>
      <c r="X2611" t="s">
        <v>202</v>
      </c>
      <c r="Y2611" t="s">
        <v>87</v>
      </c>
      <c r="Z2611" t="s">
        <v>77</v>
      </c>
      <c r="AA2611" t="str">
        <f>"11201-5425"</f>
        <v>11201-5425</v>
      </c>
      <c r="AB2611" t="s">
        <v>78</v>
      </c>
      <c r="AC2611" t="s">
        <v>79</v>
      </c>
      <c r="AD2611" t="s">
        <v>75</v>
      </c>
      <c r="AE2611" t="s">
        <v>80</v>
      </c>
      <c r="AG2611" t="s">
        <v>81</v>
      </c>
    </row>
    <row r="2612" spans="1:33" x14ac:dyDescent="0.25">
      <c r="A2612" t="str">
        <f>"1609078450"</f>
        <v>1609078450</v>
      </c>
      <c r="B2612" t="str">
        <f>"04349226"</f>
        <v>04349226</v>
      </c>
      <c r="C2612" t="s">
        <v>16140</v>
      </c>
      <c r="D2612" t="s">
        <v>16141</v>
      </c>
      <c r="E2612" t="s">
        <v>16142</v>
      </c>
      <c r="G2612" t="s">
        <v>13504</v>
      </c>
      <c r="H2612" t="s">
        <v>13505</v>
      </c>
      <c r="J2612" t="s">
        <v>13506</v>
      </c>
      <c r="L2612" t="s">
        <v>102</v>
      </c>
      <c r="M2612" t="s">
        <v>75</v>
      </c>
      <c r="R2612" t="s">
        <v>16143</v>
      </c>
      <c r="W2612" t="s">
        <v>16142</v>
      </c>
      <c r="X2612" t="s">
        <v>16144</v>
      </c>
      <c r="Y2612" t="s">
        <v>87</v>
      </c>
      <c r="Z2612" t="s">
        <v>77</v>
      </c>
      <c r="AA2612" t="str">
        <f>"11201"</f>
        <v>11201</v>
      </c>
      <c r="AB2612" t="s">
        <v>78</v>
      </c>
      <c r="AC2612" t="s">
        <v>79</v>
      </c>
      <c r="AD2612" t="s">
        <v>75</v>
      </c>
      <c r="AE2612" t="s">
        <v>80</v>
      </c>
      <c r="AG2612" t="s">
        <v>81</v>
      </c>
    </row>
    <row r="2613" spans="1:33" x14ac:dyDescent="0.25">
      <c r="A2613" t="str">
        <f>"1306068788"</f>
        <v>1306068788</v>
      </c>
      <c r="B2613" t="str">
        <f>"03712470"</f>
        <v>03712470</v>
      </c>
      <c r="C2613" t="s">
        <v>13436</v>
      </c>
      <c r="D2613" t="s">
        <v>16145</v>
      </c>
      <c r="E2613" t="s">
        <v>16146</v>
      </c>
      <c r="G2613" t="s">
        <v>16147</v>
      </c>
      <c r="L2613" t="s">
        <v>83</v>
      </c>
      <c r="M2613" t="s">
        <v>85</v>
      </c>
      <c r="R2613" t="s">
        <v>16148</v>
      </c>
      <c r="W2613" t="s">
        <v>16146</v>
      </c>
      <c r="X2613" t="s">
        <v>16149</v>
      </c>
      <c r="Y2613" t="s">
        <v>97</v>
      </c>
      <c r="Z2613" t="s">
        <v>77</v>
      </c>
      <c r="AA2613" t="str">
        <f>"10025-1716"</f>
        <v>10025-1716</v>
      </c>
      <c r="AB2613" t="s">
        <v>78</v>
      </c>
      <c r="AC2613" t="s">
        <v>79</v>
      </c>
      <c r="AD2613" t="s">
        <v>75</v>
      </c>
      <c r="AE2613" t="s">
        <v>80</v>
      </c>
      <c r="AG2613" t="s">
        <v>81</v>
      </c>
    </row>
    <row r="2614" spans="1:33" x14ac:dyDescent="0.25">
      <c r="A2614" t="str">
        <f>"1306073812"</f>
        <v>1306073812</v>
      </c>
      <c r="B2614" t="str">
        <f>"03503679"</f>
        <v>03503679</v>
      </c>
      <c r="C2614" t="s">
        <v>13436</v>
      </c>
      <c r="D2614" t="s">
        <v>16150</v>
      </c>
      <c r="E2614" t="s">
        <v>16151</v>
      </c>
      <c r="G2614" t="s">
        <v>16152</v>
      </c>
      <c r="L2614" t="s">
        <v>74</v>
      </c>
      <c r="M2614" t="s">
        <v>85</v>
      </c>
      <c r="R2614" t="s">
        <v>16151</v>
      </c>
      <c r="W2614" t="s">
        <v>16153</v>
      </c>
      <c r="X2614" t="s">
        <v>16154</v>
      </c>
      <c r="Y2614" t="s">
        <v>97</v>
      </c>
      <c r="Z2614" t="s">
        <v>77</v>
      </c>
      <c r="AA2614" t="str">
        <f>"10003-0000"</f>
        <v>10003-0000</v>
      </c>
      <c r="AB2614" t="s">
        <v>78</v>
      </c>
      <c r="AC2614" t="s">
        <v>79</v>
      </c>
      <c r="AD2614" t="s">
        <v>75</v>
      </c>
      <c r="AE2614" t="s">
        <v>80</v>
      </c>
      <c r="AG2614" t="s">
        <v>81</v>
      </c>
    </row>
    <row r="2615" spans="1:33" x14ac:dyDescent="0.25">
      <c r="A2615" t="str">
        <f>"1306157599"</f>
        <v>1306157599</v>
      </c>
      <c r="B2615" t="str">
        <f>"03722589"</f>
        <v>03722589</v>
      </c>
      <c r="C2615" t="s">
        <v>13436</v>
      </c>
      <c r="D2615" t="s">
        <v>16155</v>
      </c>
      <c r="E2615" t="s">
        <v>16156</v>
      </c>
      <c r="G2615" t="s">
        <v>16157</v>
      </c>
      <c r="L2615" t="s">
        <v>83</v>
      </c>
      <c r="M2615" t="s">
        <v>85</v>
      </c>
      <c r="R2615" t="s">
        <v>16156</v>
      </c>
      <c r="W2615" t="s">
        <v>16156</v>
      </c>
      <c r="X2615" t="s">
        <v>181</v>
      </c>
      <c r="Y2615" t="s">
        <v>97</v>
      </c>
      <c r="Z2615" t="s">
        <v>77</v>
      </c>
      <c r="AA2615" t="str">
        <f>"10025-1716"</f>
        <v>10025-1716</v>
      </c>
      <c r="AB2615" t="s">
        <v>78</v>
      </c>
      <c r="AC2615" t="s">
        <v>79</v>
      </c>
      <c r="AD2615" t="s">
        <v>75</v>
      </c>
      <c r="AE2615" t="s">
        <v>80</v>
      </c>
      <c r="AG2615" t="s">
        <v>81</v>
      </c>
    </row>
    <row r="2616" spans="1:33" x14ac:dyDescent="0.25">
      <c r="A2616" t="str">
        <f>"1306260849"</f>
        <v>1306260849</v>
      </c>
      <c r="C2616" t="s">
        <v>13436</v>
      </c>
      <c r="G2616" t="s">
        <v>16158</v>
      </c>
      <c r="K2616" t="s">
        <v>99</v>
      </c>
      <c r="L2616" t="s">
        <v>102</v>
      </c>
      <c r="M2616" t="s">
        <v>85</v>
      </c>
      <c r="R2616" t="s">
        <v>16159</v>
      </c>
      <c r="S2616" t="s">
        <v>16160</v>
      </c>
      <c r="T2616" t="s">
        <v>97</v>
      </c>
      <c r="U2616" t="s">
        <v>77</v>
      </c>
      <c r="V2616" t="str">
        <f>"100251737"</f>
        <v>100251737</v>
      </c>
      <c r="AC2616" t="s">
        <v>79</v>
      </c>
      <c r="AD2616" t="s">
        <v>75</v>
      </c>
      <c r="AE2616" t="s">
        <v>103</v>
      </c>
      <c r="AG2616" t="s">
        <v>81</v>
      </c>
    </row>
    <row r="2617" spans="1:33" x14ac:dyDescent="0.25">
      <c r="A2617" t="str">
        <f>"1316108533"</f>
        <v>1316108533</v>
      </c>
      <c r="B2617" t="str">
        <f>"03545526"</f>
        <v>03545526</v>
      </c>
      <c r="C2617" t="s">
        <v>13436</v>
      </c>
      <c r="D2617" t="s">
        <v>16161</v>
      </c>
      <c r="E2617" t="s">
        <v>16162</v>
      </c>
      <c r="G2617" t="s">
        <v>16163</v>
      </c>
      <c r="L2617" t="s">
        <v>94</v>
      </c>
      <c r="M2617" t="s">
        <v>85</v>
      </c>
      <c r="R2617" t="s">
        <v>16164</v>
      </c>
      <c r="W2617" t="s">
        <v>16162</v>
      </c>
      <c r="X2617" t="s">
        <v>16165</v>
      </c>
      <c r="Y2617" t="s">
        <v>87</v>
      </c>
      <c r="Z2617" t="s">
        <v>77</v>
      </c>
      <c r="AA2617" t="str">
        <f>"11249-2927"</f>
        <v>11249-2927</v>
      </c>
      <c r="AB2617" t="s">
        <v>78</v>
      </c>
      <c r="AC2617" t="s">
        <v>79</v>
      </c>
      <c r="AD2617" t="s">
        <v>75</v>
      </c>
      <c r="AE2617" t="s">
        <v>80</v>
      </c>
      <c r="AG2617" t="s">
        <v>81</v>
      </c>
    </row>
    <row r="2618" spans="1:33" x14ac:dyDescent="0.25">
      <c r="A2618" t="str">
        <f>"1316173214"</f>
        <v>1316173214</v>
      </c>
      <c r="B2618" t="str">
        <f>"03151631"</f>
        <v>03151631</v>
      </c>
      <c r="C2618" t="s">
        <v>13436</v>
      </c>
      <c r="D2618" t="s">
        <v>16166</v>
      </c>
      <c r="E2618" t="s">
        <v>16167</v>
      </c>
      <c r="G2618" t="s">
        <v>16168</v>
      </c>
      <c r="L2618" t="s">
        <v>74</v>
      </c>
      <c r="M2618" t="s">
        <v>85</v>
      </c>
      <c r="R2618" t="s">
        <v>16169</v>
      </c>
      <c r="W2618" t="s">
        <v>16170</v>
      </c>
      <c r="X2618" t="s">
        <v>16171</v>
      </c>
      <c r="Y2618" t="s">
        <v>87</v>
      </c>
      <c r="Z2618" t="s">
        <v>77</v>
      </c>
      <c r="AA2618" t="str">
        <f>"11203-2012"</f>
        <v>11203-2012</v>
      </c>
      <c r="AB2618" t="s">
        <v>78</v>
      </c>
      <c r="AC2618" t="s">
        <v>79</v>
      </c>
      <c r="AD2618" t="s">
        <v>75</v>
      </c>
      <c r="AE2618" t="s">
        <v>80</v>
      </c>
      <c r="AG2618" t="s">
        <v>81</v>
      </c>
    </row>
    <row r="2619" spans="1:33" x14ac:dyDescent="0.25">
      <c r="A2619" t="str">
        <f>"1316282791"</f>
        <v>1316282791</v>
      </c>
      <c r="C2619" t="s">
        <v>13436</v>
      </c>
      <c r="G2619" t="s">
        <v>16172</v>
      </c>
      <c r="K2619" t="s">
        <v>99</v>
      </c>
      <c r="L2619" t="s">
        <v>102</v>
      </c>
      <c r="M2619" t="s">
        <v>85</v>
      </c>
      <c r="R2619" t="s">
        <v>16173</v>
      </c>
      <c r="S2619" t="s">
        <v>181</v>
      </c>
      <c r="T2619" t="s">
        <v>97</v>
      </c>
      <c r="U2619" t="s">
        <v>77</v>
      </c>
      <c r="V2619" t="str">
        <f>"100251716"</f>
        <v>100251716</v>
      </c>
      <c r="AC2619" t="s">
        <v>79</v>
      </c>
      <c r="AD2619" t="s">
        <v>75</v>
      </c>
      <c r="AE2619" t="s">
        <v>103</v>
      </c>
      <c r="AG2619" t="s">
        <v>81</v>
      </c>
    </row>
    <row r="2620" spans="1:33" x14ac:dyDescent="0.25">
      <c r="A2620" t="str">
        <f>"1164509683"</f>
        <v>1164509683</v>
      </c>
      <c r="B2620" t="str">
        <f>"02801412"</f>
        <v>02801412</v>
      </c>
      <c r="C2620" t="s">
        <v>13436</v>
      </c>
      <c r="D2620" t="s">
        <v>16174</v>
      </c>
      <c r="E2620" t="s">
        <v>16175</v>
      </c>
      <c r="G2620" t="s">
        <v>16176</v>
      </c>
      <c r="L2620" t="s">
        <v>84</v>
      </c>
      <c r="M2620" t="s">
        <v>85</v>
      </c>
      <c r="R2620" t="s">
        <v>16177</v>
      </c>
      <c r="W2620" t="s">
        <v>16175</v>
      </c>
      <c r="X2620" t="s">
        <v>14588</v>
      </c>
      <c r="Y2620" t="s">
        <v>97</v>
      </c>
      <c r="Z2620" t="s">
        <v>77</v>
      </c>
      <c r="AA2620" t="str">
        <f>"10003-3314"</f>
        <v>10003-3314</v>
      </c>
      <c r="AB2620" t="s">
        <v>78</v>
      </c>
      <c r="AC2620" t="s">
        <v>79</v>
      </c>
      <c r="AD2620" t="s">
        <v>75</v>
      </c>
      <c r="AE2620" t="s">
        <v>80</v>
      </c>
      <c r="AG2620" t="s">
        <v>81</v>
      </c>
    </row>
    <row r="2621" spans="1:33" x14ac:dyDescent="0.25">
      <c r="A2621" t="str">
        <f>"1164573432"</f>
        <v>1164573432</v>
      </c>
      <c r="B2621" t="str">
        <f>"03730518"</f>
        <v>03730518</v>
      </c>
      <c r="C2621" t="s">
        <v>13436</v>
      </c>
      <c r="D2621" t="s">
        <v>16178</v>
      </c>
      <c r="E2621" t="s">
        <v>16179</v>
      </c>
      <c r="G2621" t="s">
        <v>16180</v>
      </c>
      <c r="L2621" t="s">
        <v>74</v>
      </c>
      <c r="M2621" t="s">
        <v>85</v>
      </c>
      <c r="R2621" t="s">
        <v>16181</v>
      </c>
      <c r="W2621" t="s">
        <v>16179</v>
      </c>
      <c r="X2621" t="s">
        <v>16182</v>
      </c>
      <c r="Y2621" t="s">
        <v>97</v>
      </c>
      <c r="Z2621" t="s">
        <v>77</v>
      </c>
      <c r="AA2621" t="str">
        <f>"10019-1147"</f>
        <v>10019-1147</v>
      </c>
      <c r="AB2621" t="s">
        <v>82</v>
      </c>
      <c r="AC2621" t="s">
        <v>79</v>
      </c>
      <c r="AD2621" t="s">
        <v>75</v>
      </c>
      <c r="AE2621" t="s">
        <v>80</v>
      </c>
      <c r="AG2621" t="s">
        <v>81</v>
      </c>
    </row>
    <row r="2622" spans="1:33" x14ac:dyDescent="0.25">
      <c r="A2622" t="str">
        <f>"1164596466"</f>
        <v>1164596466</v>
      </c>
      <c r="B2622" t="str">
        <f>"02281730"</f>
        <v>02281730</v>
      </c>
      <c r="C2622" t="s">
        <v>13436</v>
      </c>
      <c r="D2622" t="s">
        <v>16183</v>
      </c>
      <c r="E2622" t="s">
        <v>16184</v>
      </c>
      <c r="G2622" t="s">
        <v>16185</v>
      </c>
      <c r="L2622" t="s">
        <v>83</v>
      </c>
      <c r="M2622" t="s">
        <v>85</v>
      </c>
      <c r="R2622" t="s">
        <v>16186</v>
      </c>
      <c r="W2622" t="s">
        <v>16184</v>
      </c>
      <c r="X2622" t="s">
        <v>625</v>
      </c>
      <c r="Y2622" t="s">
        <v>131</v>
      </c>
      <c r="Z2622" t="s">
        <v>77</v>
      </c>
      <c r="AA2622" t="str">
        <f>"10457-7697"</f>
        <v>10457-7697</v>
      </c>
      <c r="AB2622" t="s">
        <v>78</v>
      </c>
      <c r="AC2622" t="s">
        <v>79</v>
      </c>
      <c r="AD2622" t="s">
        <v>75</v>
      </c>
      <c r="AE2622" t="s">
        <v>80</v>
      </c>
      <c r="AG2622" t="s">
        <v>81</v>
      </c>
    </row>
    <row r="2623" spans="1:33" x14ac:dyDescent="0.25">
      <c r="A2623" t="str">
        <f>"1235196320"</f>
        <v>1235196320</v>
      </c>
      <c r="B2623" t="str">
        <f>"01231589"</f>
        <v>01231589</v>
      </c>
      <c r="C2623" t="s">
        <v>16187</v>
      </c>
      <c r="D2623" t="s">
        <v>5936</v>
      </c>
      <c r="E2623" t="s">
        <v>5937</v>
      </c>
      <c r="G2623" t="s">
        <v>9477</v>
      </c>
      <c r="H2623" t="s">
        <v>4867</v>
      </c>
      <c r="I2623">
        <v>135</v>
      </c>
      <c r="J2623" t="s">
        <v>5634</v>
      </c>
      <c r="L2623" t="s">
        <v>84</v>
      </c>
      <c r="M2623" t="s">
        <v>75</v>
      </c>
      <c r="R2623" t="s">
        <v>5938</v>
      </c>
      <c r="W2623" t="s">
        <v>5937</v>
      </c>
      <c r="X2623" t="s">
        <v>197</v>
      </c>
      <c r="Y2623" t="s">
        <v>180</v>
      </c>
      <c r="Z2623" t="s">
        <v>77</v>
      </c>
      <c r="AA2623" t="str">
        <f>"10701-4006"</f>
        <v>10701-4006</v>
      </c>
      <c r="AB2623" t="s">
        <v>78</v>
      </c>
      <c r="AC2623" t="s">
        <v>79</v>
      </c>
      <c r="AD2623" t="s">
        <v>75</v>
      </c>
      <c r="AE2623" t="s">
        <v>80</v>
      </c>
      <c r="AG2623" t="s">
        <v>81</v>
      </c>
    </row>
    <row r="2624" spans="1:33" x14ac:dyDescent="0.25">
      <c r="A2624" t="str">
        <f>"1770571135"</f>
        <v>1770571135</v>
      </c>
      <c r="B2624" t="str">
        <f>"01545091"</f>
        <v>01545091</v>
      </c>
      <c r="C2624" t="s">
        <v>16188</v>
      </c>
      <c r="D2624" t="s">
        <v>5881</v>
      </c>
      <c r="E2624" t="s">
        <v>5882</v>
      </c>
      <c r="G2624" t="s">
        <v>9477</v>
      </c>
      <c r="H2624" t="s">
        <v>4867</v>
      </c>
      <c r="I2624">
        <v>135</v>
      </c>
      <c r="J2624" t="s">
        <v>5634</v>
      </c>
      <c r="L2624" t="s">
        <v>83</v>
      </c>
      <c r="M2624" t="s">
        <v>85</v>
      </c>
      <c r="R2624" t="s">
        <v>5883</v>
      </c>
      <c r="W2624" t="s">
        <v>5882</v>
      </c>
      <c r="X2624" t="s">
        <v>350</v>
      </c>
      <c r="Y2624" t="s">
        <v>131</v>
      </c>
      <c r="Z2624" t="s">
        <v>77</v>
      </c>
      <c r="AA2624" t="str">
        <f>"10451-5504"</f>
        <v>10451-5504</v>
      </c>
      <c r="AB2624" t="s">
        <v>78</v>
      </c>
      <c r="AC2624" t="s">
        <v>79</v>
      </c>
      <c r="AD2624" t="s">
        <v>75</v>
      </c>
      <c r="AE2624" t="s">
        <v>80</v>
      </c>
      <c r="AG2624" t="s">
        <v>81</v>
      </c>
    </row>
    <row r="2625" spans="1:33" x14ac:dyDescent="0.25">
      <c r="A2625" t="str">
        <f>"1801087689"</f>
        <v>1801087689</v>
      </c>
      <c r="B2625" t="str">
        <f>"03269770"</f>
        <v>03269770</v>
      </c>
      <c r="C2625" t="s">
        <v>16189</v>
      </c>
      <c r="D2625" t="s">
        <v>5631</v>
      </c>
      <c r="E2625" t="s">
        <v>5632</v>
      </c>
      <c r="G2625" t="s">
        <v>9477</v>
      </c>
      <c r="H2625" t="s">
        <v>4867</v>
      </c>
      <c r="I2625">
        <v>135</v>
      </c>
      <c r="J2625" t="s">
        <v>5634</v>
      </c>
      <c r="L2625" t="s">
        <v>105</v>
      </c>
      <c r="M2625" t="s">
        <v>75</v>
      </c>
      <c r="R2625" t="s">
        <v>5635</v>
      </c>
      <c r="W2625" t="s">
        <v>5632</v>
      </c>
      <c r="X2625" t="s">
        <v>1181</v>
      </c>
      <c r="Y2625" t="s">
        <v>131</v>
      </c>
      <c r="Z2625" t="s">
        <v>77</v>
      </c>
      <c r="AA2625" t="str">
        <f>"10456-4145"</f>
        <v>10456-4145</v>
      </c>
      <c r="AB2625" t="s">
        <v>125</v>
      </c>
      <c r="AC2625" t="s">
        <v>79</v>
      </c>
      <c r="AD2625" t="s">
        <v>75</v>
      </c>
      <c r="AE2625" t="s">
        <v>80</v>
      </c>
      <c r="AG2625" t="s">
        <v>81</v>
      </c>
    </row>
    <row r="2626" spans="1:33" x14ac:dyDescent="0.25">
      <c r="A2626" t="str">
        <f>"1649430729"</f>
        <v>1649430729</v>
      </c>
      <c r="B2626" t="str">
        <f>"03734241"</f>
        <v>03734241</v>
      </c>
      <c r="C2626" t="s">
        <v>16190</v>
      </c>
      <c r="D2626" t="s">
        <v>5992</v>
      </c>
      <c r="E2626" t="s">
        <v>5993</v>
      </c>
      <c r="G2626" t="s">
        <v>9477</v>
      </c>
      <c r="H2626" t="s">
        <v>4867</v>
      </c>
      <c r="I2626">
        <v>135</v>
      </c>
      <c r="J2626" t="s">
        <v>5634</v>
      </c>
      <c r="L2626" t="s">
        <v>83</v>
      </c>
      <c r="M2626" t="s">
        <v>75</v>
      </c>
      <c r="R2626" t="s">
        <v>5994</v>
      </c>
      <c r="W2626" t="s">
        <v>5993</v>
      </c>
      <c r="X2626" t="s">
        <v>5626</v>
      </c>
      <c r="Y2626" t="s">
        <v>180</v>
      </c>
      <c r="Z2626" t="s">
        <v>77</v>
      </c>
      <c r="AA2626" t="str">
        <f>"10701-4006"</f>
        <v>10701-4006</v>
      </c>
      <c r="AB2626" t="s">
        <v>78</v>
      </c>
      <c r="AC2626" t="s">
        <v>79</v>
      </c>
      <c r="AD2626" t="s">
        <v>75</v>
      </c>
      <c r="AE2626" t="s">
        <v>80</v>
      </c>
      <c r="AG2626" t="s">
        <v>81</v>
      </c>
    </row>
    <row r="2627" spans="1:33" x14ac:dyDescent="0.25">
      <c r="C2627" t="s">
        <v>16191</v>
      </c>
      <c r="G2627" t="s">
        <v>9477</v>
      </c>
      <c r="H2627" t="s">
        <v>4867</v>
      </c>
      <c r="I2627">
        <v>135</v>
      </c>
      <c r="J2627" t="s">
        <v>5634</v>
      </c>
      <c r="K2627" t="s">
        <v>99</v>
      </c>
      <c r="L2627" t="s">
        <v>100</v>
      </c>
      <c r="M2627" t="s">
        <v>75</v>
      </c>
      <c r="N2627" t="s">
        <v>16192</v>
      </c>
      <c r="O2627" t="s">
        <v>16193</v>
      </c>
      <c r="P2627" t="s">
        <v>77</v>
      </c>
      <c r="Q2627" t="str">
        <f>"10502"</f>
        <v>10502</v>
      </c>
      <c r="AC2627" t="s">
        <v>79</v>
      </c>
      <c r="AD2627" t="s">
        <v>75</v>
      </c>
      <c r="AE2627" t="s">
        <v>101</v>
      </c>
      <c r="AG2627" t="s">
        <v>81</v>
      </c>
    </row>
    <row r="2628" spans="1:33" x14ac:dyDescent="0.25">
      <c r="C2628" t="s">
        <v>16194</v>
      </c>
      <c r="G2628" t="s">
        <v>9477</v>
      </c>
      <c r="H2628" t="s">
        <v>4867</v>
      </c>
      <c r="I2628">
        <v>135</v>
      </c>
      <c r="J2628" t="s">
        <v>5634</v>
      </c>
      <c r="K2628" t="s">
        <v>99</v>
      </c>
      <c r="L2628" t="s">
        <v>100</v>
      </c>
      <c r="M2628" t="s">
        <v>75</v>
      </c>
      <c r="N2628" t="s">
        <v>9986</v>
      </c>
      <c r="O2628" t="s">
        <v>296</v>
      </c>
      <c r="P2628" t="s">
        <v>77</v>
      </c>
      <c r="Q2628" t="str">
        <f>"10461"</f>
        <v>10461</v>
      </c>
      <c r="AC2628" t="s">
        <v>79</v>
      </c>
      <c r="AD2628" t="s">
        <v>75</v>
      </c>
      <c r="AE2628" t="s">
        <v>101</v>
      </c>
      <c r="AG2628" t="s">
        <v>81</v>
      </c>
    </row>
    <row r="2629" spans="1:33" x14ac:dyDescent="0.25">
      <c r="A2629" t="str">
        <f>"1992951925"</f>
        <v>1992951925</v>
      </c>
      <c r="B2629" t="str">
        <f>"03202568"</f>
        <v>03202568</v>
      </c>
      <c r="C2629" t="s">
        <v>16195</v>
      </c>
      <c r="D2629" t="s">
        <v>5888</v>
      </c>
      <c r="E2629" t="s">
        <v>5889</v>
      </c>
      <c r="G2629" t="s">
        <v>9477</v>
      </c>
      <c r="H2629" t="s">
        <v>4867</v>
      </c>
      <c r="I2629">
        <v>135</v>
      </c>
      <c r="J2629" t="s">
        <v>5634</v>
      </c>
      <c r="L2629" t="s">
        <v>83</v>
      </c>
      <c r="M2629" t="s">
        <v>75</v>
      </c>
      <c r="R2629" t="s">
        <v>836</v>
      </c>
      <c r="W2629" t="s">
        <v>5890</v>
      </c>
      <c r="X2629" t="s">
        <v>5891</v>
      </c>
      <c r="Y2629" t="s">
        <v>180</v>
      </c>
      <c r="Z2629" t="s">
        <v>77</v>
      </c>
      <c r="AA2629" t="str">
        <f>"10701-1308"</f>
        <v>10701-1308</v>
      </c>
      <c r="AB2629" t="s">
        <v>78</v>
      </c>
      <c r="AC2629" t="s">
        <v>79</v>
      </c>
      <c r="AD2629" t="s">
        <v>75</v>
      </c>
      <c r="AE2629" t="s">
        <v>80</v>
      </c>
      <c r="AG2629" t="s">
        <v>81</v>
      </c>
    </row>
    <row r="2630" spans="1:33" x14ac:dyDescent="0.25">
      <c r="A2630" t="str">
        <f>"1700833951"</f>
        <v>1700833951</v>
      </c>
      <c r="B2630" t="str">
        <f>"02932621"</f>
        <v>02932621</v>
      </c>
      <c r="C2630" t="s">
        <v>13436</v>
      </c>
      <c r="D2630" t="s">
        <v>16196</v>
      </c>
      <c r="E2630" t="s">
        <v>16197</v>
      </c>
      <c r="G2630" t="s">
        <v>16198</v>
      </c>
      <c r="L2630" t="s">
        <v>83</v>
      </c>
      <c r="M2630" t="s">
        <v>85</v>
      </c>
      <c r="R2630" t="s">
        <v>16199</v>
      </c>
      <c r="W2630" t="s">
        <v>16200</v>
      </c>
      <c r="X2630" t="s">
        <v>3037</v>
      </c>
      <c r="Y2630" t="s">
        <v>97</v>
      </c>
      <c r="Z2630" t="s">
        <v>77</v>
      </c>
      <c r="AA2630" t="str">
        <f>"10003"</f>
        <v>10003</v>
      </c>
      <c r="AB2630" t="s">
        <v>78</v>
      </c>
      <c r="AC2630" t="s">
        <v>79</v>
      </c>
      <c r="AD2630" t="s">
        <v>75</v>
      </c>
      <c r="AE2630" t="s">
        <v>80</v>
      </c>
      <c r="AG2630" t="s">
        <v>81</v>
      </c>
    </row>
    <row r="2631" spans="1:33" x14ac:dyDescent="0.25">
      <c r="A2631" t="str">
        <f>"1700837432"</f>
        <v>1700837432</v>
      </c>
      <c r="B2631" t="str">
        <f>"01769355"</f>
        <v>01769355</v>
      </c>
      <c r="C2631" t="s">
        <v>13436</v>
      </c>
      <c r="D2631" t="s">
        <v>16201</v>
      </c>
      <c r="E2631" t="s">
        <v>16202</v>
      </c>
      <c r="G2631" t="s">
        <v>16203</v>
      </c>
      <c r="L2631" t="s">
        <v>83</v>
      </c>
      <c r="M2631" t="s">
        <v>85</v>
      </c>
      <c r="R2631" t="s">
        <v>16204</v>
      </c>
      <c r="W2631" t="s">
        <v>16202</v>
      </c>
      <c r="X2631" t="s">
        <v>2926</v>
      </c>
      <c r="Y2631" t="s">
        <v>97</v>
      </c>
      <c r="Z2631" t="s">
        <v>77</v>
      </c>
      <c r="AA2631" t="str">
        <f>"10029-6503"</f>
        <v>10029-6503</v>
      </c>
      <c r="AB2631" t="s">
        <v>78</v>
      </c>
      <c r="AC2631" t="s">
        <v>79</v>
      </c>
      <c r="AD2631" t="s">
        <v>75</v>
      </c>
      <c r="AE2631" t="s">
        <v>80</v>
      </c>
      <c r="AG2631" t="s">
        <v>81</v>
      </c>
    </row>
    <row r="2632" spans="1:33" x14ac:dyDescent="0.25">
      <c r="A2632" t="str">
        <f>"1700847316"</f>
        <v>1700847316</v>
      </c>
      <c r="B2632" t="str">
        <f>"02632222"</f>
        <v>02632222</v>
      </c>
      <c r="C2632" t="s">
        <v>13436</v>
      </c>
      <c r="D2632" t="s">
        <v>16205</v>
      </c>
      <c r="E2632" t="s">
        <v>16206</v>
      </c>
      <c r="G2632" t="s">
        <v>16207</v>
      </c>
      <c r="L2632" t="s">
        <v>74</v>
      </c>
      <c r="M2632" t="s">
        <v>85</v>
      </c>
      <c r="R2632" t="s">
        <v>16208</v>
      </c>
      <c r="W2632" t="s">
        <v>16206</v>
      </c>
      <c r="X2632" t="s">
        <v>191</v>
      </c>
      <c r="Y2632" t="s">
        <v>97</v>
      </c>
      <c r="Z2632" t="s">
        <v>77</v>
      </c>
      <c r="AA2632" t="str">
        <f>"10019-1147"</f>
        <v>10019-1147</v>
      </c>
      <c r="AB2632" t="s">
        <v>78</v>
      </c>
      <c r="AC2632" t="s">
        <v>79</v>
      </c>
      <c r="AD2632" t="s">
        <v>75</v>
      </c>
      <c r="AE2632" t="s">
        <v>80</v>
      </c>
      <c r="AG2632" t="s">
        <v>81</v>
      </c>
    </row>
    <row r="2633" spans="1:33" x14ac:dyDescent="0.25">
      <c r="A2633" t="str">
        <f>"1467610683"</f>
        <v>1467610683</v>
      </c>
      <c r="B2633" t="str">
        <f>"04271183"</f>
        <v>04271183</v>
      </c>
      <c r="C2633" t="s">
        <v>13436</v>
      </c>
      <c r="D2633" t="s">
        <v>16209</v>
      </c>
      <c r="E2633" t="s">
        <v>16210</v>
      </c>
      <c r="G2633" t="s">
        <v>16211</v>
      </c>
      <c r="L2633" t="s">
        <v>74</v>
      </c>
      <c r="M2633" t="s">
        <v>85</v>
      </c>
      <c r="R2633" t="s">
        <v>16210</v>
      </c>
      <c r="W2633" t="s">
        <v>16210</v>
      </c>
      <c r="X2633" t="s">
        <v>16212</v>
      </c>
      <c r="Y2633" t="s">
        <v>97</v>
      </c>
      <c r="Z2633" t="s">
        <v>77</v>
      </c>
      <c r="AA2633" t="str">
        <f>"10016-8728"</f>
        <v>10016-8728</v>
      </c>
      <c r="AB2633" t="s">
        <v>78</v>
      </c>
      <c r="AC2633" t="s">
        <v>79</v>
      </c>
      <c r="AD2633" t="s">
        <v>75</v>
      </c>
      <c r="AE2633" t="s">
        <v>80</v>
      </c>
      <c r="AG2633" t="s">
        <v>81</v>
      </c>
    </row>
    <row r="2634" spans="1:33" x14ac:dyDescent="0.25">
      <c r="A2634" t="str">
        <f>"1467629097"</f>
        <v>1467629097</v>
      </c>
      <c r="B2634" t="str">
        <f>"03557619"</f>
        <v>03557619</v>
      </c>
      <c r="C2634" t="s">
        <v>13436</v>
      </c>
      <c r="D2634" t="s">
        <v>16213</v>
      </c>
      <c r="E2634" t="s">
        <v>16214</v>
      </c>
      <c r="G2634" t="s">
        <v>16215</v>
      </c>
      <c r="L2634" t="s">
        <v>74</v>
      </c>
      <c r="M2634" t="s">
        <v>85</v>
      </c>
      <c r="R2634" t="s">
        <v>16216</v>
      </c>
      <c r="W2634" t="s">
        <v>16214</v>
      </c>
      <c r="X2634" t="s">
        <v>5520</v>
      </c>
      <c r="Y2634" t="s">
        <v>2128</v>
      </c>
      <c r="Z2634" t="s">
        <v>77</v>
      </c>
      <c r="AA2634" t="str">
        <f>"11743-2787"</f>
        <v>11743-2787</v>
      </c>
      <c r="AB2634" t="s">
        <v>78</v>
      </c>
      <c r="AC2634" t="s">
        <v>79</v>
      </c>
      <c r="AD2634" t="s">
        <v>75</v>
      </c>
      <c r="AE2634" t="s">
        <v>80</v>
      </c>
      <c r="AG2634" t="s">
        <v>81</v>
      </c>
    </row>
    <row r="2635" spans="1:33" x14ac:dyDescent="0.25">
      <c r="A2635" t="str">
        <f>"1477501989"</f>
        <v>1477501989</v>
      </c>
      <c r="B2635" t="str">
        <f>"02753708"</f>
        <v>02753708</v>
      </c>
      <c r="C2635" t="s">
        <v>13436</v>
      </c>
      <c r="D2635" t="s">
        <v>16217</v>
      </c>
      <c r="E2635" t="s">
        <v>16218</v>
      </c>
      <c r="G2635" t="s">
        <v>16219</v>
      </c>
      <c r="L2635" t="s">
        <v>74</v>
      </c>
      <c r="M2635" t="s">
        <v>85</v>
      </c>
      <c r="R2635" t="s">
        <v>16220</v>
      </c>
      <c r="W2635" t="s">
        <v>16218</v>
      </c>
      <c r="X2635" t="s">
        <v>16221</v>
      </c>
      <c r="Y2635" t="s">
        <v>97</v>
      </c>
      <c r="Z2635" t="s">
        <v>77</v>
      </c>
      <c r="AA2635" t="str">
        <f>"10021-5676"</f>
        <v>10021-5676</v>
      </c>
      <c r="AB2635" t="s">
        <v>78</v>
      </c>
      <c r="AC2635" t="s">
        <v>79</v>
      </c>
      <c r="AD2635" t="s">
        <v>75</v>
      </c>
      <c r="AE2635" t="s">
        <v>80</v>
      </c>
      <c r="AG2635" t="s">
        <v>81</v>
      </c>
    </row>
    <row r="2636" spans="1:33" x14ac:dyDescent="0.25">
      <c r="A2636" t="str">
        <f>"1477528107"</f>
        <v>1477528107</v>
      </c>
      <c r="B2636" t="str">
        <f>"00941424"</f>
        <v>00941424</v>
      </c>
      <c r="C2636" t="s">
        <v>13436</v>
      </c>
      <c r="D2636" t="s">
        <v>16222</v>
      </c>
      <c r="E2636" t="s">
        <v>16223</v>
      </c>
      <c r="G2636" t="s">
        <v>16224</v>
      </c>
      <c r="L2636" t="s">
        <v>83</v>
      </c>
      <c r="M2636" t="s">
        <v>85</v>
      </c>
      <c r="R2636" t="s">
        <v>16225</v>
      </c>
      <c r="W2636" t="s">
        <v>16223</v>
      </c>
      <c r="X2636" t="s">
        <v>16226</v>
      </c>
      <c r="Y2636" t="s">
        <v>87</v>
      </c>
      <c r="Z2636" t="s">
        <v>77</v>
      </c>
      <c r="AA2636" t="str">
        <f>"11212"</f>
        <v>11212</v>
      </c>
      <c r="AB2636" t="s">
        <v>78</v>
      </c>
      <c r="AC2636" t="s">
        <v>79</v>
      </c>
      <c r="AD2636" t="s">
        <v>75</v>
      </c>
      <c r="AE2636" t="s">
        <v>80</v>
      </c>
      <c r="AG2636" t="s">
        <v>81</v>
      </c>
    </row>
    <row r="2637" spans="1:33" x14ac:dyDescent="0.25">
      <c r="A2637" t="str">
        <f>"1477614121"</f>
        <v>1477614121</v>
      </c>
      <c r="B2637" t="str">
        <f>"02687369"</f>
        <v>02687369</v>
      </c>
      <c r="C2637" t="s">
        <v>13436</v>
      </c>
      <c r="D2637" t="s">
        <v>16227</v>
      </c>
      <c r="E2637" t="s">
        <v>16228</v>
      </c>
      <c r="G2637" t="s">
        <v>16229</v>
      </c>
      <c r="L2637" t="s">
        <v>105</v>
      </c>
      <c r="M2637" t="s">
        <v>85</v>
      </c>
      <c r="R2637" t="s">
        <v>16230</v>
      </c>
      <c r="W2637" t="s">
        <v>16228</v>
      </c>
      <c r="X2637" t="s">
        <v>329</v>
      </c>
      <c r="Y2637" t="s">
        <v>97</v>
      </c>
      <c r="Z2637" t="s">
        <v>77</v>
      </c>
      <c r="AA2637" t="str">
        <f>"10029-6500"</f>
        <v>10029-6500</v>
      </c>
      <c r="AB2637" t="s">
        <v>78</v>
      </c>
      <c r="AC2637" t="s">
        <v>79</v>
      </c>
      <c r="AD2637" t="s">
        <v>75</v>
      </c>
      <c r="AE2637" t="s">
        <v>80</v>
      </c>
      <c r="AG2637" t="s">
        <v>81</v>
      </c>
    </row>
    <row r="2638" spans="1:33" x14ac:dyDescent="0.25">
      <c r="A2638" t="str">
        <f>"1477727410"</f>
        <v>1477727410</v>
      </c>
      <c r="B2638" t="str">
        <f>"03086124"</f>
        <v>03086124</v>
      </c>
      <c r="C2638" t="s">
        <v>13436</v>
      </c>
      <c r="D2638" t="s">
        <v>16231</v>
      </c>
      <c r="E2638" t="s">
        <v>16232</v>
      </c>
      <c r="G2638" t="s">
        <v>16233</v>
      </c>
      <c r="L2638" t="s">
        <v>83</v>
      </c>
      <c r="M2638" t="s">
        <v>85</v>
      </c>
      <c r="R2638" t="s">
        <v>16234</v>
      </c>
      <c r="W2638" t="s">
        <v>16232</v>
      </c>
      <c r="X2638" t="s">
        <v>16235</v>
      </c>
      <c r="Y2638" t="s">
        <v>97</v>
      </c>
      <c r="Z2638" t="s">
        <v>77</v>
      </c>
      <c r="AA2638" t="str">
        <f>"10011-7201"</f>
        <v>10011-7201</v>
      </c>
      <c r="AB2638" t="s">
        <v>78</v>
      </c>
      <c r="AC2638" t="s">
        <v>79</v>
      </c>
      <c r="AD2638" t="s">
        <v>75</v>
      </c>
      <c r="AE2638" t="s">
        <v>80</v>
      </c>
      <c r="AG2638" t="s">
        <v>81</v>
      </c>
    </row>
    <row r="2639" spans="1:33" x14ac:dyDescent="0.25">
      <c r="A2639" t="str">
        <f>"1477842078"</f>
        <v>1477842078</v>
      </c>
      <c r="B2639" t="str">
        <f>"04269861"</f>
        <v>04269861</v>
      </c>
      <c r="C2639" t="s">
        <v>13436</v>
      </c>
      <c r="D2639" t="s">
        <v>16236</v>
      </c>
      <c r="E2639" t="s">
        <v>16237</v>
      </c>
      <c r="G2639" t="s">
        <v>16238</v>
      </c>
      <c r="L2639" t="s">
        <v>74</v>
      </c>
      <c r="M2639" t="s">
        <v>85</v>
      </c>
      <c r="R2639" t="s">
        <v>16239</v>
      </c>
      <c r="W2639" t="s">
        <v>16237</v>
      </c>
      <c r="X2639" t="s">
        <v>15724</v>
      </c>
      <c r="Y2639" t="s">
        <v>97</v>
      </c>
      <c r="Z2639" t="s">
        <v>77</v>
      </c>
      <c r="AA2639" t="str">
        <f>"10011-2202"</f>
        <v>10011-2202</v>
      </c>
      <c r="AB2639" t="s">
        <v>78</v>
      </c>
      <c r="AC2639" t="s">
        <v>79</v>
      </c>
      <c r="AD2639" t="s">
        <v>75</v>
      </c>
      <c r="AE2639" t="s">
        <v>80</v>
      </c>
      <c r="AG2639" t="s">
        <v>81</v>
      </c>
    </row>
    <row r="2640" spans="1:33" x14ac:dyDescent="0.25">
      <c r="A2640" t="str">
        <f>"1912024738"</f>
        <v>1912024738</v>
      </c>
      <c r="B2640" t="str">
        <f>"03970005"</f>
        <v>03970005</v>
      </c>
      <c r="C2640" t="s">
        <v>16240</v>
      </c>
      <c r="D2640" t="s">
        <v>5013</v>
      </c>
      <c r="E2640" t="s">
        <v>5014</v>
      </c>
      <c r="G2640" t="s">
        <v>14326</v>
      </c>
      <c r="H2640" t="s">
        <v>14327</v>
      </c>
      <c r="J2640" t="s">
        <v>14328</v>
      </c>
      <c r="L2640" t="s">
        <v>74</v>
      </c>
      <c r="M2640" t="s">
        <v>75</v>
      </c>
      <c r="R2640" t="s">
        <v>5015</v>
      </c>
      <c r="W2640" t="s">
        <v>5014</v>
      </c>
      <c r="X2640" t="s">
        <v>5016</v>
      </c>
      <c r="Y2640" t="s">
        <v>97</v>
      </c>
      <c r="Z2640" t="s">
        <v>77</v>
      </c>
      <c r="AA2640" t="str">
        <f>"10025-3923"</f>
        <v>10025-3923</v>
      </c>
      <c r="AB2640" t="s">
        <v>78</v>
      </c>
      <c r="AC2640" t="s">
        <v>79</v>
      </c>
      <c r="AD2640" t="s">
        <v>75</v>
      </c>
      <c r="AE2640" t="s">
        <v>80</v>
      </c>
      <c r="AG2640" t="s">
        <v>81</v>
      </c>
    </row>
    <row r="2641" spans="1:33" x14ac:dyDescent="0.25">
      <c r="A2641" t="str">
        <f>"1225241615"</f>
        <v>1225241615</v>
      </c>
      <c r="B2641" t="str">
        <f>"03788492"</f>
        <v>03788492</v>
      </c>
      <c r="C2641" t="s">
        <v>16241</v>
      </c>
      <c r="D2641" t="s">
        <v>5487</v>
      </c>
      <c r="E2641" t="s">
        <v>5488</v>
      </c>
      <c r="G2641" t="s">
        <v>14326</v>
      </c>
      <c r="H2641" t="s">
        <v>14327</v>
      </c>
      <c r="J2641" t="s">
        <v>14328</v>
      </c>
      <c r="L2641" t="s">
        <v>74</v>
      </c>
      <c r="M2641" t="s">
        <v>75</v>
      </c>
      <c r="R2641" t="s">
        <v>5489</v>
      </c>
      <c r="W2641" t="s">
        <v>5488</v>
      </c>
      <c r="X2641" t="s">
        <v>5016</v>
      </c>
      <c r="Y2641" t="s">
        <v>97</v>
      </c>
      <c r="Z2641" t="s">
        <v>77</v>
      </c>
      <c r="AA2641" t="str">
        <f>"10025-3923"</f>
        <v>10025-3923</v>
      </c>
      <c r="AB2641" t="s">
        <v>78</v>
      </c>
      <c r="AC2641" t="s">
        <v>79</v>
      </c>
      <c r="AD2641" t="s">
        <v>75</v>
      </c>
      <c r="AE2641" t="s">
        <v>80</v>
      </c>
      <c r="AG2641" t="s">
        <v>81</v>
      </c>
    </row>
    <row r="2642" spans="1:33" x14ac:dyDescent="0.25">
      <c r="A2642" t="str">
        <f>"1649355686"</f>
        <v>1649355686</v>
      </c>
      <c r="B2642" t="str">
        <f>"00894284"</f>
        <v>00894284</v>
      </c>
      <c r="C2642" t="s">
        <v>16242</v>
      </c>
      <c r="D2642" t="s">
        <v>5612</v>
      </c>
      <c r="E2642" t="s">
        <v>5613</v>
      </c>
      <c r="G2642" t="s">
        <v>14326</v>
      </c>
      <c r="H2642" t="s">
        <v>14327</v>
      </c>
      <c r="J2642" t="s">
        <v>14328</v>
      </c>
      <c r="L2642" t="s">
        <v>84</v>
      </c>
      <c r="M2642" t="s">
        <v>75</v>
      </c>
      <c r="R2642" t="s">
        <v>5614</v>
      </c>
      <c r="W2642" t="s">
        <v>5613</v>
      </c>
      <c r="X2642" t="s">
        <v>5615</v>
      </c>
      <c r="Y2642" t="s">
        <v>131</v>
      </c>
      <c r="Z2642" t="s">
        <v>77</v>
      </c>
      <c r="AA2642" t="str">
        <f>"10458-5302"</f>
        <v>10458-5302</v>
      </c>
      <c r="AB2642" t="s">
        <v>78</v>
      </c>
      <c r="AC2642" t="s">
        <v>79</v>
      </c>
      <c r="AD2642" t="s">
        <v>75</v>
      </c>
      <c r="AE2642" t="s">
        <v>80</v>
      </c>
      <c r="AG2642" t="s">
        <v>81</v>
      </c>
    </row>
    <row r="2643" spans="1:33" x14ac:dyDescent="0.25">
      <c r="A2643" t="str">
        <f>"1346301561"</f>
        <v>1346301561</v>
      </c>
      <c r="B2643" t="str">
        <f>"00661587"</f>
        <v>00661587</v>
      </c>
      <c r="C2643" t="s">
        <v>16243</v>
      </c>
      <c r="D2643" t="s">
        <v>16244</v>
      </c>
      <c r="E2643" t="s">
        <v>16245</v>
      </c>
      <c r="G2643" t="s">
        <v>13504</v>
      </c>
      <c r="H2643" t="s">
        <v>13505</v>
      </c>
      <c r="J2643" t="s">
        <v>13506</v>
      </c>
      <c r="L2643" t="s">
        <v>84</v>
      </c>
      <c r="M2643" t="s">
        <v>75</v>
      </c>
      <c r="R2643" t="s">
        <v>16246</v>
      </c>
      <c r="W2643" t="s">
        <v>16245</v>
      </c>
      <c r="X2643" t="s">
        <v>16247</v>
      </c>
      <c r="Y2643" t="s">
        <v>87</v>
      </c>
      <c r="Z2643" t="s">
        <v>77</v>
      </c>
      <c r="AA2643" t="str">
        <f>"11205-3202"</f>
        <v>11205-3202</v>
      </c>
      <c r="AB2643" t="s">
        <v>78</v>
      </c>
      <c r="AC2643" t="s">
        <v>79</v>
      </c>
      <c r="AD2643" t="s">
        <v>75</v>
      </c>
      <c r="AE2643" t="s">
        <v>80</v>
      </c>
      <c r="AG2643" t="s">
        <v>81</v>
      </c>
    </row>
    <row r="2644" spans="1:33" x14ac:dyDescent="0.25">
      <c r="A2644" t="str">
        <f>"1043220825"</f>
        <v>1043220825</v>
      </c>
      <c r="B2644" t="str">
        <f>"00893187"</f>
        <v>00893187</v>
      </c>
      <c r="C2644" t="s">
        <v>16248</v>
      </c>
      <c r="D2644" t="s">
        <v>16249</v>
      </c>
      <c r="E2644" t="s">
        <v>16250</v>
      </c>
      <c r="G2644" t="s">
        <v>13504</v>
      </c>
      <c r="H2644" t="s">
        <v>13505</v>
      </c>
      <c r="J2644" t="s">
        <v>13506</v>
      </c>
      <c r="L2644" t="s">
        <v>84</v>
      </c>
      <c r="M2644" t="s">
        <v>85</v>
      </c>
      <c r="R2644" t="s">
        <v>16251</v>
      </c>
      <c r="W2644" t="s">
        <v>16250</v>
      </c>
      <c r="X2644" t="s">
        <v>202</v>
      </c>
      <c r="Y2644" t="s">
        <v>87</v>
      </c>
      <c r="Z2644" t="s">
        <v>77</v>
      </c>
      <c r="AA2644" t="str">
        <f>"11201-5493"</f>
        <v>11201-5493</v>
      </c>
      <c r="AB2644" t="s">
        <v>78</v>
      </c>
      <c r="AC2644" t="s">
        <v>79</v>
      </c>
      <c r="AD2644" t="s">
        <v>75</v>
      </c>
      <c r="AE2644" t="s">
        <v>80</v>
      </c>
      <c r="AG2644" t="s">
        <v>81</v>
      </c>
    </row>
    <row r="2645" spans="1:33" x14ac:dyDescent="0.25">
      <c r="A2645" t="str">
        <f>"1417916164"</f>
        <v>1417916164</v>
      </c>
      <c r="B2645" t="str">
        <f>"00567193"</f>
        <v>00567193</v>
      </c>
      <c r="C2645" t="s">
        <v>16252</v>
      </c>
      <c r="D2645" t="s">
        <v>16253</v>
      </c>
      <c r="E2645" t="s">
        <v>16254</v>
      </c>
      <c r="G2645" t="s">
        <v>13504</v>
      </c>
      <c r="H2645" t="s">
        <v>13505</v>
      </c>
      <c r="J2645" t="s">
        <v>13506</v>
      </c>
      <c r="L2645" t="s">
        <v>83</v>
      </c>
      <c r="M2645" t="s">
        <v>85</v>
      </c>
      <c r="R2645" t="s">
        <v>16255</v>
      </c>
      <c r="W2645" t="s">
        <v>16254</v>
      </c>
      <c r="X2645" t="s">
        <v>16256</v>
      </c>
      <c r="Y2645" t="s">
        <v>87</v>
      </c>
      <c r="Z2645" t="s">
        <v>77</v>
      </c>
      <c r="AA2645" t="str">
        <f>"11225-5008"</f>
        <v>11225-5008</v>
      </c>
      <c r="AB2645" t="s">
        <v>78</v>
      </c>
      <c r="AC2645" t="s">
        <v>79</v>
      </c>
      <c r="AD2645" t="s">
        <v>75</v>
      </c>
      <c r="AE2645" t="s">
        <v>80</v>
      </c>
      <c r="AG2645" t="s">
        <v>81</v>
      </c>
    </row>
    <row r="2646" spans="1:33" x14ac:dyDescent="0.25">
      <c r="A2646" t="str">
        <f>"1710922406"</f>
        <v>1710922406</v>
      </c>
      <c r="B2646" t="str">
        <f>"01007698"</f>
        <v>01007698</v>
      </c>
      <c r="C2646" t="s">
        <v>16257</v>
      </c>
      <c r="D2646" t="s">
        <v>16258</v>
      </c>
      <c r="E2646" t="s">
        <v>16259</v>
      </c>
      <c r="G2646" t="s">
        <v>13504</v>
      </c>
      <c r="H2646" t="s">
        <v>13505</v>
      </c>
      <c r="J2646" t="s">
        <v>13506</v>
      </c>
      <c r="L2646" t="s">
        <v>83</v>
      </c>
      <c r="M2646" t="s">
        <v>75</v>
      </c>
      <c r="R2646" t="s">
        <v>16260</v>
      </c>
      <c r="W2646" t="s">
        <v>16259</v>
      </c>
      <c r="X2646" t="s">
        <v>642</v>
      </c>
      <c r="Y2646" t="s">
        <v>87</v>
      </c>
      <c r="Z2646" t="s">
        <v>77</v>
      </c>
      <c r="AA2646" t="str">
        <f>"11201-5493"</f>
        <v>11201-5493</v>
      </c>
      <c r="AB2646" t="s">
        <v>78</v>
      </c>
      <c r="AC2646" t="s">
        <v>79</v>
      </c>
      <c r="AD2646" t="s">
        <v>75</v>
      </c>
      <c r="AE2646" t="s">
        <v>80</v>
      </c>
      <c r="AG2646" t="s">
        <v>81</v>
      </c>
    </row>
    <row r="2647" spans="1:33" x14ac:dyDescent="0.25">
      <c r="A2647" t="str">
        <f>"1265534564"</f>
        <v>1265534564</v>
      </c>
      <c r="B2647" t="str">
        <f>"00787788"</f>
        <v>00787788</v>
      </c>
      <c r="C2647" t="s">
        <v>16261</v>
      </c>
      <c r="D2647" t="s">
        <v>16262</v>
      </c>
      <c r="E2647" t="s">
        <v>16263</v>
      </c>
      <c r="G2647" t="s">
        <v>13504</v>
      </c>
      <c r="H2647" t="s">
        <v>13505</v>
      </c>
      <c r="J2647" t="s">
        <v>13506</v>
      </c>
      <c r="L2647" t="s">
        <v>84</v>
      </c>
      <c r="M2647" t="s">
        <v>85</v>
      </c>
      <c r="R2647" t="s">
        <v>16264</v>
      </c>
      <c r="W2647" t="s">
        <v>16263</v>
      </c>
      <c r="X2647" t="s">
        <v>202</v>
      </c>
      <c r="Y2647" t="s">
        <v>87</v>
      </c>
      <c r="Z2647" t="s">
        <v>77</v>
      </c>
      <c r="AA2647" t="str">
        <f>"11201-5425"</f>
        <v>11201-5425</v>
      </c>
      <c r="AB2647" t="s">
        <v>78</v>
      </c>
      <c r="AC2647" t="s">
        <v>79</v>
      </c>
      <c r="AD2647" t="s">
        <v>75</v>
      </c>
      <c r="AE2647" t="s">
        <v>80</v>
      </c>
      <c r="AG2647" t="s">
        <v>81</v>
      </c>
    </row>
    <row r="2648" spans="1:33" x14ac:dyDescent="0.25">
      <c r="A2648" t="str">
        <f>"1033174511"</f>
        <v>1033174511</v>
      </c>
      <c r="B2648" t="str">
        <f>"00593279"</f>
        <v>00593279</v>
      </c>
      <c r="C2648" t="s">
        <v>16265</v>
      </c>
      <c r="D2648" t="s">
        <v>16266</v>
      </c>
      <c r="E2648" t="s">
        <v>16267</v>
      </c>
      <c r="G2648" t="s">
        <v>13504</v>
      </c>
      <c r="H2648" t="s">
        <v>13505</v>
      </c>
      <c r="J2648" t="s">
        <v>13506</v>
      </c>
      <c r="L2648" t="s">
        <v>84</v>
      </c>
      <c r="M2648" t="s">
        <v>75</v>
      </c>
      <c r="R2648" t="s">
        <v>16268</v>
      </c>
      <c r="W2648" t="s">
        <v>16269</v>
      </c>
      <c r="X2648" t="s">
        <v>16171</v>
      </c>
      <c r="Y2648" t="s">
        <v>87</v>
      </c>
      <c r="Z2648" t="s">
        <v>77</v>
      </c>
      <c r="AA2648" t="str">
        <f>"11203-2721"</f>
        <v>11203-2721</v>
      </c>
      <c r="AB2648" t="s">
        <v>78</v>
      </c>
      <c r="AC2648" t="s">
        <v>79</v>
      </c>
      <c r="AD2648" t="s">
        <v>75</v>
      </c>
      <c r="AE2648" t="s">
        <v>80</v>
      </c>
      <c r="AG2648" t="s">
        <v>81</v>
      </c>
    </row>
    <row r="2649" spans="1:33" x14ac:dyDescent="0.25">
      <c r="A2649" t="str">
        <f>"1255438693"</f>
        <v>1255438693</v>
      </c>
      <c r="B2649" t="str">
        <f>"00895950"</f>
        <v>00895950</v>
      </c>
      <c r="C2649" t="s">
        <v>16270</v>
      </c>
      <c r="D2649" t="s">
        <v>2224</v>
      </c>
      <c r="E2649" t="s">
        <v>2225</v>
      </c>
      <c r="G2649" t="s">
        <v>13504</v>
      </c>
      <c r="H2649" t="s">
        <v>13505</v>
      </c>
      <c r="J2649" t="s">
        <v>13506</v>
      </c>
      <c r="L2649" t="s">
        <v>83</v>
      </c>
      <c r="M2649" t="s">
        <v>75</v>
      </c>
      <c r="R2649" t="s">
        <v>2223</v>
      </c>
      <c r="W2649" t="s">
        <v>2225</v>
      </c>
      <c r="X2649" t="s">
        <v>2226</v>
      </c>
      <c r="Y2649" t="s">
        <v>131</v>
      </c>
      <c r="Z2649" t="s">
        <v>77</v>
      </c>
      <c r="AA2649" t="str">
        <f>"10461-2377"</f>
        <v>10461-2377</v>
      </c>
      <c r="AB2649" t="s">
        <v>78</v>
      </c>
      <c r="AC2649" t="s">
        <v>79</v>
      </c>
      <c r="AD2649" t="s">
        <v>75</v>
      </c>
      <c r="AE2649" t="s">
        <v>80</v>
      </c>
      <c r="AG2649" t="s">
        <v>81</v>
      </c>
    </row>
    <row r="2650" spans="1:33" x14ac:dyDescent="0.25">
      <c r="A2650" t="str">
        <f>"1992785315"</f>
        <v>1992785315</v>
      </c>
      <c r="B2650" t="str">
        <f>"00848128"</f>
        <v>00848128</v>
      </c>
      <c r="C2650" t="s">
        <v>16271</v>
      </c>
      <c r="D2650" t="s">
        <v>16272</v>
      </c>
      <c r="E2650" t="s">
        <v>16273</v>
      </c>
      <c r="G2650" t="s">
        <v>13504</v>
      </c>
      <c r="H2650" t="s">
        <v>13505</v>
      </c>
      <c r="J2650" t="s">
        <v>13506</v>
      </c>
      <c r="L2650" t="s">
        <v>83</v>
      </c>
      <c r="M2650" t="s">
        <v>75</v>
      </c>
      <c r="R2650" t="s">
        <v>16274</v>
      </c>
      <c r="W2650" t="s">
        <v>16273</v>
      </c>
      <c r="X2650" t="s">
        <v>1194</v>
      </c>
      <c r="Y2650" t="s">
        <v>87</v>
      </c>
      <c r="Z2650" t="s">
        <v>77</v>
      </c>
      <c r="AA2650" t="str">
        <f>"11238-4266"</f>
        <v>11238-4266</v>
      </c>
      <c r="AB2650" t="s">
        <v>78</v>
      </c>
      <c r="AC2650" t="s">
        <v>79</v>
      </c>
      <c r="AD2650" t="s">
        <v>75</v>
      </c>
      <c r="AE2650" t="s">
        <v>80</v>
      </c>
      <c r="AG2650" t="s">
        <v>81</v>
      </c>
    </row>
    <row r="2651" spans="1:33" x14ac:dyDescent="0.25">
      <c r="A2651" t="str">
        <f>"1902914997"</f>
        <v>1902914997</v>
      </c>
      <c r="B2651" t="str">
        <f>"00669521"</f>
        <v>00669521</v>
      </c>
      <c r="C2651" t="s">
        <v>16275</v>
      </c>
      <c r="D2651" t="s">
        <v>16276</v>
      </c>
      <c r="E2651" t="s">
        <v>16277</v>
      </c>
      <c r="G2651" t="s">
        <v>13504</v>
      </c>
      <c r="H2651" t="s">
        <v>13505</v>
      </c>
      <c r="J2651" t="s">
        <v>13506</v>
      </c>
      <c r="L2651" t="s">
        <v>74</v>
      </c>
      <c r="M2651" t="s">
        <v>75</v>
      </c>
      <c r="R2651" t="s">
        <v>16278</v>
      </c>
      <c r="W2651" t="s">
        <v>16277</v>
      </c>
      <c r="X2651" t="s">
        <v>15155</v>
      </c>
      <c r="Y2651" t="s">
        <v>97</v>
      </c>
      <c r="Z2651" t="s">
        <v>77</v>
      </c>
      <c r="AA2651" t="str">
        <f>"10029-6430"</f>
        <v>10029-6430</v>
      </c>
      <c r="AB2651" t="s">
        <v>78</v>
      </c>
      <c r="AC2651" t="s">
        <v>79</v>
      </c>
      <c r="AD2651" t="s">
        <v>75</v>
      </c>
      <c r="AE2651" t="s">
        <v>80</v>
      </c>
      <c r="AG2651" t="s">
        <v>81</v>
      </c>
    </row>
    <row r="2652" spans="1:33" x14ac:dyDescent="0.25">
      <c r="A2652" t="str">
        <f>"1245652775"</f>
        <v>1245652775</v>
      </c>
      <c r="C2652" t="s">
        <v>16279</v>
      </c>
      <c r="G2652" t="s">
        <v>16280</v>
      </c>
      <c r="H2652" t="s">
        <v>16281</v>
      </c>
      <c r="J2652" t="s">
        <v>16282</v>
      </c>
      <c r="K2652" t="s">
        <v>99</v>
      </c>
      <c r="L2652" t="s">
        <v>74</v>
      </c>
      <c r="M2652" t="s">
        <v>75</v>
      </c>
      <c r="R2652" t="s">
        <v>388</v>
      </c>
      <c r="S2652" t="s">
        <v>16283</v>
      </c>
      <c r="T2652" t="s">
        <v>97</v>
      </c>
      <c r="U2652" t="s">
        <v>77</v>
      </c>
      <c r="V2652" t="str">
        <f>"100112019"</f>
        <v>100112019</v>
      </c>
      <c r="AC2652" t="s">
        <v>79</v>
      </c>
      <c r="AD2652" t="s">
        <v>75</v>
      </c>
      <c r="AE2652" t="s">
        <v>103</v>
      </c>
      <c r="AG2652" t="s">
        <v>81</v>
      </c>
    </row>
    <row r="2653" spans="1:33" x14ac:dyDescent="0.25">
      <c r="A2653" t="str">
        <f>"1598187254"</f>
        <v>1598187254</v>
      </c>
      <c r="C2653" t="s">
        <v>16284</v>
      </c>
      <c r="G2653" t="s">
        <v>16280</v>
      </c>
      <c r="H2653" t="s">
        <v>16281</v>
      </c>
      <c r="J2653" t="s">
        <v>16282</v>
      </c>
      <c r="K2653" t="s">
        <v>99</v>
      </c>
      <c r="L2653" t="s">
        <v>74</v>
      </c>
      <c r="M2653" t="s">
        <v>75</v>
      </c>
      <c r="R2653" t="s">
        <v>16285</v>
      </c>
      <c r="S2653" t="s">
        <v>16286</v>
      </c>
      <c r="T2653" t="s">
        <v>97</v>
      </c>
      <c r="U2653" t="s">
        <v>77</v>
      </c>
      <c r="V2653" t="str">
        <f>"100112019"</f>
        <v>100112019</v>
      </c>
      <c r="AC2653" t="s">
        <v>79</v>
      </c>
      <c r="AD2653" t="s">
        <v>75</v>
      </c>
      <c r="AE2653" t="s">
        <v>103</v>
      </c>
      <c r="AG2653" t="s">
        <v>81</v>
      </c>
    </row>
    <row r="2654" spans="1:33" x14ac:dyDescent="0.25">
      <c r="A2654" t="str">
        <f>"1467874172"</f>
        <v>1467874172</v>
      </c>
      <c r="C2654" t="s">
        <v>16287</v>
      </c>
      <c r="G2654" t="s">
        <v>16280</v>
      </c>
      <c r="H2654" t="s">
        <v>16281</v>
      </c>
      <c r="J2654" t="s">
        <v>16282</v>
      </c>
      <c r="K2654" t="s">
        <v>99</v>
      </c>
      <c r="L2654" t="s">
        <v>74</v>
      </c>
      <c r="M2654" t="s">
        <v>75</v>
      </c>
      <c r="R2654" t="s">
        <v>16288</v>
      </c>
      <c r="S2654" t="s">
        <v>16289</v>
      </c>
      <c r="T2654" t="s">
        <v>16290</v>
      </c>
      <c r="U2654" t="s">
        <v>4599</v>
      </c>
      <c r="V2654" t="str">
        <f>"967689718"</f>
        <v>967689718</v>
      </c>
      <c r="AC2654" t="s">
        <v>79</v>
      </c>
      <c r="AD2654" t="s">
        <v>75</v>
      </c>
      <c r="AE2654" t="s">
        <v>103</v>
      </c>
      <c r="AG2654" t="s">
        <v>81</v>
      </c>
    </row>
    <row r="2655" spans="1:33" x14ac:dyDescent="0.25">
      <c r="A2655" t="str">
        <f>"1710309141"</f>
        <v>1710309141</v>
      </c>
      <c r="C2655" t="s">
        <v>16291</v>
      </c>
      <c r="G2655" t="s">
        <v>16280</v>
      </c>
      <c r="H2655" t="s">
        <v>16281</v>
      </c>
      <c r="J2655" t="s">
        <v>16282</v>
      </c>
      <c r="K2655" t="s">
        <v>99</v>
      </c>
      <c r="L2655" t="s">
        <v>102</v>
      </c>
      <c r="M2655" t="s">
        <v>75</v>
      </c>
      <c r="R2655" t="s">
        <v>16292</v>
      </c>
      <c r="S2655" t="s">
        <v>16293</v>
      </c>
      <c r="T2655" t="s">
        <v>97</v>
      </c>
      <c r="U2655" t="s">
        <v>77</v>
      </c>
      <c r="V2655" t="str">
        <f>"100112019"</f>
        <v>100112019</v>
      </c>
      <c r="AC2655" t="s">
        <v>79</v>
      </c>
      <c r="AD2655" t="s">
        <v>75</v>
      </c>
      <c r="AE2655" t="s">
        <v>103</v>
      </c>
      <c r="AG2655" t="s">
        <v>81</v>
      </c>
    </row>
    <row r="2656" spans="1:33" x14ac:dyDescent="0.25">
      <c r="A2656" t="str">
        <f>"1760455364"</f>
        <v>1760455364</v>
      </c>
      <c r="B2656" t="str">
        <f>"01850040"</f>
        <v>01850040</v>
      </c>
      <c r="C2656" t="s">
        <v>13436</v>
      </c>
      <c r="D2656" t="s">
        <v>16294</v>
      </c>
      <c r="E2656" t="s">
        <v>16295</v>
      </c>
      <c r="G2656" t="s">
        <v>16296</v>
      </c>
      <c r="L2656" t="s">
        <v>83</v>
      </c>
      <c r="M2656" t="s">
        <v>85</v>
      </c>
      <c r="R2656" t="s">
        <v>16297</v>
      </c>
      <c r="W2656" t="s">
        <v>16298</v>
      </c>
      <c r="X2656" t="s">
        <v>14583</v>
      </c>
      <c r="Y2656" t="s">
        <v>97</v>
      </c>
      <c r="Z2656" t="s">
        <v>77</v>
      </c>
      <c r="AA2656" t="str">
        <f>"10016-4337"</f>
        <v>10016-4337</v>
      </c>
      <c r="AB2656" t="s">
        <v>78</v>
      </c>
      <c r="AC2656" t="s">
        <v>79</v>
      </c>
      <c r="AD2656" t="s">
        <v>75</v>
      </c>
      <c r="AE2656" t="s">
        <v>80</v>
      </c>
      <c r="AG2656" t="s">
        <v>81</v>
      </c>
    </row>
    <row r="2657" spans="1:33" x14ac:dyDescent="0.25">
      <c r="A2657" t="str">
        <f>"1760460299"</f>
        <v>1760460299</v>
      </c>
      <c r="B2657" t="str">
        <f>"00936012"</f>
        <v>00936012</v>
      </c>
      <c r="C2657" t="s">
        <v>13436</v>
      </c>
      <c r="D2657" t="s">
        <v>16299</v>
      </c>
      <c r="E2657" t="s">
        <v>16300</v>
      </c>
      <c r="G2657" t="s">
        <v>16301</v>
      </c>
      <c r="L2657" t="s">
        <v>83</v>
      </c>
      <c r="M2657" t="s">
        <v>85</v>
      </c>
      <c r="R2657" t="s">
        <v>16302</v>
      </c>
      <c r="W2657" t="s">
        <v>16300</v>
      </c>
      <c r="X2657" t="s">
        <v>16303</v>
      </c>
      <c r="Y2657" t="s">
        <v>97</v>
      </c>
      <c r="Z2657" t="s">
        <v>77</v>
      </c>
      <c r="AA2657" t="str">
        <f>"10019"</f>
        <v>10019</v>
      </c>
      <c r="AB2657" t="s">
        <v>78</v>
      </c>
      <c r="AC2657" t="s">
        <v>79</v>
      </c>
      <c r="AD2657" t="s">
        <v>75</v>
      </c>
      <c r="AE2657" t="s">
        <v>80</v>
      </c>
      <c r="AG2657" t="s">
        <v>81</v>
      </c>
    </row>
    <row r="2658" spans="1:33" x14ac:dyDescent="0.25">
      <c r="A2658" t="str">
        <f>"1760477418"</f>
        <v>1760477418</v>
      </c>
      <c r="B2658" t="str">
        <f>"02602431"</f>
        <v>02602431</v>
      </c>
      <c r="C2658" t="s">
        <v>13436</v>
      </c>
      <c r="D2658" t="s">
        <v>16304</v>
      </c>
      <c r="E2658" t="s">
        <v>16305</v>
      </c>
      <c r="G2658" t="s">
        <v>16306</v>
      </c>
      <c r="L2658" t="s">
        <v>83</v>
      </c>
      <c r="M2658" t="s">
        <v>85</v>
      </c>
      <c r="R2658" t="s">
        <v>16307</v>
      </c>
      <c r="W2658" t="s">
        <v>16305</v>
      </c>
      <c r="X2658" t="s">
        <v>16308</v>
      </c>
      <c r="Y2658" t="s">
        <v>87</v>
      </c>
      <c r="Z2658" t="s">
        <v>77</v>
      </c>
      <c r="AA2658" t="str">
        <f>"11203-2017"</f>
        <v>11203-2017</v>
      </c>
      <c r="AB2658" t="s">
        <v>78</v>
      </c>
      <c r="AC2658" t="s">
        <v>79</v>
      </c>
      <c r="AD2658" t="s">
        <v>75</v>
      </c>
      <c r="AE2658" t="s">
        <v>80</v>
      </c>
      <c r="AG2658" t="s">
        <v>81</v>
      </c>
    </row>
    <row r="2659" spans="1:33" x14ac:dyDescent="0.25">
      <c r="A2659" t="str">
        <f>"1760484661"</f>
        <v>1760484661</v>
      </c>
      <c r="B2659" t="str">
        <f>"02333920"</f>
        <v>02333920</v>
      </c>
      <c r="C2659" t="s">
        <v>13436</v>
      </c>
      <c r="D2659" t="s">
        <v>16309</v>
      </c>
      <c r="E2659" t="s">
        <v>16310</v>
      </c>
      <c r="G2659" t="s">
        <v>16311</v>
      </c>
      <c r="L2659" t="s">
        <v>83</v>
      </c>
      <c r="M2659" t="s">
        <v>85</v>
      </c>
      <c r="R2659" t="s">
        <v>16312</v>
      </c>
      <c r="W2659" t="s">
        <v>16310</v>
      </c>
      <c r="X2659" t="s">
        <v>1806</v>
      </c>
      <c r="Y2659" t="s">
        <v>178</v>
      </c>
      <c r="Z2659" t="s">
        <v>77</v>
      </c>
      <c r="AA2659" t="str">
        <f>"11021-5200"</f>
        <v>11021-5200</v>
      </c>
      <c r="AB2659" t="s">
        <v>78</v>
      </c>
      <c r="AC2659" t="s">
        <v>79</v>
      </c>
      <c r="AD2659" t="s">
        <v>75</v>
      </c>
      <c r="AE2659" t="s">
        <v>80</v>
      </c>
      <c r="AG2659" t="s">
        <v>81</v>
      </c>
    </row>
    <row r="2660" spans="1:33" x14ac:dyDescent="0.25">
      <c r="A2660" t="str">
        <f>"1760577704"</f>
        <v>1760577704</v>
      </c>
      <c r="B2660" t="str">
        <f>"01472297"</f>
        <v>01472297</v>
      </c>
      <c r="C2660" t="s">
        <v>13436</v>
      </c>
      <c r="D2660" t="s">
        <v>16313</v>
      </c>
      <c r="E2660" t="s">
        <v>16314</v>
      </c>
      <c r="G2660" t="s">
        <v>16315</v>
      </c>
      <c r="L2660" t="s">
        <v>74</v>
      </c>
      <c r="M2660" t="s">
        <v>85</v>
      </c>
      <c r="R2660" t="s">
        <v>16316</v>
      </c>
      <c r="W2660" t="s">
        <v>16314</v>
      </c>
      <c r="X2660" t="s">
        <v>16317</v>
      </c>
      <c r="Y2660" t="s">
        <v>16318</v>
      </c>
      <c r="Z2660" t="s">
        <v>77</v>
      </c>
      <c r="AA2660" t="str">
        <f>"10019"</f>
        <v>10019</v>
      </c>
      <c r="AB2660" t="s">
        <v>78</v>
      </c>
      <c r="AC2660" t="s">
        <v>79</v>
      </c>
      <c r="AD2660" t="s">
        <v>75</v>
      </c>
      <c r="AE2660" t="s">
        <v>80</v>
      </c>
      <c r="AG2660" t="s">
        <v>81</v>
      </c>
    </row>
    <row r="2661" spans="1:33" x14ac:dyDescent="0.25">
      <c r="A2661" t="str">
        <f>"1730481151"</f>
        <v>1730481151</v>
      </c>
      <c r="C2661" t="s">
        <v>16319</v>
      </c>
      <c r="G2661" t="s">
        <v>15545</v>
      </c>
      <c r="H2661" t="s">
        <v>7060</v>
      </c>
      <c r="J2661" t="s">
        <v>7061</v>
      </c>
      <c r="K2661" t="s">
        <v>99</v>
      </c>
      <c r="L2661" t="s">
        <v>102</v>
      </c>
      <c r="M2661" t="s">
        <v>75</v>
      </c>
      <c r="R2661" t="s">
        <v>16320</v>
      </c>
      <c r="S2661" t="s">
        <v>3099</v>
      </c>
      <c r="T2661" t="s">
        <v>131</v>
      </c>
      <c r="U2661" t="s">
        <v>77</v>
      </c>
      <c r="V2661" t="str">
        <f>"104567815"</f>
        <v>104567815</v>
      </c>
      <c r="AC2661" t="s">
        <v>79</v>
      </c>
      <c r="AD2661" t="s">
        <v>75</v>
      </c>
      <c r="AE2661" t="s">
        <v>103</v>
      </c>
      <c r="AG2661" t="s">
        <v>81</v>
      </c>
    </row>
    <row r="2662" spans="1:33" x14ac:dyDescent="0.25">
      <c r="A2662" t="str">
        <f>"1861836645"</f>
        <v>1861836645</v>
      </c>
      <c r="C2662" t="s">
        <v>16321</v>
      </c>
      <c r="K2662" t="s">
        <v>99</v>
      </c>
      <c r="L2662" t="s">
        <v>102</v>
      </c>
      <c r="M2662" t="s">
        <v>75</v>
      </c>
      <c r="R2662" t="s">
        <v>16322</v>
      </c>
      <c r="S2662" t="s">
        <v>191</v>
      </c>
      <c r="T2662" t="s">
        <v>97</v>
      </c>
      <c r="U2662" t="s">
        <v>77</v>
      </c>
      <c r="V2662" t="str">
        <f>"100191147"</f>
        <v>100191147</v>
      </c>
      <c r="AC2662" t="s">
        <v>79</v>
      </c>
      <c r="AD2662" t="s">
        <v>75</v>
      </c>
      <c r="AE2662" t="s">
        <v>103</v>
      </c>
      <c r="AG2662" t="s">
        <v>81</v>
      </c>
    </row>
    <row r="2663" spans="1:33" x14ac:dyDescent="0.25">
      <c r="A2663" t="str">
        <f>"1811955032"</f>
        <v>1811955032</v>
      </c>
      <c r="B2663" t="str">
        <f>"01655045"</f>
        <v>01655045</v>
      </c>
      <c r="C2663" t="s">
        <v>16323</v>
      </c>
      <c r="D2663" t="s">
        <v>6087</v>
      </c>
      <c r="E2663" t="s">
        <v>6088</v>
      </c>
      <c r="L2663" t="s">
        <v>74</v>
      </c>
      <c r="M2663" t="s">
        <v>75</v>
      </c>
      <c r="R2663" t="s">
        <v>6089</v>
      </c>
      <c r="W2663" t="s">
        <v>6088</v>
      </c>
      <c r="X2663" t="s">
        <v>752</v>
      </c>
      <c r="Y2663" t="s">
        <v>171</v>
      </c>
      <c r="Z2663" t="s">
        <v>77</v>
      </c>
      <c r="AA2663" t="str">
        <f>"11432-3730"</f>
        <v>11432-3730</v>
      </c>
      <c r="AB2663" t="s">
        <v>78</v>
      </c>
      <c r="AC2663" t="s">
        <v>79</v>
      </c>
      <c r="AD2663" t="s">
        <v>75</v>
      </c>
      <c r="AE2663" t="s">
        <v>80</v>
      </c>
      <c r="AG2663" t="s">
        <v>81</v>
      </c>
    </row>
    <row r="2664" spans="1:33" x14ac:dyDescent="0.25">
      <c r="A2664" t="str">
        <f>"1174866883"</f>
        <v>1174866883</v>
      </c>
      <c r="C2664" t="s">
        <v>13436</v>
      </c>
      <c r="K2664" t="s">
        <v>99</v>
      </c>
      <c r="L2664" t="s">
        <v>102</v>
      </c>
      <c r="M2664" t="s">
        <v>75</v>
      </c>
      <c r="R2664" t="s">
        <v>16324</v>
      </c>
      <c r="S2664" t="s">
        <v>16325</v>
      </c>
      <c r="T2664" t="s">
        <v>97</v>
      </c>
      <c r="U2664" t="s">
        <v>77</v>
      </c>
      <c r="V2664" t="str">
        <f>"10003"</f>
        <v>10003</v>
      </c>
      <c r="AC2664" t="s">
        <v>79</v>
      </c>
      <c r="AD2664" t="s">
        <v>75</v>
      </c>
      <c r="AE2664" t="s">
        <v>103</v>
      </c>
      <c r="AG2664" t="s">
        <v>81</v>
      </c>
    </row>
    <row r="2665" spans="1:33" x14ac:dyDescent="0.25">
      <c r="A2665" t="str">
        <f>"1174871479"</f>
        <v>1174871479</v>
      </c>
      <c r="C2665" t="s">
        <v>13436</v>
      </c>
      <c r="K2665" t="s">
        <v>99</v>
      </c>
      <c r="L2665" t="s">
        <v>102</v>
      </c>
      <c r="M2665" t="s">
        <v>75</v>
      </c>
      <c r="R2665" t="s">
        <v>16326</v>
      </c>
      <c r="S2665" t="s">
        <v>1329</v>
      </c>
      <c r="T2665" t="s">
        <v>97</v>
      </c>
      <c r="U2665" t="s">
        <v>77</v>
      </c>
      <c r="V2665" t="str">
        <f>"100371802"</f>
        <v>100371802</v>
      </c>
      <c r="AC2665" t="s">
        <v>79</v>
      </c>
      <c r="AD2665" t="s">
        <v>75</v>
      </c>
      <c r="AE2665" t="s">
        <v>103</v>
      </c>
      <c r="AG2665" t="s">
        <v>81</v>
      </c>
    </row>
    <row r="2666" spans="1:33" x14ac:dyDescent="0.25">
      <c r="A2666" t="str">
        <f>"1174880462"</f>
        <v>1174880462</v>
      </c>
      <c r="B2666" t="str">
        <f>"04452475"</f>
        <v>04452475</v>
      </c>
      <c r="C2666" t="s">
        <v>13436</v>
      </c>
      <c r="D2666" t="s">
        <v>16327</v>
      </c>
      <c r="E2666" t="s">
        <v>16328</v>
      </c>
      <c r="L2666" t="s">
        <v>102</v>
      </c>
      <c r="M2666" t="s">
        <v>75</v>
      </c>
      <c r="R2666" t="s">
        <v>16328</v>
      </c>
      <c r="W2666" t="s">
        <v>16329</v>
      </c>
      <c r="AB2666" t="s">
        <v>78</v>
      </c>
      <c r="AC2666" t="s">
        <v>79</v>
      </c>
      <c r="AD2666" t="s">
        <v>75</v>
      </c>
      <c r="AE2666" t="s">
        <v>80</v>
      </c>
      <c r="AG2666" t="s">
        <v>81</v>
      </c>
    </row>
    <row r="2667" spans="1:33" x14ac:dyDescent="0.25">
      <c r="A2667" t="str">
        <f>"1679727283"</f>
        <v>1679727283</v>
      </c>
      <c r="B2667" t="str">
        <f>"03149451"</f>
        <v>03149451</v>
      </c>
      <c r="C2667" t="s">
        <v>16330</v>
      </c>
      <c r="D2667" t="s">
        <v>3980</v>
      </c>
      <c r="E2667" t="s">
        <v>3981</v>
      </c>
      <c r="G2667" t="s">
        <v>7667</v>
      </c>
      <c r="H2667" t="s">
        <v>3971</v>
      </c>
      <c r="J2667" t="s">
        <v>16331</v>
      </c>
      <c r="L2667" t="s">
        <v>74</v>
      </c>
      <c r="M2667" t="s">
        <v>85</v>
      </c>
      <c r="R2667" t="s">
        <v>3982</v>
      </c>
      <c r="W2667" t="s">
        <v>3981</v>
      </c>
      <c r="X2667" t="s">
        <v>1843</v>
      </c>
      <c r="Y2667" t="s">
        <v>153</v>
      </c>
      <c r="Z2667" t="s">
        <v>77</v>
      </c>
      <c r="AA2667" t="str">
        <f>"12601-1154"</f>
        <v>12601-1154</v>
      </c>
      <c r="AB2667" t="s">
        <v>78</v>
      </c>
      <c r="AC2667" t="s">
        <v>79</v>
      </c>
      <c r="AD2667" t="s">
        <v>75</v>
      </c>
      <c r="AE2667" t="s">
        <v>80</v>
      </c>
      <c r="AG2667" t="s">
        <v>81</v>
      </c>
    </row>
    <row r="2668" spans="1:33" x14ac:dyDescent="0.25">
      <c r="A2668" t="str">
        <f>"1811922289"</f>
        <v>1811922289</v>
      </c>
      <c r="B2668" t="str">
        <f>"02316172"</f>
        <v>02316172</v>
      </c>
      <c r="C2668" t="s">
        <v>16332</v>
      </c>
      <c r="D2668" t="s">
        <v>3983</v>
      </c>
      <c r="E2668" t="s">
        <v>3984</v>
      </c>
      <c r="G2668" t="s">
        <v>7667</v>
      </c>
      <c r="H2668" t="s">
        <v>3971</v>
      </c>
      <c r="J2668" t="s">
        <v>16333</v>
      </c>
      <c r="L2668" t="s">
        <v>84</v>
      </c>
      <c r="M2668" t="s">
        <v>85</v>
      </c>
      <c r="R2668" t="s">
        <v>3985</v>
      </c>
      <c r="W2668" t="s">
        <v>3986</v>
      </c>
      <c r="X2668" t="s">
        <v>3055</v>
      </c>
      <c r="Y2668" t="s">
        <v>131</v>
      </c>
      <c r="Z2668" t="s">
        <v>77</v>
      </c>
      <c r="AA2668" t="str">
        <f>"10471-2799"</f>
        <v>10471-2799</v>
      </c>
      <c r="AB2668" t="s">
        <v>78</v>
      </c>
      <c r="AC2668" t="s">
        <v>79</v>
      </c>
      <c r="AD2668" t="s">
        <v>75</v>
      </c>
      <c r="AE2668" t="s">
        <v>80</v>
      </c>
      <c r="AG2668" t="s">
        <v>81</v>
      </c>
    </row>
    <row r="2669" spans="1:33" x14ac:dyDescent="0.25">
      <c r="A2669" t="str">
        <f>"1548465230"</f>
        <v>1548465230</v>
      </c>
      <c r="B2669" t="str">
        <f>"00521962"</f>
        <v>00521962</v>
      </c>
      <c r="C2669" t="s">
        <v>16334</v>
      </c>
      <c r="D2669" t="s">
        <v>5674</v>
      </c>
      <c r="E2669" t="s">
        <v>5675</v>
      </c>
      <c r="L2669" t="s">
        <v>74</v>
      </c>
      <c r="M2669" t="s">
        <v>75</v>
      </c>
      <c r="R2669" t="s">
        <v>5676</v>
      </c>
      <c r="W2669" t="s">
        <v>5677</v>
      </c>
      <c r="X2669" t="s">
        <v>2996</v>
      </c>
      <c r="Y2669" t="s">
        <v>97</v>
      </c>
      <c r="Z2669" t="s">
        <v>77</v>
      </c>
      <c r="AA2669" t="str">
        <f>"10018-7215"</f>
        <v>10018-7215</v>
      </c>
      <c r="AB2669" t="s">
        <v>78</v>
      </c>
      <c r="AC2669" t="s">
        <v>79</v>
      </c>
      <c r="AD2669" t="s">
        <v>75</v>
      </c>
      <c r="AE2669" t="s">
        <v>80</v>
      </c>
      <c r="AG2669" t="s">
        <v>81</v>
      </c>
    </row>
    <row r="2670" spans="1:33" x14ac:dyDescent="0.25">
      <c r="A2670" t="str">
        <f>"1164699245"</f>
        <v>1164699245</v>
      </c>
      <c r="B2670" t="str">
        <f>"03772121"</f>
        <v>03772121</v>
      </c>
      <c r="C2670" t="s">
        <v>16335</v>
      </c>
      <c r="D2670" t="s">
        <v>4403</v>
      </c>
      <c r="E2670" t="s">
        <v>4404</v>
      </c>
      <c r="L2670" t="s">
        <v>74</v>
      </c>
      <c r="M2670" t="s">
        <v>75</v>
      </c>
      <c r="R2670" t="s">
        <v>4405</v>
      </c>
      <c r="W2670" t="s">
        <v>4404</v>
      </c>
      <c r="X2670" t="s">
        <v>4406</v>
      </c>
      <c r="Y2670" t="s">
        <v>97</v>
      </c>
      <c r="Z2670" t="s">
        <v>77</v>
      </c>
      <c r="AA2670" t="str">
        <f>"10018-7301"</f>
        <v>10018-7301</v>
      </c>
      <c r="AB2670" t="s">
        <v>113</v>
      </c>
      <c r="AC2670" t="s">
        <v>79</v>
      </c>
      <c r="AD2670" t="s">
        <v>75</v>
      </c>
      <c r="AE2670" t="s">
        <v>80</v>
      </c>
      <c r="AG2670" t="s">
        <v>81</v>
      </c>
    </row>
    <row r="2671" spans="1:33" x14ac:dyDescent="0.25">
      <c r="A2671" t="str">
        <f>"1679747166"</f>
        <v>1679747166</v>
      </c>
      <c r="C2671" t="s">
        <v>16336</v>
      </c>
      <c r="K2671" t="s">
        <v>99</v>
      </c>
      <c r="L2671" t="s">
        <v>74</v>
      </c>
      <c r="M2671" t="s">
        <v>75</v>
      </c>
      <c r="R2671" t="s">
        <v>3053</v>
      </c>
      <c r="S2671" t="s">
        <v>3054</v>
      </c>
      <c r="T2671" t="s">
        <v>97</v>
      </c>
      <c r="U2671" t="s">
        <v>77</v>
      </c>
      <c r="V2671" t="str">
        <f>"100187200"</f>
        <v>100187200</v>
      </c>
      <c r="AC2671" t="s">
        <v>79</v>
      </c>
      <c r="AD2671" t="s">
        <v>75</v>
      </c>
      <c r="AE2671" t="s">
        <v>103</v>
      </c>
      <c r="AG2671" t="s">
        <v>81</v>
      </c>
    </row>
    <row r="2672" spans="1:33" x14ac:dyDescent="0.25">
      <c r="A2672" t="str">
        <f>"1851530083"</f>
        <v>1851530083</v>
      </c>
      <c r="C2672" t="s">
        <v>16337</v>
      </c>
      <c r="K2672" t="s">
        <v>99</v>
      </c>
      <c r="L2672" t="s">
        <v>102</v>
      </c>
      <c r="M2672" t="s">
        <v>75</v>
      </c>
      <c r="R2672" t="s">
        <v>2701</v>
      </c>
      <c r="S2672" t="s">
        <v>2702</v>
      </c>
      <c r="T2672" t="s">
        <v>131</v>
      </c>
      <c r="U2672" t="s">
        <v>77</v>
      </c>
      <c r="V2672" t="str">
        <f>"10458"</f>
        <v>10458</v>
      </c>
      <c r="AC2672" t="s">
        <v>79</v>
      </c>
      <c r="AD2672" t="s">
        <v>75</v>
      </c>
      <c r="AE2672" t="s">
        <v>103</v>
      </c>
      <c r="AG2672" t="s">
        <v>81</v>
      </c>
    </row>
    <row r="2673" spans="1:33" x14ac:dyDescent="0.25">
      <c r="A2673" t="str">
        <f>"1982016127"</f>
        <v>1982016127</v>
      </c>
      <c r="B2673" t="str">
        <f>"03918756"</f>
        <v>03918756</v>
      </c>
      <c r="C2673" t="s">
        <v>16338</v>
      </c>
      <c r="D2673" t="s">
        <v>16339</v>
      </c>
      <c r="E2673" t="s">
        <v>16340</v>
      </c>
      <c r="G2673" t="s">
        <v>13504</v>
      </c>
      <c r="H2673" t="s">
        <v>13505</v>
      </c>
      <c r="J2673" t="s">
        <v>13506</v>
      </c>
      <c r="L2673" t="s">
        <v>74</v>
      </c>
      <c r="M2673" t="s">
        <v>75</v>
      </c>
      <c r="R2673" t="s">
        <v>16341</v>
      </c>
      <c r="W2673" t="s">
        <v>16340</v>
      </c>
      <c r="X2673" t="s">
        <v>14397</v>
      </c>
      <c r="Y2673" t="s">
        <v>87</v>
      </c>
      <c r="Z2673" t="s">
        <v>77</v>
      </c>
      <c r="AA2673" t="str">
        <f>"11249-6620"</f>
        <v>11249-6620</v>
      </c>
      <c r="AB2673" t="s">
        <v>78</v>
      </c>
      <c r="AC2673" t="s">
        <v>79</v>
      </c>
      <c r="AD2673" t="s">
        <v>75</v>
      </c>
      <c r="AE2673" t="s">
        <v>80</v>
      </c>
      <c r="AG2673" t="s">
        <v>81</v>
      </c>
    </row>
    <row r="2674" spans="1:33" x14ac:dyDescent="0.25">
      <c r="A2674" t="str">
        <f>"1487972097"</f>
        <v>1487972097</v>
      </c>
      <c r="B2674" t="str">
        <f>"04062713"</f>
        <v>04062713</v>
      </c>
      <c r="C2674" t="s">
        <v>13436</v>
      </c>
      <c r="D2674" t="s">
        <v>16342</v>
      </c>
      <c r="E2674" t="s">
        <v>16343</v>
      </c>
      <c r="G2674" t="s">
        <v>16344</v>
      </c>
      <c r="L2674" t="s">
        <v>74</v>
      </c>
      <c r="M2674" t="s">
        <v>85</v>
      </c>
      <c r="R2674" t="s">
        <v>16345</v>
      </c>
      <c r="W2674" t="s">
        <v>16343</v>
      </c>
      <c r="X2674" t="s">
        <v>16346</v>
      </c>
      <c r="Y2674" t="s">
        <v>97</v>
      </c>
      <c r="Z2674" t="s">
        <v>77</v>
      </c>
      <c r="AA2674" t="str">
        <f>"10011-9092"</f>
        <v>10011-9092</v>
      </c>
      <c r="AB2674" t="s">
        <v>78</v>
      </c>
      <c r="AC2674" t="s">
        <v>79</v>
      </c>
      <c r="AD2674" t="s">
        <v>75</v>
      </c>
      <c r="AE2674" t="s">
        <v>80</v>
      </c>
      <c r="AG2674" t="s">
        <v>81</v>
      </c>
    </row>
    <row r="2675" spans="1:33" x14ac:dyDescent="0.25">
      <c r="A2675" t="str">
        <f>"1578739686"</f>
        <v>1578739686</v>
      </c>
      <c r="B2675" t="str">
        <f>"00929337"</f>
        <v>00929337</v>
      </c>
      <c r="C2675" t="s">
        <v>16347</v>
      </c>
      <c r="D2675" t="s">
        <v>16348</v>
      </c>
      <c r="E2675" t="s">
        <v>16349</v>
      </c>
      <c r="G2675" t="s">
        <v>16347</v>
      </c>
      <c r="H2675" t="s">
        <v>16350</v>
      </c>
      <c r="J2675" t="s">
        <v>16351</v>
      </c>
      <c r="L2675" t="s">
        <v>74</v>
      </c>
      <c r="M2675" t="s">
        <v>75</v>
      </c>
      <c r="R2675" t="s">
        <v>16352</v>
      </c>
      <c r="W2675" t="s">
        <v>16349</v>
      </c>
      <c r="X2675" t="s">
        <v>5701</v>
      </c>
      <c r="Y2675" t="s">
        <v>236</v>
      </c>
      <c r="Z2675" t="s">
        <v>77</v>
      </c>
      <c r="AA2675" t="str">
        <f>"11105-1002"</f>
        <v>11105-1002</v>
      </c>
      <c r="AB2675" t="s">
        <v>78</v>
      </c>
      <c r="AC2675" t="s">
        <v>79</v>
      </c>
      <c r="AD2675" t="s">
        <v>75</v>
      </c>
      <c r="AE2675" t="s">
        <v>80</v>
      </c>
      <c r="AG2675" t="s">
        <v>81</v>
      </c>
    </row>
    <row r="2676" spans="1:33" x14ac:dyDescent="0.25">
      <c r="A2676" t="str">
        <f>"1285734202"</f>
        <v>1285734202</v>
      </c>
      <c r="B2676" t="str">
        <f>"01635529"</f>
        <v>01635529</v>
      </c>
      <c r="C2676" t="s">
        <v>16353</v>
      </c>
      <c r="D2676" t="s">
        <v>16354</v>
      </c>
      <c r="E2676" t="s">
        <v>16355</v>
      </c>
      <c r="G2676" t="s">
        <v>15344</v>
      </c>
      <c r="H2676" t="s">
        <v>15345</v>
      </c>
      <c r="J2676" t="s">
        <v>16356</v>
      </c>
      <c r="L2676" t="s">
        <v>105</v>
      </c>
      <c r="M2676" t="s">
        <v>85</v>
      </c>
      <c r="R2676" t="s">
        <v>16357</v>
      </c>
      <c r="W2676" t="s">
        <v>16355</v>
      </c>
      <c r="X2676" t="s">
        <v>648</v>
      </c>
      <c r="Y2676" t="s">
        <v>97</v>
      </c>
      <c r="Z2676" t="s">
        <v>77</v>
      </c>
      <c r="AA2676" t="str">
        <f>"10037-1802"</f>
        <v>10037-1802</v>
      </c>
      <c r="AB2676" t="s">
        <v>78</v>
      </c>
      <c r="AC2676" t="s">
        <v>79</v>
      </c>
      <c r="AD2676" t="s">
        <v>75</v>
      </c>
      <c r="AE2676" t="s">
        <v>80</v>
      </c>
      <c r="AG2676" t="s">
        <v>81</v>
      </c>
    </row>
    <row r="2677" spans="1:33" x14ac:dyDescent="0.25">
      <c r="A2677" t="str">
        <f>"1376622662"</f>
        <v>1376622662</v>
      </c>
      <c r="B2677" t="str">
        <f>"02977306"</f>
        <v>02977306</v>
      </c>
      <c r="C2677" t="s">
        <v>13436</v>
      </c>
      <c r="D2677" t="s">
        <v>16358</v>
      </c>
      <c r="E2677" t="s">
        <v>16359</v>
      </c>
      <c r="G2677" t="s">
        <v>16360</v>
      </c>
      <c r="L2677" t="s">
        <v>84</v>
      </c>
      <c r="M2677" t="s">
        <v>85</v>
      </c>
      <c r="R2677" t="s">
        <v>16361</v>
      </c>
      <c r="W2677" t="s">
        <v>16362</v>
      </c>
      <c r="X2677" t="s">
        <v>16363</v>
      </c>
      <c r="Y2677" t="s">
        <v>97</v>
      </c>
      <c r="Z2677" t="s">
        <v>77</v>
      </c>
      <c r="AA2677" t="str">
        <f>"10011-2301"</f>
        <v>10011-2301</v>
      </c>
      <c r="AB2677" t="s">
        <v>78</v>
      </c>
      <c r="AC2677" t="s">
        <v>79</v>
      </c>
      <c r="AD2677" t="s">
        <v>75</v>
      </c>
      <c r="AE2677" t="s">
        <v>80</v>
      </c>
      <c r="AG2677" t="s">
        <v>81</v>
      </c>
    </row>
    <row r="2678" spans="1:33" x14ac:dyDescent="0.25">
      <c r="A2678" t="str">
        <f>"1376732214"</f>
        <v>1376732214</v>
      </c>
      <c r="B2678" t="str">
        <f>"02952743"</f>
        <v>02952743</v>
      </c>
      <c r="C2678" t="s">
        <v>13436</v>
      </c>
      <c r="D2678" t="s">
        <v>16364</v>
      </c>
      <c r="E2678" t="s">
        <v>16365</v>
      </c>
      <c r="G2678" t="s">
        <v>16366</v>
      </c>
      <c r="L2678" t="s">
        <v>83</v>
      </c>
      <c r="M2678" t="s">
        <v>85</v>
      </c>
      <c r="R2678" t="s">
        <v>16367</v>
      </c>
      <c r="W2678" t="s">
        <v>16368</v>
      </c>
      <c r="X2678" t="s">
        <v>191</v>
      </c>
      <c r="Y2678" t="s">
        <v>97</v>
      </c>
      <c r="Z2678" t="s">
        <v>77</v>
      </c>
      <c r="AA2678" t="str">
        <f>"10019-1147"</f>
        <v>10019-1147</v>
      </c>
      <c r="AB2678" t="s">
        <v>78</v>
      </c>
      <c r="AC2678" t="s">
        <v>79</v>
      </c>
      <c r="AD2678" t="s">
        <v>75</v>
      </c>
      <c r="AE2678" t="s">
        <v>80</v>
      </c>
      <c r="AG2678" t="s">
        <v>81</v>
      </c>
    </row>
    <row r="2679" spans="1:33" x14ac:dyDescent="0.25">
      <c r="A2679" t="str">
        <f>"1386608529"</f>
        <v>1386608529</v>
      </c>
      <c r="B2679" t="str">
        <f>"01472233"</f>
        <v>01472233</v>
      </c>
      <c r="C2679" t="s">
        <v>13436</v>
      </c>
      <c r="D2679" t="s">
        <v>16369</v>
      </c>
      <c r="E2679" t="s">
        <v>16370</v>
      </c>
      <c r="G2679" t="s">
        <v>16371</v>
      </c>
      <c r="L2679" t="s">
        <v>105</v>
      </c>
      <c r="M2679" t="s">
        <v>85</v>
      </c>
      <c r="R2679" t="s">
        <v>16372</v>
      </c>
      <c r="W2679" t="s">
        <v>16370</v>
      </c>
      <c r="X2679" t="s">
        <v>16373</v>
      </c>
      <c r="Y2679" t="s">
        <v>97</v>
      </c>
      <c r="Z2679" t="s">
        <v>77</v>
      </c>
      <c r="AA2679" t="str">
        <f>"10019"</f>
        <v>10019</v>
      </c>
      <c r="AB2679" t="s">
        <v>78</v>
      </c>
      <c r="AC2679" t="s">
        <v>79</v>
      </c>
      <c r="AD2679" t="s">
        <v>75</v>
      </c>
      <c r="AE2679" t="s">
        <v>80</v>
      </c>
      <c r="AG2679" t="s">
        <v>81</v>
      </c>
    </row>
    <row r="2680" spans="1:33" x14ac:dyDescent="0.25">
      <c r="A2680" t="str">
        <f>"1417966185"</f>
        <v>1417966185</v>
      </c>
      <c r="B2680" t="str">
        <f>"00672257"</f>
        <v>00672257</v>
      </c>
      <c r="C2680" t="s">
        <v>16374</v>
      </c>
      <c r="D2680" t="s">
        <v>16375</v>
      </c>
      <c r="E2680" t="s">
        <v>16376</v>
      </c>
      <c r="G2680" t="s">
        <v>13504</v>
      </c>
      <c r="H2680" t="s">
        <v>13505</v>
      </c>
      <c r="J2680" t="s">
        <v>13506</v>
      </c>
      <c r="L2680" t="s">
        <v>84</v>
      </c>
      <c r="M2680" t="s">
        <v>85</v>
      </c>
      <c r="R2680" t="s">
        <v>16377</v>
      </c>
      <c r="W2680" t="s">
        <v>16376</v>
      </c>
      <c r="X2680" t="s">
        <v>16378</v>
      </c>
      <c r="Y2680" t="s">
        <v>87</v>
      </c>
      <c r="Z2680" t="s">
        <v>77</v>
      </c>
      <c r="AA2680" t="str">
        <f>"11216-1524"</f>
        <v>11216-1524</v>
      </c>
      <c r="AB2680" t="s">
        <v>78</v>
      </c>
      <c r="AC2680" t="s">
        <v>79</v>
      </c>
      <c r="AD2680" t="s">
        <v>75</v>
      </c>
      <c r="AE2680" t="s">
        <v>80</v>
      </c>
      <c r="AG2680" t="s">
        <v>81</v>
      </c>
    </row>
    <row r="2681" spans="1:33" x14ac:dyDescent="0.25">
      <c r="A2681" t="str">
        <f>"1740305861"</f>
        <v>1740305861</v>
      </c>
      <c r="B2681" t="str">
        <f>"00811830"</f>
        <v>00811830</v>
      </c>
      <c r="C2681" t="s">
        <v>16379</v>
      </c>
      <c r="D2681" t="s">
        <v>16380</v>
      </c>
      <c r="E2681" t="s">
        <v>16381</v>
      </c>
      <c r="G2681" t="s">
        <v>13504</v>
      </c>
      <c r="H2681" t="s">
        <v>13505</v>
      </c>
      <c r="J2681" t="s">
        <v>13506</v>
      </c>
      <c r="L2681" t="s">
        <v>83</v>
      </c>
      <c r="M2681" t="s">
        <v>75</v>
      </c>
      <c r="R2681" t="s">
        <v>16382</v>
      </c>
      <c r="W2681" t="s">
        <v>16381</v>
      </c>
      <c r="X2681" t="s">
        <v>16383</v>
      </c>
      <c r="Y2681" t="s">
        <v>87</v>
      </c>
      <c r="Z2681" t="s">
        <v>77</v>
      </c>
      <c r="AA2681" t="str">
        <f>"11236-5466"</f>
        <v>11236-5466</v>
      </c>
      <c r="AB2681" t="s">
        <v>78</v>
      </c>
      <c r="AC2681" t="s">
        <v>79</v>
      </c>
      <c r="AD2681" t="s">
        <v>75</v>
      </c>
      <c r="AE2681" t="s">
        <v>80</v>
      </c>
      <c r="AG2681" t="s">
        <v>81</v>
      </c>
    </row>
    <row r="2682" spans="1:33" x14ac:dyDescent="0.25">
      <c r="A2682" t="str">
        <f>"1629061833"</f>
        <v>1629061833</v>
      </c>
      <c r="B2682" t="str">
        <f>"00709628"</f>
        <v>00709628</v>
      </c>
      <c r="C2682" t="s">
        <v>16384</v>
      </c>
      <c r="D2682" t="s">
        <v>16385</v>
      </c>
      <c r="E2682" t="s">
        <v>16386</v>
      </c>
      <c r="G2682" t="s">
        <v>13504</v>
      </c>
      <c r="H2682" t="s">
        <v>13505</v>
      </c>
      <c r="J2682" t="s">
        <v>13506</v>
      </c>
      <c r="L2682" t="s">
        <v>84</v>
      </c>
      <c r="M2682" t="s">
        <v>85</v>
      </c>
      <c r="R2682" t="s">
        <v>16387</v>
      </c>
      <c r="W2682" t="s">
        <v>16386</v>
      </c>
      <c r="X2682" t="s">
        <v>16388</v>
      </c>
      <c r="Y2682" t="s">
        <v>807</v>
      </c>
      <c r="Z2682" t="s">
        <v>77</v>
      </c>
      <c r="AA2682" t="str">
        <f>"11421-1215"</f>
        <v>11421-1215</v>
      </c>
      <c r="AB2682" t="s">
        <v>78</v>
      </c>
      <c r="AC2682" t="s">
        <v>79</v>
      </c>
      <c r="AD2682" t="s">
        <v>75</v>
      </c>
      <c r="AE2682" t="s">
        <v>80</v>
      </c>
      <c r="AG2682" t="s">
        <v>81</v>
      </c>
    </row>
    <row r="2683" spans="1:33" x14ac:dyDescent="0.25">
      <c r="A2683" t="str">
        <f>"1093995524"</f>
        <v>1093995524</v>
      </c>
      <c r="B2683" t="str">
        <f>"00770576"</f>
        <v>00770576</v>
      </c>
      <c r="C2683" t="s">
        <v>16389</v>
      </c>
      <c r="D2683" t="s">
        <v>16390</v>
      </c>
      <c r="E2683" t="s">
        <v>16391</v>
      </c>
      <c r="G2683" t="s">
        <v>13504</v>
      </c>
      <c r="H2683" t="s">
        <v>13505</v>
      </c>
      <c r="J2683" t="s">
        <v>13506</v>
      </c>
      <c r="L2683" t="s">
        <v>84</v>
      </c>
      <c r="M2683" t="s">
        <v>75</v>
      </c>
      <c r="R2683" t="s">
        <v>16392</v>
      </c>
      <c r="W2683" t="s">
        <v>16391</v>
      </c>
      <c r="X2683" t="s">
        <v>16393</v>
      </c>
      <c r="Y2683" t="s">
        <v>87</v>
      </c>
      <c r="Z2683" t="s">
        <v>77</v>
      </c>
      <c r="AA2683" t="str">
        <f>"11243-2907"</f>
        <v>11243-2907</v>
      </c>
      <c r="AB2683" t="s">
        <v>78</v>
      </c>
      <c r="AC2683" t="s">
        <v>79</v>
      </c>
      <c r="AD2683" t="s">
        <v>75</v>
      </c>
      <c r="AE2683" t="s">
        <v>80</v>
      </c>
      <c r="AG2683" t="s">
        <v>81</v>
      </c>
    </row>
    <row r="2684" spans="1:33" x14ac:dyDescent="0.25">
      <c r="A2684" t="str">
        <f>"1932121779"</f>
        <v>1932121779</v>
      </c>
      <c r="B2684" t="str">
        <f>"00767102"</f>
        <v>00767102</v>
      </c>
      <c r="C2684" t="s">
        <v>16394</v>
      </c>
      <c r="D2684" t="s">
        <v>16395</v>
      </c>
      <c r="E2684" t="s">
        <v>16396</v>
      </c>
      <c r="G2684" t="s">
        <v>13504</v>
      </c>
      <c r="H2684" t="s">
        <v>13505</v>
      </c>
      <c r="J2684" t="s">
        <v>13506</v>
      </c>
      <c r="L2684" t="s">
        <v>83</v>
      </c>
      <c r="M2684" t="s">
        <v>75</v>
      </c>
      <c r="R2684" t="s">
        <v>16397</v>
      </c>
      <c r="W2684" t="s">
        <v>16396</v>
      </c>
      <c r="X2684" t="s">
        <v>16398</v>
      </c>
      <c r="Y2684" t="s">
        <v>97</v>
      </c>
      <c r="Z2684" t="s">
        <v>77</v>
      </c>
      <c r="AA2684" t="str">
        <f>"10003-2893"</f>
        <v>10003-2893</v>
      </c>
      <c r="AB2684" t="s">
        <v>78</v>
      </c>
      <c r="AC2684" t="s">
        <v>79</v>
      </c>
      <c r="AD2684" t="s">
        <v>75</v>
      </c>
      <c r="AE2684" t="s">
        <v>80</v>
      </c>
      <c r="AG2684" t="s">
        <v>81</v>
      </c>
    </row>
    <row r="2685" spans="1:33" x14ac:dyDescent="0.25">
      <c r="A2685" t="str">
        <f>"1639248453"</f>
        <v>1639248453</v>
      </c>
      <c r="B2685" t="str">
        <f>"00897425"</f>
        <v>00897425</v>
      </c>
      <c r="C2685" t="s">
        <v>16399</v>
      </c>
      <c r="D2685" t="s">
        <v>16400</v>
      </c>
      <c r="E2685" t="s">
        <v>16401</v>
      </c>
      <c r="G2685" t="s">
        <v>13504</v>
      </c>
      <c r="H2685" t="s">
        <v>13505</v>
      </c>
      <c r="J2685" t="s">
        <v>13506</v>
      </c>
      <c r="L2685" t="s">
        <v>74</v>
      </c>
      <c r="M2685" t="s">
        <v>75</v>
      </c>
      <c r="R2685" t="s">
        <v>16402</v>
      </c>
      <c r="W2685" t="s">
        <v>16401</v>
      </c>
      <c r="X2685" t="s">
        <v>16403</v>
      </c>
      <c r="Y2685" t="s">
        <v>87</v>
      </c>
      <c r="Z2685" t="s">
        <v>77</v>
      </c>
      <c r="AA2685" t="str">
        <f>"11201"</f>
        <v>11201</v>
      </c>
      <c r="AB2685" t="s">
        <v>78</v>
      </c>
      <c r="AC2685" t="s">
        <v>79</v>
      </c>
      <c r="AD2685" t="s">
        <v>75</v>
      </c>
      <c r="AE2685" t="s">
        <v>80</v>
      </c>
      <c r="AG2685" t="s">
        <v>81</v>
      </c>
    </row>
    <row r="2686" spans="1:33" x14ac:dyDescent="0.25">
      <c r="A2686" t="str">
        <f>"1326198599"</f>
        <v>1326198599</v>
      </c>
      <c r="B2686" t="str">
        <f>"00717313"</f>
        <v>00717313</v>
      </c>
      <c r="C2686" t="s">
        <v>16404</v>
      </c>
      <c r="D2686" t="s">
        <v>16405</v>
      </c>
      <c r="E2686" t="s">
        <v>16406</v>
      </c>
      <c r="G2686" t="s">
        <v>13504</v>
      </c>
      <c r="H2686" t="s">
        <v>13505</v>
      </c>
      <c r="J2686" t="s">
        <v>13506</v>
      </c>
      <c r="L2686" t="s">
        <v>84</v>
      </c>
      <c r="M2686" t="s">
        <v>75</v>
      </c>
      <c r="R2686" t="s">
        <v>16407</v>
      </c>
      <c r="W2686" t="s">
        <v>16408</v>
      </c>
      <c r="X2686" t="s">
        <v>202</v>
      </c>
      <c r="Y2686" t="s">
        <v>87</v>
      </c>
      <c r="Z2686" t="s">
        <v>77</v>
      </c>
      <c r="AA2686" t="str">
        <f>"11201-5425"</f>
        <v>11201-5425</v>
      </c>
      <c r="AB2686" t="s">
        <v>78</v>
      </c>
      <c r="AC2686" t="s">
        <v>79</v>
      </c>
      <c r="AD2686" t="s">
        <v>75</v>
      </c>
      <c r="AE2686" t="s">
        <v>80</v>
      </c>
      <c r="AG2686" t="s">
        <v>81</v>
      </c>
    </row>
    <row r="2687" spans="1:33" x14ac:dyDescent="0.25">
      <c r="A2687" t="str">
        <f>"1497856041"</f>
        <v>1497856041</v>
      </c>
      <c r="B2687" t="str">
        <f>"01025896"</f>
        <v>01025896</v>
      </c>
      <c r="C2687" t="s">
        <v>16409</v>
      </c>
      <c r="D2687" t="s">
        <v>16410</v>
      </c>
      <c r="E2687" t="s">
        <v>16411</v>
      </c>
      <c r="G2687" t="s">
        <v>13504</v>
      </c>
      <c r="H2687" t="s">
        <v>13505</v>
      </c>
      <c r="J2687" t="s">
        <v>13506</v>
      </c>
      <c r="L2687" t="s">
        <v>83</v>
      </c>
      <c r="M2687" t="s">
        <v>75</v>
      </c>
      <c r="R2687" t="s">
        <v>16412</v>
      </c>
      <c r="W2687" t="s">
        <v>16411</v>
      </c>
      <c r="X2687" t="s">
        <v>16413</v>
      </c>
      <c r="Y2687" t="s">
        <v>97</v>
      </c>
      <c r="Z2687" t="s">
        <v>77</v>
      </c>
      <c r="AA2687" t="str">
        <f>"10003"</f>
        <v>10003</v>
      </c>
      <c r="AB2687" t="s">
        <v>78</v>
      </c>
      <c r="AC2687" t="s">
        <v>79</v>
      </c>
      <c r="AD2687" t="s">
        <v>75</v>
      </c>
      <c r="AE2687" t="s">
        <v>80</v>
      </c>
      <c r="AG2687" t="s">
        <v>81</v>
      </c>
    </row>
    <row r="2688" spans="1:33" x14ac:dyDescent="0.25">
      <c r="A2688" t="str">
        <f>"1326031535"</f>
        <v>1326031535</v>
      </c>
      <c r="B2688" t="str">
        <f>"00579740"</f>
        <v>00579740</v>
      </c>
      <c r="C2688" t="s">
        <v>16414</v>
      </c>
      <c r="D2688" t="s">
        <v>16415</v>
      </c>
      <c r="E2688" t="s">
        <v>16416</v>
      </c>
      <c r="G2688" t="s">
        <v>13504</v>
      </c>
      <c r="H2688" t="s">
        <v>13505</v>
      </c>
      <c r="J2688" t="s">
        <v>13506</v>
      </c>
      <c r="L2688" t="s">
        <v>84</v>
      </c>
      <c r="M2688" t="s">
        <v>85</v>
      </c>
      <c r="R2688" t="s">
        <v>16417</v>
      </c>
      <c r="W2688" t="s">
        <v>16416</v>
      </c>
      <c r="X2688" t="s">
        <v>16418</v>
      </c>
      <c r="Y2688" t="s">
        <v>87</v>
      </c>
      <c r="Z2688" t="s">
        <v>77</v>
      </c>
      <c r="AA2688" t="str">
        <f>"11201"</f>
        <v>11201</v>
      </c>
      <c r="AB2688" t="s">
        <v>78</v>
      </c>
      <c r="AC2688" t="s">
        <v>79</v>
      </c>
      <c r="AD2688" t="s">
        <v>75</v>
      </c>
      <c r="AE2688" t="s">
        <v>80</v>
      </c>
      <c r="AG2688" t="s">
        <v>81</v>
      </c>
    </row>
    <row r="2689" spans="1:33" x14ac:dyDescent="0.25">
      <c r="A2689" t="str">
        <f>"1629139647"</f>
        <v>1629139647</v>
      </c>
      <c r="B2689" t="str">
        <f>"00672335"</f>
        <v>00672335</v>
      </c>
      <c r="C2689" t="s">
        <v>16419</v>
      </c>
      <c r="D2689" t="s">
        <v>16420</v>
      </c>
      <c r="E2689" t="s">
        <v>16421</v>
      </c>
      <c r="G2689" t="s">
        <v>13504</v>
      </c>
      <c r="H2689" t="s">
        <v>13505</v>
      </c>
      <c r="J2689" t="s">
        <v>13506</v>
      </c>
      <c r="L2689" t="s">
        <v>105</v>
      </c>
      <c r="M2689" t="s">
        <v>75</v>
      </c>
      <c r="R2689" t="s">
        <v>16422</v>
      </c>
      <c r="W2689" t="s">
        <v>16421</v>
      </c>
      <c r="X2689" t="s">
        <v>16423</v>
      </c>
      <c r="Y2689" t="s">
        <v>97</v>
      </c>
      <c r="Z2689" t="s">
        <v>77</v>
      </c>
      <c r="AA2689" t="str">
        <f>"10032-1559"</f>
        <v>10032-1559</v>
      </c>
      <c r="AB2689" t="s">
        <v>78</v>
      </c>
      <c r="AC2689" t="s">
        <v>79</v>
      </c>
      <c r="AD2689" t="s">
        <v>75</v>
      </c>
      <c r="AE2689" t="s">
        <v>80</v>
      </c>
      <c r="AG2689" t="s">
        <v>81</v>
      </c>
    </row>
    <row r="2690" spans="1:33" x14ac:dyDescent="0.25">
      <c r="A2690" t="str">
        <f>"1346393170"</f>
        <v>1346393170</v>
      </c>
      <c r="B2690" t="str">
        <f>"00730323"</f>
        <v>00730323</v>
      </c>
      <c r="C2690" t="s">
        <v>16424</v>
      </c>
      <c r="D2690" t="s">
        <v>16425</v>
      </c>
      <c r="E2690" t="s">
        <v>16426</v>
      </c>
      <c r="G2690" t="s">
        <v>13504</v>
      </c>
      <c r="H2690" t="s">
        <v>13505</v>
      </c>
      <c r="J2690" t="s">
        <v>13506</v>
      </c>
      <c r="L2690" t="s">
        <v>83</v>
      </c>
      <c r="M2690" t="s">
        <v>75</v>
      </c>
      <c r="R2690" t="s">
        <v>16427</v>
      </c>
      <c r="W2690" t="s">
        <v>16426</v>
      </c>
      <c r="X2690" t="s">
        <v>16428</v>
      </c>
      <c r="Y2690" t="s">
        <v>97</v>
      </c>
      <c r="Z2690" t="s">
        <v>77</v>
      </c>
      <c r="AA2690" t="str">
        <f>"10010-7457"</f>
        <v>10010-7457</v>
      </c>
      <c r="AB2690" t="s">
        <v>78</v>
      </c>
      <c r="AC2690" t="s">
        <v>79</v>
      </c>
      <c r="AD2690" t="s">
        <v>75</v>
      </c>
      <c r="AE2690" t="s">
        <v>80</v>
      </c>
      <c r="AG2690" t="s">
        <v>81</v>
      </c>
    </row>
    <row r="2691" spans="1:33" x14ac:dyDescent="0.25">
      <c r="A2691" t="str">
        <f>"1225010465"</f>
        <v>1225010465</v>
      </c>
      <c r="B2691" t="str">
        <f>"01393104"</f>
        <v>01393104</v>
      </c>
      <c r="C2691" t="s">
        <v>16429</v>
      </c>
      <c r="D2691" t="s">
        <v>16430</v>
      </c>
      <c r="E2691" t="s">
        <v>16431</v>
      </c>
      <c r="G2691" t="s">
        <v>7676</v>
      </c>
      <c r="H2691" t="s">
        <v>7677</v>
      </c>
      <c r="I2691">
        <v>327</v>
      </c>
      <c r="J2691" t="s">
        <v>7678</v>
      </c>
      <c r="L2691" t="s">
        <v>143</v>
      </c>
      <c r="M2691" t="s">
        <v>75</v>
      </c>
      <c r="R2691" t="s">
        <v>16432</v>
      </c>
      <c r="W2691" t="s">
        <v>16431</v>
      </c>
      <c r="X2691" t="s">
        <v>1108</v>
      </c>
      <c r="Y2691" t="s">
        <v>6156</v>
      </c>
      <c r="Z2691" t="s">
        <v>77</v>
      </c>
      <c r="AA2691" t="str">
        <f>"11516-2302"</f>
        <v>11516-2302</v>
      </c>
      <c r="AB2691" t="s">
        <v>78</v>
      </c>
      <c r="AC2691" t="s">
        <v>79</v>
      </c>
      <c r="AD2691" t="s">
        <v>75</v>
      </c>
      <c r="AE2691" t="s">
        <v>80</v>
      </c>
      <c r="AG2691" t="s">
        <v>81</v>
      </c>
    </row>
    <row r="2692" spans="1:33" x14ac:dyDescent="0.25">
      <c r="A2692" t="str">
        <f>"1821122839"</f>
        <v>1821122839</v>
      </c>
      <c r="B2692" t="str">
        <f>"02316892"</f>
        <v>02316892</v>
      </c>
      <c r="C2692" t="s">
        <v>16433</v>
      </c>
      <c r="D2692" t="s">
        <v>1736</v>
      </c>
      <c r="E2692" t="s">
        <v>1737</v>
      </c>
      <c r="G2692" t="s">
        <v>7676</v>
      </c>
      <c r="H2692" t="s">
        <v>7677</v>
      </c>
      <c r="I2692">
        <v>327</v>
      </c>
      <c r="J2692" t="s">
        <v>7678</v>
      </c>
      <c r="L2692" t="s">
        <v>84</v>
      </c>
      <c r="M2692" t="s">
        <v>85</v>
      </c>
      <c r="R2692" t="s">
        <v>1735</v>
      </c>
      <c r="W2692" t="s">
        <v>1737</v>
      </c>
      <c r="X2692" t="s">
        <v>1738</v>
      </c>
      <c r="Y2692" t="s">
        <v>87</v>
      </c>
      <c r="Z2692" t="s">
        <v>77</v>
      </c>
      <c r="AA2692" t="str">
        <f>"11211-2055"</f>
        <v>11211-2055</v>
      </c>
      <c r="AB2692" t="s">
        <v>78</v>
      </c>
      <c r="AC2692" t="s">
        <v>79</v>
      </c>
      <c r="AD2692" t="s">
        <v>75</v>
      </c>
      <c r="AE2692" t="s">
        <v>80</v>
      </c>
      <c r="AG2692" t="s">
        <v>81</v>
      </c>
    </row>
    <row r="2693" spans="1:33" x14ac:dyDescent="0.25">
      <c r="A2693" t="str">
        <f>"1922101070"</f>
        <v>1922101070</v>
      </c>
      <c r="B2693" t="str">
        <f>"02202486"</f>
        <v>02202486</v>
      </c>
      <c r="C2693" t="s">
        <v>16434</v>
      </c>
      <c r="D2693" t="s">
        <v>16435</v>
      </c>
      <c r="E2693" t="s">
        <v>16436</v>
      </c>
      <c r="G2693" t="s">
        <v>7676</v>
      </c>
      <c r="H2693" t="s">
        <v>7677</v>
      </c>
      <c r="I2693">
        <v>327</v>
      </c>
      <c r="J2693" t="s">
        <v>7678</v>
      </c>
      <c r="L2693" t="s">
        <v>84</v>
      </c>
      <c r="M2693" t="s">
        <v>75</v>
      </c>
      <c r="R2693" t="s">
        <v>16437</v>
      </c>
      <c r="W2693" t="s">
        <v>16436</v>
      </c>
      <c r="X2693" t="s">
        <v>16438</v>
      </c>
      <c r="Y2693" t="s">
        <v>97</v>
      </c>
      <c r="Z2693" t="s">
        <v>77</v>
      </c>
      <c r="AA2693" t="str">
        <f>"10003"</f>
        <v>10003</v>
      </c>
      <c r="AB2693" t="s">
        <v>78</v>
      </c>
      <c r="AC2693" t="s">
        <v>79</v>
      </c>
      <c r="AD2693" t="s">
        <v>75</v>
      </c>
      <c r="AE2693" t="s">
        <v>80</v>
      </c>
      <c r="AG2693" t="s">
        <v>81</v>
      </c>
    </row>
    <row r="2694" spans="1:33" x14ac:dyDescent="0.25">
      <c r="A2694" t="str">
        <f>"1427202399"</f>
        <v>1427202399</v>
      </c>
      <c r="B2694" t="str">
        <f>"03458500"</f>
        <v>03458500</v>
      </c>
      <c r="C2694" t="s">
        <v>16439</v>
      </c>
      <c r="D2694" t="s">
        <v>16440</v>
      </c>
      <c r="E2694" t="s">
        <v>16441</v>
      </c>
      <c r="G2694" t="s">
        <v>7676</v>
      </c>
      <c r="H2694" t="s">
        <v>7677</v>
      </c>
      <c r="I2694">
        <v>327</v>
      </c>
      <c r="J2694" t="s">
        <v>7678</v>
      </c>
      <c r="L2694" t="s">
        <v>74</v>
      </c>
      <c r="M2694" t="s">
        <v>75</v>
      </c>
      <c r="R2694" t="s">
        <v>16442</v>
      </c>
      <c r="W2694" t="s">
        <v>16441</v>
      </c>
      <c r="X2694" t="s">
        <v>4883</v>
      </c>
      <c r="Y2694" t="s">
        <v>97</v>
      </c>
      <c r="Z2694" t="s">
        <v>77</v>
      </c>
      <c r="AA2694" t="str">
        <f>"10001-1701"</f>
        <v>10001-1701</v>
      </c>
      <c r="AB2694" t="s">
        <v>78</v>
      </c>
      <c r="AC2694" t="s">
        <v>79</v>
      </c>
      <c r="AD2694" t="s">
        <v>75</v>
      </c>
      <c r="AE2694" t="s">
        <v>80</v>
      </c>
      <c r="AG2694" t="s">
        <v>81</v>
      </c>
    </row>
    <row r="2695" spans="1:33" x14ac:dyDescent="0.25">
      <c r="A2695" t="str">
        <f>"1124342878"</f>
        <v>1124342878</v>
      </c>
      <c r="B2695" t="str">
        <f>"03523008"</f>
        <v>03523008</v>
      </c>
      <c r="C2695" t="s">
        <v>13436</v>
      </c>
      <c r="D2695" t="s">
        <v>16443</v>
      </c>
      <c r="E2695" t="s">
        <v>16444</v>
      </c>
      <c r="G2695" t="s">
        <v>16445</v>
      </c>
      <c r="L2695" t="s">
        <v>84</v>
      </c>
      <c r="M2695" t="s">
        <v>85</v>
      </c>
      <c r="R2695" t="s">
        <v>16446</v>
      </c>
      <c r="W2695" t="s">
        <v>16444</v>
      </c>
      <c r="X2695" t="s">
        <v>10363</v>
      </c>
      <c r="Y2695" t="s">
        <v>97</v>
      </c>
      <c r="Z2695" t="s">
        <v>77</v>
      </c>
      <c r="AA2695" t="str">
        <f>"10029-6508"</f>
        <v>10029-6508</v>
      </c>
      <c r="AB2695" t="s">
        <v>78</v>
      </c>
      <c r="AC2695" t="s">
        <v>79</v>
      </c>
      <c r="AD2695" t="s">
        <v>75</v>
      </c>
      <c r="AE2695" t="s">
        <v>80</v>
      </c>
      <c r="AG2695" t="s">
        <v>81</v>
      </c>
    </row>
    <row r="2696" spans="1:33" x14ac:dyDescent="0.25">
      <c r="A2696" t="str">
        <f>"1326031428"</f>
        <v>1326031428</v>
      </c>
      <c r="B2696" t="str">
        <f>"00427803"</f>
        <v>00427803</v>
      </c>
      <c r="C2696" t="s">
        <v>13436</v>
      </c>
      <c r="D2696" t="s">
        <v>16447</v>
      </c>
      <c r="E2696" t="s">
        <v>16448</v>
      </c>
      <c r="G2696" t="s">
        <v>16449</v>
      </c>
      <c r="L2696" t="s">
        <v>83</v>
      </c>
      <c r="M2696" t="s">
        <v>85</v>
      </c>
      <c r="R2696" t="s">
        <v>16450</v>
      </c>
      <c r="W2696" t="s">
        <v>16448</v>
      </c>
      <c r="X2696" t="s">
        <v>4650</v>
      </c>
      <c r="Y2696" t="s">
        <v>97</v>
      </c>
      <c r="Z2696" t="s">
        <v>77</v>
      </c>
      <c r="AA2696" t="str">
        <f>"10023-6406"</f>
        <v>10023-6406</v>
      </c>
      <c r="AB2696" t="s">
        <v>78</v>
      </c>
      <c r="AC2696" t="s">
        <v>79</v>
      </c>
      <c r="AD2696" t="s">
        <v>75</v>
      </c>
      <c r="AE2696" t="s">
        <v>80</v>
      </c>
      <c r="AG2696" t="s">
        <v>81</v>
      </c>
    </row>
    <row r="2697" spans="1:33" x14ac:dyDescent="0.25">
      <c r="A2697" t="str">
        <f>"1326049859"</f>
        <v>1326049859</v>
      </c>
      <c r="B2697" t="str">
        <f>"01769300"</f>
        <v>01769300</v>
      </c>
      <c r="C2697" t="s">
        <v>13436</v>
      </c>
      <c r="D2697" t="s">
        <v>16451</v>
      </c>
      <c r="E2697" t="s">
        <v>16452</v>
      </c>
      <c r="G2697" t="s">
        <v>16453</v>
      </c>
      <c r="L2697" t="s">
        <v>83</v>
      </c>
      <c r="M2697" t="s">
        <v>85</v>
      </c>
      <c r="R2697" t="s">
        <v>16454</v>
      </c>
      <c r="W2697" t="s">
        <v>16452</v>
      </c>
      <c r="X2697" t="s">
        <v>16455</v>
      </c>
      <c r="Y2697" t="s">
        <v>155</v>
      </c>
      <c r="Z2697" t="s">
        <v>77</v>
      </c>
      <c r="AA2697" t="str">
        <f>"10310-1664"</f>
        <v>10310-1664</v>
      </c>
      <c r="AB2697" t="s">
        <v>78</v>
      </c>
      <c r="AC2697" t="s">
        <v>79</v>
      </c>
      <c r="AD2697" t="s">
        <v>75</v>
      </c>
      <c r="AE2697" t="s">
        <v>80</v>
      </c>
      <c r="AG2697" t="s">
        <v>81</v>
      </c>
    </row>
    <row r="2698" spans="1:33" x14ac:dyDescent="0.25">
      <c r="A2698" t="str">
        <f>"1326284506"</f>
        <v>1326284506</v>
      </c>
      <c r="B2698" t="str">
        <f>"03075725"</f>
        <v>03075725</v>
      </c>
      <c r="C2698" t="s">
        <v>13436</v>
      </c>
      <c r="D2698" t="s">
        <v>16456</v>
      </c>
      <c r="E2698" t="s">
        <v>16457</v>
      </c>
      <c r="G2698" t="s">
        <v>16458</v>
      </c>
      <c r="L2698" t="s">
        <v>74</v>
      </c>
      <c r="M2698" t="s">
        <v>85</v>
      </c>
      <c r="R2698" t="s">
        <v>16459</v>
      </c>
      <c r="W2698" t="s">
        <v>16457</v>
      </c>
      <c r="X2698" t="s">
        <v>11489</v>
      </c>
      <c r="Y2698" t="s">
        <v>97</v>
      </c>
      <c r="Z2698" t="s">
        <v>77</v>
      </c>
      <c r="AA2698" t="str">
        <f>"10003-3804"</f>
        <v>10003-3804</v>
      </c>
      <c r="AB2698" t="s">
        <v>78</v>
      </c>
      <c r="AC2698" t="s">
        <v>79</v>
      </c>
      <c r="AD2698" t="s">
        <v>75</v>
      </c>
      <c r="AE2698" t="s">
        <v>80</v>
      </c>
      <c r="AG2698" t="s">
        <v>81</v>
      </c>
    </row>
    <row r="2699" spans="1:33" x14ac:dyDescent="0.25">
      <c r="A2699" t="str">
        <f>"1215913983"</f>
        <v>1215913983</v>
      </c>
      <c r="B2699" t="str">
        <f>"02654617"</f>
        <v>02654617</v>
      </c>
      <c r="C2699" t="s">
        <v>13436</v>
      </c>
      <c r="D2699" t="s">
        <v>16460</v>
      </c>
      <c r="E2699" t="s">
        <v>16461</v>
      </c>
      <c r="G2699" t="s">
        <v>16462</v>
      </c>
      <c r="L2699" t="s">
        <v>83</v>
      </c>
      <c r="M2699" t="s">
        <v>85</v>
      </c>
      <c r="R2699" t="s">
        <v>16463</v>
      </c>
      <c r="W2699" t="s">
        <v>16461</v>
      </c>
      <c r="X2699" t="s">
        <v>1825</v>
      </c>
      <c r="Y2699" t="s">
        <v>155</v>
      </c>
      <c r="Z2699" t="s">
        <v>77</v>
      </c>
      <c r="AA2699" t="str">
        <f>"10305-3408"</f>
        <v>10305-3408</v>
      </c>
      <c r="AB2699" t="s">
        <v>78</v>
      </c>
      <c r="AC2699" t="s">
        <v>79</v>
      </c>
      <c r="AD2699" t="s">
        <v>75</v>
      </c>
      <c r="AE2699" t="s">
        <v>80</v>
      </c>
      <c r="AG2699" t="s">
        <v>81</v>
      </c>
    </row>
    <row r="2700" spans="1:33" x14ac:dyDescent="0.25">
      <c r="A2700" t="str">
        <f>"1215926837"</f>
        <v>1215926837</v>
      </c>
      <c r="B2700" t="str">
        <f>"02602266"</f>
        <v>02602266</v>
      </c>
      <c r="C2700" t="s">
        <v>13436</v>
      </c>
      <c r="D2700" t="s">
        <v>16464</v>
      </c>
      <c r="E2700" t="s">
        <v>16465</v>
      </c>
      <c r="G2700" t="s">
        <v>16466</v>
      </c>
      <c r="L2700" t="s">
        <v>74</v>
      </c>
      <c r="M2700" t="s">
        <v>85</v>
      </c>
      <c r="R2700" t="s">
        <v>16467</v>
      </c>
      <c r="W2700" t="s">
        <v>16465</v>
      </c>
      <c r="X2700" t="s">
        <v>14949</v>
      </c>
      <c r="Y2700" t="s">
        <v>97</v>
      </c>
      <c r="Z2700" t="s">
        <v>77</v>
      </c>
      <c r="AA2700" t="str">
        <f>"10025-1716"</f>
        <v>10025-1716</v>
      </c>
      <c r="AB2700" t="s">
        <v>78</v>
      </c>
      <c r="AC2700" t="s">
        <v>79</v>
      </c>
      <c r="AD2700" t="s">
        <v>75</v>
      </c>
      <c r="AE2700" t="s">
        <v>80</v>
      </c>
      <c r="AG2700" t="s">
        <v>81</v>
      </c>
    </row>
    <row r="2701" spans="1:33" x14ac:dyDescent="0.25">
      <c r="A2701" t="str">
        <f>"1215953047"</f>
        <v>1215953047</v>
      </c>
      <c r="B2701" t="str">
        <f>"01858800"</f>
        <v>01858800</v>
      </c>
      <c r="C2701" t="s">
        <v>13436</v>
      </c>
      <c r="D2701" t="s">
        <v>16468</v>
      </c>
      <c r="E2701" t="s">
        <v>16469</v>
      </c>
      <c r="G2701" t="s">
        <v>16470</v>
      </c>
      <c r="L2701" t="s">
        <v>84</v>
      </c>
      <c r="M2701" t="s">
        <v>85</v>
      </c>
      <c r="R2701" t="s">
        <v>16471</v>
      </c>
      <c r="W2701" t="s">
        <v>16469</v>
      </c>
      <c r="X2701" t="s">
        <v>16472</v>
      </c>
      <c r="Y2701" t="s">
        <v>97</v>
      </c>
      <c r="Z2701" t="s">
        <v>77</v>
      </c>
      <c r="AA2701" t="str">
        <f>"10019-1147"</f>
        <v>10019-1147</v>
      </c>
      <c r="AB2701" t="s">
        <v>78</v>
      </c>
      <c r="AC2701" t="s">
        <v>79</v>
      </c>
      <c r="AD2701" t="s">
        <v>75</v>
      </c>
      <c r="AE2701" t="s">
        <v>80</v>
      </c>
      <c r="AG2701" t="s">
        <v>81</v>
      </c>
    </row>
    <row r="2702" spans="1:33" x14ac:dyDescent="0.25">
      <c r="A2702" t="str">
        <f>"1134296015"</f>
        <v>1134296015</v>
      </c>
      <c r="B2702" t="str">
        <f>"02129904"</f>
        <v>02129904</v>
      </c>
      <c r="C2702" t="s">
        <v>16473</v>
      </c>
      <c r="D2702" t="s">
        <v>3189</v>
      </c>
      <c r="E2702" t="s">
        <v>3190</v>
      </c>
      <c r="G2702" t="s">
        <v>11047</v>
      </c>
      <c r="H2702" t="s">
        <v>11048</v>
      </c>
      <c r="J2702" t="s">
        <v>11049</v>
      </c>
      <c r="L2702" t="s">
        <v>74</v>
      </c>
      <c r="M2702" t="s">
        <v>75</v>
      </c>
      <c r="R2702" t="s">
        <v>3191</v>
      </c>
      <c r="W2702" t="s">
        <v>3190</v>
      </c>
      <c r="X2702" t="s">
        <v>3192</v>
      </c>
      <c r="Y2702" t="s">
        <v>87</v>
      </c>
      <c r="Z2702" t="s">
        <v>77</v>
      </c>
      <c r="AA2702" t="str">
        <f>"11216-4103"</f>
        <v>11216-4103</v>
      </c>
      <c r="AB2702" t="s">
        <v>82</v>
      </c>
      <c r="AC2702" t="s">
        <v>79</v>
      </c>
      <c r="AD2702" t="s">
        <v>75</v>
      </c>
      <c r="AE2702" t="s">
        <v>80</v>
      </c>
      <c r="AG2702" t="s">
        <v>81</v>
      </c>
    </row>
    <row r="2703" spans="1:33" x14ac:dyDescent="0.25">
      <c r="A2703" t="str">
        <f>"1316903792"</f>
        <v>1316903792</v>
      </c>
      <c r="C2703" t="s">
        <v>16474</v>
      </c>
      <c r="G2703" t="s">
        <v>16474</v>
      </c>
      <c r="H2703" t="s">
        <v>16475</v>
      </c>
      <c r="J2703" t="s">
        <v>16476</v>
      </c>
      <c r="K2703" t="s">
        <v>99</v>
      </c>
      <c r="L2703" t="s">
        <v>102</v>
      </c>
      <c r="M2703" t="s">
        <v>75</v>
      </c>
      <c r="R2703" t="s">
        <v>16477</v>
      </c>
      <c r="S2703" t="s">
        <v>16478</v>
      </c>
      <c r="T2703" t="s">
        <v>97</v>
      </c>
      <c r="U2703" t="s">
        <v>77</v>
      </c>
      <c r="V2703" t="str">
        <f>"100191820"</f>
        <v>100191820</v>
      </c>
      <c r="AC2703" t="s">
        <v>79</v>
      </c>
      <c r="AD2703" t="s">
        <v>75</v>
      </c>
      <c r="AE2703" t="s">
        <v>103</v>
      </c>
      <c r="AG2703" t="s">
        <v>81</v>
      </c>
    </row>
    <row r="2704" spans="1:33" x14ac:dyDescent="0.25">
      <c r="A2704" t="str">
        <f>"1013983097"</f>
        <v>1013983097</v>
      </c>
      <c r="B2704" t="str">
        <f>"02348552"</f>
        <v>02348552</v>
      </c>
      <c r="C2704" t="s">
        <v>16479</v>
      </c>
      <c r="D2704" t="s">
        <v>2258</v>
      </c>
      <c r="E2704" t="s">
        <v>2259</v>
      </c>
      <c r="G2704" t="s">
        <v>16479</v>
      </c>
      <c r="H2704" t="s">
        <v>16480</v>
      </c>
      <c r="J2704" t="s">
        <v>16481</v>
      </c>
      <c r="L2704" t="s">
        <v>83</v>
      </c>
      <c r="M2704" t="s">
        <v>85</v>
      </c>
      <c r="R2704" t="s">
        <v>2257</v>
      </c>
      <c r="W2704" t="s">
        <v>2260</v>
      </c>
      <c r="X2704" t="s">
        <v>349</v>
      </c>
      <c r="Y2704" t="s">
        <v>91</v>
      </c>
      <c r="Z2704" t="s">
        <v>77</v>
      </c>
      <c r="AA2704" t="str">
        <f>"11373-4941"</f>
        <v>11373-4941</v>
      </c>
      <c r="AB2704" t="s">
        <v>78</v>
      </c>
      <c r="AC2704" t="s">
        <v>79</v>
      </c>
      <c r="AD2704" t="s">
        <v>75</v>
      </c>
      <c r="AE2704" t="s">
        <v>80</v>
      </c>
      <c r="AG2704" t="s">
        <v>81</v>
      </c>
    </row>
    <row r="2705" spans="1:33" x14ac:dyDescent="0.25">
      <c r="A2705" t="str">
        <f>"1679563811"</f>
        <v>1679563811</v>
      </c>
      <c r="B2705" t="str">
        <f>"01797800"</f>
        <v>01797800</v>
      </c>
      <c r="C2705" t="s">
        <v>13436</v>
      </c>
      <c r="D2705" t="s">
        <v>16482</v>
      </c>
      <c r="E2705" t="s">
        <v>16483</v>
      </c>
      <c r="G2705" t="s">
        <v>16484</v>
      </c>
      <c r="L2705" t="s">
        <v>83</v>
      </c>
      <c r="M2705" t="s">
        <v>85</v>
      </c>
      <c r="R2705" t="s">
        <v>16485</v>
      </c>
      <c r="W2705" t="s">
        <v>16483</v>
      </c>
      <c r="X2705" t="s">
        <v>2587</v>
      </c>
      <c r="Y2705" t="s">
        <v>97</v>
      </c>
      <c r="Z2705" t="s">
        <v>77</v>
      </c>
      <c r="AA2705" t="str">
        <f>"10003-3314"</f>
        <v>10003-3314</v>
      </c>
      <c r="AB2705" t="s">
        <v>78</v>
      </c>
      <c r="AC2705" t="s">
        <v>79</v>
      </c>
      <c r="AD2705" t="s">
        <v>75</v>
      </c>
      <c r="AE2705" t="s">
        <v>80</v>
      </c>
      <c r="AG2705" t="s">
        <v>81</v>
      </c>
    </row>
    <row r="2706" spans="1:33" x14ac:dyDescent="0.25">
      <c r="A2706" t="str">
        <f>"1649384199"</f>
        <v>1649384199</v>
      </c>
      <c r="B2706" t="str">
        <f>"00929057"</f>
        <v>00929057</v>
      </c>
      <c r="C2706" t="s">
        <v>13436</v>
      </c>
      <c r="D2706" t="s">
        <v>16486</v>
      </c>
      <c r="E2706" t="s">
        <v>16487</v>
      </c>
      <c r="G2706" t="s">
        <v>16488</v>
      </c>
      <c r="L2706" t="s">
        <v>74</v>
      </c>
      <c r="M2706" t="s">
        <v>85</v>
      </c>
      <c r="R2706" t="s">
        <v>16489</v>
      </c>
      <c r="W2706" t="s">
        <v>16487</v>
      </c>
      <c r="X2706" t="s">
        <v>16490</v>
      </c>
      <c r="Y2706" t="s">
        <v>87</v>
      </c>
      <c r="Z2706" t="s">
        <v>77</v>
      </c>
      <c r="AA2706" t="str">
        <f>"11234-5908"</f>
        <v>11234-5908</v>
      </c>
      <c r="AB2706" t="s">
        <v>78</v>
      </c>
      <c r="AC2706" t="s">
        <v>79</v>
      </c>
      <c r="AD2706" t="s">
        <v>75</v>
      </c>
      <c r="AE2706" t="s">
        <v>80</v>
      </c>
      <c r="AG2706" t="s">
        <v>81</v>
      </c>
    </row>
    <row r="2707" spans="1:33" x14ac:dyDescent="0.25">
      <c r="A2707" t="str">
        <f>"1649413501"</f>
        <v>1649413501</v>
      </c>
      <c r="B2707" t="str">
        <f>"03276455"</f>
        <v>03276455</v>
      </c>
      <c r="C2707" t="s">
        <v>13436</v>
      </c>
      <c r="D2707" t="s">
        <v>16491</v>
      </c>
      <c r="E2707" t="s">
        <v>16492</v>
      </c>
      <c r="G2707" t="s">
        <v>16493</v>
      </c>
      <c r="L2707" t="s">
        <v>83</v>
      </c>
      <c r="M2707" t="s">
        <v>85</v>
      </c>
      <c r="R2707" t="s">
        <v>16492</v>
      </c>
      <c r="W2707" t="s">
        <v>16492</v>
      </c>
      <c r="X2707" t="s">
        <v>3553</v>
      </c>
      <c r="Y2707" t="s">
        <v>97</v>
      </c>
      <c r="Z2707" t="s">
        <v>77</v>
      </c>
      <c r="AA2707" t="str">
        <f>"10003-3851"</f>
        <v>10003-3851</v>
      </c>
      <c r="AB2707" t="s">
        <v>78</v>
      </c>
      <c r="AC2707" t="s">
        <v>79</v>
      </c>
      <c r="AD2707" t="s">
        <v>75</v>
      </c>
      <c r="AE2707" t="s">
        <v>80</v>
      </c>
      <c r="AG2707" t="s">
        <v>81</v>
      </c>
    </row>
    <row r="2708" spans="1:33" x14ac:dyDescent="0.25">
      <c r="A2708" t="str">
        <f>"1649414509"</f>
        <v>1649414509</v>
      </c>
      <c r="B2708" t="str">
        <f>"03346641"</f>
        <v>03346641</v>
      </c>
      <c r="C2708" t="s">
        <v>13436</v>
      </c>
      <c r="D2708" t="s">
        <v>16494</v>
      </c>
      <c r="E2708" t="s">
        <v>16495</v>
      </c>
      <c r="G2708" t="s">
        <v>16496</v>
      </c>
      <c r="L2708" t="s">
        <v>83</v>
      </c>
      <c r="M2708" t="s">
        <v>85</v>
      </c>
      <c r="R2708" t="s">
        <v>16495</v>
      </c>
      <c r="W2708" t="s">
        <v>16495</v>
      </c>
      <c r="X2708" t="s">
        <v>181</v>
      </c>
      <c r="Y2708" t="s">
        <v>97</v>
      </c>
      <c r="Z2708" t="s">
        <v>77</v>
      </c>
      <c r="AA2708" t="str">
        <f>"10025-1716"</f>
        <v>10025-1716</v>
      </c>
      <c r="AB2708" t="s">
        <v>78</v>
      </c>
      <c r="AC2708" t="s">
        <v>79</v>
      </c>
      <c r="AD2708" t="s">
        <v>75</v>
      </c>
      <c r="AE2708" t="s">
        <v>80</v>
      </c>
      <c r="AG2708" t="s">
        <v>81</v>
      </c>
    </row>
    <row r="2709" spans="1:33" x14ac:dyDescent="0.25">
      <c r="A2709" t="str">
        <f>"1659300531"</f>
        <v>1659300531</v>
      </c>
      <c r="B2709" t="str">
        <f>"00172394"</f>
        <v>00172394</v>
      </c>
      <c r="C2709" t="s">
        <v>13436</v>
      </c>
      <c r="D2709" t="s">
        <v>16497</v>
      </c>
      <c r="E2709" t="s">
        <v>16498</v>
      </c>
      <c r="G2709" t="s">
        <v>16499</v>
      </c>
      <c r="L2709" t="s">
        <v>74</v>
      </c>
      <c r="M2709" t="s">
        <v>85</v>
      </c>
      <c r="R2709" t="s">
        <v>16500</v>
      </c>
      <c r="W2709" t="s">
        <v>16498</v>
      </c>
      <c r="X2709" t="s">
        <v>15380</v>
      </c>
      <c r="Y2709" t="s">
        <v>97</v>
      </c>
      <c r="Z2709" t="s">
        <v>77</v>
      </c>
      <c r="AA2709" t="str">
        <f>"10003-3851"</f>
        <v>10003-3851</v>
      </c>
      <c r="AB2709" t="s">
        <v>78</v>
      </c>
      <c r="AC2709" t="s">
        <v>79</v>
      </c>
      <c r="AD2709" t="s">
        <v>75</v>
      </c>
      <c r="AE2709" t="s">
        <v>80</v>
      </c>
      <c r="AG2709" t="s">
        <v>81</v>
      </c>
    </row>
    <row r="2710" spans="1:33" x14ac:dyDescent="0.25">
      <c r="A2710" t="str">
        <f>"1659304509"</f>
        <v>1659304509</v>
      </c>
      <c r="B2710" t="str">
        <f>"02472168"</f>
        <v>02472168</v>
      </c>
      <c r="C2710" t="s">
        <v>13436</v>
      </c>
      <c r="D2710" t="s">
        <v>16501</v>
      </c>
      <c r="E2710" t="s">
        <v>16502</v>
      </c>
      <c r="G2710" t="s">
        <v>16503</v>
      </c>
      <c r="L2710" t="s">
        <v>74</v>
      </c>
      <c r="M2710" t="s">
        <v>85</v>
      </c>
      <c r="R2710" t="s">
        <v>16504</v>
      </c>
      <c r="W2710" t="s">
        <v>16502</v>
      </c>
      <c r="X2710" t="s">
        <v>329</v>
      </c>
      <c r="Y2710" t="s">
        <v>97</v>
      </c>
      <c r="Z2710" t="s">
        <v>77</v>
      </c>
      <c r="AA2710" t="str">
        <f>"10029-6500"</f>
        <v>10029-6500</v>
      </c>
      <c r="AB2710" t="s">
        <v>78</v>
      </c>
      <c r="AC2710" t="s">
        <v>79</v>
      </c>
      <c r="AD2710" t="s">
        <v>75</v>
      </c>
      <c r="AE2710" t="s">
        <v>80</v>
      </c>
      <c r="AG2710" t="s">
        <v>81</v>
      </c>
    </row>
    <row r="2711" spans="1:33" x14ac:dyDescent="0.25">
      <c r="A2711" t="str">
        <f>"1659330082"</f>
        <v>1659330082</v>
      </c>
      <c r="B2711" t="str">
        <f>"01714149"</f>
        <v>01714149</v>
      </c>
      <c r="C2711" t="s">
        <v>13436</v>
      </c>
      <c r="D2711" t="s">
        <v>16505</v>
      </c>
      <c r="E2711" t="s">
        <v>16506</v>
      </c>
      <c r="G2711" t="s">
        <v>16507</v>
      </c>
      <c r="L2711" t="s">
        <v>84</v>
      </c>
      <c r="M2711" t="s">
        <v>85</v>
      </c>
      <c r="R2711" t="s">
        <v>16508</v>
      </c>
      <c r="W2711" t="s">
        <v>16506</v>
      </c>
      <c r="X2711" t="s">
        <v>318</v>
      </c>
      <c r="Y2711" t="s">
        <v>131</v>
      </c>
      <c r="Z2711" t="s">
        <v>77</v>
      </c>
      <c r="AA2711" t="str">
        <f>"10457-7606"</f>
        <v>10457-7606</v>
      </c>
      <c r="AB2711" t="s">
        <v>78</v>
      </c>
      <c r="AC2711" t="s">
        <v>79</v>
      </c>
      <c r="AD2711" t="s">
        <v>75</v>
      </c>
      <c r="AE2711" t="s">
        <v>80</v>
      </c>
      <c r="AG2711" t="s">
        <v>81</v>
      </c>
    </row>
    <row r="2712" spans="1:33" x14ac:dyDescent="0.25">
      <c r="A2712" t="str">
        <f>"1659343424"</f>
        <v>1659343424</v>
      </c>
      <c r="B2712" t="str">
        <f>"02754209"</f>
        <v>02754209</v>
      </c>
      <c r="C2712" t="s">
        <v>13436</v>
      </c>
      <c r="D2712" t="s">
        <v>16509</v>
      </c>
      <c r="E2712" t="s">
        <v>16510</v>
      </c>
      <c r="G2712" t="s">
        <v>16511</v>
      </c>
      <c r="L2712" t="s">
        <v>105</v>
      </c>
      <c r="M2712" t="s">
        <v>85</v>
      </c>
      <c r="R2712" t="s">
        <v>16512</v>
      </c>
      <c r="W2712" t="s">
        <v>16513</v>
      </c>
      <c r="X2712" t="s">
        <v>191</v>
      </c>
      <c r="Y2712" t="s">
        <v>97</v>
      </c>
      <c r="Z2712" t="s">
        <v>77</v>
      </c>
      <c r="AA2712" t="str">
        <f>"10019-1147"</f>
        <v>10019-1147</v>
      </c>
      <c r="AB2712" t="s">
        <v>125</v>
      </c>
      <c r="AC2712" t="s">
        <v>79</v>
      </c>
      <c r="AD2712" t="s">
        <v>75</v>
      </c>
      <c r="AE2712" t="s">
        <v>80</v>
      </c>
      <c r="AG2712" t="s">
        <v>81</v>
      </c>
    </row>
    <row r="2713" spans="1:33" x14ac:dyDescent="0.25">
      <c r="A2713" t="str">
        <f>"1659354991"</f>
        <v>1659354991</v>
      </c>
      <c r="B2713" t="str">
        <f>"01643205"</f>
        <v>01643205</v>
      </c>
      <c r="C2713" t="s">
        <v>13436</v>
      </c>
      <c r="D2713" t="s">
        <v>16514</v>
      </c>
      <c r="E2713" t="s">
        <v>16515</v>
      </c>
      <c r="G2713" t="s">
        <v>16516</v>
      </c>
      <c r="L2713" t="s">
        <v>83</v>
      </c>
      <c r="M2713" t="s">
        <v>85</v>
      </c>
      <c r="R2713" t="s">
        <v>16517</v>
      </c>
      <c r="W2713" t="s">
        <v>16515</v>
      </c>
      <c r="X2713" t="s">
        <v>4791</v>
      </c>
      <c r="Y2713" t="s">
        <v>97</v>
      </c>
      <c r="Z2713" t="s">
        <v>77</v>
      </c>
      <c r="AA2713" t="str">
        <f>"10003"</f>
        <v>10003</v>
      </c>
      <c r="AB2713" t="s">
        <v>78</v>
      </c>
      <c r="AC2713" t="s">
        <v>79</v>
      </c>
      <c r="AD2713" t="s">
        <v>75</v>
      </c>
      <c r="AE2713" t="s">
        <v>80</v>
      </c>
      <c r="AG2713" t="s">
        <v>81</v>
      </c>
    </row>
    <row r="2714" spans="1:33" x14ac:dyDescent="0.25">
      <c r="A2714" t="str">
        <f>"1659408441"</f>
        <v>1659408441</v>
      </c>
      <c r="C2714" t="s">
        <v>13436</v>
      </c>
      <c r="G2714" t="s">
        <v>16518</v>
      </c>
      <c r="K2714" t="s">
        <v>99</v>
      </c>
      <c r="L2714" t="s">
        <v>74</v>
      </c>
      <c r="M2714" t="s">
        <v>85</v>
      </c>
      <c r="R2714" t="s">
        <v>16519</v>
      </c>
      <c r="S2714" t="s">
        <v>16520</v>
      </c>
      <c r="T2714" t="s">
        <v>97</v>
      </c>
      <c r="U2714" t="s">
        <v>77</v>
      </c>
      <c r="V2714" t="str">
        <f>"100191147"</f>
        <v>100191147</v>
      </c>
      <c r="AC2714" t="s">
        <v>79</v>
      </c>
      <c r="AD2714" t="s">
        <v>75</v>
      </c>
      <c r="AE2714" t="s">
        <v>103</v>
      </c>
      <c r="AG2714" t="s">
        <v>81</v>
      </c>
    </row>
    <row r="2715" spans="1:33" x14ac:dyDescent="0.25">
      <c r="A2715" t="str">
        <f>"1659429199"</f>
        <v>1659429199</v>
      </c>
      <c r="B2715" t="str">
        <f>"00977486"</f>
        <v>00977486</v>
      </c>
      <c r="C2715" t="s">
        <v>13436</v>
      </c>
      <c r="D2715" t="s">
        <v>16521</v>
      </c>
      <c r="E2715" t="s">
        <v>16522</v>
      </c>
      <c r="G2715" t="s">
        <v>16523</v>
      </c>
      <c r="L2715" t="s">
        <v>74</v>
      </c>
      <c r="M2715" t="s">
        <v>85</v>
      </c>
      <c r="R2715" t="s">
        <v>16524</v>
      </c>
      <c r="W2715" t="s">
        <v>16525</v>
      </c>
      <c r="X2715" t="s">
        <v>15449</v>
      </c>
      <c r="Y2715" t="s">
        <v>97</v>
      </c>
      <c r="Z2715" t="s">
        <v>77</v>
      </c>
      <c r="AA2715" t="str">
        <f>"10019-3211"</f>
        <v>10019-3211</v>
      </c>
      <c r="AB2715" t="s">
        <v>78</v>
      </c>
      <c r="AC2715" t="s">
        <v>79</v>
      </c>
      <c r="AD2715" t="s">
        <v>75</v>
      </c>
      <c r="AE2715" t="s">
        <v>80</v>
      </c>
      <c r="AG2715" t="s">
        <v>81</v>
      </c>
    </row>
    <row r="2716" spans="1:33" x14ac:dyDescent="0.25">
      <c r="A2716" t="str">
        <f>"1659430643"</f>
        <v>1659430643</v>
      </c>
      <c r="B2716" t="str">
        <f>"01285336"</f>
        <v>01285336</v>
      </c>
      <c r="C2716" t="s">
        <v>13436</v>
      </c>
      <c r="D2716" t="s">
        <v>16526</v>
      </c>
      <c r="E2716" t="s">
        <v>16527</v>
      </c>
      <c r="G2716" t="s">
        <v>16528</v>
      </c>
      <c r="L2716" t="s">
        <v>74</v>
      </c>
      <c r="M2716" t="s">
        <v>85</v>
      </c>
      <c r="R2716" t="s">
        <v>16529</v>
      </c>
      <c r="W2716" t="s">
        <v>16530</v>
      </c>
      <c r="X2716" t="s">
        <v>181</v>
      </c>
      <c r="Y2716" t="s">
        <v>97</v>
      </c>
      <c r="Z2716" t="s">
        <v>77</v>
      </c>
      <c r="AA2716" t="str">
        <f>"10025-1716"</f>
        <v>10025-1716</v>
      </c>
      <c r="AB2716" t="s">
        <v>82</v>
      </c>
      <c r="AC2716" t="s">
        <v>79</v>
      </c>
      <c r="AD2716" t="s">
        <v>75</v>
      </c>
      <c r="AE2716" t="s">
        <v>80</v>
      </c>
      <c r="AG2716" t="s">
        <v>81</v>
      </c>
    </row>
    <row r="2717" spans="1:33" x14ac:dyDescent="0.25">
      <c r="A2717" t="str">
        <f>"1124195615"</f>
        <v>1124195615</v>
      </c>
      <c r="C2717" t="s">
        <v>16531</v>
      </c>
      <c r="G2717" t="s">
        <v>14449</v>
      </c>
      <c r="H2717" t="s">
        <v>14450</v>
      </c>
      <c r="K2717" t="s">
        <v>99</v>
      </c>
      <c r="L2717" t="s">
        <v>74</v>
      </c>
      <c r="M2717" t="s">
        <v>75</v>
      </c>
      <c r="R2717" t="s">
        <v>16532</v>
      </c>
      <c r="S2717" t="s">
        <v>3743</v>
      </c>
      <c r="T2717" t="s">
        <v>97</v>
      </c>
      <c r="U2717" t="s">
        <v>77</v>
      </c>
      <c r="V2717" t="str">
        <f>"100114401"</f>
        <v>100114401</v>
      </c>
      <c r="AC2717" t="s">
        <v>79</v>
      </c>
      <c r="AD2717" t="s">
        <v>75</v>
      </c>
      <c r="AE2717" t="s">
        <v>103</v>
      </c>
      <c r="AG2717" t="s">
        <v>81</v>
      </c>
    </row>
    <row r="2718" spans="1:33" x14ac:dyDescent="0.25">
      <c r="A2718" t="str">
        <f>"1871575639"</f>
        <v>1871575639</v>
      </c>
      <c r="B2718" t="str">
        <f>"02677109"</f>
        <v>02677109</v>
      </c>
      <c r="C2718" t="s">
        <v>16533</v>
      </c>
      <c r="D2718" t="s">
        <v>16534</v>
      </c>
      <c r="E2718" t="s">
        <v>16535</v>
      </c>
      <c r="G2718" t="s">
        <v>14449</v>
      </c>
      <c r="H2718" t="s">
        <v>14450</v>
      </c>
      <c r="L2718" t="s">
        <v>84</v>
      </c>
      <c r="M2718" t="s">
        <v>85</v>
      </c>
      <c r="R2718" t="s">
        <v>16536</v>
      </c>
      <c r="W2718" t="s">
        <v>16535</v>
      </c>
      <c r="X2718" t="s">
        <v>3743</v>
      </c>
      <c r="Y2718" t="s">
        <v>97</v>
      </c>
      <c r="Z2718" t="s">
        <v>77</v>
      </c>
      <c r="AA2718" t="str">
        <f>"10011-4401"</f>
        <v>10011-4401</v>
      </c>
      <c r="AB2718" t="s">
        <v>78</v>
      </c>
      <c r="AC2718" t="s">
        <v>79</v>
      </c>
      <c r="AD2718" t="s">
        <v>75</v>
      </c>
      <c r="AE2718" t="s">
        <v>80</v>
      </c>
      <c r="AG2718" t="s">
        <v>81</v>
      </c>
    </row>
    <row r="2719" spans="1:33" x14ac:dyDescent="0.25">
      <c r="A2719" t="str">
        <f>"1356322242"</f>
        <v>1356322242</v>
      </c>
      <c r="B2719" t="str">
        <f>"02569515"</f>
        <v>02569515</v>
      </c>
      <c r="C2719" t="s">
        <v>13436</v>
      </c>
      <c r="D2719" t="s">
        <v>16537</v>
      </c>
      <c r="E2719" t="s">
        <v>16538</v>
      </c>
      <c r="G2719" t="s">
        <v>16539</v>
      </c>
      <c r="L2719" t="s">
        <v>83</v>
      </c>
      <c r="M2719" t="s">
        <v>85</v>
      </c>
      <c r="R2719" t="s">
        <v>16540</v>
      </c>
      <c r="W2719" t="s">
        <v>16538</v>
      </c>
      <c r="X2719" t="s">
        <v>2587</v>
      </c>
      <c r="Y2719" t="s">
        <v>97</v>
      </c>
      <c r="Z2719" t="s">
        <v>77</v>
      </c>
      <c r="AA2719" t="str">
        <f>"10003-3314"</f>
        <v>10003-3314</v>
      </c>
      <c r="AB2719" t="s">
        <v>78</v>
      </c>
      <c r="AC2719" t="s">
        <v>79</v>
      </c>
      <c r="AD2719" t="s">
        <v>75</v>
      </c>
      <c r="AE2719" t="s">
        <v>80</v>
      </c>
      <c r="AG2719" t="s">
        <v>81</v>
      </c>
    </row>
    <row r="2720" spans="1:33" x14ac:dyDescent="0.25">
      <c r="A2720" t="str">
        <f>"1356355010"</f>
        <v>1356355010</v>
      </c>
      <c r="B2720" t="str">
        <f>"00181360"</f>
        <v>00181360</v>
      </c>
      <c r="C2720" t="s">
        <v>13436</v>
      </c>
      <c r="D2720" t="s">
        <v>16541</v>
      </c>
      <c r="E2720" t="s">
        <v>16542</v>
      </c>
      <c r="G2720" t="s">
        <v>16543</v>
      </c>
      <c r="L2720" t="s">
        <v>74</v>
      </c>
      <c r="M2720" t="s">
        <v>85</v>
      </c>
      <c r="R2720" t="s">
        <v>16544</v>
      </c>
      <c r="W2720" t="s">
        <v>16542</v>
      </c>
      <c r="X2720" t="s">
        <v>16545</v>
      </c>
      <c r="Y2720" t="s">
        <v>131</v>
      </c>
      <c r="Z2720" t="s">
        <v>77</v>
      </c>
      <c r="AA2720" t="str">
        <f>"10461-3707"</f>
        <v>10461-3707</v>
      </c>
      <c r="AB2720" t="s">
        <v>78</v>
      </c>
      <c r="AC2720" t="s">
        <v>79</v>
      </c>
      <c r="AD2720" t="s">
        <v>75</v>
      </c>
      <c r="AE2720" t="s">
        <v>80</v>
      </c>
      <c r="AG2720" t="s">
        <v>81</v>
      </c>
    </row>
    <row r="2721" spans="1:33" x14ac:dyDescent="0.25">
      <c r="A2721" t="str">
        <f>"1356397905"</f>
        <v>1356397905</v>
      </c>
      <c r="B2721" t="str">
        <f>"01073005"</f>
        <v>01073005</v>
      </c>
      <c r="C2721" t="s">
        <v>13436</v>
      </c>
      <c r="D2721" t="s">
        <v>16546</v>
      </c>
      <c r="E2721" t="s">
        <v>16547</v>
      </c>
      <c r="G2721" t="s">
        <v>16548</v>
      </c>
      <c r="L2721" t="s">
        <v>74</v>
      </c>
      <c r="M2721" t="s">
        <v>85</v>
      </c>
      <c r="R2721" t="s">
        <v>16549</v>
      </c>
      <c r="W2721" t="s">
        <v>16547</v>
      </c>
      <c r="X2721" t="s">
        <v>16550</v>
      </c>
      <c r="Y2721" t="s">
        <v>97</v>
      </c>
      <c r="Z2721" t="s">
        <v>77</v>
      </c>
      <c r="AA2721" t="str">
        <f>"10019"</f>
        <v>10019</v>
      </c>
      <c r="AB2721" t="s">
        <v>78</v>
      </c>
      <c r="AC2721" t="s">
        <v>79</v>
      </c>
      <c r="AD2721" t="s">
        <v>75</v>
      </c>
      <c r="AE2721" t="s">
        <v>80</v>
      </c>
      <c r="AG2721" t="s">
        <v>81</v>
      </c>
    </row>
    <row r="2722" spans="1:33" x14ac:dyDescent="0.25">
      <c r="A2722" t="str">
        <f>"1609873041"</f>
        <v>1609873041</v>
      </c>
      <c r="B2722" t="str">
        <f>"00881163"</f>
        <v>00881163</v>
      </c>
      <c r="C2722" t="s">
        <v>16551</v>
      </c>
      <c r="D2722" t="s">
        <v>5717</v>
      </c>
      <c r="E2722" t="s">
        <v>5718</v>
      </c>
      <c r="G2722" t="s">
        <v>9477</v>
      </c>
      <c r="H2722" t="s">
        <v>4867</v>
      </c>
      <c r="I2722">
        <v>135</v>
      </c>
      <c r="J2722" t="s">
        <v>5634</v>
      </c>
      <c r="L2722" t="s">
        <v>83</v>
      </c>
      <c r="M2722" t="s">
        <v>75</v>
      </c>
      <c r="R2722" t="s">
        <v>5719</v>
      </c>
      <c r="W2722" t="s">
        <v>5718</v>
      </c>
      <c r="X2722" t="s">
        <v>5720</v>
      </c>
      <c r="Y2722" t="s">
        <v>87</v>
      </c>
      <c r="Z2722" t="s">
        <v>77</v>
      </c>
      <c r="AA2722" t="str">
        <f>"11207-2420"</f>
        <v>11207-2420</v>
      </c>
      <c r="AB2722" t="s">
        <v>128</v>
      </c>
      <c r="AC2722" t="s">
        <v>79</v>
      </c>
      <c r="AD2722" t="s">
        <v>75</v>
      </c>
      <c r="AE2722" t="s">
        <v>80</v>
      </c>
      <c r="AG2722" t="s">
        <v>81</v>
      </c>
    </row>
    <row r="2723" spans="1:33" x14ac:dyDescent="0.25">
      <c r="A2723" t="str">
        <f>"1669660635"</f>
        <v>1669660635</v>
      </c>
      <c r="B2723" t="str">
        <f>"04178112"</f>
        <v>04178112</v>
      </c>
      <c r="C2723" t="s">
        <v>16552</v>
      </c>
      <c r="D2723" t="s">
        <v>5721</v>
      </c>
      <c r="E2723" t="s">
        <v>5722</v>
      </c>
      <c r="G2723" t="s">
        <v>9477</v>
      </c>
      <c r="H2723" t="s">
        <v>4867</v>
      </c>
      <c r="I2723">
        <v>135</v>
      </c>
      <c r="J2723" t="s">
        <v>5634</v>
      </c>
      <c r="L2723" t="s">
        <v>102</v>
      </c>
      <c r="M2723" t="s">
        <v>75</v>
      </c>
      <c r="R2723" t="s">
        <v>5723</v>
      </c>
      <c r="W2723" t="s">
        <v>5722</v>
      </c>
      <c r="X2723" t="s">
        <v>1881</v>
      </c>
      <c r="Y2723" t="s">
        <v>97</v>
      </c>
      <c r="Z2723" t="s">
        <v>77</v>
      </c>
      <c r="AA2723" t="str">
        <f>"10119-0206"</f>
        <v>10119-0206</v>
      </c>
      <c r="AB2723" t="s">
        <v>78</v>
      </c>
      <c r="AC2723" t="s">
        <v>79</v>
      </c>
      <c r="AD2723" t="s">
        <v>75</v>
      </c>
      <c r="AE2723" t="s">
        <v>80</v>
      </c>
      <c r="AG2723" t="s">
        <v>81</v>
      </c>
    </row>
    <row r="2724" spans="1:33" x14ac:dyDescent="0.25">
      <c r="A2724" t="str">
        <f>"1487964631"</f>
        <v>1487964631</v>
      </c>
      <c r="B2724" t="str">
        <f>"02091812"</f>
        <v>02091812</v>
      </c>
      <c r="C2724" t="s">
        <v>16553</v>
      </c>
      <c r="D2724" t="s">
        <v>5713</v>
      </c>
      <c r="E2724" t="s">
        <v>5714</v>
      </c>
      <c r="G2724" t="s">
        <v>9477</v>
      </c>
      <c r="H2724" t="s">
        <v>4867</v>
      </c>
      <c r="I2724">
        <v>135</v>
      </c>
      <c r="J2724" t="s">
        <v>5634</v>
      </c>
      <c r="L2724" t="s">
        <v>74</v>
      </c>
      <c r="M2724" t="s">
        <v>75</v>
      </c>
      <c r="R2724" t="s">
        <v>5715</v>
      </c>
      <c r="W2724" t="s">
        <v>5714</v>
      </c>
      <c r="X2724" t="s">
        <v>5716</v>
      </c>
      <c r="Y2724" t="s">
        <v>97</v>
      </c>
      <c r="Z2724" t="s">
        <v>77</v>
      </c>
      <c r="AA2724" t="str">
        <f>"10029-4413"</f>
        <v>10029-4413</v>
      </c>
      <c r="AB2724" t="s">
        <v>78</v>
      </c>
      <c r="AC2724" t="s">
        <v>79</v>
      </c>
      <c r="AD2724" t="s">
        <v>75</v>
      </c>
      <c r="AE2724" t="s">
        <v>80</v>
      </c>
      <c r="AG2724" t="s">
        <v>81</v>
      </c>
    </row>
    <row r="2725" spans="1:33" x14ac:dyDescent="0.25">
      <c r="A2725" t="str">
        <f>"1326237827"</f>
        <v>1326237827</v>
      </c>
      <c r="C2725" t="s">
        <v>16554</v>
      </c>
      <c r="G2725" t="s">
        <v>9477</v>
      </c>
      <c r="H2725" t="s">
        <v>4867</v>
      </c>
      <c r="I2725">
        <v>135</v>
      </c>
      <c r="J2725" t="s">
        <v>5634</v>
      </c>
      <c r="K2725" t="s">
        <v>99</v>
      </c>
      <c r="L2725" t="s">
        <v>102</v>
      </c>
      <c r="M2725" t="s">
        <v>75</v>
      </c>
      <c r="R2725" t="s">
        <v>5712</v>
      </c>
      <c r="S2725" t="s">
        <v>5538</v>
      </c>
      <c r="T2725" t="s">
        <v>180</v>
      </c>
      <c r="U2725" t="s">
        <v>77</v>
      </c>
      <c r="V2725" t="str">
        <f>"107033102"</f>
        <v>107033102</v>
      </c>
      <c r="AC2725" t="s">
        <v>79</v>
      </c>
      <c r="AD2725" t="s">
        <v>75</v>
      </c>
      <c r="AE2725" t="s">
        <v>103</v>
      </c>
      <c r="AG2725" t="s">
        <v>81</v>
      </c>
    </row>
    <row r="2726" spans="1:33" x14ac:dyDescent="0.25">
      <c r="A2726" t="str">
        <f>"1134110091"</f>
        <v>1134110091</v>
      </c>
      <c r="B2726" t="str">
        <f>"01562954"</f>
        <v>01562954</v>
      </c>
      <c r="C2726" t="s">
        <v>13436</v>
      </c>
      <c r="D2726" t="s">
        <v>16555</v>
      </c>
      <c r="E2726" t="s">
        <v>16556</v>
      </c>
      <c r="G2726" t="s">
        <v>16557</v>
      </c>
      <c r="L2726" t="s">
        <v>74</v>
      </c>
      <c r="M2726" t="s">
        <v>85</v>
      </c>
      <c r="R2726" t="s">
        <v>16558</v>
      </c>
      <c r="W2726" t="s">
        <v>16556</v>
      </c>
      <c r="X2726" t="s">
        <v>4640</v>
      </c>
      <c r="Y2726" t="s">
        <v>97</v>
      </c>
      <c r="Z2726" t="s">
        <v>77</v>
      </c>
      <c r="AA2726" t="str">
        <f>"10019-8022"</f>
        <v>10019-8022</v>
      </c>
      <c r="AB2726" t="s">
        <v>78</v>
      </c>
      <c r="AC2726" t="s">
        <v>79</v>
      </c>
      <c r="AD2726" t="s">
        <v>75</v>
      </c>
      <c r="AE2726" t="s">
        <v>80</v>
      </c>
      <c r="AG2726" t="s">
        <v>81</v>
      </c>
    </row>
    <row r="2727" spans="1:33" x14ac:dyDescent="0.25">
      <c r="A2727" t="str">
        <f>"1164709572"</f>
        <v>1164709572</v>
      </c>
      <c r="B2727" t="str">
        <f>"03513182"</f>
        <v>03513182</v>
      </c>
      <c r="C2727" t="s">
        <v>16559</v>
      </c>
      <c r="D2727" t="s">
        <v>16560</v>
      </c>
      <c r="E2727" t="s">
        <v>16561</v>
      </c>
      <c r="G2727" t="s">
        <v>7218</v>
      </c>
      <c r="H2727" t="s">
        <v>6801</v>
      </c>
      <c r="I2727">
        <v>6136</v>
      </c>
      <c r="J2727" t="s">
        <v>7219</v>
      </c>
      <c r="L2727" t="s">
        <v>74</v>
      </c>
      <c r="M2727" t="s">
        <v>75</v>
      </c>
      <c r="R2727" t="s">
        <v>16562</v>
      </c>
      <c r="W2727" t="s">
        <v>16561</v>
      </c>
      <c r="X2727" t="s">
        <v>9151</v>
      </c>
      <c r="Y2727" t="s">
        <v>97</v>
      </c>
      <c r="Z2727" t="s">
        <v>77</v>
      </c>
      <c r="AA2727" t="str">
        <f>"10001-2320"</f>
        <v>10001-2320</v>
      </c>
      <c r="AB2727" t="s">
        <v>109</v>
      </c>
      <c r="AC2727" t="s">
        <v>79</v>
      </c>
      <c r="AD2727" t="s">
        <v>75</v>
      </c>
      <c r="AE2727" t="s">
        <v>80</v>
      </c>
      <c r="AG2727" t="s">
        <v>81</v>
      </c>
    </row>
    <row r="2728" spans="1:33" x14ac:dyDescent="0.25">
      <c r="A2728" t="str">
        <f>"1174750087"</f>
        <v>1174750087</v>
      </c>
      <c r="B2728" t="str">
        <f>"03543217"</f>
        <v>03543217</v>
      </c>
      <c r="C2728" t="s">
        <v>16563</v>
      </c>
      <c r="D2728" t="s">
        <v>16564</v>
      </c>
      <c r="E2728" t="s">
        <v>16565</v>
      </c>
      <c r="G2728" t="s">
        <v>7218</v>
      </c>
      <c r="H2728" t="s">
        <v>6801</v>
      </c>
      <c r="I2728">
        <v>6136</v>
      </c>
      <c r="J2728" t="s">
        <v>7219</v>
      </c>
      <c r="L2728" t="s">
        <v>105</v>
      </c>
      <c r="M2728" t="s">
        <v>75</v>
      </c>
      <c r="R2728" t="s">
        <v>16566</v>
      </c>
      <c r="W2728" t="s">
        <v>16565</v>
      </c>
      <c r="X2728" t="s">
        <v>9151</v>
      </c>
      <c r="Y2728" t="s">
        <v>97</v>
      </c>
      <c r="Z2728" t="s">
        <v>77</v>
      </c>
      <c r="AA2728" t="str">
        <f>"10001-2320"</f>
        <v>10001-2320</v>
      </c>
      <c r="AB2728" t="s">
        <v>113</v>
      </c>
      <c r="AC2728" t="s">
        <v>79</v>
      </c>
      <c r="AD2728" t="s">
        <v>75</v>
      </c>
      <c r="AE2728" t="s">
        <v>80</v>
      </c>
      <c r="AG2728" t="s">
        <v>81</v>
      </c>
    </row>
    <row r="2729" spans="1:33" x14ac:dyDescent="0.25">
      <c r="A2729" t="str">
        <f>"1174821219"</f>
        <v>1174821219</v>
      </c>
      <c r="B2729" t="str">
        <f>"03785531"</f>
        <v>03785531</v>
      </c>
      <c r="C2729" t="s">
        <v>16567</v>
      </c>
      <c r="D2729" t="s">
        <v>16568</v>
      </c>
      <c r="E2729" t="s">
        <v>16569</v>
      </c>
      <c r="G2729" t="s">
        <v>7218</v>
      </c>
      <c r="H2729" t="s">
        <v>6801</v>
      </c>
      <c r="I2729">
        <v>6136</v>
      </c>
      <c r="J2729" t="s">
        <v>7219</v>
      </c>
      <c r="L2729" t="s">
        <v>74</v>
      </c>
      <c r="M2729" t="s">
        <v>75</v>
      </c>
      <c r="R2729" t="s">
        <v>16569</v>
      </c>
      <c r="W2729" t="s">
        <v>16569</v>
      </c>
      <c r="X2729" t="s">
        <v>8181</v>
      </c>
      <c r="Y2729" t="s">
        <v>145</v>
      </c>
      <c r="Z2729" t="s">
        <v>77</v>
      </c>
      <c r="AA2729" t="str">
        <f>"11361-3241"</f>
        <v>11361-3241</v>
      </c>
      <c r="AB2729" t="s">
        <v>109</v>
      </c>
      <c r="AC2729" t="s">
        <v>79</v>
      </c>
      <c r="AD2729" t="s">
        <v>75</v>
      </c>
      <c r="AE2729" t="s">
        <v>80</v>
      </c>
      <c r="AG2729" t="s">
        <v>81</v>
      </c>
    </row>
    <row r="2730" spans="1:33" x14ac:dyDescent="0.25">
      <c r="A2730" t="str">
        <f>"1184826885"</f>
        <v>1184826885</v>
      </c>
      <c r="B2730" t="str">
        <f>"02943662"</f>
        <v>02943662</v>
      </c>
      <c r="C2730" t="s">
        <v>16570</v>
      </c>
      <c r="D2730" t="s">
        <v>16571</v>
      </c>
      <c r="E2730" t="s">
        <v>16572</v>
      </c>
      <c r="G2730" t="s">
        <v>7218</v>
      </c>
      <c r="H2730" t="s">
        <v>6801</v>
      </c>
      <c r="I2730">
        <v>6136</v>
      </c>
      <c r="J2730" t="s">
        <v>7219</v>
      </c>
      <c r="L2730" t="s">
        <v>74</v>
      </c>
      <c r="M2730" t="s">
        <v>75</v>
      </c>
      <c r="R2730" t="s">
        <v>16572</v>
      </c>
      <c r="W2730" t="s">
        <v>16572</v>
      </c>
      <c r="X2730" t="s">
        <v>3538</v>
      </c>
      <c r="Y2730" t="s">
        <v>131</v>
      </c>
      <c r="Z2730" t="s">
        <v>77</v>
      </c>
      <c r="AA2730" t="str">
        <f>"10461-5726"</f>
        <v>10461-5726</v>
      </c>
      <c r="AB2730" t="s">
        <v>109</v>
      </c>
      <c r="AC2730" t="s">
        <v>79</v>
      </c>
      <c r="AD2730" t="s">
        <v>75</v>
      </c>
      <c r="AE2730" t="s">
        <v>80</v>
      </c>
      <c r="AG2730" t="s">
        <v>81</v>
      </c>
    </row>
    <row r="2731" spans="1:33" x14ac:dyDescent="0.25">
      <c r="A2731" t="str">
        <f>"1184949760"</f>
        <v>1184949760</v>
      </c>
      <c r="B2731" t="str">
        <f>"03647490"</f>
        <v>03647490</v>
      </c>
      <c r="C2731" t="s">
        <v>16573</v>
      </c>
      <c r="D2731" t="s">
        <v>16574</v>
      </c>
      <c r="E2731" t="s">
        <v>16575</v>
      </c>
      <c r="G2731" t="s">
        <v>7218</v>
      </c>
      <c r="H2731" t="s">
        <v>6801</v>
      </c>
      <c r="I2731">
        <v>6136</v>
      </c>
      <c r="J2731" t="s">
        <v>7219</v>
      </c>
      <c r="L2731" t="s">
        <v>74</v>
      </c>
      <c r="M2731" t="s">
        <v>75</v>
      </c>
      <c r="R2731" t="s">
        <v>16576</v>
      </c>
      <c r="W2731" t="s">
        <v>16575</v>
      </c>
      <c r="X2731" t="s">
        <v>8686</v>
      </c>
      <c r="Y2731" t="s">
        <v>145</v>
      </c>
      <c r="Z2731" t="s">
        <v>77</v>
      </c>
      <c r="AA2731" t="str">
        <f>"11361-3241"</f>
        <v>11361-3241</v>
      </c>
      <c r="AB2731" t="s">
        <v>109</v>
      </c>
      <c r="AC2731" t="s">
        <v>79</v>
      </c>
      <c r="AD2731" t="s">
        <v>75</v>
      </c>
      <c r="AE2731" t="s">
        <v>80</v>
      </c>
      <c r="AG2731" t="s">
        <v>81</v>
      </c>
    </row>
    <row r="2732" spans="1:33" x14ac:dyDescent="0.25">
      <c r="A2732" t="str">
        <f>"1134297005"</f>
        <v>1134297005</v>
      </c>
      <c r="B2732" t="str">
        <f>"01125162"</f>
        <v>01125162</v>
      </c>
      <c r="C2732" t="s">
        <v>13436</v>
      </c>
      <c r="D2732" t="s">
        <v>16577</v>
      </c>
      <c r="E2732" t="s">
        <v>16578</v>
      </c>
      <c r="G2732" t="s">
        <v>16579</v>
      </c>
      <c r="L2732" t="s">
        <v>83</v>
      </c>
      <c r="M2732" t="s">
        <v>85</v>
      </c>
      <c r="R2732" t="s">
        <v>16580</v>
      </c>
      <c r="W2732" t="s">
        <v>16578</v>
      </c>
      <c r="X2732" t="s">
        <v>16581</v>
      </c>
      <c r="Y2732" t="s">
        <v>97</v>
      </c>
      <c r="Z2732" t="s">
        <v>77</v>
      </c>
      <c r="AA2732" t="str">
        <f>"10003"</f>
        <v>10003</v>
      </c>
      <c r="AB2732" t="s">
        <v>78</v>
      </c>
      <c r="AC2732" t="s">
        <v>79</v>
      </c>
      <c r="AD2732" t="s">
        <v>75</v>
      </c>
      <c r="AE2732" t="s">
        <v>80</v>
      </c>
      <c r="AG2732" t="s">
        <v>81</v>
      </c>
    </row>
    <row r="2733" spans="1:33" x14ac:dyDescent="0.25">
      <c r="A2733" t="str">
        <f>"1134428907"</f>
        <v>1134428907</v>
      </c>
      <c r="B2733" t="str">
        <f>"03972314"</f>
        <v>03972314</v>
      </c>
      <c r="C2733" t="s">
        <v>13436</v>
      </c>
      <c r="D2733" t="s">
        <v>16582</v>
      </c>
      <c r="E2733" t="s">
        <v>16583</v>
      </c>
      <c r="G2733" t="s">
        <v>16584</v>
      </c>
      <c r="L2733" t="s">
        <v>84</v>
      </c>
      <c r="M2733" t="s">
        <v>75</v>
      </c>
      <c r="R2733" t="s">
        <v>16585</v>
      </c>
      <c r="W2733" t="s">
        <v>16586</v>
      </c>
      <c r="X2733" t="s">
        <v>235</v>
      </c>
      <c r="Y2733" t="s">
        <v>236</v>
      </c>
      <c r="Z2733" t="s">
        <v>77</v>
      </c>
      <c r="AA2733" t="str">
        <f>"11102-2448"</f>
        <v>11102-2448</v>
      </c>
      <c r="AB2733" t="s">
        <v>78</v>
      </c>
      <c r="AC2733" t="s">
        <v>79</v>
      </c>
      <c r="AD2733" t="s">
        <v>75</v>
      </c>
      <c r="AE2733" t="s">
        <v>80</v>
      </c>
      <c r="AG2733" t="s">
        <v>81</v>
      </c>
    </row>
    <row r="2734" spans="1:33" x14ac:dyDescent="0.25">
      <c r="A2734" t="str">
        <f>"1144351453"</f>
        <v>1144351453</v>
      </c>
      <c r="B2734" t="str">
        <f>"01493567"</f>
        <v>01493567</v>
      </c>
      <c r="C2734" t="s">
        <v>13436</v>
      </c>
      <c r="D2734" t="s">
        <v>16587</v>
      </c>
      <c r="E2734" t="s">
        <v>16588</v>
      </c>
      <c r="G2734" t="s">
        <v>16589</v>
      </c>
      <c r="L2734" t="s">
        <v>74</v>
      </c>
      <c r="M2734" t="s">
        <v>75</v>
      </c>
      <c r="R2734" t="s">
        <v>16590</v>
      </c>
      <c r="W2734" t="s">
        <v>16588</v>
      </c>
      <c r="X2734" t="s">
        <v>16591</v>
      </c>
      <c r="Y2734" t="s">
        <v>97</v>
      </c>
      <c r="Z2734" t="s">
        <v>77</v>
      </c>
      <c r="AA2734" t="str">
        <f>"10128-5604"</f>
        <v>10128-5604</v>
      </c>
      <c r="AB2734" t="s">
        <v>125</v>
      </c>
      <c r="AC2734" t="s">
        <v>79</v>
      </c>
      <c r="AD2734" t="s">
        <v>75</v>
      </c>
      <c r="AE2734" t="s">
        <v>80</v>
      </c>
      <c r="AG2734" t="s">
        <v>81</v>
      </c>
    </row>
    <row r="2735" spans="1:33" x14ac:dyDescent="0.25">
      <c r="A2735" t="str">
        <f>"1144368739"</f>
        <v>1144368739</v>
      </c>
      <c r="B2735" t="str">
        <f>"02593075"</f>
        <v>02593075</v>
      </c>
      <c r="C2735" t="s">
        <v>13436</v>
      </c>
      <c r="D2735" t="s">
        <v>16592</v>
      </c>
      <c r="E2735" t="s">
        <v>16593</v>
      </c>
      <c r="G2735" t="s">
        <v>16594</v>
      </c>
      <c r="L2735" t="s">
        <v>84</v>
      </c>
      <c r="M2735" t="s">
        <v>85</v>
      </c>
      <c r="R2735" t="s">
        <v>16595</v>
      </c>
      <c r="W2735" t="s">
        <v>16593</v>
      </c>
      <c r="X2735" t="s">
        <v>329</v>
      </c>
      <c r="Y2735" t="s">
        <v>97</v>
      </c>
      <c r="Z2735" t="s">
        <v>77</v>
      </c>
      <c r="AA2735" t="str">
        <f>"10029-6504"</f>
        <v>10029-6504</v>
      </c>
      <c r="AB2735" t="s">
        <v>78</v>
      </c>
      <c r="AC2735" t="s">
        <v>79</v>
      </c>
      <c r="AD2735" t="s">
        <v>75</v>
      </c>
      <c r="AE2735" t="s">
        <v>80</v>
      </c>
      <c r="AG2735" t="s">
        <v>81</v>
      </c>
    </row>
    <row r="2736" spans="1:33" x14ac:dyDescent="0.25">
      <c r="A2736" t="str">
        <f>"1144484536"</f>
        <v>1144484536</v>
      </c>
      <c r="B2736" t="str">
        <f>"03127442"</f>
        <v>03127442</v>
      </c>
      <c r="C2736" t="s">
        <v>13436</v>
      </c>
      <c r="D2736" t="s">
        <v>16596</v>
      </c>
      <c r="E2736" t="s">
        <v>16597</v>
      </c>
      <c r="G2736" t="s">
        <v>16598</v>
      </c>
      <c r="L2736" t="s">
        <v>84</v>
      </c>
      <c r="M2736" t="s">
        <v>85</v>
      </c>
      <c r="R2736" t="s">
        <v>16597</v>
      </c>
      <c r="W2736" t="s">
        <v>16599</v>
      </c>
      <c r="X2736" t="s">
        <v>267</v>
      </c>
      <c r="Y2736" t="s">
        <v>91</v>
      </c>
      <c r="Z2736" t="s">
        <v>77</v>
      </c>
      <c r="AA2736" t="str">
        <f>"11373-1329"</f>
        <v>11373-1329</v>
      </c>
      <c r="AB2736" t="s">
        <v>78</v>
      </c>
      <c r="AC2736" t="s">
        <v>79</v>
      </c>
      <c r="AD2736" t="s">
        <v>75</v>
      </c>
      <c r="AE2736" t="s">
        <v>80</v>
      </c>
      <c r="AG2736" t="s">
        <v>81</v>
      </c>
    </row>
    <row r="2737" spans="1:33" x14ac:dyDescent="0.25">
      <c r="A2737" t="str">
        <f>"1154322543"</f>
        <v>1154322543</v>
      </c>
      <c r="B2737" t="str">
        <f>"02011030"</f>
        <v>02011030</v>
      </c>
      <c r="C2737" t="s">
        <v>13436</v>
      </c>
      <c r="D2737" t="s">
        <v>5786</v>
      </c>
      <c r="E2737" t="s">
        <v>5787</v>
      </c>
      <c r="G2737" t="s">
        <v>16600</v>
      </c>
      <c r="L2737" t="s">
        <v>84</v>
      </c>
      <c r="M2737" t="s">
        <v>85</v>
      </c>
      <c r="R2737" t="s">
        <v>5788</v>
      </c>
      <c r="W2737" t="s">
        <v>5787</v>
      </c>
      <c r="X2737" t="s">
        <v>191</v>
      </c>
      <c r="Y2737" t="s">
        <v>97</v>
      </c>
      <c r="Z2737" t="s">
        <v>77</v>
      </c>
      <c r="AA2737" t="str">
        <f>"10019-1147"</f>
        <v>10019-1147</v>
      </c>
      <c r="AB2737" t="s">
        <v>78</v>
      </c>
      <c r="AC2737" t="s">
        <v>79</v>
      </c>
      <c r="AD2737" t="s">
        <v>75</v>
      </c>
      <c r="AE2737" t="s">
        <v>80</v>
      </c>
      <c r="AG2737" t="s">
        <v>81</v>
      </c>
    </row>
    <row r="2738" spans="1:33" x14ac:dyDescent="0.25">
      <c r="A2738" t="str">
        <f>"1154502649"</f>
        <v>1154502649</v>
      </c>
      <c r="B2738" t="str">
        <f>"02790307"</f>
        <v>02790307</v>
      </c>
      <c r="C2738" t="s">
        <v>13436</v>
      </c>
      <c r="D2738" t="s">
        <v>16601</v>
      </c>
      <c r="E2738" t="s">
        <v>16602</v>
      </c>
      <c r="G2738" t="s">
        <v>16603</v>
      </c>
      <c r="L2738" t="s">
        <v>74</v>
      </c>
      <c r="M2738" t="s">
        <v>75</v>
      </c>
      <c r="R2738" t="s">
        <v>16602</v>
      </c>
      <c r="W2738" t="s">
        <v>16602</v>
      </c>
      <c r="X2738" t="s">
        <v>16604</v>
      </c>
      <c r="Y2738" t="s">
        <v>97</v>
      </c>
      <c r="Z2738" t="s">
        <v>77</v>
      </c>
      <c r="AA2738" t="str">
        <f>"10029-6504"</f>
        <v>10029-6504</v>
      </c>
      <c r="AB2738" t="s">
        <v>78</v>
      </c>
      <c r="AC2738" t="s">
        <v>79</v>
      </c>
      <c r="AD2738" t="s">
        <v>75</v>
      </c>
      <c r="AE2738" t="s">
        <v>80</v>
      </c>
      <c r="AG2738" t="s">
        <v>81</v>
      </c>
    </row>
    <row r="2739" spans="1:33" x14ac:dyDescent="0.25">
      <c r="A2739" t="str">
        <f>"1811933088"</f>
        <v>1811933088</v>
      </c>
      <c r="B2739" t="str">
        <f>"01565535"</f>
        <v>01565535</v>
      </c>
      <c r="C2739" t="s">
        <v>16605</v>
      </c>
      <c r="D2739" t="s">
        <v>5884</v>
      </c>
      <c r="E2739" t="s">
        <v>5885</v>
      </c>
      <c r="G2739" t="s">
        <v>9477</v>
      </c>
      <c r="H2739" t="s">
        <v>4867</v>
      </c>
      <c r="I2739">
        <v>135</v>
      </c>
      <c r="J2739" t="s">
        <v>5634</v>
      </c>
      <c r="L2739" t="s">
        <v>74</v>
      </c>
      <c r="M2739" t="s">
        <v>75</v>
      </c>
      <c r="R2739" t="s">
        <v>5886</v>
      </c>
      <c r="W2739" t="s">
        <v>5887</v>
      </c>
      <c r="X2739" t="s">
        <v>5761</v>
      </c>
      <c r="Y2739" t="s">
        <v>180</v>
      </c>
      <c r="Z2739" t="s">
        <v>77</v>
      </c>
      <c r="AA2739" t="str">
        <f>"10703-2934"</f>
        <v>10703-2934</v>
      </c>
      <c r="AB2739" t="s">
        <v>78</v>
      </c>
      <c r="AC2739" t="s">
        <v>79</v>
      </c>
      <c r="AD2739" t="s">
        <v>75</v>
      </c>
      <c r="AE2739" t="s">
        <v>80</v>
      </c>
      <c r="AG2739" t="s">
        <v>81</v>
      </c>
    </row>
    <row r="2740" spans="1:33" x14ac:dyDescent="0.25">
      <c r="A2740" t="str">
        <f>"1225298896"</f>
        <v>1225298896</v>
      </c>
      <c r="B2740" t="str">
        <f>"03204313"</f>
        <v>03204313</v>
      </c>
      <c r="C2740" t="s">
        <v>16606</v>
      </c>
      <c r="D2740" t="s">
        <v>16607</v>
      </c>
      <c r="E2740" t="s">
        <v>16608</v>
      </c>
      <c r="G2740" t="s">
        <v>13504</v>
      </c>
      <c r="H2740" t="s">
        <v>13505</v>
      </c>
      <c r="J2740" t="s">
        <v>13506</v>
      </c>
      <c r="L2740" t="s">
        <v>105</v>
      </c>
      <c r="M2740" t="s">
        <v>85</v>
      </c>
      <c r="R2740" t="s">
        <v>16609</v>
      </c>
      <c r="W2740" t="s">
        <v>16610</v>
      </c>
      <c r="X2740" t="s">
        <v>16611</v>
      </c>
      <c r="Y2740" t="s">
        <v>87</v>
      </c>
      <c r="Z2740" t="s">
        <v>77</v>
      </c>
      <c r="AA2740" t="str">
        <f>"11201-5465"</f>
        <v>11201-5465</v>
      </c>
      <c r="AB2740" t="s">
        <v>78</v>
      </c>
      <c r="AC2740" t="s">
        <v>79</v>
      </c>
      <c r="AD2740" t="s">
        <v>75</v>
      </c>
      <c r="AE2740" t="s">
        <v>80</v>
      </c>
      <c r="AG2740" t="s">
        <v>81</v>
      </c>
    </row>
    <row r="2741" spans="1:33" x14ac:dyDescent="0.25">
      <c r="A2741" t="str">
        <f>"1326297318"</f>
        <v>1326297318</v>
      </c>
      <c r="B2741" t="str">
        <f>"03623618"</f>
        <v>03623618</v>
      </c>
      <c r="C2741" t="s">
        <v>16612</v>
      </c>
      <c r="D2741" t="s">
        <v>16613</v>
      </c>
      <c r="E2741" t="s">
        <v>16614</v>
      </c>
      <c r="G2741" t="s">
        <v>13504</v>
      </c>
      <c r="H2741" t="s">
        <v>13505</v>
      </c>
      <c r="J2741" t="s">
        <v>13506</v>
      </c>
      <c r="L2741" t="s">
        <v>83</v>
      </c>
      <c r="M2741" t="s">
        <v>85</v>
      </c>
      <c r="R2741" t="s">
        <v>16614</v>
      </c>
      <c r="W2741" t="s">
        <v>16614</v>
      </c>
      <c r="X2741" t="s">
        <v>16615</v>
      </c>
      <c r="Y2741" t="s">
        <v>87</v>
      </c>
      <c r="Z2741" t="s">
        <v>77</v>
      </c>
      <c r="AA2741" t="str">
        <f>"11201-5425"</f>
        <v>11201-5425</v>
      </c>
      <c r="AB2741" t="s">
        <v>78</v>
      </c>
      <c r="AC2741" t="s">
        <v>79</v>
      </c>
      <c r="AD2741" t="s">
        <v>75</v>
      </c>
      <c r="AE2741" t="s">
        <v>80</v>
      </c>
      <c r="AG2741" t="s">
        <v>81</v>
      </c>
    </row>
    <row r="2742" spans="1:33" x14ac:dyDescent="0.25">
      <c r="A2742" t="str">
        <f>"1487971602"</f>
        <v>1487971602</v>
      </c>
      <c r="B2742" t="str">
        <f>"03493249"</f>
        <v>03493249</v>
      </c>
      <c r="C2742" t="s">
        <v>16616</v>
      </c>
      <c r="D2742" t="s">
        <v>16617</v>
      </c>
      <c r="E2742" t="s">
        <v>16618</v>
      </c>
      <c r="G2742" t="s">
        <v>13504</v>
      </c>
      <c r="H2742" t="s">
        <v>13505</v>
      </c>
      <c r="J2742" t="s">
        <v>13506</v>
      </c>
      <c r="L2742" t="s">
        <v>74</v>
      </c>
      <c r="M2742" t="s">
        <v>85</v>
      </c>
      <c r="R2742" t="s">
        <v>16619</v>
      </c>
      <c r="W2742" t="s">
        <v>16618</v>
      </c>
      <c r="X2742" t="s">
        <v>1484</v>
      </c>
      <c r="Y2742" t="s">
        <v>87</v>
      </c>
      <c r="Z2742" t="s">
        <v>77</v>
      </c>
      <c r="AA2742" t="str">
        <f>"11201-5465"</f>
        <v>11201-5465</v>
      </c>
      <c r="AB2742" t="s">
        <v>78</v>
      </c>
      <c r="AC2742" t="s">
        <v>79</v>
      </c>
      <c r="AD2742" t="s">
        <v>75</v>
      </c>
      <c r="AE2742" t="s">
        <v>80</v>
      </c>
      <c r="AG2742" t="s">
        <v>81</v>
      </c>
    </row>
    <row r="2743" spans="1:33" x14ac:dyDescent="0.25">
      <c r="A2743" t="str">
        <f>"1386649036"</f>
        <v>1386649036</v>
      </c>
      <c r="B2743" t="str">
        <f>"00161871"</f>
        <v>00161871</v>
      </c>
      <c r="C2743" t="s">
        <v>16620</v>
      </c>
      <c r="D2743" t="s">
        <v>16621</v>
      </c>
      <c r="E2743" t="s">
        <v>16622</v>
      </c>
      <c r="G2743" t="s">
        <v>16620</v>
      </c>
      <c r="H2743" t="s">
        <v>16623</v>
      </c>
      <c r="J2743" t="s">
        <v>16624</v>
      </c>
      <c r="L2743" t="s">
        <v>105</v>
      </c>
      <c r="M2743" t="s">
        <v>75</v>
      </c>
      <c r="R2743" t="s">
        <v>16625</v>
      </c>
      <c r="W2743" t="s">
        <v>16622</v>
      </c>
      <c r="X2743" t="s">
        <v>16626</v>
      </c>
      <c r="Y2743" t="s">
        <v>97</v>
      </c>
      <c r="Z2743" t="s">
        <v>77</v>
      </c>
      <c r="AA2743" t="str">
        <f>"10021-4707"</f>
        <v>10021-4707</v>
      </c>
      <c r="AB2743" t="s">
        <v>78</v>
      </c>
      <c r="AC2743" t="s">
        <v>79</v>
      </c>
      <c r="AD2743" t="s">
        <v>75</v>
      </c>
      <c r="AE2743" t="s">
        <v>80</v>
      </c>
      <c r="AG2743" t="s">
        <v>81</v>
      </c>
    </row>
    <row r="2744" spans="1:33" x14ac:dyDescent="0.25">
      <c r="A2744" t="str">
        <f>"1659395929"</f>
        <v>1659395929</v>
      </c>
      <c r="B2744" t="str">
        <f>"01791877"</f>
        <v>01791877</v>
      </c>
      <c r="C2744" t="s">
        <v>16627</v>
      </c>
      <c r="D2744" t="s">
        <v>3643</v>
      </c>
      <c r="E2744" t="s">
        <v>3644</v>
      </c>
      <c r="G2744" t="s">
        <v>16627</v>
      </c>
      <c r="H2744" t="s">
        <v>16628</v>
      </c>
      <c r="J2744" t="s">
        <v>16629</v>
      </c>
      <c r="L2744" t="s">
        <v>105</v>
      </c>
      <c r="M2744" t="s">
        <v>75</v>
      </c>
      <c r="R2744" t="s">
        <v>3645</v>
      </c>
      <c r="W2744" t="s">
        <v>3644</v>
      </c>
      <c r="X2744" t="s">
        <v>3646</v>
      </c>
      <c r="Y2744" t="s">
        <v>97</v>
      </c>
      <c r="Z2744" t="s">
        <v>77</v>
      </c>
      <c r="AA2744" t="str">
        <f>"10019-4642"</f>
        <v>10019-4642</v>
      </c>
      <c r="AB2744" t="s">
        <v>125</v>
      </c>
      <c r="AC2744" t="s">
        <v>79</v>
      </c>
      <c r="AD2744" t="s">
        <v>75</v>
      </c>
      <c r="AE2744" t="s">
        <v>80</v>
      </c>
      <c r="AG2744" t="s">
        <v>81</v>
      </c>
    </row>
    <row r="2745" spans="1:33" x14ac:dyDescent="0.25">
      <c r="A2745" t="str">
        <f>"1851348254"</f>
        <v>1851348254</v>
      </c>
      <c r="B2745" t="str">
        <f>"02407243"</f>
        <v>02407243</v>
      </c>
      <c r="C2745" t="s">
        <v>16630</v>
      </c>
      <c r="D2745" t="s">
        <v>16631</v>
      </c>
      <c r="E2745" t="s">
        <v>16632</v>
      </c>
      <c r="G2745" t="s">
        <v>16630</v>
      </c>
      <c r="H2745" t="s">
        <v>8818</v>
      </c>
      <c r="J2745" t="s">
        <v>16633</v>
      </c>
      <c r="L2745" t="s">
        <v>143</v>
      </c>
      <c r="M2745" t="s">
        <v>75</v>
      </c>
      <c r="R2745" t="s">
        <v>16634</v>
      </c>
      <c r="W2745" t="s">
        <v>16635</v>
      </c>
      <c r="X2745" t="s">
        <v>16636</v>
      </c>
      <c r="Y2745" t="s">
        <v>97</v>
      </c>
      <c r="Z2745" t="s">
        <v>77</v>
      </c>
      <c r="AA2745" t="str">
        <f>"10019-4640"</f>
        <v>10019-4640</v>
      </c>
      <c r="AB2745" t="s">
        <v>125</v>
      </c>
      <c r="AC2745" t="s">
        <v>79</v>
      </c>
      <c r="AD2745" t="s">
        <v>75</v>
      </c>
      <c r="AE2745" t="s">
        <v>80</v>
      </c>
      <c r="AG2745" t="s">
        <v>81</v>
      </c>
    </row>
    <row r="2746" spans="1:33" x14ac:dyDescent="0.25">
      <c r="A2746" t="str">
        <f>"1952397614"</f>
        <v>1952397614</v>
      </c>
      <c r="B2746" t="str">
        <f>"00398792"</f>
        <v>00398792</v>
      </c>
      <c r="C2746" t="s">
        <v>16637</v>
      </c>
      <c r="D2746" t="s">
        <v>16638</v>
      </c>
      <c r="E2746" t="s">
        <v>16639</v>
      </c>
      <c r="G2746" t="s">
        <v>16637</v>
      </c>
      <c r="H2746" t="s">
        <v>16640</v>
      </c>
      <c r="J2746" t="s">
        <v>16641</v>
      </c>
      <c r="L2746" t="s">
        <v>83</v>
      </c>
      <c r="M2746" t="s">
        <v>85</v>
      </c>
      <c r="R2746" t="s">
        <v>16642</v>
      </c>
      <c r="W2746" t="s">
        <v>16639</v>
      </c>
      <c r="X2746" t="s">
        <v>16643</v>
      </c>
      <c r="Y2746" t="s">
        <v>97</v>
      </c>
      <c r="Z2746" t="s">
        <v>77</v>
      </c>
      <c r="AA2746" t="str">
        <f>"10010-7454"</f>
        <v>10010-7454</v>
      </c>
      <c r="AB2746" t="s">
        <v>78</v>
      </c>
      <c r="AC2746" t="s">
        <v>79</v>
      </c>
      <c r="AD2746" t="s">
        <v>75</v>
      </c>
      <c r="AE2746" t="s">
        <v>80</v>
      </c>
      <c r="AG2746" t="s">
        <v>81</v>
      </c>
    </row>
    <row r="2747" spans="1:33" x14ac:dyDescent="0.25">
      <c r="A2747" t="str">
        <f>"1598894628"</f>
        <v>1598894628</v>
      </c>
      <c r="B2747" t="str">
        <f>"00966743"</f>
        <v>00966743</v>
      </c>
      <c r="C2747" t="s">
        <v>16644</v>
      </c>
      <c r="D2747" t="s">
        <v>16645</v>
      </c>
      <c r="E2747" t="s">
        <v>16646</v>
      </c>
      <c r="G2747" t="s">
        <v>16644</v>
      </c>
      <c r="H2747" t="s">
        <v>16647</v>
      </c>
      <c r="L2747" t="s">
        <v>83</v>
      </c>
      <c r="M2747" t="s">
        <v>75</v>
      </c>
      <c r="R2747" t="s">
        <v>16648</v>
      </c>
      <c r="W2747" t="s">
        <v>16649</v>
      </c>
      <c r="X2747" t="s">
        <v>263</v>
      </c>
      <c r="Y2747" t="s">
        <v>97</v>
      </c>
      <c r="Z2747" t="s">
        <v>77</v>
      </c>
      <c r="AA2747" t="str">
        <f>"10011-8202"</f>
        <v>10011-8202</v>
      </c>
      <c r="AB2747" t="s">
        <v>78</v>
      </c>
      <c r="AC2747" t="s">
        <v>79</v>
      </c>
      <c r="AD2747" t="s">
        <v>75</v>
      </c>
      <c r="AE2747" t="s">
        <v>80</v>
      </c>
      <c r="AG2747" t="s">
        <v>81</v>
      </c>
    </row>
    <row r="2748" spans="1:33" x14ac:dyDescent="0.25">
      <c r="A2748" t="str">
        <f>"1063497295"</f>
        <v>1063497295</v>
      </c>
      <c r="B2748" t="str">
        <f>"01284564"</f>
        <v>01284564</v>
      </c>
      <c r="C2748" t="s">
        <v>13436</v>
      </c>
      <c r="D2748" t="s">
        <v>16650</v>
      </c>
      <c r="E2748" t="s">
        <v>16651</v>
      </c>
      <c r="G2748" t="s">
        <v>16652</v>
      </c>
      <c r="L2748" t="s">
        <v>83</v>
      </c>
      <c r="M2748" t="s">
        <v>85</v>
      </c>
      <c r="R2748" t="s">
        <v>16653</v>
      </c>
      <c r="W2748" t="s">
        <v>16651</v>
      </c>
      <c r="X2748" t="s">
        <v>5864</v>
      </c>
      <c r="Y2748" t="s">
        <v>97</v>
      </c>
      <c r="Z2748" t="s">
        <v>77</v>
      </c>
      <c r="AA2748" t="str">
        <f>"10029-5208"</f>
        <v>10029-5208</v>
      </c>
      <c r="AB2748" t="s">
        <v>78</v>
      </c>
      <c r="AC2748" t="s">
        <v>79</v>
      </c>
      <c r="AD2748" t="s">
        <v>75</v>
      </c>
      <c r="AE2748" t="s">
        <v>80</v>
      </c>
      <c r="AG2748" t="s">
        <v>81</v>
      </c>
    </row>
    <row r="2749" spans="1:33" x14ac:dyDescent="0.25">
      <c r="A2749" t="str">
        <f>"1063499770"</f>
        <v>1063499770</v>
      </c>
      <c r="B2749" t="str">
        <f>"01150825"</f>
        <v>01150825</v>
      </c>
      <c r="C2749" t="s">
        <v>13436</v>
      </c>
      <c r="D2749" t="s">
        <v>16654</v>
      </c>
      <c r="E2749" t="s">
        <v>16655</v>
      </c>
      <c r="G2749" t="s">
        <v>16656</v>
      </c>
      <c r="L2749" t="s">
        <v>74</v>
      </c>
      <c r="M2749" t="s">
        <v>85</v>
      </c>
      <c r="R2749" t="s">
        <v>16657</v>
      </c>
      <c r="W2749" t="s">
        <v>16655</v>
      </c>
      <c r="X2749" t="s">
        <v>191</v>
      </c>
      <c r="Y2749" t="s">
        <v>97</v>
      </c>
      <c r="Z2749" t="s">
        <v>77</v>
      </c>
      <c r="AA2749" t="str">
        <f>"10019-1147"</f>
        <v>10019-1147</v>
      </c>
      <c r="AB2749" t="s">
        <v>78</v>
      </c>
      <c r="AC2749" t="s">
        <v>79</v>
      </c>
      <c r="AD2749" t="s">
        <v>75</v>
      </c>
      <c r="AE2749" t="s">
        <v>80</v>
      </c>
      <c r="AG2749" t="s">
        <v>81</v>
      </c>
    </row>
    <row r="2750" spans="1:33" x14ac:dyDescent="0.25">
      <c r="A2750" t="str">
        <f>"1063567881"</f>
        <v>1063567881</v>
      </c>
      <c r="B2750" t="str">
        <f>"02974569"</f>
        <v>02974569</v>
      </c>
      <c r="C2750" t="s">
        <v>13436</v>
      </c>
      <c r="D2750" t="s">
        <v>16658</v>
      </c>
      <c r="E2750" t="s">
        <v>16659</v>
      </c>
      <c r="G2750" t="s">
        <v>16660</v>
      </c>
      <c r="L2750" t="s">
        <v>74</v>
      </c>
      <c r="M2750" t="s">
        <v>85</v>
      </c>
      <c r="R2750" t="s">
        <v>16661</v>
      </c>
      <c r="W2750" t="s">
        <v>16659</v>
      </c>
      <c r="X2750" t="s">
        <v>3038</v>
      </c>
      <c r="Y2750" t="s">
        <v>97</v>
      </c>
      <c r="Z2750" t="s">
        <v>77</v>
      </c>
      <c r="AA2750" t="str">
        <f>"10003-3314"</f>
        <v>10003-3314</v>
      </c>
      <c r="AB2750" t="s">
        <v>78</v>
      </c>
      <c r="AC2750" t="s">
        <v>79</v>
      </c>
      <c r="AD2750" t="s">
        <v>75</v>
      </c>
      <c r="AE2750" t="s">
        <v>80</v>
      </c>
      <c r="AG2750" t="s">
        <v>81</v>
      </c>
    </row>
    <row r="2751" spans="1:33" x14ac:dyDescent="0.25">
      <c r="A2751" t="str">
        <f>"1063610343"</f>
        <v>1063610343</v>
      </c>
      <c r="B2751" t="str">
        <f>"02899714"</f>
        <v>02899714</v>
      </c>
      <c r="C2751" t="s">
        <v>13436</v>
      </c>
      <c r="D2751" t="s">
        <v>16662</v>
      </c>
      <c r="E2751" t="s">
        <v>16663</v>
      </c>
      <c r="G2751" t="s">
        <v>16664</v>
      </c>
      <c r="L2751" t="s">
        <v>83</v>
      </c>
      <c r="M2751" t="s">
        <v>85</v>
      </c>
      <c r="R2751" t="s">
        <v>16665</v>
      </c>
      <c r="W2751" t="s">
        <v>16663</v>
      </c>
      <c r="X2751" t="s">
        <v>2587</v>
      </c>
      <c r="Y2751" t="s">
        <v>97</v>
      </c>
      <c r="Z2751" t="s">
        <v>77</v>
      </c>
      <c r="AA2751" t="str">
        <f>"10003-3314"</f>
        <v>10003-3314</v>
      </c>
      <c r="AB2751" t="s">
        <v>78</v>
      </c>
      <c r="AC2751" t="s">
        <v>79</v>
      </c>
      <c r="AD2751" t="s">
        <v>75</v>
      </c>
      <c r="AE2751" t="s">
        <v>80</v>
      </c>
      <c r="AG2751" t="s">
        <v>81</v>
      </c>
    </row>
    <row r="2752" spans="1:33" x14ac:dyDescent="0.25">
      <c r="A2752" t="str">
        <f>"1063674927"</f>
        <v>1063674927</v>
      </c>
      <c r="B2752" t="str">
        <f>"03259914"</f>
        <v>03259914</v>
      </c>
      <c r="C2752" t="s">
        <v>13436</v>
      </c>
      <c r="D2752" t="s">
        <v>16666</v>
      </c>
      <c r="E2752" t="s">
        <v>16667</v>
      </c>
      <c r="G2752" t="s">
        <v>16668</v>
      </c>
      <c r="L2752" t="s">
        <v>94</v>
      </c>
      <c r="M2752" t="s">
        <v>85</v>
      </c>
      <c r="R2752" t="s">
        <v>16669</v>
      </c>
      <c r="W2752" t="s">
        <v>16670</v>
      </c>
      <c r="X2752" t="s">
        <v>2587</v>
      </c>
      <c r="Y2752" t="s">
        <v>97</v>
      </c>
      <c r="Z2752" t="s">
        <v>77</v>
      </c>
      <c r="AA2752" t="str">
        <f>"10003-3314"</f>
        <v>10003-3314</v>
      </c>
      <c r="AB2752" t="s">
        <v>78</v>
      </c>
      <c r="AC2752" t="s">
        <v>79</v>
      </c>
      <c r="AD2752" t="s">
        <v>75</v>
      </c>
      <c r="AE2752" t="s">
        <v>80</v>
      </c>
      <c r="AG2752" t="s">
        <v>81</v>
      </c>
    </row>
    <row r="2753" spans="1:33" x14ac:dyDescent="0.25">
      <c r="A2753" t="str">
        <f>"1063684108"</f>
        <v>1063684108</v>
      </c>
      <c r="B2753" t="str">
        <f>"03028053"</f>
        <v>03028053</v>
      </c>
      <c r="C2753" t="s">
        <v>13436</v>
      </c>
      <c r="D2753" t="s">
        <v>16671</v>
      </c>
      <c r="E2753" t="s">
        <v>16672</v>
      </c>
      <c r="G2753" t="s">
        <v>16673</v>
      </c>
      <c r="L2753" t="s">
        <v>83</v>
      </c>
      <c r="M2753" t="s">
        <v>85</v>
      </c>
      <c r="W2753" t="s">
        <v>16674</v>
      </c>
      <c r="X2753" t="s">
        <v>181</v>
      </c>
      <c r="Y2753" t="s">
        <v>97</v>
      </c>
      <c r="Z2753" t="s">
        <v>77</v>
      </c>
      <c r="AA2753" t="str">
        <f>"10025-1716"</f>
        <v>10025-1716</v>
      </c>
      <c r="AB2753" t="s">
        <v>78</v>
      </c>
      <c r="AC2753" t="s">
        <v>79</v>
      </c>
      <c r="AD2753" t="s">
        <v>75</v>
      </c>
      <c r="AE2753" t="s">
        <v>80</v>
      </c>
      <c r="AG2753" t="s">
        <v>81</v>
      </c>
    </row>
    <row r="2754" spans="1:33" x14ac:dyDescent="0.25">
      <c r="A2754" t="str">
        <f>"1720047251"</f>
        <v>1720047251</v>
      </c>
      <c r="B2754" t="str">
        <f>"01816706"</f>
        <v>01816706</v>
      </c>
      <c r="C2754" t="s">
        <v>16675</v>
      </c>
      <c r="D2754" t="s">
        <v>16676</v>
      </c>
      <c r="E2754" t="s">
        <v>16677</v>
      </c>
      <c r="G2754" t="s">
        <v>13504</v>
      </c>
      <c r="H2754" t="s">
        <v>13505</v>
      </c>
      <c r="J2754" t="s">
        <v>13506</v>
      </c>
      <c r="L2754" t="s">
        <v>84</v>
      </c>
      <c r="M2754" t="s">
        <v>85</v>
      </c>
      <c r="R2754" t="s">
        <v>16678</v>
      </c>
      <c r="W2754" t="s">
        <v>16677</v>
      </c>
      <c r="X2754" t="s">
        <v>16679</v>
      </c>
      <c r="Y2754" t="s">
        <v>179</v>
      </c>
      <c r="Z2754" t="s">
        <v>77</v>
      </c>
      <c r="AA2754" t="str">
        <f>"11550-4600"</f>
        <v>11550-4600</v>
      </c>
      <c r="AB2754" t="s">
        <v>78</v>
      </c>
      <c r="AC2754" t="s">
        <v>79</v>
      </c>
      <c r="AD2754" t="s">
        <v>75</v>
      </c>
      <c r="AE2754" t="s">
        <v>80</v>
      </c>
      <c r="AG2754" t="s">
        <v>81</v>
      </c>
    </row>
    <row r="2755" spans="1:33" x14ac:dyDescent="0.25">
      <c r="A2755" t="str">
        <f>"1255325064"</f>
        <v>1255325064</v>
      </c>
      <c r="B2755" t="str">
        <f>"01964254"</f>
        <v>01964254</v>
      </c>
      <c r="C2755" t="s">
        <v>16680</v>
      </c>
      <c r="D2755" t="s">
        <v>16681</v>
      </c>
      <c r="E2755" t="s">
        <v>16682</v>
      </c>
      <c r="G2755" t="s">
        <v>13504</v>
      </c>
      <c r="H2755" t="s">
        <v>13505</v>
      </c>
      <c r="J2755" t="s">
        <v>13506</v>
      </c>
      <c r="L2755" t="s">
        <v>94</v>
      </c>
      <c r="M2755" t="s">
        <v>75</v>
      </c>
      <c r="R2755" t="s">
        <v>16683</v>
      </c>
      <c r="W2755" t="s">
        <v>16682</v>
      </c>
      <c r="X2755" t="s">
        <v>3083</v>
      </c>
      <c r="Y2755" t="s">
        <v>87</v>
      </c>
      <c r="Z2755" t="s">
        <v>77</v>
      </c>
      <c r="AA2755" t="str">
        <f>"11201-5493"</f>
        <v>11201-5493</v>
      </c>
      <c r="AB2755" t="s">
        <v>78</v>
      </c>
      <c r="AC2755" t="s">
        <v>79</v>
      </c>
      <c r="AD2755" t="s">
        <v>75</v>
      </c>
      <c r="AE2755" t="s">
        <v>80</v>
      </c>
      <c r="AG2755" t="s">
        <v>81</v>
      </c>
    </row>
    <row r="2756" spans="1:33" x14ac:dyDescent="0.25">
      <c r="A2756" t="str">
        <f>"1700071867"</f>
        <v>1700071867</v>
      </c>
      <c r="B2756" t="str">
        <f>"04156850"</f>
        <v>04156850</v>
      </c>
      <c r="C2756" t="s">
        <v>16684</v>
      </c>
      <c r="D2756" t="s">
        <v>16685</v>
      </c>
      <c r="E2756" t="s">
        <v>16686</v>
      </c>
      <c r="G2756" t="s">
        <v>13504</v>
      </c>
      <c r="H2756" t="s">
        <v>13505</v>
      </c>
      <c r="J2756" t="s">
        <v>13506</v>
      </c>
      <c r="L2756" t="s">
        <v>102</v>
      </c>
      <c r="M2756" t="s">
        <v>75</v>
      </c>
      <c r="R2756" t="s">
        <v>16686</v>
      </c>
      <c r="W2756" t="s">
        <v>16687</v>
      </c>
      <c r="X2756" t="s">
        <v>193</v>
      </c>
      <c r="Y2756" t="s">
        <v>171</v>
      </c>
      <c r="Z2756" t="s">
        <v>77</v>
      </c>
      <c r="AA2756" t="str">
        <f>"11418-2832"</f>
        <v>11418-2832</v>
      </c>
      <c r="AB2756" t="s">
        <v>78</v>
      </c>
      <c r="AC2756" t="s">
        <v>79</v>
      </c>
      <c r="AD2756" t="s">
        <v>75</v>
      </c>
      <c r="AE2756" t="s">
        <v>80</v>
      </c>
      <c r="AG2756" t="s">
        <v>81</v>
      </c>
    </row>
    <row r="2757" spans="1:33" x14ac:dyDescent="0.25">
      <c r="A2757" t="str">
        <f>"1215958988"</f>
        <v>1215958988</v>
      </c>
      <c r="B2757" t="str">
        <f>"01192525"</f>
        <v>01192525</v>
      </c>
      <c r="C2757" t="s">
        <v>13436</v>
      </c>
      <c r="D2757" t="s">
        <v>16688</v>
      </c>
      <c r="E2757" t="s">
        <v>16689</v>
      </c>
      <c r="G2757" t="s">
        <v>16690</v>
      </c>
      <c r="L2757" t="s">
        <v>83</v>
      </c>
      <c r="M2757" t="s">
        <v>85</v>
      </c>
      <c r="R2757" t="s">
        <v>16691</v>
      </c>
      <c r="W2757" t="s">
        <v>16689</v>
      </c>
      <c r="X2757" t="s">
        <v>753</v>
      </c>
      <c r="Y2757" t="s">
        <v>91</v>
      </c>
      <c r="Z2757" t="s">
        <v>77</v>
      </c>
      <c r="AA2757" t="str">
        <f>"11373-4998"</f>
        <v>11373-4998</v>
      </c>
      <c r="AB2757" t="s">
        <v>78</v>
      </c>
      <c r="AC2757" t="s">
        <v>79</v>
      </c>
      <c r="AD2757" t="s">
        <v>75</v>
      </c>
      <c r="AE2757" t="s">
        <v>80</v>
      </c>
      <c r="AG2757" t="s">
        <v>81</v>
      </c>
    </row>
    <row r="2758" spans="1:33" x14ac:dyDescent="0.25">
      <c r="A2758" t="str">
        <f>"1215969092"</f>
        <v>1215969092</v>
      </c>
      <c r="B2758" t="str">
        <f>"02831556"</f>
        <v>02831556</v>
      </c>
      <c r="C2758" t="s">
        <v>13436</v>
      </c>
      <c r="D2758" t="s">
        <v>16692</v>
      </c>
      <c r="E2758" t="s">
        <v>16693</v>
      </c>
      <c r="G2758" t="s">
        <v>16694</v>
      </c>
      <c r="L2758" t="s">
        <v>74</v>
      </c>
      <c r="M2758" t="s">
        <v>85</v>
      </c>
      <c r="R2758" t="s">
        <v>16695</v>
      </c>
      <c r="W2758" t="s">
        <v>16693</v>
      </c>
      <c r="X2758" t="s">
        <v>14826</v>
      </c>
      <c r="Y2758" t="s">
        <v>97</v>
      </c>
      <c r="Z2758" t="s">
        <v>77</v>
      </c>
      <c r="AA2758" t="str">
        <f>"10003"</f>
        <v>10003</v>
      </c>
      <c r="AB2758" t="s">
        <v>78</v>
      </c>
      <c r="AC2758" t="s">
        <v>79</v>
      </c>
      <c r="AD2758" t="s">
        <v>75</v>
      </c>
      <c r="AE2758" t="s">
        <v>80</v>
      </c>
      <c r="AG2758" t="s">
        <v>81</v>
      </c>
    </row>
    <row r="2759" spans="1:33" x14ac:dyDescent="0.25">
      <c r="A2759" t="str">
        <f>"1225012917"</f>
        <v>1225012917</v>
      </c>
      <c r="B2759" t="str">
        <f>"01418359"</f>
        <v>01418359</v>
      </c>
      <c r="C2759" t="s">
        <v>13436</v>
      </c>
      <c r="D2759" t="s">
        <v>16696</v>
      </c>
      <c r="E2759" t="s">
        <v>16697</v>
      </c>
      <c r="G2759" t="s">
        <v>16698</v>
      </c>
      <c r="L2759" t="s">
        <v>74</v>
      </c>
      <c r="M2759" t="s">
        <v>85</v>
      </c>
      <c r="R2759" t="s">
        <v>16699</v>
      </c>
      <c r="W2759" t="s">
        <v>16697</v>
      </c>
      <c r="X2759" t="s">
        <v>1511</v>
      </c>
      <c r="Y2759" t="s">
        <v>97</v>
      </c>
      <c r="Z2759" t="s">
        <v>77</v>
      </c>
      <c r="AA2759" t="str">
        <f>"10003"</f>
        <v>10003</v>
      </c>
      <c r="AB2759" t="s">
        <v>78</v>
      </c>
      <c r="AC2759" t="s">
        <v>79</v>
      </c>
      <c r="AD2759" t="s">
        <v>75</v>
      </c>
      <c r="AE2759" t="s">
        <v>80</v>
      </c>
      <c r="AG2759" t="s">
        <v>81</v>
      </c>
    </row>
    <row r="2760" spans="1:33" x14ac:dyDescent="0.25">
      <c r="A2760" t="str">
        <f>"1225019367"</f>
        <v>1225019367</v>
      </c>
      <c r="B2760" t="str">
        <f>"01475938"</f>
        <v>01475938</v>
      </c>
      <c r="C2760" t="s">
        <v>13436</v>
      </c>
      <c r="D2760" t="s">
        <v>16700</v>
      </c>
      <c r="E2760" t="s">
        <v>16701</v>
      </c>
      <c r="G2760" t="s">
        <v>16702</v>
      </c>
      <c r="L2760" t="s">
        <v>83</v>
      </c>
      <c r="M2760" t="s">
        <v>85</v>
      </c>
      <c r="R2760" t="s">
        <v>16703</v>
      </c>
      <c r="W2760" t="s">
        <v>16701</v>
      </c>
      <c r="X2760" t="s">
        <v>14894</v>
      </c>
      <c r="Y2760" t="s">
        <v>97</v>
      </c>
      <c r="Z2760" t="s">
        <v>77</v>
      </c>
      <c r="AA2760" t="str">
        <f>"10003-0000"</f>
        <v>10003-0000</v>
      </c>
      <c r="AB2760" t="s">
        <v>78</v>
      </c>
      <c r="AC2760" t="s">
        <v>79</v>
      </c>
      <c r="AD2760" t="s">
        <v>75</v>
      </c>
      <c r="AE2760" t="s">
        <v>80</v>
      </c>
      <c r="AG2760" t="s">
        <v>81</v>
      </c>
    </row>
    <row r="2761" spans="1:33" x14ac:dyDescent="0.25">
      <c r="A2761" t="str">
        <f>"1225073356"</f>
        <v>1225073356</v>
      </c>
      <c r="B2761" t="str">
        <f>"01959255"</f>
        <v>01959255</v>
      </c>
      <c r="C2761" t="s">
        <v>13436</v>
      </c>
      <c r="D2761" t="s">
        <v>16704</v>
      </c>
      <c r="E2761" t="s">
        <v>16705</v>
      </c>
      <c r="G2761" t="s">
        <v>16706</v>
      </c>
      <c r="L2761" t="s">
        <v>83</v>
      </c>
      <c r="M2761" t="s">
        <v>85</v>
      </c>
      <c r="R2761" t="s">
        <v>16707</v>
      </c>
      <c r="W2761" t="s">
        <v>16705</v>
      </c>
      <c r="X2761" t="s">
        <v>16708</v>
      </c>
      <c r="Y2761" t="s">
        <v>97</v>
      </c>
      <c r="Z2761" t="s">
        <v>77</v>
      </c>
      <c r="AA2761" t="str">
        <f>"10024-5116"</f>
        <v>10024-5116</v>
      </c>
      <c r="AB2761" t="s">
        <v>78</v>
      </c>
      <c r="AC2761" t="s">
        <v>79</v>
      </c>
      <c r="AD2761" t="s">
        <v>75</v>
      </c>
      <c r="AE2761" t="s">
        <v>80</v>
      </c>
      <c r="AG2761" t="s">
        <v>81</v>
      </c>
    </row>
    <row r="2762" spans="1:33" x14ac:dyDescent="0.25">
      <c r="A2762" t="str">
        <f>"1225104797"</f>
        <v>1225104797</v>
      </c>
      <c r="B2762" t="str">
        <f>"02524087"</f>
        <v>02524087</v>
      </c>
      <c r="C2762" t="s">
        <v>13436</v>
      </c>
      <c r="D2762" t="s">
        <v>16709</v>
      </c>
      <c r="E2762" t="s">
        <v>16710</v>
      </c>
      <c r="G2762" t="s">
        <v>16711</v>
      </c>
      <c r="L2762" t="s">
        <v>84</v>
      </c>
      <c r="M2762" t="s">
        <v>85</v>
      </c>
      <c r="R2762" t="s">
        <v>16710</v>
      </c>
      <c r="W2762" t="s">
        <v>16710</v>
      </c>
      <c r="X2762" t="s">
        <v>16712</v>
      </c>
      <c r="Y2762" t="s">
        <v>97</v>
      </c>
      <c r="Z2762" t="s">
        <v>77</v>
      </c>
      <c r="AA2762" t="str">
        <f>"10019-1147"</f>
        <v>10019-1147</v>
      </c>
      <c r="AB2762" t="s">
        <v>78</v>
      </c>
      <c r="AC2762" t="s">
        <v>79</v>
      </c>
      <c r="AD2762" t="s">
        <v>75</v>
      </c>
      <c r="AE2762" t="s">
        <v>80</v>
      </c>
      <c r="AG2762" t="s">
        <v>81</v>
      </c>
    </row>
    <row r="2763" spans="1:33" x14ac:dyDescent="0.25">
      <c r="A2763" t="str">
        <f>"1225182512"</f>
        <v>1225182512</v>
      </c>
      <c r="B2763" t="str">
        <f>"02481372"</f>
        <v>02481372</v>
      </c>
      <c r="C2763" t="s">
        <v>13436</v>
      </c>
      <c r="D2763" t="s">
        <v>16713</v>
      </c>
      <c r="E2763" t="s">
        <v>16714</v>
      </c>
      <c r="G2763" t="s">
        <v>16715</v>
      </c>
      <c r="L2763" t="s">
        <v>102</v>
      </c>
      <c r="M2763" t="s">
        <v>85</v>
      </c>
      <c r="R2763" t="s">
        <v>16714</v>
      </c>
      <c r="W2763" t="s">
        <v>16714</v>
      </c>
      <c r="X2763" t="s">
        <v>1076</v>
      </c>
      <c r="Y2763" t="s">
        <v>97</v>
      </c>
      <c r="Z2763" t="s">
        <v>77</v>
      </c>
      <c r="AA2763" t="str">
        <f>"10025-1737"</f>
        <v>10025-1737</v>
      </c>
      <c r="AB2763" t="s">
        <v>78</v>
      </c>
      <c r="AC2763" t="s">
        <v>79</v>
      </c>
      <c r="AD2763" t="s">
        <v>75</v>
      </c>
      <c r="AE2763" t="s">
        <v>80</v>
      </c>
      <c r="AG2763" t="s">
        <v>81</v>
      </c>
    </row>
    <row r="2764" spans="1:33" x14ac:dyDescent="0.25">
      <c r="A2764" t="str">
        <f>"1225194996"</f>
        <v>1225194996</v>
      </c>
      <c r="B2764" t="str">
        <f>"03216277"</f>
        <v>03216277</v>
      </c>
      <c r="C2764" t="s">
        <v>13436</v>
      </c>
      <c r="D2764" t="s">
        <v>16716</v>
      </c>
      <c r="E2764" t="s">
        <v>16717</v>
      </c>
      <c r="G2764" t="s">
        <v>16718</v>
      </c>
      <c r="L2764" t="s">
        <v>83</v>
      </c>
      <c r="M2764" t="s">
        <v>85</v>
      </c>
      <c r="R2764" t="s">
        <v>16719</v>
      </c>
      <c r="W2764" t="s">
        <v>16720</v>
      </c>
      <c r="X2764" t="s">
        <v>3038</v>
      </c>
      <c r="Y2764" t="s">
        <v>97</v>
      </c>
      <c r="Z2764" t="s">
        <v>77</v>
      </c>
      <c r="AA2764" t="str">
        <f>"10003-3314"</f>
        <v>10003-3314</v>
      </c>
      <c r="AB2764" t="s">
        <v>78</v>
      </c>
      <c r="AC2764" t="s">
        <v>79</v>
      </c>
      <c r="AD2764" t="s">
        <v>75</v>
      </c>
      <c r="AE2764" t="s">
        <v>80</v>
      </c>
      <c r="AG2764" t="s">
        <v>81</v>
      </c>
    </row>
    <row r="2765" spans="1:33" x14ac:dyDescent="0.25">
      <c r="A2765" t="str">
        <f>"1043469448"</f>
        <v>1043469448</v>
      </c>
      <c r="B2765" t="str">
        <f>"03567131"</f>
        <v>03567131</v>
      </c>
      <c r="C2765" t="s">
        <v>13436</v>
      </c>
      <c r="D2765" t="s">
        <v>16721</v>
      </c>
      <c r="E2765" t="s">
        <v>16722</v>
      </c>
      <c r="G2765" t="s">
        <v>16723</v>
      </c>
      <c r="L2765" t="s">
        <v>102</v>
      </c>
      <c r="M2765" t="s">
        <v>75</v>
      </c>
      <c r="R2765" t="s">
        <v>16724</v>
      </c>
      <c r="W2765" t="s">
        <v>16722</v>
      </c>
      <c r="X2765" t="s">
        <v>1076</v>
      </c>
      <c r="Y2765" t="s">
        <v>97</v>
      </c>
      <c r="Z2765" t="s">
        <v>77</v>
      </c>
      <c r="AA2765" t="str">
        <f>"10025-1737"</f>
        <v>10025-1737</v>
      </c>
      <c r="AB2765" t="s">
        <v>125</v>
      </c>
      <c r="AC2765" t="s">
        <v>79</v>
      </c>
      <c r="AD2765" t="s">
        <v>75</v>
      </c>
      <c r="AE2765" t="s">
        <v>80</v>
      </c>
      <c r="AG2765" t="s">
        <v>81</v>
      </c>
    </row>
    <row r="2766" spans="1:33" x14ac:dyDescent="0.25">
      <c r="A2766" t="str">
        <f>"1043585227"</f>
        <v>1043585227</v>
      </c>
      <c r="C2766" t="s">
        <v>13436</v>
      </c>
      <c r="G2766" t="s">
        <v>16725</v>
      </c>
      <c r="K2766" t="s">
        <v>99</v>
      </c>
      <c r="L2766" t="s">
        <v>102</v>
      </c>
      <c r="M2766" t="s">
        <v>75</v>
      </c>
      <c r="R2766" t="s">
        <v>16726</v>
      </c>
      <c r="S2766" t="s">
        <v>11455</v>
      </c>
      <c r="T2766" t="s">
        <v>97</v>
      </c>
      <c r="U2766" t="s">
        <v>77</v>
      </c>
      <c r="V2766" t="str">
        <f>"100296504"</f>
        <v>100296504</v>
      </c>
      <c r="AC2766" t="s">
        <v>79</v>
      </c>
      <c r="AD2766" t="s">
        <v>75</v>
      </c>
      <c r="AE2766" t="s">
        <v>103</v>
      </c>
      <c r="AG2766" t="s">
        <v>81</v>
      </c>
    </row>
    <row r="2767" spans="1:33" x14ac:dyDescent="0.25">
      <c r="A2767" t="str">
        <f>"1053470872"</f>
        <v>1053470872</v>
      </c>
      <c r="B2767" t="str">
        <f>"01591744"</f>
        <v>01591744</v>
      </c>
      <c r="C2767" t="s">
        <v>13436</v>
      </c>
      <c r="D2767" t="s">
        <v>16727</v>
      </c>
      <c r="E2767" t="s">
        <v>16728</v>
      </c>
      <c r="G2767" t="s">
        <v>16729</v>
      </c>
      <c r="L2767" t="s">
        <v>102</v>
      </c>
      <c r="M2767" t="s">
        <v>75</v>
      </c>
      <c r="R2767" t="s">
        <v>16730</v>
      </c>
      <c r="W2767" t="s">
        <v>16728</v>
      </c>
      <c r="X2767" t="s">
        <v>181</v>
      </c>
      <c r="Y2767" t="s">
        <v>97</v>
      </c>
      <c r="Z2767" t="s">
        <v>77</v>
      </c>
      <c r="AA2767" t="str">
        <f>"10025-1716"</f>
        <v>10025-1716</v>
      </c>
      <c r="AB2767" t="s">
        <v>78</v>
      </c>
      <c r="AC2767" t="s">
        <v>79</v>
      </c>
      <c r="AD2767" t="s">
        <v>75</v>
      </c>
      <c r="AE2767" t="s">
        <v>80</v>
      </c>
      <c r="AG2767" t="s">
        <v>81</v>
      </c>
    </row>
    <row r="2768" spans="1:33" x14ac:dyDescent="0.25">
      <c r="A2768" t="str">
        <f>"1851595524"</f>
        <v>1851595524</v>
      </c>
      <c r="B2768" t="str">
        <f>"03654937"</f>
        <v>03654937</v>
      </c>
      <c r="C2768" t="s">
        <v>16731</v>
      </c>
      <c r="D2768" t="s">
        <v>16732</v>
      </c>
      <c r="E2768" t="s">
        <v>16733</v>
      </c>
      <c r="G2768" t="s">
        <v>7218</v>
      </c>
      <c r="H2768" t="s">
        <v>6801</v>
      </c>
      <c r="I2768">
        <v>6136</v>
      </c>
      <c r="J2768" t="s">
        <v>7219</v>
      </c>
      <c r="L2768" t="s">
        <v>74</v>
      </c>
      <c r="M2768" t="s">
        <v>75</v>
      </c>
      <c r="R2768" t="s">
        <v>16734</v>
      </c>
      <c r="W2768" t="s">
        <v>16733</v>
      </c>
      <c r="X2768" t="s">
        <v>8385</v>
      </c>
      <c r="Y2768" t="s">
        <v>97</v>
      </c>
      <c r="Z2768" t="s">
        <v>77</v>
      </c>
      <c r="AA2768" t="str">
        <f>"10001-2320"</f>
        <v>10001-2320</v>
      </c>
      <c r="AB2768" t="s">
        <v>109</v>
      </c>
      <c r="AC2768" t="s">
        <v>79</v>
      </c>
      <c r="AD2768" t="s">
        <v>75</v>
      </c>
      <c r="AE2768" t="s">
        <v>80</v>
      </c>
      <c r="AG2768" t="s">
        <v>81</v>
      </c>
    </row>
    <row r="2769" spans="1:33" x14ac:dyDescent="0.25">
      <c r="A2769" t="str">
        <f>"1851708598"</f>
        <v>1851708598</v>
      </c>
      <c r="C2769" t="s">
        <v>16735</v>
      </c>
      <c r="G2769" t="s">
        <v>7218</v>
      </c>
      <c r="H2769" t="s">
        <v>6801</v>
      </c>
      <c r="I2769">
        <v>6136</v>
      </c>
      <c r="J2769" t="s">
        <v>7219</v>
      </c>
      <c r="K2769" t="s">
        <v>99</v>
      </c>
      <c r="L2769" t="s">
        <v>102</v>
      </c>
      <c r="M2769" t="s">
        <v>75</v>
      </c>
      <c r="R2769" t="s">
        <v>16736</v>
      </c>
      <c r="S2769" t="s">
        <v>14675</v>
      </c>
      <c r="T2769" t="s">
        <v>97</v>
      </c>
      <c r="U2769" t="s">
        <v>77</v>
      </c>
      <c r="V2769" t="str">
        <f>"10001"</f>
        <v>10001</v>
      </c>
      <c r="AC2769" t="s">
        <v>79</v>
      </c>
      <c r="AD2769" t="s">
        <v>75</v>
      </c>
      <c r="AE2769" t="s">
        <v>103</v>
      </c>
      <c r="AG2769" t="s">
        <v>81</v>
      </c>
    </row>
    <row r="2770" spans="1:33" x14ac:dyDescent="0.25">
      <c r="A2770" t="str">
        <f>"1942393343"</f>
        <v>1942393343</v>
      </c>
      <c r="B2770" t="str">
        <f>"01890904"</f>
        <v>01890904</v>
      </c>
      <c r="C2770" t="s">
        <v>16737</v>
      </c>
      <c r="D2770" t="s">
        <v>2250</v>
      </c>
      <c r="E2770" t="s">
        <v>2251</v>
      </c>
      <c r="H2770" t="s">
        <v>16738</v>
      </c>
      <c r="J2770" t="s">
        <v>16739</v>
      </c>
      <c r="L2770" t="s">
        <v>84</v>
      </c>
      <c r="M2770" t="s">
        <v>75</v>
      </c>
      <c r="R2770" t="s">
        <v>2249</v>
      </c>
      <c r="W2770" t="s">
        <v>2251</v>
      </c>
      <c r="X2770" t="s">
        <v>2252</v>
      </c>
      <c r="Y2770" t="s">
        <v>131</v>
      </c>
      <c r="Z2770" t="s">
        <v>77</v>
      </c>
      <c r="AA2770" t="str">
        <f>"10461-3704"</f>
        <v>10461-3704</v>
      </c>
      <c r="AB2770" t="s">
        <v>78</v>
      </c>
      <c r="AC2770" t="s">
        <v>79</v>
      </c>
      <c r="AD2770" t="s">
        <v>75</v>
      </c>
      <c r="AE2770" t="s">
        <v>80</v>
      </c>
      <c r="AG2770" t="s">
        <v>81</v>
      </c>
    </row>
    <row r="2771" spans="1:33" x14ac:dyDescent="0.25">
      <c r="A2771" t="str">
        <f>"1659533263"</f>
        <v>1659533263</v>
      </c>
      <c r="B2771" t="str">
        <f>"03534181"</f>
        <v>03534181</v>
      </c>
      <c r="C2771" t="s">
        <v>16740</v>
      </c>
      <c r="D2771" t="s">
        <v>2254</v>
      </c>
      <c r="E2771" t="s">
        <v>2255</v>
      </c>
      <c r="H2771" t="s">
        <v>2558</v>
      </c>
      <c r="J2771" t="s">
        <v>16741</v>
      </c>
      <c r="L2771" t="s">
        <v>74</v>
      </c>
      <c r="M2771" t="s">
        <v>75</v>
      </c>
      <c r="R2771" t="s">
        <v>2253</v>
      </c>
      <c r="W2771" t="s">
        <v>2255</v>
      </c>
      <c r="X2771" t="s">
        <v>2256</v>
      </c>
      <c r="Y2771" t="s">
        <v>87</v>
      </c>
      <c r="Z2771" t="s">
        <v>77</v>
      </c>
      <c r="AA2771" t="str">
        <f>"11230-6214"</f>
        <v>11230-6214</v>
      </c>
      <c r="AB2771" t="s">
        <v>78</v>
      </c>
      <c r="AC2771" t="s">
        <v>79</v>
      </c>
      <c r="AD2771" t="s">
        <v>75</v>
      </c>
      <c r="AE2771" t="s">
        <v>80</v>
      </c>
      <c r="AG2771" t="s">
        <v>81</v>
      </c>
    </row>
    <row r="2772" spans="1:33" x14ac:dyDescent="0.25">
      <c r="A2772" t="str">
        <f>"1245303056"</f>
        <v>1245303056</v>
      </c>
      <c r="B2772" t="str">
        <f>"02321162"</f>
        <v>02321162</v>
      </c>
      <c r="C2772" t="s">
        <v>13436</v>
      </c>
      <c r="D2772" t="s">
        <v>16742</v>
      </c>
      <c r="E2772" t="s">
        <v>16743</v>
      </c>
      <c r="G2772" t="s">
        <v>16744</v>
      </c>
      <c r="L2772" t="s">
        <v>83</v>
      </c>
      <c r="M2772" t="s">
        <v>85</v>
      </c>
      <c r="R2772" t="s">
        <v>16745</v>
      </c>
      <c r="W2772" t="s">
        <v>16743</v>
      </c>
      <c r="X2772" t="s">
        <v>191</v>
      </c>
      <c r="Y2772" t="s">
        <v>97</v>
      </c>
      <c r="Z2772" t="s">
        <v>77</v>
      </c>
      <c r="AA2772" t="str">
        <f>"10019-1147"</f>
        <v>10019-1147</v>
      </c>
      <c r="AB2772" t="s">
        <v>78</v>
      </c>
      <c r="AC2772" t="s">
        <v>79</v>
      </c>
      <c r="AD2772" t="s">
        <v>75</v>
      </c>
      <c r="AE2772" t="s">
        <v>80</v>
      </c>
      <c r="AG2772" t="s">
        <v>81</v>
      </c>
    </row>
    <row r="2773" spans="1:33" x14ac:dyDescent="0.25">
      <c r="A2773" t="str">
        <f>"1245304419"</f>
        <v>1245304419</v>
      </c>
      <c r="B2773" t="str">
        <f>"02321873"</f>
        <v>02321873</v>
      </c>
      <c r="C2773" t="s">
        <v>13436</v>
      </c>
      <c r="D2773" t="s">
        <v>16746</v>
      </c>
      <c r="E2773" t="s">
        <v>16747</v>
      </c>
      <c r="G2773" t="s">
        <v>16748</v>
      </c>
      <c r="L2773" t="s">
        <v>74</v>
      </c>
      <c r="M2773" t="s">
        <v>85</v>
      </c>
      <c r="R2773" t="s">
        <v>16749</v>
      </c>
      <c r="W2773" t="s">
        <v>16750</v>
      </c>
      <c r="X2773" t="s">
        <v>181</v>
      </c>
      <c r="Y2773" t="s">
        <v>97</v>
      </c>
      <c r="Z2773" t="s">
        <v>77</v>
      </c>
      <c r="AA2773" t="str">
        <f>"10025-1716"</f>
        <v>10025-1716</v>
      </c>
      <c r="AB2773" t="s">
        <v>78</v>
      </c>
      <c r="AC2773" t="s">
        <v>79</v>
      </c>
      <c r="AD2773" t="s">
        <v>75</v>
      </c>
      <c r="AE2773" t="s">
        <v>80</v>
      </c>
      <c r="AG2773" t="s">
        <v>81</v>
      </c>
    </row>
    <row r="2774" spans="1:33" x14ac:dyDescent="0.25">
      <c r="A2774" t="str">
        <f>"1245381714"</f>
        <v>1245381714</v>
      </c>
      <c r="B2774" t="str">
        <f>"01740578"</f>
        <v>01740578</v>
      </c>
      <c r="C2774" t="s">
        <v>13436</v>
      </c>
      <c r="D2774" t="s">
        <v>16751</v>
      </c>
      <c r="E2774" t="s">
        <v>16752</v>
      </c>
      <c r="G2774" t="s">
        <v>16753</v>
      </c>
      <c r="L2774" t="s">
        <v>84</v>
      </c>
      <c r="M2774" t="s">
        <v>85</v>
      </c>
      <c r="R2774" t="s">
        <v>16754</v>
      </c>
      <c r="W2774" t="s">
        <v>16752</v>
      </c>
      <c r="X2774" t="s">
        <v>1010</v>
      </c>
      <c r="Y2774" t="s">
        <v>97</v>
      </c>
      <c r="Z2774" t="s">
        <v>77</v>
      </c>
      <c r="AA2774" t="str">
        <f>"10035-3832"</f>
        <v>10035-3832</v>
      </c>
      <c r="AB2774" t="s">
        <v>78</v>
      </c>
      <c r="AC2774" t="s">
        <v>79</v>
      </c>
      <c r="AD2774" t="s">
        <v>75</v>
      </c>
      <c r="AE2774" t="s">
        <v>80</v>
      </c>
      <c r="AG2774" t="s">
        <v>81</v>
      </c>
    </row>
    <row r="2775" spans="1:33" x14ac:dyDescent="0.25">
      <c r="A2775" t="str">
        <f>"1255305991"</f>
        <v>1255305991</v>
      </c>
      <c r="B2775" t="str">
        <f>"01747873"</f>
        <v>01747873</v>
      </c>
      <c r="C2775" t="s">
        <v>13436</v>
      </c>
      <c r="D2775" t="s">
        <v>16755</v>
      </c>
      <c r="E2775" t="s">
        <v>16756</v>
      </c>
      <c r="G2775" t="s">
        <v>16757</v>
      </c>
      <c r="L2775" t="s">
        <v>105</v>
      </c>
      <c r="M2775" t="s">
        <v>85</v>
      </c>
      <c r="R2775" t="s">
        <v>16758</v>
      </c>
      <c r="W2775" t="s">
        <v>16756</v>
      </c>
      <c r="X2775" t="s">
        <v>14871</v>
      </c>
      <c r="Y2775" t="s">
        <v>97</v>
      </c>
      <c r="Z2775" t="s">
        <v>77</v>
      </c>
      <c r="AA2775" t="str">
        <f>"10003"</f>
        <v>10003</v>
      </c>
      <c r="AB2775" t="s">
        <v>78</v>
      </c>
      <c r="AC2775" t="s">
        <v>79</v>
      </c>
      <c r="AD2775" t="s">
        <v>75</v>
      </c>
      <c r="AE2775" t="s">
        <v>80</v>
      </c>
      <c r="AG2775" t="s">
        <v>81</v>
      </c>
    </row>
    <row r="2776" spans="1:33" x14ac:dyDescent="0.25">
      <c r="A2776" t="str">
        <f>"1255316121"</f>
        <v>1255316121</v>
      </c>
      <c r="B2776" t="str">
        <f>"02740370"</f>
        <v>02740370</v>
      </c>
      <c r="C2776" t="s">
        <v>13436</v>
      </c>
      <c r="D2776" t="s">
        <v>16759</v>
      </c>
      <c r="E2776" t="s">
        <v>16760</v>
      </c>
      <c r="G2776" t="s">
        <v>16761</v>
      </c>
      <c r="L2776" t="s">
        <v>83</v>
      </c>
      <c r="M2776" t="s">
        <v>85</v>
      </c>
      <c r="R2776" t="s">
        <v>16762</v>
      </c>
      <c r="W2776" t="s">
        <v>16760</v>
      </c>
      <c r="X2776" t="s">
        <v>4640</v>
      </c>
      <c r="Y2776" t="s">
        <v>97</v>
      </c>
      <c r="Z2776" t="s">
        <v>77</v>
      </c>
      <c r="AA2776" t="str">
        <f>"10019-8022"</f>
        <v>10019-8022</v>
      </c>
      <c r="AB2776" t="s">
        <v>78</v>
      </c>
      <c r="AC2776" t="s">
        <v>79</v>
      </c>
      <c r="AD2776" t="s">
        <v>75</v>
      </c>
      <c r="AE2776" t="s">
        <v>80</v>
      </c>
      <c r="AG2776" t="s">
        <v>81</v>
      </c>
    </row>
    <row r="2777" spans="1:33" x14ac:dyDescent="0.25">
      <c r="A2777" t="str">
        <f>"1255401451"</f>
        <v>1255401451</v>
      </c>
      <c r="B2777" t="str">
        <f>"02561071"</f>
        <v>02561071</v>
      </c>
      <c r="C2777" t="s">
        <v>13436</v>
      </c>
      <c r="D2777" t="s">
        <v>6101</v>
      </c>
      <c r="E2777" t="s">
        <v>6102</v>
      </c>
      <c r="G2777" t="s">
        <v>16763</v>
      </c>
      <c r="L2777" t="s">
        <v>94</v>
      </c>
      <c r="M2777" t="s">
        <v>85</v>
      </c>
      <c r="R2777" t="s">
        <v>6103</v>
      </c>
      <c r="W2777" t="s">
        <v>6102</v>
      </c>
      <c r="X2777" t="s">
        <v>258</v>
      </c>
      <c r="Y2777" t="s">
        <v>131</v>
      </c>
      <c r="Z2777" t="s">
        <v>77</v>
      </c>
      <c r="AA2777" t="str">
        <f>"10467-2401"</f>
        <v>10467-2401</v>
      </c>
      <c r="AB2777" t="s">
        <v>78</v>
      </c>
      <c r="AC2777" t="s">
        <v>79</v>
      </c>
      <c r="AD2777" t="s">
        <v>75</v>
      </c>
      <c r="AE2777" t="s">
        <v>80</v>
      </c>
      <c r="AG2777" t="s">
        <v>81</v>
      </c>
    </row>
    <row r="2778" spans="1:33" x14ac:dyDescent="0.25">
      <c r="A2778" t="str">
        <f>"1255422234"</f>
        <v>1255422234</v>
      </c>
      <c r="B2778" t="str">
        <f>"01032282"</f>
        <v>01032282</v>
      </c>
      <c r="C2778" t="s">
        <v>13436</v>
      </c>
      <c r="D2778" t="s">
        <v>16764</v>
      </c>
      <c r="E2778" t="s">
        <v>16765</v>
      </c>
      <c r="G2778" t="s">
        <v>16766</v>
      </c>
      <c r="L2778" t="s">
        <v>83</v>
      </c>
      <c r="M2778" t="s">
        <v>85</v>
      </c>
      <c r="R2778" t="s">
        <v>16767</v>
      </c>
      <c r="W2778" t="s">
        <v>16768</v>
      </c>
      <c r="X2778" t="s">
        <v>16769</v>
      </c>
      <c r="Y2778" t="s">
        <v>97</v>
      </c>
      <c r="Z2778" t="s">
        <v>77</v>
      </c>
      <c r="AA2778" t="str">
        <f>"10019"</f>
        <v>10019</v>
      </c>
      <c r="AB2778" t="s">
        <v>78</v>
      </c>
      <c r="AC2778" t="s">
        <v>79</v>
      </c>
      <c r="AD2778" t="s">
        <v>75</v>
      </c>
      <c r="AE2778" t="s">
        <v>80</v>
      </c>
      <c r="AG2778" t="s">
        <v>81</v>
      </c>
    </row>
    <row r="2779" spans="1:33" x14ac:dyDescent="0.25">
      <c r="A2779" t="str">
        <f>"1780600213"</f>
        <v>1780600213</v>
      </c>
      <c r="B2779" t="str">
        <f>"02441418"</f>
        <v>02441418</v>
      </c>
      <c r="C2779" t="s">
        <v>16770</v>
      </c>
      <c r="D2779" t="s">
        <v>16771</v>
      </c>
      <c r="E2779" t="s">
        <v>16772</v>
      </c>
      <c r="G2779" t="s">
        <v>11047</v>
      </c>
      <c r="H2779" t="s">
        <v>11048</v>
      </c>
      <c r="J2779" t="s">
        <v>11049</v>
      </c>
      <c r="L2779" t="s">
        <v>84</v>
      </c>
      <c r="M2779" t="s">
        <v>75</v>
      </c>
      <c r="R2779" t="s">
        <v>16773</v>
      </c>
      <c r="W2779" t="s">
        <v>16772</v>
      </c>
      <c r="X2779" t="s">
        <v>16774</v>
      </c>
      <c r="Y2779" t="s">
        <v>87</v>
      </c>
      <c r="Z2779" t="s">
        <v>77</v>
      </c>
      <c r="AA2779" t="str">
        <f>"11201-5257"</f>
        <v>11201-5257</v>
      </c>
      <c r="AB2779" t="s">
        <v>78</v>
      </c>
      <c r="AC2779" t="s">
        <v>79</v>
      </c>
      <c r="AD2779" t="s">
        <v>75</v>
      </c>
      <c r="AE2779" t="s">
        <v>80</v>
      </c>
      <c r="AG2779" t="s">
        <v>81</v>
      </c>
    </row>
    <row r="2780" spans="1:33" x14ac:dyDescent="0.25">
      <c r="A2780" t="str">
        <f>"1427274778"</f>
        <v>1427274778</v>
      </c>
      <c r="B2780" t="str">
        <f>"02672104"</f>
        <v>02672104</v>
      </c>
      <c r="C2780" t="s">
        <v>16775</v>
      </c>
      <c r="D2780" t="s">
        <v>16776</v>
      </c>
      <c r="E2780" t="s">
        <v>16777</v>
      </c>
      <c r="G2780" t="s">
        <v>11047</v>
      </c>
      <c r="H2780" t="s">
        <v>11048</v>
      </c>
      <c r="J2780" t="s">
        <v>11049</v>
      </c>
      <c r="L2780" t="s">
        <v>84</v>
      </c>
      <c r="M2780" t="s">
        <v>75</v>
      </c>
      <c r="R2780" t="s">
        <v>16778</v>
      </c>
      <c r="W2780" t="s">
        <v>16779</v>
      </c>
      <c r="X2780" t="s">
        <v>16780</v>
      </c>
      <c r="Y2780" t="s">
        <v>179</v>
      </c>
      <c r="Z2780" t="s">
        <v>77</v>
      </c>
      <c r="AA2780" t="str">
        <f>"11550-6318"</f>
        <v>11550-6318</v>
      </c>
      <c r="AB2780" t="s">
        <v>78</v>
      </c>
      <c r="AC2780" t="s">
        <v>79</v>
      </c>
      <c r="AD2780" t="s">
        <v>75</v>
      </c>
      <c r="AE2780" t="s">
        <v>80</v>
      </c>
      <c r="AG2780" t="s">
        <v>81</v>
      </c>
    </row>
    <row r="2781" spans="1:33" x14ac:dyDescent="0.25">
      <c r="A2781" t="str">
        <f>"1609207851"</f>
        <v>1609207851</v>
      </c>
      <c r="C2781" t="s">
        <v>16781</v>
      </c>
      <c r="G2781" t="s">
        <v>16280</v>
      </c>
      <c r="H2781" t="s">
        <v>16281</v>
      </c>
      <c r="J2781" t="s">
        <v>16282</v>
      </c>
      <c r="K2781" t="s">
        <v>99</v>
      </c>
      <c r="L2781" t="s">
        <v>102</v>
      </c>
      <c r="M2781" t="s">
        <v>75</v>
      </c>
      <c r="R2781" t="s">
        <v>16782</v>
      </c>
      <c r="S2781" t="s">
        <v>5322</v>
      </c>
      <c r="T2781" t="s">
        <v>97</v>
      </c>
      <c r="U2781" t="s">
        <v>77</v>
      </c>
      <c r="V2781" t="str">
        <f>"100112019"</f>
        <v>100112019</v>
      </c>
      <c r="AC2781" t="s">
        <v>79</v>
      </c>
      <c r="AD2781" t="s">
        <v>75</v>
      </c>
      <c r="AE2781" t="s">
        <v>103</v>
      </c>
      <c r="AG2781" t="s">
        <v>81</v>
      </c>
    </row>
    <row r="2782" spans="1:33" x14ac:dyDescent="0.25">
      <c r="A2782" t="str">
        <f>"1487076147"</f>
        <v>1487076147</v>
      </c>
      <c r="C2782" t="s">
        <v>16783</v>
      </c>
      <c r="G2782" t="s">
        <v>16280</v>
      </c>
      <c r="H2782" t="s">
        <v>16281</v>
      </c>
      <c r="J2782" t="s">
        <v>16282</v>
      </c>
      <c r="K2782" t="s">
        <v>99</v>
      </c>
      <c r="L2782" t="s">
        <v>102</v>
      </c>
      <c r="M2782" t="s">
        <v>75</v>
      </c>
      <c r="R2782" t="s">
        <v>16784</v>
      </c>
      <c r="S2782" t="s">
        <v>5322</v>
      </c>
      <c r="T2782" t="s">
        <v>97</v>
      </c>
      <c r="U2782" t="s">
        <v>77</v>
      </c>
      <c r="V2782" t="str">
        <f>"100112019"</f>
        <v>100112019</v>
      </c>
      <c r="AC2782" t="s">
        <v>79</v>
      </c>
      <c r="AD2782" t="s">
        <v>75</v>
      </c>
      <c r="AE2782" t="s">
        <v>103</v>
      </c>
      <c r="AG2782" t="s">
        <v>81</v>
      </c>
    </row>
    <row r="2783" spans="1:33" x14ac:dyDescent="0.25">
      <c r="A2783" t="str">
        <f>"1760803761"</f>
        <v>1760803761</v>
      </c>
      <c r="C2783" t="s">
        <v>16785</v>
      </c>
      <c r="G2783" t="s">
        <v>16280</v>
      </c>
      <c r="H2783" t="s">
        <v>16281</v>
      </c>
      <c r="J2783" t="s">
        <v>16282</v>
      </c>
      <c r="K2783" t="s">
        <v>99</v>
      </c>
      <c r="L2783" t="s">
        <v>102</v>
      </c>
      <c r="M2783" t="s">
        <v>75</v>
      </c>
      <c r="R2783" t="s">
        <v>16786</v>
      </c>
      <c r="S2783" t="s">
        <v>16787</v>
      </c>
      <c r="T2783" t="s">
        <v>97</v>
      </c>
      <c r="U2783" t="s">
        <v>77</v>
      </c>
      <c r="V2783" t="str">
        <f>"10011"</f>
        <v>10011</v>
      </c>
      <c r="AC2783" t="s">
        <v>79</v>
      </c>
      <c r="AD2783" t="s">
        <v>75</v>
      </c>
      <c r="AE2783" t="s">
        <v>103</v>
      </c>
      <c r="AG2783" t="s">
        <v>81</v>
      </c>
    </row>
    <row r="2784" spans="1:33" x14ac:dyDescent="0.25">
      <c r="A2784" t="str">
        <f>"1316368392"</f>
        <v>1316368392</v>
      </c>
      <c r="C2784" t="s">
        <v>16788</v>
      </c>
      <c r="G2784" t="s">
        <v>16280</v>
      </c>
      <c r="H2784" t="s">
        <v>16281</v>
      </c>
      <c r="J2784" t="s">
        <v>16282</v>
      </c>
      <c r="K2784" t="s">
        <v>99</v>
      </c>
      <c r="L2784" t="s">
        <v>102</v>
      </c>
      <c r="M2784" t="s">
        <v>75</v>
      </c>
      <c r="R2784" t="s">
        <v>16789</v>
      </c>
      <c r="S2784" t="s">
        <v>16790</v>
      </c>
      <c r="T2784" t="s">
        <v>97</v>
      </c>
      <c r="U2784" t="s">
        <v>77</v>
      </c>
      <c r="V2784" t="str">
        <f>"100112019"</f>
        <v>100112019</v>
      </c>
      <c r="AC2784" t="s">
        <v>79</v>
      </c>
      <c r="AD2784" t="s">
        <v>75</v>
      </c>
      <c r="AE2784" t="s">
        <v>103</v>
      </c>
      <c r="AG2784" t="s">
        <v>81</v>
      </c>
    </row>
    <row r="2785" spans="1:33" x14ac:dyDescent="0.25">
      <c r="A2785" t="str">
        <f>"1316369010"</f>
        <v>1316369010</v>
      </c>
      <c r="C2785" t="s">
        <v>16791</v>
      </c>
      <c r="G2785" t="s">
        <v>16280</v>
      </c>
      <c r="H2785" t="s">
        <v>16281</v>
      </c>
      <c r="J2785" t="s">
        <v>16282</v>
      </c>
      <c r="K2785" t="s">
        <v>99</v>
      </c>
      <c r="L2785" t="s">
        <v>102</v>
      </c>
      <c r="M2785" t="s">
        <v>75</v>
      </c>
      <c r="R2785" t="s">
        <v>16792</v>
      </c>
      <c r="S2785" t="s">
        <v>16793</v>
      </c>
      <c r="T2785" t="s">
        <v>97</v>
      </c>
      <c r="U2785" t="s">
        <v>77</v>
      </c>
      <c r="V2785" t="str">
        <f>"100112019"</f>
        <v>100112019</v>
      </c>
      <c r="AC2785" t="s">
        <v>79</v>
      </c>
      <c r="AD2785" t="s">
        <v>75</v>
      </c>
      <c r="AE2785" t="s">
        <v>103</v>
      </c>
      <c r="AG2785" t="s">
        <v>81</v>
      </c>
    </row>
    <row r="2786" spans="1:33" x14ac:dyDescent="0.25">
      <c r="A2786" t="str">
        <f>"1710040860"</f>
        <v>1710040860</v>
      </c>
      <c r="B2786" t="str">
        <f>"00706065"</f>
        <v>00706065</v>
      </c>
      <c r="C2786" t="s">
        <v>16794</v>
      </c>
      <c r="D2786" t="s">
        <v>16795</v>
      </c>
      <c r="E2786" t="s">
        <v>16796</v>
      </c>
      <c r="G2786" t="s">
        <v>13504</v>
      </c>
      <c r="H2786" t="s">
        <v>13505</v>
      </c>
      <c r="J2786" t="s">
        <v>13506</v>
      </c>
      <c r="L2786" t="s">
        <v>84</v>
      </c>
      <c r="M2786" t="s">
        <v>75</v>
      </c>
      <c r="R2786" t="s">
        <v>16797</v>
      </c>
      <c r="W2786" t="s">
        <v>16796</v>
      </c>
      <c r="X2786" t="s">
        <v>16798</v>
      </c>
      <c r="Y2786" t="s">
        <v>87</v>
      </c>
      <c r="Z2786" t="s">
        <v>77</v>
      </c>
      <c r="AA2786" t="str">
        <f>"11201-5493"</f>
        <v>11201-5493</v>
      </c>
      <c r="AB2786" t="s">
        <v>78</v>
      </c>
      <c r="AC2786" t="s">
        <v>79</v>
      </c>
      <c r="AD2786" t="s">
        <v>75</v>
      </c>
      <c r="AE2786" t="s">
        <v>80</v>
      </c>
      <c r="AG2786" t="s">
        <v>81</v>
      </c>
    </row>
    <row r="2787" spans="1:33" x14ac:dyDescent="0.25">
      <c r="A2787" t="str">
        <f>"1235122011"</f>
        <v>1235122011</v>
      </c>
      <c r="B2787" t="str">
        <f>"02458226"</f>
        <v>02458226</v>
      </c>
      <c r="C2787" t="s">
        <v>13436</v>
      </c>
      <c r="D2787" t="s">
        <v>16799</v>
      </c>
      <c r="E2787" t="s">
        <v>16800</v>
      </c>
      <c r="G2787" t="s">
        <v>16801</v>
      </c>
      <c r="L2787" t="s">
        <v>83</v>
      </c>
      <c r="M2787" t="s">
        <v>85</v>
      </c>
      <c r="R2787" t="s">
        <v>16802</v>
      </c>
      <c r="W2787" t="s">
        <v>16800</v>
      </c>
      <c r="X2787" t="s">
        <v>191</v>
      </c>
      <c r="Y2787" t="s">
        <v>97</v>
      </c>
      <c r="Z2787" t="s">
        <v>77</v>
      </c>
      <c r="AA2787" t="str">
        <f>"10019-1147"</f>
        <v>10019-1147</v>
      </c>
      <c r="AB2787" t="s">
        <v>78</v>
      </c>
      <c r="AC2787" t="s">
        <v>79</v>
      </c>
      <c r="AD2787" t="s">
        <v>75</v>
      </c>
      <c r="AE2787" t="s">
        <v>80</v>
      </c>
      <c r="AG2787" t="s">
        <v>81</v>
      </c>
    </row>
    <row r="2788" spans="1:33" x14ac:dyDescent="0.25">
      <c r="A2788" t="str">
        <f>"1235145376"</f>
        <v>1235145376</v>
      </c>
      <c r="B2788" t="str">
        <f>"00299647"</f>
        <v>00299647</v>
      </c>
      <c r="C2788" t="s">
        <v>13436</v>
      </c>
      <c r="D2788" t="s">
        <v>16803</v>
      </c>
      <c r="E2788" t="s">
        <v>16804</v>
      </c>
      <c r="G2788" t="s">
        <v>16805</v>
      </c>
      <c r="L2788" t="s">
        <v>83</v>
      </c>
      <c r="M2788" t="s">
        <v>85</v>
      </c>
      <c r="R2788" t="s">
        <v>16806</v>
      </c>
      <c r="W2788" t="s">
        <v>16804</v>
      </c>
      <c r="X2788" t="s">
        <v>16807</v>
      </c>
      <c r="Y2788" t="s">
        <v>97</v>
      </c>
      <c r="Z2788" t="s">
        <v>77</v>
      </c>
      <c r="AA2788" t="str">
        <f>"10037-1802"</f>
        <v>10037-1802</v>
      </c>
      <c r="AB2788" t="s">
        <v>78</v>
      </c>
      <c r="AC2788" t="s">
        <v>79</v>
      </c>
      <c r="AD2788" t="s">
        <v>75</v>
      </c>
      <c r="AE2788" t="s">
        <v>80</v>
      </c>
      <c r="AG2788" t="s">
        <v>81</v>
      </c>
    </row>
    <row r="2789" spans="1:33" x14ac:dyDescent="0.25">
      <c r="A2789" t="str">
        <f>"1235174145"</f>
        <v>1235174145</v>
      </c>
      <c r="B2789" t="str">
        <f>"02913344"</f>
        <v>02913344</v>
      </c>
      <c r="C2789" t="s">
        <v>13436</v>
      </c>
      <c r="D2789" t="s">
        <v>16808</v>
      </c>
      <c r="E2789" t="s">
        <v>16809</v>
      </c>
      <c r="G2789" t="s">
        <v>16810</v>
      </c>
      <c r="L2789" t="s">
        <v>83</v>
      </c>
      <c r="M2789" t="s">
        <v>85</v>
      </c>
      <c r="R2789" t="s">
        <v>16811</v>
      </c>
      <c r="W2789" t="s">
        <v>16809</v>
      </c>
      <c r="X2789" t="s">
        <v>12648</v>
      </c>
      <c r="Y2789" t="s">
        <v>97</v>
      </c>
      <c r="Z2789" t="s">
        <v>77</v>
      </c>
      <c r="AA2789" t="str">
        <f>"10003-0001"</f>
        <v>10003-0001</v>
      </c>
      <c r="AB2789" t="s">
        <v>78</v>
      </c>
      <c r="AC2789" t="s">
        <v>79</v>
      </c>
      <c r="AD2789" t="s">
        <v>75</v>
      </c>
      <c r="AE2789" t="s">
        <v>80</v>
      </c>
      <c r="AG2789" t="s">
        <v>81</v>
      </c>
    </row>
    <row r="2790" spans="1:33" x14ac:dyDescent="0.25">
      <c r="A2790" t="str">
        <f>"1235389784"</f>
        <v>1235389784</v>
      </c>
      <c r="B2790" t="str">
        <f>"03129393"</f>
        <v>03129393</v>
      </c>
      <c r="C2790" t="s">
        <v>13436</v>
      </c>
      <c r="D2790" t="s">
        <v>16812</v>
      </c>
      <c r="E2790" t="s">
        <v>16813</v>
      </c>
      <c r="G2790" t="s">
        <v>16814</v>
      </c>
      <c r="L2790" t="s">
        <v>74</v>
      </c>
      <c r="M2790" t="s">
        <v>85</v>
      </c>
      <c r="R2790" t="s">
        <v>16815</v>
      </c>
      <c r="W2790" t="s">
        <v>16813</v>
      </c>
      <c r="X2790" t="s">
        <v>191</v>
      </c>
      <c r="Y2790" t="s">
        <v>97</v>
      </c>
      <c r="Z2790" t="s">
        <v>77</v>
      </c>
      <c r="AA2790" t="str">
        <f>"10019-1147"</f>
        <v>10019-1147</v>
      </c>
      <c r="AB2790" t="s">
        <v>78</v>
      </c>
      <c r="AC2790" t="s">
        <v>79</v>
      </c>
      <c r="AD2790" t="s">
        <v>75</v>
      </c>
      <c r="AE2790" t="s">
        <v>80</v>
      </c>
      <c r="AG2790" t="s">
        <v>81</v>
      </c>
    </row>
    <row r="2791" spans="1:33" x14ac:dyDescent="0.25">
      <c r="A2791" t="str">
        <f>"1245204809"</f>
        <v>1245204809</v>
      </c>
      <c r="B2791" t="str">
        <f>"02667403"</f>
        <v>02667403</v>
      </c>
      <c r="C2791" t="s">
        <v>13436</v>
      </c>
      <c r="D2791" t="s">
        <v>16816</v>
      </c>
      <c r="E2791" t="s">
        <v>16817</v>
      </c>
      <c r="G2791" t="s">
        <v>16818</v>
      </c>
      <c r="L2791" t="s">
        <v>74</v>
      </c>
      <c r="M2791" t="s">
        <v>85</v>
      </c>
      <c r="R2791" t="s">
        <v>16819</v>
      </c>
      <c r="W2791" t="s">
        <v>16817</v>
      </c>
      <c r="X2791" t="s">
        <v>16820</v>
      </c>
      <c r="Y2791" t="s">
        <v>97</v>
      </c>
      <c r="Z2791" t="s">
        <v>77</v>
      </c>
      <c r="AA2791" t="str">
        <f>"10019-1821"</f>
        <v>10019-1821</v>
      </c>
      <c r="AB2791" t="s">
        <v>78</v>
      </c>
      <c r="AC2791" t="s">
        <v>79</v>
      </c>
      <c r="AD2791" t="s">
        <v>75</v>
      </c>
      <c r="AE2791" t="s">
        <v>80</v>
      </c>
      <c r="AG2791" t="s">
        <v>81</v>
      </c>
    </row>
    <row r="2792" spans="1:33" x14ac:dyDescent="0.25">
      <c r="A2792" t="str">
        <f>"1245211663"</f>
        <v>1245211663</v>
      </c>
      <c r="B2792" t="str">
        <f>"02573435"</f>
        <v>02573435</v>
      </c>
      <c r="C2792" t="s">
        <v>13436</v>
      </c>
      <c r="D2792" t="s">
        <v>16821</v>
      </c>
      <c r="E2792" t="s">
        <v>16822</v>
      </c>
      <c r="G2792" t="s">
        <v>16823</v>
      </c>
      <c r="L2792" t="s">
        <v>83</v>
      </c>
      <c r="M2792" t="s">
        <v>85</v>
      </c>
      <c r="R2792" t="s">
        <v>16824</v>
      </c>
      <c r="W2792" t="s">
        <v>16822</v>
      </c>
      <c r="X2792" t="s">
        <v>2587</v>
      </c>
      <c r="Y2792" t="s">
        <v>97</v>
      </c>
      <c r="Z2792" t="s">
        <v>77</v>
      </c>
      <c r="AA2792" t="str">
        <f>"10003-3314"</f>
        <v>10003-3314</v>
      </c>
      <c r="AB2792" t="s">
        <v>78</v>
      </c>
      <c r="AC2792" t="s">
        <v>79</v>
      </c>
      <c r="AD2792" t="s">
        <v>75</v>
      </c>
      <c r="AE2792" t="s">
        <v>80</v>
      </c>
      <c r="AG2792" t="s">
        <v>81</v>
      </c>
    </row>
    <row r="2793" spans="1:33" x14ac:dyDescent="0.25">
      <c r="A2793" t="str">
        <f>"1245214345"</f>
        <v>1245214345</v>
      </c>
      <c r="B2793" t="str">
        <f>"02549526"</f>
        <v>02549526</v>
      </c>
      <c r="C2793" t="s">
        <v>13436</v>
      </c>
      <c r="D2793" t="s">
        <v>16825</v>
      </c>
      <c r="E2793" t="s">
        <v>16826</v>
      </c>
      <c r="G2793" t="s">
        <v>16827</v>
      </c>
      <c r="L2793" t="s">
        <v>84</v>
      </c>
      <c r="M2793" t="s">
        <v>85</v>
      </c>
      <c r="R2793" t="s">
        <v>16828</v>
      </c>
      <c r="W2793" t="s">
        <v>16826</v>
      </c>
      <c r="X2793" t="s">
        <v>16829</v>
      </c>
      <c r="Y2793" t="s">
        <v>97</v>
      </c>
      <c r="Z2793" t="s">
        <v>77</v>
      </c>
      <c r="AA2793" t="str">
        <f>"10003-3314"</f>
        <v>10003-3314</v>
      </c>
      <c r="AB2793" t="s">
        <v>78</v>
      </c>
      <c r="AC2793" t="s">
        <v>79</v>
      </c>
      <c r="AD2793" t="s">
        <v>75</v>
      </c>
      <c r="AE2793" t="s">
        <v>80</v>
      </c>
      <c r="AG2793" t="s">
        <v>81</v>
      </c>
    </row>
    <row r="2794" spans="1:33" x14ac:dyDescent="0.25">
      <c r="A2794" t="str">
        <f>"1245298033"</f>
        <v>1245298033</v>
      </c>
      <c r="B2794" t="str">
        <f>"01997557"</f>
        <v>01997557</v>
      </c>
      <c r="C2794" t="s">
        <v>13436</v>
      </c>
      <c r="D2794" t="s">
        <v>16830</v>
      </c>
      <c r="E2794" t="s">
        <v>16831</v>
      </c>
      <c r="G2794" t="s">
        <v>16832</v>
      </c>
      <c r="L2794" t="s">
        <v>84</v>
      </c>
      <c r="M2794" t="s">
        <v>85</v>
      </c>
      <c r="R2794" t="s">
        <v>16833</v>
      </c>
      <c r="W2794" t="s">
        <v>16833</v>
      </c>
      <c r="X2794" t="s">
        <v>15724</v>
      </c>
      <c r="Y2794" t="s">
        <v>97</v>
      </c>
      <c r="Z2794" t="s">
        <v>77</v>
      </c>
      <c r="AA2794" t="str">
        <f>"10011-2202"</f>
        <v>10011-2202</v>
      </c>
      <c r="AB2794" t="s">
        <v>78</v>
      </c>
      <c r="AC2794" t="s">
        <v>79</v>
      </c>
      <c r="AD2794" t="s">
        <v>75</v>
      </c>
      <c r="AE2794" t="s">
        <v>80</v>
      </c>
      <c r="AG2794" t="s">
        <v>81</v>
      </c>
    </row>
    <row r="2795" spans="1:33" x14ac:dyDescent="0.25">
      <c r="A2795" t="str">
        <f>"1205192713"</f>
        <v>1205192713</v>
      </c>
      <c r="B2795" t="str">
        <f>"03540594"</f>
        <v>03540594</v>
      </c>
      <c r="C2795" t="s">
        <v>16834</v>
      </c>
      <c r="D2795" t="s">
        <v>16835</v>
      </c>
      <c r="E2795" t="s">
        <v>16836</v>
      </c>
      <c r="G2795" t="s">
        <v>16837</v>
      </c>
      <c r="H2795" t="s">
        <v>16838</v>
      </c>
      <c r="I2795">
        <v>132</v>
      </c>
      <c r="J2795" t="s">
        <v>16839</v>
      </c>
      <c r="L2795" t="s">
        <v>84</v>
      </c>
      <c r="M2795" t="s">
        <v>75</v>
      </c>
      <c r="R2795" t="s">
        <v>16840</v>
      </c>
      <c r="W2795" t="s">
        <v>16836</v>
      </c>
      <c r="X2795" t="s">
        <v>3390</v>
      </c>
      <c r="Y2795" t="s">
        <v>97</v>
      </c>
      <c r="Z2795" t="s">
        <v>77</v>
      </c>
      <c r="AA2795" t="str">
        <f>"10002-4816"</f>
        <v>10002-4816</v>
      </c>
      <c r="AB2795" t="s">
        <v>78</v>
      </c>
      <c r="AC2795" t="s">
        <v>79</v>
      </c>
      <c r="AD2795" t="s">
        <v>75</v>
      </c>
      <c r="AE2795" t="s">
        <v>80</v>
      </c>
      <c r="AG2795" t="s">
        <v>81</v>
      </c>
    </row>
    <row r="2796" spans="1:33" x14ac:dyDescent="0.25">
      <c r="A2796" t="str">
        <f>"1790705127"</f>
        <v>1790705127</v>
      </c>
      <c r="B2796" t="str">
        <f>"03495021"</f>
        <v>03495021</v>
      </c>
      <c r="C2796" t="s">
        <v>16841</v>
      </c>
      <c r="D2796" t="s">
        <v>16842</v>
      </c>
      <c r="E2796" t="s">
        <v>16843</v>
      </c>
      <c r="G2796" t="s">
        <v>16837</v>
      </c>
      <c r="H2796" t="s">
        <v>16838</v>
      </c>
      <c r="I2796">
        <v>132</v>
      </c>
      <c r="J2796" t="s">
        <v>16839</v>
      </c>
      <c r="L2796" t="s">
        <v>83</v>
      </c>
      <c r="M2796" t="s">
        <v>75</v>
      </c>
      <c r="R2796" t="s">
        <v>16843</v>
      </c>
      <c r="W2796" t="s">
        <v>16843</v>
      </c>
      <c r="X2796" t="s">
        <v>3390</v>
      </c>
      <c r="Y2796" t="s">
        <v>97</v>
      </c>
      <c r="Z2796" t="s">
        <v>77</v>
      </c>
      <c r="AA2796" t="str">
        <f>"10002-4816"</f>
        <v>10002-4816</v>
      </c>
      <c r="AB2796" t="s">
        <v>78</v>
      </c>
      <c r="AC2796" t="s">
        <v>79</v>
      </c>
      <c r="AD2796" t="s">
        <v>75</v>
      </c>
      <c r="AE2796" t="s">
        <v>80</v>
      </c>
      <c r="AG2796" t="s">
        <v>81</v>
      </c>
    </row>
    <row r="2797" spans="1:33" x14ac:dyDescent="0.25">
      <c r="A2797" t="str">
        <f>"1104105691"</f>
        <v>1104105691</v>
      </c>
      <c r="B2797" t="str">
        <f>"03824926"</f>
        <v>03824926</v>
      </c>
      <c r="C2797" t="s">
        <v>16844</v>
      </c>
      <c r="D2797" t="s">
        <v>16845</v>
      </c>
      <c r="E2797" t="s">
        <v>16846</v>
      </c>
      <c r="G2797" t="s">
        <v>16837</v>
      </c>
      <c r="H2797" t="s">
        <v>16838</v>
      </c>
      <c r="I2797">
        <v>132</v>
      </c>
      <c r="J2797" t="s">
        <v>16839</v>
      </c>
      <c r="L2797" t="s">
        <v>83</v>
      </c>
      <c r="M2797" t="s">
        <v>75</v>
      </c>
      <c r="R2797" t="s">
        <v>16847</v>
      </c>
      <c r="W2797" t="s">
        <v>16848</v>
      </c>
      <c r="X2797" t="s">
        <v>3390</v>
      </c>
      <c r="Y2797" t="s">
        <v>97</v>
      </c>
      <c r="Z2797" t="s">
        <v>77</v>
      </c>
      <c r="AA2797" t="str">
        <f>"10002-4816"</f>
        <v>10002-4816</v>
      </c>
      <c r="AB2797" t="s">
        <v>114</v>
      </c>
      <c r="AC2797" t="s">
        <v>79</v>
      </c>
      <c r="AD2797" t="s">
        <v>75</v>
      </c>
      <c r="AE2797" t="s">
        <v>80</v>
      </c>
      <c r="AG2797" t="s">
        <v>81</v>
      </c>
    </row>
    <row r="2798" spans="1:33" x14ac:dyDescent="0.25">
      <c r="A2798" t="str">
        <f>"1790050748"</f>
        <v>1790050748</v>
      </c>
      <c r="B2798" t="str">
        <f>"03648877"</f>
        <v>03648877</v>
      </c>
      <c r="C2798" t="s">
        <v>16849</v>
      </c>
      <c r="D2798" t="s">
        <v>16850</v>
      </c>
      <c r="E2798" t="s">
        <v>16851</v>
      </c>
      <c r="G2798" t="s">
        <v>11047</v>
      </c>
      <c r="H2798" t="s">
        <v>11048</v>
      </c>
      <c r="J2798" t="s">
        <v>11049</v>
      </c>
      <c r="L2798" t="s">
        <v>143</v>
      </c>
      <c r="M2798" t="s">
        <v>75</v>
      </c>
      <c r="R2798" t="s">
        <v>16852</v>
      </c>
      <c r="W2798" t="s">
        <v>16851</v>
      </c>
      <c r="X2798" t="s">
        <v>16853</v>
      </c>
      <c r="Y2798" t="s">
        <v>87</v>
      </c>
      <c r="Z2798" t="s">
        <v>77</v>
      </c>
      <c r="AA2798" t="str">
        <f>"11208-2629"</f>
        <v>11208-2629</v>
      </c>
      <c r="AB2798" t="s">
        <v>78</v>
      </c>
      <c r="AC2798" t="s">
        <v>79</v>
      </c>
      <c r="AD2798" t="s">
        <v>75</v>
      </c>
      <c r="AE2798" t="s">
        <v>80</v>
      </c>
      <c r="AG2798" t="s">
        <v>81</v>
      </c>
    </row>
    <row r="2799" spans="1:33" x14ac:dyDescent="0.25">
      <c r="A2799" t="str">
        <f>"1932449162"</f>
        <v>1932449162</v>
      </c>
      <c r="B2799" t="str">
        <f>"03723228"</f>
        <v>03723228</v>
      </c>
      <c r="C2799" t="s">
        <v>16854</v>
      </c>
      <c r="D2799" t="s">
        <v>16855</v>
      </c>
      <c r="E2799" t="s">
        <v>16856</v>
      </c>
      <c r="G2799" t="s">
        <v>11047</v>
      </c>
      <c r="H2799" t="s">
        <v>11048</v>
      </c>
      <c r="J2799" t="s">
        <v>11049</v>
      </c>
      <c r="L2799" t="s">
        <v>105</v>
      </c>
      <c r="M2799" t="s">
        <v>75</v>
      </c>
      <c r="R2799" t="s">
        <v>16857</v>
      </c>
      <c r="W2799" t="s">
        <v>16858</v>
      </c>
      <c r="X2799" t="s">
        <v>16859</v>
      </c>
      <c r="Y2799" t="s">
        <v>97</v>
      </c>
      <c r="Z2799" t="s">
        <v>77</v>
      </c>
      <c r="AA2799" t="str">
        <f>"10004-2209"</f>
        <v>10004-2209</v>
      </c>
      <c r="AB2799" t="s">
        <v>78</v>
      </c>
      <c r="AC2799" t="s">
        <v>79</v>
      </c>
      <c r="AD2799" t="s">
        <v>75</v>
      </c>
      <c r="AE2799" t="s">
        <v>80</v>
      </c>
      <c r="AG2799" t="s">
        <v>81</v>
      </c>
    </row>
    <row r="2800" spans="1:33" x14ac:dyDescent="0.25">
      <c r="A2800" t="str">
        <f>"1053729616"</f>
        <v>1053729616</v>
      </c>
      <c r="B2800" t="str">
        <f>"04038822"</f>
        <v>04038822</v>
      </c>
      <c r="C2800" t="s">
        <v>16860</v>
      </c>
      <c r="D2800" t="s">
        <v>4441</v>
      </c>
      <c r="E2800" t="s">
        <v>4442</v>
      </c>
      <c r="G2800" t="s">
        <v>11047</v>
      </c>
      <c r="H2800" t="s">
        <v>11048</v>
      </c>
      <c r="J2800" t="s">
        <v>11049</v>
      </c>
      <c r="L2800" t="s">
        <v>84</v>
      </c>
      <c r="M2800" t="s">
        <v>75</v>
      </c>
      <c r="R2800" t="s">
        <v>4443</v>
      </c>
      <c r="W2800" t="s">
        <v>4442</v>
      </c>
      <c r="X2800" t="s">
        <v>4444</v>
      </c>
      <c r="Y2800" t="s">
        <v>97</v>
      </c>
      <c r="Z2800" t="s">
        <v>77</v>
      </c>
      <c r="AA2800" t="str">
        <f>"10009-5335"</f>
        <v>10009-5335</v>
      </c>
      <c r="AB2800" t="s">
        <v>78</v>
      </c>
      <c r="AC2800" t="s">
        <v>79</v>
      </c>
      <c r="AD2800" t="s">
        <v>75</v>
      </c>
      <c r="AE2800" t="s">
        <v>80</v>
      </c>
      <c r="AG2800" t="s">
        <v>81</v>
      </c>
    </row>
    <row r="2801" spans="1:33" x14ac:dyDescent="0.25">
      <c r="A2801" t="str">
        <f>"1659350080"</f>
        <v>1659350080</v>
      </c>
      <c r="B2801" t="str">
        <f>"01505540"</f>
        <v>01505540</v>
      </c>
      <c r="C2801" t="s">
        <v>16861</v>
      </c>
      <c r="D2801" t="s">
        <v>3524</v>
      </c>
      <c r="E2801" t="s">
        <v>3525</v>
      </c>
      <c r="G2801" t="s">
        <v>11047</v>
      </c>
      <c r="H2801" t="s">
        <v>11048</v>
      </c>
      <c r="J2801" t="s">
        <v>11049</v>
      </c>
      <c r="L2801" t="s">
        <v>83</v>
      </c>
      <c r="M2801" t="s">
        <v>85</v>
      </c>
      <c r="R2801" t="s">
        <v>3526</v>
      </c>
      <c r="W2801" t="s">
        <v>3525</v>
      </c>
      <c r="X2801" t="s">
        <v>3527</v>
      </c>
      <c r="Y2801" t="s">
        <v>97</v>
      </c>
      <c r="Z2801" t="s">
        <v>77</v>
      </c>
      <c r="AA2801" t="str">
        <f>"10040-3577"</f>
        <v>10040-3577</v>
      </c>
      <c r="AB2801" t="s">
        <v>82</v>
      </c>
      <c r="AC2801" t="s">
        <v>79</v>
      </c>
      <c r="AD2801" t="s">
        <v>75</v>
      </c>
      <c r="AE2801" t="s">
        <v>80</v>
      </c>
      <c r="AG2801" t="s">
        <v>81</v>
      </c>
    </row>
    <row r="2802" spans="1:33" x14ac:dyDescent="0.25">
      <c r="A2802" t="str">
        <f>"1689764631"</f>
        <v>1689764631</v>
      </c>
      <c r="B2802" t="str">
        <f>"02860135"</f>
        <v>02860135</v>
      </c>
      <c r="C2802" t="s">
        <v>16862</v>
      </c>
      <c r="D2802" t="s">
        <v>3728</v>
      </c>
      <c r="E2802" t="s">
        <v>3729</v>
      </c>
      <c r="G2802" t="s">
        <v>11047</v>
      </c>
      <c r="H2802" t="s">
        <v>11048</v>
      </c>
      <c r="J2802" t="s">
        <v>11049</v>
      </c>
      <c r="L2802" t="s">
        <v>74</v>
      </c>
      <c r="M2802" t="s">
        <v>85</v>
      </c>
      <c r="R2802" t="s">
        <v>3730</v>
      </c>
      <c r="W2802" t="s">
        <v>3729</v>
      </c>
      <c r="X2802" t="s">
        <v>1341</v>
      </c>
      <c r="Y2802" t="s">
        <v>131</v>
      </c>
      <c r="Z2802" t="s">
        <v>77</v>
      </c>
      <c r="AA2802" t="str">
        <f>"10459-2417"</f>
        <v>10459-2417</v>
      </c>
      <c r="AB2802" t="s">
        <v>82</v>
      </c>
      <c r="AC2802" t="s">
        <v>79</v>
      </c>
      <c r="AD2802" t="s">
        <v>75</v>
      </c>
      <c r="AE2802" t="s">
        <v>80</v>
      </c>
      <c r="AG2802" t="s">
        <v>81</v>
      </c>
    </row>
    <row r="2803" spans="1:33" x14ac:dyDescent="0.25">
      <c r="A2803" t="str">
        <f>"1861518243"</f>
        <v>1861518243</v>
      </c>
      <c r="C2803" t="s">
        <v>16863</v>
      </c>
      <c r="G2803" t="s">
        <v>7218</v>
      </c>
      <c r="H2803" t="s">
        <v>6801</v>
      </c>
      <c r="I2803">
        <v>6136</v>
      </c>
      <c r="J2803" t="s">
        <v>7219</v>
      </c>
      <c r="K2803" t="s">
        <v>99</v>
      </c>
      <c r="L2803" t="s">
        <v>102</v>
      </c>
      <c r="M2803" t="s">
        <v>75</v>
      </c>
      <c r="R2803" t="s">
        <v>16864</v>
      </c>
      <c r="S2803" t="s">
        <v>16865</v>
      </c>
      <c r="T2803" t="s">
        <v>171</v>
      </c>
      <c r="U2803" t="s">
        <v>77</v>
      </c>
      <c r="V2803" t="str">
        <f>"114321118"</f>
        <v>114321118</v>
      </c>
      <c r="AC2803" t="s">
        <v>79</v>
      </c>
      <c r="AD2803" t="s">
        <v>75</v>
      </c>
      <c r="AE2803" t="s">
        <v>103</v>
      </c>
      <c r="AG2803" t="s">
        <v>81</v>
      </c>
    </row>
    <row r="2804" spans="1:33" x14ac:dyDescent="0.25">
      <c r="A2804" t="str">
        <f>"1861690935"</f>
        <v>1861690935</v>
      </c>
      <c r="C2804" t="s">
        <v>16866</v>
      </c>
      <c r="G2804" t="s">
        <v>7218</v>
      </c>
      <c r="H2804" t="s">
        <v>6801</v>
      </c>
      <c r="I2804">
        <v>6136</v>
      </c>
      <c r="J2804" t="s">
        <v>7219</v>
      </c>
      <c r="K2804" t="s">
        <v>99</v>
      </c>
      <c r="L2804" t="s">
        <v>102</v>
      </c>
      <c r="M2804" t="s">
        <v>75</v>
      </c>
      <c r="R2804" t="s">
        <v>16867</v>
      </c>
      <c r="S2804" t="s">
        <v>6229</v>
      </c>
      <c r="T2804" t="s">
        <v>97</v>
      </c>
      <c r="U2804" t="s">
        <v>77</v>
      </c>
      <c r="V2804" t="str">
        <f>"100012320"</f>
        <v>100012320</v>
      </c>
      <c r="AC2804" t="s">
        <v>79</v>
      </c>
      <c r="AD2804" t="s">
        <v>75</v>
      </c>
      <c r="AE2804" t="s">
        <v>103</v>
      </c>
      <c r="AG2804" t="s">
        <v>81</v>
      </c>
    </row>
    <row r="2805" spans="1:33" x14ac:dyDescent="0.25">
      <c r="A2805" t="str">
        <f>"1861892978"</f>
        <v>1861892978</v>
      </c>
      <c r="C2805" t="s">
        <v>16868</v>
      </c>
      <c r="G2805" t="s">
        <v>7218</v>
      </c>
      <c r="H2805" t="s">
        <v>6801</v>
      </c>
      <c r="I2805">
        <v>6136</v>
      </c>
      <c r="J2805" t="s">
        <v>7219</v>
      </c>
      <c r="K2805" t="s">
        <v>99</v>
      </c>
      <c r="L2805" t="s">
        <v>102</v>
      </c>
      <c r="M2805" t="s">
        <v>75</v>
      </c>
      <c r="R2805" t="s">
        <v>16869</v>
      </c>
      <c r="S2805" t="s">
        <v>14675</v>
      </c>
      <c r="T2805" t="s">
        <v>97</v>
      </c>
      <c r="U2805" t="s">
        <v>77</v>
      </c>
      <c r="V2805" t="str">
        <f>"10001"</f>
        <v>10001</v>
      </c>
      <c r="AC2805" t="s">
        <v>79</v>
      </c>
      <c r="AD2805" t="s">
        <v>75</v>
      </c>
      <c r="AE2805" t="s">
        <v>103</v>
      </c>
      <c r="AG2805" t="s">
        <v>81</v>
      </c>
    </row>
    <row r="2806" spans="1:33" x14ac:dyDescent="0.25">
      <c r="A2806" t="str">
        <f>"1871719534"</f>
        <v>1871719534</v>
      </c>
      <c r="B2806" t="str">
        <f>"03846393"</f>
        <v>03846393</v>
      </c>
      <c r="C2806" t="s">
        <v>16870</v>
      </c>
      <c r="D2806" t="s">
        <v>16871</v>
      </c>
      <c r="E2806" t="s">
        <v>16872</v>
      </c>
      <c r="G2806" t="s">
        <v>7218</v>
      </c>
      <c r="H2806" t="s">
        <v>6801</v>
      </c>
      <c r="I2806">
        <v>6136</v>
      </c>
      <c r="J2806" t="s">
        <v>7219</v>
      </c>
      <c r="L2806" t="s">
        <v>102</v>
      </c>
      <c r="M2806" t="s">
        <v>75</v>
      </c>
      <c r="R2806" t="s">
        <v>16873</v>
      </c>
      <c r="W2806" t="s">
        <v>16872</v>
      </c>
      <c r="X2806" t="s">
        <v>8385</v>
      </c>
      <c r="Y2806" t="s">
        <v>97</v>
      </c>
      <c r="Z2806" t="s">
        <v>77</v>
      </c>
      <c r="AA2806" t="str">
        <f>"10001-2320"</f>
        <v>10001-2320</v>
      </c>
      <c r="AB2806" t="s">
        <v>109</v>
      </c>
      <c r="AC2806" t="s">
        <v>79</v>
      </c>
      <c r="AD2806" t="s">
        <v>75</v>
      </c>
      <c r="AE2806" t="s">
        <v>80</v>
      </c>
      <c r="AG2806" t="s">
        <v>81</v>
      </c>
    </row>
    <row r="2807" spans="1:33" x14ac:dyDescent="0.25">
      <c r="A2807" t="str">
        <f>"1356764740"</f>
        <v>1356764740</v>
      </c>
      <c r="B2807" t="str">
        <f>"03798712"</f>
        <v>03798712</v>
      </c>
      <c r="C2807" t="s">
        <v>16874</v>
      </c>
      <c r="D2807" t="s">
        <v>16875</v>
      </c>
      <c r="E2807" t="s">
        <v>16876</v>
      </c>
      <c r="G2807" t="s">
        <v>11047</v>
      </c>
      <c r="H2807" t="s">
        <v>11048</v>
      </c>
      <c r="J2807" t="s">
        <v>11049</v>
      </c>
      <c r="L2807" t="s">
        <v>84</v>
      </c>
      <c r="M2807" t="s">
        <v>75</v>
      </c>
      <c r="R2807" t="s">
        <v>16876</v>
      </c>
      <c r="W2807" t="s">
        <v>16876</v>
      </c>
      <c r="X2807" t="s">
        <v>11051</v>
      </c>
      <c r="Y2807" t="s">
        <v>87</v>
      </c>
      <c r="Z2807" t="s">
        <v>77</v>
      </c>
      <c r="AA2807" t="str">
        <f>"11208-2629"</f>
        <v>11208-2629</v>
      </c>
      <c r="AB2807" t="s">
        <v>78</v>
      </c>
      <c r="AC2807" t="s">
        <v>79</v>
      </c>
      <c r="AD2807" t="s">
        <v>75</v>
      </c>
      <c r="AE2807" t="s">
        <v>80</v>
      </c>
      <c r="AG2807" t="s">
        <v>81</v>
      </c>
    </row>
    <row r="2808" spans="1:33" x14ac:dyDescent="0.25">
      <c r="A2808" t="str">
        <f>"1144489998"</f>
        <v>1144489998</v>
      </c>
      <c r="B2808" t="str">
        <f>"03267567"</f>
        <v>03267567</v>
      </c>
      <c r="C2808" t="s">
        <v>16877</v>
      </c>
      <c r="D2808" t="s">
        <v>16878</v>
      </c>
      <c r="E2808" t="s">
        <v>16879</v>
      </c>
      <c r="G2808" t="s">
        <v>11047</v>
      </c>
      <c r="H2808" t="s">
        <v>11048</v>
      </c>
      <c r="J2808" t="s">
        <v>11049</v>
      </c>
      <c r="L2808" t="s">
        <v>84</v>
      </c>
      <c r="M2808" t="s">
        <v>75</v>
      </c>
      <c r="R2808" t="s">
        <v>16879</v>
      </c>
      <c r="W2808" t="s">
        <v>16880</v>
      </c>
      <c r="X2808" t="s">
        <v>4688</v>
      </c>
      <c r="Y2808" t="s">
        <v>97</v>
      </c>
      <c r="Z2808" t="s">
        <v>77</v>
      </c>
      <c r="AA2808" t="str">
        <f>"10014-1200"</f>
        <v>10014-1200</v>
      </c>
      <c r="AB2808" t="s">
        <v>78</v>
      </c>
      <c r="AC2808" t="s">
        <v>79</v>
      </c>
      <c r="AD2808" t="s">
        <v>75</v>
      </c>
      <c r="AE2808" t="s">
        <v>80</v>
      </c>
      <c r="AG2808" t="s">
        <v>81</v>
      </c>
    </row>
    <row r="2809" spans="1:33" x14ac:dyDescent="0.25">
      <c r="A2809" t="str">
        <f>"1427283944"</f>
        <v>1427283944</v>
      </c>
      <c r="B2809" t="str">
        <f>"03233887"</f>
        <v>03233887</v>
      </c>
      <c r="C2809" t="s">
        <v>16881</v>
      </c>
      <c r="D2809" t="s">
        <v>3222</v>
      </c>
      <c r="E2809" t="s">
        <v>3223</v>
      </c>
      <c r="G2809" t="s">
        <v>11047</v>
      </c>
      <c r="H2809" t="s">
        <v>11048</v>
      </c>
      <c r="J2809" t="s">
        <v>11049</v>
      </c>
      <c r="L2809" t="s">
        <v>84</v>
      </c>
      <c r="M2809" t="s">
        <v>85</v>
      </c>
      <c r="R2809" t="s">
        <v>3223</v>
      </c>
      <c r="W2809" t="s">
        <v>3224</v>
      </c>
      <c r="X2809" t="s">
        <v>3064</v>
      </c>
      <c r="Y2809" t="s">
        <v>87</v>
      </c>
      <c r="Z2809" t="s">
        <v>77</v>
      </c>
      <c r="AA2809" t="str">
        <f>"11216-3903"</f>
        <v>11216-3903</v>
      </c>
      <c r="AB2809" t="s">
        <v>78</v>
      </c>
      <c r="AC2809" t="s">
        <v>79</v>
      </c>
      <c r="AD2809" t="s">
        <v>75</v>
      </c>
      <c r="AE2809" t="s">
        <v>80</v>
      </c>
      <c r="AG2809" t="s">
        <v>81</v>
      </c>
    </row>
    <row r="2810" spans="1:33" x14ac:dyDescent="0.25">
      <c r="A2810" t="str">
        <f>"1003255670"</f>
        <v>1003255670</v>
      </c>
      <c r="B2810" t="str">
        <f>"03860331"</f>
        <v>03860331</v>
      </c>
      <c r="C2810" t="s">
        <v>16882</v>
      </c>
      <c r="D2810" t="s">
        <v>16883</v>
      </c>
      <c r="E2810" t="s">
        <v>16884</v>
      </c>
      <c r="G2810" t="s">
        <v>11047</v>
      </c>
      <c r="H2810" t="s">
        <v>11048</v>
      </c>
      <c r="J2810" t="s">
        <v>11049</v>
      </c>
      <c r="L2810" t="s">
        <v>84</v>
      </c>
      <c r="M2810" t="s">
        <v>75</v>
      </c>
      <c r="R2810" t="s">
        <v>16885</v>
      </c>
      <c r="W2810" t="s">
        <v>16884</v>
      </c>
      <c r="X2810" t="s">
        <v>4688</v>
      </c>
      <c r="Y2810" t="s">
        <v>97</v>
      </c>
      <c r="Z2810" t="s">
        <v>77</v>
      </c>
      <c r="AA2810" t="str">
        <f>"10014-1200"</f>
        <v>10014-1200</v>
      </c>
      <c r="AB2810" t="s">
        <v>78</v>
      </c>
      <c r="AC2810" t="s">
        <v>79</v>
      </c>
      <c r="AD2810" t="s">
        <v>75</v>
      </c>
      <c r="AE2810" t="s">
        <v>80</v>
      </c>
      <c r="AG2810" t="s">
        <v>81</v>
      </c>
    </row>
    <row r="2811" spans="1:33" x14ac:dyDescent="0.25">
      <c r="A2811" t="str">
        <f>"1598083842"</f>
        <v>1598083842</v>
      </c>
      <c r="B2811" t="str">
        <f>"03563137"</f>
        <v>03563137</v>
      </c>
      <c r="C2811" t="s">
        <v>16886</v>
      </c>
      <c r="D2811" t="s">
        <v>16887</v>
      </c>
      <c r="E2811" t="s">
        <v>16888</v>
      </c>
      <c r="G2811" t="s">
        <v>11047</v>
      </c>
      <c r="H2811" t="s">
        <v>11048</v>
      </c>
      <c r="J2811" t="s">
        <v>11049</v>
      </c>
      <c r="L2811" t="s">
        <v>83</v>
      </c>
      <c r="M2811" t="s">
        <v>75</v>
      </c>
      <c r="R2811" t="s">
        <v>16889</v>
      </c>
      <c r="W2811" t="s">
        <v>16890</v>
      </c>
      <c r="X2811" t="s">
        <v>16891</v>
      </c>
      <c r="Y2811" t="s">
        <v>97</v>
      </c>
      <c r="Z2811" t="s">
        <v>77</v>
      </c>
      <c r="AA2811" t="str">
        <f>"10011-8979"</f>
        <v>10011-8979</v>
      </c>
      <c r="AB2811" t="s">
        <v>78</v>
      </c>
      <c r="AC2811" t="s">
        <v>79</v>
      </c>
      <c r="AD2811" t="s">
        <v>75</v>
      </c>
      <c r="AE2811" t="s">
        <v>80</v>
      </c>
      <c r="AG2811" t="s">
        <v>81</v>
      </c>
    </row>
    <row r="2812" spans="1:33" x14ac:dyDescent="0.25">
      <c r="A2812" t="str">
        <f>"1487705422"</f>
        <v>1487705422</v>
      </c>
      <c r="B2812" t="str">
        <f>"02614042"</f>
        <v>02614042</v>
      </c>
      <c r="C2812" t="s">
        <v>16892</v>
      </c>
      <c r="D2812" t="s">
        <v>16893</v>
      </c>
      <c r="E2812" t="s">
        <v>16894</v>
      </c>
      <c r="G2812" t="s">
        <v>7218</v>
      </c>
      <c r="H2812" t="s">
        <v>6801</v>
      </c>
      <c r="I2812">
        <v>6136</v>
      </c>
      <c r="J2812" t="s">
        <v>7219</v>
      </c>
      <c r="L2812" t="s">
        <v>105</v>
      </c>
      <c r="M2812" t="s">
        <v>75</v>
      </c>
      <c r="R2812" t="s">
        <v>16894</v>
      </c>
      <c r="W2812" t="s">
        <v>16894</v>
      </c>
      <c r="X2812" t="s">
        <v>2997</v>
      </c>
      <c r="Y2812" t="s">
        <v>87</v>
      </c>
      <c r="Z2812" t="s">
        <v>77</v>
      </c>
      <c r="AA2812" t="str">
        <f>"11201-4300"</f>
        <v>11201-4300</v>
      </c>
      <c r="AB2812" t="s">
        <v>125</v>
      </c>
      <c r="AC2812" t="s">
        <v>79</v>
      </c>
      <c r="AD2812" t="s">
        <v>75</v>
      </c>
      <c r="AE2812" t="s">
        <v>80</v>
      </c>
      <c r="AG2812" t="s">
        <v>81</v>
      </c>
    </row>
    <row r="2813" spans="1:33" x14ac:dyDescent="0.25">
      <c r="A2813" t="str">
        <f>"1063835049"</f>
        <v>1063835049</v>
      </c>
      <c r="C2813" t="s">
        <v>16895</v>
      </c>
      <c r="G2813" t="s">
        <v>16280</v>
      </c>
      <c r="H2813" t="s">
        <v>16281</v>
      </c>
      <c r="J2813" t="s">
        <v>16282</v>
      </c>
      <c r="K2813" t="s">
        <v>99</v>
      </c>
      <c r="L2813" t="s">
        <v>102</v>
      </c>
      <c r="M2813" t="s">
        <v>75</v>
      </c>
      <c r="R2813" t="s">
        <v>16896</v>
      </c>
      <c r="S2813" t="s">
        <v>3076</v>
      </c>
      <c r="T2813" t="s">
        <v>97</v>
      </c>
      <c r="U2813" t="s">
        <v>77</v>
      </c>
      <c r="V2813" t="str">
        <f>"100143518"</f>
        <v>100143518</v>
      </c>
      <c r="AC2813" t="s">
        <v>79</v>
      </c>
      <c r="AD2813" t="s">
        <v>75</v>
      </c>
      <c r="AE2813" t="s">
        <v>103</v>
      </c>
      <c r="AG2813" t="s">
        <v>81</v>
      </c>
    </row>
    <row r="2814" spans="1:33" x14ac:dyDescent="0.25">
      <c r="A2814" t="str">
        <f>"1609299452"</f>
        <v>1609299452</v>
      </c>
      <c r="C2814" t="s">
        <v>16897</v>
      </c>
      <c r="G2814" t="s">
        <v>16280</v>
      </c>
      <c r="H2814" t="s">
        <v>16281</v>
      </c>
      <c r="J2814" t="s">
        <v>16282</v>
      </c>
      <c r="K2814" t="s">
        <v>99</v>
      </c>
      <c r="L2814" t="s">
        <v>102</v>
      </c>
      <c r="M2814" t="s">
        <v>75</v>
      </c>
      <c r="R2814" t="s">
        <v>16898</v>
      </c>
      <c r="S2814" t="s">
        <v>3076</v>
      </c>
      <c r="T2814" t="s">
        <v>97</v>
      </c>
      <c r="U2814" t="s">
        <v>77</v>
      </c>
      <c r="V2814" t="str">
        <f>"100143518"</f>
        <v>100143518</v>
      </c>
      <c r="AC2814" t="s">
        <v>79</v>
      </c>
      <c r="AD2814" t="s">
        <v>75</v>
      </c>
      <c r="AE2814" t="s">
        <v>103</v>
      </c>
      <c r="AG2814" t="s">
        <v>81</v>
      </c>
    </row>
    <row r="2815" spans="1:33" x14ac:dyDescent="0.25">
      <c r="A2815" t="str">
        <f>"1891118998"</f>
        <v>1891118998</v>
      </c>
      <c r="C2815" t="s">
        <v>16899</v>
      </c>
      <c r="G2815" t="s">
        <v>16280</v>
      </c>
      <c r="H2815" t="s">
        <v>16281</v>
      </c>
      <c r="J2815" t="s">
        <v>16282</v>
      </c>
      <c r="K2815" t="s">
        <v>99</v>
      </c>
      <c r="L2815" t="s">
        <v>74</v>
      </c>
      <c r="M2815" t="s">
        <v>75</v>
      </c>
      <c r="R2815" t="s">
        <v>16900</v>
      </c>
      <c r="S2815" t="s">
        <v>16901</v>
      </c>
      <c r="T2815" t="s">
        <v>97</v>
      </c>
      <c r="U2815" t="s">
        <v>77</v>
      </c>
      <c r="V2815" t="str">
        <f>"100112019"</f>
        <v>100112019</v>
      </c>
      <c r="AC2815" t="s">
        <v>79</v>
      </c>
      <c r="AD2815" t="s">
        <v>75</v>
      </c>
      <c r="AE2815" t="s">
        <v>103</v>
      </c>
      <c r="AG2815" t="s">
        <v>81</v>
      </c>
    </row>
    <row r="2816" spans="1:33" x14ac:dyDescent="0.25">
      <c r="A2816" t="str">
        <f>"1881852739"</f>
        <v>1881852739</v>
      </c>
      <c r="B2816" t="str">
        <f>"03364936"</f>
        <v>03364936</v>
      </c>
      <c r="C2816" t="s">
        <v>16902</v>
      </c>
      <c r="D2816" t="s">
        <v>16903</v>
      </c>
      <c r="E2816" t="s">
        <v>16904</v>
      </c>
      <c r="G2816" t="s">
        <v>13504</v>
      </c>
      <c r="H2816" t="s">
        <v>13505</v>
      </c>
      <c r="J2816" t="s">
        <v>13506</v>
      </c>
      <c r="L2816" t="s">
        <v>84</v>
      </c>
      <c r="M2816" t="s">
        <v>85</v>
      </c>
      <c r="R2816" t="s">
        <v>16905</v>
      </c>
      <c r="W2816" t="s">
        <v>16904</v>
      </c>
      <c r="X2816" t="s">
        <v>202</v>
      </c>
      <c r="Y2816" t="s">
        <v>87</v>
      </c>
      <c r="Z2816" t="s">
        <v>77</v>
      </c>
      <c r="AA2816" t="str">
        <f>"11201-5425"</f>
        <v>11201-5425</v>
      </c>
      <c r="AB2816" t="s">
        <v>78</v>
      </c>
      <c r="AC2816" t="s">
        <v>79</v>
      </c>
      <c r="AD2816" t="s">
        <v>75</v>
      </c>
      <c r="AE2816" t="s">
        <v>80</v>
      </c>
      <c r="AG2816" t="s">
        <v>81</v>
      </c>
    </row>
    <row r="2817" spans="1:33" x14ac:dyDescent="0.25">
      <c r="A2817" t="str">
        <f>"1952566655"</f>
        <v>1952566655</v>
      </c>
      <c r="B2817" t="str">
        <f>"03423109"</f>
        <v>03423109</v>
      </c>
      <c r="C2817" t="s">
        <v>16906</v>
      </c>
      <c r="D2817" t="s">
        <v>16907</v>
      </c>
      <c r="E2817" t="s">
        <v>16908</v>
      </c>
      <c r="G2817" t="s">
        <v>13504</v>
      </c>
      <c r="H2817" t="s">
        <v>13505</v>
      </c>
      <c r="J2817" t="s">
        <v>13506</v>
      </c>
      <c r="L2817" t="s">
        <v>74</v>
      </c>
      <c r="M2817" t="s">
        <v>75</v>
      </c>
      <c r="R2817" t="s">
        <v>16909</v>
      </c>
      <c r="W2817" t="s">
        <v>16908</v>
      </c>
      <c r="X2817" t="s">
        <v>16910</v>
      </c>
      <c r="Y2817" t="s">
        <v>87</v>
      </c>
      <c r="Z2817" t="s">
        <v>77</v>
      </c>
      <c r="AA2817" t="str">
        <f>"11213-3618"</f>
        <v>11213-3618</v>
      </c>
      <c r="AB2817" t="s">
        <v>78</v>
      </c>
      <c r="AC2817" t="s">
        <v>79</v>
      </c>
      <c r="AD2817" t="s">
        <v>75</v>
      </c>
      <c r="AE2817" t="s">
        <v>80</v>
      </c>
      <c r="AG2817" t="s">
        <v>81</v>
      </c>
    </row>
    <row r="2818" spans="1:33" x14ac:dyDescent="0.25">
      <c r="A2818" t="str">
        <f>"1912167982"</f>
        <v>1912167982</v>
      </c>
      <c r="B2818" t="str">
        <f>"03242688"</f>
        <v>03242688</v>
      </c>
      <c r="C2818" t="s">
        <v>16911</v>
      </c>
      <c r="D2818" t="s">
        <v>16912</v>
      </c>
      <c r="E2818" t="s">
        <v>16913</v>
      </c>
      <c r="G2818" t="s">
        <v>13504</v>
      </c>
      <c r="H2818" t="s">
        <v>13505</v>
      </c>
      <c r="J2818" t="s">
        <v>13506</v>
      </c>
      <c r="L2818" t="s">
        <v>83</v>
      </c>
      <c r="M2818" t="s">
        <v>75</v>
      </c>
      <c r="R2818" t="s">
        <v>16914</v>
      </c>
      <c r="W2818" t="s">
        <v>16915</v>
      </c>
      <c r="X2818" t="s">
        <v>202</v>
      </c>
      <c r="Y2818" t="s">
        <v>87</v>
      </c>
      <c r="Z2818" t="s">
        <v>77</v>
      </c>
      <c r="AA2818" t="str">
        <f>"11201-5425"</f>
        <v>11201-5425</v>
      </c>
      <c r="AB2818" t="s">
        <v>78</v>
      </c>
      <c r="AC2818" t="s">
        <v>79</v>
      </c>
      <c r="AD2818" t="s">
        <v>75</v>
      </c>
      <c r="AE2818" t="s">
        <v>80</v>
      </c>
      <c r="AG2818" t="s">
        <v>81</v>
      </c>
    </row>
    <row r="2819" spans="1:33" x14ac:dyDescent="0.25">
      <c r="A2819" t="str">
        <f>"1710101605"</f>
        <v>1710101605</v>
      </c>
      <c r="B2819" t="str">
        <f>"02966829"</f>
        <v>02966829</v>
      </c>
      <c r="C2819" t="s">
        <v>16916</v>
      </c>
      <c r="D2819" t="s">
        <v>16917</v>
      </c>
      <c r="E2819" t="s">
        <v>16918</v>
      </c>
      <c r="G2819" t="s">
        <v>13504</v>
      </c>
      <c r="H2819" t="s">
        <v>13505</v>
      </c>
      <c r="J2819" t="s">
        <v>13506</v>
      </c>
      <c r="L2819" t="s">
        <v>83</v>
      </c>
      <c r="M2819" t="s">
        <v>75</v>
      </c>
      <c r="R2819" t="s">
        <v>16919</v>
      </c>
      <c r="W2819" t="s">
        <v>16920</v>
      </c>
      <c r="X2819" t="s">
        <v>905</v>
      </c>
      <c r="Y2819" t="s">
        <v>87</v>
      </c>
      <c r="Z2819" t="s">
        <v>77</v>
      </c>
      <c r="AA2819" t="str">
        <f>"11229-1705"</f>
        <v>11229-1705</v>
      </c>
      <c r="AB2819" t="s">
        <v>78</v>
      </c>
      <c r="AC2819" t="s">
        <v>79</v>
      </c>
      <c r="AD2819" t="s">
        <v>75</v>
      </c>
      <c r="AE2819" t="s">
        <v>80</v>
      </c>
      <c r="AG2819" t="s">
        <v>81</v>
      </c>
    </row>
    <row r="2820" spans="1:33" x14ac:dyDescent="0.25">
      <c r="A2820" t="str">
        <f>"1457507360"</f>
        <v>1457507360</v>
      </c>
      <c r="B2820" t="str">
        <f>"03026886"</f>
        <v>03026886</v>
      </c>
      <c r="C2820" t="s">
        <v>16921</v>
      </c>
      <c r="D2820" t="s">
        <v>16922</v>
      </c>
      <c r="E2820" t="s">
        <v>16923</v>
      </c>
      <c r="G2820" t="s">
        <v>13504</v>
      </c>
      <c r="H2820" t="s">
        <v>13505</v>
      </c>
      <c r="J2820" t="s">
        <v>13506</v>
      </c>
      <c r="L2820" t="s">
        <v>83</v>
      </c>
      <c r="M2820" t="s">
        <v>85</v>
      </c>
      <c r="R2820" t="s">
        <v>16923</v>
      </c>
      <c r="W2820" t="s">
        <v>16923</v>
      </c>
      <c r="X2820" t="s">
        <v>202</v>
      </c>
      <c r="Y2820" t="s">
        <v>87</v>
      </c>
      <c r="Z2820" t="s">
        <v>77</v>
      </c>
      <c r="AA2820" t="str">
        <f>"11201-5425"</f>
        <v>11201-5425</v>
      </c>
      <c r="AB2820" t="s">
        <v>78</v>
      </c>
      <c r="AC2820" t="s">
        <v>79</v>
      </c>
      <c r="AD2820" t="s">
        <v>75</v>
      </c>
      <c r="AE2820" t="s">
        <v>80</v>
      </c>
      <c r="AG2820" t="s">
        <v>81</v>
      </c>
    </row>
    <row r="2821" spans="1:33" x14ac:dyDescent="0.25">
      <c r="A2821" t="str">
        <f>"1265602833"</f>
        <v>1265602833</v>
      </c>
      <c r="B2821" t="str">
        <f>"03503317"</f>
        <v>03503317</v>
      </c>
      <c r="C2821" t="s">
        <v>16924</v>
      </c>
      <c r="D2821" t="s">
        <v>16925</v>
      </c>
      <c r="E2821" t="s">
        <v>16926</v>
      </c>
      <c r="G2821" t="s">
        <v>13504</v>
      </c>
      <c r="H2821" t="s">
        <v>13505</v>
      </c>
      <c r="J2821" t="s">
        <v>13506</v>
      </c>
      <c r="L2821" t="s">
        <v>83</v>
      </c>
      <c r="M2821" t="s">
        <v>85</v>
      </c>
      <c r="R2821" t="s">
        <v>16927</v>
      </c>
      <c r="W2821" t="s">
        <v>16928</v>
      </c>
      <c r="X2821" t="s">
        <v>202</v>
      </c>
      <c r="Y2821" t="s">
        <v>87</v>
      </c>
      <c r="Z2821" t="s">
        <v>77</v>
      </c>
      <c r="AA2821" t="str">
        <f>"11201-5425"</f>
        <v>11201-5425</v>
      </c>
      <c r="AB2821" t="s">
        <v>78</v>
      </c>
      <c r="AC2821" t="s">
        <v>79</v>
      </c>
      <c r="AD2821" t="s">
        <v>75</v>
      </c>
      <c r="AE2821" t="s">
        <v>80</v>
      </c>
      <c r="AG2821" t="s">
        <v>81</v>
      </c>
    </row>
    <row r="2822" spans="1:33" x14ac:dyDescent="0.25">
      <c r="A2822" t="str">
        <f>"1992959456"</f>
        <v>1992959456</v>
      </c>
      <c r="B2822" t="str">
        <f>"03241123"</f>
        <v>03241123</v>
      </c>
      <c r="C2822" t="s">
        <v>16929</v>
      </c>
      <c r="D2822" t="s">
        <v>16930</v>
      </c>
      <c r="E2822" t="s">
        <v>16931</v>
      </c>
      <c r="G2822" t="s">
        <v>13504</v>
      </c>
      <c r="H2822" t="s">
        <v>13505</v>
      </c>
      <c r="J2822" t="s">
        <v>13506</v>
      </c>
      <c r="L2822" t="s">
        <v>83</v>
      </c>
      <c r="M2822" t="s">
        <v>75</v>
      </c>
      <c r="R2822" t="s">
        <v>16932</v>
      </c>
      <c r="W2822" t="s">
        <v>16933</v>
      </c>
      <c r="X2822" t="s">
        <v>202</v>
      </c>
      <c r="Y2822" t="s">
        <v>87</v>
      </c>
      <c r="Z2822" t="s">
        <v>77</v>
      </c>
      <c r="AA2822" t="str">
        <f>"11201-5425"</f>
        <v>11201-5425</v>
      </c>
      <c r="AB2822" t="s">
        <v>78</v>
      </c>
      <c r="AC2822" t="s">
        <v>79</v>
      </c>
      <c r="AD2822" t="s">
        <v>75</v>
      </c>
      <c r="AE2822" t="s">
        <v>80</v>
      </c>
      <c r="AG2822" t="s">
        <v>81</v>
      </c>
    </row>
    <row r="2823" spans="1:33" x14ac:dyDescent="0.25">
      <c r="A2823" t="str">
        <f>"1174556930"</f>
        <v>1174556930</v>
      </c>
      <c r="B2823" t="str">
        <f>"01925433"</f>
        <v>01925433</v>
      </c>
      <c r="C2823" t="s">
        <v>13436</v>
      </c>
      <c r="D2823" t="s">
        <v>16934</v>
      </c>
      <c r="E2823" t="s">
        <v>16935</v>
      </c>
      <c r="G2823" t="s">
        <v>16936</v>
      </c>
      <c r="L2823" t="s">
        <v>105</v>
      </c>
      <c r="M2823" t="s">
        <v>85</v>
      </c>
      <c r="R2823" t="s">
        <v>16937</v>
      </c>
      <c r="W2823" t="s">
        <v>16935</v>
      </c>
      <c r="X2823" t="s">
        <v>16938</v>
      </c>
      <c r="Y2823" t="s">
        <v>97</v>
      </c>
      <c r="Z2823" t="s">
        <v>77</v>
      </c>
      <c r="AA2823" t="str">
        <f>"10019-1192"</f>
        <v>10019-1192</v>
      </c>
      <c r="AB2823" t="s">
        <v>78</v>
      </c>
      <c r="AC2823" t="s">
        <v>79</v>
      </c>
      <c r="AD2823" t="s">
        <v>75</v>
      </c>
      <c r="AE2823" t="s">
        <v>80</v>
      </c>
      <c r="AG2823" t="s">
        <v>81</v>
      </c>
    </row>
    <row r="2824" spans="1:33" x14ac:dyDescent="0.25">
      <c r="A2824" t="str">
        <f>"1215958004"</f>
        <v>1215958004</v>
      </c>
      <c r="B2824" t="str">
        <f>"00909779"</f>
        <v>00909779</v>
      </c>
      <c r="C2824" t="s">
        <v>16939</v>
      </c>
      <c r="D2824" t="s">
        <v>16940</v>
      </c>
      <c r="E2824" t="s">
        <v>16941</v>
      </c>
      <c r="G2824" t="s">
        <v>16837</v>
      </c>
      <c r="H2824" t="s">
        <v>16838</v>
      </c>
      <c r="I2824">
        <v>132</v>
      </c>
      <c r="J2824" t="s">
        <v>16839</v>
      </c>
      <c r="L2824" t="s">
        <v>83</v>
      </c>
      <c r="M2824" t="s">
        <v>75</v>
      </c>
      <c r="R2824" t="s">
        <v>16942</v>
      </c>
      <c r="W2824" t="s">
        <v>16941</v>
      </c>
      <c r="X2824" t="s">
        <v>3390</v>
      </c>
      <c r="Y2824" t="s">
        <v>97</v>
      </c>
      <c r="Z2824" t="s">
        <v>77</v>
      </c>
      <c r="AA2824" t="str">
        <f>"10002-4816"</f>
        <v>10002-4816</v>
      </c>
      <c r="AB2824" t="s">
        <v>128</v>
      </c>
      <c r="AC2824" t="s">
        <v>79</v>
      </c>
      <c r="AD2824" t="s">
        <v>75</v>
      </c>
      <c r="AE2824" t="s">
        <v>80</v>
      </c>
      <c r="AG2824" t="s">
        <v>81</v>
      </c>
    </row>
    <row r="2825" spans="1:33" x14ac:dyDescent="0.25">
      <c r="A2825" t="str">
        <f>"1285659227"</f>
        <v>1285659227</v>
      </c>
      <c r="B2825" t="str">
        <f>"01590394"</f>
        <v>01590394</v>
      </c>
      <c r="C2825" t="s">
        <v>16943</v>
      </c>
      <c r="D2825" t="s">
        <v>16944</v>
      </c>
      <c r="E2825" t="s">
        <v>16945</v>
      </c>
      <c r="G2825" t="s">
        <v>16837</v>
      </c>
      <c r="H2825" t="s">
        <v>16838</v>
      </c>
      <c r="I2825">
        <v>132</v>
      </c>
      <c r="J2825" t="s">
        <v>16839</v>
      </c>
      <c r="L2825" t="s">
        <v>83</v>
      </c>
      <c r="M2825" t="s">
        <v>75</v>
      </c>
      <c r="R2825" t="s">
        <v>16946</v>
      </c>
      <c r="W2825" t="s">
        <v>16945</v>
      </c>
      <c r="X2825" t="s">
        <v>16947</v>
      </c>
      <c r="Y2825" t="s">
        <v>313</v>
      </c>
      <c r="Z2825" t="s">
        <v>77</v>
      </c>
      <c r="AA2825" t="str">
        <f>"11428-1834"</f>
        <v>11428-1834</v>
      </c>
      <c r="AB2825" t="s">
        <v>128</v>
      </c>
      <c r="AC2825" t="s">
        <v>79</v>
      </c>
      <c r="AD2825" t="s">
        <v>75</v>
      </c>
      <c r="AE2825" t="s">
        <v>80</v>
      </c>
      <c r="AG2825" t="s">
        <v>81</v>
      </c>
    </row>
    <row r="2826" spans="1:33" x14ac:dyDescent="0.25">
      <c r="A2826" t="str">
        <f>"1205855152"</f>
        <v>1205855152</v>
      </c>
      <c r="B2826" t="str">
        <f>"02791959"</f>
        <v>02791959</v>
      </c>
      <c r="C2826" t="s">
        <v>16948</v>
      </c>
      <c r="D2826" t="s">
        <v>16949</v>
      </c>
      <c r="E2826" t="s">
        <v>16950</v>
      </c>
      <c r="G2826" t="s">
        <v>16837</v>
      </c>
      <c r="H2826" t="s">
        <v>16838</v>
      </c>
      <c r="I2826">
        <v>132</v>
      </c>
      <c r="J2826" t="s">
        <v>16839</v>
      </c>
      <c r="L2826" t="s">
        <v>74</v>
      </c>
      <c r="M2826" t="s">
        <v>75</v>
      </c>
      <c r="R2826" t="s">
        <v>16950</v>
      </c>
      <c r="W2826" t="s">
        <v>16950</v>
      </c>
      <c r="X2826" t="s">
        <v>3390</v>
      </c>
      <c r="Y2826" t="s">
        <v>97</v>
      </c>
      <c r="Z2826" t="s">
        <v>77</v>
      </c>
      <c r="AA2826" t="str">
        <f>"10002-4816"</f>
        <v>10002-4816</v>
      </c>
      <c r="AB2826" t="s">
        <v>82</v>
      </c>
      <c r="AC2826" t="s">
        <v>79</v>
      </c>
      <c r="AD2826" t="s">
        <v>75</v>
      </c>
      <c r="AE2826" t="s">
        <v>80</v>
      </c>
      <c r="AG2826" t="s">
        <v>81</v>
      </c>
    </row>
    <row r="2827" spans="1:33" x14ac:dyDescent="0.25">
      <c r="A2827" t="str">
        <f>"1639329998"</f>
        <v>1639329998</v>
      </c>
      <c r="B2827" t="str">
        <f>"03301860"</f>
        <v>03301860</v>
      </c>
      <c r="C2827" t="s">
        <v>16951</v>
      </c>
      <c r="D2827" t="s">
        <v>16952</v>
      </c>
      <c r="E2827" t="s">
        <v>16953</v>
      </c>
      <c r="G2827" t="s">
        <v>16837</v>
      </c>
      <c r="H2827" t="s">
        <v>16838</v>
      </c>
      <c r="I2827">
        <v>132</v>
      </c>
      <c r="J2827" t="s">
        <v>16839</v>
      </c>
      <c r="L2827" t="s">
        <v>74</v>
      </c>
      <c r="M2827" t="s">
        <v>75</v>
      </c>
      <c r="R2827" t="s">
        <v>16953</v>
      </c>
      <c r="W2827" t="s">
        <v>16953</v>
      </c>
      <c r="X2827" t="s">
        <v>3390</v>
      </c>
      <c r="Y2827" t="s">
        <v>97</v>
      </c>
      <c r="Z2827" t="s">
        <v>77</v>
      </c>
      <c r="AA2827" t="str">
        <f>"10002-4816"</f>
        <v>10002-4816</v>
      </c>
      <c r="AB2827" t="s">
        <v>109</v>
      </c>
      <c r="AC2827" t="s">
        <v>79</v>
      </c>
      <c r="AD2827" t="s">
        <v>75</v>
      </c>
      <c r="AE2827" t="s">
        <v>80</v>
      </c>
      <c r="AG2827" t="s">
        <v>81</v>
      </c>
    </row>
    <row r="2828" spans="1:33" x14ac:dyDescent="0.25">
      <c r="A2828" t="str">
        <f>"1730151218"</f>
        <v>1730151218</v>
      </c>
      <c r="B2828" t="str">
        <f>"01688375"</f>
        <v>01688375</v>
      </c>
      <c r="C2828" t="s">
        <v>16954</v>
      </c>
      <c r="D2828" t="s">
        <v>16955</v>
      </c>
      <c r="E2828" t="s">
        <v>16956</v>
      </c>
      <c r="G2828" t="s">
        <v>13504</v>
      </c>
      <c r="H2828" t="s">
        <v>13505</v>
      </c>
      <c r="J2828" t="s">
        <v>13506</v>
      </c>
      <c r="L2828" t="s">
        <v>83</v>
      </c>
      <c r="M2828" t="s">
        <v>75</v>
      </c>
      <c r="R2828" t="s">
        <v>16957</v>
      </c>
      <c r="W2828" t="s">
        <v>16958</v>
      </c>
      <c r="X2828" t="s">
        <v>16959</v>
      </c>
      <c r="Y2828" t="s">
        <v>87</v>
      </c>
      <c r="Z2828" t="s">
        <v>77</v>
      </c>
      <c r="AA2828" t="str">
        <f>"11235-3994"</f>
        <v>11235-3994</v>
      </c>
      <c r="AB2828" t="s">
        <v>78</v>
      </c>
      <c r="AC2828" t="s">
        <v>79</v>
      </c>
      <c r="AD2828" t="s">
        <v>75</v>
      </c>
      <c r="AE2828" t="s">
        <v>80</v>
      </c>
      <c r="AG2828" t="s">
        <v>81</v>
      </c>
    </row>
    <row r="2829" spans="1:33" x14ac:dyDescent="0.25">
      <c r="A2829" t="str">
        <f>"1760439764"</f>
        <v>1760439764</v>
      </c>
      <c r="B2829" t="str">
        <f>"01761559"</f>
        <v>01761559</v>
      </c>
      <c r="C2829" t="s">
        <v>16960</v>
      </c>
      <c r="D2829" t="s">
        <v>16961</v>
      </c>
      <c r="E2829" t="s">
        <v>16962</v>
      </c>
      <c r="G2829" t="s">
        <v>13504</v>
      </c>
      <c r="H2829" t="s">
        <v>13505</v>
      </c>
      <c r="J2829" t="s">
        <v>13506</v>
      </c>
      <c r="L2829" t="s">
        <v>74</v>
      </c>
      <c r="M2829" t="s">
        <v>85</v>
      </c>
      <c r="R2829" t="s">
        <v>16963</v>
      </c>
      <c r="W2829" t="s">
        <v>16962</v>
      </c>
      <c r="X2829" t="s">
        <v>202</v>
      </c>
      <c r="Y2829" t="s">
        <v>87</v>
      </c>
      <c r="Z2829" t="s">
        <v>77</v>
      </c>
      <c r="AA2829" t="str">
        <f>"11201-5425"</f>
        <v>11201-5425</v>
      </c>
      <c r="AB2829" t="s">
        <v>78</v>
      </c>
      <c r="AC2829" t="s">
        <v>79</v>
      </c>
      <c r="AD2829" t="s">
        <v>75</v>
      </c>
      <c r="AE2829" t="s">
        <v>80</v>
      </c>
      <c r="AG2829" t="s">
        <v>81</v>
      </c>
    </row>
    <row r="2830" spans="1:33" x14ac:dyDescent="0.25">
      <c r="A2830" t="str">
        <f>"1669478814"</f>
        <v>1669478814</v>
      </c>
      <c r="C2830" t="s">
        <v>16964</v>
      </c>
      <c r="G2830" t="s">
        <v>13504</v>
      </c>
      <c r="H2830" t="s">
        <v>13505</v>
      </c>
      <c r="J2830" t="s">
        <v>13506</v>
      </c>
      <c r="K2830" t="s">
        <v>99</v>
      </c>
      <c r="L2830" t="s">
        <v>74</v>
      </c>
      <c r="M2830" t="s">
        <v>75</v>
      </c>
      <c r="R2830" t="s">
        <v>16965</v>
      </c>
      <c r="S2830" t="s">
        <v>187</v>
      </c>
      <c r="T2830" t="s">
        <v>161</v>
      </c>
      <c r="U2830" t="s">
        <v>77</v>
      </c>
      <c r="V2830" t="str">
        <f>"110401433"</f>
        <v>110401433</v>
      </c>
      <c r="AC2830" t="s">
        <v>79</v>
      </c>
      <c r="AD2830" t="s">
        <v>75</v>
      </c>
      <c r="AE2830" t="s">
        <v>103</v>
      </c>
      <c r="AG2830" t="s">
        <v>81</v>
      </c>
    </row>
    <row r="2831" spans="1:33" x14ac:dyDescent="0.25">
      <c r="A2831" t="str">
        <f>"1265679229"</f>
        <v>1265679229</v>
      </c>
      <c r="C2831" t="s">
        <v>16966</v>
      </c>
      <c r="G2831" t="s">
        <v>13504</v>
      </c>
      <c r="H2831" t="s">
        <v>13505</v>
      </c>
      <c r="J2831" t="s">
        <v>13506</v>
      </c>
      <c r="K2831" t="s">
        <v>99</v>
      </c>
      <c r="L2831" t="s">
        <v>102</v>
      </c>
      <c r="M2831" t="s">
        <v>75</v>
      </c>
      <c r="R2831" t="s">
        <v>605</v>
      </c>
      <c r="S2831" t="s">
        <v>16967</v>
      </c>
      <c r="T2831" t="s">
        <v>171</v>
      </c>
      <c r="U2831" t="s">
        <v>77</v>
      </c>
      <c r="V2831" t="str">
        <f>"11418"</f>
        <v>11418</v>
      </c>
      <c r="AC2831" t="s">
        <v>79</v>
      </c>
      <c r="AD2831" t="s">
        <v>75</v>
      </c>
      <c r="AE2831" t="s">
        <v>103</v>
      </c>
      <c r="AG2831" t="s">
        <v>81</v>
      </c>
    </row>
    <row r="2832" spans="1:33" x14ac:dyDescent="0.25">
      <c r="A2832" t="str">
        <f>"1184830036"</f>
        <v>1184830036</v>
      </c>
      <c r="B2832" t="str">
        <f>"03276771"</f>
        <v>03276771</v>
      </c>
      <c r="C2832" t="s">
        <v>16968</v>
      </c>
      <c r="D2832" t="s">
        <v>16969</v>
      </c>
      <c r="E2832" t="s">
        <v>16970</v>
      </c>
      <c r="G2832" t="s">
        <v>13504</v>
      </c>
      <c r="H2832" t="s">
        <v>13505</v>
      </c>
      <c r="J2832" t="s">
        <v>13506</v>
      </c>
      <c r="L2832" t="s">
        <v>83</v>
      </c>
      <c r="M2832" t="s">
        <v>85</v>
      </c>
      <c r="R2832" t="s">
        <v>16971</v>
      </c>
      <c r="W2832" t="s">
        <v>16972</v>
      </c>
      <c r="X2832" t="s">
        <v>202</v>
      </c>
      <c r="Y2832" t="s">
        <v>87</v>
      </c>
      <c r="Z2832" t="s">
        <v>77</v>
      </c>
      <c r="AA2832" t="str">
        <f>"11201-5425"</f>
        <v>11201-5425</v>
      </c>
      <c r="AB2832" t="s">
        <v>78</v>
      </c>
      <c r="AC2832" t="s">
        <v>79</v>
      </c>
      <c r="AD2832" t="s">
        <v>75</v>
      </c>
      <c r="AE2832" t="s">
        <v>80</v>
      </c>
      <c r="AG2832" t="s">
        <v>81</v>
      </c>
    </row>
    <row r="2833" spans="1:33" x14ac:dyDescent="0.25">
      <c r="A2833" t="str">
        <f>"1285797266"</f>
        <v>1285797266</v>
      </c>
      <c r="C2833" t="s">
        <v>16973</v>
      </c>
      <c r="G2833" t="s">
        <v>13504</v>
      </c>
      <c r="H2833" t="s">
        <v>13505</v>
      </c>
      <c r="J2833" t="s">
        <v>13506</v>
      </c>
      <c r="K2833" t="s">
        <v>99</v>
      </c>
      <c r="L2833" t="s">
        <v>102</v>
      </c>
      <c r="M2833" t="s">
        <v>75</v>
      </c>
      <c r="R2833" t="s">
        <v>16974</v>
      </c>
      <c r="S2833" t="s">
        <v>16975</v>
      </c>
      <c r="T2833" t="s">
        <v>87</v>
      </c>
      <c r="U2833" t="s">
        <v>77</v>
      </c>
      <c r="V2833" t="str">
        <f>"11215"</f>
        <v>11215</v>
      </c>
      <c r="AC2833" t="s">
        <v>79</v>
      </c>
      <c r="AD2833" t="s">
        <v>75</v>
      </c>
      <c r="AE2833" t="s">
        <v>103</v>
      </c>
      <c r="AG2833" t="s">
        <v>81</v>
      </c>
    </row>
    <row r="2834" spans="1:33" x14ac:dyDescent="0.25">
      <c r="A2834" t="str">
        <f>"1467503235"</f>
        <v>1467503235</v>
      </c>
      <c r="C2834" t="s">
        <v>16976</v>
      </c>
      <c r="G2834" t="s">
        <v>13504</v>
      </c>
      <c r="H2834" t="s">
        <v>13505</v>
      </c>
      <c r="J2834" t="s">
        <v>13506</v>
      </c>
      <c r="K2834" t="s">
        <v>99</v>
      </c>
      <c r="L2834" t="s">
        <v>74</v>
      </c>
      <c r="M2834" t="s">
        <v>75</v>
      </c>
      <c r="R2834" t="s">
        <v>16977</v>
      </c>
      <c r="S2834" t="s">
        <v>16978</v>
      </c>
      <c r="T2834" t="s">
        <v>487</v>
      </c>
      <c r="U2834" t="s">
        <v>77</v>
      </c>
      <c r="V2834" t="str">
        <f>"114361822"</f>
        <v>114361822</v>
      </c>
      <c r="AC2834" t="s">
        <v>79</v>
      </c>
      <c r="AD2834" t="s">
        <v>75</v>
      </c>
      <c r="AE2834" t="s">
        <v>103</v>
      </c>
      <c r="AG2834" t="s">
        <v>81</v>
      </c>
    </row>
    <row r="2835" spans="1:33" x14ac:dyDescent="0.25">
      <c r="A2835" t="str">
        <f>"1346246378"</f>
        <v>1346246378</v>
      </c>
      <c r="C2835" t="s">
        <v>16979</v>
      </c>
      <c r="G2835" t="s">
        <v>13504</v>
      </c>
      <c r="H2835" t="s">
        <v>13505</v>
      </c>
      <c r="J2835" t="s">
        <v>13506</v>
      </c>
      <c r="K2835" t="s">
        <v>99</v>
      </c>
      <c r="L2835" t="s">
        <v>74</v>
      </c>
      <c r="M2835" t="s">
        <v>75</v>
      </c>
      <c r="R2835" t="s">
        <v>16980</v>
      </c>
      <c r="S2835" t="s">
        <v>16981</v>
      </c>
      <c r="T2835" t="s">
        <v>131</v>
      </c>
      <c r="U2835" t="s">
        <v>77</v>
      </c>
      <c r="V2835" t="str">
        <f>"104752661"</f>
        <v>104752661</v>
      </c>
      <c r="AC2835" t="s">
        <v>79</v>
      </c>
      <c r="AD2835" t="s">
        <v>75</v>
      </c>
      <c r="AE2835" t="s">
        <v>103</v>
      </c>
      <c r="AG2835" t="s">
        <v>81</v>
      </c>
    </row>
    <row r="2836" spans="1:33" x14ac:dyDescent="0.25">
      <c r="A2836" t="str">
        <f>"1396180360"</f>
        <v>1396180360</v>
      </c>
      <c r="B2836" t="str">
        <f>"03784003"</f>
        <v>03784003</v>
      </c>
      <c r="C2836" t="s">
        <v>16982</v>
      </c>
      <c r="D2836" t="s">
        <v>16983</v>
      </c>
      <c r="E2836" t="s">
        <v>16984</v>
      </c>
      <c r="G2836" t="s">
        <v>13504</v>
      </c>
      <c r="H2836" t="s">
        <v>13505</v>
      </c>
      <c r="J2836" t="s">
        <v>13506</v>
      </c>
      <c r="L2836" t="s">
        <v>84</v>
      </c>
      <c r="M2836" t="s">
        <v>75</v>
      </c>
      <c r="R2836" t="s">
        <v>16984</v>
      </c>
      <c r="W2836" t="s">
        <v>16985</v>
      </c>
      <c r="X2836" t="s">
        <v>14532</v>
      </c>
      <c r="Y2836" t="s">
        <v>87</v>
      </c>
      <c r="Z2836" t="s">
        <v>77</v>
      </c>
      <c r="AA2836" t="str">
        <f>"11205-4924"</f>
        <v>11205-4924</v>
      </c>
      <c r="AB2836" t="s">
        <v>78</v>
      </c>
      <c r="AC2836" t="s">
        <v>79</v>
      </c>
      <c r="AD2836" t="s">
        <v>75</v>
      </c>
      <c r="AE2836" t="s">
        <v>80</v>
      </c>
      <c r="AG2836" t="s">
        <v>81</v>
      </c>
    </row>
    <row r="2837" spans="1:33" x14ac:dyDescent="0.25">
      <c r="A2837" t="str">
        <f>"1427490556"</f>
        <v>1427490556</v>
      </c>
      <c r="B2837" t="str">
        <f>"03736945"</f>
        <v>03736945</v>
      </c>
      <c r="C2837" t="s">
        <v>16986</v>
      </c>
      <c r="D2837" t="s">
        <v>16987</v>
      </c>
      <c r="E2837" t="s">
        <v>16988</v>
      </c>
      <c r="G2837" t="s">
        <v>13504</v>
      </c>
      <c r="H2837" t="s">
        <v>13505</v>
      </c>
      <c r="J2837" t="s">
        <v>13506</v>
      </c>
      <c r="L2837" t="s">
        <v>83</v>
      </c>
      <c r="M2837" t="s">
        <v>75</v>
      </c>
      <c r="R2837" t="s">
        <v>16989</v>
      </c>
      <c r="W2837" t="s">
        <v>16988</v>
      </c>
      <c r="X2837" t="s">
        <v>15405</v>
      </c>
      <c r="Y2837" t="s">
        <v>87</v>
      </c>
      <c r="Z2837" t="s">
        <v>77</v>
      </c>
      <c r="AA2837" t="str">
        <f>"11225-5006"</f>
        <v>11225-5006</v>
      </c>
      <c r="AB2837" t="s">
        <v>78</v>
      </c>
      <c r="AC2837" t="s">
        <v>79</v>
      </c>
      <c r="AD2837" t="s">
        <v>75</v>
      </c>
      <c r="AE2837" t="s">
        <v>80</v>
      </c>
      <c r="AG2837" t="s">
        <v>81</v>
      </c>
    </row>
    <row r="2838" spans="1:33" x14ac:dyDescent="0.25">
      <c r="A2838" t="str">
        <f>"1003162637"</f>
        <v>1003162637</v>
      </c>
      <c r="B2838" t="str">
        <f>"03782510"</f>
        <v>03782510</v>
      </c>
      <c r="C2838" t="s">
        <v>16990</v>
      </c>
      <c r="D2838" t="s">
        <v>16991</v>
      </c>
      <c r="E2838" t="s">
        <v>16992</v>
      </c>
      <c r="G2838" t="s">
        <v>13504</v>
      </c>
      <c r="H2838" t="s">
        <v>13505</v>
      </c>
      <c r="J2838" t="s">
        <v>13506</v>
      </c>
      <c r="L2838" t="s">
        <v>94</v>
      </c>
      <c r="M2838" t="s">
        <v>75</v>
      </c>
      <c r="R2838" t="s">
        <v>16992</v>
      </c>
      <c r="W2838" t="s">
        <v>16993</v>
      </c>
      <c r="X2838" t="s">
        <v>202</v>
      </c>
      <c r="Y2838" t="s">
        <v>87</v>
      </c>
      <c r="Z2838" t="s">
        <v>77</v>
      </c>
      <c r="AA2838" t="str">
        <f>"11201-5425"</f>
        <v>11201-5425</v>
      </c>
      <c r="AB2838" t="s">
        <v>78</v>
      </c>
      <c r="AC2838" t="s">
        <v>79</v>
      </c>
      <c r="AD2838" t="s">
        <v>75</v>
      </c>
      <c r="AE2838" t="s">
        <v>80</v>
      </c>
      <c r="AG2838" t="s">
        <v>81</v>
      </c>
    </row>
    <row r="2839" spans="1:33" x14ac:dyDescent="0.25">
      <c r="A2839" t="str">
        <f>"1518193150"</f>
        <v>1518193150</v>
      </c>
      <c r="B2839" t="str">
        <f>"03756705"</f>
        <v>03756705</v>
      </c>
      <c r="C2839" t="s">
        <v>16994</v>
      </c>
      <c r="D2839" t="s">
        <v>16995</v>
      </c>
      <c r="E2839" t="s">
        <v>16996</v>
      </c>
      <c r="G2839" t="s">
        <v>13504</v>
      </c>
      <c r="H2839" t="s">
        <v>13505</v>
      </c>
      <c r="J2839" t="s">
        <v>13506</v>
      </c>
      <c r="L2839" t="s">
        <v>84</v>
      </c>
      <c r="M2839" t="s">
        <v>75</v>
      </c>
      <c r="R2839" t="s">
        <v>16997</v>
      </c>
      <c r="W2839" t="s">
        <v>16996</v>
      </c>
      <c r="X2839" t="s">
        <v>16998</v>
      </c>
      <c r="Y2839" t="s">
        <v>87</v>
      </c>
      <c r="Z2839" t="s">
        <v>77</v>
      </c>
      <c r="AA2839" t="str">
        <f>"11208-2630"</f>
        <v>11208-2630</v>
      </c>
      <c r="AB2839" t="s">
        <v>78</v>
      </c>
      <c r="AC2839" t="s">
        <v>79</v>
      </c>
      <c r="AD2839" t="s">
        <v>75</v>
      </c>
      <c r="AE2839" t="s">
        <v>80</v>
      </c>
      <c r="AG2839" t="s">
        <v>81</v>
      </c>
    </row>
    <row r="2840" spans="1:33" x14ac:dyDescent="0.25">
      <c r="A2840" t="str">
        <f>"1316253545"</f>
        <v>1316253545</v>
      </c>
      <c r="B2840" t="str">
        <f>"03650722"</f>
        <v>03650722</v>
      </c>
      <c r="C2840" t="s">
        <v>16999</v>
      </c>
      <c r="D2840" t="s">
        <v>17000</v>
      </c>
      <c r="E2840" t="s">
        <v>17001</v>
      </c>
      <c r="G2840" t="s">
        <v>13504</v>
      </c>
      <c r="H2840" t="s">
        <v>13505</v>
      </c>
      <c r="J2840" t="s">
        <v>13506</v>
      </c>
      <c r="L2840" t="s">
        <v>74</v>
      </c>
      <c r="M2840" t="s">
        <v>75</v>
      </c>
      <c r="R2840" t="s">
        <v>17001</v>
      </c>
      <c r="W2840" t="s">
        <v>17001</v>
      </c>
      <c r="X2840" t="s">
        <v>202</v>
      </c>
      <c r="Y2840" t="s">
        <v>87</v>
      </c>
      <c r="Z2840" t="s">
        <v>77</v>
      </c>
      <c r="AA2840" t="str">
        <f>"11201-5425"</f>
        <v>11201-5425</v>
      </c>
      <c r="AB2840" t="s">
        <v>78</v>
      </c>
      <c r="AC2840" t="s">
        <v>79</v>
      </c>
      <c r="AD2840" t="s">
        <v>75</v>
      </c>
      <c r="AE2840" t="s">
        <v>80</v>
      </c>
      <c r="AG2840" t="s">
        <v>81</v>
      </c>
    </row>
    <row r="2841" spans="1:33" x14ac:dyDescent="0.25">
      <c r="A2841" t="str">
        <f>"1902953854"</f>
        <v>1902953854</v>
      </c>
      <c r="B2841" t="str">
        <f>"03688497"</f>
        <v>03688497</v>
      </c>
      <c r="C2841" t="s">
        <v>17002</v>
      </c>
      <c r="D2841" t="s">
        <v>17003</v>
      </c>
      <c r="E2841" t="s">
        <v>17004</v>
      </c>
      <c r="G2841" t="s">
        <v>13504</v>
      </c>
      <c r="H2841" t="s">
        <v>13505</v>
      </c>
      <c r="J2841" t="s">
        <v>13506</v>
      </c>
      <c r="L2841" t="s">
        <v>83</v>
      </c>
      <c r="M2841" t="s">
        <v>75</v>
      </c>
      <c r="R2841" t="s">
        <v>17005</v>
      </c>
      <c r="W2841" t="s">
        <v>17004</v>
      </c>
      <c r="X2841" t="s">
        <v>204</v>
      </c>
      <c r="Y2841" t="s">
        <v>97</v>
      </c>
      <c r="Z2841" t="s">
        <v>77</v>
      </c>
      <c r="AA2841" t="str">
        <f>"10065-4870"</f>
        <v>10065-4870</v>
      </c>
      <c r="AB2841" t="s">
        <v>78</v>
      </c>
      <c r="AC2841" t="s">
        <v>79</v>
      </c>
      <c r="AD2841" t="s">
        <v>75</v>
      </c>
      <c r="AE2841" t="s">
        <v>80</v>
      </c>
      <c r="AG2841" t="s">
        <v>81</v>
      </c>
    </row>
    <row r="2842" spans="1:33" x14ac:dyDescent="0.25">
      <c r="A2842" t="str">
        <f>"1295019198"</f>
        <v>1295019198</v>
      </c>
      <c r="B2842" t="str">
        <f>"03723815"</f>
        <v>03723815</v>
      </c>
      <c r="C2842" t="s">
        <v>17006</v>
      </c>
      <c r="D2842" t="s">
        <v>17007</v>
      </c>
      <c r="E2842" t="s">
        <v>17008</v>
      </c>
      <c r="G2842" t="s">
        <v>13504</v>
      </c>
      <c r="H2842" t="s">
        <v>13505</v>
      </c>
      <c r="J2842" t="s">
        <v>13506</v>
      </c>
      <c r="L2842" t="s">
        <v>84</v>
      </c>
      <c r="M2842" t="s">
        <v>85</v>
      </c>
      <c r="R2842" t="s">
        <v>17009</v>
      </c>
      <c r="W2842" t="s">
        <v>17008</v>
      </c>
      <c r="X2842" t="s">
        <v>17010</v>
      </c>
      <c r="Y2842" t="s">
        <v>87</v>
      </c>
      <c r="Z2842" t="s">
        <v>77</v>
      </c>
      <c r="AA2842" t="str">
        <f>"11221-2906"</f>
        <v>11221-2906</v>
      </c>
      <c r="AB2842" t="s">
        <v>78</v>
      </c>
      <c r="AC2842" t="s">
        <v>79</v>
      </c>
      <c r="AD2842" t="s">
        <v>75</v>
      </c>
      <c r="AE2842" t="s">
        <v>80</v>
      </c>
      <c r="AG2842" t="s">
        <v>81</v>
      </c>
    </row>
    <row r="2843" spans="1:33" x14ac:dyDescent="0.25">
      <c r="A2843" t="str">
        <f>"1164653416"</f>
        <v>1164653416</v>
      </c>
      <c r="B2843" t="str">
        <f>"03716910"</f>
        <v>03716910</v>
      </c>
      <c r="C2843" t="s">
        <v>17011</v>
      </c>
      <c r="D2843" t="s">
        <v>17012</v>
      </c>
      <c r="E2843" t="s">
        <v>17013</v>
      </c>
      <c r="G2843" t="s">
        <v>13504</v>
      </c>
      <c r="H2843" t="s">
        <v>13505</v>
      </c>
      <c r="J2843" t="s">
        <v>13506</v>
      </c>
      <c r="L2843" t="s">
        <v>94</v>
      </c>
      <c r="M2843" t="s">
        <v>75</v>
      </c>
      <c r="R2843" t="s">
        <v>17014</v>
      </c>
      <c r="W2843" t="s">
        <v>17015</v>
      </c>
      <c r="X2843" t="s">
        <v>202</v>
      </c>
      <c r="Y2843" t="s">
        <v>87</v>
      </c>
      <c r="Z2843" t="s">
        <v>77</v>
      </c>
      <c r="AA2843" t="str">
        <f>"11201-5425"</f>
        <v>11201-5425</v>
      </c>
      <c r="AB2843" t="s">
        <v>78</v>
      </c>
      <c r="AC2843" t="s">
        <v>79</v>
      </c>
      <c r="AD2843" t="s">
        <v>75</v>
      </c>
      <c r="AE2843" t="s">
        <v>80</v>
      </c>
      <c r="AG2843" t="s">
        <v>81</v>
      </c>
    </row>
    <row r="2844" spans="1:33" x14ac:dyDescent="0.25">
      <c r="A2844" t="str">
        <f>"1558525196"</f>
        <v>1558525196</v>
      </c>
      <c r="B2844" t="str">
        <f>"03178934"</f>
        <v>03178934</v>
      </c>
      <c r="C2844" t="s">
        <v>17016</v>
      </c>
      <c r="D2844" t="s">
        <v>17017</v>
      </c>
      <c r="E2844" t="s">
        <v>17018</v>
      </c>
      <c r="G2844" t="s">
        <v>13504</v>
      </c>
      <c r="H2844" t="s">
        <v>13505</v>
      </c>
      <c r="J2844" t="s">
        <v>13506</v>
      </c>
      <c r="L2844" t="s">
        <v>94</v>
      </c>
      <c r="M2844" t="s">
        <v>85</v>
      </c>
      <c r="R2844" t="s">
        <v>17018</v>
      </c>
      <c r="W2844" t="s">
        <v>17018</v>
      </c>
      <c r="X2844" t="s">
        <v>602</v>
      </c>
      <c r="Y2844" t="s">
        <v>97</v>
      </c>
      <c r="Z2844" t="s">
        <v>77</v>
      </c>
      <c r="AA2844" t="str">
        <f>"10038-2612"</f>
        <v>10038-2612</v>
      </c>
      <c r="AB2844" t="s">
        <v>78</v>
      </c>
      <c r="AC2844" t="s">
        <v>79</v>
      </c>
      <c r="AD2844" t="s">
        <v>75</v>
      </c>
      <c r="AE2844" t="s">
        <v>80</v>
      </c>
      <c r="AG2844" t="s">
        <v>81</v>
      </c>
    </row>
    <row r="2845" spans="1:33" x14ac:dyDescent="0.25">
      <c r="A2845" t="str">
        <f>"1598046450"</f>
        <v>1598046450</v>
      </c>
      <c r="B2845" t="str">
        <f>"03404964"</f>
        <v>03404964</v>
      </c>
      <c r="C2845" t="s">
        <v>17019</v>
      </c>
      <c r="D2845" t="s">
        <v>17020</v>
      </c>
      <c r="E2845" t="s">
        <v>17021</v>
      </c>
      <c r="G2845" t="s">
        <v>13504</v>
      </c>
      <c r="H2845" t="s">
        <v>13505</v>
      </c>
      <c r="J2845" t="s">
        <v>13506</v>
      </c>
      <c r="L2845" t="s">
        <v>74</v>
      </c>
      <c r="M2845" t="s">
        <v>85</v>
      </c>
      <c r="R2845" t="s">
        <v>17022</v>
      </c>
      <c r="W2845" t="s">
        <v>17023</v>
      </c>
      <c r="X2845" t="s">
        <v>1330</v>
      </c>
      <c r="Y2845" t="s">
        <v>87</v>
      </c>
      <c r="Z2845" t="s">
        <v>77</v>
      </c>
      <c r="AA2845" t="str">
        <f>"11219-2918"</f>
        <v>11219-2918</v>
      </c>
      <c r="AB2845" t="s">
        <v>78</v>
      </c>
      <c r="AC2845" t="s">
        <v>79</v>
      </c>
      <c r="AD2845" t="s">
        <v>75</v>
      </c>
      <c r="AE2845" t="s">
        <v>80</v>
      </c>
      <c r="AG2845" t="s">
        <v>81</v>
      </c>
    </row>
    <row r="2846" spans="1:33" x14ac:dyDescent="0.25">
      <c r="A2846" t="str">
        <f>"1851544142"</f>
        <v>1851544142</v>
      </c>
      <c r="B2846" t="str">
        <f>"03787506"</f>
        <v>03787506</v>
      </c>
      <c r="C2846" t="s">
        <v>17024</v>
      </c>
      <c r="D2846" t="s">
        <v>4496</v>
      </c>
      <c r="E2846" t="s">
        <v>4497</v>
      </c>
      <c r="G2846" t="s">
        <v>13504</v>
      </c>
      <c r="H2846" t="s">
        <v>13505</v>
      </c>
      <c r="J2846" t="s">
        <v>13506</v>
      </c>
      <c r="L2846" t="s">
        <v>83</v>
      </c>
      <c r="M2846" t="s">
        <v>75</v>
      </c>
      <c r="R2846" t="s">
        <v>4495</v>
      </c>
      <c r="W2846" t="s">
        <v>4497</v>
      </c>
      <c r="X2846" t="s">
        <v>2626</v>
      </c>
      <c r="Y2846" t="s">
        <v>1808</v>
      </c>
      <c r="Z2846" t="s">
        <v>77</v>
      </c>
      <c r="AA2846" t="str">
        <f>"13502-4830"</f>
        <v>13502-4830</v>
      </c>
      <c r="AB2846" t="s">
        <v>78</v>
      </c>
      <c r="AC2846" t="s">
        <v>79</v>
      </c>
      <c r="AD2846" t="s">
        <v>75</v>
      </c>
      <c r="AE2846" t="s">
        <v>80</v>
      </c>
      <c r="AG2846" t="s">
        <v>81</v>
      </c>
    </row>
    <row r="2847" spans="1:33" x14ac:dyDescent="0.25">
      <c r="A2847" t="str">
        <f>"1164478863"</f>
        <v>1164478863</v>
      </c>
      <c r="B2847" t="str">
        <f>"02782254"</f>
        <v>02782254</v>
      </c>
      <c r="C2847" t="s">
        <v>13436</v>
      </c>
      <c r="D2847" t="s">
        <v>17025</v>
      </c>
      <c r="E2847" t="s">
        <v>17026</v>
      </c>
      <c r="G2847" t="s">
        <v>17027</v>
      </c>
      <c r="L2847" t="s">
        <v>83</v>
      </c>
      <c r="M2847" t="s">
        <v>85</v>
      </c>
      <c r="R2847" t="s">
        <v>17028</v>
      </c>
      <c r="W2847" t="s">
        <v>17026</v>
      </c>
      <c r="X2847" t="s">
        <v>191</v>
      </c>
      <c r="Y2847" t="s">
        <v>97</v>
      </c>
      <c r="Z2847" t="s">
        <v>77</v>
      </c>
      <c r="AA2847" t="str">
        <f>"10019-1147"</f>
        <v>10019-1147</v>
      </c>
      <c r="AB2847" t="s">
        <v>78</v>
      </c>
      <c r="AC2847" t="s">
        <v>79</v>
      </c>
      <c r="AD2847" t="s">
        <v>75</v>
      </c>
      <c r="AE2847" t="s">
        <v>80</v>
      </c>
      <c r="AG2847" t="s">
        <v>81</v>
      </c>
    </row>
    <row r="2848" spans="1:33" x14ac:dyDescent="0.25">
      <c r="A2848" t="str">
        <f>"1114943552"</f>
        <v>1114943552</v>
      </c>
      <c r="B2848" t="str">
        <f>"02721722"</f>
        <v>02721722</v>
      </c>
      <c r="C2848" t="s">
        <v>13436</v>
      </c>
      <c r="D2848" t="s">
        <v>5441</v>
      </c>
      <c r="E2848" t="s">
        <v>5442</v>
      </c>
      <c r="G2848" t="s">
        <v>17029</v>
      </c>
      <c r="L2848" t="s">
        <v>83</v>
      </c>
      <c r="M2848" t="s">
        <v>85</v>
      </c>
      <c r="R2848" t="s">
        <v>5443</v>
      </c>
      <c r="W2848" t="s">
        <v>5442</v>
      </c>
      <c r="X2848" t="s">
        <v>174</v>
      </c>
      <c r="Y2848" t="s">
        <v>131</v>
      </c>
      <c r="Z2848" t="s">
        <v>77</v>
      </c>
      <c r="AA2848" t="str">
        <f>"10461-2301"</f>
        <v>10461-2301</v>
      </c>
      <c r="AB2848" t="s">
        <v>78</v>
      </c>
      <c r="AC2848" t="s">
        <v>79</v>
      </c>
      <c r="AD2848" t="s">
        <v>75</v>
      </c>
      <c r="AE2848" t="s">
        <v>80</v>
      </c>
      <c r="AG2848" t="s">
        <v>81</v>
      </c>
    </row>
    <row r="2849" spans="1:33" x14ac:dyDescent="0.25">
      <c r="A2849" t="str">
        <f>"1114964004"</f>
        <v>1114964004</v>
      </c>
      <c r="B2849" t="str">
        <f>"02301242"</f>
        <v>02301242</v>
      </c>
      <c r="C2849" t="s">
        <v>13436</v>
      </c>
      <c r="D2849" t="s">
        <v>17030</v>
      </c>
      <c r="E2849" t="s">
        <v>17031</v>
      </c>
      <c r="G2849" t="s">
        <v>17032</v>
      </c>
      <c r="L2849" t="s">
        <v>83</v>
      </c>
      <c r="M2849" t="s">
        <v>85</v>
      </c>
      <c r="R2849" t="s">
        <v>17033</v>
      </c>
      <c r="W2849" t="s">
        <v>17031</v>
      </c>
      <c r="X2849" t="s">
        <v>225</v>
      </c>
      <c r="Y2849" t="s">
        <v>131</v>
      </c>
      <c r="Z2849" t="s">
        <v>77</v>
      </c>
      <c r="AA2849" t="str">
        <f>"10457-2545"</f>
        <v>10457-2545</v>
      </c>
      <c r="AB2849" t="s">
        <v>78</v>
      </c>
      <c r="AC2849" t="s">
        <v>79</v>
      </c>
      <c r="AD2849" t="s">
        <v>75</v>
      </c>
      <c r="AE2849" t="s">
        <v>80</v>
      </c>
      <c r="AG2849" t="s">
        <v>81</v>
      </c>
    </row>
    <row r="2850" spans="1:33" x14ac:dyDescent="0.25">
      <c r="A2850" t="str">
        <f>"1124003355"</f>
        <v>1124003355</v>
      </c>
      <c r="B2850" t="str">
        <f>"02677723"</f>
        <v>02677723</v>
      </c>
      <c r="C2850" t="s">
        <v>13436</v>
      </c>
      <c r="D2850" t="s">
        <v>17034</v>
      </c>
      <c r="E2850" t="s">
        <v>17035</v>
      </c>
      <c r="G2850" t="s">
        <v>17036</v>
      </c>
      <c r="L2850" t="s">
        <v>83</v>
      </c>
      <c r="M2850" t="s">
        <v>85</v>
      </c>
      <c r="R2850" t="s">
        <v>17037</v>
      </c>
      <c r="W2850" t="s">
        <v>17035</v>
      </c>
      <c r="X2850" t="s">
        <v>17038</v>
      </c>
      <c r="Y2850" t="s">
        <v>97</v>
      </c>
      <c r="Z2850" t="s">
        <v>77</v>
      </c>
      <c r="AA2850" t="str">
        <f>"10003-0000"</f>
        <v>10003-0000</v>
      </c>
      <c r="AB2850" t="s">
        <v>78</v>
      </c>
      <c r="AC2850" t="s">
        <v>79</v>
      </c>
      <c r="AD2850" t="s">
        <v>75</v>
      </c>
      <c r="AE2850" t="s">
        <v>80</v>
      </c>
      <c r="AG2850" t="s">
        <v>81</v>
      </c>
    </row>
    <row r="2851" spans="1:33" x14ac:dyDescent="0.25">
      <c r="A2851" t="str">
        <f>"1073688263"</f>
        <v>1073688263</v>
      </c>
      <c r="B2851" t="str">
        <f>"01846886"</f>
        <v>01846886</v>
      </c>
      <c r="C2851" t="s">
        <v>17039</v>
      </c>
      <c r="D2851" t="s">
        <v>2542</v>
      </c>
      <c r="E2851" t="s">
        <v>2543</v>
      </c>
      <c r="G2851" t="s">
        <v>17039</v>
      </c>
      <c r="H2851" t="s">
        <v>17040</v>
      </c>
      <c r="L2851" t="s">
        <v>105</v>
      </c>
      <c r="M2851" t="s">
        <v>75</v>
      </c>
      <c r="R2851" t="s">
        <v>2541</v>
      </c>
      <c r="W2851" t="s">
        <v>2543</v>
      </c>
      <c r="X2851" t="s">
        <v>2544</v>
      </c>
      <c r="Y2851" t="s">
        <v>131</v>
      </c>
      <c r="Z2851" t="s">
        <v>77</v>
      </c>
      <c r="AA2851" t="str">
        <f>"10469-6097"</f>
        <v>10469-6097</v>
      </c>
      <c r="AB2851" t="s">
        <v>78</v>
      </c>
      <c r="AC2851" t="s">
        <v>79</v>
      </c>
      <c r="AD2851" t="s">
        <v>75</v>
      </c>
      <c r="AE2851" t="s">
        <v>80</v>
      </c>
      <c r="AG2851" t="s">
        <v>81</v>
      </c>
    </row>
    <row r="2852" spans="1:33" x14ac:dyDescent="0.25">
      <c r="A2852" t="str">
        <f>"1700961000"</f>
        <v>1700961000</v>
      </c>
      <c r="B2852" t="str">
        <f>"02684375"</f>
        <v>02684375</v>
      </c>
      <c r="C2852" t="s">
        <v>17041</v>
      </c>
      <c r="D2852" t="s">
        <v>2546</v>
      </c>
      <c r="E2852" t="s">
        <v>2547</v>
      </c>
      <c r="G2852" t="s">
        <v>17041</v>
      </c>
      <c r="H2852" t="s">
        <v>17042</v>
      </c>
      <c r="L2852" t="s">
        <v>83</v>
      </c>
      <c r="M2852" t="s">
        <v>85</v>
      </c>
      <c r="R2852" t="s">
        <v>2545</v>
      </c>
      <c r="W2852" t="s">
        <v>2545</v>
      </c>
      <c r="X2852" t="s">
        <v>2548</v>
      </c>
      <c r="Y2852" t="s">
        <v>131</v>
      </c>
      <c r="Z2852" t="s">
        <v>77</v>
      </c>
      <c r="AA2852" t="str">
        <f>"10467-2404"</f>
        <v>10467-2404</v>
      </c>
      <c r="AB2852" t="s">
        <v>78</v>
      </c>
      <c r="AC2852" t="s">
        <v>79</v>
      </c>
      <c r="AD2852" t="s">
        <v>75</v>
      </c>
      <c r="AE2852" t="s">
        <v>80</v>
      </c>
      <c r="AG2852" t="s">
        <v>81</v>
      </c>
    </row>
    <row r="2853" spans="1:33" x14ac:dyDescent="0.25">
      <c r="A2853" t="str">
        <f>"1326128596"</f>
        <v>1326128596</v>
      </c>
      <c r="B2853" t="str">
        <f>"00746387"</f>
        <v>00746387</v>
      </c>
      <c r="C2853" t="s">
        <v>17043</v>
      </c>
      <c r="D2853" t="s">
        <v>1871</v>
      </c>
      <c r="E2853" t="s">
        <v>1872</v>
      </c>
      <c r="G2853" t="s">
        <v>17043</v>
      </c>
      <c r="H2853" t="s">
        <v>17044</v>
      </c>
      <c r="L2853" t="s">
        <v>83</v>
      </c>
      <c r="M2853" t="s">
        <v>75</v>
      </c>
      <c r="R2853" t="s">
        <v>1870</v>
      </c>
      <c r="W2853" t="s">
        <v>1873</v>
      </c>
      <c r="X2853" t="s">
        <v>1874</v>
      </c>
      <c r="Y2853" t="s">
        <v>131</v>
      </c>
      <c r="Z2853" t="s">
        <v>77</v>
      </c>
      <c r="AA2853" t="str">
        <f>"10462-3709"</f>
        <v>10462-3709</v>
      </c>
      <c r="AB2853" t="s">
        <v>128</v>
      </c>
      <c r="AC2853" t="s">
        <v>79</v>
      </c>
      <c r="AD2853" t="s">
        <v>75</v>
      </c>
      <c r="AE2853" t="s">
        <v>80</v>
      </c>
      <c r="AG2853" t="s">
        <v>81</v>
      </c>
    </row>
    <row r="2854" spans="1:33" x14ac:dyDescent="0.25">
      <c r="A2854" t="str">
        <f>"1588734883"</f>
        <v>1588734883</v>
      </c>
      <c r="B2854" t="str">
        <f>"01376205"</f>
        <v>01376205</v>
      </c>
      <c r="C2854" t="s">
        <v>17045</v>
      </c>
      <c r="D2854" t="s">
        <v>1876</v>
      </c>
      <c r="E2854" t="s">
        <v>1877</v>
      </c>
      <c r="G2854" t="s">
        <v>17045</v>
      </c>
      <c r="H2854" t="s">
        <v>17046</v>
      </c>
      <c r="L2854" t="s">
        <v>83</v>
      </c>
      <c r="M2854" t="s">
        <v>75</v>
      </c>
      <c r="R2854" t="s">
        <v>1875</v>
      </c>
      <c r="W2854" t="s">
        <v>1877</v>
      </c>
      <c r="X2854" t="s">
        <v>258</v>
      </c>
      <c r="Y2854" t="s">
        <v>131</v>
      </c>
      <c r="Z2854" t="s">
        <v>77</v>
      </c>
      <c r="AA2854" t="str">
        <f>"10467-2401"</f>
        <v>10467-2401</v>
      </c>
      <c r="AB2854" t="s">
        <v>78</v>
      </c>
      <c r="AC2854" t="s">
        <v>79</v>
      </c>
      <c r="AD2854" t="s">
        <v>75</v>
      </c>
      <c r="AE2854" t="s">
        <v>80</v>
      </c>
      <c r="AG2854" t="s">
        <v>81</v>
      </c>
    </row>
    <row r="2855" spans="1:33" x14ac:dyDescent="0.25">
      <c r="A2855" t="str">
        <f>"1952524274"</f>
        <v>1952524274</v>
      </c>
      <c r="B2855" t="str">
        <f>"03062517"</f>
        <v>03062517</v>
      </c>
      <c r="C2855" t="s">
        <v>17047</v>
      </c>
      <c r="D2855" t="s">
        <v>17048</v>
      </c>
      <c r="E2855" t="s">
        <v>17049</v>
      </c>
      <c r="H2855" t="s">
        <v>13657</v>
      </c>
      <c r="J2855" t="s">
        <v>17050</v>
      </c>
      <c r="L2855" t="s">
        <v>83</v>
      </c>
      <c r="M2855" t="s">
        <v>85</v>
      </c>
      <c r="R2855" t="s">
        <v>17051</v>
      </c>
      <c r="W2855" t="s">
        <v>17052</v>
      </c>
      <c r="X2855" t="s">
        <v>11952</v>
      </c>
      <c r="Y2855" t="s">
        <v>2128</v>
      </c>
      <c r="Z2855" t="s">
        <v>77</v>
      </c>
      <c r="AA2855" t="str">
        <f>"11743-2538"</f>
        <v>11743-2538</v>
      </c>
      <c r="AB2855" t="s">
        <v>78</v>
      </c>
      <c r="AC2855" t="s">
        <v>79</v>
      </c>
      <c r="AD2855" t="s">
        <v>75</v>
      </c>
      <c r="AE2855" t="s">
        <v>80</v>
      </c>
      <c r="AG2855" t="s">
        <v>81</v>
      </c>
    </row>
    <row r="2856" spans="1:33" x14ac:dyDescent="0.25">
      <c r="A2856" t="str">
        <f>"1982614350"</f>
        <v>1982614350</v>
      </c>
      <c r="B2856" t="str">
        <f>"00627023"</f>
        <v>00627023</v>
      </c>
      <c r="C2856" t="s">
        <v>17053</v>
      </c>
      <c r="D2856" t="s">
        <v>17054</v>
      </c>
      <c r="E2856" t="s">
        <v>17055</v>
      </c>
      <c r="H2856" t="s">
        <v>13657</v>
      </c>
      <c r="J2856" t="s">
        <v>17056</v>
      </c>
      <c r="L2856" t="s">
        <v>83</v>
      </c>
      <c r="M2856" t="s">
        <v>85</v>
      </c>
      <c r="R2856" t="s">
        <v>17057</v>
      </c>
      <c r="W2856" t="s">
        <v>17055</v>
      </c>
      <c r="X2856" t="s">
        <v>11597</v>
      </c>
      <c r="Y2856" t="s">
        <v>2128</v>
      </c>
      <c r="Z2856" t="s">
        <v>77</v>
      </c>
      <c r="AA2856" t="str">
        <f>"11743-2743"</f>
        <v>11743-2743</v>
      </c>
      <c r="AB2856" t="s">
        <v>78</v>
      </c>
      <c r="AC2856" t="s">
        <v>79</v>
      </c>
      <c r="AD2856" t="s">
        <v>75</v>
      </c>
      <c r="AE2856" t="s">
        <v>80</v>
      </c>
      <c r="AG2856" t="s">
        <v>81</v>
      </c>
    </row>
    <row r="2857" spans="1:33" x14ac:dyDescent="0.25">
      <c r="A2857" t="str">
        <f>"1497806376"</f>
        <v>1497806376</v>
      </c>
      <c r="B2857" t="str">
        <f>"03938305"</f>
        <v>03938305</v>
      </c>
      <c r="C2857" t="s">
        <v>17058</v>
      </c>
      <c r="D2857" t="s">
        <v>2242</v>
      </c>
      <c r="E2857" t="s">
        <v>2243</v>
      </c>
      <c r="H2857" t="s">
        <v>17059</v>
      </c>
      <c r="J2857" t="s">
        <v>17060</v>
      </c>
      <c r="L2857" t="s">
        <v>102</v>
      </c>
      <c r="M2857" t="s">
        <v>75</v>
      </c>
      <c r="R2857" t="s">
        <v>2244</v>
      </c>
      <c r="W2857" t="s">
        <v>2243</v>
      </c>
      <c r="X2857" t="s">
        <v>2177</v>
      </c>
      <c r="Y2857" t="s">
        <v>97</v>
      </c>
      <c r="Z2857" t="s">
        <v>77</v>
      </c>
      <c r="AA2857" t="str">
        <f>"10119-0206"</f>
        <v>10119-0206</v>
      </c>
      <c r="AB2857" t="s">
        <v>78</v>
      </c>
      <c r="AC2857" t="s">
        <v>79</v>
      </c>
      <c r="AD2857" t="s">
        <v>75</v>
      </c>
      <c r="AE2857" t="s">
        <v>80</v>
      </c>
      <c r="AG2857" t="s">
        <v>81</v>
      </c>
    </row>
    <row r="2858" spans="1:33" x14ac:dyDescent="0.25">
      <c r="A2858" t="str">
        <f>"1386714434"</f>
        <v>1386714434</v>
      </c>
      <c r="B2858" t="str">
        <f>"02089861"</f>
        <v>02089861</v>
      </c>
      <c r="C2858" t="s">
        <v>17061</v>
      </c>
      <c r="D2858" t="s">
        <v>17062</v>
      </c>
      <c r="E2858" t="s">
        <v>17063</v>
      </c>
      <c r="H2858" t="s">
        <v>17064</v>
      </c>
      <c r="J2858" t="s">
        <v>17065</v>
      </c>
      <c r="L2858" t="s">
        <v>74</v>
      </c>
      <c r="M2858" t="s">
        <v>75</v>
      </c>
      <c r="R2858" t="s">
        <v>17066</v>
      </c>
      <c r="W2858" t="s">
        <v>17063</v>
      </c>
      <c r="X2858" t="s">
        <v>17067</v>
      </c>
      <c r="Y2858" t="s">
        <v>160</v>
      </c>
      <c r="Z2858" t="s">
        <v>77</v>
      </c>
      <c r="AA2858" t="str">
        <f>"11030-3815"</f>
        <v>11030-3815</v>
      </c>
      <c r="AB2858" t="s">
        <v>78</v>
      </c>
      <c r="AC2858" t="s">
        <v>79</v>
      </c>
      <c r="AD2858" t="s">
        <v>75</v>
      </c>
      <c r="AE2858" t="s">
        <v>80</v>
      </c>
      <c r="AG2858" t="s">
        <v>81</v>
      </c>
    </row>
    <row r="2859" spans="1:33" x14ac:dyDescent="0.25">
      <c r="A2859" t="str">
        <f>"1801966924"</f>
        <v>1801966924</v>
      </c>
      <c r="B2859" t="str">
        <f>"02216131"</f>
        <v>02216131</v>
      </c>
      <c r="C2859" t="s">
        <v>17068</v>
      </c>
      <c r="D2859" t="s">
        <v>6202</v>
      </c>
      <c r="E2859" t="s">
        <v>6203</v>
      </c>
      <c r="H2859" t="s">
        <v>17064</v>
      </c>
      <c r="J2859" t="s">
        <v>17069</v>
      </c>
      <c r="L2859" t="s">
        <v>105</v>
      </c>
      <c r="M2859" t="s">
        <v>75</v>
      </c>
      <c r="R2859" t="s">
        <v>6204</v>
      </c>
      <c r="W2859" t="s">
        <v>6203</v>
      </c>
      <c r="X2859" t="s">
        <v>225</v>
      </c>
      <c r="Y2859" t="s">
        <v>131</v>
      </c>
      <c r="Z2859" t="s">
        <v>77</v>
      </c>
      <c r="AA2859" t="str">
        <f>"10457-2545"</f>
        <v>10457-2545</v>
      </c>
      <c r="AB2859" t="s">
        <v>78</v>
      </c>
      <c r="AC2859" t="s">
        <v>79</v>
      </c>
      <c r="AD2859" t="s">
        <v>75</v>
      </c>
      <c r="AE2859" t="s">
        <v>80</v>
      </c>
      <c r="AG2859" t="s">
        <v>81</v>
      </c>
    </row>
    <row r="2860" spans="1:33" x14ac:dyDescent="0.25">
      <c r="A2860" t="str">
        <f>"1568608271"</f>
        <v>1568608271</v>
      </c>
      <c r="B2860" t="str">
        <f>"03944814"</f>
        <v>03944814</v>
      </c>
      <c r="C2860" t="s">
        <v>17070</v>
      </c>
      <c r="D2860" t="s">
        <v>17071</v>
      </c>
      <c r="E2860" t="s">
        <v>17072</v>
      </c>
      <c r="H2860" t="s">
        <v>17064</v>
      </c>
      <c r="J2860" t="s">
        <v>17073</v>
      </c>
      <c r="L2860" t="s">
        <v>105</v>
      </c>
      <c r="M2860" t="s">
        <v>75</v>
      </c>
      <c r="R2860" t="s">
        <v>17074</v>
      </c>
      <c r="W2860" t="s">
        <v>17072</v>
      </c>
      <c r="X2860" t="s">
        <v>17075</v>
      </c>
      <c r="Y2860" t="s">
        <v>178</v>
      </c>
      <c r="Z2860" t="s">
        <v>77</v>
      </c>
      <c r="AA2860" t="str">
        <f>"11021-2209"</f>
        <v>11021-2209</v>
      </c>
      <c r="AB2860" t="s">
        <v>78</v>
      </c>
      <c r="AC2860" t="s">
        <v>79</v>
      </c>
      <c r="AD2860" t="s">
        <v>75</v>
      </c>
      <c r="AE2860" t="s">
        <v>80</v>
      </c>
      <c r="AG2860" t="s">
        <v>81</v>
      </c>
    </row>
    <row r="2861" spans="1:33" x14ac:dyDescent="0.25">
      <c r="C2861" t="s">
        <v>17076</v>
      </c>
      <c r="H2861" t="s">
        <v>17064</v>
      </c>
      <c r="J2861" t="s">
        <v>17077</v>
      </c>
      <c r="K2861" t="s">
        <v>99</v>
      </c>
      <c r="L2861" t="s">
        <v>100</v>
      </c>
      <c r="M2861" t="s">
        <v>75</v>
      </c>
      <c r="N2861" t="s">
        <v>17078</v>
      </c>
      <c r="O2861" t="s">
        <v>1309</v>
      </c>
      <c r="P2861" t="s">
        <v>77</v>
      </c>
      <c r="Q2861" t="str">
        <f>"11435"</f>
        <v>11435</v>
      </c>
      <c r="AC2861" t="s">
        <v>79</v>
      </c>
      <c r="AD2861" t="s">
        <v>75</v>
      </c>
      <c r="AE2861" t="s">
        <v>101</v>
      </c>
      <c r="AG2861" t="s">
        <v>81</v>
      </c>
    </row>
    <row r="2862" spans="1:33" x14ac:dyDescent="0.25">
      <c r="A2862" t="str">
        <f>"1194751628"</f>
        <v>1194751628</v>
      </c>
      <c r="B2862" t="str">
        <f>"02364441"</f>
        <v>02364441</v>
      </c>
      <c r="C2862" t="s">
        <v>17079</v>
      </c>
      <c r="D2862" t="s">
        <v>17080</v>
      </c>
      <c r="E2862" t="s">
        <v>17081</v>
      </c>
      <c r="H2862" t="s">
        <v>17064</v>
      </c>
      <c r="J2862" t="s">
        <v>17082</v>
      </c>
      <c r="L2862" t="s">
        <v>83</v>
      </c>
      <c r="M2862" t="s">
        <v>75</v>
      </c>
      <c r="R2862" t="s">
        <v>17083</v>
      </c>
      <c r="W2862" t="s">
        <v>17081</v>
      </c>
      <c r="X2862" t="s">
        <v>17084</v>
      </c>
      <c r="Y2862" t="s">
        <v>97</v>
      </c>
      <c r="Z2862" t="s">
        <v>77</v>
      </c>
      <c r="AA2862" t="str">
        <f>"10032-3720"</f>
        <v>10032-3720</v>
      </c>
      <c r="AB2862" t="s">
        <v>78</v>
      </c>
      <c r="AC2862" t="s">
        <v>79</v>
      </c>
      <c r="AD2862" t="s">
        <v>75</v>
      </c>
      <c r="AE2862" t="s">
        <v>80</v>
      </c>
      <c r="AG2862" t="s">
        <v>81</v>
      </c>
    </row>
    <row r="2863" spans="1:33" x14ac:dyDescent="0.25">
      <c r="A2863" t="str">
        <f>"1073738878"</f>
        <v>1073738878</v>
      </c>
      <c r="B2863" t="str">
        <f>"03509822"</f>
        <v>03509822</v>
      </c>
      <c r="C2863" t="s">
        <v>17085</v>
      </c>
      <c r="D2863" t="s">
        <v>17086</v>
      </c>
      <c r="E2863" t="s">
        <v>17087</v>
      </c>
      <c r="H2863" t="s">
        <v>17088</v>
      </c>
      <c r="J2863" t="s">
        <v>17089</v>
      </c>
      <c r="L2863" t="s">
        <v>74</v>
      </c>
      <c r="M2863" t="s">
        <v>85</v>
      </c>
      <c r="R2863" t="s">
        <v>17090</v>
      </c>
      <c r="W2863" t="s">
        <v>17087</v>
      </c>
      <c r="X2863" t="s">
        <v>17091</v>
      </c>
      <c r="Y2863" t="s">
        <v>171</v>
      </c>
      <c r="Z2863" t="s">
        <v>77</v>
      </c>
      <c r="AA2863" t="str">
        <f>"11432-6105"</f>
        <v>11432-6105</v>
      </c>
      <c r="AB2863" t="s">
        <v>78</v>
      </c>
      <c r="AC2863" t="s">
        <v>79</v>
      </c>
      <c r="AD2863" t="s">
        <v>75</v>
      </c>
      <c r="AE2863" t="s">
        <v>80</v>
      </c>
      <c r="AG2863" t="s">
        <v>81</v>
      </c>
    </row>
    <row r="2864" spans="1:33" x14ac:dyDescent="0.25">
      <c r="A2864" t="str">
        <f>"1316947518"</f>
        <v>1316947518</v>
      </c>
      <c r="B2864" t="str">
        <f>"01693521"</f>
        <v>01693521</v>
      </c>
      <c r="C2864" t="s">
        <v>13436</v>
      </c>
      <c r="D2864" t="s">
        <v>17092</v>
      </c>
      <c r="E2864" t="s">
        <v>17093</v>
      </c>
      <c r="G2864" t="s">
        <v>17094</v>
      </c>
      <c r="L2864" t="s">
        <v>84</v>
      </c>
      <c r="M2864" t="s">
        <v>85</v>
      </c>
      <c r="R2864" t="s">
        <v>17095</v>
      </c>
      <c r="W2864" t="s">
        <v>17093</v>
      </c>
      <c r="X2864" t="s">
        <v>847</v>
      </c>
      <c r="Y2864" t="s">
        <v>87</v>
      </c>
      <c r="Z2864" t="s">
        <v>77</v>
      </c>
      <c r="AA2864" t="str">
        <f>"11237-4006"</f>
        <v>11237-4006</v>
      </c>
      <c r="AB2864" t="s">
        <v>78</v>
      </c>
      <c r="AC2864" t="s">
        <v>79</v>
      </c>
      <c r="AD2864" t="s">
        <v>75</v>
      </c>
      <c r="AE2864" t="s">
        <v>80</v>
      </c>
      <c r="AG2864" t="s">
        <v>81</v>
      </c>
    </row>
    <row r="2865" spans="1:33" x14ac:dyDescent="0.25">
      <c r="A2865" t="str">
        <f>"1316961469"</f>
        <v>1316961469</v>
      </c>
      <c r="B2865" t="str">
        <f>"01864364"</f>
        <v>01864364</v>
      </c>
      <c r="C2865" t="s">
        <v>13436</v>
      </c>
      <c r="D2865" t="s">
        <v>17096</v>
      </c>
      <c r="E2865" t="s">
        <v>17097</v>
      </c>
      <c r="G2865" t="s">
        <v>17098</v>
      </c>
      <c r="L2865" t="s">
        <v>83</v>
      </c>
      <c r="M2865" t="s">
        <v>85</v>
      </c>
      <c r="R2865" t="s">
        <v>17099</v>
      </c>
      <c r="W2865" t="s">
        <v>17097</v>
      </c>
      <c r="X2865" t="s">
        <v>2587</v>
      </c>
      <c r="Y2865" t="s">
        <v>97</v>
      </c>
      <c r="Z2865" t="s">
        <v>77</v>
      </c>
      <c r="AA2865" t="str">
        <f>"10003-3314"</f>
        <v>10003-3314</v>
      </c>
      <c r="AB2865" t="s">
        <v>78</v>
      </c>
      <c r="AC2865" t="s">
        <v>79</v>
      </c>
      <c r="AD2865" t="s">
        <v>75</v>
      </c>
      <c r="AE2865" t="s">
        <v>80</v>
      </c>
      <c r="AG2865" t="s">
        <v>81</v>
      </c>
    </row>
    <row r="2866" spans="1:33" x14ac:dyDescent="0.25">
      <c r="A2866" t="str">
        <f>"1316968274"</f>
        <v>1316968274</v>
      </c>
      <c r="B2866" t="str">
        <f>"02176612"</f>
        <v>02176612</v>
      </c>
      <c r="C2866" t="s">
        <v>13436</v>
      </c>
      <c r="D2866" t="s">
        <v>17100</v>
      </c>
      <c r="E2866" t="s">
        <v>17101</v>
      </c>
      <c r="G2866" t="s">
        <v>17102</v>
      </c>
      <c r="L2866" t="s">
        <v>105</v>
      </c>
      <c r="M2866" t="s">
        <v>85</v>
      </c>
      <c r="R2866" t="s">
        <v>17103</v>
      </c>
      <c r="W2866" t="s">
        <v>17101</v>
      </c>
      <c r="X2866" t="s">
        <v>4550</v>
      </c>
      <c r="Y2866" t="s">
        <v>97</v>
      </c>
      <c r="Z2866" t="s">
        <v>77</v>
      </c>
      <c r="AA2866" t="str">
        <f>"10019-1147"</f>
        <v>10019-1147</v>
      </c>
      <c r="AB2866" t="s">
        <v>78</v>
      </c>
      <c r="AC2866" t="s">
        <v>79</v>
      </c>
      <c r="AD2866" t="s">
        <v>75</v>
      </c>
      <c r="AE2866" t="s">
        <v>80</v>
      </c>
      <c r="AG2866" t="s">
        <v>81</v>
      </c>
    </row>
    <row r="2867" spans="1:33" x14ac:dyDescent="0.25">
      <c r="A2867" t="str">
        <f>"1316999212"</f>
        <v>1316999212</v>
      </c>
      <c r="B2867" t="str">
        <f>"02681574"</f>
        <v>02681574</v>
      </c>
      <c r="C2867" t="s">
        <v>13436</v>
      </c>
      <c r="D2867" t="s">
        <v>17104</v>
      </c>
      <c r="E2867" t="s">
        <v>17105</v>
      </c>
      <c r="G2867" t="s">
        <v>17106</v>
      </c>
      <c r="L2867" t="s">
        <v>94</v>
      </c>
      <c r="M2867" t="s">
        <v>85</v>
      </c>
      <c r="R2867" t="s">
        <v>17107</v>
      </c>
      <c r="W2867" t="s">
        <v>17105</v>
      </c>
      <c r="X2867" t="s">
        <v>17108</v>
      </c>
      <c r="Y2867" t="s">
        <v>97</v>
      </c>
      <c r="Z2867" t="s">
        <v>77</v>
      </c>
      <c r="AA2867" t="str">
        <f>"10003-3851"</f>
        <v>10003-3851</v>
      </c>
      <c r="AB2867" t="s">
        <v>78</v>
      </c>
      <c r="AC2867" t="s">
        <v>79</v>
      </c>
      <c r="AD2867" t="s">
        <v>75</v>
      </c>
      <c r="AE2867" t="s">
        <v>80</v>
      </c>
      <c r="AG2867" t="s">
        <v>81</v>
      </c>
    </row>
    <row r="2868" spans="1:33" x14ac:dyDescent="0.25">
      <c r="A2868" t="str">
        <f>"1326021338"</f>
        <v>1326021338</v>
      </c>
      <c r="B2868" t="str">
        <f>"00978652"</f>
        <v>00978652</v>
      </c>
      <c r="C2868" t="s">
        <v>13436</v>
      </c>
      <c r="D2868" t="s">
        <v>17109</v>
      </c>
      <c r="E2868" t="s">
        <v>17110</v>
      </c>
      <c r="G2868" t="s">
        <v>17111</v>
      </c>
      <c r="L2868" t="s">
        <v>83</v>
      </c>
      <c r="M2868" t="s">
        <v>85</v>
      </c>
      <c r="R2868" t="s">
        <v>17112</v>
      </c>
      <c r="W2868" t="s">
        <v>17110</v>
      </c>
      <c r="X2868" t="s">
        <v>2586</v>
      </c>
      <c r="Y2868" t="s">
        <v>131</v>
      </c>
      <c r="Z2868" t="s">
        <v>77</v>
      </c>
      <c r="AA2868" t="str">
        <f>"10467-2490"</f>
        <v>10467-2490</v>
      </c>
      <c r="AB2868" t="s">
        <v>78</v>
      </c>
      <c r="AC2868" t="s">
        <v>79</v>
      </c>
      <c r="AD2868" t="s">
        <v>75</v>
      </c>
      <c r="AE2868" t="s">
        <v>80</v>
      </c>
      <c r="AG2868" t="s">
        <v>81</v>
      </c>
    </row>
    <row r="2869" spans="1:33" x14ac:dyDescent="0.25">
      <c r="A2869" t="str">
        <f>"1790923589"</f>
        <v>1790923589</v>
      </c>
      <c r="B2869" t="str">
        <f>"03663650"</f>
        <v>03663650</v>
      </c>
      <c r="C2869" t="s">
        <v>17113</v>
      </c>
      <c r="D2869" t="s">
        <v>17114</v>
      </c>
      <c r="E2869" t="s">
        <v>17115</v>
      </c>
      <c r="G2869" t="s">
        <v>7218</v>
      </c>
      <c r="H2869" t="s">
        <v>6801</v>
      </c>
      <c r="I2869">
        <v>6136</v>
      </c>
      <c r="J2869" t="s">
        <v>7219</v>
      </c>
      <c r="L2869" t="s">
        <v>74</v>
      </c>
      <c r="M2869" t="s">
        <v>75</v>
      </c>
      <c r="R2869" t="s">
        <v>17116</v>
      </c>
      <c r="W2869" t="s">
        <v>17115</v>
      </c>
      <c r="X2869" t="s">
        <v>8686</v>
      </c>
      <c r="Y2869" t="s">
        <v>145</v>
      </c>
      <c r="Z2869" t="s">
        <v>77</v>
      </c>
      <c r="AA2869" t="str">
        <f>"11361-3241"</f>
        <v>11361-3241</v>
      </c>
      <c r="AB2869" t="s">
        <v>109</v>
      </c>
      <c r="AC2869" t="s">
        <v>79</v>
      </c>
      <c r="AD2869" t="s">
        <v>75</v>
      </c>
      <c r="AE2869" t="s">
        <v>80</v>
      </c>
      <c r="AG2869" t="s">
        <v>81</v>
      </c>
    </row>
    <row r="2870" spans="1:33" x14ac:dyDescent="0.25">
      <c r="A2870" t="str">
        <f>"1801087515"</f>
        <v>1801087515</v>
      </c>
      <c r="C2870" t="s">
        <v>17117</v>
      </c>
      <c r="G2870" t="s">
        <v>7218</v>
      </c>
      <c r="H2870" t="s">
        <v>6801</v>
      </c>
      <c r="I2870">
        <v>6136</v>
      </c>
      <c r="J2870" t="s">
        <v>7219</v>
      </c>
      <c r="K2870" t="s">
        <v>99</v>
      </c>
      <c r="L2870" t="s">
        <v>74</v>
      </c>
      <c r="M2870" t="s">
        <v>75</v>
      </c>
      <c r="R2870" t="s">
        <v>17118</v>
      </c>
      <c r="S2870" t="s">
        <v>17119</v>
      </c>
      <c r="T2870" t="s">
        <v>864</v>
      </c>
      <c r="U2870" t="s">
        <v>77</v>
      </c>
      <c r="V2870" t="str">
        <f>"105434149"</f>
        <v>105434149</v>
      </c>
      <c r="AC2870" t="s">
        <v>79</v>
      </c>
      <c r="AD2870" t="s">
        <v>75</v>
      </c>
      <c r="AE2870" t="s">
        <v>103</v>
      </c>
      <c r="AG2870" t="s">
        <v>81</v>
      </c>
    </row>
    <row r="2871" spans="1:33" x14ac:dyDescent="0.25">
      <c r="A2871" t="str">
        <f>"1811137508"</f>
        <v>1811137508</v>
      </c>
      <c r="B2871" t="str">
        <f>"03537597"</f>
        <v>03537597</v>
      </c>
      <c r="C2871" t="s">
        <v>17120</v>
      </c>
      <c r="D2871" t="s">
        <v>17121</v>
      </c>
      <c r="E2871" t="s">
        <v>17122</v>
      </c>
      <c r="G2871" t="s">
        <v>7218</v>
      </c>
      <c r="H2871" t="s">
        <v>6801</v>
      </c>
      <c r="I2871">
        <v>6136</v>
      </c>
      <c r="J2871" t="s">
        <v>7219</v>
      </c>
      <c r="L2871" t="s">
        <v>74</v>
      </c>
      <c r="M2871" t="s">
        <v>75</v>
      </c>
      <c r="R2871" t="s">
        <v>17123</v>
      </c>
      <c r="W2871" t="s">
        <v>17122</v>
      </c>
      <c r="X2871" t="s">
        <v>9151</v>
      </c>
      <c r="Y2871" t="s">
        <v>97</v>
      </c>
      <c r="Z2871" t="s">
        <v>77</v>
      </c>
      <c r="AA2871" t="str">
        <f>"10001-2320"</f>
        <v>10001-2320</v>
      </c>
      <c r="AB2871" t="s">
        <v>109</v>
      </c>
      <c r="AC2871" t="s">
        <v>79</v>
      </c>
      <c r="AD2871" t="s">
        <v>75</v>
      </c>
      <c r="AE2871" t="s">
        <v>80</v>
      </c>
      <c r="AG2871" t="s">
        <v>81</v>
      </c>
    </row>
    <row r="2872" spans="1:33" x14ac:dyDescent="0.25">
      <c r="A2872" t="str">
        <f>"1811262983"</f>
        <v>1811262983</v>
      </c>
      <c r="C2872" t="s">
        <v>17124</v>
      </c>
      <c r="G2872" t="s">
        <v>7218</v>
      </c>
      <c r="H2872" t="s">
        <v>6801</v>
      </c>
      <c r="I2872">
        <v>6136</v>
      </c>
      <c r="J2872" t="s">
        <v>7219</v>
      </c>
      <c r="K2872" t="s">
        <v>99</v>
      </c>
      <c r="L2872" t="s">
        <v>74</v>
      </c>
      <c r="M2872" t="s">
        <v>75</v>
      </c>
      <c r="R2872" t="s">
        <v>17125</v>
      </c>
      <c r="S2872" t="s">
        <v>8385</v>
      </c>
      <c r="T2872" t="s">
        <v>97</v>
      </c>
      <c r="U2872" t="s">
        <v>77</v>
      </c>
      <c r="V2872" t="str">
        <f>"100012320"</f>
        <v>100012320</v>
      </c>
      <c r="AC2872" t="s">
        <v>79</v>
      </c>
      <c r="AD2872" t="s">
        <v>75</v>
      </c>
      <c r="AE2872" t="s">
        <v>103</v>
      </c>
      <c r="AG2872" t="s">
        <v>81</v>
      </c>
    </row>
    <row r="2873" spans="1:33" x14ac:dyDescent="0.25">
      <c r="A2873" t="str">
        <f>"1821404757"</f>
        <v>1821404757</v>
      </c>
      <c r="C2873" t="s">
        <v>17126</v>
      </c>
      <c r="G2873" t="s">
        <v>7218</v>
      </c>
      <c r="H2873" t="s">
        <v>6801</v>
      </c>
      <c r="I2873">
        <v>6136</v>
      </c>
      <c r="J2873" t="s">
        <v>7219</v>
      </c>
      <c r="K2873" t="s">
        <v>99</v>
      </c>
      <c r="L2873" t="s">
        <v>102</v>
      </c>
      <c r="M2873" t="s">
        <v>75</v>
      </c>
      <c r="R2873" t="s">
        <v>17127</v>
      </c>
      <c r="S2873" t="s">
        <v>14675</v>
      </c>
      <c r="T2873" t="s">
        <v>97</v>
      </c>
      <c r="U2873" t="s">
        <v>77</v>
      </c>
      <c r="V2873" t="str">
        <f>"10001"</f>
        <v>10001</v>
      </c>
      <c r="AC2873" t="s">
        <v>79</v>
      </c>
      <c r="AD2873" t="s">
        <v>75</v>
      </c>
      <c r="AE2873" t="s">
        <v>103</v>
      </c>
      <c r="AG2873" t="s">
        <v>81</v>
      </c>
    </row>
    <row r="2874" spans="1:33" x14ac:dyDescent="0.25">
      <c r="A2874" t="str">
        <f>"1821421413"</f>
        <v>1821421413</v>
      </c>
      <c r="C2874" t="s">
        <v>17128</v>
      </c>
      <c r="G2874" t="s">
        <v>7218</v>
      </c>
      <c r="H2874" t="s">
        <v>6801</v>
      </c>
      <c r="I2874">
        <v>6136</v>
      </c>
      <c r="J2874" t="s">
        <v>7219</v>
      </c>
      <c r="K2874" t="s">
        <v>99</v>
      </c>
      <c r="L2874" t="s">
        <v>102</v>
      </c>
      <c r="M2874" t="s">
        <v>75</v>
      </c>
      <c r="R2874" t="s">
        <v>17129</v>
      </c>
      <c r="S2874" t="s">
        <v>15477</v>
      </c>
      <c r="T2874" t="s">
        <v>97</v>
      </c>
      <c r="U2874" t="s">
        <v>77</v>
      </c>
      <c r="V2874" t="str">
        <f>"10001"</f>
        <v>10001</v>
      </c>
      <c r="AC2874" t="s">
        <v>79</v>
      </c>
      <c r="AD2874" t="s">
        <v>75</v>
      </c>
      <c r="AE2874" t="s">
        <v>103</v>
      </c>
      <c r="AG2874" t="s">
        <v>81</v>
      </c>
    </row>
    <row r="2875" spans="1:33" x14ac:dyDescent="0.25">
      <c r="A2875" t="str">
        <f>"1033207907"</f>
        <v>1033207907</v>
      </c>
      <c r="B2875" t="str">
        <f>"01482920"</f>
        <v>01482920</v>
      </c>
      <c r="C2875" t="s">
        <v>17130</v>
      </c>
      <c r="D2875" t="s">
        <v>17131</v>
      </c>
      <c r="E2875" t="s">
        <v>17132</v>
      </c>
      <c r="G2875" t="s">
        <v>17133</v>
      </c>
      <c r="H2875" t="s">
        <v>3396</v>
      </c>
      <c r="J2875" t="s">
        <v>17134</v>
      </c>
      <c r="L2875" t="s">
        <v>105</v>
      </c>
      <c r="M2875" t="s">
        <v>75</v>
      </c>
      <c r="R2875" t="s">
        <v>17135</v>
      </c>
      <c r="W2875" t="s">
        <v>17132</v>
      </c>
      <c r="X2875" t="s">
        <v>648</v>
      </c>
      <c r="Y2875" t="s">
        <v>97</v>
      </c>
      <c r="Z2875" t="s">
        <v>77</v>
      </c>
      <c r="AA2875" t="str">
        <f>"10037-1802"</f>
        <v>10037-1802</v>
      </c>
      <c r="AB2875" t="s">
        <v>78</v>
      </c>
      <c r="AC2875" t="s">
        <v>79</v>
      </c>
      <c r="AD2875" t="s">
        <v>75</v>
      </c>
      <c r="AE2875" t="s">
        <v>80</v>
      </c>
      <c r="AG2875" t="s">
        <v>81</v>
      </c>
    </row>
    <row r="2876" spans="1:33" x14ac:dyDescent="0.25">
      <c r="A2876" t="str">
        <f>"1477747434"</f>
        <v>1477747434</v>
      </c>
      <c r="B2876" t="str">
        <f>"02936785"</f>
        <v>02936785</v>
      </c>
      <c r="C2876" t="s">
        <v>17136</v>
      </c>
      <c r="D2876" t="s">
        <v>4161</v>
      </c>
      <c r="E2876" t="s">
        <v>4162</v>
      </c>
      <c r="G2876" t="s">
        <v>17133</v>
      </c>
      <c r="H2876" t="s">
        <v>3396</v>
      </c>
      <c r="J2876" t="s">
        <v>3397</v>
      </c>
      <c r="L2876" t="s">
        <v>105</v>
      </c>
      <c r="M2876" t="s">
        <v>85</v>
      </c>
      <c r="R2876" t="s">
        <v>4163</v>
      </c>
      <c r="W2876" t="s">
        <v>4162</v>
      </c>
      <c r="X2876" t="s">
        <v>4164</v>
      </c>
      <c r="Y2876" t="s">
        <v>155</v>
      </c>
      <c r="Z2876" t="s">
        <v>77</v>
      </c>
      <c r="AA2876" t="str">
        <f>"10306-1236"</f>
        <v>10306-1236</v>
      </c>
      <c r="AB2876" t="s">
        <v>78</v>
      </c>
      <c r="AC2876" t="s">
        <v>79</v>
      </c>
      <c r="AD2876" t="s">
        <v>75</v>
      </c>
      <c r="AE2876" t="s">
        <v>80</v>
      </c>
      <c r="AG2876" t="s">
        <v>81</v>
      </c>
    </row>
    <row r="2877" spans="1:33" x14ac:dyDescent="0.25">
      <c r="A2877" t="str">
        <f>"1982722427"</f>
        <v>1982722427</v>
      </c>
      <c r="B2877" t="str">
        <f>"01517555"</f>
        <v>01517555</v>
      </c>
      <c r="C2877" t="s">
        <v>17137</v>
      </c>
      <c r="D2877" t="s">
        <v>17138</v>
      </c>
      <c r="E2877" t="s">
        <v>17139</v>
      </c>
      <c r="G2877" t="s">
        <v>17133</v>
      </c>
      <c r="H2877" t="s">
        <v>3396</v>
      </c>
      <c r="J2877" t="s">
        <v>3397</v>
      </c>
      <c r="L2877" t="s">
        <v>102</v>
      </c>
      <c r="M2877" t="s">
        <v>75</v>
      </c>
      <c r="R2877" t="s">
        <v>17140</v>
      </c>
      <c r="W2877" t="s">
        <v>17139</v>
      </c>
      <c r="X2877" t="s">
        <v>9142</v>
      </c>
      <c r="Y2877" t="s">
        <v>87</v>
      </c>
      <c r="Z2877" t="s">
        <v>77</v>
      </c>
      <c r="AA2877" t="str">
        <f>"11212-3139"</f>
        <v>11212-3139</v>
      </c>
      <c r="AB2877" t="s">
        <v>114</v>
      </c>
      <c r="AC2877" t="s">
        <v>79</v>
      </c>
      <c r="AD2877" t="s">
        <v>75</v>
      </c>
      <c r="AE2877" t="s">
        <v>80</v>
      </c>
      <c r="AG2877" t="s">
        <v>81</v>
      </c>
    </row>
    <row r="2878" spans="1:33" x14ac:dyDescent="0.25">
      <c r="A2878" t="str">
        <f>"1205099249"</f>
        <v>1205099249</v>
      </c>
      <c r="B2878" t="str">
        <f>"03473365"</f>
        <v>03473365</v>
      </c>
      <c r="C2878" t="s">
        <v>13436</v>
      </c>
      <c r="D2878" t="s">
        <v>17141</v>
      </c>
      <c r="E2878" t="s">
        <v>17142</v>
      </c>
      <c r="G2878" t="s">
        <v>17143</v>
      </c>
      <c r="L2878" t="s">
        <v>84</v>
      </c>
      <c r="M2878" t="s">
        <v>85</v>
      </c>
      <c r="R2878" t="s">
        <v>17144</v>
      </c>
      <c r="W2878" t="s">
        <v>17142</v>
      </c>
      <c r="X2878" t="s">
        <v>272</v>
      </c>
      <c r="Y2878" t="s">
        <v>97</v>
      </c>
      <c r="Z2878" t="s">
        <v>77</v>
      </c>
      <c r="AA2878" t="str">
        <f>"10029-6501"</f>
        <v>10029-6501</v>
      </c>
      <c r="AB2878" t="s">
        <v>78</v>
      </c>
      <c r="AC2878" t="s">
        <v>79</v>
      </c>
      <c r="AD2878" t="s">
        <v>75</v>
      </c>
      <c r="AE2878" t="s">
        <v>80</v>
      </c>
      <c r="AG2878" t="s">
        <v>81</v>
      </c>
    </row>
    <row r="2879" spans="1:33" x14ac:dyDescent="0.25">
      <c r="A2879" t="str">
        <f>"1205108982"</f>
        <v>1205108982</v>
      </c>
      <c r="B2879" t="str">
        <f>"03429572"</f>
        <v>03429572</v>
      </c>
      <c r="C2879" t="s">
        <v>13436</v>
      </c>
      <c r="D2879" t="s">
        <v>2968</v>
      </c>
      <c r="E2879" t="s">
        <v>2969</v>
      </c>
      <c r="G2879" t="s">
        <v>17145</v>
      </c>
      <c r="L2879" t="s">
        <v>74</v>
      </c>
      <c r="M2879" t="s">
        <v>75</v>
      </c>
      <c r="R2879" t="s">
        <v>2970</v>
      </c>
      <c r="W2879" t="s">
        <v>2969</v>
      </c>
      <c r="X2879" t="s">
        <v>330</v>
      </c>
      <c r="Y2879" t="s">
        <v>97</v>
      </c>
      <c r="Z2879" t="s">
        <v>77</v>
      </c>
      <c r="AA2879" t="str">
        <f>"10029-5204"</f>
        <v>10029-5204</v>
      </c>
      <c r="AB2879" t="s">
        <v>78</v>
      </c>
      <c r="AC2879" t="s">
        <v>79</v>
      </c>
      <c r="AD2879" t="s">
        <v>75</v>
      </c>
      <c r="AE2879" t="s">
        <v>80</v>
      </c>
      <c r="AG2879" t="s">
        <v>81</v>
      </c>
    </row>
    <row r="2880" spans="1:33" x14ac:dyDescent="0.25">
      <c r="A2880" t="str">
        <f>"1205150232"</f>
        <v>1205150232</v>
      </c>
      <c r="B2880" t="str">
        <f>"03747431"</f>
        <v>03747431</v>
      </c>
      <c r="C2880" t="s">
        <v>13436</v>
      </c>
      <c r="D2880" t="s">
        <v>17146</v>
      </c>
      <c r="E2880" t="s">
        <v>17147</v>
      </c>
      <c r="G2880" t="s">
        <v>17148</v>
      </c>
      <c r="L2880" t="s">
        <v>94</v>
      </c>
      <c r="M2880" t="s">
        <v>85</v>
      </c>
      <c r="R2880" t="s">
        <v>17149</v>
      </c>
      <c r="W2880" t="s">
        <v>17147</v>
      </c>
      <c r="X2880" t="s">
        <v>329</v>
      </c>
      <c r="Y2880" t="s">
        <v>97</v>
      </c>
      <c r="Z2880" t="s">
        <v>77</v>
      </c>
      <c r="AA2880" t="str">
        <f>"10029-6504"</f>
        <v>10029-6504</v>
      </c>
      <c r="AB2880" t="s">
        <v>78</v>
      </c>
      <c r="AC2880" t="s">
        <v>79</v>
      </c>
      <c r="AD2880" t="s">
        <v>75</v>
      </c>
      <c r="AE2880" t="s">
        <v>80</v>
      </c>
      <c r="AG2880" t="s">
        <v>81</v>
      </c>
    </row>
    <row r="2881" spans="1:33" x14ac:dyDescent="0.25">
      <c r="A2881" t="str">
        <f>"1881904191"</f>
        <v>1881904191</v>
      </c>
      <c r="C2881" t="s">
        <v>17150</v>
      </c>
      <c r="G2881" t="s">
        <v>7218</v>
      </c>
      <c r="H2881" t="s">
        <v>6801</v>
      </c>
      <c r="I2881">
        <v>6136</v>
      </c>
      <c r="J2881" t="s">
        <v>7219</v>
      </c>
      <c r="K2881" t="s">
        <v>99</v>
      </c>
      <c r="L2881" t="s">
        <v>102</v>
      </c>
      <c r="M2881" t="s">
        <v>75</v>
      </c>
      <c r="R2881" t="s">
        <v>17151</v>
      </c>
      <c r="S2881" t="s">
        <v>8385</v>
      </c>
      <c r="T2881" t="s">
        <v>97</v>
      </c>
      <c r="U2881" t="s">
        <v>77</v>
      </c>
      <c r="V2881" t="str">
        <f>"100012320"</f>
        <v>100012320</v>
      </c>
      <c r="AC2881" t="s">
        <v>79</v>
      </c>
      <c r="AD2881" t="s">
        <v>75</v>
      </c>
      <c r="AE2881" t="s">
        <v>103</v>
      </c>
      <c r="AG2881" t="s">
        <v>81</v>
      </c>
    </row>
    <row r="2882" spans="1:33" x14ac:dyDescent="0.25">
      <c r="A2882" t="str">
        <f>"1881964740"</f>
        <v>1881964740</v>
      </c>
      <c r="B2882" t="str">
        <f>"03789195"</f>
        <v>03789195</v>
      </c>
      <c r="C2882" t="s">
        <v>17152</v>
      </c>
      <c r="D2882" t="s">
        <v>17153</v>
      </c>
      <c r="E2882" t="s">
        <v>17154</v>
      </c>
      <c r="G2882" t="s">
        <v>7218</v>
      </c>
      <c r="H2882" t="s">
        <v>6801</v>
      </c>
      <c r="I2882">
        <v>6136</v>
      </c>
      <c r="J2882" t="s">
        <v>7219</v>
      </c>
      <c r="L2882" t="s">
        <v>102</v>
      </c>
      <c r="M2882" t="s">
        <v>75</v>
      </c>
      <c r="R2882" t="s">
        <v>17155</v>
      </c>
      <c r="W2882" t="s">
        <v>17154</v>
      </c>
      <c r="X2882" t="s">
        <v>17156</v>
      </c>
      <c r="Y2882" t="s">
        <v>327</v>
      </c>
      <c r="Z2882" t="s">
        <v>77</v>
      </c>
      <c r="AA2882" t="str">
        <f>"11415-3600"</f>
        <v>11415-3600</v>
      </c>
      <c r="AB2882" t="s">
        <v>113</v>
      </c>
      <c r="AC2882" t="s">
        <v>79</v>
      </c>
      <c r="AD2882" t="s">
        <v>75</v>
      </c>
      <c r="AE2882" t="s">
        <v>80</v>
      </c>
      <c r="AG2882" t="s">
        <v>81</v>
      </c>
    </row>
    <row r="2883" spans="1:33" x14ac:dyDescent="0.25">
      <c r="A2883" t="str">
        <f>"1891851614"</f>
        <v>1891851614</v>
      </c>
      <c r="B2883" t="str">
        <f>"03627974"</f>
        <v>03627974</v>
      </c>
      <c r="C2883" t="s">
        <v>17157</v>
      </c>
      <c r="D2883" t="s">
        <v>17158</v>
      </c>
      <c r="E2883" t="s">
        <v>17159</v>
      </c>
      <c r="G2883" t="s">
        <v>7218</v>
      </c>
      <c r="H2883" t="s">
        <v>6801</v>
      </c>
      <c r="I2883">
        <v>6136</v>
      </c>
      <c r="J2883" t="s">
        <v>7219</v>
      </c>
      <c r="L2883" t="s">
        <v>74</v>
      </c>
      <c r="M2883" t="s">
        <v>75</v>
      </c>
      <c r="R2883" t="s">
        <v>17160</v>
      </c>
      <c r="W2883" t="s">
        <v>17159</v>
      </c>
      <c r="X2883" t="s">
        <v>8686</v>
      </c>
      <c r="Y2883" t="s">
        <v>145</v>
      </c>
      <c r="Z2883" t="s">
        <v>77</v>
      </c>
      <c r="AA2883" t="str">
        <f>"11361-3241"</f>
        <v>11361-3241</v>
      </c>
      <c r="AB2883" t="s">
        <v>113</v>
      </c>
      <c r="AC2883" t="s">
        <v>79</v>
      </c>
      <c r="AD2883" t="s">
        <v>75</v>
      </c>
      <c r="AE2883" t="s">
        <v>80</v>
      </c>
      <c r="AG2883" t="s">
        <v>81</v>
      </c>
    </row>
    <row r="2884" spans="1:33" x14ac:dyDescent="0.25">
      <c r="A2884" t="str">
        <f>"1902961964"</f>
        <v>1902961964</v>
      </c>
      <c r="B2884" t="str">
        <f>"03590356"</f>
        <v>03590356</v>
      </c>
      <c r="C2884" t="s">
        <v>17161</v>
      </c>
      <c r="D2884" t="s">
        <v>5252</v>
      </c>
      <c r="E2884" t="s">
        <v>5253</v>
      </c>
      <c r="G2884" t="s">
        <v>7218</v>
      </c>
      <c r="H2884" t="s">
        <v>6801</v>
      </c>
      <c r="I2884">
        <v>6136</v>
      </c>
      <c r="J2884" t="s">
        <v>7219</v>
      </c>
      <c r="L2884" t="s">
        <v>74</v>
      </c>
      <c r="M2884" t="s">
        <v>75</v>
      </c>
      <c r="R2884" t="s">
        <v>5254</v>
      </c>
      <c r="W2884" t="s">
        <v>5253</v>
      </c>
      <c r="X2884" t="s">
        <v>3538</v>
      </c>
      <c r="Y2884" t="s">
        <v>131</v>
      </c>
      <c r="Z2884" t="s">
        <v>77</v>
      </c>
      <c r="AA2884" t="str">
        <f>"10461-5726"</f>
        <v>10461-5726</v>
      </c>
      <c r="AB2884" t="s">
        <v>109</v>
      </c>
      <c r="AC2884" t="s">
        <v>79</v>
      </c>
      <c r="AD2884" t="s">
        <v>75</v>
      </c>
      <c r="AE2884" t="s">
        <v>80</v>
      </c>
      <c r="AG2884" t="s">
        <v>81</v>
      </c>
    </row>
    <row r="2885" spans="1:33" x14ac:dyDescent="0.25">
      <c r="A2885" t="str">
        <f>"1912063314"</f>
        <v>1912063314</v>
      </c>
      <c r="B2885" t="str">
        <f>"03512567"</f>
        <v>03512567</v>
      </c>
      <c r="C2885" t="s">
        <v>17162</v>
      </c>
      <c r="D2885" t="s">
        <v>17163</v>
      </c>
      <c r="E2885" t="s">
        <v>17164</v>
      </c>
      <c r="G2885" t="s">
        <v>7218</v>
      </c>
      <c r="H2885" t="s">
        <v>6801</v>
      </c>
      <c r="I2885">
        <v>6136</v>
      </c>
      <c r="J2885" t="s">
        <v>7219</v>
      </c>
      <c r="L2885" t="s">
        <v>74</v>
      </c>
      <c r="M2885" t="s">
        <v>75</v>
      </c>
      <c r="R2885" t="s">
        <v>17164</v>
      </c>
      <c r="W2885" t="s">
        <v>17164</v>
      </c>
      <c r="X2885" t="s">
        <v>2997</v>
      </c>
      <c r="Y2885" t="s">
        <v>87</v>
      </c>
      <c r="Z2885" t="s">
        <v>77</v>
      </c>
      <c r="AA2885" t="str">
        <f>"11201-4333"</f>
        <v>11201-4333</v>
      </c>
      <c r="AB2885" t="s">
        <v>113</v>
      </c>
      <c r="AC2885" t="s">
        <v>79</v>
      </c>
      <c r="AD2885" t="s">
        <v>75</v>
      </c>
      <c r="AE2885" t="s">
        <v>80</v>
      </c>
      <c r="AG2885" t="s">
        <v>81</v>
      </c>
    </row>
    <row r="2886" spans="1:33" x14ac:dyDescent="0.25">
      <c r="A2886" t="str">
        <f>"1013124726"</f>
        <v>1013124726</v>
      </c>
      <c r="B2886" t="str">
        <f>"03321280"</f>
        <v>03321280</v>
      </c>
      <c r="C2886" t="s">
        <v>13436</v>
      </c>
      <c r="D2886" t="s">
        <v>17165</v>
      </c>
      <c r="E2886" t="s">
        <v>17166</v>
      </c>
      <c r="G2886" t="s">
        <v>17167</v>
      </c>
      <c r="L2886" t="s">
        <v>105</v>
      </c>
      <c r="M2886" t="s">
        <v>85</v>
      </c>
      <c r="R2886" t="s">
        <v>17168</v>
      </c>
      <c r="W2886" t="s">
        <v>17169</v>
      </c>
      <c r="X2886" t="s">
        <v>6696</v>
      </c>
      <c r="Y2886" t="s">
        <v>97</v>
      </c>
      <c r="Z2886" t="s">
        <v>77</v>
      </c>
      <c r="AA2886" t="str">
        <f>"19195-3495"</f>
        <v>19195-3495</v>
      </c>
      <c r="AB2886" t="s">
        <v>78</v>
      </c>
      <c r="AC2886" t="s">
        <v>79</v>
      </c>
      <c r="AD2886" t="s">
        <v>75</v>
      </c>
      <c r="AE2886" t="s">
        <v>80</v>
      </c>
      <c r="AG2886" t="s">
        <v>81</v>
      </c>
    </row>
    <row r="2887" spans="1:33" x14ac:dyDescent="0.25">
      <c r="A2887" t="str">
        <f>"1487696514"</f>
        <v>1487696514</v>
      </c>
      <c r="B2887" t="str">
        <f>"00927284"</f>
        <v>00927284</v>
      </c>
      <c r="C2887" t="s">
        <v>17170</v>
      </c>
      <c r="D2887" t="s">
        <v>17171</v>
      </c>
      <c r="E2887" t="s">
        <v>17172</v>
      </c>
      <c r="G2887" t="s">
        <v>13504</v>
      </c>
      <c r="H2887" t="s">
        <v>13505</v>
      </c>
      <c r="J2887" t="s">
        <v>13506</v>
      </c>
      <c r="L2887" t="s">
        <v>84</v>
      </c>
      <c r="M2887" t="s">
        <v>75</v>
      </c>
      <c r="R2887" t="s">
        <v>17173</v>
      </c>
      <c r="W2887" t="s">
        <v>17172</v>
      </c>
      <c r="X2887" t="s">
        <v>17174</v>
      </c>
      <c r="Y2887" t="s">
        <v>87</v>
      </c>
      <c r="Z2887" t="s">
        <v>77</v>
      </c>
      <c r="AA2887" t="str">
        <f>"11235-3518"</f>
        <v>11235-3518</v>
      </c>
      <c r="AB2887" t="s">
        <v>78</v>
      </c>
      <c r="AC2887" t="s">
        <v>79</v>
      </c>
      <c r="AD2887" t="s">
        <v>75</v>
      </c>
      <c r="AE2887" t="s">
        <v>80</v>
      </c>
      <c r="AG2887" t="s">
        <v>81</v>
      </c>
    </row>
    <row r="2888" spans="1:33" x14ac:dyDescent="0.25">
      <c r="A2888" t="str">
        <f>"1114083136"</f>
        <v>1114083136</v>
      </c>
      <c r="C2888" t="s">
        <v>17175</v>
      </c>
      <c r="G2888" t="s">
        <v>7218</v>
      </c>
      <c r="H2888" t="s">
        <v>6801</v>
      </c>
      <c r="I2888">
        <v>6136</v>
      </c>
      <c r="J2888" t="s">
        <v>7219</v>
      </c>
      <c r="K2888" t="s">
        <v>99</v>
      </c>
      <c r="L2888" t="s">
        <v>74</v>
      </c>
      <c r="M2888" t="s">
        <v>75</v>
      </c>
      <c r="R2888" t="s">
        <v>17176</v>
      </c>
      <c r="S2888" t="s">
        <v>6229</v>
      </c>
      <c r="T2888" t="s">
        <v>97</v>
      </c>
      <c r="U2888" t="s">
        <v>77</v>
      </c>
      <c r="V2888" t="str">
        <f>"100012320"</f>
        <v>100012320</v>
      </c>
      <c r="AC2888" t="s">
        <v>79</v>
      </c>
      <c r="AD2888" t="s">
        <v>75</v>
      </c>
      <c r="AE2888" t="s">
        <v>103</v>
      </c>
      <c r="AG2888" t="s">
        <v>81</v>
      </c>
    </row>
    <row r="2889" spans="1:33" x14ac:dyDescent="0.25">
      <c r="A2889" t="str">
        <f>"1114161049"</f>
        <v>1114161049</v>
      </c>
      <c r="B2889" t="str">
        <f>"03766589"</f>
        <v>03766589</v>
      </c>
      <c r="C2889" t="s">
        <v>17177</v>
      </c>
      <c r="D2889" t="s">
        <v>17178</v>
      </c>
      <c r="E2889" t="s">
        <v>17179</v>
      </c>
      <c r="G2889" t="s">
        <v>7218</v>
      </c>
      <c r="H2889" t="s">
        <v>6801</v>
      </c>
      <c r="I2889">
        <v>6136</v>
      </c>
      <c r="J2889" t="s">
        <v>7219</v>
      </c>
      <c r="L2889" t="s">
        <v>74</v>
      </c>
      <c r="M2889" t="s">
        <v>75</v>
      </c>
      <c r="R2889" t="s">
        <v>17180</v>
      </c>
      <c r="W2889" t="s">
        <v>17179</v>
      </c>
      <c r="X2889" t="s">
        <v>8385</v>
      </c>
      <c r="Y2889" t="s">
        <v>97</v>
      </c>
      <c r="Z2889" t="s">
        <v>77</v>
      </c>
      <c r="AA2889" t="str">
        <f>"10001-2320"</f>
        <v>10001-2320</v>
      </c>
      <c r="AB2889" t="s">
        <v>109</v>
      </c>
      <c r="AC2889" t="s">
        <v>79</v>
      </c>
      <c r="AD2889" t="s">
        <v>75</v>
      </c>
      <c r="AE2889" t="s">
        <v>80</v>
      </c>
      <c r="AG2889" t="s">
        <v>81</v>
      </c>
    </row>
    <row r="2890" spans="1:33" x14ac:dyDescent="0.25">
      <c r="A2890" t="str">
        <f>"1124376041"</f>
        <v>1124376041</v>
      </c>
      <c r="C2890" t="s">
        <v>17181</v>
      </c>
      <c r="G2890" t="s">
        <v>7218</v>
      </c>
      <c r="H2890" t="s">
        <v>6801</v>
      </c>
      <c r="I2890">
        <v>6136</v>
      </c>
      <c r="J2890" t="s">
        <v>7219</v>
      </c>
      <c r="K2890" t="s">
        <v>99</v>
      </c>
      <c r="L2890" t="s">
        <v>102</v>
      </c>
      <c r="M2890" t="s">
        <v>75</v>
      </c>
      <c r="R2890" t="s">
        <v>17182</v>
      </c>
      <c r="S2890" t="s">
        <v>17183</v>
      </c>
      <c r="T2890" t="s">
        <v>97</v>
      </c>
      <c r="U2890" t="s">
        <v>77</v>
      </c>
      <c r="V2890" t="str">
        <f>"100012320"</f>
        <v>100012320</v>
      </c>
      <c r="AC2890" t="s">
        <v>79</v>
      </c>
      <c r="AD2890" t="s">
        <v>75</v>
      </c>
      <c r="AE2890" t="s">
        <v>103</v>
      </c>
      <c r="AG2890" t="s">
        <v>81</v>
      </c>
    </row>
    <row r="2891" spans="1:33" x14ac:dyDescent="0.25">
      <c r="A2891" t="str">
        <f>"1134487622"</f>
        <v>1134487622</v>
      </c>
      <c r="B2891" t="str">
        <f>"03493083"</f>
        <v>03493083</v>
      </c>
      <c r="C2891" t="s">
        <v>17184</v>
      </c>
      <c r="D2891" t="s">
        <v>17185</v>
      </c>
      <c r="E2891" t="s">
        <v>17186</v>
      </c>
      <c r="G2891" t="s">
        <v>7218</v>
      </c>
      <c r="H2891" t="s">
        <v>6801</v>
      </c>
      <c r="I2891">
        <v>6136</v>
      </c>
      <c r="J2891" t="s">
        <v>7219</v>
      </c>
      <c r="L2891" t="s">
        <v>74</v>
      </c>
      <c r="M2891" t="s">
        <v>75</v>
      </c>
      <c r="R2891" t="s">
        <v>17187</v>
      </c>
      <c r="W2891" t="s">
        <v>17186</v>
      </c>
      <c r="X2891" t="s">
        <v>13435</v>
      </c>
      <c r="Y2891" t="s">
        <v>97</v>
      </c>
      <c r="Z2891" t="s">
        <v>77</v>
      </c>
      <c r="AA2891" t="str">
        <f>"10027"</f>
        <v>10027</v>
      </c>
      <c r="AB2891" t="s">
        <v>113</v>
      </c>
      <c r="AC2891" t="s">
        <v>79</v>
      </c>
      <c r="AD2891" t="s">
        <v>75</v>
      </c>
      <c r="AE2891" t="s">
        <v>80</v>
      </c>
      <c r="AG2891" t="s">
        <v>81</v>
      </c>
    </row>
    <row r="2892" spans="1:33" x14ac:dyDescent="0.25">
      <c r="A2892" t="str">
        <f>"1144245226"</f>
        <v>1144245226</v>
      </c>
      <c r="B2892" t="str">
        <f>"03519344"</f>
        <v>03519344</v>
      </c>
      <c r="C2892" t="s">
        <v>17188</v>
      </c>
      <c r="D2892" t="s">
        <v>17189</v>
      </c>
      <c r="E2892" t="s">
        <v>17190</v>
      </c>
      <c r="G2892" t="s">
        <v>7218</v>
      </c>
      <c r="H2892" t="s">
        <v>6801</v>
      </c>
      <c r="I2892">
        <v>6136</v>
      </c>
      <c r="J2892" t="s">
        <v>7219</v>
      </c>
      <c r="L2892" t="s">
        <v>74</v>
      </c>
      <c r="M2892" t="s">
        <v>75</v>
      </c>
      <c r="R2892" t="s">
        <v>17191</v>
      </c>
      <c r="W2892" t="s">
        <v>17190</v>
      </c>
      <c r="X2892" t="s">
        <v>17192</v>
      </c>
      <c r="Y2892" t="s">
        <v>236</v>
      </c>
      <c r="Z2892" t="s">
        <v>77</v>
      </c>
      <c r="AA2892" t="str">
        <f>"11101-1524"</f>
        <v>11101-1524</v>
      </c>
      <c r="AB2892" t="s">
        <v>113</v>
      </c>
      <c r="AC2892" t="s">
        <v>79</v>
      </c>
      <c r="AD2892" t="s">
        <v>75</v>
      </c>
      <c r="AE2892" t="s">
        <v>80</v>
      </c>
      <c r="AG2892" t="s">
        <v>81</v>
      </c>
    </row>
    <row r="2893" spans="1:33" x14ac:dyDescent="0.25">
      <c r="A2893" t="str">
        <f>"1144552001"</f>
        <v>1144552001</v>
      </c>
      <c r="C2893" t="s">
        <v>17193</v>
      </c>
      <c r="G2893" t="s">
        <v>7218</v>
      </c>
      <c r="H2893" t="s">
        <v>6801</v>
      </c>
      <c r="I2893">
        <v>6136</v>
      </c>
      <c r="J2893" t="s">
        <v>7219</v>
      </c>
      <c r="K2893" t="s">
        <v>99</v>
      </c>
      <c r="L2893" t="s">
        <v>74</v>
      </c>
      <c r="M2893" t="s">
        <v>75</v>
      </c>
      <c r="R2893" t="s">
        <v>17194</v>
      </c>
      <c r="S2893" t="s">
        <v>17195</v>
      </c>
      <c r="T2893" t="s">
        <v>145</v>
      </c>
      <c r="U2893" t="s">
        <v>77</v>
      </c>
      <c r="V2893" t="str">
        <f>"113611416"</f>
        <v>113611416</v>
      </c>
      <c r="AC2893" t="s">
        <v>79</v>
      </c>
      <c r="AD2893" t="s">
        <v>75</v>
      </c>
      <c r="AE2893" t="s">
        <v>103</v>
      </c>
      <c r="AG2893" t="s">
        <v>81</v>
      </c>
    </row>
    <row r="2894" spans="1:33" x14ac:dyDescent="0.25">
      <c r="A2894" t="str">
        <f>"1144570573"</f>
        <v>1144570573</v>
      </c>
      <c r="B2894" t="str">
        <f>"03904450"</f>
        <v>03904450</v>
      </c>
      <c r="C2894" t="s">
        <v>17196</v>
      </c>
      <c r="D2894" t="s">
        <v>17197</v>
      </c>
      <c r="E2894" t="s">
        <v>17198</v>
      </c>
      <c r="G2894" t="s">
        <v>7218</v>
      </c>
      <c r="H2894" t="s">
        <v>6801</v>
      </c>
      <c r="I2894">
        <v>6136</v>
      </c>
      <c r="J2894" t="s">
        <v>7219</v>
      </c>
      <c r="L2894" t="s">
        <v>102</v>
      </c>
      <c r="M2894" t="s">
        <v>75</v>
      </c>
      <c r="R2894" t="s">
        <v>17199</v>
      </c>
      <c r="W2894" t="s">
        <v>17198</v>
      </c>
      <c r="X2894" t="s">
        <v>3538</v>
      </c>
      <c r="Y2894" t="s">
        <v>131</v>
      </c>
      <c r="Z2894" t="s">
        <v>77</v>
      </c>
      <c r="AA2894" t="str">
        <f>"10461-5726"</f>
        <v>10461-5726</v>
      </c>
      <c r="AB2894" t="s">
        <v>113</v>
      </c>
      <c r="AC2894" t="s">
        <v>79</v>
      </c>
      <c r="AD2894" t="s">
        <v>75</v>
      </c>
      <c r="AE2894" t="s">
        <v>80</v>
      </c>
      <c r="AG2894" t="s">
        <v>81</v>
      </c>
    </row>
    <row r="2895" spans="1:33" x14ac:dyDescent="0.25">
      <c r="A2895" t="str">
        <f>"1144574146"</f>
        <v>1144574146</v>
      </c>
      <c r="B2895" t="str">
        <f>"03681069"</f>
        <v>03681069</v>
      </c>
      <c r="C2895" t="s">
        <v>17200</v>
      </c>
      <c r="D2895" t="s">
        <v>17201</v>
      </c>
      <c r="E2895" t="s">
        <v>17202</v>
      </c>
      <c r="G2895" t="s">
        <v>7218</v>
      </c>
      <c r="H2895" t="s">
        <v>6801</v>
      </c>
      <c r="I2895">
        <v>6136</v>
      </c>
      <c r="J2895" t="s">
        <v>7219</v>
      </c>
      <c r="L2895" t="s">
        <v>74</v>
      </c>
      <c r="M2895" t="s">
        <v>75</v>
      </c>
      <c r="R2895" t="s">
        <v>17203</v>
      </c>
      <c r="W2895" t="s">
        <v>17202</v>
      </c>
      <c r="X2895" t="s">
        <v>8385</v>
      </c>
      <c r="Y2895" t="s">
        <v>97</v>
      </c>
      <c r="Z2895" t="s">
        <v>77</v>
      </c>
      <c r="AA2895" t="str">
        <f>"10001-2320"</f>
        <v>10001-2320</v>
      </c>
      <c r="AB2895" t="s">
        <v>109</v>
      </c>
      <c r="AC2895" t="s">
        <v>79</v>
      </c>
      <c r="AD2895" t="s">
        <v>75</v>
      </c>
      <c r="AE2895" t="s">
        <v>80</v>
      </c>
      <c r="AG2895" t="s">
        <v>81</v>
      </c>
    </row>
    <row r="2896" spans="1:33" x14ac:dyDescent="0.25">
      <c r="A2896" t="str">
        <f>"1154520963"</f>
        <v>1154520963</v>
      </c>
      <c r="C2896" t="s">
        <v>17204</v>
      </c>
      <c r="G2896" t="s">
        <v>7218</v>
      </c>
      <c r="H2896" t="s">
        <v>6801</v>
      </c>
      <c r="I2896">
        <v>6136</v>
      </c>
      <c r="J2896" t="s">
        <v>7219</v>
      </c>
      <c r="K2896" t="s">
        <v>99</v>
      </c>
      <c r="L2896" t="s">
        <v>102</v>
      </c>
      <c r="M2896" t="s">
        <v>75</v>
      </c>
      <c r="R2896" t="s">
        <v>17205</v>
      </c>
      <c r="S2896" t="s">
        <v>6229</v>
      </c>
      <c r="T2896" t="s">
        <v>97</v>
      </c>
      <c r="U2896" t="s">
        <v>77</v>
      </c>
      <c r="V2896" t="str">
        <f>"100012320"</f>
        <v>100012320</v>
      </c>
      <c r="AC2896" t="s">
        <v>79</v>
      </c>
      <c r="AD2896" t="s">
        <v>75</v>
      </c>
      <c r="AE2896" t="s">
        <v>103</v>
      </c>
      <c r="AG2896" t="s">
        <v>81</v>
      </c>
    </row>
    <row r="2897" spans="1:33" x14ac:dyDescent="0.25">
      <c r="A2897" t="str">
        <f>"1235217332"</f>
        <v>1235217332</v>
      </c>
      <c r="B2897" t="str">
        <f>"00791915"</f>
        <v>00791915</v>
      </c>
      <c r="C2897" t="s">
        <v>17206</v>
      </c>
      <c r="D2897" t="s">
        <v>17207</v>
      </c>
      <c r="E2897" t="s">
        <v>17208</v>
      </c>
      <c r="G2897" t="s">
        <v>13504</v>
      </c>
      <c r="H2897" t="s">
        <v>13505</v>
      </c>
      <c r="J2897" t="s">
        <v>13506</v>
      </c>
      <c r="L2897" t="s">
        <v>83</v>
      </c>
      <c r="M2897" t="s">
        <v>75</v>
      </c>
      <c r="R2897" t="s">
        <v>17209</v>
      </c>
      <c r="W2897" t="s">
        <v>17210</v>
      </c>
      <c r="X2897" t="s">
        <v>17211</v>
      </c>
      <c r="Y2897" t="s">
        <v>87</v>
      </c>
      <c r="Z2897" t="s">
        <v>77</v>
      </c>
      <c r="AA2897" t="str">
        <f>"11215-4008"</f>
        <v>11215-4008</v>
      </c>
      <c r="AB2897" t="s">
        <v>128</v>
      </c>
      <c r="AC2897" t="s">
        <v>79</v>
      </c>
      <c r="AD2897" t="s">
        <v>75</v>
      </c>
      <c r="AE2897" t="s">
        <v>80</v>
      </c>
      <c r="AG2897" t="s">
        <v>81</v>
      </c>
    </row>
    <row r="2898" spans="1:33" x14ac:dyDescent="0.25">
      <c r="A2898" t="str">
        <f>"1831398296"</f>
        <v>1831398296</v>
      </c>
      <c r="B2898" t="str">
        <f>"03965877"</f>
        <v>03965877</v>
      </c>
      <c r="C2898" t="s">
        <v>17212</v>
      </c>
      <c r="D2898" t="s">
        <v>17213</v>
      </c>
      <c r="E2898" t="s">
        <v>17214</v>
      </c>
      <c r="G2898" t="s">
        <v>13504</v>
      </c>
      <c r="H2898" t="s">
        <v>13505</v>
      </c>
      <c r="J2898" t="s">
        <v>13506</v>
      </c>
      <c r="L2898" t="s">
        <v>74</v>
      </c>
      <c r="M2898" t="s">
        <v>75</v>
      </c>
      <c r="R2898" t="s">
        <v>17215</v>
      </c>
      <c r="W2898" t="s">
        <v>17216</v>
      </c>
      <c r="X2898" t="s">
        <v>17217</v>
      </c>
      <c r="Y2898" t="s">
        <v>87</v>
      </c>
      <c r="Z2898" t="s">
        <v>77</v>
      </c>
      <c r="AA2898" t="str">
        <f>"11201-5465"</f>
        <v>11201-5465</v>
      </c>
      <c r="AB2898" t="s">
        <v>78</v>
      </c>
      <c r="AC2898" t="s">
        <v>79</v>
      </c>
      <c r="AD2898" t="s">
        <v>75</v>
      </c>
      <c r="AE2898" t="s">
        <v>80</v>
      </c>
      <c r="AG2898" t="s">
        <v>81</v>
      </c>
    </row>
    <row r="2899" spans="1:33" x14ac:dyDescent="0.25">
      <c r="A2899" t="str">
        <f>"1780790956"</f>
        <v>1780790956</v>
      </c>
      <c r="B2899" t="str">
        <f>"00981008"</f>
        <v>00981008</v>
      </c>
      <c r="C2899" t="s">
        <v>17218</v>
      </c>
      <c r="D2899" t="s">
        <v>17219</v>
      </c>
      <c r="E2899" t="s">
        <v>17220</v>
      </c>
      <c r="G2899" t="s">
        <v>13504</v>
      </c>
      <c r="H2899" t="s">
        <v>13505</v>
      </c>
      <c r="J2899" t="s">
        <v>13506</v>
      </c>
      <c r="L2899" t="s">
        <v>74</v>
      </c>
      <c r="M2899" t="s">
        <v>75</v>
      </c>
      <c r="R2899" t="s">
        <v>17221</v>
      </c>
      <c r="W2899" t="s">
        <v>17220</v>
      </c>
      <c r="X2899" t="s">
        <v>17222</v>
      </c>
      <c r="Y2899" t="s">
        <v>335</v>
      </c>
      <c r="Z2899" t="s">
        <v>77</v>
      </c>
      <c r="AA2899" t="str">
        <f>"11385-4555"</f>
        <v>11385-4555</v>
      </c>
      <c r="AB2899" t="s">
        <v>128</v>
      </c>
      <c r="AC2899" t="s">
        <v>79</v>
      </c>
      <c r="AD2899" t="s">
        <v>75</v>
      </c>
      <c r="AE2899" t="s">
        <v>80</v>
      </c>
      <c r="AG2899" t="s">
        <v>81</v>
      </c>
    </row>
    <row r="2900" spans="1:33" x14ac:dyDescent="0.25">
      <c r="A2900" t="str">
        <f>"1902156094"</f>
        <v>1902156094</v>
      </c>
      <c r="B2900" t="str">
        <f>"03519931"</f>
        <v>03519931</v>
      </c>
      <c r="C2900" t="s">
        <v>17223</v>
      </c>
      <c r="D2900" t="s">
        <v>17224</v>
      </c>
      <c r="E2900" t="s">
        <v>17225</v>
      </c>
      <c r="G2900" t="s">
        <v>13504</v>
      </c>
      <c r="H2900" t="s">
        <v>13505</v>
      </c>
      <c r="J2900" t="s">
        <v>13506</v>
      </c>
      <c r="L2900" t="s">
        <v>74</v>
      </c>
      <c r="M2900" t="s">
        <v>75</v>
      </c>
      <c r="R2900" t="s">
        <v>17226</v>
      </c>
      <c r="W2900" t="s">
        <v>17225</v>
      </c>
      <c r="X2900" t="s">
        <v>202</v>
      </c>
      <c r="Y2900" t="s">
        <v>87</v>
      </c>
      <c r="Z2900" t="s">
        <v>77</v>
      </c>
      <c r="AA2900" t="str">
        <f>"11201-5425"</f>
        <v>11201-5425</v>
      </c>
      <c r="AB2900" t="s">
        <v>78</v>
      </c>
      <c r="AC2900" t="s">
        <v>79</v>
      </c>
      <c r="AD2900" t="s">
        <v>75</v>
      </c>
      <c r="AE2900" t="s">
        <v>80</v>
      </c>
      <c r="AG2900" t="s">
        <v>81</v>
      </c>
    </row>
    <row r="2901" spans="1:33" x14ac:dyDescent="0.25">
      <c r="A2901" t="str">
        <f>"1902985435"</f>
        <v>1902985435</v>
      </c>
      <c r="B2901" t="str">
        <f>"01031429"</f>
        <v>01031429</v>
      </c>
      <c r="C2901" t="s">
        <v>17227</v>
      </c>
      <c r="D2901" t="s">
        <v>17228</v>
      </c>
      <c r="E2901" t="s">
        <v>17229</v>
      </c>
      <c r="G2901" t="s">
        <v>13504</v>
      </c>
      <c r="H2901" t="s">
        <v>13505</v>
      </c>
      <c r="J2901" t="s">
        <v>13506</v>
      </c>
      <c r="L2901" t="s">
        <v>74</v>
      </c>
      <c r="M2901" t="s">
        <v>75</v>
      </c>
      <c r="R2901" t="s">
        <v>17230</v>
      </c>
      <c r="W2901" t="s">
        <v>17229</v>
      </c>
      <c r="X2901" t="s">
        <v>17231</v>
      </c>
      <c r="Y2901" t="s">
        <v>87</v>
      </c>
      <c r="Z2901" t="s">
        <v>77</v>
      </c>
      <c r="AA2901" t="str">
        <f>"11230-7328"</f>
        <v>11230-7328</v>
      </c>
      <c r="AB2901" t="s">
        <v>128</v>
      </c>
      <c r="AC2901" t="s">
        <v>79</v>
      </c>
      <c r="AD2901" t="s">
        <v>75</v>
      </c>
      <c r="AE2901" t="s">
        <v>80</v>
      </c>
      <c r="AG2901" t="s">
        <v>81</v>
      </c>
    </row>
    <row r="2902" spans="1:33" x14ac:dyDescent="0.25">
      <c r="A2902" t="str">
        <f>"1063637817"</f>
        <v>1063637817</v>
      </c>
      <c r="B2902" t="str">
        <f>"00245689"</f>
        <v>00245689</v>
      </c>
      <c r="C2902" t="s">
        <v>17232</v>
      </c>
      <c r="D2902" t="s">
        <v>3394</v>
      </c>
      <c r="E2902" t="s">
        <v>3395</v>
      </c>
      <c r="G2902" t="s">
        <v>17133</v>
      </c>
      <c r="H2902" t="s">
        <v>17233</v>
      </c>
      <c r="I2902">
        <v>7720</v>
      </c>
      <c r="J2902" t="s">
        <v>3397</v>
      </c>
      <c r="L2902" t="s">
        <v>663</v>
      </c>
      <c r="M2902" t="s">
        <v>85</v>
      </c>
      <c r="R2902" t="s">
        <v>3393</v>
      </c>
      <c r="W2902" t="s">
        <v>3395</v>
      </c>
      <c r="X2902" t="s">
        <v>3398</v>
      </c>
      <c r="Y2902" t="s">
        <v>97</v>
      </c>
      <c r="Z2902" t="s">
        <v>77</v>
      </c>
      <c r="AA2902" t="str">
        <f>"10002-8002"</f>
        <v>10002-8002</v>
      </c>
      <c r="AB2902" t="s">
        <v>122</v>
      </c>
      <c r="AC2902" t="s">
        <v>79</v>
      </c>
      <c r="AD2902" t="s">
        <v>75</v>
      </c>
      <c r="AE2902" t="s">
        <v>80</v>
      </c>
      <c r="AG2902" t="s">
        <v>81</v>
      </c>
    </row>
    <row r="2903" spans="1:33" x14ac:dyDescent="0.25">
      <c r="A2903" t="str">
        <f>"1558365387"</f>
        <v>1558365387</v>
      </c>
      <c r="C2903" t="s">
        <v>17234</v>
      </c>
      <c r="G2903" t="s">
        <v>17133</v>
      </c>
      <c r="H2903" t="s">
        <v>17233</v>
      </c>
      <c r="I2903">
        <v>7720</v>
      </c>
      <c r="J2903" t="s">
        <v>3397</v>
      </c>
      <c r="K2903" t="s">
        <v>99</v>
      </c>
      <c r="L2903" t="s">
        <v>102</v>
      </c>
      <c r="M2903" t="s">
        <v>75</v>
      </c>
      <c r="R2903" t="s">
        <v>17235</v>
      </c>
      <c r="S2903" t="s">
        <v>12299</v>
      </c>
      <c r="T2903" t="s">
        <v>97</v>
      </c>
      <c r="U2903" t="s">
        <v>77</v>
      </c>
      <c r="V2903" t="str">
        <f>"100026803"</f>
        <v>100026803</v>
      </c>
      <c r="AC2903" t="s">
        <v>79</v>
      </c>
      <c r="AD2903" t="s">
        <v>75</v>
      </c>
      <c r="AE2903" t="s">
        <v>103</v>
      </c>
      <c r="AG2903" t="s">
        <v>81</v>
      </c>
    </row>
    <row r="2904" spans="1:33" x14ac:dyDescent="0.25">
      <c r="A2904" t="str">
        <f>"1225221468"</f>
        <v>1225221468</v>
      </c>
      <c r="B2904" t="str">
        <f>"02992203"</f>
        <v>02992203</v>
      </c>
      <c r="C2904" t="s">
        <v>13436</v>
      </c>
      <c r="D2904" t="s">
        <v>17236</v>
      </c>
      <c r="E2904" t="s">
        <v>17237</v>
      </c>
      <c r="G2904" t="s">
        <v>17238</v>
      </c>
      <c r="L2904" t="s">
        <v>105</v>
      </c>
      <c r="M2904" t="s">
        <v>85</v>
      </c>
      <c r="R2904" t="s">
        <v>17239</v>
      </c>
      <c r="W2904" t="s">
        <v>17240</v>
      </c>
      <c r="X2904" t="s">
        <v>17241</v>
      </c>
      <c r="Y2904" t="s">
        <v>97</v>
      </c>
      <c r="Z2904" t="s">
        <v>77</v>
      </c>
      <c r="AA2904" t="str">
        <f>"10003-3801"</f>
        <v>10003-3801</v>
      </c>
      <c r="AB2904" t="s">
        <v>78</v>
      </c>
      <c r="AC2904" t="s">
        <v>79</v>
      </c>
      <c r="AD2904" t="s">
        <v>75</v>
      </c>
      <c r="AE2904" t="s">
        <v>80</v>
      </c>
      <c r="AG2904" t="s">
        <v>81</v>
      </c>
    </row>
    <row r="2905" spans="1:33" x14ac:dyDescent="0.25">
      <c r="A2905" t="str">
        <f>"1235110651"</f>
        <v>1235110651</v>
      </c>
      <c r="B2905" t="str">
        <f>"01448842"</f>
        <v>01448842</v>
      </c>
      <c r="C2905" t="s">
        <v>13436</v>
      </c>
      <c r="D2905" t="s">
        <v>17242</v>
      </c>
      <c r="E2905" t="s">
        <v>17243</v>
      </c>
      <c r="G2905" t="s">
        <v>17244</v>
      </c>
      <c r="L2905" t="s">
        <v>83</v>
      </c>
      <c r="M2905" t="s">
        <v>85</v>
      </c>
      <c r="R2905" t="s">
        <v>17245</v>
      </c>
      <c r="W2905" t="s">
        <v>17243</v>
      </c>
      <c r="X2905" t="s">
        <v>14871</v>
      </c>
      <c r="Y2905" t="s">
        <v>97</v>
      </c>
      <c r="Z2905" t="s">
        <v>77</v>
      </c>
      <c r="AA2905" t="str">
        <f>"10003"</f>
        <v>10003</v>
      </c>
      <c r="AB2905" t="s">
        <v>78</v>
      </c>
      <c r="AC2905" t="s">
        <v>79</v>
      </c>
      <c r="AD2905" t="s">
        <v>75</v>
      </c>
      <c r="AE2905" t="s">
        <v>80</v>
      </c>
      <c r="AG2905" t="s">
        <v>81</v>
      </c>
    </row>
    <row r="2906" spans="1:33" x14ac:dyDescent="0.25">
      <c r="A2906" t="str">
        <f>"1184683484"</f>
        <v>1184683484</v>
      </c>
      <c r="B2906" t="str">
        <f>"02268844"</f>
        <v>02268844</v>
      </c>
      <c r="C2906" t="s">
        <v>13436</v>
      </c>
      <c r="D2906" t="s">
        <v>17246</v>
      </c>
      <c r="E2906" t="s">
        <v>17247</v>
      </c>
      <c r="G2906" t="s">
        <v>17248</v>
      </c>
      <c r="L2906" t="s">
        <v>74</v>
      </c>
      <c r="M2906" t="s">
        <v>85</v>
      </c>
      <c r="R2906" t="s">
        <v>17249</v>
      </c>
      <c r="W2906" t="s">
        <v>17247</v>
      </c>
      <c r="X2906" t="s">
        <v>17250</v>
      </c>
      <c r="Y2906" t="s">
        <v>97</v>
      </c>
      <c r="Z2906" t="s">
        <v>77</v>
      </c>
      <c r="AA2906" t="str">
        <f>"10003-4201"</f>
        <v>10003-4201</v>
      </c>
      <c r="AB2906" t="s">
        <v>78</v>
      </c>
      <c r="AC2906" t="s">
        <v>79</v>
      </c>
      <c r="AD2906" t="s">
        <v>75</v>
      </c>
      <c r="AE2906" t="s">
        <v>80</v>
      </c>
      <c r="AG2906" t="s">
        <v>81</v>
      </c>
    </row>
    <row r="2907" spans="1:33" x14ac:dyDescent="0.25">
      <c r="A2907" t="str">
        <f>"1184683724"</f>
        <v>1184683724</v>
      </c>
      <c r="B2907" t="str">
        <f>"01849256"</f>
        <v>01849256</v>
      </c>
      <c r="C2907" t="s">
        <v>13436</v>
      </c>
      <c r="D2907" t="s">
        <v>17251</v>
      </c>
      <c r="E2907" t="s">
        <v>17252</v>
      </c>
      <c r="G2907" t="s">
        <v>17253</v>
      </c>
      <c r="L2907" t="s">
        <v>84</v>
      </c>
      <c r="M2907" t="s">
        <v>85</v>
      </c>
      <c r="R2907" t="s">
        <v>17254</v>
      </c>
      <c r="W2907" t="s">
        <v>17252</v>
      </c>
      <c r="X2907" t="s">
        <v>14583</v>
      </c>
      <c r="Y2907" t="s">
        <v>97</v>
      </c>
      <c r="Z2907" t="s">
        <v>77</v>
      </c>
      <c r="AA2907" t="str">
        <f>"10016-4337"</f>
        <v>10016-4337</v>
      </c>
      <c r="AB2907" t="s">
        <v>78</v>
      </c>
      <c r="AC2907" t="s">
        <v>79</v>
      </c>
      <c r="AD2907" t="s">
        <v>75</v>
      </c>
      <c r="AE2907" t="s">
        <v>80</v>
      </c>
      <c r="AG2907" t="s">
        <v>81</v>
      </c>
    </row>
    <row r="2908" spans="1:33" x14ac:dyDescent="0.25">
      <c r="A2908" t="str">
        <f>"1184775231"</f>
        <v>1184775231</v>
      </c>
      <c r="B2908" t="str">
        <f>"03126363"</f>
        <v>03126363</v>
      </c>
      <c r="C2908" t="s">
        <v>13436</v>
      </c>
      <c r="D2908" t="s">
        <v>17255</v>
      </c>
      <c r="E2908" t="s">
        <v>17256</v>
      </c>
      <c r="G2908" t="s">
        <v>17257</v>
      </c>
      <c r="L2908" t="s">
        <v>74</v>
      </c>
      <c r="M2908" t="s">
        <v>85</v>
      </c>
      <c r="R2908" t="s">
        <v>17258</v>
      </c>
      <c r="W2908" t="s">
        <v>17259</v>
      </c>
      <c r="X2908" t="s">
        <v>3038</v>
      </c>
      <c r="Y2908" t="s">
        <v>97</v>
      </c>
      <c r="Z2908" t="s">
        <v>77</v>
      </c>
      <c r="AA2908" t="str">
        <f>"10003-3314"</f>
        <v>10003-3314</v>
      </c>
      <c r="AB2908" t="s">
        <v>78</v>
      </c>
      <c r="AC2908" t="s">
        <v>79</v>
      </c>
      <c r="AD2908" t="s">
        <v>75</v>
      </c>
      <c r="AE2908" t="s">
        <v>80</v>
      </c>
      <c r="AG2908" t="s">
        <v>81</v>
      </c>
    </row>
    <row r="2909" spans="1:33" x14ac:dyDescent="0.25">
      <c r="A2909" t="str">
        <f>"1649239120"</f>
        <v>1649239120</v>
      </c>
      <c r="B2909" t="str">
        <f>"02778476"</f>
        <v>02778476</v>
      </c>
      <c r="C2909" t="s">
        <v>17260</v>
      </c>
      <c r="D2909" t="s">
        <v>17261</v>
      </c>
      <c r="E2909" t="s">
        <v>17262</v>
      </c>
      <c r="G2909" t="s">
        <v>13504</v>
      </c>
      <c r="H2909" t="s">
        <v>13505</v>
      </c>
      <c r="J2909" t="s">
        <v>13506</v>
      </c>
      <c r="L2909" t="s">
        <v>84</v>
      </c>
      <c r="M2909" t="s">
        <v>85</v>
      </c>
      <c r="R2909" t="s">
        <v>17263</v>
      </c>
      <c r="W2909" t="s">
        <v>17262</v>
      </c>
      <c r="X2909" t="s">
        <v>6227</v>
      </c>
      <c r="Y2909" t="s">
        <v>87</v>
      </c>
      <c r="Z2909" t="s">
        <v>77</v>
      </c>
      <c r="AA2909" t="str">
        <f>"11216-2505"</f>
        <v>11216-2505</v>
      </c>
      <c r="AB2909" t="s">
        <v>78</v>
      </c>
      <c r="AC2909" t="s">
        <v>79</v>
      </c>
      <c r="AD2909" t="s">
        <v>75</v>
      </c>
      <c r="AE2909" t="s">
        <v>80</v>
      </c>
      <c r="AG2909" t="s">
        <v>81</v>
      </c>
    </row>
    <row r="2910" spans="1:33" x14ac:dyDescent="0.25">
      <c r="A2910" t="str">
        <f>"1619061306"</f>
        <v>1619061306</v>
      </c>
      <c r="B2910" t="str">
        <f>"02689976"</f>
        <v>02689976</v>
      </c>
      <c r="C2910" t="s">
        <v>17264</v>
      </c>
      <c r="D2910" t="s">
        <v>17265</v>
      </c>
      <c r="E2910" t="s">
        <v>17266</v>
      </c>
      <c r="G2910" t="s">
        <v>13504</v>
      </c>
      <c r="H2910" t="s">
        <v>13505</v>
      </c>
      <c r="J2910" t="s">
        <v>13506</v>
      </c>
      <c r="L2910" t="s">
        <v>84</v>
      </c>
      <c r="M2910" t="s">
        <v>85</v>
      </c>
      <c r="R2910" t="s">
        <v>17267</v>
      </c>
      <c r="W2910" t="s">
        <v>17268</v>
      </c>
      <c r="X2910" t="s">
        <v>17269</v>
      </c>
      <c r="Y2910" t="s">
        <v>87</v>
      </c>
      <c r="Z2910" t="s">
        <v>77</v>
      </c>
      <c r="AA2910" t="str">
        <f>"11201-5493"</f>
        <v>11201-5493</v>
      </c>
      <c r="AB2910" t="s">
        <v>78</v>
      </c>
      <c r="AC2910" t="s">
        <v>79</v>
      </c>
      <c r="AD2910" t="s">
        <v>75</v>
      </c>
      <c r="AE2910" t="s">
        <v>80</v>
      </c>
      <c r="AG2910" t="s">
        <v>81</v>
      </c>
    </row>
    <row r="2911" spans="1:33" x14ac:dyDescent="0.25">
      <c r="A2911" t="str">
        <f>"1083694541"</f>
        <v>1083694541</v>
      </c>
      <c r="B2911" t="str">
        <f>"02770258"</f>
        <v>02770258</v>
      </c>
      <c r="C2911" t="s">
        <v>17270</v>
      </c>
      <c r="D2911" t="s">
        <v>17271</v>
      </c>
      <c r="E2911" t="s">
        <v>17272</v>
      </c>
      <c r="G2911" t="s">
        <v>13504</v>
      </c>
      <c r="H2911" t="s">
        <v>13505</v>
      </c>
      <c r="J2911" t="s">
        <v>13506</v>
      </c>
      <c r="L2911" t="s">
        <v>74</v>
      </c>
      <c r="M2911" t="s">
        <v>75</v>
      </c>
      <c r="R2911" t="s">
        <v>17273</v>
      </c>
      <c r="W2911" t="s">
        <v>17272</v>
      </c>
      <c r="X2911" t="s">
        <v>202</v>
      </c>
      <c r="Y2911" t="s">
        <v>87</v>
      </c>
      <c r="Z2911" t="s">
        <v>77</v>
      </c>
      <c r="AA2911" t="str">
        <f>"11201-5425"</f>
        <v>11201-5425</v>
      </c>
      <c r="AB2911" t="s">
        <v>78</v>
      </c>
      <c r="AC2911" t="s">
        <v>79</v>
      </c>
      <c r="AD2911" t="s">
        <v>75</v>
      </c>
      <c r="AE2911" t="s">
        <v>80</v>
      </c>
      <c r="AG2911" t="s">
        <v>81</v>
      </c>
    </row>
    <row r="2912" spans="1:33" x14ac:dyDescent="0.25">
      <c r="A2912" t="str">
        <f>"1538370929"</f>
        <v>1538370929</v>
      </c>
      <c r="B2912" t="str">
        <f>"02931753"</f>
        <v>02931753</v>
      </c>
      <c r="C2912" t="s">
        <v>17274</v>
      </c>
      <c r="D2912" t="s">
        <v>17275</v>
      </c>
      <c r="E2912" t="s">
        <v>17276</v>
      </c>
      <c r="G2912" t="s">
        <v>13504</v>
      </c>
      <c r="H2912" t="s">
        <v>13505</v>
      </c>
      <c r="J2912" t="s">
        <v>13506</v>
      </c>
      <c r="L2912" t="s">
        <v>83</v>
      </c>
      <c r="M2912" t="s">
        <v>75</v>
      </c>
      <c r="R2912" t="s">
        <v>17277</v>
      </c>
      <c r="W2912" t="s">
        <v>17278</v>
      </c>
      <c r="X2912" t="s">
        <v>4566</v>
      </c>
      <c r="Y2912" t="s">
        <v>139</v>
      </c>
      <c r="Z2912" t="s">
        <v>77</v>
      </c>
      <c r="AA2912" t="str">
        <f>"11355-5045"</f>
        <v>11355-5045</v>
      </c>
      <c r="AB2912" t="s">
        <v>78</v>
      </c>
      <c r="AC2912" t="s">
        <v>79</v>
      </c>
      <c r="AD2912" t="s">
        <v>75</v>
      </c>
      <c r="AE2912" t="s">
        <v>80</v>
      </c>
      <c r="AG2912" t="s">
        <v>81</v>
      </c>
    </row>
    <row r="2913" spans="1:33" x14ac:dyDescent="0.25">
      <c r="A2913" t="str">
        <f>"1265509988"</f>
        <v>1265509988</v>
      </c>
      <c r="B2913" t="str">
        <f>"02819405"</f>
        <v>02819405</v>
      </c>
      <c r="C2913" t="s">
        <v>17279</v>
      </c>
      <c r="D2913" t="s">
        <v>17280</v>
      </c>
      <c r="E2913" t="s">
        <v>17281</v>
      </c>
      <c r="G2913" t="s">
        <v>13504</v>
      </c>
      <c r="H2913" t="s">
        <v>13505</v>
      </c>
      <c r="J2913" t="s">
        <v>13506</v>
      </c>
      <c r="L2913" t="s">
        <v>84</v>
      </c>
      <c r="M2913" t="s">
        <v>75</v>
      </c>
      <c r="R2913" t="s">
        <v>6002</v>
      </c>
      <c r="W2913" t="s">
        <v>17281</v>
      </c>
      <c r="X2913" t="s">
        <v>1778</v>
      </c>
      <c r="Y2913" t="s">
        <v>1779</v>
      </c>
      <c r="Z2913" t="s">
        <v>77</v>
      </c>
      <c r="AA2913" t="str">
        <f>"11572-1551"</f>
        <v>11572-1551</v>
      </c>
      <c r="AB2913" t="s">
        <v>78</v>
      </c>
      <c r="AC2913" t="s">
        <v>79</v>
      </c>
      <c r="AD2913" t="s">
        <v>75</v>
      </c>
      <c r="AE2913" t="s">
        <v>80</v>
      </c>
      <c r="AG2913" t="s">
        <v>81</v>
      </c>
    </row>
    <row r="2914" spans="1:33" x14ac:dyDescent="0.25">
      <c r="A2914" t="str">
        <f>"1043635295"</f>
        <v>1043635295</v>
      </c>
      <c r="C2914" t="s">
        <v>17282</v>
      </c>
      <c r="G2914" t="s">
        <v>17283</v>
      </c>
      <c r="H2914" t="s">
        <v>1118</v>
      </c>
      <c r="I2914">
        <v>235</v>
      </c>
      <c r="J2914" t="s">
        <v>17284</v>
      </c>
      <c r="K2914" t="s">
        <v>99</v>
      </c>
      <c r="L2914" t="s">
        <v>74</v>
      </c>
      <c r="M2914" t="s">
        <v>75</v>
      </c>
      <c r="R2914" t="s">
        <v>1427</v>
      </c>
      <c r="S2914" t="s">
        <v>1124</v>
      </c>
      <c r="T2914" t="s">
        <v>190</v>
      </c>
      <c r="U2914" t="s">
        <v>77</v>
      </c>
      <c r="V2914" t="str">
        <f>"111012822"</f>
        <v>111012822</v>
      </c>
      <c r="AC2914" t="s">
        <v>79</v>
      </c>
      <c r="AD2914" t="s">
        <v>75</v>
      </c>
      <c r="AE2914" t="s">
        <v>103</v>
      </c>
      <c r="AG2914" t="s">
        <v>81</v>
      </c>
    </row>
    <row r="2915" spans="1:33" x14ac:dyDescent="0.25">
      <c r="A2915" t="str">
        <f>"1235357237"</f>
        <v>1235357237</v>
      </c>
      <c r="B2915" t="str">
        <f>"02740141"</f>
        <v>02740141</v>
      </c>
      <c r="C2915" t="s">
        <v>17285</v>
      </c>
      <c r="D2915" t="s">
        <v>3146</v>
      </c>
      <c r="E2915" t="s">
        <v>3147</v>
      </c>
      <c r="G2915" t="s">
        <v>17283</v>
      </c>
      <c r="H2915" t="s">
        <v>1118</v>
      </c>
      <c r="I2915">
        <v>235</v>
      </c>
      <c r="J2915" t="s">
        <v>17284</v>
      </c>
      <c r="L2915" t="s">
        <v>144</v>
      </c>
      <c r="M2915" t="s">
        <v>85</v>
      </c>
      <c r="R2915" t="s">
        <v>3148</v>
      </c>
      <c r="W2915" t="s">
        <v>3147</v>
      </c>
      <c r="X2915" t="s">
        <v>3149</v>
      </c>
      <c r="Y2915" t="s">
        <v>190</v>
      </c>
      <c r="Z2915" t="s">
        <v>77</v>
      </c>
      <c r="AA2915" t="str">
        <f>"11101-2822"</f>
        <v>11101-2822</v>
      </c>
      <c r="AB2915" t="s">
        <v>122</v>
      </c>
      <c r="AC2915" t="s">
        <v>79</v>
      </c>
      <c r="AD2915" t="s">
        <v>75</v>
      </c>
      <c r="AE2915" t="s">
        <v>80</v>
      </c>
      <c r="AG2915" t="s">
        <v>81</v>
      </c>
    </row>
    <row r="2916" spans="1:33" x14ac:dyDescent="0.25">
      <c r="A2916" t="str">
        <f>"1154746840"</f>
        <v>1154746840</v>
      </c>
      <c r="C2916" t="s">
        <v>17286</v>
      </c>
      <c r="G2916" t="s">
        <v>17283</v>
      </c>
      <c r="H2916" t="s">
        <v>1118</v>
      </c>
      <c r="I2916">
        <v>235</v>
      </c>
      <c r="J2916" t="s">
        <v>17284</v>
      </c>
      <c r="K2916" t="s">
        <v>99</v>
      </c>
      <c r="L2916" t="s">
        <v>74</v>
      </c>
      <c r="M2916" t="s">
        <v>75</v>
      </c>
      <c r="R2916" t="s">
        <v>1429</v>
      </c>
      <c r="S2916" t="s">
        <v>1430</v>
      </c>
      <c r="T2916" t="s">
        <v>97</v>
      </c>
      <c r="U2916" t="s">
        <v>77</v>
      </c>
      <c r="V2916" t="str">
        <f>"100237603"</f>
        <v>100237603</v>
      </c>
      <c r="AC2916" t="s">
        <v>79</v>
      </c>
      <c r="AD2916" t="s">
        <v>75</v>
      </c>
      <c r="AE2916" t="s">
        <v>103</v>
      </c>
      <c r="AG2916" t="s">
        <v>81</v>
      </c>
    </row>
    <row r="2917" spans="1:33" x14ac:dyDescent="0.25">
      <c r="A2917" t="str">
        <f>"1144497454"</f>
        <v>1144497454</v>
      </c>
      <c r="C2917" t="s">
        <v>17287</v>
      </c>
      <c r="G2917" t="s">
        <v>17283</v>
      </c>
      <c r="H2917" t="s">
        <v>1118</v>
      </c>
      <c r="I2917">
        <v>235</v>
      </c>
      <c r="J2917" t="s">
        <v>17284</v>
      </c>
      <c r="K2917" t="s">
        <v>99</v>
      </c>
      <c r="L2917" t="s">
        <v>74</v>
      </c>
      <c r="M2917" t="s">
        <v>75</v>
      </c>
      <c r="R2917" t="s">
        <v>1428</v>
      </c>
      <c r="S2917" t="s">
        <v>1124</v>
      </c>
      <c r="T2917" t="s">
        <v>190</v>
      </c>
      <c r="U2917" t="s">
        <v>77</v>
      </c>
      <c r="V2917" t="str">
        <f>"111012822"</f>
        <v>111012822</v>
      </c>
      <c r="AC2917" t="s">
        <v>79</v>
      </c>
      <c r="AD2917" t="s">
        <v>75</v>
      </c>
      <c r="AE2917" t="s">
        <v>103</v>
      </c>
      <c r="AG2917" t="s">
        <v>81</v>
      </c>
    </row>
    <row r="2918" spans="1:33" x14ac:dyDescent="0.25">
      <c r="A2918" t="str">
        <f>"1518088616"</f>
        <v>1518088616</v>
      </c>
      <c r="B2918" t="str">
        <f>"02438640"</f>
        <v>02438640</v>
      </c>
      <c r="C2918" t="s">
        <v>17288</v>
      </c>
      <c r="D2918" t="s">
        <v>5732</v>
      </c>
      <c r="E2918" t="s">
        <v>5733</v>
      </c>
      <c r="G2918" t="s">
        <v>17289</v>
      </c>
      <c r="H2918" t="s">
        <v>17290</v>
      </c>
      <c r="J2918" t="s">
        <v>17291</v>
      </c>
      <c r="L2918" t="s">
        <v>105</v>
      </c>
      <c r="M2918" t="s">
        <v>75</v>
      </c>
      <c r="R2918" t="s">
        <v>5734</v>
      </c>
      <c r="W2918" t="s">
        <v>5733</v>
      </c>
      <c r="X2918" t="s">
        <v>5735</v>
      </c>
      <c r="Y2918" t="s">
        <v>97</v>
      </c>
      <c r="Z2918" t="s">
        <v>77</v>
      </c>
      <c r="AA2918" t="str">
        <f>"10016-0801"</f>
        <v>10016-0801</v>
      </c>
      <c r="AB2918" t="s">
        <v>78</v>
      </c>
      <c r="AC2918" t="s">
        <v>79</v>
      </c>
      <c r="AD2918" t="s">
        <v>75</v>
      </c>
      <c r="AE2918" t="s">
        <v>80</v>
      </c>
      <c r="AG2918" t="s">
        <v>81</v>
      </c>
    </row>
    <row r="2919" spans="1:33" x14ac:dyDescent="0.25">
      <c r="A2919" t="str">
        <f>"1063579084"</f>
        <v>1063579084</v>
      </c>
      <c r="B2919" t="str">
        <f>"01385780"</f>
        <v>01385780</v>
      </c>
      <c r="C2919" t="s">
        <v>17292</v>
      </c>
      <c r="D2919" t="s">
        <v>17293</v>
      </c>
      <c r="E2919" t="s">
        <v>17294</v>
      </c>
      <c r="G2919" t="s">
        <v>17289</v>
      </c>
      <c r="H2919" t="s">
        <v>17290</v>
      </c>
      <c r="J2919" t="s">
        <v>17291</v>
      </c>
      <c r="L2919" t="s">
        <v>143</v>
      </c>
      <c r="M2919" t="s">
        <v>85</v>
      </c>
      <c r="R2919" t="s">
        <v>17295</v>
      </c>
      <c r="W2919" t="s">
        <v>17294</v>
      </c>
      <c r="X2919" t="s">
        <v>17296</v>
      </c>
      <c r="Y2919" t="s">
        <v>97</v>
      </c>
      <c r="Z2919" t="s">
        <v>77</v>
      </c>
      <c r="AA2919" t="str">
        <f>"10025"</f>
        <v>10025</v>
      </c>
      <c r="AB2919" t="s">
        <v>78</v>
      </c>
      <c r="AC2919" t="s">
        <v>79</v>
      </c>
      <c r="AD2919" t="s">
        <v>75</v>
      </c>
      <c r="AE2919" t="s">
        <v>80</v>
      </c>
      <c r="AG2919" t="s">
        <v>81</v>
      </c>
    </row>
    <row r="2920" spans="1:33" x14ac:dyDescent="0.25">
      <c r="A2920" t="str">
        <f>"1982814034"</f>
        <v>1982814034</v>
      </c>
      <c r="B2920" t="str">
        <f>"02741766"</f>
        <v>02741766</v>
      </c>
      <c r="C2920" t="s">
        <v>17297</v>
      </c>
      <c r="D2920" t="s">
        <v>17298</v>
      </c>
      <c r="E2920" t="s">
        <v>17299</v>
      </c>
      <c r="G2920" t="s">
        <v>11047</v>
      </c>
      <c r="H2920" t="s">
        <v>11048</v>
      </c>
      <c r="J2920" t="s">
        <v>11049</v>
      </c>
      <c r="L2920" t="s">
        <v>84</v>
      </c>
      <c r="M2920" t="s">
        <v>75</v>
      </c>
      <c r="R2920" t="s">
        <v>17299</v>
      </c>
      <c r="W2920" t="s">
        <v>17300</v>
      </c>
      <c r="X2920" t="s">
        <v>4688</v>
      </c>
      <c r="Y2920" t="s">
        <v>97</v>
      </c>
      <c r="Z2920" t="s">
        <v>77</v>
      </c>
      <c r="AA2920" t="str">
        <f>"10014-1200"</f>
        <v>10014-1200</v>
      </c>
      <c r="AB2920" t="s">
        <v>78</v>
      </c>
      <c r="AC2920" t="s">
        <v>79</v>
      </c>
      <c r="AD2920" t="s">
        <v>75</v>
      </c>
      <c r="AE2920" t="s">
        <v>80</v>
      </c>
      <c r="AG2920" t="s">
        <v>81</v>
      </c>
    </row>
    <row r="2921" spans="1:33" x14ac:dyDescent="0.25">
      <c r="A2921" t="str">
        <f>"1023329869"</f>
        <v>1023329869</v>
      </c>
      <c r="B2921" t="str">
        <f>"04005038"</f>
        <v>04005038</v>
      </c>
      <c r="C2921" t="s">
        <v>17301</v>
      </c>
      <c r="D2921" t="s">
        <v>17302</v>
      </c>
      <c r="E2921" t="s">
        <v>17303</v>
      </c>
      <c r="G2921" t="s">
        <v>11047</v>
      </c>
      <c r="H2921" t="s">
        <v>11048</v>
      </c>
      <c r="J2921" t="s">
        <v>11049</v>
      </c>
      <c r="L2921" t="s">
        <v>84</v>
      </c>
      <c r="M2921" t="s">
        <v>75</v>
      </c>
      <c r="R2921" t="s">
        <v>17304</v>
      </c>
      <c r="W2921" t="s">
        <v>17303</v>
      </c>
      <c r="X2921" t="s">
        <v>11051</v>
      </c>
      <c r="Y2921" t="s">
        <v>87</v>
      </c>
      <c r="Z2921" t="s">
        <v>77</v>
      </c>
      <c r="AA2921" t="str">
        <f>"11208-2629"</f>
        <v>11208-2629</v>
      </c>
      <c r="AB2921" t="s">
        <v>78</v>
      </c>
      <c r="AC2921" t="s">
        <v>79</v>
      </c>
      <c r="AD2921" t="s">
        <v>75</v>
      </c>
      <c r="AE2921" t="s">
        <v>80</v>
      </c>
      <c r="AG2921" t="s">
        <v>81</v>
      </c>
    </row>
    <row r="2922" spans="1:33" x14ac:dyDescent="0.25">
      <c r="A2922" t="str">
        <f>"1205817624"</f>
        <v>1205817624</v>
      </c>
      <c r="B2922" t="str">
        <f>"01495541"</f>
        <v>01495541</v>
      </c>
      <c r="C2922" t="s">
        <v>17305</v>
      </c>
      <c r="D2922" t="s">
        <v>17306</v>
      </c>
      <c r="E2922" t="s">
        <v>17307</v>
      </c>
      <c r="G2922" t="s">
        <v>11047</v>
      </c>
      <c r="H2922" t="s">
        <v>11048</v>
      </c>
      <c r="J2922" t="s">
        <v>11049</v>
      </c>
      <c r="L2922" t="s">
        <v>84</v>
      </c>
      <c r="M2922" t="s">
        <v>85</v>
      </c>
      <c r="R2922" t="s">
        <v>17308</v>
      </c>
      <c r="W2922" t="s">
        <v>17307</v>
      </c>
      <c r="X2922" t="s">
        <v>1107</v>
      </c>
      <c r="Y2922" t="s">
        <v>97</v>
      </c>
      <c r="Z2922" t="s">
        <v>77</v>
      </c>
      <c r="AA2922" t="str">
        <f>"10011-4612"</f>
        <v>10011-4612</v>
      </c>
      <c r="AB2922" t="s">
        <v>78</v>
      </c>
      <c r="AC2922" t="s">
        <v>79</v>
      </c>
      <c r="AD2922" t="s">
        <v>75</v>
      </c>
      <c r="AE2922" t="s">
        <v>80</v>
      </c>
      <c r="AG2922" t="s">
        <v>81</v>
      </c>
    </row>
    <row r="2923" spans="1:33" x14ac:dyDescent="0.25">
      <c r="A2923" t="str">
        <f>"1003920604"</f>
        <v>1003920604</v>
      </c>
      <c r="B2923" t="str">
        <f>"02336276"</f>
        <v>02336276</v>
      </c>
      <c r="C2923" t="s">
        <v>17309</v>
      </c>
      <c r="D2923" t="s">
        <v>17310</v>
      </c>
      <c r="E2923" t="s">
        <v>17311</v>
      </c>
      <c r="G2923" t="s">
        <v>11047</v>
      </c>
      <c r="H2923" t="s">
        <v>11048</v>
      </c>
      <c r="J2923" t="s">
        <v>11049</v>
      </c>
      <c r="L2923" t="s">
        <v>84</v>
      </c>
      <c r="M2923" t="s">
        <v>75</v>
      </c>
      <c r="R2923" t="s">
        <v>17311</v>
      </c>
      <c r="W2923" t="s">
        <v>17312</v>
      </c>
      <c r="X2923" t="s">
        <v>17313</v>
      </c>
      <c r="Y2923" t="s">
        <v>97</v>
      </c>
      <c r="Z2923" t="s">
        <v>77</v>
      </c>
      <c r="AA2923" t="str">
        <f>"10009-5335"</f>
        <v>10009-5335</v>
      </c>
      <c r="AB2923" t="s">
        <v>78</v>
      </c>
      <c r="AC2923" t="s">
        <v>79</v>
      </c>
      <c r="AD2923" t="s">
        <v>75</v>
      </c>
      <c r="AE2923" t="s">
        <v>80</v>
      </c>
      <c r="AG2923" t="s">
        <v>81</v>
      </c>
    </row>
    <row r="2924" spans="1:33" x14ac:dyDescent="0.25">
      <c r="A2924" t="str">
        <f>"1700847803"</f>
        <v>1700847803</v>
      </c>
      <c r="B2924" t="str">
        <f>"02631203"</f>
        <v>02631203</v>
      </c>
      <c r="C2924" t="s">
        <v>13436</v>
      </c>
      <c r="D2924" t="s">
        <v>17314</v>
      </c>
      <c r="E2924" t="s">
        <v>17315</v>
      </c>
      <c r="G2924" t="s">
        <v>17316</v>
      </c>
      <c r="L2924" t="s">
        <v>83</v>
      </c>
      <c r="M2924" t="s">
        <v>85</v>
      </c>
      <c r="R2924" t="s">
        <v>17317</v>
      </c>
      <c r="W2924" t="s">
        <v>17315</v>
      </c>
      <c r="X2924" t="s">
        <v>17318</v>
      </c>
      <c r="Y2924" t="s">
        <v>97</v>
      </c>
      <c r="Z2924" t="s">
        <v>77</v>
      </c>
      <c r="AA2924" t="str">
        <f>"10023-7033"</f>
        <v>10023-7033</v>
      </c>
      <c r="AB2924" t="s">
        <v>78</v>
      </c>
      <c r="AC2924" t="s">
        <v>79</v>
      </c>
      <c r="AD2924" t="s">
        <v>75</v>
      </c>
      <c r="AE2924" t="s">
        <v>80</v>
      </c>
      <c r="AG2924" t="s">
        <v>81</v>
      </c>
    </row>
    <row r="2925" spans="1:33" x14ac:dyDescent="0.25">
      <c r="A2925" t="str">
        <f>"1538161484"</f>
        <v>1538161484</v>
      </c>
      <c r="B2925" t="str">
        <f>"01182021"</f>
        <v>01182021</v>
      </c>
      <c r="C2925" t="s">
        <v>17319</v>
      </c>
      <c r="D2925" t="s">
        <v>17320</v>
      </c>
      <c r="E2925" t="s">
        <v>17321</v>
      </c>
      <c r="G2925" t="s">
        <v>13504</v>
      </c>
      <c r="H2925" t="s">
        <v>13505</v>
      </c>
      <c r="J2925" t="s">
        <v>13506</v>
      </c>
      <c r="L2925" t="s">
        <v>74</v>
      </c>
      <c r="M2925" t="s">
        <v>75</v>
      </c>
      <c r="R2925" t="s">
        <v>17322</v>
      </c>
      <c r="W2925" t="s">
        <v>17323</v>
      </c>
      <c r="X2925" t="s">
        <v>17324</v>
      </c>
      <c r="Y2925" t="s">
        <v>87</v>
      </c>
      <c r="Z2925" t="s">
        <v>77</v>
      </c>
      <c r="AA2925" t="str">
        <f>"11211-2413"</f>
        <v>11211-2413</v>
      </c>
      <c r="AB2925" t="s">
        <v>128</v>
      </c>
      <c r="AC2925" t="s">
        <v>79</v>
      </c>
      <c r="AD2925" t="s">
        <v>75</v>
      </c>
      <c r="AE2925" t="s">
        <v>80</v>
      </c>
      <c r="AG2925" t="s">
        <v>81</v>
      </c>
    </row>
    <row r="2926" spans="1:33" x14ac:dyDescent="0.25">
      <c r="A2926" t="str">
        <f>"1912983230"</f>
        <v>1912983230</v>
      </c>
      <c r="B2926" t="str">
        <f>"01932690"</f>
        <v>01932690</v>
      </c>
      <c r="C2926" t="s">
        <v>17325</v>
      </c>
      <c r="D2926" t="s">
        <v>17326</v>
      </c>
      <c r="E2926" t="s">
        <v>17327</v>
      </c>
      <c r="G2926" t="s">
        <v>13504</v>
      </c>
      <c r="H2926" t="s">
        <v>13505</v>
      </c>
      <c r="J2926" t="s">
        <v>13506</v>
      </c>
      <c r="L2926" t="s">
        <v>83</v>
      </c>
      <c r="M2926" t="s">
        <v>75</v>
      </c>
      <c r="R2926" t="s">
        <v>17328</v>
      </c>
      <c r="W2926" t="s">
        <v>17327</v>
      </c>
      <c r="X2926" t="s">
        <v>17329</v>
      </c>
      <c r="Y2926" t="s">
        <v>87</v>
      </c>
      <c r="Z2926" t="s">
        <v>77</v>
      </c>
      <c r="AA2926" t="str">
        <f>"11209-7712"</f>
        <v>11209-7712</v>
      </c>
      <c r="AB2926" t="s">
        <v>128</v>
      </c>
      <c r="AC2926" t="s">
        <v>79</v>
      </c>
      <c r="AD2926" t="s">
        <v>75</v>
      </c>
      <c r="AE2926" t="s">
        <v>80</v>
      </c>
      <c r="AG2926" t="s">
        <v>81</v>
      </c>
    </row>
    <row r="2927" spans="1:33" x14ac:dyDescent="0.25">
      <c r="A2927" t="str">
        <f>"1942394770"</f>
        <v>1942394770</v>
      </c>
      <c r="B2927" t="str">
        <f>"01175502"</f>
        <v>01175502</v>
      </c>
      <c r="C2927" t="s">
        <v>17330</v>
      </c>
      <c r="D2927" t="s">
        <v>17331</v>
      </c>
      <c r="E2927" t="s">
        <v>17332</v>
      </c>
      <c r="G2927" t="s">
        <v>13504</v>
      </c>
      <c r="H2927" t="s">
        <v>13505</v>
      </c>
      <c r="J2927" t="s">
        <v>13506</v>
      </c>
      <c r="L2927" t="s">
        <v>83</v>
      </c>
      <c r="M2927" t="s">
        <v>75</v>
      </c>
      <c r="R2927" t="s">
        <v>17333</v>
      </c>
      <c r="W2927" t="s">
        <v>17334</v>
      </c>
      <c r="X2927" t="s">
        <v>1182</v>
      </c>
      <c r="Y2927" t="s">
        <v>17335</v>
      </c>
      <c r="Z2927" t="s">
        <v>77</v>
      </c>
      <c r="AA2927" t="str">
        <f>"11211-5601"</f>
        <v>11211-5601</v>
      </c>
      <c r="AB2927" t="s">
        <v>128</v>
      </c>
      <c r="AC2927" t="s">
        <v>79</v>
      </c>
      <c r="AD2927" t="s">
        <v>75</v>
      </c>
      <c r="AE2927" t="s">
        <v>80</v>
      </c>
      <c r="AG2927" t="s">
        <v>81</v>
      </c>
    </row>
    <row r="2928" spans="1:33" x14ac:dyDescent="0.25">
      <c r="A2928" t="str">
        <f>"1417030412"</f>
        <v>1417030412</v>
      </c>
      <c r="B2928" t="str">
        <f>"02088342"</f>
        <v>02088342</v>
      </c>
      <c r="C2928" t="s">
        <v>17336</v>
      </c>
      <c r="D2928" t="s">
        <v>17337</v>
      </c>
      <c r="E2928" t="s">
        <v>17338</v>
      </c>
      <c r="G2928" t="s">
        <v>13504</v>
      </c>
      <c r="H2928" t="s">
        <v>13505</v>
      </c>
      <c r="J2928" t="s">
        <v>13506</v>
      </c>
      <c r="L2928" t="s">
        <v>83</v>
      </c>
      <c r="M2928" t="s">
        <v>75</v>
      </c>
      <c r="R2928" t="s">
        <v>17339</v>
      </c>
      <c r="W2928" t="s">
        <v>17339</v>
      </c>
      <c r="X2928" t="s">
        <v>17340</v>
      </c>
      <c r="Y2928" t="s">
        <v>87</v>
      </c>
      <c r="Z2928" t="s">
        <v>77</v>
      </c>
      <c r="AA2928" t="str">
        <f>"11229-3319"</f>
        <v>11229-3319</v>
      </c>
      <c r="AB2928" t="s">
        <v>128</v>
      </c>
      <c r="AC2928" t="s">
        <v>79</v>
      </c>
      <c r="AD2928" t="s">
        <v>75</v>
      </c>
      <c r="AE2928" t="s">
        <v>80</v>
      </c>
      <c r="AG2928" t="s">
        <v>81</v>
      </c>
    </row>
    <row r="2929" spans="1:33" x14ac:dyDescent="0.25">
      <c r="A2929" t="str">
        <f>"1750389458"</f>
        <v>1750389458</v>
      </c>
      <c r="B2929" t="str">
        <f>"01259094"</f>
        <v>01259094</v>
      </c>
      <c r="C2929" t="s">
        <v>17341</v>
      </c>
      <c r="D2929" t="s">
        <v>17342</v>
      </c>
      <c r="E2929" t="s">
        <v>17343</v>
      </c>
      <c r="G2929" t="s">
        <v>13504</v>
      </c>
      <c r="H2929" t="s">
        <v>13505</v>
      </c>
      <c r="J2929" t="s">
        <v>13506</v>
      </c>
      <c r="L2929" t="s">
        <v>83</v>
      </c>
      <c r="M2929" t="s">
        <v>75</v>
      </c>
      <c r="R2929" t="s">
        <v>17344</v>
      </c>
      <c r="W2929" t="s">
        <v>17343</v>
      </c>
      <c r="X2929" t="s">
        <v>17345</v>
      </c>
      <c r="Y2929" t="s">
        <v>87</v>
      </c>
      <c r="Z2929" t="s">
        <v>77</v>
      </c>
      <c r="AA2929" t="str">
        <f>"11201-5214"</f>
        <v>11201-5214</v>
      </c>
      <c r="AB2929" t="s">
        <v>128</v>
      </c>
      <c r="AC2929" t="s">
        <v>79</v>
      </c>
      <c r="AD2929" t="s">
        <v>75</v>
      </c>
      <c r="AE2929" t="s">
        <v>80</v>
      </c>
      <c r="AG2929" t="s">
        <v>81</v>
      </c>
    </row>
    <row r="2930" spans="1:33" x14ac:dyDescent="0.25">
      <c r="A2930" t="str">
        <f>"1336232719"</f>
        <v>1336232719</v>
      </c>
      <c r="C2930" t="s">
        <v>17346</v>
      </c>
      <c r="G2930" t="s">
        <v>13504</v>
      </c>
      <c r="H2930" t="s">
        <v>13505</v>
      </c>
      <c r="J2930" t="s">
        <v>13506</v>
      </c>
      <c r="K2930" t="s">
        <v>99</v>
      </c>
      <c r="L2930" t="s">
        <v>102</v>
      </c>
      <c r="M2930" t="s">
        <v>75</v>
      </c>
      <c r="R2930" t="s">
        <v>17347</v>
      </c>
      <c r="S2930" t="s">
        <v>17348</v>
      </c>
      <c r="T2930" t="s">
        <v>2480</v>
      </c>
      <c r="U2930" t="s">
        <v>77</v>
      </c>
      <c r="V2930" t="str">
        <f>"115665421"</f>
        <v>115665421</v>
      </c>
      <c r="AC2930" t="s">
        <v>79</v>
      </c>
      <c r="AD2930" t="s">
        <v>75</v>
      </c>
      <c r="AE2930" t="s">
        <v>103</v>
      </c>
      <c r="AG2930" t="s">
        <v>81</v>
      </c>
    </row>
    <row r="2931" spans="1:33" x14ac:dyDescent="0.25">
      <c r="A2931" t="str">
        <f>"1518158427"</f>
        <v>1518158427</v>
      </c>
      <c r="B2931" t="str">
        <f>"03061649"</f>
        <v>03061649</v>
      </c>
      <c r="C2931" t="s">
        <v>17349</v>
      </c>
      <c r="D2931" t="s">
        <v>17350</v>
      </c>
      <c r="E2931" t="s">
        <v>17351</v>
      </c>
      <c r="G2931" t="s">
        <v>13504</v>
      </c>
      <c r="H2931" t="s">
        <v>13505</v>
      </c>
      <c r="J2931" t="s">
        <v>13506</v>
      </c>
      <c r="L2931" t="s">
        <v>83</v>
      </c>
      <c r="M2931" t="s">
        <v>75</v>
      </c>
      <c r="R2931" t="s">
        <v>17352</v>
      </c>
      <c r="W2931" t="s">
        <v>17351</v>
      </c>
      <c r="X2931" t="s">
        <v>17353</v>
      </c>
      <c r="Y2931" t="s">
        <v>97</v>
      </c>
      <c r="Z2931" t="s">
        <v>77</v>
      </c>
      <c r="AA2931" t="str">
        <f>"10028-7907"</f>
        <v>10028-7907</v>
      </c>
      <c r="AB2931" t="s">
        <v>78</v>
      </c>
      <c r="AC2931" t="s">
        <v>79</v>
      </c>
      <c r="AD2931" t="s">
        <v>75</v>
      </c>
      <c r="AE2931" t="s">
        <v>80</v>
      </c>
      <c r="AG2931" t="s">
        <v>81</v>
      </c>
    </row>
    <row r="2932" spans="1:33" x14ac:dyDescent="0.25">
      <c r="A2932" t="str">
        <f>"1750541819"</f>
        <v>1750541819</v>
      </c>
      <c r="B2932" t="str">
        <f>"03025445"</f>
        <v>03025445</v>
      </c>
      <c r="C2932" t="s">
        <v>17354</v>
      </c>
      <c r="D2932" t="s">
        <v>17355</v>
      </c>
      <c r="E2932" t="s">
        <v>17356</v>
      </c>
      <c r="G2932" t="s">
        <v>13504</v>
      </c>
      <c r="H2932" t="s">
        <v>13505</v>
      </c>
      <c r="J2932" t="s">
        <v>13506</v>
      </c>
      <c r="L2932" t="s">
        <v>74</v>
      </c>
      <c r="M2932" t="s">
        <v>75</v>
      </c>
      <c r="R2932" t="s">
        <v>17357</v>
      </c>
      <c r="W2932" t="s">
        <v>17358</v>
      </c>
      <c r="X2932" t="s">
        <v>202</v>
      </c>
      <c r="Y2932" t="s">
        <v>87</v>
      </c>
      <c r="Z2932" t="s">
        <v>77</v>
      </c>
      <c r="AA2932" t="str">
        <f>"11201-5425"</f>
        <v>11201-5425</v>
      </c>
      <c r="AB2932" t="s">
        <v>78</v>
      </c>
      <c r="AC2932" t="s">
        <v>79</v>
      </c>
      <c r="AD2932" t="s">
        <v>75</v>
      </c>
      <c r="AE2932" t="s">
        <v>80</v>
      </c>
      <c r="AG2932" t="s">
        <v>81</v>
      </c>
    </row>
    <row r="2933" spans="1:33" x14ac:dyDescent="0.25">
      <c r="A2933" t="str">
        <f>"1679685515"</f>
        <v>1679685515</v>
      </c>
      <c r="B2933" t="str">
        <f>"02718752"</f>
        <v>02718752</v>
      </c>
      <c r="C2933" t="s">
        <v>17359</v>
      </c>
      <c r="D2933" t="s">
        <v>17360</v>
      </c>
      <c r="E2933" t="s">
        <v>17361</v>
      </c>
      <c r="G2933" t="s">
        <v>13504</v>
      </c>
      <c r="H2933" t="s">
        <v>13505</v>
      </c>
      <c r="J2933" t="s">
        <v>13506</v>
      </c>
      <c r="L2933" t="s">
        <v>83</v>
      </c>
      <c r="M2933" t="s">
        <v>85</v>
      </c>
      <c r="R2933" t="s">
        <v>17362</v>
      </c>
      <c r="W2933" t="s">
        <v>17361</v>
      </c>
      <c r="X2933" t="s">
        <v>202</v>
      </c>
      <c r="Y2933" t="s">
        <v>87</v>
      </c>
      <c r="Z2933" t="s">
        <v>77</v>
      </c>
      <c r="AA2933" t="str">
        <f>"11201-5425"</f>
        <v>11201-5425</v>
      </c>
      <c r="AB2933" t="s">
        <v>78</v>
      </c>
      <c r="AC2933" t="s">
        <v>79</v>
      </c>
      <c r="AD2933" t="s">
        <v>75</v>
      </c>
      <c r="AE2933" t="s">
        <v>80</v>
      </c>
      <c r="AG2933" t="s">
        <v>81</v>
      </c>
    </row>
    <row r="2934" spans="1:33" x14ac:dyDescent="0.25">
      <c r="A2934" t="str">
        <f>"1063457604"</f>
        <v>1063457604</v>
      </c>
      <c r="B2934" t="str">
        <f>"02801201"</f>
        <v>02801201</v>
      </c>
      <c r="C2934" t="s">
        <v>13436</v>
      </c>
      <c r="D2934" t="s">
        <v>17363</v>
      </c>
      <c r="E2934" t="s">
        <v>17364</v>
      </c>
      <c r="G2934" t="s">
        <v>17365</v>
      </c>
      <c r="L2934" t="s">
        <v>84</v>
      </c>
      <c r="M2934" t="s">
        <v>85</v>
      </c>
      <c r="R2934" t="s">
        <v>17366</v>
      </c>
      <c r="W2934" t="s">
        <v>17367</v>
      </c>
      <c r="X2934" t="s">
        <v>225</v>
      </c>
      <c r="Y2934" t="s">
        <v>131</v>
      </c>
      <c r="Z2934" t="s">
        <v>77</v>
      </c>
      <c r="AA2934" t="str">
        <f>"10457-2545"</f>
        <v>10457-2545</v>
      </c>
      <c r="AB2934" t="s">
        <v>78</v>
      </c>
      <c r="AC2934" t="s">
        <v>79</v>
      </c>
      <c r="AD2934" t="s">
        <v>75</v>
      </c>
      <c r="AE2934" t="s">
        <v>80</v>
      </c>
      <c r="AG2934" t="s">
        <v>81</v>
      </c>
    </row>
    <row r="2935" spans="1:33" x14ac:dyDescent="0.25">
      <c r="A2935" t="str">
        <f>"1073944229"</f>
        <v>1073944229</v>
      </c>
      <c r="C2935" t="s">
        <v>17368</v>
      </c>
      <c r="G2935" t="s">
        <v>16280</v>
      </c>
      <c r="H2935" t="s">
        <v>16281</v>
      </c>
      <c r="J2935" t="s">
        <v>16282</v>
      </c>
      <c r="K2935" t="s">
        <v>99</v>
      </c>
      <c r="L2935" t="s">
        <v>102</v>
      </c>
      <c r="M2935" t="s">
        <v>75</v>
      </c>
      <c r="R2935" t="s">
        <v>17369</v>
      </c>
      <c r="S2935" t="s">
        <v>5322</v>
      </c>
      <c r="T2935" t="s">
        <v>97</v>
      </c>
      <c r="U2935" t="s">
        <v>77</v>
      </c>
      <c r="V2935" t="str">
        <f>"100112019"</f>
        <v>100112019</v>
      </c>
      <c r="AC2935" t="s">
        <v>79</v>
      </c>
      <c r="AD2935" t="s">
        <v>75</v>
      </c>
      <c r="AE2935" t="s">
        <v>103</v>
      </c>
      <c r="AG2935" t="s">
        <v>81</v>
      </c>
    </row>
    <row r="2936" spans="1:33" x14ac:dyDescent="0.25">
      <c r="A2936" t="str">
        <f>"1235553207"</f>
        <v>1235553207</v>
      </c>
      <c r="C2936" t="s">
        <v>17370</v>
      </c>
      <c r="G2936" t="s">
        <v>16280</v>
      </c>
      <c r="H2936" t="s">
        <v>16281</v>
      </c>
      <c r="J2936" t="s">
        <v>16282</v>
      </c>
      <c r="K2936" t="s">
        <v>99</v>
      </c>
      <c r="L2936" t="s">
        <v>74</v>
      </c>
      <c r="M2936" t="s">
        <v>75</v>
      </c>
      <c r="R2936" t="s">
        <v>17371</v>
      </c>
      <c r="S2936" t="s">
        <v>5322</v>
      </c>
      <c r="T2936" t="s">
        <v>97</v>
      </c>
      <c r="U2936" t="s">
        <v>77</v>
      </c>
      <c r="V2936" t="str">
        <f>"100112019"</f>
        <v>100112019</v>
      </c>
      <c r="AC2936" t="s">
        <v>79</v>
      </c>
      <c r="AD2936" t="s">
        <v>75</v>
      </c>
      <c r="AE2936" t="s">
        <v>103</v>
      </c>
      <c r="AG2936" t="s">
        <v>81</v>
      </c>
    </row>
    <row r="2937" spans="1:33" x14ac:dyDescent="0.25">
      <c r="A2937" t="str">
        <f>"1831515618"</f>
        <v>1831515618</v>
      </c>
      <c r="C2937" t="s">
        <v>17372</v>
      </c>
      <c r="G2937" t="s">
        <v>16280</v>
      </c>
      <c r="H2937" t="s">
        <v>16281</v>
      </c>
      <c r="J2937" t="s">
        <v>16282</v>
      </c>
      <c r="K2937" t="s">
        <v>99</v>
      </c>
      <c r="L2937" t="s">
        <v>74</v>
      </c>
      <c r="M2937" t="s">
        <v>75</v>
      </c>
      <c r="R2937" t="s">
        <v>17373</v>
      </c>
      <c r="S2937" t="s">
        <v>17374</v>
      </c>
      <c r="T2937" t="s">
        <v>87</v>
      </c>
      <c r="U2937" t="s">
        <v>77</v>
      </c>
      <c r="V2937" t="str">
        <f>"112331055"</f>
        <v>112331055</v>
      </c>
      <c r="AC2937" t="s">
        <v>79</v>
      </c>
      <c r="AD2937" t="s">
        <v>75</v>
      </c>
      <c r="AE2937" t="s">
        <v>103</v>
      </c>
      <c r="AG2937" t="s">
        <v>81</v>
      </c>
    </row>
    <row r="2938" spans="1:33" x14ac:dyDescent="0.25">
      <c r="A2938" t="str">
        <f>"1588740260"</f>
        <v>1588740260</v>
      </c>
      <c r="B2938" t="str">
        <f>"01723968"</f>
        <v>01723968</v>
      </c>
      <c r="C2938" t="s">
        <v>17375</v>
      </c>
      <c r="D2938" t="s">
        <v>17376</v>
      </c>
      <c r="E2938" t="s">
        <v>17377</v>
      </c>
      <c r="G2938" t="s">
        <v>13504</v>
      </c>
      <c r="H2938" t="s">
        <v>13505</v>
      </c>
      <c r="J2938" t="s">
        <v>13506</v>
      </c>
      <c r="L2938" t="s">
        <v>83</v>
      </c>
      <c r="M2938" t="s">
        <v>85</v>
      </c>
      <c r="R2938" t="s">
        <v>17378</v>
      </c>
      <c r="W2938" t="s">
        <v>17377</v>
      </c>
      <c r="X2938" t="s">
        <v>5380</v>
      </c>
      <c r="Y2938" t="s">
        <v>131</v>
      </c>
      <c r="Z2938" t="s">
        <v>77</v>
      </c>
      <c r="AA2938" t="str">
        <f>"10457"</f>
        <v>10457</v>
      </c>
      <c r="AB2938" t="s">
        <v>78</v>
      </c>
      <c r="AC2938" t="s">
        <v>79</v>
      </c>
      <c r="AD2938" t="s">
        <v>75</v>
      </c>
      <c r="AE2938" t="s">
        <v>80</v>
      </c>
      <c r="AG2938" t="s">
        <v>81</v>
      </c>
    </row>
    <row r="2939" spans="1:33" x14ac:dyDescent="0.25">
      <c r="A2939" t="str">
        <f>"1609189653"</f>
        <v>1609189653</v>
      </c>
      <c r="B2939" t="str">
        <f>"01518203"</f>
        <v>01518203</v>
      </c>
      <c r="C2939" t="s">
        <v>17379</v>
      </c>
      <c r="D2939" t="s">
        <v>17380</v>
      </c>
      <c r="E2939" t="s">
        <v>17381</v>
      </c>
      <c r="G2939" t="s">
        <v>13504</v>
      </c>
      <c r="H2939" t="s">
        <v>13505</v>
      </c>
      <c r="J2939" t="s">
        <v>13506</v>
      </c>
      <c r="L2939" t="s">
        <v>84</v>
      </c>
      <c r="M2939" t="s">
        <v>85</v>
      </c>
      <c r="R2939" t="s">
        <v>17382</v>
      </c>
      <c r="W2939" t="s">
        <v>17382</v>
      </c>
      <c r="X2939" t="s">
        <v>17383</v>
      </c>
      <c r="Y2939" t="s">
        <v>286</v>
      </c>
      <c r="Z2939" t="s">
        <v>77</v>
      </c>
      <c r="AA2939" t="str">
        <f>"11417-2501"</f>
        <v>11417-2501</v>
      </c>
      <c r="AB2939" t="s">
        <v>78</v>
      </c>
      <c r="AC2939" t="s">
        <v>79</v>
      </c>
      <c r="AD2939" t="s">
        <v>75</v>
      </c>
      <c r="AE2939" t="s">
        <v>80</v>
      </c>
      <c r="AG2939" t="s">
        <v>81</v>
      </c>
    </row>
    <row r="2940" spans="1:33" x14ac:dyDescent="0.25">
      <c r="A2940" t="str">
        <f>"1255425948"</f>
        <v>1255425948</v>
      </c>
      <c r="B2940" t="str">
        <f>"01788783"</f>
        <v>01788783</v>
      </c>
      <c r="C2940" t="s">
        <v>17384</v>
      </c>
      <c r="D2940" t="s">
        <v>17385</v>
      </c>
      <c r="E2940" t="s">
        <v>17386</v>
      </c>
      <c r="G2940" t="s">
        <v>13504</v>
      </c>
      <c r="H2940" t="s">
        <v>13505</v>
      </c>
      <c r="J2940" t="s">
        <v>13506</v>
      </c>
      <c r="L2940" t="s">
        <v>83</v>
      </c>
      <c r="M2940" t="s">
        <v>75</v>
      </c>
      <c r="R2940" t="s">
        <v>17387</v>
      </c>
      <c r="W2940" t="s">
        <v>17386</v>
      </c>
      <c r="X2940" t="s">
        <v>202</v>
      </c>
      <c r="Y2940" t="s">
        <v>87</v>
      </c>
      <c r="Z2940" t="s">
        <v>77</v>
      </c>
      <c r="AA2940" t="str">
        <f>"11201-5425"</f>
        <v>11201-5425</v>
      </c>
      <c r="AB2940" t="s">
        <v>78</v>
      </c>
      <c r="AC2940" t="s">
        <v>79</v>
      </c>
      <c r="AD2940" t="s">
        <v>75</v>
      </c>
      <c r="AE2940" t="s">
        <v>80</v>
      </c>
      <c r="AG2940" t="s">
        <v>81</v>
      </c>
    </row>
    <row r="2941" spans="1:33" x14ac:dyDescent="0.25">
      <c r="A2941" t="str">
        <f>"1538181540"</f>
        <v>1538181540</v>
      </c>
      <c r="B2941" t="str">
        <f>"01737686"</f>
        <v>01737686</v>
      </c>
      <c r="C2941" t="s">
        <v>17388</v>
      </c>
      <c r="D2941" t="s">
        <v>17389</v>
      </c>
      <c r="E2941" t="s">
        <v>17390</v>
      </c>
      <c r="G2941" t="s">
        <v>13504</v>
      </c>
      <c r="H2941" t="s">
        <v>13505</v>
      </c>
      <c r="J2941" t="s">
        <v>13506</v>
      </c>
      <c r="L2941" t="s">
        <v>74</v>
      </c>
      <c r="M2941" t="s">
        <v>75</v>
      </c>
      <c r="R2941" t="s">
        <v>17391</v>
      </c>
      <c r="W2941" t="s">
        <v>17390</v>
      </c>
      <c r="X2941" t="s">
        <v>642</v>
      </c>
      <c r="Y2941" t="s">
        <v>87</v>
      </c>
      <c r="Z2941" t="s">
        <v>77</v>
      </c>
      <c r="AA2941" t="str">
        <f>"11201-5493"</f>
        <v>11201-5493</v>
      </c>
      <c r="AB2941" t="s">
        <v>78</v>
      </c>
      <c r="AC2941" t="s">
        <v>79</v>
      </c>
      <c r="AD2941" t="s">
        <v>75</v>
      </c>
      <c r="AE2941" t="s">
        <v>80</v>
      </c>
      <c r="AG2941" t="s">
        <v>81</v>
      </c>
    </row>
    <row r="2942" spans="1:33" x14ac:dyDescent="0.25">
      <c r="A2942" t="str">
        <f>"1144248923"</f>
        <v>1144248923</v>
      </c>
      <c r="B2942" t="str">
        <f>"01724125"</f>
        <v>01724125</v>
      </c>
      <c r="C2942" t="s">
        <v>17392</v>
      </c>
      <c r="D2942" t="s">
        <v>17393</v>
      </c>
      <c r="E2942" t="s">
        <v>17394</v>
      </c>
      <c r="G2942" t="s">
        <v>13504</v>
      </c>
      <c r="H2942" t="s">
        <v>13505</v>
      </c>
      <c r="J2942" t="s">
        <v>13506</v>
      </c>
      <c r="L2942" t="s">
        <v>83</v>
      </c>
      <c r="M2942" t="s">
        <v>75</v>
      </c>
      <c r="R2942" t="s">
        <v>17395</v>
      </c>
      <c r="W2942" t="s">
        <v>17394</v>
      </c>
      <c r="X2942" t="s">
        <v>642</v>
      </c>
      <c r="Y2942" t="s">
        <v>87</v>
      </c>
      <c r="Z2942" t="s">
        <v>77</v>
      </c>
      <c r="AA2942" t="str">
        <f>"11201-5493"</f>
        <v>11201-5493</v>
      </c>
      <c r="AB2942" t="s">
        <v>78</v>
      </c>
      <c r="AC2942" t="s">
        <v>79</v>
      </c>
      <c r="AD2942" t="s">
        <v>75</v>
      </c>
      <c r="AE2942" t="s">
        <v>80</v>
      </c>
      <c r="AG2942" t="s">
        <v>81</v>
      </c>
    </row>
    <row r="2943" spans="1:33" x14ac:dyDescent="0.25">
      <c r="A2943" t="str">
        <f>"1033202544"</f>
        <v>1033202544</v>
      </c>
      <c r="B2943" t="str">
        <f>"01077632"</f>
        <v>01077632</v>
      </c>
      <c r="C2943" t="s">
        <v>17396</v>
      </c>
      <c r="D2943" t="s">
        <v>1891</v>
      </c>
      <c r="E2943" t="s">
        <v>1892</v>
      </c>
      <c r="G2943" t="s">
        <v>17397</v>
      </c>
      <c r="H2943" t="s">
        <v>17398</v>
      </c>
      <c r="J2943" t="s">
        <v>17399</v>
      </c>
      <c r="L2943" t="s">
        <v>84</v>
      </c>
      <c r="M2943" t="s">
        <v>85</v>
      </c>
      <c r="R2943" t="s">
        <v>1890</v>
      </c>
      <c r="W2943" t="s">
        <v>1892</v>
      </c>
      <c r="X2943" t="s">
        <v>1893</v>
      </c>
      <c r="Y2943" t="s">
        <v>216</v>
      </c>
      <c r="Z2943" t="s">
        <v>77</v>
      </c>
      <c r="AA2943" t="str">
        <f>"11691"</f>
        <v>11691</v>
      </c>
      <c r="AB2943" t="s">
        <v>78</v>
      </c>
      <c r="AC2943" t="s">
        <v>79</v>
      </c>
      <c r="AD2943" t="s">
        <v>75</v>
      </c>
      <c r="AE2943" t="s">
        <v>80</v>
      </c>
      <c r="AG2943" t="s">
        <v>81</v>
      </c>
    </row>
    <row r="2944" spans="1:33" x14ac:dyDescent="0.25">
      <c r="A2944" t="str">
        <f>"1891986980"</f>
        <v>1891986980</v>
      </c>
      <c r="B2944" t="str">
        <f>"01571255"</f>
        <v>01571255</v>
      </c>
      <c r="C2944" t="s">
        <v>17400</v>
      </c>
      <c r="D2944" t="s">
        <v>17401</v>
      </c>
      <c r="E2944" t="s">
        <v>17402</v>
      </c>
      <c r="G2944" t="s">
        <v>7676</v>
      </c>
      <c r="H2944" t="s">
        <v>7677</v>
      </c>
      <c r="I2944">
        <v>327</v>
      </c>
      <c r="J2944" t="s">
        <v>7678</v>
      </c>
      <c r="L2944" t="s">
        <v>102</v>
      </c>
      <c r="M2944" t="s">
        <v>75</v>
      </c>
      <c r="R2944" t="s">
        <v>17403</v>
      </c>
      <c r="W2944" t="s">
        <v>17402</v>
      </c>
      <c r="X2944" t="s">
        <v>4883</v>
      </c>
      <c r="Y2944" t="s">
        <v>97</v>
      </c>
      <c r="Z2944" t="s">
        <v>77</v>
      </c>
      <c r="AA2944" t="str">
        <f>"10001-1701"</f>
        <v>10001-1701</v>
      </c>
      <c r="AB2944" t="s">
        <v>78</v>
      </c>
      <c r="AC2944" t="s">
        <v>79</v>
      </c>
      <c r="AD2944" t="s">
        <v>75</v>
      </c>
      <c r="AE2944" t="s">
        <v>80</v>
      </c>
      <c r="AG2944" t="s">
        <v>81</v>
      </c>
    </row>
    <row r="2945" spans="1:33" x14ac:dyDescent="0.25">
      <c r="A2945" t="str">
        <f>"1104144369"</f>
        <v>1104144369</v>
      </c>
      <c r="B2945" t="str">
        <f>"03886651"</f>
        <v>03886651</v>
      </c>
      <c r="C2945" t="s">
        <v>17404</v>
      </c>
      <c r="D2945" t="s">
        <v>4880</v>
      </c>
      <c r="E2945" t="s">
        <v>4881</v>
      </c>
      <c r="G2945" t="s">
        <v>7676</v>
      </c>
      <c r="H2945" t="s">
        <v>7677</v>
      </c>
      <c r="I2945">
        <v>327</v>
      </c>
      <c r="J2945" t="s">
        <v>7678</v>
      </c>
      <c r="L2945" t="s">
        <v>102</v>
      </c>
      <c r="M2945" t="s">
        <v>75</v>
      </c>
      <c r="R2945" t="s">
        <v>4882</v>
      </c>
      <c r="W2945" t="s">
        <v>4882</v>
      </c>
      <c r="X2945" t="s">
        <v>4883</v>
      </c>
      <c r="Y2945" t="s">
        <v>97</v>
      </c>
      <c r="Z2945" t="s">
        <v>77</v>
      </c>
      <c r="AA2945" t="str">
        <f>"10001-1701"</f>
        <v>10001-1701</v>
      </c>
      <c r="AB2945" t="s">
        <v>78</v>
      </c>
      <c r="AC2945" t="s">
        <v>79</v>
      </c>
      <c r="AD2945" t="s">
        <v>75</v>
      </c>
      <c r="AE2945" t="s">
        <v>80</v>
      </c>
      <c r="AG2945" t="s">
        <v>81</v>
      </c>
    </row>
    <row r="2946" spans="1:33" x14ac:dyDescent="0.25">
      <c r="A2946" t="str">
        <f>"1639155609"</f>
        <v>1639155609</v>
      </c>
      <c r="B2946" t="str">
        <f>"00713951"</f>
        <v>00713951</v>
      </c>
      <c r="C2946" t="s">
        <v>17405</v>
      </c>
      <c r="D2946" t="s">
        <v>17406</v>
      </c>
      <c r="E2946" t="s">
        <v>17407</v>
      </c>
      <c r="G2946" t="s">
        <v>7676</v>
      </c>
      <c r="H2946" t="s">
        <v>7677</v>
      </c>
      <c r="I2946">
        <v>327</v>
      </c>
      <c r="J2946" t="s">
        <v>7678</v>
      </c>
      <c r="L2946" t="s">
        <v>83</v>
      </c>
      <c r="M2946" t="s">
        <v>75</v>
      </c>
      <c r="R2946" t="s">
        <v>17408</v>
      </c>
      <c r="W2946" t="s">
        <v>17409</v>
      </c>
      <c r="X2946" t="s">
        <v>17410</v>
      </c>
      <c r="Y2946" t="s">
        <v>17411</v>
      </c>
      <c r="Z2946" t="s">
        <v>77</v>
      </c>
      <c r="AA2946" t="str">
        <f>"11710-1839"</f>
        <v>11710-1839</v>
      </c>
      <c r="AB2946" t="s">
        <v>128</v>
      </c>
      <c r="AC2946" t="s">
        <v>79</v>
      </c>
      <c r="AD2946" t="s">
        <v>75</v>
      </c>
      <c r="AE2946" t="s">
        <v>80</v>
      </c>
      <c r="AG2946" t="s">
        <v>81</v>
      </c>
    </row>
    <row r="2947" spans="1:33" x14ac:dyDescent="0.25">
      <c r="A2947" t="str">
        <f>"1881838076"</f>
        <v>1881838076</v>
      </c>
      <c r="C2947" t="s">
        <v>17412</v>
      </c>
      <c r="G2947" t="s">
        <v>7218</v>
      </c>
      <c r="H2947" t="s">
        <v>6801</v>
      </c>
      <c r="I2947">
        <v>6136</v>
      </c>
      <c r="J2947" t="s">
        <v>7219</v>
      </c>
      <c r="K2947" t="s">
        <v>99</v>
      </c>
      <c r="L2947" t="s">
        <v>102</v>
      </c>
      <c r="M2947" t="s">
        <v>75</v>
      </c>
      <c r="R2947" t="s">
        <v>17413</v>
      </c>
      <c r="S2947" t="s">
        <v>17414</v>
      </c>
      <c r="T2947" t="s">
        <v>97</v>
      </c>
      <c r="U2947" t="s">
        <v>77</v>
      </c>
      <c r="V2947" t="str">
        <f>"100012382"</f>
        <v>100012382</v>
      </c>
      <c r="AC2947" t="s">
        <v>79</v>
      </c>
      <c r="AD2947" t="s">
        <v>75</v>
      </c>
      <c r="AE2947" t="s">
        <v>103</v>
      </c>
      <c r="AG2947" t="s">
        <v>81</v>
      </c>
    </row>
    <row r="2948" spans="1:33" x14ac:dyDescent="0.25">
      <c r="A2948" t="str">
        <f>"1700847951"</f>
        <v>1700847951</v>
      </c>
      <c r="B2948" t="str">
        <f>"02048319"</f>
        <v>02048319</v>
      </c>
      <c r="C2948" t="s">
        <v>13436</v>
      </c>
      <c r="D2948" t="s">
        <v>17415</v>
      </c>
      <c r="E2948" t="s">
        <v>17416</v>
      </c>
      <c r="G2948" t="s">
        <v>17417</v>
      </c>
      <c r="L2948" t="s">
        <v>74</v>
      </c>
      <c r="M2948" t="s">
        <v>85</v>
      </c>
      <c r="R2948" t="s">
        <v>17418</v>
      </c>
      <c r="W2948" t="s">
        <v>17418</v>
      </c>
      <c r="X2948" t="s">
        <v>16708</v>
      </c>
      <c r="Y2948" t="s">
        <v>97</v>
      </c>
      <c r="Z2948" t="s">
        <v>77</v>
      </c>
      <c r="AA2948" t="str">
        <f>"10024-5116"</f>
        <v>10024-5116</v>
      </c>
      <c r="AB2948" t="s">
        <v>78</v>
      </c>
      <c r="AC2948" t="s">
        <v>79</v>
      </c>
      <c r="AD2948" t="s">
        <v>75</v>
      </c>
      <c r="AE2948" t="s">
        <v>80</v>
      </c>
      <c r="AG2948" t="s">
        <v>81</v>
      </c>
    </row>
    <row r="2949" spans="1:33" x14ac:dyDescent="0.25">
      <c r="A2949" t="str">
        <f>"1700868163"</f>
        <v>1700868163</v>
      </c>
      <c r="B2949" t="str">
        <f>"01706418"</f>
        <v>01706418</v>
      </c>
      <c r="C2949" t="s">
        <v>13436</v>
      </c>
      <c r="D2949" t="s">
        <v>17419</v>
      </c>
      <c r="E2949" t="s">
        <v>17420</v>
      </c>
      <c r="G2949" t="s">
        <v>17421</v>
      </c>
      <c r="L2949" t="s">
        <v>83</v>
      </c>
      <c r="M2949" t="s">
        <v>85</v>
      </c>
      <c r="R2949" t="s">
        <v>17422</v>
      </c>
      <c r="W2949" t="s">
        <v>17420</v>
      </c>
      <c r="X2949" t="s">
        <v>1511</v>
      </c>
      <c r="Y2949" t="s">
        <v>97</v>
      </c>
      <c r="Z2949" t="s">
        <v>77</v>
      </c>
      <c r="AA2949" t="str">
        <f>"10003-3314"</f>
        <v>10003-3314</v>
      </c>
      <c r="AB2949" t="s">
        <v>78</v>
      </c>
      <c r="AC2949" t="s">
        <v>79</v>
      </c>
      <c r="AD2949" t="s">
        <v>75</v>
      </c>
      <c r="AE2949" t="s">
        <v>80</v>
      </c>
      <c r="AG2949" t="s">
        <v>81</v>
      </c>
    </row>
    <row r="2950" spans="1:33" x14ac:dyDescent="0.25">
      <c r="A2950" t="str">
        <f>"1700876943"</f>
        <v>1700876943</v>
      </c>
      <c r="B2950" t="str">
        <f>"01768294"</f>
        <v>01768294</v>
      </c>
      <c r="C2950" t="s">
        <v>13436</v>
      </c>
      <c r="D2950" t="s">
        <v>17423</v>
      </c>
      <c r="E2950" t="s">
        <v>17424</v>
      </c>
      <c r="G2950" t="s">
        <v>17425</v>
      </c>
      <c r="L2950" t="s">
        <v>83</v>
      </c>
      <c r="M2950" t="s">
        <v>85</v>
      </c>
      <c r="R2950" t="s">
        <v>17426</v>
      </c>
      <c r="W2950" t="s">
        <v>17424</v>
      </c>
      <c r="X2950" t="s">
        <v>984</v>
      </c>
      <c r="Y2950" t="s">
        <v>97</v>
      </c>
      <c r="Z2950" t="s">
        <v>77</v>
      </c>
      <c r="AA2950" t="str">
        <f>"10029-7491"</f>
        <v>10029-7491</v>
      </c>
      <c r="AB2950" t="s">
        <v>78</v>
      </c>
      <c r="AC2950" t="s">
        <v>79</v>
      </c>
      <c r="AD2950" t="s">
        <v>75</v>
      </c>
      <c r="AE2950" t="s">
        <v>80</v>
      </c>
      <c r="AG2950" t="s">
        <v>81</v>
      </c>
    </row>
    <row r="2951" spans="1:33" x14ac:dyDescent="0.25">
      <c r="A2951" t="str">
        <f>"1700887205"</f>
        <v>1700887205</v>
      </c>
      <c r="B2951" t="str">
        <f>"02407014"</f>
        <v>02407014</v>
      </c>
      <c r="C2951" t="s">
        <v>13436</v>
      </c>
      <c r="D2951" t="s">
        <v>17427</v>
      </c>
      <c r="E2951" t="s">
        <v>17428</v>
      </c>
      <c r="G2951" t="s">
        <v>17429</v>
      </c>
      <c r="L2951" t="s">
        <v>83</v>
      </c>
      <c r="M2951" t="s">
        <v>85</v>
      </c>
      <c r="R2951" t="s">
        <v>17430</v>
      </c>
      <c r="W2951" t="s">
        <v>17428</v>
      </c>
      <c r="X2951" t="s">
        <v>17431</v>
      </c>
      <c r="Y2951" t="s">
        <v>97</v>
      </c>
      <c r="Z2951" t="s">
        <v>77</v>
      </c>
      <c r="AA2951" t="str">
        <f>"10019-3149"</f>
        <v>10019-3149</v>
      </c>
      <c r="AB2951" t="s">
        <v>78</v>
      </c>
      <c r="AC2951" t="s">
        <v>79</v>
      </c>
      <c r="AD2951" t="s">
        <v>75</v>
      </c>
      <c r="AE2951" t="s">
        <v>80</v>
      </c>
      <c r="AG2951" t="s">
        <v>81</v>
      </c>
    </row>
    <row r="2952" spans="1:33" x14ac:dyDescent="0.25">
      <c r="A2952" t="str">
        <f>"1700938297"</f>
        <v>1700938297</v>
      </c>
      <c r="B2952" t="str">
        <f>"01016366"</f>
        <v>01016366</v>
      </c>
      <c r="C2952" t="s">
        <v>13436</v>
      </c>
      <c r="D2952" t="s">
        <v>17432</v>
      </c>
      <c r="E2952" t="s">
        <v>17433</v>
      </c>
      <c r="G2952" t="s">
        <v>17434</v>
      </c>
      <c r="L2952" t="s">
        <v>74</v>
      </c>
      <c r="M2952" t="s">
        <v>85</v>
      </c>
      <c r="R2952" t="s">
        <v>17435</v>
      </c>
      <c r="W2952" t="s">
        <v>17433</v>
      </c>
      <c r="X2952" t="s">
        <v>3553</v>
      </c>
      <c r="Y2952" t="s">
        <v>97</v>
      </c>
      <c r="Z2952" t="s">
        <v>77</v>
      </c>
      <c r="AA2952" t="str">
        <f>"10003-3851"</f>
        <v>10003-3851</v>
      </c>
      <c r="AB2952" t="s">
        <v>78</v>
      </c>
      <c r="AC2952" t="s">
        <v>79</v>
      </c>
      <c r="AD2952" t="s">
        <v>75</v>
      </c>
      <c r="AE2952" t="s">
        <v>80</v>
      </c>
      <c r="AG2952" t="s">
        <v>81</v>
      </c>
    </row>
    <row r="2953" spans="1:33" x14ac:dyDescent="0.25">
      <c r="A2953" t="str">
        <f>"1700982212"</f>
        <v>1700982212</v>
      </c>
      <c r="B2953" t="str">
        <f>"02197015"</f>
        <v>02197015</v>
      </c>
      <c r="C2953" t="s">
        <v>13436</v>
      </c>
      <c r="D2953" t="s">
        <v>17436</v>
      </c>
      <c r="E2953" t="s">
        <v>17437</v>
      </c>
      <c r="G2953" t="s">
        <v>17438</v>
      </c>
      <c r="L2953" t="s">
        <v>83</v>
      </c>
      <c r="M2953" t="s">
        <v>85</v>
      </c>
      <c r="R2953" t="s">
        <v>17439</v>
      </c>
      <c r="W2953" t="s">
        <v>17437</v>
      </c>
      <c r="Y2953" t="s">
        <v>97</v>
      </c>
      <c r="Z2953" t="s">
        <v>77</v>
      </c>
      <c r="AA2953" t="str">
        <f>"10065-4870"</f>
        <v>10065-4870</v>
      </c>
      <c r="AB2953" t="s">
        <v>78</v>
      </c>
      <c r="AC2953" t="s">
        <v>79</v>
      </c>
      <c r="AD2953" t="s">
        <v>75</v>
      </c>
      <c r="AE2953" t="s">
        <v>80</v>
      </c>
      <c r="AG2953" t="s">
        <v>81</v>
      </c>
    </row>
    <row r="2954" spans="1:33" x14ac:dyDescent="0.25">
      <c r="A2954" t="str">
        <f>"1710023429"</f>
        <v>1710023429</v>
      </c>
      <c r="B2954" t="str">
        <f>"01199040"</f>
        <v>01199040</v>
      </c>
      <c r="C2954" t="s">
        <v>13436</v>
      </c>
      <c r="D2954" t="s">
        <v>17440</v>
      </c>
      <c r="E2954" t="s">
        <v>17441</v>
      </c>
      <c r="G2954" t="s">
        <v>17442</v>
      </c>
      <c r="L2954" t="s">
        <v>74</v>
      </c>
      <c r="M2954" t="s">
        <v>85</v>
      </c>
      <c r="R2954" t="s">
        <v>17443</v>
      </c>
      <c r="W2954" t="s">
        <v>17441</v>
      </c>
      <c r="X2954" t="s">
        <v>17444</v>
      </c>
      <c r="Y2954" t="s">
        <v>97</v>
      </c>
      <c r="Z2954" t="s">
        <v>77</v>
      </c>
      <c r="AA2954" t="str">
        <f>"10023-7906"</f>
        <v>10023-7906</v>
      </c>
      <c r="AB2954" t="s">
        <v>78</v>
      </c>
      <c r="AC2954" t="s">
        <v>79</v>
      </c>
      <c r="AD2954" t="s">
        <v>75</v>
      </c>
      <c r="AE2954" t="s">
        <v>80</v>
      </c>
      <c r="AG2954" t="s">
        <v>81</v>
      </c>
    </row>
    <row r="2955" spans="1:33" x14ac:dyDescent="0.25">
      <c r="A2955" t="str">
        <f>"1710117320"</f>
        <v>1710117320</v>
      </c>
      <c r="B2955" t="str">
        <f>"03164234"</f>
        <v>03164234</v>
      </c>
      <c r="C2955" t="s">
        <v>13436</v>
      </c>
      <c r="D2955" t="s">
        <v>17445</v>
      </c>
      <c r="E2955" t="s">
        <v>17446</v>
      </c>
      <c r="G2955" t="s">
        <v>17447</v>
      </c>
      <c r="L2955" t="s">
        <v>84</v>
      </c>
      <c r="M2955" t="s">
        <v>85</v>
      </c>
      <c r="R2955" t="s">
        <v>17448</v>
      </c>
      <c r="W2955" t="s">
        <v>17446</v>
      </c>
      <c r="X2955" t="s">
        <v>263</v>
      </c>
      <c r="Y2955" t="s">
        <v>97</v>
      </c>
      <c r="Z2955" t="s">
        <v>77</v>
      </c>
      <c r="AA2955" t="str">
        <f>"10011-8202"</f>
        <v>10011-8202</v>
      </c>
      <c r="AB2955" t="s">
        <v>78</v>
      </c>
      <c r="AC2955" t="s">
        <v>79</v>
      </c>
      <c r="AD2955" t="s">
        <v>75</v>
      </c>
      <c r="AE2955" t="s">
        <v>80</v>
      </c>
      <c r="AG2955" t="s">
        <v>81</v>
      </c>
    </row>
    <row r="2956" spans="1:33" x14ac:dyDescent="0.25">
      <c r="A2956" t="str">
        <f>"1497008684"</f>
        <v>1497008684</v>
      </c>
      <c r="C2956" t="s">
        <v>17449</v>
      </c>
      <c r="G2956" t="s">
        <v>7218</v>
      </c>
      <c r="H2956" t="s">
        <v>6801</v>
      </c>
      <c r="I2956">
        <v>6136</v>
      </c>
      <c r="J2956" t="s">
        <v>7219</v>
      </c>
      <c r="K2956" t="s">
        <v>99</v>
      </c>
      <c r="L2956" t="s">
        <v>102</v>
      </c>
      <c r="M2956" t="s">
        <v>75</v>
      </c>
      <c r="R2956" t="s">
        <v>17450</v>
      </c>
      <c r="S2956" t="s">
        <v>6229</v>
      </c>
      <c r="T2956" t="s">
        <v>97</v>
      </c>
      <c r="U2956" t="s">
        <v>77</v>
      </c>
      <c r="V2956" t="str">
        <f>"100012320"</f>
        <v>100012320</v>
      </c>
      <c r="AC2956" t="s">
        <v>79</v>
      </c>
      <c r="AD2956" t="s">
        <v>75</v>
      </c>
      <c r="AE2956" t="s">
        <v>103</v>
      </c>
      <c r="AG2956" t="s">
        <v>81</v>
      </c>
    </row>
    <row r="2957" spans="1:33" x14ac:dyDescent="0.25">
      <c r="A2957" t="str">
        <f>"1497166375"</f>
        <v>1497166375</v>
      </c>
      <c r="C2957" t="s">
        <v>17451</v>
      </c>
      <c r="G2957" t="s">
        <v>7218</v>
      </c>
      <c r="H2957" t="s">
        <v>6801</v>
      </c>
      <c r="I2957">
        <v>6136</v>
      </c>
      <c r="J2957" t="s">
        <v>7219</v>
      </c>
      <c r="K2957" t="s">
        <v>99</v>
      </c>
      <c r="L2957" t="s">
        <v>102</v>
      </c>
      <c r="M2957" t="s">
        <v>75</v>
      </c>
      <c r="R2957" t="s">
        <v>17452</v>
      </c>
      <c r="S2957" t="s">
        <v>17453</v>
      </c>
      <c r="T2957" t="s">
        <v>97</v>
      </c>
      <c r="U2957" t="s">
        <v>77</v>
      </c>
      <c r="V2957" t="str">
        <f>"10001"</f>
        <v>10001</v>
      </c>
      <c r="AC2957" t="s">
        <v>79</v>
      </c>
      <c r="AD2957" t="s">
        <v>75</v>
      </c>
      <c r="AE2957" t="s">
        <v>103</v>
      </c>
      <c r="AG2957" t="s">
        <v>81</v>
      </c>
    </row>
    <row r="2958" spans="1:33" x14ac:dyDescent="0.25">
      <c r="A2958" t="str">
        <f>"1316974264"</f>
        <v>1316974264</v>
      </c>
      <c r="B2958" t="str">
        <f>"02770487"</f>
        <v>02770487</v>
      </c>
      <c r="C2958" t="s">
        <v>17454</v>
      </c>
      <c r="D2958" t="s">
        <v>17455</v>
      </c>
      <c r="E2958" t="s">
        <v>17456</v>
      </c>
      <c r="G2958" t="s">
        <v>17457</v>
      </c>
      <c r="H2958" t="s">
        <v>2558</v>
      </c>
      <c r="L2958" t="s">
        <v>83</v>
      </c>
      <c r="M2958" t="s">
        <v>85</v>
      </c>
      <c r="R2958" t="s">
        <v>17458</v>
      </c>
      <c r="W2958" t="s">
        <v>17459</v>
      </c>
      <c r="X2958" t="s">
        <v>7804</v>
      </c>
      <c r="Y2958" t="s">
        <v>87</v>
      </c>
      <c r="Z2958" t="s">
        <v>77</v>
      </c>
      <c r="AA2958" t="str">
        <f>"11214-2825"</f>
        <v>11214-2825</v>
      </c>
      <c r="AB2958" t="s">
        <v>78</v>
      </c>
      <c r="AC2958" t="s">
        <v>79</v>
      </c>
      <c r="AD2958" t="s">
        <v>75</v>
      </c>
      <c r="AE2958" t="s">
        <v>80</v>
      </c>
      <c r="AG2958" t="s">
        <v>81</v>
      </c>
    </row>
    <row r="2959" spans="1:33" x14ac:dyDescent="0.25">
      <c r="A2959" t="str">
        <f>"1841233046"</f>
        <v>1841233046</v>
      </c>
      <c r="B2959" t="str">
        <f>"00235878"</f>
        <v>00235878</v>
      </c>
      <c r="C2959" t="s">
        <v>17460</v>
      </c>
      <c r="D2959" t="s">
        <v>17461</v>
      </c>
      <c r="E2959" t="s">
        <v>17462</v>
      </c>
      <c r="G2959" t="s">
        <v>17463</v>
      </c>
      <c r="H2959" t="s">
        <v>17464</v>
      </c>
      <c r="J2959" t="s">
        <v>17465</v>
      </c>
      <c r="L2959" t="s">
        <v>84</v>
      </c>
      <c r="M2959" t="s">
        <v>85</v>
      </c>
      <c r="R2959" t="s">
        <v>17466</v>
      </c>
      <c r="W2959" t="s">
        <v>17462</v>
      </c>
      <c r="X2959" t="s">
        <v>17467</v>
      </c>
      <c r="Y2959" t="s">
        <v>218</v>
      </c>
      <c r="Z2959" t="s">
        <v>77</v>
      </c>
      <c r="AA2959" t="str">
        <f>"11570-1426"</f>
        <v>11570-1426</v>
      </c>
      <c r="AB2959" t="s">
        <v>78</v>
      </c>
      <c r="AC2959" t="s">
        <v>79</v>
      </c>
      <c r="AD2959" t="s">
        <v>75</v>
      </c>
      <c r="AE2959" t="s">
        <v>80</v>
      </c>
      <c r="AG2959" t="s">
        <v>81</v>
      </c>
    </row>
    <row r="2960" spans="1:33" x14ac:dyDescent="0.25">
      <c r="A2960" t="str">
        <f>"1285729699"</f>
        <v>1285729699</v>
      </c>
      <c r="B2960" t="str">
        <f>"03094199"</f>
        <v>03094199</v>
      </c>
      <c r="C2960" t="s">
        <v>17468</v>
      </c>
      <c r="D2960" t="s">
        <v>17469</v>
      </c>
      <c r="E2960" t="s">
        <v>17470</v>
      </c>
      <c r="G2960" t="s">
        <v>17468</v>
      </c>
      <c r="H2960" t="s">
        <v>17471</v>
      </c>
      <c r="J2960" t="s">
        <v>17472</v>
      </c>
      <c r="L2960" t="s">
        <v>105</v>
      </c>
      <c r="M2960" t="s">
        <v>75</v>
      </c>
      <c r="R2960" t="s">
        <v>17473</v>
      </c>
      <c r="W2960" t="s">
        <v>17470</v>
      </c>
      <c r="X2960" t="s">
        <v>215</v>
      </c>
      <c r="Y2960" t="s">
        <v>216</v>
      </c>
      <c r="Z2960" t="s">
        <v>77</v>
      </c>
      <c r="AA2960" t="str">
        <f>"11691-4423"</f>
        <v>11691-4423</v>
      </c>
      <c r="AB2960" t="s">
        <v>78</v>
      </c>
      <c r="AC2960" t="s">
        <v>79</v>
      </c>
      <c r="AD2960" t="s">
        <v>75</v>
      </c>
      <c r="AE2960" t="s">
        <v>80</v>
      </c>
      <c r="AG2960" t="s">
        <v>81</v>
      </c>
    </row>
    <row r="2961" spans="1:33" x14ac:dyDescent="0.25">
      <c r="A2961" t="str">
        <f>"1619132636"</f>
        <v>1619132636</v>
      </c>
      <c r="B2961" t="str">
        <f>"03366630"</f>
        <v>03366630</v>
      </c>
      <c r="C2961" t="s">
        <v>17474</v>
      </c>
      <c r="D2961" t="s">
        <v>17475</v>
      </c>
      <c r="E2961" t="s">
        <v>17476</v>
      </c>
      <c r="G2961" t="s">
        <v>13504</v>
      </c>
      <c r="H2961" t="s">
        <v>13505</v>
      </c>
      <c r="J2961" t="s">
        <v>13506</v>
      </c>
      <c r="L2961" t="s">
        <v>83</v>
      </c>
      <c r="M2961" t="s">
        <v>85</v>
      </c>
      <c r="R2961" t="s">
        <v>17477</v>
      </c>
      <c r="W2961" t="s">
        <v>17476</v>
      </c>
      <c r="X2961" t="s">
        <v>17478</v>
      </c>
      <c r="Y2961" t="s">
        <v>87</v>
      </c>
      <c r="Z2961" t="s">
        <v>77</v>
      </c>
      <c r="AA2961" t="str">
        <f>"11203-3513"</f>
        <v>11203-3513</v>
      </c>
      <c r="AB2961" t="s">
        <v>78</v>
      </c>
      <c r="AC2961" t="s">
        <v>79</v>
      </c>
      <c r="AD2961" t="s">
        <v>75</v>
      </c>
      <c r="AE2961" t="s">
        <v>80</v>
      </c>
      <c r="AG2961" t="s">
        <v>81</v>
      </c>
    </row>
    <row r="2962" spans="1:33" x14ac:dyDescent="0.25">
      <c r="A2962" t="str">
        <f>"1972528602"</f>
        <v>1972528602</v>
      </c>
      <c r="B2962" t="str">
        <f>"03624513"</f>
        <v>03624513</v>
      </c>
      <c r="C2962" t="s">
        <v>17479</v>
      </c>
      <c r="D2962" t="s">
        <v>17480</v>
      </c>
      <c r="E2962" t="s">
        <v>17481</v>
      </c>
      <c r="G2962" t="s">
        <v>13504</v>
      </c>
      <c r="H2962" t="s">
        <v>13505</v>
      </c>
      <c r="J2962" t="s">
        <v>13506</v>
      </c>
      <c r="L2962" t="s">
        <v>83</v>
      </c>
      <c r="M2962" t="s">
        <v>75</v>
      </c>
      <c r="R2962" t="s">
        <v>17482</v>
      </c>
      <c r="W2962" t="s">
        <v>17483</v>
      </c>
      <c r="X2962" t="s">
        <v>17484</v>
      </c>
      <c r="Y2962" t="s">
        <v>97</v>
      </c>
      <c r="Z2962" t="s">
        <v>77</v>
      </c>
      <c r="AA2962" t="str">
        <f>"10065-4870"</f>
        <v>10065-4870</v>
      </c>
      <c r="AB2962" t="s">
        <v>78</v>
      </c>
      <c r="AC2962" t="s">
        <v>79</v>
      </c>
      <c r="AD2962" t="s">
        <v>75</v>
      </c>
      <c r="AE2962" t="s">
        <v>80</v>
      </c>
      <c r="AG2962" t="s">
        <v>81</v>
      </c>
    </row>
    <row r="2963" spans="1:33" x14ac:dyDescent="0.25">
      <c r="A2963" t="str">
        <f>"1134370810"</f>
        <v>1134370810</v>
      </c>
      <c r="B2963" t="str">
        <f>"03599497"</f>
        <v>03599497</v>
      </c>
      <c r="C2963" t="s">
        <v>17485</v>
      </c>
      <c r="D2963" t="s">
        <v>17486</v>
      </c>
      <c r="E2963" t="s">
        <v>17487</v>
      </c>
      <c r="G2963" t="s">
        <v>13504</v>
      </c>
      <c r="H2963" t="s">
        <v>13505</v>
      </c>
      <c r="J2963" t="s">
        <v>13506</v>
      </c>
      <c r="L2963" t="s">
        <v>74</v>
      </c>
      <c r="M2963" t="s">
        <v>75</v>
      </c>
      <c r="R2963" t="s">
        <v>17488</v>
      </c>
      <c r="W2963" t="s">
        <v>17487</v>
      </c>
      <c r="X2963" t="s">
        <v>202</v>
      </c>
      <c r="Y2963" t="s">
        <v>87</v>
      </c>
      <c r="Z2963" t="s">
        <v>77</v>
      </c>
      <c r="AA2963" t="str">
        <f>"11201-5425"</f>
        <v>11201-5425</v>
      </c>
      <c r="AB2963" t="s">
        <v>78</v>
      </c>
      <c r="AC2963" t="s">
        <v>79</v>
      </c>
      <c r="AD2963" t="s">
        <v>75</v>
      </c>
      <c r="AE2963" t="s">
        <v>80</v>
      </c>
      <c r="AG2963" t="s">
        <v>81</v>
      </c>
    </row>
    <row r="2964" spans="1:33" x14ac:dyDescent="0.25">
      <c r="A2964" t="str">
        <f>"1114105038"</f>
        <v>1114105038</v>
      </c>
      <c r="B2964" t="str">
        <f>"03624751"</f>
        <v>03624751</v>
      </c>
      <c r="C2964" t="s">
        <v>17489</v>
      </c>
      <c r="D2964" t="s">
        <v>17490</v>
      </c>
      <c r="E2964" t="s">
        <v>17491</v>
      </c>
      <c r="G2964" t="s">
        <v>13504</v>
      </c>
      <c r="H2964" t="s">
        <v>13505</v>
      </c>
      <c r="J2964" t="s">
        <v>13506</v>
      </c>
      <c r="L2964" t="s">
        <v>74</v>
      </c>
      <c r="M2964" t="s">
        <v>75</v>
      </c>
      <c r="R2964" t="s">
        <v>17491</v>
      </c>
      <c r="W2964" t="s">
        <v>17491</v>
      </c>
      <c r="X2964" t="s">
        <v>202</v>
      </c>
      <c r="Y2964" t="s">
        <v>87</v>
      </c>
      <c r="Z2964" t="s">
        <v>77</v>
      </c>
      <c r="AA2964" t="str">
        <f>"11201-5425"</f>
        <v>11201-5425</v>
      </c>
      <c r="AB2964" t="s">
        <v>78</v>
      </c>
      <c r="AC2964" t="s">
        <v>79</v>
      </c>
      <c r="AD2964" t="s">
        <v>75</v>
      </c>
      <c r="AE2964" t="s">
        <v>80</v>
      </c>
      <c r="AG2964" t="s">
        <v>81</v>
      </c>
    </row>
    <row r="2965" spans="1:33" x14ac:dyDescent="0.25">
      <c r="A2965" t="str">
        <f>"1821224445"</f>
        <v>1821224445</v>
      </c>
      <c r="B2965" t="str">
        <f>"03688328"</f>
        <v>03688328</v>
      </c>
      <c r="C2965" t="s">
        <v>17492</v>
      </c>
      <c r="D2965" t="s">
        <v>17493</v>
      </c>
      <c r="E2965" t="s">
        <v>17494</v>
      </c>
      <c r="G2965" t="s">
        <v>13504</v>
      </c>
      <c r="H2965" t="s">
        <v>13505</v>
      </c>
      <c r="J2965" t="s">
        <v>13506</v>
      </c>
      <c r="L2965" t="s">
        <v>94</v>
      </c>
      <c r="M2965" t="s">
        <v>75</v>
      </c>
      <c r="R2965" t="s">
        <v>17494</v>
      </c>
      <c r="W2965" t="s">
        <v>17494</v>
      </c>
      <c r="X2965" t="s">
        <v>202</v>
      </c>
      <c r="Y2965" t="s">
        <v>87</v>
      </c>
      <c r="Z2965" t="s">
        <v>77</v>
      </c>
      <c r="AA2965" t="str">
        <f>"11201-5425"</f>
        <v>11201-5425</v>
      </c>
      <c r="AB2965" t="s">
        <v>78</v>
      </c>
      <c r="AC2965" t="s">
        <v>79</v>
      </c>
      <c r="AD2965" t="s">
        <v>75</v>
      </c>
      <c r="AE2965" t="s">
        <v>80</v>
      </c>
      <c r="AG2965" t="s">
        <v>81</v>
      </c>
    </row>
    <row r="2966" spans="1:33" x14ac:dyDescent="0.25">
      <c r="A2966" t="str">
        <f>"1720236151"</f>
        <v>1720236151</v>
      </c>
      <c r="B2966" t="str">
        <f>"03133873"</f>
        <v>03133873</v>
      </c>
      <c r="C2966" t="s">
        <v>17495</v>
      </c>
      <c r="D2966" t="s">
        <v>3860</v>
      </c>
      <c r="E2966" t="s">
        <v>3861</v>
      </c>
      <c r="G2966" t="s">
        <v>13504</v>
      </c>
      <c r="H2966" t="s">
        <v>13505</v>
      </c>
      <c r="J2966" t="s">
        <v>13506</v>
      </c>
      <c r="L2966" t="s">
        <v>74</v>
      </c>
      <c r="M2966" t="s">
        <v>85</v>
      </c>
      <c r="R2966" t="s">
        <v>3862</v>
      </c>
      <c r="W2966" t="s">
        <v>3861</v>
      </c>
      <c r="X2966" t="s">
        <v>202</v>
      </c>
      <c r="Y2966" t="s">
        <v>87</v>
      </c>
      <c r="Z2966" t="s">
        <v>77</v>
      </c>
      <c r="AA2966" t="str">
        <f>"11201-5425"</f>
        <v>11201-5425</v>
      </c>
      <c r="AB2966" t="s">
        <v>78</v>
      </c>
      <c r="AC2966" t="s">
        <v>79</v>
      </c>
      <c r="AD2966" t="s">
        <v>75</v>
      </c>
      <c r="AE2966" t="s">
        <v>80</v>
      </c>
      <c r="AG2966" t="s">
        <v>81</v>
      </c>
    </row>
    <row r="2967" spans="1:33" x14ac:dyDescent="0.25">
      <c r="A2967" t="str">
        <f>"1811314560"</f>
        <v>1811314560</v>
      </c>
      <c r="C2967" t="s">
        <v>17496</v>
      </c>
      <c r="G2967" t="s">
        <v>16280</v>
      </c>
      <c r="H2967" t="s">
        <v>16281</v>
      </c>
      <c r="J2967" t="s">
        <v>16282</v>
      </c>
      <c r="K2967" t="s">
        <v>99</v>
      </c>
      <c r="L2967" t="s">
        <v>102</v>
      </c>
      <c r="M2967" t="s">
        <v>75</v>
      </c>
      <c r="R2967" t="s">
        <v>17497</v>
      </c>
      <c r="S2967" t="s">
        <v>4780</v>
      </c>
      <c r="T2967" t="s">
        <v>97</v>
      </c>
      <c r="U2967" t="s">
        <v>77</v>
      </c>
      <c r="V2967" t="str">
        <f>"100112019"</f>
        <v>100112019</v>
      </c>
      <c r="AC2967" t="s">
        <v>79</v>
      </c>
      <c r="AD2967" t="s">
        <v>75</v>
      </c>
      <c r="AE2967" t="s">
        <v>103</v>
      </c>
      <c r="AG2967" t="s">
        <v>81</v>
      </c>
    </row>
    <row r="2968" spans="1:33" x14ac:dyDescent="0.25">
      <c r="A2968" t="str">
        <f>"1023428984"</f>
        <v>1023428984</v>
      </c>
      <c r="C2968" t="s">
        <v>17498</v>
      </c>
      <c r="G2968" t="s">
        <v>16280</v>
      </c>
      <c r="H2968" t="s">
        <v>16281</v>
      </c>
      <c r="J2968" t="s">
        <v>16282</v>
      </c>
      <c r="K2968" t="s">
        <v>99</v>
      </c>
      <c r="L2968" t="s">
        <v>102</v>
      </c>
      <c r="M2968" t="s">
        <v>75</v>
      </c>
      <c r="R2968" t="s">
        <v>17499</v>
      </c>
      <c r="S2968" t="s">
        <v>4780</v>
      </c>
      <c r="T2968" t="s">
        <v>97</v>
      </c>
      <c r="U2968" t="s">
        <v>77</v>
      </c>
      <c r="V2968" t="str">
        <f>"100112019"</f>
        <v>100112019</v>
      </c>
      <c r="AC2968" t="s">
        <v>79</v>
      </c>
      <c r="AD2968" t="s">
        <v>75</v>
      </c>
      <c r="AE2968" t="s">
        <v>103</v>
      </c>
      <c r="AG2968" t="s">
        <v>81</v>
      </c>
    </row>
    <row r="2969" spans="1:33" x14ac:dyDescent="0.25">
      <c r="A2969" t="str">
        <f>"1770730426"</f>
        <v>1770730426</v>
      </c>
      <c r="C2969" t="s">
        <v>17500</v>
      </c>
      <c r="G2969" t="s">
        <v>16280</v>
      </c>
      <c r="H2969" t="s">
        <v>16281</v>
      </c>
      <c r="J2969" t="s">
        <v>16282</v>
      </c>
      <c r="K2969" t="s">
        <v>99</v>
      </c>
      <c r="L2969" t="s">
        <v>74</v>
      </c>
      <c r="M2969" t="s">
        <v>75</v>
      </c>
      <c r="R2969" t="s">
        <v>17501</v>
      </c>
      <c r="S2969" t="s">
        <v>17502</v>
      </c>
      <c r="T2969" t="s">
        <v>97</v>
      </c>
      <c r="U2969" t="s">
        <v>77</v>
      </c>
      <c r="V2969" t="str">
        <f>"100112019"</f>
        <v>100112019</v>
      </c>
      <c r="AC2969" t="s">
        <v>79</v>
      </c>
      <c r="AD2969" t="s">
        <v>75</v>
      </c>
      <c r="AE2969" t="s">
        <v>103</v>
      </c>
      <c r="AG2969" t="s">
        <v>81</v>
      </c>
    </row>
    <row r="2970" spans="1:33" x14ac:dyDescent="0.25">
      <c r="A2970" t="str">
        <f>"1730263393"</f>
        <v>1730263393</v>
      </c>
      <c r="B2970" t="str">
        <f>"01750792"</f>
        <v>01750792</v>
      </c>
      <c r="C2970" t="s">
        <v>17503</v>
      </c>
      <c r="D2970" t="s">
        <v>17504</v>
      </c>
      <c r="E2970" t="s">
        <v>17505</v>
      </c>
      <c r="G2970" t="s">
        <v>13504</v>
      </c>
      <c r="H2970" t="s">
        <v>13505</v>
      </c>
      <c r="J2970" t="s">
        <v>13506</v>
      </c>
      <c r="L2970" t="s">
        <v>84</v>
      </c>
      <c r="M2970" t="s">
        <v>75</v>
      </c>
      <c r="R2970" t="s">
        <v>17506</v>
      </c>
      <c r="W2970" t="s">
        <v>17505</v>
      </c>
      <c r="X2970" t="s">
        <v>17507</v>
      </c>
      <c r="Y2970" t="s">
        <v>87</v>
      </c>
      <c r="Z2970" t="s">
        <v>77</v>
      </c>
      <c r="AA2970" t="str">
        <f>"11214-4102"</f>
        <v>11214-4102</v>
      </c>
      <c r="AB2970" t="s">
        <v>78</v>
      </c>
      <c r="AC2970" t="s">
        <v>79</v>
      </c>
      <c r="AD2970" t="s">
        <v>75</v>
      </c>
      <c r="AE2970" t="s">
        <v>80</v>
      </c>
      <c r="AG2970" t="s">
        <v>81</v>
      </c>
    </row>
    <row r="2971" spans="1:33" x14ac:dyDescent="0.25">
      <c r="A2971" t="str">
        <f>"1295752624"</f>
        <v>1295752624</v>
      </c>
      <c r="B2971" t="str">
        <f>"00425829"</f>
        <v>00425829</v>
      </c>
      <c r="C2971" t="s">
        <v>17508</v>
      </c>
      <c r="D2971" t="s">
        <v>17509</v>
      </c>
      <c r="E2971" t="s">
        <v>17510</v>
      </c>
      <c r="G2971" t="s">
        <v>13504</v>
      </c>
      <c r="H2971" t="s">
        <v>13505</v>
      </c>
      <c r="J2971" t="s">
        <v>13506</v>
      </c>
      <c r="L2971" t="s">
        <v>84</v>
      </c>
      <c r="M2971" t="s">
        <v>75</v>
      </c>
      <c r="R2971" t="s">
        <v>17511</v>
      </c>
      <c r="W2971" t="s">
        <v>17511</v>
      </c>
      <c r="X2971" t="s">
        <v>15526</v>
      </c>
      <c r="Y2971" t="s">
        <v>87</v>
      </c>
      <c r="Z2971" t="s">
        <v>77</v>
      </c>
      <c r="AA2971" t="str">
        <f>"11218-2710"</f>
        <v>11218-2710</v>
      </c>
      <c r="AB2971" t="s">
        <v>78</v>
      </c>
      <c r="AC2971" t="s">
        <v>79</v>
      </c>
      <c r="AD2971" t="s">
        <v>75</v>
      </c>
      <c r="AE2971" t="s">
        <v>80</v>
      </c>
      <c r="AG2971" t="s">
        <v>81</v>
      </c>
    </row>
    <row r="2972" spans="1:33" x14ac:dyDescent="0.25">
      <c r="A2972" t="str">
        <f>"1336245604"</f>
        <v>1336245604</v>
      </c>
      <c r="B2972" t="str">
        <f>"00218171"</f>
        <v>00218171</v>
      </c>
      <c r="C2972" t="s">
        <v>17512</v>
      </c>
      <c r="D2972" t="s">
        <v>17513</v>
      </c>
      <c r="E2972" t="s">
        <v>17514</v>
      </c>
      <c r="G2972" t="s">
        <v>13504</v>
      </c>
      <c r="H2972" t="s">
        <v>13505</v>
      </c>
      <c r="J2972" t="s">
        <v>13506</v>
      </c>
      <c r="L2972" t="s">
        <v>74</v>
      </c>
      <c r="M2972" t="s">
        <v>75</v>
      </c>
      <c r="R2972" t="s">
        <v>17515</v>
      </c>
      <c r="W2972" t="s">
        <v>17514</v>
      </c>
      <c r="X2972" t="s">
        <v>17516</v>
      </c>
      <c r="Y2972" t="s">
        <v>217</v>
      </c>
      <c r="Z2972" t="s">
        <v>77</v>
      </c>
      <c r="AA2972" t="str">
        <f>"11557-2111"</f>
        <v>11557-2111</v>
      </c>
      <c r="AB2972" t="s">
        <v>78</v>
      </c>
      <c r="AC2972" t="s">
        <v>79</v>
      </c>
      <c r="AD2972" t="s">
        <v>75</v>
      </c>
      <c r="AE2972" t="s">
        <v>80</v>
      </c>
      <c r="AG2972" t="s">
        <v>81</v>
      </c>
    </row>
    <row r="2973" spans="1:33" x14ac:dyDescent="0.25">
      <c r="A2973" t="str">
        <f>"1710023601"</f>
        <v>1710023601</v>
      </c>
      <c r="B2973" t="str">
        <f>"02599177"</f>
        <v>02599177</v>
      </c>
      <c r="C2973" t="s">
        <v>13436</v>
      </c>
      <c r="D2973" t="s">
        <v>17517</v>
      </c>
      <c r="E2973" t="s">
        <v>17518</v>
      </c>
      <c r="G2973" t="s">
        <v>17519</v>
      </c>
      <c r="L2973" t="s">
        <v>84</v>
      </c>
      <c r="M2973" t="s">
        <v>85</v>
      </c>
      <c r="R2973" t="s">
        <v>17520</v>
      </c>
      <c r="W2973" t="s">
        <v>17518</v>
      </c>
      <c r="X2973" t="s">
        <v>306</v>
      </c>
      <c r="Y2973" t="s">
        <v>97</v>
      </c>
      <c r="Z2973" t="s">
        <v>77</v>
      </c>
      <c r="AA2973" t="str">
        <f>"10003-4201"</f>
        <v>10003-4201</v>
      </c>
      <c r="AB2973" t="s">
        <v>78</v>
      </c>
      <c r="AC2973" t="s">
        <v>79</v>
      </c>
      <c r="AD2973" t="s">
        <v>75</v>
      </c>
      <c r="AE2973" t="s">
        <v>80</v>
      </c>
      <c r="AG2973" t="s">
        <v>81</v>
      </c>
    </row>
    <row r="2974" spans="1:33" x14ac:dyDescent="0.25">
      <c r="A2974" t="str">
        <f>"1710040688"</f>
        <v>1710040688</v>
      </c>
      <c r="B2974" t="str">
        <f>"00163786"</f>
        <v>00163786</v>
      </c>
      <c r="C2974" t="s">
        <v>13436</v>
      </c>
      <c r="D2974" t="s">
        <v>17521</v>
      </c>
      <c r="E2974" t="s">
        <v>17522</v>
      </c>
      <c r="G2974" t="s">
        <v>17523</v>
      </c>
      <c r="L2974" t="s">
        <v>74</v>
      </c>
      <c r="M2974" t="s">
        <v>85</v>
      </c>
      <c r="R2974" t="s">
        <v>17524</v>
      </c>
      <c r="W2974" t="s">
        <v>17522</v>
      </c>
      <c r="X2974" t="s">
        <v>17525</v>
      </c>
      <c r="Y2974" t="s">
        <v>97</v>
      </c>
      <c r="Z2974" t="s">
        <v>77</v>
      </c>
      <c r="AA2974" t="str">
        <f>"10016-3222"</f>
        <v>10016-3222</v>
      </c>
      <c r="AB2974" t="s">
        <v>78</v>
      </c>
      <c r="AC2974" t="s">
        <v>79</v>
      </c>
      <c r="AD2974" t="s">
        <v>75</v>
      </c>
      <c r="AE2974" t="s">
        <v>80</v>
      </c>
      <c r="AG2974" t="s">
        <v>81</v>
      </c>
    </row>
    <row r="2975" spans="1:33" x14ac:dyDescent="0.25">
      <c r="A2975" t="str">
        <f>"1740292184"</f>
        <v>1740292184</v>
      </c>
      <c r="B2975" t="str">
        <f>"02930303"</f>
        <v>02930303</v>
      </c>
      <c r="C2975" t="s">
        <v>17526</v>
      </c>
      <c r="D2975" t="s">
        <v>17527</v>
      </c>
      <c r="E2975" t="s">
        <v>17528</v>
      </c>
      <c r="G2975" t="s">
        <v>7218</v>
      </c>
      <c r="H2975" t="s">
        <v>6801</v>
      </c>
      <c r="I2975">
        <v>6136</v>
      </c>
      <c r="J2975" t="s">
        <v>7219</v>
      </c>
      <c r="L2975" t="s">
        <v>74</v>
      </c>
      <c r="M2975" t="s">
        <v>75</v>
      </c>
      <c r="R2975" t="s">
        <v>17528</v>
      </c>
      <c r="W2975" t="s">
        <v>17529</v>
      </c>
      <c r="X2975" t="s">
        <v>3458</v>
      </c>
      <c r="Y2975" t="s">
        <v>87</v>
      </c>
      <c r="Z2975" t="s">
        <v>77</v>
      </c>
      <c r="AA2975" t="str">
        <f>"11201-4300"</f>
        <v>11201-4300</v>
      </c>
      <c r="AB2975" t="s">
        <v>113</v>
      </c>
      <c r="AC2975" t="s">
        <v>79</v>
      </c>
      <c r="AD2975" t="s">
        <v>75</v>
      </c>
      <c r="AE2975" t="s">
        <v>80</v>
      </c>
      <c r="AG2975" t="s">
        <v>81</v>
      </c>
    </row>
    <row r="2976" spans="1:33" x14ac:dyDescent="0.25">
      <c r="A2976" t="str">
        <f>"1740316306"</f>
        <v>1740316306</v>
      </c>
      <c r="B2976" t="str">
        <f>"03524669"</f>
        <v>03524669</v>
      </c>
      <c r="C2976" t="s">
        <v>17530</v>
      </c>
      <c r="D2976" t="s">
        <v>17531</v>
      </c>
      <c r="E2976" t="s">
        <v>17532</v>
      </c>
      <c r="G2976" t="s">
        <v>7218</v>
      </c>
      <c r="H2976" t="s">
        <v>6801</v>
      </c>
      <c r="I2976">
        <v>6136</v>
      </c>
      <c r="J2976" t="s">
        <v>7219</v>
      </c>
      <c r="L2976" t="s">
        <v>74</v>
      </c>
      <c r="M2976" t="s">
        <v>75</v>
      </c>
      <c r="R2976" t="s">
        <v>17533</v>
      </c>
      <c r="W2976" t="s">
        <v>17532</v>
      </c>
      <c r="X2976" t="s">
        <v>4862</v>
      </c>
      <c r="Y2976" t="s">
        <v>97</v>
      </c>
      <c r="Z2976" t="s">
        <v>77</v>
      </c>
      <c r="AA2976" t="str">
        <f>"10013-1040"</f>
        <v>10013-1040</v>
      </c>
      <c r="AB2976" t="s">
        <v>109</v>
      </c>
      <c r="AC2976" t="s">
        <v>79</v>
      </c>
      <c r="AD2976" t="s">
        <v>75</v>
      </c>
      <c r="AE2976" t="s">
        <v>80</v>
      </c>
      <c r="AG2976" t="s">
        <v>81</v>
      </c>
    </row>
    <row r="2977" spans="1:33" x14ac:dyDescent="0.25">
      <c r="A2977" t="str">
        <f>"1700183795"</f>
        <v>1700183795</v>
      </c>
      <c r="B2977" t="str">
        <f>"03393368"</f>
        <v>03393368</v>
      </c>
      <c r="C2977" t="s">
        <v>17534</v>
      </c>
      <c r="D2977" t="s">
        <v>17535</v>
      </c>
      <c r="E2977" t="s">
        <v>17536</v>
      </c>
      <c r="G2977" t="s">
        <v>13504</v>
      </c>
      <c r="H2977" t="s">
        <v>13505</v>
      </c>
      <c r="J2977" t="s">
        <v>13506</v>
      </c>
      <c r="L2977" t="s">
        <v>83</v>
      </c>
      <c r="M2977" t="s">
        <v>75</v>
      </c>
      <c r="R2977" t="s">
        <v>17537</v>
      </c>
      <c r="W2977" t="s">
        <v>17536</v>
      </c>
      <c r="X2977" t="s">
        <v>4839</v>
      </c>
      <c r="Y2977" t="s">
        <v>87</v>
      </c>
      <c r="Z2977" t="s">
        <v>77</v>
      </c>
      <c r="AA2977" t="str">
        <f>"11203-2012"</f>
        <v>11203-2012</v>
      </c>
      <c r="AB2977" t="s">
        <v>78</v>
      </c>
      <c r="AC2977" t="s">
        <v>79</v>
      </c>
      <c r="AD2977" t="s">
        <v>75</v>
      </c>
      <c r="AE2977" t="s">
        <v>80</v>
      </c>
      <c r="AG2977" t="s">
        <v>81</v>
      </c>
    </row>
    <row r="2978" spans="1:33" x14ac:dyDescent="0.25">
      <c r="A2978" t="str">
        <f>"1730410788"</f>
        <v>1730410788</v>
      </c>
      <c r="B2978" t="str">
        <f>"03764078"</f>
        <v>03764078</v>
      </c>
      <c r="C2978" t="s">
        <v>17538</v>
      </c>
      <c r="D2978" t="s">
        <v>17539</v>
      </c>
      <c r="E2978" t="s">
        <v>17540</v>
      </c>
      <c r="G2978" t="s">
        <v>7218</v>
      </c>
      <c r="H2978" t="s">
        <v>6801</v>
      </c>
      <c r="I2978">
        <v>6136</v>
      </c>
      <c r="J2978" t="s">
        <v>7219</v>
      </c>
      <c r="L2978" t="s">
        <v>74</v>
      </c>
      <c r="M2978" t="s">
        <v>75</v>
      </c>
      <c r="R2978" t="s">
        <v>17541</v>
      </c>
      <c r="W2978" t="s">
        <v>17540</v>
      </c>
      <c r="X2978" t="s">
        <v>8686</v>
      </c>
      <c r="Y2978" t="s">
        <v>145</v>
      </c>
      <c r="Z2978" t="s">
        <v>77</v>
      </c>
      <c r="AA2978" t="str">
        <f>"11361-3241"</f>
        <v>11361-3241</v>
      </c>
      <c r="AB2978" t="s">
        <v>109</v>
      </c>
      <c r="AC2978" t="s">
        <v>79</v>
      </c>
      <c r="AD2978" t="s">
        <v>75</v>
      </c>
      <c r="AE2978" t="s">
        <v>80</v>
      </c>
      <c r="AG2978" t="s">
        <v>81</v>
      </c>
    </row>
    <row r="2979" spans="1:33" x14ac:dyDescent="0.25">
      <c r="A2979" t="str">
        <f>"1770521775"</f>
        <v>1770521775</v>
      </c>
      <c r="B2979" t="str">
        <f>"02184430"</f>
        <v>02184430</v>
      </c>
      <c r="C2979" t="s">
        <v>17542</v>
      </c>
      <c r="D2979" t="s">
        <v>1521</v>
      </c>
      <c r="E2979" t="s">
        <v>1522</v>
      </c>
      <c r="G2979" t="s">
        <v>13515</v>
      </c>
      <c r="H2979" t="s">
        <v>498</v>
      </c>
      <c r="J2979" t="s">
        <v>13516</v>
      </c>
      <c r="L2979" t="s">
        <v>105</v>
      </c>
      <c r="M2979" t="s">
        <v>85</v>
      </c>
      <c r="R2979" t="s">
        <v>1520</v>
      </c>
      <c r="W2979" t="s">
        <v>1520</v>
      </c>
      <c r="X2979" t="s">
        <v>331</v>
      </c>
      <c r="Y2979" t="s">
        <v>171</v>
      </c>
      <c r="Z2979" t="s">
        <v>77</v>
      </c>
      <c r="AA2979" t="str">
        <f>"11418"</f>
        <v>11418</v>
      </c>
      <c r="AB2979" t="s">
        <v>78</v>
      </c>
      <c r="AC2979" t="s">
        <v>79</v>
      </c>
      <c r="AD2979" t="s">
        <v>75</v>
      </c>
      <c r="AE2979" t="s">
        <v>80</v>
      </c>
      <c r="AG2979" t="s">
        <v>81</v>
      </c>
    </row>
    <row r="2980" spans="1:33" x14ac:dyDescent="0.25">
      <c r="A2980" t="str">
        <f>"1336195452"</f>
        <v>1336195452</v>
      </c>
      <c r="B2980" t="str">
        <f>"02724707"</f>
        <v>02724707</v>
      </c>
      <c r="C2980" t="s">
        <v>17543</v>
      </c>
      <c r="D2980" t="s">
        <v>17544</v>
      </c>
      <c r="E2980" t="s">
        <v>17545</v>
      </c>
      <c r="G2980" t="s">
        <v>13515</v>
      </c>
      <c r="H2980" t="s">
        <v>498</v>
      </c>
      <c r="J2980" t="s">
        <v>13516</v>
      </c>
      <c r="L2980" t="s">
        <v>105</v>
      </c>
      <c r="M2980" t="s">
        <v>75</v>
      </c>
      <c r="R2980" t="s">
        <v>17546</v>
      </c>
      <c r="W2980" t="s">
        <v>17547</v>
      </c>
      <c r="X2980" t="s">
        <v>17548</v>
      </c>
      <c r="Y2980" t="s">
        <v>139</v>
      </c>
      <c r="Z2980" t="s">
        <v>77</v>
      </c>
      <c r="AA2980" t="str">
        <f>"11355-3063"</f>
        <v>11355-3063</v>
      </c>
      <c r="AB2980" t="s">
        <v>78</v>
      </c>
      <c r="AC2980" t="s">
        <v>79</v>
      </c>
      <c r="AD2980" t="s">
        <v>75</v>
      </c>
      <c r="AE2980" t="s">
        <v>80</v>
      </c>
      <c r="AG2980" t="s">
        <v>81</v>
      </c>
    </row>
    <row r="2981" spans="1:33" x14ac:dyDescent="0.25">
      <c r="A2981" t="str">
        <f>"1295846061"</f>
        <v>1295846061</v>
      </c>
      <c r="B2981" t="str">
        <f>"01466935"</f>
        <v>01466935</v>
      </c>
      <c r="C2981" t="s">
        <v>17549</v>
      </c>
      <c r="D2981" t="s">
        <v>1688</v>
      </c>
      <c r="E2981" t="s">
        <v>1689</v>
      </c>
      <c r="G2981" t="s">
        <v>13515</v>
      </c>
      <c r="H2981" t="s">
        <v>498</v>
      </c>
      <c r="J2981" t="s">
        <v>13516</v>
      </c>
      <c r="L2981" t="s">
        <v>105</v>
      </c>
      <c r="M2981" t="s">
        <v>75</v>
      </c>
      <c r="R2981" t="s">
        <v>1687</v>
      </c>
      <c r="W2981" t="s">
        <v>1689</v>
      </c>
      <c r="Y2981" t="s">
        <v>216</v>
      </c>
      <c r="Z2981" t="s">
        <v>77</v>
      </c>
      <c r="AA2981" t="str">
        <f>"11691-4423"</f>
        <v>11691-4423</v>
      </c>
      <c r="AB2981" t="s">
        <v>78</v>
      </c>
      <c r="AC2981" t="s">
        <v>79</v>
      </c>
      <c r="AD2981" t="s">
        <v>75</v>
      </c>
      <c r="AE2981" t="s">
        <v>80</v>
      </c>
      <c r="AG2981" t="s">
        <v>81</v>
      </c>
    </row>
    <row r="2982" spans="1:33" x14ac:dyDescent="0.25">
      <c r="A2982" t="str">
        <f>"1619034113"</f>
        <v>1619034113</v>
      </c>
      <c r="C2982" t="s">
        <v>17550</v>
      </c>
      <c r="G2982" t="s">
        <v>13515</v>
      </c>
      <c r="H2982" t="s">
        <v>498</v>
      </c>
      <c r="J2982" t="s">
        <v>13516</v>
      </c>
      <c r="K2982" t="s">
        <v>99</v>
      </c>
      <c r="L2982" t="s">
        <v>74</v>
      </c>
      <c r="M2982" t="s">
        <v>75</v>
      </c>
      <c r="R2982" t="s">
        <v>17551</v>
      </c>
      <c r="S2982" t="s">
        <v>17552</v>
      </c>
      <c r="T2982" t="s">
        <v>286</v>
      </c>
      <c r="U2982" t="s">
        <v>77</v>
      </c>
      <c r="V2982" t="str">
        <f>"11420"</f>
        <v>11420</v>
      </c>
      <c r="AC2982" t="s">
        <v>79</v>
      </c>
      <c r="AD2982" t="s">
        <v>75</v>
      </c>
      <c r="AE2982" t="s">
        <v>103</v>
      </c>
      <c r="AG2982" t="s">
        <v>81</v>
      </c>
    </row>
    <row r="2983" spans="1:33" x14ac:dyDescent="0.25">
      <c r="A2983" t="str">
        <f>"1275668055"</f>
        <v>1275668055</v>
      </c>
      <c r="B2983" t="str">
        <f>"01917624"</f>
        <v>01917624</v>
      </c>
      <c r="C2983" t="s">
        <v>17553</v>
      </c>
      <c r="D2983" t="s">
        <v>2522</v>
      </c>
      <c r="E2983" t="s">
        <v>2523</v>
      </c>
      <c r="G2983" t="s">
        <v>17553</v>
      </c>
      <c r="H2983" t="s">
        <v>17554</v>
      </c>
      <c r="L2983" t="s">
        <v>83</v>
      </c>
      <c r="M2983" t="s">
        <v>75</v>
      </c>
      <c r="R2983" t="s">
        <v>2521</v>
      </c>
      <c r="W2983" t="s">
        <v>2524</v>
      </c>
      <c r="X2983" t="s">
        <v>2525</v>
      </c>
      <c r="Y2983" t="s">
        <v>227</v>
      </c>
      <c r="Z2983" t="s">
        <v>77</v>
      </c>
      <c r="AA2983" t="str">
        <f>"10601-1712"</f>
        <v>10601-1712</v>
      </c>
      <c r="AB2983" t="s">
        <v>78</v>
      </c>
      <c r="AC2983" t="s">
        <v>79</v>
      </c>
      <c r="AD2983" t="s">
        <v>75</v>
      </c>
      <c r="AE2983" t="s">
        <v>80</v>
      </c>
      <c r="AG2983" t="s">
        <v>81</v>
      </c>
    </row>
    <row r="2984" spans="1:33" x14ac:dyDescent="0.25">
      <c r="A2984" t="str">
        <f>"1962687236"</f>
        <v>1962687236</v>
      </c>
      <c r="B2984" t="str">
        <f>"02388892"</f>
        <v>02388892</v>
      </c>
      <c r="C2984" t="s">
        <v>17555</v>
      </c>
      <c r="D2984" t="s">
        <v>2527</v>
      </c>
      <c r="E2984" t="s">
        <v>2528</v>
      </c>
      <c r="G2984" t="s">
        <v>17555</v>
      </c>
      <c r="H2984" t="s">
        <v>17556</v>
      </c>
      <c r="L2984" t="s">
        <v>83</v>
      </c>
      <c r="M2984" t="s">
        <v>85</v>
      </c>
      <c r="R2984" t="s">
        <v>2526</v>
      </c>
      <c r="W2984" t="s">
        <v>2528</v>
      </c>
      <c r="Y2984" t="s">
        <v>131</v>
      </c>
      <c r="Z2984" t="s">
        <v>77</v>
      </c>
      <c r="AA2984" t="str">
        <f>"10469-3197"</f>
        <v>10469-3197</v>
      </c>
      <c r="AB2984" t="s">
        <v>78</v>
      </c>
      <c r="AC2984" t="s">
        <v>79</v>
      </c>
      <c r="AD2984" t="s">
        <v>75</v>
      </c>
      <c r="AE2984" t="s">
        <v>80</v>
      </c>
      <c r="AG2984" t="s">
        <v>81</v>
      </c>
    </row>
    <row r="2985" spans="1:33" x14ac:dyDescent="0.25">
      <c r="A2985" t="str">
        <f>"1649239955"</f>
        <v>1649239955</v>
      </c>
      <c r="B2985" t="str">
        <f>"04114238"</f>
        <v>04114238</v>
      </c>
      <c r="C2985" t="s">
        <v>17557</v>
      </c>
      <c r="D2985" t="s">
        <v>1878</v>
      </c>
      <c r="E2985" t="s">
        <v>1879</v>
      </c>
      <c r="G2985" t="s">
        <v>17557</v>
      </c>
      <c r="H2985" t="s">
        <v>17558</v>
      </c>
      <c r="L2985" t="s">
        <v>102</v>
      </c>
      <c r="M2985" t="s">
        <v>75</v>
      </c>
      <c r="R2985" t="s">
        <v>1880</v>
      </c>
      <c r="W2985" t="s">
        <v>1879</v>
      </c>
      <c r="X2985" t="s">
        <v>1881</v>
      </c>
      <c r="Y2985" t="s">
        <v>97</v>
      </c>
      <c r="Z2985" t="s">
        <v>77</v>
      </c>
      <c r="AA2985" t="str">
        <f>"10119-0206"</f>
        <v>10119-0206</v>
      </c>
      <c r="AB2985" t="s">
        <v>78</v>
      </c>
      <c r="AC2985" t="s">
        <v>79</v>
      </c>
      <c r="AD2985" t="s">
        <v>75</v>
      </c>
      <c r="AE2985" t="s">
        <v>80</v>
      </c>
      <c r="AG2985" t="s">
        <v>81</v>
      </c>
    </row>
    <row r="2986" spans="1:33" x14ac:dyDescent="0.25">
      <c r="A2986" t="str">
        <f>"1942351838"</f>
        <v>1942351838</v>
      </c>
      <c r="B2986" t="str">
        <f>"04126936"</f>
        <v>04126936</v>
      </c>
      <c r="C2986" t="s">
        <v>17559</v>
      </c>
      <c r="D2986" t="s">
        <v>1883</v>
      </c>
      <c r="E2986" t="s">
        <v>1884</v>
      </c>
      <c r="G2986" t="s">
        <v>17559</v>
      </c>
      <c r="H2986" t="s">
        <v>17560</v>
      </c>
      <c r="L2986" t="s">
        <v>102</v>
      </c>
      <c r="M2986" t="s">
        <v>75</v>
      </c>
      <c r="R2986" t="s">
        <v>1882</v>
      </c>
      <c r="W2986" t="s">
        <v>1884</v>
      </c>
      <c r="X2986" t="s">
        <v>1885</v>
      </c>
      <c r="Y2986" t="s">
        <v>97</v>
      </c>
      <c r="Z2986" t="s">
        <v>77</v>
      </c>
      <c r="AA2986" t="str">
        <f>"10119-0206"</f>
        <v>10119-0206</v>
      </c>
      <c r="AB2986" t="s">
        <v>78</v>
      </c>
      <c r="AC2986" t="s">
        <v>79</v>
      </c>
      <c r="AD2986" t="s">
        <v>75</v>
      </c>
      <c r="AE2986" t="s">
        <v>80</v>
      </c>
      <c r="AG2986" t="s">
        <v>81</v>
      </c>
    </row>
    <row r="2987" spans="1:33" x14ac:dyDescent="0.25">
      <c r="A2987" t="str">
        <f>"1043478415"</f>
        <v>1043478415</v>
      </c>
      <c r="B2987" t="str">
        <f>"03019972"</f>
        <v>03019972</v>
      </c>
      <c r="C2987" t="s">
        <v>17561</v>
      </c>
      <c r="D2987" t="s">
        <v>2530</v>
      </c>
      <c r="E2987" t="s">
        <v>2531</v>
      </c>
      <c r="G2987" t="s">
        <v>17561</v>
      </c>
      <c r="H2987" t="s">
        <v>17562</v>
      </c>
      <c r="L2987" t="s">
        <v>83</v>
      </c>
      <c r="M2987" t="s">
        <v>75</v>
      </c>
      <c r="R2987" t="s">
        <v>2529</v>
      </c>
      <c r="W2987" t="s">
        <v>2531</v>
      </c>
      <c r="X2987" t="s">
        <v>186</v>
      </c>
      <c r="Y2987" t="s">
        <v>97</v>
      </c>
      <c r="Z2987" t="s">
        <v>77</v>
      </c>
      <c r="AA2987" t="str">
        <f>"10029-7404"</f>
        <v>10029-7404</v>
      </c>
      <c r="AB2987" t="s">
        <v>78</v>
      </c>
      <c r="AC2987" t="s">
        <v>79</v>
      </c>
      <c r="AD2987" t="s">
        <v>75</v>
      </c>
      <c r="AE2987" t="s">
        <v>80</v>
      </c>
      <c r="AG2987" t="s">
        <v>81</v>
      </c>
    </row>
    <row r="2988" spans="1:33" x14ac:dyDescent="0.25">
      <c r="A2988" t="str">
        <f>"1386986842"</f>
        <v>1386986842</v>
      </c>
      <c r="C2988" t="s">
        <v>17563</v>
      </c>
      <c r="K2988" t="s">
        <v>99</v>
      </c>
      <c r="L2988" t="s">
        <v>102</v>
      </c>
      <c r="M2988" t="s">
        <v>75</v>
      </c>
      <c r="R2988" t="s">
        <v>17564</v>
      </c>
      <c r="S2988" t="s">
        <v>4667</v>
      </c>
      <c r="T2988" t="s">
        <v>2262</v>
      </c>
      <c r="U2988" t="s">
        <v>123</v>
      </c>
      <c r="V2988" t="str">
        <f>"021156110"</f>
        <v>021156110</v>
      </c>
      <c r="AC2988" t="s">
        <v>79</v>
      </c>
      <c r="AD2988" t="s">
        <v>75</v>
      </c>
      <c r="AE2988" t="s">
        <v>103</v>
      </c>
      <c r="AG2988" t="s">
        <v>81</v>
      </c>
    </row>
    <row r="2989" spans="1:33" x14ac:dyDescent="0.25">
      <c r="A2989" t="str">
        <f>"1902162415"</f>
        <v>1902162415</v>
      </c>
      <c r="C2989" t="s">
        <v>17565</v>
      </c>
      <c r="K2989" t="s">
        <v>99</v>
      </c>
      <c r="L2989" t="s">
        <v>102</v>
      </c>
      <c r="M2989" t="s">
        <v>75</v>
      </c>
      <c r="R2989" t="s">
        <v>17566</v>
      </c>
      <c r="S2989" t="s">
        <v>17567</v>
      </c>
      <c r="T2989" t="s">
        <v>14604</v>
      </c>
      <c r="U2989" t="s">
        <v>156</v>
      </c>
      <c r="V2989" t="str">
        <f>"079202973"</f>
        <v>079202973</v>
      </c>
      <c r="AC2989" t="s">
        <v>79</v>
      </c>
      <c r="AD2989" t="s">
        <v>75</v>
      </c>
      <c r="AE2989" t="s">
        <v>103</v>
      </c>
      <c r="AG2989" t="s">
        <v>81</v>
      </c>
    </row>
    <row r="2990" spans="1:33" x14ac:dyDescent="0.25">
      <c r="A2990" t="str">
        <f>"1770900078"</f>
        <v>1770900078</v>
      </c>
      <c r="C2990" t="s">
        <v>17568</v>
      </c>
      <c r="K2990" t="s">
        <v>99</v>
      </c>
      <c r="L2990" t="s">
        <v>102</v>
      </c>
      <c r="M2990" t="s">
        <v>75</v>
      </c>
      <c r="R2990" t="s">
        <v>17569</v>
      </c>
      <c r="S2990" t="s">
        <v>17570</v>
      </c>
      <c r="T2990" t="s">
        <v>155</v>
      </c>
      <c r="U2990" t="s">
        <v>77</v>
      </c>
      <c r="V2990" t="str">
        <f>"103061933"</f>
        <v>103061933</v>
      </c>
      <c r="AC2990" t="s">
        <v>79</v>
      </c>
      <c r="AD2990" t="s">
        <v>75</v>
      </c>
      <c r="AE2990" t="s">
        <v>103</v>
      </c>
      <c r="AG2990" t="s">
        <v>81</v>
      </c>
    </row>
    <row r="2991" spans="1:33" x14ac:dyDescent="0.25">
      <c r="A2991" t="str">
        <f>"1790075794"</f>
        <v>1790075794</v>
      </c>
      <c r="C2991" t="s">
        <v>17571</v>
      </c>
      <c r="K2991" t="s">
        <v>99</v>
      </c>
      <c r="L2991" t="s">
        <v>102</v>
      </c>
      <c r="M2991" t="s">
        <v>75</v>
      </c>
      <c r="R2991" t="s">
        <v>17572</v>
      </c>
      <c r="S2991" t="s">
        <v>17573</v>
      </c>
      <c r="T2991" t="s">
        <v>97</v>
      </c>
      <c r="U2991" t="s">
        <v>77</v>
      </c>
      <c r="V2991" t="str">
        <f>"100296500"</f>
        <v>100296500</v>
      </c>
      <c r="AC2991" t="s">
        <v>79</v>
      </c>
      <c r="AD2991" t="s">
        <v>75</v>
      </c>
      <c r="AE2991" t="s">
        <v>103</v>
      </c>
      <c r="AG2991" t="s">
        <v>81</v>
      </c>
    </row>
    <row r="2992" spans="1:33" x14ac:dyDescent="0.25">
      <c r="A2992" t="str">
        <f>"1174634687"</f>
        <v>1174634687</v>
      </c>
      <c r="B2992" t="str">
        <f>"02462260"</f>
        <v>02462260</v>
      </c>
      <c r="C2992" t="s">
        <v>13436</v>
      </c>
      <c r="D2992" t="s">
        <v>17574</v>
      </c>
      <c r="E2992" t="s">
        <v>17575</v>
      </c>
      <c r="G2992" t="s">
        <v>17576</v>
      </c>
      <c r="L2992" t="s">
        <v>84</v>
      </c>
      <c r="M2992" t="s">
        <v>75</v>
      </c>
      <c r="R2992" t="s">
        <v>17577</v>
      </c>
      <c r="W2992" t="s">
        <v>17575</v>
      </c>
      <c r="X2992" t="s">
        <v>305</v>
      </c>
      <c r="Y2992" t="s">
        <v>87</v>
      </c>
      <c r="Z2992" t="s">
        <v>77</v>
      </c>
      <c r="AA2992" t="str">
        <f>"11235-7745"</f>
        <v>11235-7745</v>
      </c>
      <c r="AB2992" t="s">
        <v>78</v>
      </c>
      <c r="AC2992" t="s">
        <v>79</v>
      </c>
      <c r="AD2992" t="s">
        <v>75</v>
      </c>
      <c r="AE2992" t="s">
        <v>80</v>
      </c>
      <c r="AG2992" t="s">
        <v>81</v>
      </c>
    </row>
    <row r="2993" spans="1:33" x14ac:dyDescent="0.25">
      <c r="A2993" t="str">
        <f>"1013945773"</f>
        <v>1013945773</v>
      </c>
      <c r="B2993" t="str">
        <f>"03151700"</f>
        <v>03151700</v>
      </c>
      <c r="C2993" t="s">
        <v>13436</v>
      </c>
      <c r="D2993" t="s">
        <v>17578</v>
      </c>
      <c r="E2993" t="s">
        <v>17579</v>
      </c>
      <c r="G2993" t="s">
        <v>17580</v>
      </c>
      <c r="L2993" t="s">
        <v>84</v>
      </c>
      <c r="M2993" t="s">
        <v>85</v>
      </c>
      <c r="R2993" t="s">
        <v>17581</v>
      </c>
      <c r="W2993" t="s">
        <v>17582</v>
      </c>
      <c r="X2993" t="s">
        <v>17583</v>
      </c>
      <c r="Y2993" t="s">
        <v>97</v>
      </c>
      <c r="Z2993" t="s">
        <v>77</v>
      </c>
      <c r="AA2993" t="str">
        <f>"10029-6501"</f>
        <v>10029-6501</v>
      </c>
      <c r="AB2993" t="s">
        <v>78</v>
      </c>
      <c r="AC2993" t="s">
        <v>79</v>
      </c>
      <c r="AD2993" t="s">
        <v>75</v>
      </c>
      <c r="AE2993" t="s">
        <v>80</v>
      </c>
      <c r="AG2993" t="s">
        <v>81</v>
      </c>
    </row>
    <row r="2994" spans="1:33" x14ac:dyDescent="0.25">
      <c r="A2994" t="str">
        <f>"1023009230"</f>
        <v>1023009230</v>
      </c>
      <c r="B2994" t="str">
        <f>"02249645"</f>
        <v>02249645</v>
      </c>
      <c r="C2994" t="s">
        <v>13436</v>
      </c>
      <c r="D2994" t="s">
        <v>17584</v>
      </c>
      <c r="E2994" t="s">
        <v>17585</v>
      </c>
      <c r="G2994" t="s">
        <v>17586</v>
      </c>
      <c r="L2994" t="s">
        <v>84</v>
      </c>
      <c r="M2994" t="s">
        <v>85</v>
      </c>
      <c r="R2994" t="s">
        <v>17587</v>
      </c>
      <c r="W2994" t="s">
        <v>17585</v>
      </c>
      <c r="X2994" t="s">
        <v>3553</v>
      </c>
      <c r="Y2994" t="s">
        <v>97</v>
      </c>
      <c r="Z2994" t="s">
        <v>77</v>
      </c>
      <c r="AA2994" t="str">
        <f>"10003-3851"</f>
        <v>10003-3851</v>
      </c>
      <c r="AB2994" t="s">
        <v>78</v>
      </c>
      <c r="AC2994" t="s">
        <v>79</v>
      </c>
      <c r="AD2994" t="s">
        <v>75</v>
      </c>
      <c r="AE2994" t="s">
        <v>80</v>
      </c>
      <c r="AG2994" t="s">
        <v>81</v>
      </c>
    </row>
    <row r="2995" spans="1:33" x14ac:dyDescent="0.25">
      <c r="A2995" t="str">
        <f>"1023067576"</f>
        <v>1023067576</v>
      </c>
      <c r="B2995" t="str">
        <f>"00554729"</f>
        <v>00554729</v>
      </c>
      <c r="C2995" t="s">
        <v>13436</v>
      </c>
      <c r="D2995" t="s">
        <v>17588</v>
      </c>
      <c r="E2995" t="s">
        <v>17589</v>
      </c>
      <c r="G2995" t="s">
        <v>17590</v>
      </c>
      <c r="L2995" t="s">
        <v>74</v>
      </c>
      <c r="M2995" t="s">
        <v>75</v>
      </c>
      <c r="R2995" t="s">
        <v>17591</v>
      </c>
      <c r="W2995" t="s">
        <v>17592</v>
      </c>
      <c r="X2995" t="s">
        <v>737</v>
      </c>
      <c r="Y2995" t="s">
        <v>97</v>
      </c>
      <c r="Z2995" t="s">
        <v>77</v>
      </c>
      <c r="AA2995" t="str">
        <f>"10019-1147"</f>
        <v>10019-1147</v>
      </c>
      <c r="AB2995" t="s">
        <v>78</v>
      </c>
      <c r="AC2995" t="s">
        <v>79</v>
      </c>
      <c r="AD2995" t="s">
        <v>75</v>
      </c>
      <c r="AE2995" t="s">
        <v>80</v>
      </c>
      <c r="AG2995" t="s">
        <v>81</v>
      </c>
    </row>
    <row r="2996" spans="1:33" x14ac:dyDescent="0.25">
      <c r="A2996" t="str">
        <f>"1023071081"</f>
        <v>1023071081</v>
      </c>
      <c r="B2996" t="str">
        <f>"01114438"</f>
        <v>01114438</v>
      </c>
      <c r="C2996" t="s">
        <v>13436</v>
      </c>
      <c r="D2996" t="s">
        <v>17593</v>
      </c>
      <c r="E2996" t="s">
        <v>17594</v>
      </c>
      <c r="G2996" t="s">
        <v>17595</v>
      </c>
      <c r="L2996" t="s">
        <v>83</v>
      </c>
      <c r="M2996" t="s">
        <v>75</v>
      </c>
      <c r="R2996" t="s">
        <v>17596</v>
      </c>
      <c r="W2996" t="s">
        <v>17594</v>
      </c>
      <c r="X2996" t="s">
        <v>17597</v>
      </c>
      <c r="Y2996" t="s">
        <v>97</v>
      </c>
      <c r="Z2996" t="s">
        <v>77</v>
      </c>
      <c r="AA2996" t="str">
        <f>"10003-3804"</f>
        <v>10003-3804</v>
      </c>
      <c r="AB2996" t="s">
        <v>78</v>
      </c>
      <c r="AC2996" t="s">
        <v>79</v>
      </c>
      <c r="AD2996" t="s">
        <v>75</v>
      </c>
      <c r="AE2996" t="s">
        <v>80</v>
      </c>
      <c r="AG2996" t="s">
        <v>81</v>
      </c>
    </row>
    <row r="2997" spans="1:33" x14ac:dyDescent="0.25">
      <c r="A2997" t="str">
        <f>"1629416664"</f>
        <v>1629416664</v>
      </c>
      <c r="B2997" t="str">
        <f>"03818742"</f>
        <v>03818742</v>
      </c>
      <c r="C2997" t="s">
        <v>17598</v>
      </c>
      <c r="D2997" t="s">
        <v>17599</v>
      </c>
      <c r="E2997" t="s">
        <v>17600</v>
      </c>
      <c r="G2997" t="s">
        <v>13504</v>
      </c>
      <c r="H2997" t="s">
        <v>13505</v>
      </c>
      <c r="J2997" t="s">
        <v>13506</v>
      </c>
      <c r="L2997" t="s">
        <v>83</v>
      </c>
      <c r="M2997" t="s">
        <v>75</v>
      </c>
      <c r="R2997" t="s">
        <v>17600</v>
      </c>
      <c r="W2997" t="s">
        <v>17600</v>
      </c>
      <c r="X2997" t="s">
        <v>14532</v>
      </c>
      <c r="Y2997" t="s">
        <v>87</v>
      </c>
      <c r="Z2997" t="s">
        <v>77</v>
      </c>
      <c r="AA2997" t="str">
        <f>"11205-4924"</f>
        <v>11205-4924</v>
      </c>
      <c r="AB2997" t="s">
        <v>78</v>
      </c>
      <c r="AC2997" t="s">
        <v>79</v>
      </c>
      <c r="AD2997" t="s">
        <v>75</v>
      </c>
      <c r="AE2997" t="s">
        <v>80</v>
      </c>
      <c r="AG2997" t="s">
        <v>81</v>
      </c>
    </row>
    <row r="2998" spans="1:33" x14ac:dyDescent="0.25">
      <c r="A2998" t="str">
        <f>"1750626768"</f>
        <v>1750626768</v>
      </c>
      <c r="B2998" t="str">
        <f>"03628104"</f>
        <v>03628104</v>
      </c>
      <c r="C2998" t="s">
        <v>17601</v>
      </c>
      <c r="D2998" t="s">
        <v>17602</v>
      </c>
      <c r="E2998" t="s">
        <v>17603</v>
      </c>
      <c r="G2998" t="s">
        <v>13504</v>
      </c>
      <c r="H2998" t="s">
        <v>13505</v>
      </c>
      <c r="J2998" t="s">
        <v>13506</v>
      </c>
      <c r="L2998" t="s">
        <v>74</v>
      </c>
      <c r="M2998" t="s">
        <v>75</v>
      </c>
      <c r="R2998" t="s">
        <v>17604</v>
      </c>
      <c r="W2998" t="s">
        <v>17603</v>
      </c>
      <c r="X2998" t="s">
        <v>202</v>
      </c>
      <c r="Y2998" t="s">
        <v>87</v>
      </c>
      <c r="Z2998" t="s">
        <v>77</v>
      </c>
      <c r="AA2998" t="str">
        <f>"11201-5425"</f>
        <v>11201-5425</v>
      </c>
      <c r="AB2998" t="s">
        <v>78</v>
      </c>
      <c r="AC2998" t="s">
        <v>79</v>
      </c>
      <c r="AD2998" t="s">
        <v>75</v>
      </c>
      <c r="AE2998" t="s">
        <v>80</v>
      </c>
      <c r="AG2998" t="s">
        <v>81</v>
      </c>
    </row>
    <row r="2999" spans="1:33" x14ac:dyDescent="0.25">
      <c r="A2999" t="str">
        <f>"1720190051"</f>
        <v>1720190051</v>
      </c>
      <c r="B2999" t="str">
        <f>"00830566"</f>
        <v>00830566</v>
      </c>
      <c r="C2999" t="s">
        <v>17605</v>
      </c>
      <c r="D2999" t="s">
        <v>17606</v>
      </c>
      <c r="E2999" t="s">
        <v>17607</v>
      </c>
      <c r="G2999" t="s">
        <v>13504</v>
      </c>
      <c r="H2999" t="s">
        <v>13505</v>
      </c>
      <c r="J2999" t="s">
        <v>13506</v>
      </c>
      <c r="L2999" t="s">
        <v>84</v>
      </c>
      <c r="M2999" t="s">
        <v>85</v>
      </c>
      <c r="R2999" t="s">
        <v>17608</v>
      </c>
      <c r="W2999" t="s">
        <v>17607</v>
      </c>
      <c r="X2999" t="s">
        <v>16010</v>
      </c>
      <c r="Y2999" t="s">
        <v>87</v>
      </c>
      <c r="Z2999" t="s">
        <v>77</v>
      </c>
      <c r="AA2999" t="str">
        <f>"11203-5735"</f>
        <v>11203-5735</v>
      </c>
      <c r="AB2999" t="s">
        <v>78</v>
      </c>
      <c r="AC2999" t="s">
        <v>79</v>
      </c>
      <c r="AD2999" t="s">
        <v>75</v>
      </c>
      <c r="AE2999" t="s">
        <v>80</v>
      </c>
      <c r="AG2999" t="s">
        <v>81</v>
      </c>
    </row>
    <row r="3000" spans="1:33" x14ac:dyDescent="0.25">
      <c r="A3000" t="str">
        <f>"1801169024"</f>
        <v>1801169024</v>
      </c>
      <c r="B3000" t="str">
        <f>"03788589"</f>
        <v>03788589</v>
      </c>
      <c r="C3000" t="s">
        <v>17609</v>
      </c>
      <c r="D3000" t="s">
        <v>5230</v>
      </c>
      <c r="E3000" t="s">
        <v>5231</v>
      </c>
      <c r="G3000" t="s">
        <v>14326</v>
      </c>
      <c r="H3000" t="s">
        <v>14327</v>
      </c>
      <c r="J3000" t="s">
        <v>14328</v>
      </c>
      <c r="L3000" t="s">
        <v>74</v>
      </c>
      <c r="M3000" t="s">
        <v>75</v>
      </c>
      <c r="R3000" t="s">
        <v>5232</v>
      </c>
      <c r="W3000" t="s">
        <v>5231</v>
      </c>
      <c r="X3000" t="s">
        <v>5016</v>
      </c>
      <c r="Y3000" t="s">
        <v>97</v>
      </c>
      <c r="Z3000" t="s">
        <v>77</v>
      </c>
      <c r="AA3000" t="str">
        <f>"10025-3923"</f>
        <v>10025-3923</v>
      </c>
      <c r="AB3000" t="s">
        <v>78</v>
      </c>
      <c r="AC3000" t="s">
        <v>79</v>
      </c>
      <c r="AD3000" t="s">
        <v>75</v>
      </c>
      <c r="AE3000" t="s">
        <v>80</v>
      </c>
      <c r="AG3000" t="s">
        <v>81</v>
      </c>
    </row>
    <row r="3001" spans="1:33" x14ac:dyDescent="0.25">
      <c r="A3001" t="str">
        <f>"1548696230"</f>
        <v>1548696230</v>
      </c>
      <c r="B3001" t="str">
        <f>"03788552"</f>
        <v>03788552</v>
      </c>
      <c r="C3001" t="s">
        <v>17610</v>
      </c>
      <c r="D3001" t="s">
        <v>5507</v>
      </c>
      <c r="E3001" t="s">
        <v>5508</v>
      </c>
      <c r="G3001" t="s">
        <v>14326</v>
      </c>
      <c r="H3001" t="s">
        <v>14327</v>
      </c>
      <c r="J3001" t="s">
        <v>14328</v>
      </c>
      <c r="L3001" t="s">
        <v>74</v>
      </c>
      <c r="M3001" t="s">
        <v>75</v>
      </c>
      <c r="R3001" t="s">
        <v>5508</v>
      </c>
      <c r="W3001" t="s">
        <v>5508</v>
      </c>
      <c r="X3001" t="s">
        <v>5016</v>
      </c>
      <c r="Y3001" t="s">
        <v>97</v>
      </c>
      <c r="Z3001" t="s">
        <v>77</v>
      </c>
      <c r="AA3001" t="str">
        <f>"10025-3923"</f>
        <v>10025-3923</v>
      </c>
      <c r="AB3001" t="s">
        <v>78</v>
      </c>
      <c r="AC3001" t="s">
        <v>79</v>
      </c>
      <c r="AD3001" t="s">
        <v>75</v>
      </c>
      <c r="AE3001" t="s">
        <v>80</v>
      </c>
      <c r="AG3001" t="s">
        <v>81</v>
      </c>
    </row>
    <row r="3002" spans="1:33" x14ac:dyDescent="0.25">
      <c r="A3002" t="str">
        <f>"1417213299"</f>
        <v>1417213299</v>
      </c>
      <c r="B3002" t="str">
        <f>"03537804"</f>
        <v>03537804</v>
      </c>
      <c r="C3002" t="s">
        <v>17611</v>
      </c>
      <c r="D3002" t="s">
        <v>3694</v>
      </c>
      <c r="E3002" t="s">
        <v>3695</v>
      </c>
      <c r="G3002" t="s">
        <v>14326</v>
      </c>
      <c r="H3002" t="s">
        <v>14327</v>
      </c>
      <c r="J3002" t="s">
        <v>14328</v>
      </c>
      <c r="L3002" t="s">
        <v>83</v>
      </c>
      <c r="M3002" t="s">
        <v>75</v>
      </c>
      <c r="R3002" t="s">
        <v>3696</v>
      </c>
      <c r="W3002" t="s">
        <v>3695</v>
      </c>
      <c r="X3002" t="s">
        <v>3697</v>
      </c>
      <c r="Y3002" t="s">
        <v>131</v>
      </c>
      <c r="Z3002" t="s">
        <v>77</v>
      </c>
      <c r="AA3002" t="str">
        <f>"10452-5503"</f>
        <v>10452-5503</v>
      </c>
      <c r="AB3002" t="s">
        <v>78</v>
      </c>
      <c r="AC3002" t="s">
        <v>79</v>
      </c>
      <c r="AD3002" t="s">
        <v>75</v>
      </c>
      <c r="AE3002" t="s">
        <v>80</v>
      </c>
      <c r="AG3002" t="s">
        <v>81</v>
      </c>
    </row>
    <row r="3003" spans="1:33" x14ac:dyDescent="0.25">
      <c r="A3003" t="str">
        <f>"1720387343"</f>
        <v>1720387343</v>
      </c>
      <c r="B3003" t="str">
        <f>"03788483"</f>
        <v>03788483</v>
      </c>
      <c r="C3003" t="s">
        <v>17612</v>
      </c>
      <c r="D3003" t="s">
        <v>5217</v>
      </c>
      <c r="E3003" t="s">
        <v>5218</v>
      </c>
      <c r="G3003" t="s">
        <v>14326</v>
      </c>
      <c r="H3003" t="s">
        <v>14327</v>
      </c>
      <c r="J3003" t="s">
        <v>14328</v>
      </c>
      <c r="L3003" t="s">
        <v>74</v>
      </c>
      <c r="M3003" t="s">
        <v>75</v>
      </c>
      <c r="R3003" t="s">
        <v>5219</v>
      </c>
      <c r="W3003" t="s">
        <v>5218</v>
      </c>
      <c r="X3003" t="s">
        <v>5016</v>
      </c>
      <c r="Y3003" t="s">
        <v>97</v>
      </c>
      <c r="Z3003" t="s">
        <v>77</v>
      </c>
      <c r="AA3003" t="str">
        <f>"10025-3923"</f>
        <v>10025-3923</v>
      </c>
      <c r="AB3003" t="s">
        <v>78</v>
      </c>
      <c r="AC3003" t="s">
        <v>79</v>
      </c>
      <c r="AD3003" t="s">
        <v>75</v>
      </c>
      <c r="AE3003" t="s">
        <v>80</v>
      </c>
      <c r="AG3003" t="s">
        <v>81</v>
      </c>
    </row>
    <row r="3004" spans="1:33" x14ac:dyDescent="0.25">
      <c r="A3004" t="str">
        <f>"1285640698"</f>
        <v>1285640698</v>
      </c>
      <c r="B3004" t="str">
        <f>"00495414"</f>
        <v>00495414</v>
      </c>
      <c r="C3004" t="s">
        <v>17613</v>
      </c>
      <c r="D3004" t="s">
        <v>17614</v>
      </c>
      <c r="E3004" t="s">
        <v>17615</v>
      </c>
      <c r="G3004" t="s">
        <v>13504</v>
      </c>
      <c r="H3004" t="s">
        <v>13505</v>
      </c>
      <c r="J3004" t="s">
        <v>13506</v>
      </c>
      <c r="L3004" t="s">
        <v>84</v>
      </c>
      <c r="M3004" t="s">
        <v>85</v>
      </c>
      <c r="R3004" t="s">
        <v>17616</v>
      </c>
      <c r="W3004" t="s">
        <v>17615</v>
      </c>
      <c r="X3004" t="s">
        <v>201</v>
      </c>
      <c r="Y3004" t="s">
        <v>87</v>
      </c>
      <c r="Z3004" t="s">
        <v>77</v>
      </c>
      <c r="AA3004" t="str">
        <f>"11237-4006"</f>
        <v>11237-4006</v>
      </c>
      <c r="AB3004" t="s">
        <v>78</v>
      </c>
      <c r="AC3004" t="s">
        <v>79</v>
      </c>
      <c r="AD3004" t="s">
        <v>75</v>
      </c>
      <c r="AE3004" t="s">
        <v>80</v>
      </c>
      <c r="AG3004" t="s">
        <v>81</v>
      </c>
    </row>
    <row r="3005" spans="1:33" x14ac:dyDescent="0.25">
      <c r="A3005" t="str">
        <f>"1912225327"</f>
        <v>1912225327</v>
      </c>
      <c r="B3005" t="str">
        <f>"03255814"</f>
        <v>03255814</v>
      </c>
      <c r="C3005" t="s">
        <v>17617</v>
      </c>
      <c r="D3005" t="s">
        <v>17618</v>
      </c>
      <c r="E3005" t="s">
        <v>17619</v>
      </c>
      <c r="G3005" t="s">
        <v>7218</v>
      </c>
      <c r="H3005" t="s">
        <v>6801</v>
      </c>
      <c r="I3005">
        <v>6136</v>
      </c>
      <c r="J3005" t="s">
        <v>7219</v>
      </c>
      <c r="L3005" t="s">
        <v>102</v>
      </c>
      <c r="M3005" t="s">
        <v>75</v>
      </c>
      <c r="R3005" t="s">
        <v>17620</v>
      </c>
      <c r="W3005" t="s">
        <v>17619</v>
      </c>
      <c r="X3005" t="s">
        <v>17621</v>
      </c>
      <c r="Y3005" t="s">
        <v>97</v>
      </c>
      <c r="Z3005" t="s">
        <v>77</v>
      </c>
      <c r="AA3005" t="str">
        <f>"10021-4872"</f>
        <v>10021-4872</v>
      </c>
      <c r="AB3005" t="s">
        <v>113</v>
      </c>
      <c r="AC3005" t="s">
        <v>79</v>
      </c>
      <c r="AD3005" t="s">
        <v>75</v>
      </c>
      <c r="AE3005" t="s">
        <v>80</v>
      </c>
      <c r="AG3005" t="s">
        <v>81</v>
      </c>
    </row>
    <row r="3006" spans="1:33" x14ac:dyDescent="0.25">
      <c r="A3006" t="str">
        <f>"1922246081"</f>
        <v>1922246081</v>
      </c>
      <c r="B3006" t="str">
        <f>"03576670"</f>
        <v>03576670</v>
      </c>
      <c r="C3006" t="s">
        <v>17622</v>
      </c>
      <c r="D3006" t="s">
        <v>5416</v>
      </c>
      <c r="E3006" t="s">
        <v>5417</v>
      </c>
      <c r="G3006" t="s">
        <v>7218</v>
      </c>
      <c r="H3006" t="s">
        <v>6801</v>
      </c>
      <c r="I3006">
        <v>6136</v>
      </c>
      <c r="J3006" t="s">
        <v>7219</v>
      </c>
      <c r="L3006" t="s">
        <v>74</v>
      </c>
      <c r="M3006" t="s">
        <v>75</v>
      </c>
      <c r="R3006" t="s">
        <v>5418</v>
      </c>
      <c r="W3006" t="s">
        <v>5417</v>
      </c>
      <c r="X3006" t="s">
        <v>3538</v>
      </c>
      <c r="Y3006" t="s">
        <v>131</v>
      </c>
      <c r="Z3006" t="s">
        <v>77</v>
      </c>
      <c r="AA3006" t="str">
        <f>"10461-5726"</f>
        <v>10461-5726</v>
      </c>
      <c r="AB3006" t="s">
        <v>109</v>
      </c>
      <c r="AC3006" t="s">
        <v>79</v>
      </c>
      <c r="AD3006" t="s">
        <v>75</v>
      </c>
      <c r="AE3006" t="s">
        <v>80</v>
      </c>
      <c r="AG3006" t="s">
        <v>81</v>
      </c>
    </row>
    <row r="3007" spans="1:33" x14ac:dyDescent="0.25">
      <c r="A3007" t="str">
        <f>"1932525771"</f>
        <v>1932525771</v>
      </c>
      <c r="B3007" t="str">
        <f>"03821501"</f>
        <v>03821501</v>
      </c>
      <c r="C3007" t="s">
        <v>17623</v>
      </c>
      <c r="D3007" t="s">
        <v>17624</v>
      </c>
      <c r="E3007" t="s">
        <v>17625</v>
      </c>
      <c r="G3007" t="s">
        <v>7218</v>
      </c>
      <c r="H3007" t="s">
        <v>6801</v>
      </c>
      <c r="I3007">
        <v>6136</v>
      </c>
      <c r="J3007" t="s">
        <v>7219</v>
      </c>
      <c r="L3007" t="s">
        <v>74</v>
      </c>
      <c r="M3007" t="s">
        <v>75</v>
      </c>
      <c r="R3007" t="s">
        <v>17625</v>
      </c>
      <c r="W3007" t="s">
        <v>17625</v>
      </c>
      <c r="X3007" t="s">
        <v>2997</v>
      </c>
      <c r="Y3007" t="s">
        <v>87</v>
      </c>
      <c r="Z3007" t="s">
        <v>77</v>
      </c>
      <c r="AA3007" t="str">
        <f>"11201-4333"</f>
        <v>11201-4333</v>
      </c>
      <c r="AB3007" t="s">
        <v>109</v>
      </c>
      <c r="AC3007" t="s">
        <v>79</v>
      </c>
      <c r="AD3007" t="s">
        <v>75</v>
      </c>
      <c r="AE3007" t="s">
        <v>80</v>
      </c>
      <c r="AG3007" t="s">
        <v>81</v>
      </c>
    </row>
    <row r="3008" spans="1:33" x14ac:dyDescent="0.25">
      <c r="A3008" t="str">
        <f>"1952505109"</f>
        <v>1952505109</v>
      </c>
      <c r="B3008" t="str">
        <f>"03512892"</f>
        <v>03512892</v>
      </c>
      <c r="C3008" t="s">
        <v>17626</v>
      </c>
      <c r="D3008" t="s">
        <v>17627</v>
      </c>
      <c r="E3008" t="s">
        <v>17628</v>
      </c>
      <c r="G3008" t="s">
        <v>7218</v>
      </c>
      <c r="H3008" t="s">
        <v>6801</v>
      </c>
      <c r="I3008">
        <v>6136</v>
      </c>
      <c r="J3008" t="s">
        <v>7219</v>
      </c>
      <c r="L3008" t="s">
        <v>74</v>
      </c>
      <c r="M3008" t="s">
        <v>75</v>
      </c>
      <c r="R3008" t="s">
        <v>17629</v>
      </c>
      <c r="W3008" t="s">
        <v>17628</v>
      </c>
      <c r="X3008" t="s">
        <v>9151</v>
      </c>
      <c r="Y3008" t="s">
        <v>97</v>
      </c>
      <c r="Z3008" t="s">
        <v>77</v>
      </c>
      <c r="AA3008" t="str">
        <f>"10001-2320"</f>
        <v>10001-2320</v>
      </c>
      <c r="AB3008" t="s">
        <v>109</v>
      </c>
      <c r="AC3008" t="s">
        <v>79</v>
      </c>
      <c r="AD3008" t="s">
        <v>75</v>
      </c>
      <c r="AE3008" t="s">
        <v>80</v>
      </c>
      <c r="AG3008" t="s">
        <v>81</v>
      </c>
    </row>
    <row r="3009" spans="1:33" x14ac:dyDescent="0.25">
      <c r="A3009" t="str">
        <f>"1952555757"</f>
        <v>1952555757</v>
      </c>
      <c r="B3009" t="str">
        <f>"03930687"</f>
        <v>03930687</v>
      </c>
      <c r="C3009" t="s">
        <v>17630</v>
      </c>
      <c r="D3009" t="s">
        <v>17631</v>
      </c>
      <c r="E3009" t="s">
        <v>17632</v>
      </c>
      <c r="G3009" t="s">
        <v>7218</v>
      </c>
      <c r="H3009" t="s">
        <v>6801</v>
      </c>
      <c r="I3009">
        <v>6136</v>
      </c>
      <c r="J3009" t="s">
        <v>7219</v>
      </c>
      <c r="L3009" t="s">
        <v>74</v>
      </c>
      <c r="M3009" t="s">
        <v>75</v>
      </c>
      <c r="R3009" t="s">
        <v>17633</v>
      </c>
      <c r="W3009" t="s">
        <v>17632</v>
      </c>
      <c r="X3009" t="s">
        <v>8385</v>
      </c>
      <c r="Y3009" t="s">
        <v>97</v>
      </c>
      <c r="Z3009" t="s">
        <v>77</v>
      </c>
      <c r="AA3009" t="str">
        <f>"10001-2320"</f>
        <v>10001-2320</v>
      </c>
      <c r="AB3009" t="s">
        <v>109</v>
      </c>
      <c r="AC3009" t="s">
        <v>79</v>
      </c>
      <c r="AD3009" t="s">
        <v>75</v>
      </c>
      <c r="AE3009" t="s">
        <v>80</v>
      </c>
      <c r="AG3009" t="s">
        <v>81</v>
      </c>
    </row>
    <row r="3010" spans="1:33" x14ac:dyDescent="0.25">
      <c r="A3010" t="str">
        <f>"1740345867"</f>
        <v>1740345867</v>
      </c>
      <c r="C3010" t="s">
        <v>17634</v>
      </c>
      <c r="G3010" t="s">
        <v>7218</v>
      </c>
      <c r="H3010" t="s">
        <v>6801</v>
      </c>
      <c r="I3010">
        <v>6136</v>
      </c>
      <c r="J3010" t="s">
        <v>7219</v>
      </c>
      <c r="K3010" t="s">
        <v>99</v>
      </c>
      <c r="L3010" t="s">
        <v>74</v>
      </c>
      <c r="M3010" t="s">
        <v>75</v>
      </c>
      <c r="R3010" t="s">
        <v>17635</v>
      </c>
      <c r="S3010" t="s">
        <v>6229</v>
      </c>
      <c r="T3010" t="s">
        <v>97</v>
      </c>
      <c r="U3010" t="s">
        <v>77</v>
      </c>
      <c r="V3010" t="str">
        <f>"100012320"</f>
        <v>100012320</v>
      </c>
      <c r="AC3010" t="s">
        <v>79</v>
      </c>
      <c r="AD3010" t="s">
        <v>75</v>
      </c>
      <c r="AE3010" t="s">
        <v>103</v>
      </c>
      <c r="AG3010" t="s">
        <v>81</v>
      </c>
    </row>
    <row r="3011" spans="1:33" x14ac:dyDescent="0.25">
      <c r="A3011" t="str">
        <f>"1740346444"</f>
        <v>1740346444</v>
      </c>
      <c r="C3011" t="s">
        <v>17636</v>
      </c>
      <c r="G3011" t="s">
        <v>7218</v>
      </c>
      <c r="H3011" t="s">
        <v>6801</v>
      </c>
      <c r="I3011">
        <v>6136</v>
      </c>
      <c r="J3011" t="s">
        <v>7219</v>
      </c>
      <c r="K3011" t="s">
        <v>99</v>
      </c>
      <c r="L3011" t="s">
        <v>74</v>
      </c>
      <c r="M3011" t="s">
        <v>75</v>
      </c>
      <c r="R3011" t="s">
        <v>17637</v>
      </c>
      <c r="S3011" t="s">
        <v>6229</v>
      </c>
      <c r="T3011" t="s">
        <v>97</v>
      </c>
      <c r="U3011" t="s">
        <v>77</v>
      </c>
      <c r="V3011" t="str">
        <f>"100012320"</f>
        <v>100012320</v>
      </c>
      <c r="AC3011" t="s">
        <v>79</v>
      </c>
      <c r="AD3011" t="s">
        <v>75</v>
      </c>
      <c r="AE3011" t="s">
        <v>103</v>
      </c>
      <c r="AG3011" t="s">
        <v>81</v>
      </c>
    </row>
    <row r="3012" spans="1:33" x14ac:dyDescent="0.25">
      <c r="A3012" t="str">
        <f>"1750585832"</f>
        <v>1750585832</v>
      </c>
      <c r="B3012" t="str">
        <f>"03658019"</f>
        <v>03658019</v>
      </c>
      <c r="C3012" t="s">
        <v>17638</v>
      </c>
      <c r="D3012" t="s">
        <v>17639</v>
      </c>
      <c r="E3012" t="s">
        <v>17640</v>
      </c>
      <c r="G3012" t="s">
        <v>7218</v>
      </c>
      <c r="H3012" t="s">
        <v>6801</v>
      </c>
      <c r="I3012">
        <v>6136</v>
      </c>
      <c r="J3012" t="s">
        <v>7219</v>
      </c>
      <c r="L3012" t="s">
        <v>74</v>
      </c>
      <c r="M3012" t="s">
        <v>75</v>
      </c>
      <c r="R3012" t="s">
        <v>17641</v>
      </c>
      <c r="W3012" t="s">
        <v>17640</v>
      </c>
      <c r="X3012" t="s">
        <v>8385</v>
      </c>
      <c r="Y3012" t="s">
        <v>97</v>
      </c>
      <c r="Z3012" t="s">
        <v>77</v>
      </c>
      <c r="AA3012" t="str">
        <f>"10001-2320"</f>
        <v>10001-2320</v>
      </c>
      <c r="AB3012" t="s">
        <v>109</v>
      </c>
      <c r="AC3012" t="s">
        <v>79</v>
      </c>
      <c r="AD3012" t="s">
        <v>75</v>
      </c>
      <c r="AE3012" t="s">
        <v>80</v>
      </c>
      <c r="AG3012" t="s">
        <v>81</v>
      </c>
    </row>
    <row r="3013" spans="1:33" x14ac:dyDescent="0.25">
      <c r="A3013" t="str">
        <f>"1750682274"</f>
        <v>1750682274</v>
      </c>
      <c r="B3013" t="str">
        <f>"03658037"</f>
        <v>03658037</v>
      </c>
      <c r="C3013" t="s">
        <v>17642</v>
      </c>
      <c r="D3013" t="s">
        <v>17643</v>
      </c>
      <c r="E3013" t="s">
        <v>17644</v>
      </c>
      <c r="G3013" t="s">
        <v>7218</v>
      </c>
      <c r="H3013" t="s">
        <v>6801</v>
      </c>
      <c r="I3013">
        <v>6136</v>
      </c>
      <c r="J3013" t="s">
        <v>7219</v>
      </c>
      <c r="L3013" t="s">
        <v>74</v>
      </c>
      <c r="M3013" t="s">
        <v>75</v>
      </c>
      <c r="R3013" t="s">
        <v>17644</v>
      </c>
      <c r="W3013" t="s">
        <v>17644</v>
      </c>
      <c r="X3013" t="s">
        <v>3538</v>
      </c>
      <c r="Y3013" t="s">
        <v>131</v>
      </c>
      <c r="Z3013" t="s">
        <v>77</v>
      </c>
      <c r="AA3013" t="str">
        <f>"10461-5726"</f>
        <v>10461-5726</v>
      </c>
      <c r="AB3013" t="s">
        <v>109</v>
      </c>
      <c r="AC3013" t="s">
        <v>79</v>
      </c>
      <c r="AD3013" t="s">
        <v>75</v>
      </c>
      <c r="AE3013" t="s">
        <v>80</v>
      </c>
      <c r="AG3013" t="s">
        <v>81</v>
      </c>
    </row>
    <row r="3014" spans="1:33" x14ac:dyDescent="0.25">
      <c r="A3014" t="str">
        <f>"1750709291"</f>
        <v>1750709291</v>
      </c>
      <c r="C3014" t="s">
        <v>17645</v>
      </c>
      <c r="G3014" t="s">
        <v>7218</v>
      </c>
      <c r="H3014" t="s">
        <v>6801</v>
      </c>
      <c r="I3014">
        <v>6136</v>
      </c>
      <c r="J3014" t="s">
        <v>7219</v>
      </c>
      <c r="K3014" t="s">
        <v>99</v>
      </c>
      <c r="L3014" t="s">
        <v>74</v>
      </c>
      <c r="M3014" t="s">
        <v>75</v>
      </c>
      <c r="R3014" t="s">
        <v>17646</v>
      </c>
      <c r="S3014" t="s">
        <v>8349</v>
      </c>
      <c r="T3014" t="s">
        <v>97</v>
      </c>
      <c r="U3014" t="s">
        <v>77</v>
      </c>
      <c r="V3014" t="str">
        <f>"10001"</f>
        <v>10001</v>
      </c>
      <c r="AC3014" t="s">
        <v>79</v>
      </c>
      <c r="AD3014" t="s">
        <v>75</v>
      </c>
      <c r="AE3014" t="s">
        <v>103</v>
      </c>
      <c r="AG3014" t="s">
        <v>81</v>
      </c>
    </row>
    <row r="3015" spans="1:33" x14ac:dyDescent="0.25">
      <c r="A3015" t="str">
        <f>"1760625131"</f>
        <v>1760625131</v>
      </c>
      <c r="C3015" t="s">
        <v>17647</v>
      </c>
      <c r="G3015" t="s">
        <v>7218</v>
      </c>
      <c r="H3015" t="s">
        <v>6801</v>
      </c>
      <c r="I3015">
        <v>6136</v>
      </c>
      <c r="J3015" t="s">
        <v>7219</v>
      </c>
      <c r="K3015" t="s">
        <v>99</v>
      </c>
      <c r="L3015" t="s">
        <v>74</v>
      </c>
      <c r="M3015" t="s">
        <v>75</v>
      </c>
      <c r="R3015" t="s">
        <v>17648</v>
      </c>
      <c r="S3015" t="s">
        <v>17649</v>
      </c>
      <c r="T3015" t="s">
        <v>327</v>
      </c>
      <c r="U3015" t="s">
        <v>77</v>
      </c>
      <c r="V3015" t="str">
        <f>"114153609"</f>
        <v>114153609</v>
      </c>
      <c r="AC3015" t="s">
        <v>79</v>
      </c>
      <c r="AD3015" t="s">
        <v>75</v>
      </c>
      <c r="AE3015" t="s">
        <v>103</v>
      </c>
      <c r="AG3015" t="s">
        <v>81</v>
      </c>
    </row>
    <row r="3016" spans="1:33" x14ac:dyDescent="0.25">
      <c r="A3016" t="str">
        <f>"1760747919"</f>
        <v>1760747919</v>
      </c>
      <c r="C3016" t="s">
        <v>17650</v>
      </c>
      <c r="G3016" t="s">
        <v>7218</v>
      </c>
      <c r="H3016" t="s">
        <v>6801</v>
      </c>
      <c r="I3016">
        <v>6136</v>
      </c>
      <c r="J3016" t="s">
        <v>7219</v>
      </c>
      <c r="K3016" t="s">
        <v>99</v>
      </c>
      <c r="L3016" t="s">
        <v>102</v>
      </c>
      <c r="M3016" t="s">
        <v>75</v>
      </c>
      <c r="R3016" t="s">
        <v>17651</v>
      </c>
      <c r="S3016" t="s">
        <v>8385</v>
      </c>
      <c r="T3016" t="s">
        <v>97</v>
      </c>
      <c r="U3016" t="s">
        <v>77</v>
      </c>
      <c r="V3016" t="str">
        <f>"100012320"</f>
        <v>100012320</v>
      </c>
      <c r="AC3016" t="s">
        <v>79</v>
      </c>
      <c r="AD3016" t="s">
        <v>75</v>
      </c>
      <c r="AE3016" t="s">
        <v>103</v>
      </c>
      <c r="AG3016" t="s">
        <v>81</v>
      </c>
    </row>
    <row r="3017" spans="1:33" x14ac:dyDescent="0.25">
      <c r="A3017" t="str">
        <f>"1770648172"</f>
        <v>1770648172</v>
      </c>
      <c r="B3017" t="str">
        <f>"03523466"</f>
        <v>03523466</v>
      </c>
      <c r="C3017" t="s">
        <v>17652</v>
      </c>
      <c r="D3017" t="s">
        <v>17653</v>
      </c>
      <c r="E3017" t="s">
        <v>17654</v>
      </c>
      <c r="G3017" t="s">
        <v>7218</v>
      </c>
      <c r="H3017" t="s">
        <v>6801</v>
      </c>
      <c r="I3017">
        <v>6136</v>
      </c>
      <c r="J3017" t="s">
        <v>7219</v>
      </c>
      <c r="L3017" t="s">
        <v>74</v>
      </c>
      <c r="M3017" t="s">
        <v>75</v>
      </c>
      <c r="R3017" t="s">
        <v>17655</v>
      </c>
      <c r="W3017" t="s">
        <v>17654</v>
      </c>
      <c r="X3017" t="s">
        <v>9151</v>
      </c>
      <c r="Y3017" t="s">
        <v>97</v>
      </c>
      <c r="Z3017" t="s">
        <v>77</v>
      </c>
      <c r="AA3017" t="str">
        <f>"10001-2320"</f>
        <v>10001-2320</v>
      </c>
      <c r="AB3017" t="s">
        <v>125</v>
      </c>
      <c r="AC3017" t="s">
        <v>79</v>
      </c>
      <c r="AD3017" t="s">
        <v>75</v>
      </c>
      <c r="AE3017" t="s">
        <v>80</v>
      </c>
      <c r="AG3017" t="s">
        <v>81</v>
      </c>
    </row>
    <row r="3018" spans="1:33" x14ac:dyDescent="0.25">
      <c r="A3018" t="str">
        <f>"1770777013"</f>
        <v>1770777013</v>
      </c>
      <c r="B3018" t="str">
        <f>"03528627"</f>
        <v>03528627</v>
      </c>
      <c r="C3018" t="s">
        <v>17656</v>
      </c>
      <c r="D3018" t="s">
        <v>17657</v>
      </c>
      <c r="E3018" t="s">
        <v>17658</v>
      </c>
      <c r="G3018" t="s">
        <v>7218</v>
      </c>
      <c r="H3018" t="s">
        <v>6801</v>
      </c>
      <c r="I3018">
        <v>6136</v>
      </c>
      <c r="J3018" t="s">
        <v>7219</v>
      </c>
      <c r="L3018" t="s">
        <v>74</v>
      </c>
      <c r="M3018" t="s">
        <v>75</v>
      </c>
      <c r="R3018" t="s">
        <v>17659</v>
      </c>
      <c r="W3018" t="s">
        <v>17658</v>
      </c>
      <c r="X3018" t="s">
        <v>8686</v>
      </c>
      <c r="Y3018" t="s">
        <v>145</v>
      </c>
      <c r="Z3018" t="s">
        <v>77</v>
      </c>
      <c r="AA3018" t="str">
        <f>"11361-3241"</f>
        <v>11361-3241</v>
      </c>
      <c r="AB3018" t="s">
        <v>109</v>
      </c>
      <c r="AC3018" t="s">
        <v>79</v>
      </c>
      <c r="AD3018" t="s">
        <v>75</v>
      </c>
      <c r="AE3018" t="s">
        <v>80</v>
      </c>
      <c r="AG3018" t="s">
        <v>81</v>
      </c>
    </row>
    <row r="3019" spans="1:33" x14ac:dyDescent="0.25">
      <c r="A3019" t="str">
        <f>"1780018630"</f>
        <v>1780018630</v>
      </c>
      <c r="C3019" t="s">
        <v>17660</v>
      </c>
      <c r="G3019" t="s">
        <v>7218</v>
      </c>
      <c r="H3019" t="s">
        <v>6801</v>
      </c>
      <c r="I3019">
        <v>6136</v>
      </c>
      <c r="J3019" t="s">
        <v>7219</v>
      </c>
      <c r="K3019" t="s">
        <v>99</v>
      </c>
      <c r="L3019" t="s">
        <v>102</v>
      </c>
      <c r="M3019" t="s">
        <v>75</v>
      </c>
      <c r="R3019" t="s">
        <v>17661</v>
      </c>
      <c r="S3019" t="s">
        <v>9876</v>
      </c>
      <c r="T3019" t="s">
        <v>97</v>
      </c>
      <c r="U3019" t="s">
        <v>77</v>
      </c>
      <c r="V3019" t="str">
        <f>"100012320"</f>
        <v>100012320</v>
      </c>
      <c r="AC3019" t="s">
        <v>79</v>
      </c>
      <c r="AD3019" t="s">
        <v>75</v>
      </c>
      <c r="AE3019" t="s">
        <v>103</v>
      </c>
      <c r="AG3019" t="s">
        <v>81</v>
      </c>
    </row>
    <row r="3020" spans="1:33" x14ac:dyDescent="0.25">
      <c r="A3020" t="str">
        <f>"1821088642"</f>
        <v>1821088642</v>
      </c>
      <c r="B3020" t="str">
        <f>"00839405"</f>
        <v>00839405</v>
      </c>
      <c r="C3020" t="s">
        <v>17662</v>
      </c>
      <c r="D3020" t="s">
        <v>17663</v>
      </c>
      <c r="E3020" t="s">
        <v>17664</v>
      </c>
      <c r="G3020" t="s">
        <v>13515</v>
      </c>
      <c r="H3020" t="s">
        <v>498</v>
      </c>
      <c r="J3020" t="s">
        <v>13516</v>
      </c>
      <c r="L3020" t="s">
        <v>105</v>
      </c>
      <c r="M3020" t="s">
        <v>75</v>
      </c>
      <c r="R3020" t="s">
        <v>17665</v>
      </c>
      <c r="W3020" t="s">
        <v>17664</v>
      </c>
      <c r="X3020" t="s">
        <v>17666</v>
      </c>
      <c r="Y3020" t="s">
        <v>254</v>
      </c>
      <c r="Z3020" t="s">
        <v>77</v>
      </c>
      <c r="AA3020" t="str">
        <f>"11374-2795"</f>
        <v>11374-2795</v>
      </c>
      <c r="AB3020" t="s">
        <v>78</v>
      </c>
      <c r="AC3020" t="s">
        <v>79</v>
      </c>
      <c r="AD3020" t="s">
        <v>75</v>
      </c>
      <c r="AE3020" t="s">
        <v>80</v>
      </c>
      <c r="AG3020" t="s">
        <v>81</v>
      </c>
    </row>
    <row r="3021" spans="1:33" x14ac:dyDescent="0.25">
      <c r="A3021" t="str">
        <f>"1477710978"</f>
        <v>1477710978</v>
      </c>
      <c r="B3021" t="str">
        <f>"03504056"</f>
        <v>03504056</v>
      </c>
      <c r="C3021" t="s">
        <v>17667</v>
      </c>
      <c r="D3021" t="s">
        <v>17668</v>
      </c>
      <c r="E3021" t="s">
        <v>17669</v>
      </c>
      <c r="G3021" t="s">
        <v>13515</v>
      </c>
      <c r="H3021" t="s">
        <v>498</v>
      </c>
      <c r="J3021" t="s">
        <v>13516</v>
      </c>
      <c r="L3021" t="s">
        <v>105</v>
      </c>
      <c r="M3021" t="s">
        <v>75</v>
      </c>
      <c r="R3021" t="s">
        <v>17669</v>
      </c>
      <c r="W3021" t="s">
        <v>17669</v>
      </c>
      <c r="X3021" t="s">
        <v>163</v>
      </c>
      <c r="Y3021" t="s">
        <v>164</v>
      </c>
      <c r="Z3021" t="s">
        <v>77</v>
      </c>
      <c r="AA3021" t="str">
        <f>"11554-1859"</f>
        <v>11554-1859</v>
      </c>
      <c r="AB3021" t="s">
        <v>78</v>
      </c>
      <c r="AC3021" t="s">
        <v>79</v>
      </c>
      <c r="AD3021" t="s">
        <v>75</v>
      </c>
      <c r="AE3021" t="s">
        <v>80</v>
      </c>
      <c r="AG3021" t="s">
        <v>81</v>
      </c>
    </row>
    <row r="3022" spans="1:33" x14ac:dyDescent="0.25">
      <c r="A3022" t="str">
        <f>"1689949455"</f>
        <v>1689949455</v>
      </c>
      <c r="C3022" t="s">
        <v>17670</v>
      </c>
      <c r="G3022" t="s">
        <v>7218</v>
      </c>
      <c r="H3022" t="s">
        <v>6801</v>
      </c>
      <c r="I3022">
        <v>6136</v>
      </c>
      <c r="J3022" t="s">
        <v>7219</v>
      </c>
      <c r="K3022" t="s">
        <v>99</v>
      </c>
      <c r="L3022" t="s">
        <v>102</v>
      </c>
      <c r="M3022" t="s">
        <v>75</v>
      </c>
      <c r="R3022" t="s">
        <v>17671</v>
      </c>
      <c r="S3022" t="s">
        <v>17672</v>
      </c>
      <c r="T3022" t="s">
        <v>87</v>
      </c>
      <c r="U3022" t="s">
        <v>77</v>
      </c>
      <c r="V3022" t="str">
        <f>"112014333"</f>
        <v>112014333</v>
      </c>
      <c r="AC3022" t="s">
        <v>79</v>
      </c>
      <c r="AD3022" t="s">
        <v>75</v>
      </c>
      <c r="AE3022" t="s">
        <v>103</v>
      </c>
      <c r="AG3022" t="s">
        <v>81</v>
      </c>
    </row>
    <row r="3023" spans="1:33" x14ac:dyDescent="0.25">
      <c r="A3023" t="str">
        <f>"1740393842"</f>
        <v>1740393842</v>
      </c>
      <c r="B3023" t="str">
        <f>"02226222"</f>
        <v>02226222</v>
      </c>
      <c r="C3023" t="s">
        <v>17673</v>
      </c>
      <c r="D3023" t="s">
        <v>17674</v>
      </c>
      <c r="E3023" t="s">
        <v>17675</v>
      </c>
      <c r="G3023" t="s">
        <v>13504</v>
      </c>
      <c r="H3023" t="s">
        <v>13505</v>
      </c>
      <c r="J3023" t="s">
        <v>13506</v>
      </c>
      <c r="L3023" t="s">
        <v>74</v>
      </c>
      <c r="M3023" t="s">
        <v>85</v>
      </c>
      <c r="R3023" t="s">
        <v>17676</v>
      </c>
      <c r="W3023" t="s">
        <v>17675</v>
      </c>
      <c r="X3023" t="s">
        <v>6520</v>
      </c>
      <c r="Y3023" t="s">
        <v>97</v>
      </c>
      <c r="Z3023" t="s">
        <v>77</v>
      </c>
      <c r="AA3023" t="str">
        <f>"10029-6810"</f>
        <v>10029-6810</v>
      </c>
      <c r="AB3023" t="s">
        <v>78</v>
      </c>
      <c r="AC3023" t="s">
        <v>79</v>
      </c>
      <c r="AD3023" t="s">
        <v>75</v>
      </c>
      <c r="AE3023" t="s">
        <v>80</v>
      </c>
      <c r="AG3023" t="s">
        <v>81</v>
      </c>
    </row>
    <row r="3024" spans="1:33" x14ac:dyDescent="0.25">
      <c r="A3024" t="str">
        <f>"1073650545"</f>
        <v>1073650545</v>
      </c>
      <c r="B3024" t="str">
        <f>"01362298"</f>
        <v>01362298</v>
      </c>
      <c r="C3024" t="s">
        <v>13436</v>
      </c>
      <c r="D3024" t="s">
        <v>17677</v>
      </c>
      <c r="E3024" t="s">
        <v>17678</v>
      </c>
      <c r="G3024" t="s">
        <v>17679</v>
      </c>
      <c r="L3024" t="s">
        <v>83</v>
      </c>
      <c r="M3024" t="s">
        <v>85</v>
      </c>
      <c r="R3024" t="s">
        <v>17680</v>
      </c>
      <c r="W3024" t="s">
        <v>17678</v>
      </c>
      <c r="X3024" t="s">
        <v>737</v>
      </c>
      <c r="Y3024" t="s">
        <v>97</v>
      </c>
      <c r="Z3024" t="s">
        <v>77</v>
      </c>
      <c r="AA3024" t="str">
        <f>"10019"</f>
        <v>10019</v>
      </c>
      <c r="AB3024" t="s">
        <v>78</v>
      </c>
      <c r="AC3024" t="s">
        <v>79</v>
      </c>
      <c r="AD3024" t="s">
        <v>75</v>
      </c>
      <c r="AE3024" t="s">
        <v>80</v>
      </c>
      <c r="AG3024" t="s">
        <v>81</v>
      </c>
    </row>
    <row r="3025" spans="1:33" x14ac:dyDescent="0.25">
      <c r="A3025" t="str">
        <f>"1770629768"</f>
        <v>1770629768</v>
      </c>
      <c r="B3025" t="str">
        <f>"03843607"</f>
        <v>03843607</v>
      </c>
      <c r="C3025" t="s">
        <v>13436</v>
      </c>
      <c r="D3025" t="s">
        <v>17681</v>
      </c>
      <c r="E3025" t="s">
        <v>17682</v>
      </c>
      <c r="G3025" t="s">
        <v>17683</v>
      </c>
      <c r="L3025" t="s">
        <v>102</v>
      </c>
      <c r="M3025" t="s">
        <v>85</v>
      </c>
      <c r="R3025" t="s">
        <v>17684</v>
      </c>
      <c r="W3025" t="s">
        <v>17682</v>
      </c>
      <c r="X3025" t="s">
        <v>181</v>
      </c>
      <c r="Y3025" t="s">
        <v>97</v>
      </c>
      <c r="Z3025" t="s">
        <v>77</v>
      </c>
      <c r="AA3025" t="str">
        <f>"10025-1716"</f>
        <v>10025-1716</v>
      </c>
      <c r="AB3025" t="s">
        <v>78</v>
      </c>
      <c r="AC3025" t="s">
        <v>79</v>
      </c>
      <c r="AD3025" t="s">
        <v>75</v>
      </c>
      <c r="AE3025" t="s">
        <v>80</v>
      </c>
      <c r="AG3025" t="s">
        <v>81</v>
      </c>
    </row>
    <row r="3026" spans="1:33" x14ac:dyDescent="0.25">
      <c r="A3026" t="str">
        <f>"1770657405"</f>
        <v>1770657405</v>
      </c>
      <c r="B3026" t="str">
        <f>"02424739"</f>
        <v>02424739</v>
      </c>
      <c r="C3026" t="s">
        <v>13436</v>
      </c>
      <c r="D3026" t="s">
        <v>17685</v>
      </c>
      <c r="E3026" t="s">
        <v>17686</v>
      </c>
      <c r="G3026" t="s">
        <v>17687</v>
      </c>
      <c r="L3026" t="s">
        <v>83</v>
      </c>
      <c r="M3026" t="s">
        <v>85</v>
      </c>
      <c r="R3026" t="s">
        <v>17688</v>
      </c>
      <c r="W3026" t="s">
        <v>17688</v>
      </c>
      <c r="X3026" t="s">
        <v>191</v>
      </c>
      <c r="Y3026" t="s">
        <v>97</v>
      </c>
      <c r="Z3026" t="s">
        <v>77</v>
      </c>
      <c r="AA3026" t="str">
        <f>"10019-1147"</f>
        <v>10019-1147</v>
      </c>
      <c r="AB3026" t="s">
        <v>78</v>
      </c>
      <c r="AC3026" t="s">
        <v>79</v>
      </c>
      <c r="AD3026" t="s">
        <v>75</v>
      </c>
      <c r="AE3026" t="s">
        <v>80</v>
      </c>
      <c r="AG3026" t="s">
        <v>81</v>
      </c>
    </row>
    <row r="3027" spans="1:33" x14ac:dyDescent="0.25">
      <c r="A3027" t="str">
        <f>"1770674566"</f>
        <v>1770674566</v>
      </c>
      <c r="B3027" t="str">
        <f>"02441349"</f>
        <v>02441349</v>
      </c>
      <c r="C3027" t="s">
        <v>13436</v>
      </c>
      <c r="D3027" t="s">
        <v>17689</v>
      </c>
      <c r="E3027" t="s">
        <v>17690</v>
      </c>
      <c r="G3027" t="s">
        <v>17691</v>
      </c>
      <c r="L3027" t="s">
        <v>83</v>
      </c>
      <c r="M3027" t="s">
        <v>85</v>
      </c>
      <c r="R3027" t="s">
        <v>17692</v>
      </c>
      <c r="W3027" t="s">
        <v>17690</v>
      </c>
      <c r="X3027" t="s">
        <v>17693</v>
      </c>
      <c r="Y3027" t="s">
        <v>97</v>
      </c>
      <c r="Z3027" t="s">
        <v>77</v>
      </c>
      <c r="AA3027" t="str">
        <f>"10003-3314"</f>
        <v>10003-3314</v>
      </c>
      <c r="AB3027" t="s">
        <v>78</v>
      </c>
      <c r="AC3027" t="s">
        <v>79</v>
      </c>
      <c r="AD3027" t="s">
        <v>75</v>
      </c>
      <c r="AE3027" t="s">
        <v>80</v>
      </c>
      <c r="AG3027" t="s">
        <v>81</v>
      </c>
    </row>
    <row r="3028" spans="1:33" x14ac:dyDescent="0.25">
      <c r="A3028" t="str">
        <f>"1770801581"</f>
        <v>1770801581</v>
      </c>
      <c r="B3028" t="str">
        <f>"03359395"</f>
        <v>03359395</v>
      </c>
      <c r="C3028" t="s">
        <v>13436</v>
      </c>
      <c r="D3028" t="s">
        <v>17694</v>
      </c>
      <c r="E3028" t="s">
        <v>17695</v>
      </c>
      <c r="G3028" t="s">
        <v>17696</v>
      </c>
      <c r="L3028" t="s">
        <v>84</v>
      </c>
      <c r="M3028" t="s">
        <v>85</v>
      </c>
      <c r="R3028" t="s">
        <v>17697</v>
      </c>
      <c r="W3028" t="s">
        <v>17695</v>
      </c>
      <c r="X3028" t="s">
        <v>17698</v>
      </c>
      <c r="Y3028" t="s">
        <v>97</v>
      </c>
      <c r="Z3028" t="s">
        <v>77</v>
      </c>
      <c r="AA3028" t="str">
        <f>"10025-1737"</f>
        <v>10025-1737</v>
      </c>
      <c r="AB3028" t="s">
        <v>78</v>
      </c>
      <c r="AC3028" t="s">
        <v>79</v>
      </c>
      <c r="AD3028" t="s">
        <v>75</v>
      </c>
      <c r="AE3028" t="s">
        <v>80</v>
      </c>
      <c r="AG3028" t="s">
        <v>81</v>
      </c>
    </row>
    <row r="3029" spans="1:33" x14ac:dyDescent="0.25">
      <c r="A3029" t="str">
        <f>"1306924519"</f>
        <v>1306924519</v>
      </c>
      <c r="B3029" t="str">
        <f>"01112789"</f>
        <v>01112789</v>
      </c>
      <c r="C3029" t="s">
        <v>13436</v>
      </c>
      <c r="D3029" t="s">
        <v>17699</v>
      </c>
      <c r="E3029" t="s">
        <v>17700</v>
      </c>
      <c r="G3029" t="s">
        <v>17701</v>
      </c>
      <c r="L3029" t="s">
        <v>84</v>
      </c>
      <c r="M3029" t="s">
        <v>85</v>
      </c>
      <c r="R3029" t="s">
        <v>17702</v>
      </c>
      <c r="W3029" t="s">
        <v>17703</v>
      </c>
      <c r="X3029" t="s">
        <v>17704</v>
      </c>
      <c r="Y3029" t="s">
        <v>97</v>
      </c>
      <c r="Z3029" t="s">
        <v>77</v>
      </c>
      <c r="AA3029" t="str">
        <f>"10075-0319"</f>
        <v>10075-0319</v>
      </c>
      <c r="AB3029" t="s">
        <v>78</v>
      </c>
      <c r="AC3029" t="s">
        <v>79</v>
      </c>
      <c r="AD3029" t="s">
        <v>75</v>
      </c>
      <c r="AE3029" t="s">
        <v>80</v>
      </c>
      <c r="AG3029" t="s">
        <v>81</v>
      </c>
    </row>
    <row r="3030" spans="1:33" x14ac:dyDescent="0.25">
      <c r="A3030" t="str">
        <f>"1003182718"</f>
        <v>1003182718</v>
      </c>
      <c r="C3030" t="s">
        <v>13436</v>
      </c>
      <c r="K3030" t="s">
        <v>99</v>
      </c>
      <c r="L3030" t="s">
        <v>102</v>
      </c>
      <c r="M3030" t="s">
        <v>75</v>
      </c>
      <c r="R3030" t="s">
        <v>17705</v>
      </c>
      <c r="S3030" t="s">
        <v>12619</v>
      </c>
      <c r="T3030" t="s">
        <v>97</v>
      </c>
      <c r="U3030" t="s">
        <v>77</v>
      </c>
      <c r="V3030" t="str">
        <f>"100191147"</f>
        <v>100191147</v>
      </c>
      <c r="AC3030" t="s">
        <v>79</v>
      </c>
      <c r="AD3030" t="s">
        <v>75</v>
      </c>
      <c r="AE3030" t="s">
        <v>103</v>
      </c>
      <c r="AG3030" t="s">
        <v>81</v>
      </c>
    </row>
    <row r="3031" spans="1:33" x14ac:dyDescent="0.25">
      <c r="A3031" t="str">
        <f>"1578852240"</f>
        <v>1578852240</v>
      </c>
      <c r="B3031" t="str">
        <f>"03916158"</f>
        <v>03916158</v>
      </c>
      <c r="C3031" t="s">
        <v>17706</v>
      </c>
      <c r="D3031" t="s">
        <v>3242</v>
      </c>
      <c r="E3031" t="s">
        <v>3243</v>
      </c>
      <c r="G3031" t="s">
        <v>12446</v>
      </c>
      <c r="H3031" t="s">
        <v>797</v>
      </c>
      <c r="J3031" t="s">
        <v>3051</v>
      </c>
      <c r="L3031" t="s">
        <v>84</v>
      </c>
      <c r="M3031" t="s">
        <v>75</v>
      </c>
      <c r="R3031" t="s">
        <v>3244</v>
      </c>
      <c r="W3031" t="s">
        <v>3243</v>
      </c>
      <c r="X3031" t="s">
        <v>2851</v>
      </c>
      <c r="Y3031" t="s">
        <v>97</v>
      </c>
      <c r="Z3031" t="s">
        <v>77</v>
      </c>
      <c r="AA3031" t="str">
        <f>"10032-7601"</f>
        <v>10032-7601</v>
      </c>
      <c r="AB3031" t="s">
        <v>78</v>
      </c>
      <c r="AC3031" t="s">
        <v>79</v>
      </c>
      <c r="AD3031" t="s">
        <v>75</v>
      </c>
      <c r="AE3031" t="s">
        <v>80</v>
      </c>
      <c r="AG3031" t="s">
        <v>81</v>
      </c>
    </row>
    <row r="3032" spans="1:33" x14ac:dyDescent="0.25">
      <c r="A3032" t="str">
        <f>"1962599035"</f>
        <v>1962599035</v>
      </c>
      <c r="B3032" t="str">
        <f>"02151866"</f>
        <v>02151866</v>
      </c>
      <c r="C3032" t="s">
        <v>17707</v>
      </c>
      <c r="D3032" t="s">
        <v>3459</v>
      </c>
      <c r="E3032" t="s">
        <v>3460</v>
      </c>
      <c r="G3032" t="s">
        <v>12446</v>
      </c>
      <c r="H3032" t="s">
        <v>797</v>
      </c>
      <c r="J3032" t="s">
        <v>3051</v>
      </c>
      <c r="L3032" t="s">
        <v>84</v>
      </c>
      <c r="M3032" t="s">
        <v>75</v>
      </c>
      <c r="R3032" t="s">
        <v>3461</v>
      </c>
      <c r="W3032" t="s">
        <v>3460</v>
      </c>
      <c r="X3032" t="s">
        <v>3462</v>
      </c>
      <c r="Y3032" t="s">
        <v>97</v>
      </c>
      <c r="Z3032" t="s">
        <v>77</v>
      </c>
      <c r="AA3032" t="str">
        <f>"10021-4872"</f>
        <v>10021-4872</v>
      </c>
      <c r="AB3032" t="s">
        <v>78</v>
      </c>
      <c r="AC3032" t="s">
        <v>79</v>
      </c>
      <c r="AD3032" t="s">
        <v>75</v>
      </c>
      <c r="AE3032" t="s">
        <v>80</v>
      </c>
      <c r="AG3032" t="s">
        <v>81</v>
      </c>
    </row>
    <row r="3033" spans="1:33" x14ac:dyDescent="0.25">
      <c r="A3033" t="str">
        <f>"1992929707"</f>
        <v>1992929707</v>
      </c>
      <c r="B3033" t="str">
        <f>"03695847"</f>
        <v>03695847</v>
      </c>
      <c r="C3033" t="s">
        <v>17708</v>
      </c>
      <c r="D3033" t="s">
        <v>17709</v>
      </c>
      <c r="E3033" t="s">
        <v>17710</v>
      </c>
      <c r="G3033" t="s">
        <v>17133</v>
      </c>
      <c r="H3033" t="s">
        <v>3396</v>
      </c>
      <c r="J3033" t="s">
        <v>17134</v>
      </c>
      <c r="L3033" t="s">
        <v>74</v>
      </c>
      <c r="M3033" t="s">
        <v>75</v>
      </c>
      <c r="R3033" t="s">
        <v>17711</v>
      </c>
      <c r="W3033" t="s">
        <v>17712</v>
      </c>
      <c r="X3033" t="s">
        <v>12299</v>
      </c>
      <c r="Y3033" t="s">
        <v>97</v>
      </c>
      <c r="Z3033" t="s">
        <v>77</v>
      </c>
      <c r="AA3033" t="str">
        <f>"10002-6803"</f>
        <v>10002-6803</v>
      </c>
      <c r="AB3033" t="s">
        <v>78</v>
      </c>
      <c r="AC3033" t="s">
        <v>79</v>
      </c>
      <c r="AD3033" t="s">
        <v>75</v>
      </c>
      <c r="AE3033" t="s">
        <v>80</v>
      </c>
      <c r="AG3033" t="s">
        <v>81</v>
      </c>
    </row>
    <row r="3034" spans="1:33" x14ac:dyDescent="0.25">
      <c r="A3034" t="str">
        <f>"1548471816"</f>
        <v>1548471816</v>
      </c>
      <c r="B3034" t="str">
        <f>"02286097"</f>
        <v>02286097</v>
      </c>
      <c r="C3034" t="s">
        <v>17713</v>
      </c>
      <c r="D3034" t="s">
        <v>2039</v>
      </c>
      <c r="E3034" t="s">
        <v>2040</v>
      </c>
      <c r="G3034" t="s">
        <v>17713</v>
      </c>
      <c r="H3034" t="s">
        <v>17714</v>
      </c>
      <c r="L3034" t="s">
        <v>105</v>
      </c>
      <c r="M3034" t="s">
        <v>75</v>
      </c>
      <c r="R3034" t="s">
        <v>2038</v>
      </c>
      <c r="W3034" t="s">
        <v>2041</v>
      </c>
      <c r="X3034" t="s">
        <v>2042</v>
      </c>
      <c r="Y3034" t="s">
        <v>182</v>
      </c>
      <c r="Z3034" t="s">
        <v>77</v>
      </c>
      <c r="AA3034" t="str">
        <f>"11501-2629"</f>
        <v>11501-2629</v>
      </c>
      <c r="AB3034" t="s">
        <v>125</v>
      </c>
      <c r="AC3034" t="s">
        <v>79</v>
      </c>
      <c r="AD3034" t="s">
        <v>75</v>
      </c>
      <c r="AE3034" t="s">
        <v>80</v>
      </c>
      <c r="AG3034" t="s">
        <v>81</v>
      </c>
    </row>
    <row r="3035" spans="1:33" x14ac:dyDescent="0.25">
      <c r="A3035" t="str">
        <f>"1588689566"</f>
        <v>1588689566</v>
      </c>
      <c r="B3035" t="str">
        <f>"00213052"</f>
        <v>00213052</v>
      </c>
      <c r="C3035" t="s">
        <v>17715</v>
      </c>
      <c r="D3035" t="s">
        <v>2044</v>
      </c>
      <c r="E3035" t="s">
        <v>2045</v>
      </c>
      <c r="G3035" t="s">
        <v>17715</v>
      </c>
      <c r="H3035" t="s">
        <v>17716</v>
      </c>
      <c r="L3035" t="s">
        <v>83</v>
      </c>
      <c r="M3035" t="s">
        <v>75</v>
      </c>
      <c r="R3035" t="s">
        <v>2043</v>
      </c>
      <c r="W3035" t="s">
        <v>2043</v>
      </c>
      <c r="X3035" t="s">
        <v>2046</v>
      </c>
      <c r="Y3035" t="s">
        <v>1754</v>
      </c>
      <c r="Z3035" t="s">
        <v>77</v>
      </c>
      <c r="AA3035" t="str">
        <f>"11782-2523"</f>
        <v>11782-2523</v>
      </c>
      <c r="AB3035" t="s">
        <v>78</v>
      </c>
      <c r="AC3035" t="s">
        <v>79</v>
      </c>
      <c r="AD3035" t="s">
        <v>75</v>
      </c>
      <c r="AE3035" t="s">
        <v>80</v>
      </c>
      <c r="AG3035" t="s">
        <v>81</v>
      </c>
    </row>
    <row r="3036" spans="1:33" x14ac:dyDescent="0.25">
      <c r="A3036" t="str">
        <f>"1184657959"</f>
        <v>1184657959</v>
      </c>
      <c r="B3036" t="str">
        <f>"02797515"</f>
        <v>02797515</v>
      </c>
      <c r="C3036" t="s">
        <v>17717</v>
      </c>
      <c r="D3036" t="s">
        <v>2048</v>
      </c>
      <c r="E3036" t="s">
        <v>2049</v>
      </c>
      <c r="G3036" t="s">
        <v>17717</v>
      </c>
      <c r="H3036" t="s">
        <v>17718</v>
      </c>
      <c r="L3036" t="s">
        <v>74</v>
      </c>
      <c r="M3036" t="s">
        <v>75</v>
      </c>
      <c r="R3036" t="s">
        <v>2047</v>
      </c>
      <c r="W3036" t="s">
        <v>2049</v>
      </c>
      <c r="X3036" t="s">
        <v>1805</v>
      </c>
      <c r="Y3036" t="s">
        <v>95</v>
      </c>
      <c r="Z3036" t="s">
        <v>77</v>
      </c>
      <c r="AA3036" t="str">
        <f>"12204-1004"</f>
        <v>12204-1004</v>
      </c>
      <c r="AB3036" t="s">
        <v>78</v>
      </c>
      <c r="AC3036" t="s">
        <v>79</v>
      </c>
      <c r="AD3036" t="s">
        <v>75</v>
      </c>
      <c r="AE3036" t="s">
        <v>80</v>
      </c>
      <c r="AG3036" t="s">
        <v>81</v>
      </c>
    </row>
    <row r="3037" spans="1:33" x14ac:dyDescent="0.25">
      <c r="A3037" t="str">
        <f>"1578802435"</f>
        <v>1578802435</v>
      </c>
      <c r="C3037" t="s">
        <v>17719</v>
      </c>
      <c r="G3037" t="s">
        <v>17719</v>
      </c>
      <c r="H3037" t="s">
        <v>17720</v>
      </c>
      <c r="K3037" t="s">
        <v>99</v>
      </c>
      <c r="L3037" t="s">
        <v>102</v>
      </c>
      <c r="M3037" t="s">
        <v>75</v>
      </c>
      <c r="R3037" t="s">
        <v>2070</v>
      </c>
      <c r="S3037" t="s">
        <v>2021</v>
      </c>
      <c r="T3037" t="s">
        <v>140</v>
      </c>
      <c r="U3037" t="s">
        <v>77</v>
      </c>
      <c r="V3037" t="str">
        <f>"117722004"</f>
        <v>117722004</v>
      </c>
      <c r="AC3037" t="s">
        <v>79</v>
      </c>
      <c r="AD3037" t="s">
        <v>75</v>
      </c>
      <c r="AE3037" t="s">
        <v>103</v>
      </c>
      <c r="AG3037" t="s">
        <v>81</v>
      </c>
    </row>
    <row r="3038" spans="1:33" x14ac:dyDescent="0.25">
      <c r="A3038" t="str">
        <f>"1346239720"</f>
        <v>1346239720</v>
      </c>
      <c r="B3038" t="str">
        <f>"01332118"</f>
        <v>01332118</v>
      </c>
      <c r="C3038" t="s">
        <v>17721</v>
      </c>
      <c r="D3038" t="s">
        <v>2051</v>
      </c>
      <c r="E3038" t="s">
        <v>2052</v>
      </c>
      <c r="G3038" t="s">
        <v>17721</v>
      </c>
      <c r="H3038" t="s">
        <v>17722</v>
      </c>
      <c r="L3038" t="s">
        <v>102</v>
      </c>
      <c r="M3038" t="s">
        <v>75</v>
      </c>
      <c r="R3038" t="s">
        <v>2050</v>
      </c>
      <c r="W3038" t="s">
        <v>2052</v>
      </c>
      <c r="X3038" t="s">
        <v>2053</v>
      </c>
      <c r="Y3038" t="s">
        <v>140</v>
      </c>
      <c r="Z3038" t="s">
        <v>77</v>
      </c>
      <c r="AA3038" t="str">
        <f>"11772-3142"</f>
        <v>11772-3142</v>
      </c>
      <c r="AB3038" t="s">
        <v>136</v>
      </c>
      <c r="AC3038" t="s">
        <v>79</v>
      </c>
      <c r="AD3038" t="s">
        <v>75</v>
      </c>
      <c r="AE3038" t="s">
        <v>80</v>
      </c>
      <c r="AG3038" t="s">
        <v>81</v>
      </c>
    </row>
    <row r="3039" spans="1:33" x14ac:dyDescent="0.25">
      <c r="A3039" t="str">
        <f>"1104916030"</f>
        <v>1104916030</v>
      </c>
      <c r="B3039" t="str">
        <f>"01109700"</f>
        <v>01109700</v>
      </c>
      <c r="C3039" t="s">
        <v>17723</v>
      </c>
      <c r="D3039" t="s">
        <v>2058</v>
      </c>
      <c r="E3039" t="s">
        <v>2059</v>
      </c>
      <c r="G3039" t="s">
        <v>17723</v>
      </c>
      <c r="H3039" t="s">
        <v>17724</v>
      </c>
      <c r="L3039" t="s">
        <v>83</v>
      </c>
      <c r="M3039" t="s">
        <v>75</v>
      </c>
      <c r="R3039" t="s">
        <v>2057</v>
      </c>
      <c r="W3039" t="s">
        <v>2059</v>
      </c>
      <c r="X3039" t="s">
        <v>2060</v>
      </c>
      <c r="Y3039" t="s">
        <v>1754</v>
      </c>
      <c r="Z3039" t="s">
        <v>77</v>
      </c>
      <c r="AA3039" t="str">
        <f>"11782-1601"</f>
        <v>11782-1601</v>
      </c>
      <c r="AB3039" t="s">
        <v>128</v>
      </c>
      <c r="AC3039" t="s">
        <v>79</v>
      </c>
      <c r="AD3039" t="s">
        <v>75</v>
      </c>
      <c r="AE3039" t="s">
        <v>80</v>
      </c>
      <c r="AG3039" t="s">
        <v>81</v>
      </c>
    </row>
    <row r="3040" spans="1:33" x14ac:dyDescent="0.25">
      <c r="A3040" t="str">
        <f>"1306846415"</f>
        <v>1306846415</v>
      </c>
      <c r="B3040" t="str">
        <f>"03641678"</f>
        <v>03641678</v>
      </c>
      <c r="C3040" t="s">
        <v>17725</v>
      </c>
      <c r="D3040" t="s">
        <v>2062</v>
      </c>
      <c r="E3040" t="s">
        <v>2061</v>
      </c>
      <c r="G3040" t="s">
        <v>17725</v>
      </c>
      <c r="H3040" t="s">
        <v>17726</v>
      </c>
      <c r="L3040" t="s">
        <v>74</v>
      </c>
      <c r="M3040" t="s">
        <v>75</v>
      </c>
      <c r="R3040" t="s">
        <v>2061</v>
      </c>
      <c r="W3040" t="s">
        <v>2061</v>
      </c>
      <c r="X3040" t="s">
        <v>2063</v>
      </c>
      <c r="Y3040" t="s">
        <v>281</v>
      </c>
      <c r="Z3040" t="s">
        <v>77</v>
      </c>
      <c r="AA3040" t="str">
        <f>"11365-2201"</f>
        <v>11365-2201</v>
      </c>
      <c r="AB3040" t="s">
        <v>78</v>
      </c>
      <c r="AC3040" t="s">
        <v>79</v>
      </c>
      <c r="AD3040" t="s">
        <v>75</v>
      </c>
      <c r="AE3040" t="s">
        <v>80</v>
      </c>
      <c r="AG3040" t="s">
        <v>81</v>
      </c>
    </row>
    <row r="3041" spans="1:33" x14ac:dyDescent="0.25">
      <c r="A3041" t="str">
        <f>"1053449868"</f>
        <v>1053449868</v>
      </c>
      <c r="B3041" t="str">
        <f>"01459847"</f>
        <v>01459847</v>
      </c>
      <c r="C3041" t="s">
        <v>17727</v>
      </c>
      <c r="D3041" t="s">
        <v>2065</v>
      </c>
      <c r="E3041" t="s">
        <v>2066</v>
      </c>
      <c r="G3041" t="s">
        <v>17728</v>
      </c>
      <c r="H3041" t="s">
        <v>17729</v>
      </c>
      <c r="L3041" t="s">
        <v>74</v>
      </c>
      <c r="M3041" t="s">
        <v>75</v>
      </c>
      <c r="R3041" t="s">
        <v>2064</v>
      </c>
      <c r="W3041" t="s">
        <v>2066</v>
      </c>
      <c r="X3041" t="s">
        <v>2067</v>
      </c>
      <c r="Y3041" t="s">
        <v>2068</v>
      </c>
      <c r="Z3041" t="s">
        <v>77</v>
      </c>
      <c r="AA3041" t="str">
        <f>"11725-1324"</f>
        <v>11725-1324</v>
      </c>
      <c r="AB3041" t="s">
        <v>2069</v>
      </c>
      <c r="AC3041" t="s">
        <v>79</v>
      </c>
      <c r="AD3041" t="s">
        <v>75</v>
      </c>
      <c r="AE3041" t="s">
        <v>80</v>
      </c>
      <c r="AG3041" t="s">
        <v>81</v>
      </c>
    </row>
    <row r="3042" spans="1:33" x14ac:dyDescent="0.25">
      <c r="A3042" t="str">
        <f>"1043221674"</f>
        <v>1043221674</v>
      </c>
      <c r="B3042" t="str">
        <f>"01729340"</f>
        <v>01729340</v>
      </c>
      <c r="C3042" t="s">
        <v>17730</v>
      </c>
      <c r="D3042" t="s">
        <v>2076</v>
      </c>
      <c r="E3042" t="s">
        <v>2077</v>
      </c>
      <c r="G3042" t="s">
        <v>17730</v>
      </c>
      <c r="H3042" t="s">
        <v>17731</v>
      </c>
      <c r="L3042" t="s">
        <v>84</v>
      </c>
      <c r="M3042" t="s">
        <v>75</v>
      </c>
      <c r="R3042" t="s">
        <v>2075</v>
      </c>
      <c r="W3042" t="s">
        <v>2077</v>
      </c>
      <c r="X3042" t="s">
        <v>647</v>
      </c>
      <c r="Y3042" t="s">
        <v>87</v>
      </c>
      <c r="Z3042" t="s">
        <v>77</v>
      </c>
      <c r="AA3042" t="str">
        <f>"11213-2421"</f>
        <v>11213-2421</v>
      </c>
      <c r="AB3042" t="s">
        <v>78</v>
      </c>
      <c r="AC3042" t="s">
        <v>79</v>
      </c>
      <c r="AD3042" t="s">
        <v>75</v>
      </c>
      <c r="AE3042" t="s">
        <v>80</v>
      </c>
      <c r="AG3042" t="s">
        <v>81</v>
      </c>
    </row>
    <row r="3043" spans="1:33" x14ac:dyDescent="0.25">
      <c r="A3043" t="str">
        <f>"1245226778"</f>
        <v>1245226778</v>
      </c>
      <c r="B3043" t="str">
        <f>"01109571"</f>
        <v>01109571</v>
      </c>
      <c r="C3043" t="s">
        <v>17732</v>
      </c>
      <c r="D3043" t="s">
        <v>2079</v>
      </c>
      <c r="E3043" t="s">
        <v>2080</v>
      </c>
      <c r="G3043" t="s">
        <v>17732</v>
      </c>
      <c r="H3043" t="s">
        <v>17733</v>
      </c>
      <c r="L3043" t="s">
        <v>84</v>
      </c>
      <c r="M3043" t="s">
        <v>75</v>
      </c>
      <c r="R3043" t="s">
        <v>2078</v>
      </c>
      <c r="W3043" t="s">
        <v>2080</v>
      </c>
      <c r="X3043" t="s">
        <v>311</v>
      </c>
      <c r="Y3043" t="s">
        <v>87</v>
      </c>
      <c r="Z3043" t="s">
        <v>77</v>
      </c>
      <c r="AA3043" t="str">
        <f>"11220-2559"</f>
        <v>11220-2559</v>
      </c>
      <c r="AB3043" t="s">
        <v>78</v>
      </c>
      <c r="AC3043" t="s">
        <v>79</v>
      </c>
      <c r="AD3043" t="s">
        <v>75</v>
      </c>
      <c r="AE3043" t="s">
        <v>80</v>
      </c>
      <c r="AG3043" t="s">
        <v>81</v>
      </c>
    </row>
    <row r="3044" spans="1:33" x14ac:dyDescent="0.25">
      <c r="A3044" t="str">
        <f>"1700950839"</f>
        <v>1700950839</v>
      </c>
      <c r="B3044" t="str">
        <f>"00811101"</f>
        <v>00811101</v>
      </c>
      <c r="C3044" t="s">
        <v>17734</v>
      </c>
      <c r="D3044" t="s">
        <v>2082</v>
      </c>
      <c r="E3044" t="s">
        <v>2083</v>
      </c>
      <c r="G3044" t="s">
        <v>17734</v>
      </c>
      <c r="H3044" t="s">
        <v>17735</v>
      </c>
      <c r="J3044" t="s">
        <v>17736</v>
      </c>
      <c r="L3044" t="s">
        <v>83</v>
      </c>
      <c r="M3044" t="s">
        <v>75</v>
      </c>
      <c r="R3044" t="s">
        <v>2081</v>
      </c>
      <c r="W3044" t="s">
        <v>2084</v>
      </c>
      <c r="X3044" t="s">
        <v>175</v>
      </c>
      <c r="Y3044" t="s">
        <v>87</v>
      </c>
      <c r="Z3044" t="s">
        <v>77</v>
      </c>
      <c r="AA3044" t="str">
        <f>"11235-7745"</f>
        <v>11235-7745</v>
      </c>
      <c r="AB3044" t="s">
        <v>128</v>
      </c>
      <c r="AC3044" t="s">
        <v>79</v>
      </c>
      <c r="AD3044" t="s">
        <v>75</v>
      </c>
      <c r="AE3044" t="s">
        <v>80</v>
      </c>
      <c r="AG3044" t="s">
        <v>81</v>
      </c>
    </row>
    <row r="3045" spans="1:33" x14ac:dyDescent="0.25">
      <c r="A3045" t="str">
        <f>"1417234915"</f>
        <v>1417234915</v>
      </c>
      <c r="B3045" t="str">
        <f>"03474682"</f>
        <v>03474682</v>
      </c>
      <c r="C3045" t="s">
        <v>17737</v>
      </c>
      <c r="D3045" t="s">
        <v>17738</v>
      </c>
      <c r="E3045" t="s">
        <v>17739</v>
      </c>
      <c r="G3045" t="s">
        <v>13504</v>
      </c>
      <c r="H3045" t="s">
        <v>13505</v>
      </c>
      <c r="J3045" t="s">
        <v>13506</v>
      </c>
      <c r="L3045" t="s">
        <v>74</v>
      </c>
      <c r="M3045" t="s">
        <v>75</v>
      </c>
      <c r="R3045" t="s">
        <v>17740</v>
      </c>
      <c r="W3045" t="s">
        <v>17739</v>
      </c>
      <c r="X3045" t="s">
        <v>334</v>
      </c>
      <c r="Y3045" t="s">
        <v>171</v>
      </c>
      <c r="Z3045" t="s">
        <v>77</v>
      </c>
      <c r="AA3045" t="str">
        <f>"11418-0000"</f>
        <v>11418-0000</v>
      </c>
      <c r="AB3045" t="s">
        <v>78</v>
      </c>
      <c r="AC3045" t="s">
        <v>79</v>
      </c>
      <c r="AD3045" t="s">
        <v>75</v>
      </c>
      <c r="AE3045" t="s">
        <v>80</v>
      </c>
      <c r="AG3045" t="s">
        <v>81</v>
      </c>
    </row>
    <row r="3046" spans="1:33" x14ac:dyDescent="0.25">
      <c r="A3046" t="str">
        <f>"1851512362"</f>
        <v>1851512362</v>
      </c>
      <c r="B3046" t="str">
        <f>"02789953"</f>
        <v>02789953</v>
      </c>
      <c r="C3046" t="s">
        <v>17741</v>
      </c>
      <c r="D3046" t="s">
        <v>5031</v>
      </c>
      <c r="E3046" t="s">
        <v>5032</v>
      </c>
      <c r="G3046" t="s">
        <v>15545</v>
      </c>
      <c r="H3046" t="s">
        <v>7060</v>
      </c>
      <c r="J3046" t="s">
        <v>7061</v>
      </c>
      <c r="L3046" t="s">
        <v>74</v>
      </c>
      <c r="M3046" t="s">
        <v>85</v>
      </c>
      <c r="R3046" t="s">
        <v>5032</v>
      </c>
      <c r="W3046" t="s">
        <v>5032</v>
      </c>
      <c r="X3046" t="s">
        <v>4743</v>
      </c>
      <c r="Y3046" t="s">
        <v>180</v>
      </c>
      <c r="Z3046" t="s">
        <v>77</v>
      </c>
      <c r="AA3046" t="str">
        <f>"10705-3269"</f>
        <v>10705-3269</v>
      </c>
      <c r="AB3046" t="s">
        <v>78</v>
      </c>
      <c r="AC3046" t="s">
        <v>79</v>
      </c>
      <c r="AD3046" t="s">
        <v>75</v>
      </c>
      <c r="AE3046" t="s">
        <v>80</v>
      </c>
      <c r="AG3046" t="s">
        <v>81</v>
      </c>
    </row>
    <row r="3047" spans="1:33" x14ac:dyDescent="0.25">
      <c r="A3047" t="str">
        <f>"1285056572"</f>
        <v>1285056572</v>
      </c>
      <c r="C3047" t="s">
        <v>17742</v>
      </c>
      <c r="G3047" t="s">
        <v>15186</v>
      </c>
      <c r="H3047" t="s">
        <v>15187</v>
      </c>
      <c r="J3047" t="s">
        <v>15188</v>
      </c>
      <c r="K3047" t="s">
        <v>99</v>
      </c>
      <c r="L3047" t="s">
        <v>102</v>
      </c>
      <c r="M3047" t="s">
        <v>75</v>
      </c>
      <c r="R3047" t="s">
        <v>17743</v>
      </c>
      <c r="S3047" t="s">
        <v>16790</v>
      </c>
      <c r="T3047" t="s">
        <v>97</v>
      </c>
      <c r="U3047" t="s">
        <v>77</v>
      </c>
      <c r="V3047" t="str">
        <f>"100112019"</f>
        <v>100112019</v>
      </c>
      <c r="AC3047" t="s">
        <v>79</v>
      </c>
      <c r="AD3047" t="s">
        <v>75</v>
      </c>
      <c r="AE3047" t="s">
        <v>103</v>
      </c>
      <c r="AG3047" t="s">
        <v>81</v>
      </c>
    </row>
    <row r="3048" spans="1:33" x14ac:dyDescent="0.25">
      <c r="A3048" t="str">
        <f>"1558357558"</f>
        <v>1558357558</v>
      </c>
      <c r="B3048" t="str">
        <f>"01299256"</f>
        <v>01299256</v>
      </c>
      <c r="C3048" t="s">
        <v>17744</v>
      </c>
      <c r="D3048" t="s">
        <v>17745</v>
      </c>
      <c r="E3048" t="s">
        <v>17746</v>
      </c>
      <c r="G3048" t="s">
        <v>13504</v>
      </c>
      <c r="H3048" t="s">
        <v>13505</v>
      </c>
      <c r="J3048" t="s">
        <v>13506</v>
      </c>
      <c r="L3048" t="s">
        <v>74</v>
      </c>
      <c r="M3048" t="s">
        <v>85</v>
      </c>
      <c r="R3048" t="s">
        <v>17747</v>
      </c>
      <c r="W3048" t="s">
        <v>17746</v>
      </c>
      <c r="X3048" t="s">
        <v>17748</v>
      </c>
      <c r="Y3048" t="s">
        <v>171</v>
      </c>
      <c r="Z3048" t="s">
        <v>77</v>
      </c>
      <c r="AA3048" t="str">
        <f>"11432-3730"</f>
        <v>11432-3730</v>
      </c>
      <c r="AB3048" t="s">
        <v>78</v>
      </c>
      <c r="AC3048" t="s">
        <v>79</v>
      </c>
      <c r="AD3048" t="s">
        <v>75</v>
      </c>
      <c r="AE3048" t="s">
        <v>80</v>
      </c>
      <c r="AG3048" t="s">
        <v>81</v>
      </c>
    </row>
    <row r="3049" spans="1:33" x14ac:dyDescent="0.25">
      <c r="A3049" t="str">
        <f>"1609869585"</f>
        <v>1609869585</v>
      </c>
      <c r="B3049" t="str">
        <f>"00724098"</f>
        <v>00724098</v>
      </c>
      <c r="C3049" t="s">
        <v>17749</v>
      </c>
      <c r="D3049" t="s">
        <v>17750</v>
      </c>
      <c r="E3049" t="s">
        <v>17751</v>
      </c>
      <c r="G3049" t="s">
        <v>13504</v>
      </c>
      <c r="H3049" t="s">
        <v>13505</v>
      </c>
      <c r="J3049" t="s">
        <v>13506</v>
      </c>
      <c r="L3049" t="s">
        <v>84</v>
      </c>
      <c r="M3049" t="s">
        <v>75</v>
      </c>
      <c r="R3049" t="s">
        <v>17751</v>
      </c>
      <c r="W3049" t="s">
        <v>17751</v>
      </c>
      <c r="X3049" t="s">
        <v>17752</v>
      </c>
      <c r="Y3049" t="s">
        <v>87</v>
      </c>
      <c r="Z3049" t="s">
        <v>77</v>
      </c>
      <c r="AA3049" t="str">
        <f>"11226-1006"</f>
        <v>11226-1006</v>
      </c>
      <c r="AB3049" t="s">
        <v>78</v>
      </c>
      <c r="AC3049" t="s">
        <v>79</v>
      </c>
      <c r="AD3049" t="s">
        <v>75</v>
      </c>
      <c r="AE3049" t="s">
        <v>80</v>
      </c>
      <c r="AG3049" t="s">
        <v>81</v>
      </c>
    </row>
    <row r="3050" spans="1:33" x14ac:dyDescent="0.25">
      <c r="A3050" t="str">
        <f>"1356364863"</f>
        <v>1356364863</v>
      </c>
      <c r="B3050" t="str">
        <f>"01035294"</f>
        <v>01035294</v>
      </c>
      <c r="C3050" t="s">
        <v>17753</v>
      </c>
      <c r="D3050" t="s">
        <v>17754</v>
      </c>
      <c r="E3050" t="s">
        <v>17755</v>
      </c>
      <c r="G3050" t="s">
        <v>13504</v>
      </c>
      <c r="H3050" t="s">
        <v>13505</v>
      </c>
      <c r="J3050" t="s">
        <v>13506</v>
      </c>
      <c r="L3050" t="s">
        <v>83</v>
      </c>
      <c r="M3050" t="s">
        <v>85</v>
      </c>
      <c r="R3050" t="s">
        <v>17756</v>
      </c>
      <c r="W3050" t="s">
        <v>17755</v>
      </c>
      <c r="X3050" t="s">
        <v>202</v>
      </c>
      <c r="Y3050" t="s">
        <v>87</v>
      </c>
      <c r="Z3050" t="s">
        <v>77</v>
      </c>
      <c r="AA3050" t="str">
        <f>"11201-5425"</f>
        <v>11201-5425</v>
      </c>
      <c r="AB3050" t="s">
        <v>78</v>
      </c>
      <c r="AC3050" t="s">
        <v>79</v>
      </c>
      <c r="AD3050" t="s">
        <v>75</v>
      </c>
      <c r="AE3050" t="s">
        <v>80</v>
      </c>
      <c r="AG3050" t="s">
        <v>81</v>
      </c>
    </row>
    <row r="3051" spans="1:33" x14ac:dyDescent="0.25">
      <c r="A3051" t="str">
        <f>"1720051006"</f>
        <v>1720051006</v>
      </c>
      <c r="B3051" t="str">
        <f>"02217132"</f>
        <v>02217132</v>
      </c>
      <c r="C3051" t="s">
        <v>13436</v>
      </c>
      <c r="D3051" t="s">
        <v>5836</v>
      </c>
      <c r="E3051" t="s">
        <v>5837</v>
      </c>
      <c r="G3051" t="s">
        <v>17757</v>
      </c>
      <c r="L3051" t="s">
        <v>83</v>
      </c>
      <c r="M3051" t="s">
        <v>85</v>
      </c>
      <c r="R3051" t="s">
        <v>5838</v>
      </c>
      <c r="W3051" t="s">
        <v>5837</v>
      </c>
      <c r="X3051" t="s">
        <v>5839</v>
      </c>
      <c r="Y3051" t="s">
        <v>180</v>
      </c>
      <c r="Z3051" t="s">
        <v>77</v>
      </c>
      <c r="AA3051" t="str">
        <f>"10710"</f>
        <v>10710</v>
      </c>
      <c r="AB3051" t="s">
        <v>78</v>
      </c>
      <c r="AC3051" t="s">
        <v>79</v>
      </c>
      <c r="AD3051" t="s">
        <v>75</v>
      </c>
      <c r="AE3051" t="s">
        <v>80</v>
      </c>
      <c r="AG3051" t="s">
        <v>81</v>
      </c>
    </row>
    <row r="3052" spans="1:33" x14ac:dyDescent="0.25">
      <c r="A3052" t="str">
        <f>"1720061757"</f>
        <v>1720061757</v>
      </c>
      <c r="B3052" t="str">
        <f>"01961637"</f>
        <v>01961637</v>
      </c>
      <c r="C3052" t="s">
        <v>13436</v>
      </c>
      <c r="D3052" t="s">
        <v>17758</v>
      </c>
      <c r="E3052" t="s">
        <v>17759</v>
      </c>
      <c r="G3052" t="s">
        <v>17760</v>
      </c>
      <c r="L3052" t="s">
        <v>74</v>
      </c>
      <c r="M3052" t="s">
        <v>85</v>
      </c>
      <c r="R3052" t="s">
        <v>17761</v>
      </c>
      <c r="W3052" t="s">
        <v>17759</v>
      </c>
      <c r="Y3052" t="s">
        <v>97</v>
      </c>
      <c r="Z3052" t="s">
        <v>77</v>
      </c>
      <c r="AA3052" t="str">
        <f>"10003-3314"</f>
        <v>10003-3314</v>
      </c>
      <c r="AB3052" t="s">
        <v>78</v>
      </c>
      <c r="AC3052" t="s">
        <v>79</v>
      </c>
      <c r="AD3052" t="s">
        <v>75</v>
      </c>
      <c r="AE3052" t="s">
        <v>80</v>
      </c>
      <c r="AG3052" t="s">
        <v>81</v>
      </c>
    </row>
    <row r="3053" spans="1:33" x14ac:dyDescent="0.25">
      <c r="A3053" t="str">
        <f>"1720065238"</f>
        <v>1720065238</v>
      </c>
      <c r="B3053" t="str">
        <f>"02110887"</f>
        <v>02110887</v>
      </c>
      <c r="C3053" t="s">
        <v>13436</v>
      </c>
      <c r="D3053" t="s">
        <v>17762</v>
      </c>
      <c r="E3053" t="s">
        <v>17763</v>
      </c>
      <c r="G3053" t="s">
        <v>17764</v>
      </c>
      <c r="L3053" t="s">
        <v>74</v>
      </c>
      <c r="M3053" t="s">
        <v>85</v>
      </c>
      <c r="R3053" t="s">
        <v>17765</v>
      </c>
      <c r="W3053" t="s">
        <v>17763</v>
      </c>
      <c r="X3053" t="s">
        <v>181</v>
      </c>
      <c r="Y3053" t="s">
        <v>97</v>
      </c>
      <c r="Z3053" t="s">
        <v>77</v>
      </c>
      <c r="AA3053" t="str">
        <f>"10025-1716"</f>
        <v>10025-1716</v>
      </c>
      <c r="AB3053" t="s">
        <v>78</v>
      </c>
      <c r="AC3053" t="s">
        <v>79</v>
      </c>
      <c r="AD3053" t="s">
        <v>75</v>
      </c>
      <c r="AE3053" t="s">
        <v>80</v>
      </c>
      <c r="AG3053" t="s">
        <v>81</v>
      </c>
    </row>
    <row r="3054" spans="1:33" x14ac:dyDescent="0.25">
      <c r="A3054" t="str">
        <f>"1720065493"</f>
        <v>1720065493</v>
      </c>
      <c r="B3054" t="str">
        <f>"02421887"</f>
        <v>02421887</v>
      </c>
      <c r="C3054" t="s">
        <v>13436</v>
      </c>
      <c r="D3054" t="s">
        <v>17766</v>
      </c>
      <c r="E3054" t="s">
        <v>17767</v>
      </c>
      <c r="G3054" t="s">
        <v>17768</v>
      </c>
      <c r="L3054" t="s">
        <v>74</v>
      </c>
      <c r="M3054" t="s">
        <v>85</v>
      </c>
      <c r="R3054" t="s">
        <v>17769</v>
      </c>
      <c r="W3054" t="s">
        <v>17767</v>
      </c>
      <c r="X3054" t="s">
        <v>181</v>
      </c>
      <c r="Y3054" t="s">
        <v>97</v>
      </c>
      <c r="Z3054" t="s">
        <v>77</v>
      </c>
      <c r="AA3054" t="str">
        <f>"10025-1716"</f>
        <v>10025-1716</v>
      </c>
      <c r="AB3054" t="s">
        <v>78</v>
      </c>
      <c r="AC3054" t="s">
        <v>79</v>
      </c>
      <c r="AD3054" t="s">
        <v>75</v>
      </c>
      <c r="AE3054" t="s">
        <v>80</v>
      </c>
      <c r="AG3054" t="s">
        <v>81</v>
      </c>
    </row>
    <row r="3055" spans="1:33" x14ac:dyDescent="0.25">
      <c r="A3055" t="str">
        <f>"1720071509"</f>
        <v>1720071509</v>
      </c>
      <c r="B3055" t="str">
        <f>"01878537"</f>
        <v>01878537</v>
      </c>
      <c r="C3055" t="s">
        <v>13436</v>
      </c>
      <c r="D3055" t="s">
        <v>17770</v>
      </c>
      <c r="E3055" t="s">
        <v>17771</v>
      </c>
      <c r="G3055" t="s">
        <v>17772</v>
      </c>
      <c r="L3055" t="s">
        <v>83</v>
      </c>
      <c r="M3055" t="s">
        <v>85</v>
      </c>
      <c r="R3055" t="s">
        <v>17773</v>
      </c>
      <c r="W3055" t="s">
        <v>17771</v>
      </c>
      <c r="X3055" t="s">
        <v>181</v>
      </c>
      <c r="Y3055" t="s">
        <v>97</v>
      </c>
      <c r="Z3055" t="s">
        <v>77</v>
      </c>
      <c r="AA3055" t="str">
        <f>"10025-1716"</f>
        <v>10025-1716</v>
      </c>
      <c r="AB3055" t="s">
        <v>78</v>
      </c>
      <c r="AC3055" t="s">
        <v>79</v>
      </c>
      <c r="AD3055" t="s">
        <v>75</v>
      </c>
      <c r="AE3055" t="s">
        <v>80</v>
      </c>
      <c r="AG3055" t="s">
        <v>81</v>
      </c>
    </row>
    <row r="3056" spans="1:33" x14ac:dyDescent="0.25">
      <c r="A3056" t="str">
        <f>"1720071541"</f>
        <v>1720071541</v>
      </c>
      <c r="B3056" t="str">
        <f>"02648295"</f>
        <v>02648295</v>
      </c>
      <c r="C3056" t="s">
        <v>13436</v>
      </c>
      <c r="D3056" t="s">
        <v>17774</v>
      </c>
      <c r="E3056" t="s">
        <v>17775</v>
      </c>
      <c r="G3056" t="s">
        <v>17776</v>
      </c>
      <c r="L3056" t="s">
        <v>84</v>
      </c>
      <c r="M3056" t="s">
        <v>85</v>
      </c>
      <c r="R3056" t="s">
        <v>17777</v>
      </c>
      <c r="W3056" t="s">
        <v>17775</v>
      </c>
      <c r="X3056" t="s">
        <v>1076</v>
      </c>
      <c r="Y3056" t="s">
        <v>97</v>
      </c>
      <c r="Z3056" t="s">
        <v>77</v>
      </c>
      <c r="AA3056" t="str">
        <f>"10025-1737"</f>
        <v>10025-1737</v>
      </c>
      <c r="AB3056" t="s">
        <v>78</v>
      </c>
      <c r="AC3056" t="s">
        <v>79</v>
      </c>
      <c r="AD3056" t="s">
        <v>75</v>
      </c>
      <c r="AE3056" t="s">
        <v>80</v>
      </c>
      <c r="AG3056" t="s">
        <v>81</v>
      </c>
    </row>
    <row r="3057" spans="1:33" x14ac:dyDescent="0.25">
      <c r="A3057" t="str">
        <f>"1720087885"</f>
        <v>1720087885</v>
      </c>
      <c r="B3057" t="str">
        <f>"01016839"</f>
        <v>01016839</v>
      </c>
      <c r="C3057" t="s">
        <v>13436</v>
      </c>
      <c r="D3057" t="s">
        <v>17778</v>
      </c>
      <c r="E3057" t="s">
        <v>17779</v>
      </c>
      <c r="G3057" t="s">
        <v>17780</v>
      </c>
      <c r="L3057" t="s">
        <v>83</v>
      </c>
      <c r="M3057" t="s">
        <v>85</v>
      </c>
      <c r="R3057" t="s">
        <v>17781</v>
      </c>
      <c r="W3057" t="s">
        <v>17779</v>
      </c>
      <c r="X3057" t="s">
        <v>5585</v>
      </c>
      <c r="Y3057" t="s">
        <v>97</v>
      </c>
      <c r="Z3057" t="s">
        <v>77</v>
      </c>
      <c r="AA3057" t="str">
        <f>"10003"</f>
        <v>10003</v>
      </c>
      <c r="AB3057" t="s">
        <v>78</v>
      </c>
      <c r="AC3057" t="s">
        <v>79</v>
      </c>
      <c r="AD3057" t="s">
        <v>75</v>
      </c>
      <c r="AE3057" t="s">
        <v>80</v>
      </c>
      <c r="AG3057" t="s">
        <v>81</v>
      </c>
    </row>
    <row r="3058" spans="1:33" x14ac:dyDescent="0.25">
      <c r="A3058" t="str">
        <f>"1720149719"</f>
        <v>1720149719</v>
      </c>
      <c r="B3058" t="str">
        <f>"01152749"</f>
        <v>01152749</v>
      </c>
      <c r="C3058" t="s">
        <v>13436</v>
      </c>
      <c r="D3058" t="s">
        <v>17782</v>
      </c>
      <c r="E3058" t="s">
        <v>17783</v>
      </c>
      <c r="G3058" t="s">
        <v>17784</v>
      </c>
      <c r="L3058" t="s">
        <v>74</v>
      </c>
      <c r="M3058" t="s">
        <v>85</v>
      </c>
      <c r="R3058" t="s">
        <v>17785</v>
      </c>
      <c r="W3058" t="s">
        <v>17783</v>
      </c>
      <c r="X3058" t="s">
        <v>17786</v>
      </c>
      <c r="Y3058" t="s">
        <v>97</v>
      </c>
      <c r="Z3058" t="s">
        <v>77</v>
      </c>
      <c r="AA3058" t="str">
        <f>"10023-6406"</f>
        <v>10023-6406</v>
      </c>
      <c r="AB3058" t="s">
        <v>78</v>
      </c>
      <c r="AC3058" t="s">
        <v>79</v>
      </c>
      <c r="AD3058" t="s">
        <v>75</v>
      </c>
      <c r="AE3058" t="s">
        <v>80</v>
      </c>
      <c r="AG3058" t="s">
        <v>81</v>
      </c>
    </row>
    <row r="3059" spans="1:33" x14ac:dyDescent="0.25">
      <c r="A3059" t="str">
        <f>"1720151095"</f>
        <v>1720151095</v>
      </c>
      <c r="B3059" t="str">
        <f>"01689330"</f>
        <v>01689330</v>
      </c>
      <c r="C3059" t="s">
        <v>13436</v>
      </c>
      <c r="D3059" t="s">
        <v>17787</v>
      </c>
      <c r="E3059" t="s">
        <v>17788</v>
      </c>
      <c r="G3059" t="s">
        <v>17789</v>
      </c>
      <c r="L3059" t="s">
        <v>83</v>
      </c>
      <c r="M3059" t="s">
        <v>85</v>
      </c>
      <c r="R3059" t="s">
        <v>17790</v>
      </c>
      <c r="W3059" t="s">
        <v>17788</v>
      </c>
      <c r="X3059" t="s">
        <v>14820</v>
      </c>
      <c r="Y3059" t="s">
        <v>131</v>
      </c>
      <c r="Z3059" t="s">
        <v>77</v>
      </c>
      <c r="AA3059" t="str">
        <f>"10467-2401"</f>
        <v>10467-2401</v>
      </c>
      <c r="AB3059" t="s">
        <v>78</v>
      </c>
      <c r="AC3059" t="s">
        <v>79</v>
      </c>
      <c r="AD3059" t="s">
        <v>75</v>
      </c>
      <c r="AE3059" t="s">
        <v>80</v>
      </c>
      <c r="AG3059" t="s">
        <v>81</v>
      </c>
    </row>
    <row r="3060" spans="1:33" x14ac:dyDescent="0.25">
      <c r="A3060" t="str">
        <f>"1730161787"</f>
        <v>1730161787</v>
      </c>
      <c r="B3060" t="str">
        <f>"01193104"</f>
        <v>01193104</v>
      </c>
      <c r="C3060" t="s">
        <v>13436</v>
      </c>
      <c r="D3060" t="s">
        <v>17791</v>
      </c>
      <c r="E3060" t="s">
        <v>17792</v>
      </c>
      <c r="G3060" t="s">
        <v>17793</v>
      </c>
      <c r="L3060" t="s">
        <v>74</v>
      </c>
      <c r="M3060" t="s">
        <v>85</v>
      </c>
      <c r="R3060" t="s">
        <v>17794</v>
      </c>
      <c r="W3060" t="s">
        <v>17792</v>
      </c>
      <c r="X3060" t="s">
        <v>17795</v>
      </c>
      <c r="Y3060" t="s">
        <v>160</v>
      </c>
      <c r="Z3060" t="s">
        <v>77</v>
      </c>
      <c r="AA3060" t="str">
        <f>"11030-3816"</f>
        <v>11030-3816</v>
      </c>
      <c r="AB3060" t="s">
        <v>78</v>
      </c>
      <c r="AC3060" t="s">
        <v>79</v>
      </c>
      <c r="AD3060" t="s">
        <v>75</v>
      </c>
      <c r="AE3060" t="s">
        <v>80</v>
      </c>
      <c r="AG3060" t="s">
        <v>81</v>
      </c>
    </row>
    <row r="3061" spans="1:33" x14ac:dyDescent="0.25">
      <c r="A3061" t="str">
        <f>"1730162173"</f>
        <v>1730162173</v>
      </c>
      <c r="B3061" t="str">
        <f>"02082144"</f>
        <v>02082144</v>
      </c>
      <c r="C3061" t="s">
        <v>13436</v>
      </c>
      <c r="D3061" t="s">
        <v>17796</v>
      </c>
      <c r="E3061" t="s">
        <v>17797</v>
      </c>
      <c r="G3061" t="s">
        <v>17798</v>
      </c>
      <c r="L3061" t="s">
        <v>83</v>
      </c>
      <c r="M3061" t="s">
        <v>85</v>
      </c>
      <c r="R3061" t="s">
        <v>17799</v>
      </c>
      <c r="W3061" t="s">
        <v>17797</v>
      </c>
      <c r="X3061" t="s">
        <v>2587</v>
      </c>
      <c r="Y3061" t="s">
        <v>97</v>
      </c>
      <c r="Z3061" t="s">
        <v>77</v>
      </c>
      <c r="AA3061" t="str">
        <f>"10003-3314"</f>
        <v>10003-3314</v>
      </c>
      <c r="AB3061" t="s">
        <v>78</v>
      </c>
      <c r="AC3061" t="s">
        <v>79</v>
      </c>
      <c r="AD3061" t="s">
        <v>75</v>
      </c>
      <c r="AE3061" t="s">
        <v>80</v>
      </c>
      <c r="AG3061" t="s">
        <v>81</v>
      </c>
    </row>
    <row r="3062" spans="1:33" x14ac:dyDescent="0.25">
      <c r="A3062" t="str">
        <f>"1730163825"</f>
        <v>1730163825</v>
      </c>
      <c r="B3062" t="str">
        <f>"02094686"</f>
        <v>02094686</v>
      </c>
      <c r="C3062" t="s">
        <v>13436</v>
      </c>
      <c r="D3062" t="s">
        <v>17800</v>
      </c>
      <c r="E3062" t="s">
        <v>17801</v>
      </c>
      <c r="G3062" t="s">
        <v>17802</v>
      </c>
      <c r="L3062" t="s">
        <v>83</v>
      </c>
      <c r="M3062" t="s">
        <v>85</v>
      </c>
      <c r="R3062" t="s">
        <v>17803</v>
      </c>
      <c r="W3062" t="s">
        <v>17803</v>
      </c>
      <c r="X3062" t="s">
        <v>202</v>
      </c>
      <c r="Y3062" t="s">
        <v>87</v>
      </c>
      <c r="Z3062" t="s">
        <v>77</v>
      </c>
      <c r="AA3062" t="str">
        <f>"11201-5425"</f>
        <v>11201-5425</v>
      </c>
      <c r="AB3062" t="s">
        <v>78</v>
      </c>
      <c r="AC3062" t="s">
        <v>79</v>
      </c>
      <c r="AD3062" t="s">
        <v>75</v>
      </c>
      <c r="AE3062" t="s">
        <v>80</v>
      </c>
      <c r="AG3062" t="s">
        <v>81</v>
      </c>
    </row>
    <row r="3063" spans="1:33" x14ac:dyDescent="0.25">
      <c r="A3063" t="str">
        <f>"1730212556"</f>
        <v>1730212556</v>
      </c>
      <c r="B3063" t="str">
        <f>"01407809"</f>
        <v>01407809</v>
      </c>
      <c r="C3063" t="s">
        <v>13436</v>
      </c>
      <c r="D3063" t="s">
        <v>17804</v>
      </c>
      <c r="E3063" t="s">
        <v>17805</v>
      </c>
      <c r="G3063" t="s">
        <v>17806</v>
      </c>
      <c r="L3063" t="s">
        <v>83</v>
      </c>
      <c r="M3063" t="s">
        <v>85</v>
      </c>
      <c r="R3063" t="s">
        <v>17807</v>
      </c>
      <c r="W3063" t="s">
        <v>17805</v>
      </c>
      <c r="X3063" t="s">
        <v>537</v>
      </c>
      <c r="Y3063" t="s">
        <v>97</v>
      </c>
      <c r="Z3063" t="s">
        <v>77</v>
      </c>
      <c r="AA3063" t="str">
        <f>"10011-8305"</f>
        <v>10011-8305</v>
      </c>
      <c r="AB3063" t="s">
        <v>78</v>
      </c>
      <c r="AC3063" t="s">
        <v>79</v>
      </c>
      <c r="AD3063" t="s">
        <v>75</v>
      </c>
      <c r="AE3063" t="s">
        <v>80</v>
      </c>
      <c r="AG3063" t="s">
        <v>81</v>
      </c>
    </row>
    <row r="3064" spans="1:33" x14ac:dyDescent="0.25">
      <c r="A3064" t="str">
        <f>"1851658215"</f>
        <v>1851658215</v>
      </c>
      <c r="B3064" t="str">
        <f>"04018379"</f>
        <v>04018379</v>
      </c>
      <c r="C3064" t="s">
        <v>17808</v>
      </c>
      <c r="D3064" t="s">
        <v>17809</v>
      </c>
      <c r="E3064" t="s">
        <v>17810</v>
      </c>
      <c r="G3064" t="s">
        <v>14449</v>
      </c>
      <c r="H3064" t="s">
        <v>14450</v>
      </c>
      <c r="L3064" t="s">
        <v>74</v>
      </c>
      <c r="M3064" t="s">
        <v>75</v>
      </c>
      <c r="R3064" t="s">
        <v>17811</v>
      </c>
      <c r="W3064" t="s">
        <v>17810</v>
      </c>
      <c r="X3064" t="s">
        <v>3743</v>
      </c>
      <c r="Y3064" t="s">
        <v>97</v>
      </c>
      <c r="Z3064" t="s">
        <v>77</v>
      </c>
      <c r="AA3064" t="str">
        <f>"10011-4401"</f>
        <v>10011-4401</v>
      </c>
      <c r="AB3064" t="s">
        <v>78</v>
      </c>
      <c r="AC3064" t="s">
        <v>79</v>
      </c>
      <c r="AD3064" t="s">
        <v>75</v>
      </c>
      <c r="AE3064" t="s">
        <v>80</v>
      </c>
      <c r="AG3064" t="s">
        <v>81</v>
      </c>
    </row>
    <row r="3065" spans="1:33" x14ac:dyDescent="0.25">
      <c r="A3065" t="str">
        <f>"1225232952"</f>
        <v>1225232952</v>
      </c>
      <c r="B3065" t="str">
        <f>"03223407"</f>
        <v>03223407</v>
      </c>
      <c r="C3065" t="s">
        <v>17812</v>
      </c>
      <c r="D3065" t="s">
        <v>17813</v>
      </c>
      <c r="E3065" t="s">
        <v>17814</v>
      </c>
      <c r="G3065" t="s">
        <v>14449</v>
      </c>
      <c r="H3065" t="s">
        <v>14450</v>
      </c>
      <c r="L3065" t="s">
        <v>83</v>
      </c>
      <c r="M3065" t="s">
        <v>85</v>
      </c>
      <c r="R3065" t="s">
        <v>17814</v>
      </c>
      <c r="W3065" t="s">
        <v>17815</v>
      </c>
      <c r="X3065" t="s">
        <v>3743</v>
      </c>
      <c r="Y3065" t="s">
        <v>97</v>
      </c>
      <c r="Z3065" t="s">
        <v>77</v>
      </c>
      <c r="AA3065" t="str">
        <f>"10011-4401"</f>
        <v>10011-4401</v>
      </c>
      <c r="AB3065" t="s">
        <v>78</v>
      </c>
      <c r="AC3065" t="s">
        <v>79</v>
      </c>
      <c r="AD3065" t="s">
        <v>75</v>
      </c>
      <c r="AE3065" t="s">
        <v>80</v>
      </c>
      <c r="AG3065" t="s">
        <v>81</v>
      </c>
    </row>
    <row r="3066" spans="1:33" x14ac:dyDescent="0.25">
      <c r="A3066" t="str">
        <f>"1306282546"</f>
        <v>1306282546</v>
      </c>
      <c r="C3066" t="s">
        <v>17816</v>
      </c>
      <c r="G3066" t="s">
        <v>14449</v>
      </c>
      <c r="H3066" t="s">
        <v>14450</v>
      </c>
      <c r="K3066" t="s">
        <v>99</v>
      </c>
      <c r="L3066" t="s">
        <v>74</v>
      </c>
      <c r="M3066" t="s">
        <v>75</v>
      </c>
      <c r="R3066" t="s">
        <v>17817</v>
      </c>
      <c r="S3066" t="s">
        <v>3743</v>
      </c>
      <c r="T3066" t="s">
        <v>97</v>
      </c>
      <c r="U3066" t="s">
        <v>77</v>
      </c>
      <c r="V3066" t="str">
        <f>"100114401"</f>
        <v>100114401</v>
      </c>
      <c r="AC3066" t="s">
        <v>79</v>
      </c>
      <c r="AD3066" t="s">
        <v>75</v>
      </c>
      <c r="AE3066" t="s">
        <v>103</v>
      </c>
      <c r="AG3066" t="s">
        <v>81</v>
      </c>
    </row>
    <row r="3067" spans="1:33" x14ac:dyDescent="0.25">
      <c r="A3067" t="str">
        <f>"1659695500"</f>
        <v>1659695500</v>
      </c>
      <c r="B3067" t="str">
        <f>"03313453"</f>
        <v>03313453</v>
      </c>
      <c r="C3067" t="s">
        <v>17818</v>
      </c>
      <c r="D3067" t="s">
        <v>17819</v>
      </c>
      <c r="E3067" t="s">
        <v>17820</v>
      </c>
      <c r="G3067" t="s">
        <v>14449</v>
      </c>
      <c r="H3067" t="s">
        <v>14450</v>
      </c>
      <c r="L3067" t="s">
        <v>83</v>
      </c>
      <c r="M3067" t="s">
        <v>75</v>
      </c>
      <c r="R3067" t="s">
        <v>17820</v>
      </c>
      <c r="W3067" t="s">
        <v>17820</v>
      </c>
      <c r="X3067" t="s">
        <v>4745</v>
      </c>
      <c r="Y3067" t="s">
        <v>87</v>
      </c>
      <c r="Z3067" t="s">
        <v>77</v>
      </c>
      <c r="AA3067" t="str">
        <f>"11220-2010"</f>
        <v>11220-2010</v>
      </c>
      <c r="AB3067" t="s">
        <v>78</v>
      </c>
      <c r="AC3067" t="s">
        <v>79</v>
      </c>
      <c r="AD3067" t="s">
        <v>75</v>
      </c>
      <c r="AE3067" t="s">
        <v>80</v>
      </c>
      <c r="AG3067" t="s">
        <v>81</v>
      </c>
    </row>
    <row r="3068" spans="1:33" x14ac:dyDescent="0.25">
      <c r="A3068" t="str">
        <f>"1114083375"</f>
        <v>1114083375</v>
      </c>
      <c r="B3068" t="str">
        <f>"02166723"</f>
        <v>02166723</v>
      </c>
      <c r="C3068" t="s">
        <v>13436</v>
      </c>
      <c r="D3068" t="s">
        <v>17821</v>
      </c>
      <c r="E3068" t="s">
        <v>17822</v>
      </c>
      <c r="G3068" t="s">
        <v>17823</v>
      </c>
      <c r="L3068" t="s">
        <v>83</v>
      </c>
      <c r="M3068" t="s">
        <v>85</v>
      </c>
      <c r="R3068" t="s">
        <v>17824</v>
      </c>
      <c r="W3068" t="s">
        <v>17822</v>
      </c>
      <c r="X3068" t="s">
        <v>3553</v>
      </c>
      <c r="Y3068" t="s">
        <v>97</v>
      </c>
      <c r="Z3068" t="s">
        <v>77</v>
      </c>
      <c r="AA3068" t="str">
        <f>"10003-3851"</f>
        <v>10003-3851</v>
      </c>
      <c r="AB3068" t="s">
        <v>78</v>
      </c>
      <c r="AC3068" t="s">
        <v>79</v>
      </c>
      <c r="AD3068" t="s">
        <v>75</v>
      </c>
      <c r="AE3068" t="s">
        <v>80</v>
      </c>
      <c r="AG3068" t="s">
        <v>81</v>
      </c>
    </row>
    <row r="3069" spans="1:33" x14ac:dyDescent="0.25">
      <c r="A3069" t="str">
        <f>"1114908845"</f>
        <v>1114908845</v>
      </c>
      <c r="B3069" t="str">
        <f>"02354323"</f>
        <v>02354323</v>
      </c>
      <c r="C3069" t="s">
        <v>13436</v>
      </c>
      <c r="D3069" t="s">
        <v>17825</v>
      </c>
      <c r="E3069" t="s">
        <v>17826</v>
      </c>
      <c r="G3069" t="s">
        <v>17827</v>
      </c>
      <c r="L3069" t="s">
        <v>83</v>
      </c>
      <c r="M3069" t="s">
        <v>85</v>
      </c>
      <c r="R3069" t="s">
        <v>17828</v>
      </c>
      <c r="W3069" t="s">
        <v>17826</v>
      </c>
      <c r="X3069" t="s">
        <v>2587</v>
      </c>
      <c r="Y3069" t="s">
        <v>97</v>
      </c>
      <c r="Z3069" t="s">
        <v>77</v>
      </c>
      <c r="AA3069" t="str">
        <f>"10003-3314"</f>
        <v>10003-3314</v>
      </c>
      <c r="AB3069" t="s">
        <v>78</v>
      </c>
      <c r="AC3069" t="s">
        <v>79</v>
      </c>
      <c r="AD3069" t="s">
        <v>75</v>
      </c>
      <c r="AE3069" t="s">
        <v>80</v>
      </c>
      <c r="AG3069" t="s">
        <v>81</v>
      </c>
    </row>
    <row r="3070" spans="1:33" x14ac:dyDescent="0.25">
      <c r="A3070" t="str">
        <f>"1326250333"</f>
        <v>1326250333</v>
      </c>
      <c r="B3070" t="str">
        <f>"03469541"</f>
        <v>03469541</v>
      </c>
      <c r="C3070" t="s">
        <v>17829</v>
      </c>
      <c r="D3070" t="s">
        <v>17830</v>
      </c>
      <c r="E3070" t="s">
        <v>17831</v>
      </c>
      <c r="G3070" t="s">
        <v>13504</v>
      </c>
      <c r="H3070" t="s">
        <v>13505</v>
      </c>
      <c r="J3070" t="s">
        <v>13506</v>
      </c>
      <c r="L3070" t="s">
        <v>83</v>
      </c>
      <c r="M3070" t="s">
        <v>75</v>
      </c>
      <c r="R3070" t="s">
        <v>17832</v>
      </c>
      <c r="W3070" t="s">
        <v>17831</v>
      </c>
      <c r="X3070" t="s">
        <v>17833</v>
      </c>
      <c r="Y3070" t="s">
        <v>178</v>
      </c>
      <c r="Z3070" t="s">
        <v>77</v>
      </c>
      <c r="AA3070" t="str">
        <f>"11021-4309"</f>
        <v>11021-4309</v>
      </c>
      <c r="AB3070" t="s">
        <v>78</v>
      </c>
      <c r="AC3070" t="s">
        <v>79</v>
      </c>
      <c r="AD3070" t="s">
        <v>75</v>
      </c>
      <c r="AE3070" t="s">
        <v>80</v>
      </c>
      <c r="AG3070" t="s">
        <v>81</v>
      </c>
    </row>
    <row r="3071" spans="1:33" x14ac:dyDescent="0.25">
      <c r="A3071" t="str">
        <f>"1669414702"</f>
        <v>1669414702</v>
      </c>
      <c r="B3071" t="str">
        <f>"00232242"</f>
        <v>00232242</v>
      </c>
      <c r="C3071" t="s">
        <v>17834</v>
      </c>
      <c r="D3071" t="s">
        <v>17835</v>
      </c>
      <c r="E3071" t="s">
        <v>17836</v>
      </c>
      <c r="G3071" t="s">
        <v>13504</v>
      </c>
      <c r="H3071" t="s">
        <v>13505</v>
      </c>
      <c r="J3071" t="s">
        <v>13506</v>
      </c>
      <c r="L3071" t="s">
        <v>84</v>
      </c>
      <c r="M3071" t="s">
        <v>85</v>
      </c>
      <c r="R3071" t="s">
        <v>17837</v>
      </c>
      <c r="W3071" t="s">
        <v>17836</v>
      </c>
      <c r="X3071" t="s">
        <v>17838</v>
      </c>
      <c r="Y3071" t="s">
        <v>87</v>
      </c>
      <c r="Z3071" t="s">
        <v>77</v>
      </c>
      <c r="AA3071" t="str">
        <f>"11220-5252"</f>
        <v>11220-5252</v>
      </c>
      <c r="AB3071" t="s">
        <v>78</v>
      </c>
      <c r="AC3071" t="s">
        <v>79</v>
      </c>
      <c r="AD3071" t="s">
        <v>75</v>
      </c>
      <c r="AE3071" t="s">
        <v>80</v>
      </c>
      <c r="AG3071" t="s">
        <v>81</v>
      </c>
    </row>
    <row r="3072" spans="1:33" x14ac:dyDescent="0.25">
      <c r="A3072" t="str">
        <f>"1184714354"</f>
        <v>1184714354</v>
      </c>
      <c r="B3072" t="str">
        <f>"00427550"</f>
        <v>00427550</v>
      </c>
      <c r="C3072" t="s">
        <v>17839</v>
      </c>
      <c r="D3072" t="s">
        <v>17840</v>
      </c>
      <c r="E3072" t="s">
        <v>17841</v>
      </c>
      <c r="G3072" t="s">
        <v>13504</v>
      </c>
      <c r="H3072" t="s">
        <v>13505</v>
      </c>
      <c r="J3072" t="s">
        <v>13506</v>
      </c>
      <c r="L3072" t="s">
        <v>84</v>
      </c>
      <c r="M3072" t="s">
        <v>85</v>
      </c>
      <c r="R3072" t="s">
        <v>17842</v>
      </c>
      <c r="W3072" t="s">
        <v>17841</v>
      </c>
      <c r="X3072" t="s">
        <v>202</v>
      </c>
      <c r="Y3072" t="s">
        <v>87</v>
      </c>
      <c r="Z3072" t="s">
        <v>77</v>
      </c>
      <c r="AA3072" t="str">
        <f>"11201-5425"</f>
        <v>11201-5425</v>
      </c>
      <c r="AB3072" t="s">
        <v>78</v>
      </c>
      <c r="AC3072" t="s">
        <v>79</v>
      </c>
      <c r="AD3072" t="s">
        <v>75</v>
      </c>
      <c r="AE3072" t="s">
        <v>80</v>
      </c>
      <c r="AG3072" t="s">
        <v>81</v>
      </c>
    </row>
    <row r="3073" spans="1:33" x14ac:dyDescent="0.25">
      <c r="A3073" t="str">
        <f>"1457463507"</f>
        <v>1457463507</v>
      </c>
      <c r="B3073" t="str">
        <f>"00596130"</f>
        <v>00596130</v>
      </c>
      <c r="C3073" t="s">
        <v>17843</v>
      </c>
      <c r="D3073" t="s">
        <v>17844</v>
      </c>
      <c r="E3073" t="s">
        <v>17845</v>
      </c>
      <c r="G3073" t="s">
        <v>13504</v>
      </c>
      <c r="H3073" t="s">
        <v>13505</v>
      </c>
      <c r="J3073" t="s">
        <v>13506</v>
      </c>
      <c r="L3073" t="s">
        <v>83</v>
      </c>
      <c r="M3073" t="s">
        <v>75</v>
      </c>
      <c r="R3073" t="s">
        <v>17846</v>
      </c>
      <c r="W3073" t="s">
        <v>17845</v>
      </c>
      <c r="X3073" t="s">
        <v>17847</v>
      </c>
      <c r="Y3073" t="s">
        <v>87</v>
      </c>
      <c r="Z3073" t="s">
        <v>77</v>
      </c>
      <c r="AA3073" t="str">
        <f>"11201-0000"</f>
        <v>11201-0000</v>
      </c>
      <c r="AB3073" t="s">
        <v>78</v>
      </c>
      <c r="AC3073" t="s">
        <v>79</v>
      </c>
      <c r="AD3073" t="s">
        <v>75</v>
      </c>
      <c r="AE3073" t="s">
        <v>80</v>
      </c>
      <c r="AG3073" t="s">
        <v>81</v>
      </c>
    </row>
    <row r="3074" spans="1:33" x14ac:dyDescent="0.25">
      <c r="A3074" t="str">
        <f>"1164586988"</f>
        <v>1164586988</v>
      </c>
      <c r="B3074" t="str">
        <f>"00291649"</f>
        <v>00291649</v>
      </c>
      <c r="C3074" t="s">
        <v>17848</v>
      </c>
      <c r="D3074" t="s">
        <v>17849</v>
      </c>
      <c r="E3074" t="s">
        <v>17850</v>
      </c>
      <c r="G3074" t="s">
        <v>13504</v>
      </c>
      <c r="H3074" t="s">
        <v>13505</v>
      </c>
      <c r="J3074" t="s">
        <v>13506</v>
      </c>
      <c r="L3074" t="s">
        <v>83</v>
      </c>
      <c r="M3074" t="s">
        <v>75</v>
      </c>
      <c r="R3074" t="s">
        <v>17851</v>
      </c>
      <c r="W3074" t="s">
        <v>17850</v>
      </c>
      <c r="X3074" t="s">
        <v>17852</v>
      </c>
      <c r="Y3074" t="s">
        <v>87</v>
      </c>
      <c r="Z3074" t="s">
        <v>77</v>
      </c>
      <c r="AA3074" t="str">
        <f>"11243-2907"</f>
        <v>11243-2907</v>
      </c>
      <c r="AB3074" t="s">
        <v>78</v>
      </c>
      <c r="AC3074" t="s">
        <v>79</v>
      </c>
      <c r="AD3074" t="s">
        <v>75</v>
      </c>
      <c r="AE3074" t="s">
        <v>80</v>
      </c>
      <c r="AG3074" t="s">
        <v>81</v>
      </c>
    </row>
    <row r="3075" spans="1:33" x14ac:dyDescent="0.25">
      <c r="A3075" t="str">
        <f>"1124008909"</f>
        <v>1124008909</v>
      </c>
      <c r="B3075" t="str">
        <f>"00495661"</f>
        <v>00495661</v>
      </c>
      <c r="C3075" t="s">
        <v>17853</v>
      </c>
      <c r="D3075" t="s">
        <v>17854</v>
      </c>
      <c r="E3075" t="s">
        <v>17855</v>
      </c>
      <c r="G3075" t="s">
        <v>13504</v>
      </c>
      <c r="H3075" t="s">
        <v>13505</v>
      </c>
      <c r="J3075" t="s">
        <v>13506</v>
      </c>
      <c r="L3075" t="s">
        <v>83</v>
      </c>
      <c r="M3075" t="s">
        <v>75</v>
      </c>
      <c r="R3075" t="s">
        <v>17856</v>
      </c>
      <c r="W3075" t="s">
        <v>17855</v>
      </c>
      <c r="X3075" t="s">
        <v>17857</v>
      </c>
      <c r="Y3075" t="s">
        <v>87</v>
      </c>
      <c r="Z3075" t="s">
        <v>77</v>
      </c>
      <c r="AA3075" t="str">
        <f>"11204-4902"</f>
        <v>11204-4902</v>
      </c>
      <c r="AB3075" t="s">
        <v>78</v>
      </c>
      <c r="AC3075" t="s">
        <v>79</v>
      </c>
      <c r="AD3075" t="s">
        <v>75</v>
      </c>
      <c r="AE3075" t="s">
        <v>80</v>
      </c>
      <c r="AG3075" t="s">
        <v>81</v>
      </c>
    </row>
    <row r="3076" spans="1:33" x14ac:dyDescent="0.25">
      <c r="A3076" t="str">
        <f>"1508822834"</f>
        <v>1508822834</v>
      </c>
      <c r="B3076" t="str">
        <f>"00535759"</f>
        <v>00535759</v>
      </c>
      <c r="C3076" t="s">
        <v>17858</v>
      </c>
      <c r="D3076" t="s">
        <v>17859</v>
      </c>
      <c r="E3076" t="s">
        <v>17860</v>
      </c>
      <c r="G3076" t="s">
        <v>13504</v>
      </c>
      <c r="H3076" t="s">
        <v>13505</v>
      </c>
      <c r="J3076" t="s">
        <v>13506</v>
      </c>
      <c r="L3076" t="s">
        <v>83</v>
      </c>
      <c r="M3076" t="s">
        <v>75</v>
      </c>
      <c r="R3076" t="s">
        <v>17861</v>
      </c>
      <c r="W3076" t="s">
        <v>17860</v>
      </c>
      <c r="X3076" t="s">
        <v>202</v>
      </c>
      <c r="Y3076" t="s">
        <v>87</v>
      </c>
      <c r="Z3076" t="s">
        <v>77</v>
      </c>
      <c r="AA3076" t="str">
        <f>"11201-5425"</f>
        <v>11201-5425</v>
      </c>
      <c r="AB3076" t="s">
        <v>78</v>
      </c>
      <c r="AC3076" t="s">
        <v>79</v>
      </c>
      <c r="AD3076" t="s">
        <v>75</v>
      </c>
      <c r="AE3076" t="s">
        <v>80</v>
      </c>
      <c r="AG3076" t="s">
        <v>81</v>
      </c>
    </row>
    <row r="3077" spans="1:33" x14ac:dyDescent="0.25">
      <c r="A3077" t="str">
        <f>"1215087754"</f>
        <v>1215087754</v>
      </c>
      <c r="B3077" t="str">
        <f>"00339780"</f>
        <v>00339780</v>
      </c>
      <c r="C3077" t="s">
        <v>17862</v>
      </c>
      <c r="D3077" t="s">
        <v>17863</v>
      </c>
      <c r="E3077" t="s">
        <v>17864</v>
      </c>
      <c r="G3077" t="s">
        <v>13504</v>
      </c>
      <c r="H3077" t="s">
        <v>13505</v>
      </c>
      <c r="J3077" t="s">
        <v>13506</v>
      </c>
      <c r="L3077" t="s">
        <v>83</v>
      </c>
      <c r="M3077" t="s">
        <v>75</v>
      </c>
      <c r="R3077" t="s">
        <v>17865</v>
      </c>
      <c r="W3077" t="s">
        <v>17864</v>
      </c>
      <c r="X3077" t="s">
        <v>17866</v>
      </c>
      <c r="Y3077" t="s">
        <v>87</v>
      </c>
      <c r="Z3077" t="s">
        <v>77</v>
      </c>
      <c r="AA3077" t="str">
        <f>"11226-1203"</f>
        <v>11226-1203</v>
      </c>
      <c r="AB3077" t="s">
        <v>78</v>
      </c>
      <c r="AC3077" t="s">
        <v>79</v>
      </c>
      <c r="AD3077" t="s">
        <v>75</v>
      </c>
      <c r="AE3077" t="s">
        <v>80</v>
      </c>
      <c r="AG3077" t="s">
        <v>81</v>
      </c>
    </row>
    <row r="3078" spans="1:33" x14ac:dyDescent="0.25">
      <c r="A3078" t="str">
        <f>"1518019835"</f>
        <v>1518019835</v>
      </c>
      <c r="B3078" t="str">
        <f>"01696973"</f>
        <v>01696973</v>
      </c>
      <c r="C3078" t="s">
        <v>13436</v>
      </c>
      <c r="D3078" t="s">
        <v>17867</v>
      </c>
      <c r="E3078" t="s">
        <v>17868</v>
      </c>
      <c r="G3078" t="s">
        <v>17869</v>
      </c>
      <c r="L3078" t="s">
        <v>84</v>
      </c>
      <c r="M3078" t="s">
        <v>75</v>
      </c>
      <c r="R3078" t="s">
        <v>17870</v>
      </c>
      <c r="W3078" t="s">
        <v>17868</v>
      </c>
      <c r="X3078" t="s">
        <v>2967</v>
      </c>
      <c r="Y3078" t="s">
        <v>131</v>
      </c>
      <c r="Z3078" t="s">
        <v>77</v>
      </c>
      <c r="AA3078" t="str">
        <f>"10457-7626"</f>
        <v>10457-7626</v>
      </c>
      <c r="AB3078" t="s">
        <v>78</v>
      </c>
      <c r="AC3078" t="s">
        <v>79</v>
      </c>
      <c r="AD3078" t="s">
        <v>75</v>
      </c>
      <c r="AE3078" t="s">
        <v>80</v>
      </c>
      <c r="AG3078" t="s">
        <v>81</v>
      </c>
    </row>
    <row r="3079" spans="1:33" x14ac:dyDescent="0.25">
      <c r="A3079" t="str">
        <f>"1083613111"</f>
        <v>1083613111</v>
      </c>
      <c r="B3079" t="str">
        <f>"01833701"</f>
        <v>01833701</v>
      </c>
      <c r="C3079" t="s">
        <v>13436</v>
      </c>
      <c r="D3079" t="s">
        <v>17871</v>
      </c>
      <c r="E3079" t="s">
        <v>17872</v>
      </c>
      <c r="G3079" t="s">
        <v>17873</v>
      </c>
      <c r="L3079" t="s">
        <v>83</v>
      </c>
      <c r="M3079" t="s">
        <v>85</v>
      </c>
      <c r="R3079" t="s">
        <v>17872</v>
      </c>
      <c r="W3079" t="s">
        <v>17872</v>
      </c>
      <c r="X3079" t="s">
        <v>17872</v>
      </c>
      <c r="Y3079" t="s">
        <v>97</v>
      </c>
      <c r="Z3079" t="s">
        <v>77</v>
      </c>
      <c r="AA3079" t="str">
        <f>"10025-1716"</f>
        <v>10025-1716</v>
      </c>
      <c r="AB3079" t="s">
        <v>78</v>
      </c>
      <c r="AC3079" t="s">
        <v>79</v>
      </c>
      <c r="AD3079" t="s">
        <v>75</v>
      </c>
      <c r="AE3079" t="s">
        <v>80</v>
      </c>
      <c r="AG3079" t="s">
        <v>81</v>
      </c>
    </row>
    <row r="3080" spans="1:33" x14ac:dyDescent="0.25">
      <c r="A3080" t="str">
        <f>"1083616866"</f>
        <v>1083616866</v>
      </c>
      <c r="B3080" t="str">
        <f>"00990309"</f>
        <v>00990309</v>
      </c>
      <c r="C3080" t="s">
        <v>13436</v>
      </c>
      <c r="D3080" t="s">
        <v>17874</v>
      </c>
      <c r="E3080" t="s">
        <v>17875</v>
      </c>
      <c r="G3080" t="s">
        <v>17876</v>
      </c>
      <c r="L3080" t="s">
        <v>84</v>
      </c>
      <c r="M3080" t="s">
        <v>85</v>
      </c>
      <c r="R3080" t="s">
        <v>17877</v>
      </c>
      <c r="W3080" t="s">
        <v>17875</v>
      </c>
      <c r="X3080" t="s">
        <v>2838</v>
      </c>
      <c r="Y3080" t="s">
        <v>97</v>
      </c>
      <c r="Z3080" t="s">
        <v>77</v>
      </c>
      <c r="AA3080" t="str">
        <f>"10003-3105"</f>
        <v>10003-3105</v>
      </c>
      <c r="AB3080" t="s">
        <v>78</v>
      </c>
      <c r="AC3080" t="s">
        <v>79</v>
      </c>
      <c r="AD3080" t="s">
        <v>75</v>
      </c>
      <c r="AE3080" t="s">
        <v>80</v>
      </c>
      <c r="AG3080" t="s">
        <v>81</v>
      </c>
    </row>
    <row r="3081" spans="1:33" x14ac:dyDescent="0.25">
      <c r="A3081" t="str">
        <f>"1083622716"</f>
        <v>1083622716</v>
      </c>
      <c r="B3081" t="str">
        <f>"00769104"</f>
        <v>00769104</v>
      </c>
      <c r="C3081" t="s">
        <v>13436</v>
      </c>
      <c r="D3081" t="s">
        <v>17878</v>
      </c>
      <c r="E3081" t="s">
        <v>17879</v>
      </c>
      <c r="G3081" t="s">
        <v>17880</v>
      </c>
      <c r="L3081" t="s">
        <v>83</v>
      </c>
      <c r="M3081" t="s">
        <v>85</v>
      </c>
      <c r="R3081" t="s">
        <v>17881</v>
      </c>
      <c r="W3081" t="s">
        <v>17879</v>
      </c>
      <c r="X3081" t="s">
        <v>17882</v>
      </c>
      <c r="Y3081" t="s">
        <v>97</v>
      </c>
      <c r="Z3081" t="s">
        <v>77</v>
      </c>
      <c r="AA3081" t="str">
        <f>"10019-1104"</f>
        <v>10019-1104</v>
      </c>
      <c r="AB3081" t="s">
        <v>78</v>
      </c>
      <c r="AC3081" t="s">
        <v>79</v>
      </c>
      <c r="AD3081" t="s">
        <v>75</v>
      </c>
      <c r="AE3081" t="s">
        <v>80</v>
      </c>
      <c r="AG3081" t="s">
        <v>81</v>
      </c>
    </row>
    <row r="3082" spans="1:33" x14ac:dyDescent="0.25">
      <c r="A3082" t="str">
        <f>"1073684486"</f>
        <v>1073684486</v>
      </c>
      <c r="B3082" t="str">
        <f>"03188194"</f>
        <v>03188194</v>
      </c>
      <c r="C3082" t="s">
        <v>13436</v>
      </c>
      <c r="D3082" t="s">
        <v>17883</v>
      </c>
      <c r="E3082" t="s">
        <v>17884</v>
      </c>
      <c r="G3082" t="s">
        <v>17885</v>
      </c>
      <c r="L3082" t="s">
        <v>74</v>
      </c>
      <c r="M3082" t="s">
        <v>85</v>
      </c>
      <c r="R3082" t="s">
        <v>17886</v>
      </c>
      <c r="W3082" t="s">
        <v>17884</v>
      </c>
      <c r="X3082" t="s">
        <v>181</v>
      </c>
      <c r="Y3082" t="s">
        <v>97</v>
      </c>
      <c r="Z3082" t="s">
        <v>77</v>
      </c>
      <c r="AA3082" t="str">
        <f>"10025-1716"</f>
        <v>10025-1716</v>
      </c>
      <c r="AB3082" t="s">
        <v>78</v>
      </c>
      <c r="AC3082" t="s">
        <v>79</v>
      </c>
      <c r="AD3082" t="s">
        <v>75</v>
      </c>
      <c r="AE3082" t="s">
        <v>80</v>
      </c>
      <c r="AG3082" t="s">
        <v>81</v>
      </c>
    </row>
    <row r="3083" spans="1:33" x14ac:dyDescent="0.25">
      <c r="A3083" t="str">
        <f>"1740481522"</f>
        <v>1740481522</v>
      </c>
      <c r="C3083" t="s">
        <v>17887</v>
      </c>
      <c r="G3083" t="s">
        <v>14449</v>
      </c>
      <c r="H3083" t="s">
        <v>14450</v>
      </c>
      <c r="K3083" t="s">
        <v>99</v>
      </c>
      <c r="L3083" t="s">
        <v>74</v>
      </c>
      <c r="M3083" t="s">
        <v>75</v>
      </c>
      <c r="R3083" t="s">
        <v>17888</v>
      </c>
      <c r="S3083" t="s">
        <v>17889</v>
      </c>
      <c r="T3083" t="s">
        <v>17890</v>
      </c>
      <c r="U3083" t="s">
        <v>1784</v>
      </c>
      <c r="V3083" t="str">
        <f>"182351123"</f>
        <v>182351123</v>
      </c>
      <c r="AC3083" t="s">
        <v>79</v>
      </c>
      <c r="AD3083" t="s">
        <v>75</v>
      </c>
      <c r="AE3083" t="s">
        <v>103</v>
      </c>
      <c r="AG3083" t="s">
        <v>81</v>
      </c>
    </row>
    <row r="3084" spans="1:33" x14ac:dyDescent="0.25">
      <c r="A3084" t="str">
        <f>"1417914995"</f>
        <v>1417914995</v>
      </c>
      <c r="B3084" t="str">
        <f>"03323544"</f>
        <v>03323544</v>
      </c>
      <c r="C3084" t="s">
        <v>17891</v>
      </c>
      <c r="D3084" t="s">
        <v>17892</v>
      </c>
      <c r="E3084" t="s">
        <v>17893</v>
      </c>
      <c r="G3084" t="s">
        <v>14449</v>
      </c>
      <c r="H3084" t="s">
        <v>14450</v>
      </c>
      <c r="L3084" t="s">
        <v>143</v>
      </c>
      <c r="M3084" t="s">
        <v>75</v>
      </c>
      <c r="R3084" t="s">
        <v>17894</v>
      </c>
      <c r="W3084" t="s">
        <v>17893</v>
      </c>
      <c r="X3084" t="s">
        <v>3743</v>
      </c>
      <c r="Y3084" t="s">
        <v>97</v>
      </c>
      <c r="Z3084" t="s">
        <v>77</v>
      </c>
      <c r="AA3084" t="str">
        <f>"10011-4401"</f>
        <v>10011-4401</v>
      </c>
      <c r="AB3084" t="s">
        <v>113</v>
      </c>
      <c r="AC3084" t="s">
        <v>79</v>
      </c>
      <c r="AD3084" t="s">
        <v>75</v>
      </c>
      <c r="AE3084" t="s">
        <v>80</v>
      </c>
      <c r="AG3084" t="s">
        <v>81</v>
      </c>
    </row>
    <row r="3085" spans="1:33" x14ac:dyDescent="0.25">
      <c r="A3085" t="str">
        <f>"1447306477"</f>
        <v>1447306477</v>
      </c>
      <c r="B3085" t="str">
        <f>"01943755"</f>
        <v>01943755</v>
      </c>
      <c r="C3085" t="s">
        <v>17895</v>
      </c>
      <c r="D3085" t="s">
        <v>17896</v>
      </c>
      <c r="E3085" t="s">
        <v>17897</v>
      </c>
      <c r="G3085" t="s">
        <v>14449</v>
      </c>
      <c r="H3085" t="s">
        <v>14450</v>
      </c>
      <c r="L3085" t="s">
        <v>94</v>
      </c>
      <c r="M3085" t="s">
        <v>75</v>
      </c>
      <c r="R3085" t="s">
        <v>17898</v>
      </c>
      <c r="W3085" t="s">
        <v>17897</v>
      </c>
      <c r="X3085" t="s">
        <v>17899</v>
      </c>
      <c r="Y3085" t="s">
        <v>87</v>
      </c>
      <c r="Z3085" t="s">
        <v>77</v>
      </c>
      <c r="AA3085" t="str">
        <f>"11221-3204"</f>
        <v>11221-3204</v>
      </c>
      <c r="AB3085" t="s">
        <v>78</v>
      </c>
      <c r="AC3085" t="s">
        <v>79</v>
      </c>
      <c r="AD3085" t="s">
        <v>75</v>
      </c>
      <c r="AE3085" t="s">
        <v>80</v>
      </c>
      <c r="AG3085" t="s">
        <v>81</v>
      </c>
    </row>
    <row r="3086" spans="1:33" x14ac:dyDescent="0.25">
      <c r="A3086" t="str">
        <f>"1558543157"</f>
        <v>1558543157</v>
      </c>
      <c r="B3086" t="str">
        <f>"03489787"</f>
        <v>03489787</v>
      </c>
      <c r="C3086" t="s">
        <v>17900</v>
      </c>
      <c r="D3086" t="s">
        <v>17901</v>
      </c>
      <c r="E3086" t="s">
        <v>17902</v>
      </c>
      <c r="G3086" t="s">
        <v>14449</v>
      </c>
      <c r="H3086" t="s">
        <v>14450</v>
      </c>
      <c r="L3086" t="s">
        <v>83</v>
      </c>
      <c r="M3086" t="s">
        <v>75</v>
      </c>
      <c r="R3086" t="s">
        <v>17903</v>
      </c>
      <c r="W3086" t="s">
        <v>17902</v>
      </c>
      <c r="X3086" t="s">
        <v>17904</v>
      </c>
      <c r="Y3086" t="s">
        <v>97</v>
      </c>
      <c r="Z3086" t="s">
        <v>77</v>
      </c>
      <c r="AA3086" t="str">
        <f>"10027-4920"</f>
        <v>10027-4920</v>
      </c>
      <c r="AB3086" t="s">
        <v>78</v>
      </c>
      <c r="AC3086" t="s">
        <v>79</v>
      </c>
      <c r="AD3086" t="s">
        <v>75</v>
      </c>
      <c r="AE3086" t="s">
        <v>80</v>
      </c>
      <c r="AG3086" t="s">
        <v>81</v>
      </c>
    </row>
    <row r="3087" spans="1:33" x14ac:dyDescent="0.25">
      <c r="A3087" t="str">
        <f>"1811137854"</f>
        <v>1811137854</v>
      </c>
      <c r="B3087" t="str">
        <f>"02726709"</f>
        <v>02726709</v>
      </c>
      <c r="C3087" t="s">
        <v>17905</v>
      </c>
      <c r="D3087" t="s">
        <v>17906</v>
      </c>
      <c r="E3087" t="s">
        <v>17907</v>
      </c>
      <c r="G3087" t="s">
        <v>14449</v>
      </c>
      <c r="H3087" t="s">
        <v>14450</v>
      </c>
      <c r="L3087" t="s">
        <v>84</v>
      </c>
      <c r="M3087" t="s">
        <v>75</v>
      </c>
      <c r="R3087" t="s">
        <v>17908</v>
      </c>
      <c r="W3087" t="s">
        <v>17907</v>
      </c>
      <c r="X3087" t="s">
        <v>3743</v>
      </c>
      <c r="Y3087" t="s">
        <v>97</v>
      </c>
      <c r="Z3087" t="s">
        <v>77</v>
      </c>
      <c r="AA3087" t="str">
        <f>"10011-4401"</f>
        <v>10011-4401</v>
      </c>
      <c r="AB3087" t="s">
        <v>78</v>
      </c>
      <c r="AC3087" t="s">
        <v>79</v>
      </c>
      <c r="AD3087" t="s">
        <v>75</v>
      </c>
      <c r="AE3087" t="s">
        <v>80</v>
      </c>
      <c r="AG3087" t="s">
        <v>81</v>
      </c>
    </row>
    <row r="3088" spans="1:33" x14ac:dyDescent="0.25">
      <c r="A3088" t="str">
        <f>"1396982195"</f>
        <v>1396982195</v>
      </c>
      <c r="B3088" t="str">
        <f>"03233410"</f>
        <v>03233410</v>
      </c>
      <c r="C3088" t="s">
        <v>17909</v>
      </c>
      <c r="D3088" t="s">
        <v>17910</v>
      </c>
      <c r="E3088" t="s">
        <v>17911</v>
      </c>
      <c r="G3088" t="s">
        <v>14449</v>
      </c>
      <c r="H3088" t="s">
        <v>14450</v>
      </c>
      <c r="L3088" t="s">
        <v>105</v>
      </c>
      <c r="M3088" t="s">
        <v>75</v>
      </c>
      <c r="R3088" t="s">
        <v>17912</v>
      </c>
      <c r="W3088" t="s">
        <v>17911</v>
      </c>
      <c r="X3088" t="s">
        <v>3773</v>
      </c>
      <c r="Y3088" t="s">
        <v>87</v>
      </c>
      <c r="Z3088" t="s">
        <v>77</v>
      </c>
      <c r="AA3088" t="str">
        <f>"11221-4501"</f>
        <v>11221-4501</v>
      </c>
      <c r="AB3088" t="s">
        <v>113</v>
      </c>
      <c r="AC3088" t="s">
        <v>79</v>
      </c>
      <c r="AD3088" t="s">
        <v>75</v>
      </c>
      <c r="AE3088" t="s">
        <v>80</v>
      </c>
      <c r="AG3088" t="s">
        <v>81</v>
      </c>
    </row>
    <row r="3089" spans="1:33" x14ac:dyDescent="0.25">
      <c r="A3089" t="str">
        <f>"1831407915"</f>
        <v>1831407915</v>
      </c>
      <c r="B3089" t="str">
        <f>"03453192"</f>
        <v>03453192</v>
      </c>
      <c r="C3089" t="s">
        <v>17913</v>
      </c>
      <c r="D3089" t="s">
        <v>17914</v>
      </c>
      <c r="E3089" t="s">
        <v>17915</v>
      </c>
      <c r="G3089" t="s">
        <v>14449</v>
      </c>
      <c r="H3089" t="s">
        <v>14450</v>
      </c>
      <c r="L3089" t="s">
        <v>105</v>
      </c>
      <c r="M3089" t="s">
        <v>75</v>
      </c>
      <c r="R3089" t="s">
        <v>17915</v>
      </c>
      <c r="W3089" t="s">
        <v>17915</v>
      </c>
      <c r="X3089" t="s">
        <v>3743</v>
      </c>
      <c r="Y3089" t="s">
        <v>97</v>
      </c>
      <c r="Z3089" t="s">
        <v>77</v>
      </c>
      <c r="AA3089" t="str">
        <f>"10011-4401"</f>
        <v>10011-4401</v>
      </c>
      <c r="AB3089" t="s">
        <v>113</v>
      </c>
      <c r="AC3089" t="s">
        <v>79</v>
      </c>
      <c r="AD3089" t="s">
        <v>75</v>
      </c>
      <c r="AE3089" t="s">
        <v>80</v>
      </c>
      <c r="AG3089" t="s">
        <v>81</v>
      </c>
    </row>
    <row r="3090" spans="1:33" x14ac:dyDescent="0.25">
      <c r="A3090" t="str">
        <f>"1205275047"</f>
        <v>1205275047</v>
      </c>
      <c r="B3090" t="str">
        <f>"04038226"</f>
        <v>04038226</v>
      </c>
      <c r="C3090" t="s">
        <v>17916</v>
      </c>
      <c r="D3090" t="s">
        <v>17917</v>
      </c>
      <c r="E3090" t="s">
        <v>17918</v>
      </c>
      <c r="G3090" t="s">
        <v>14449</v>
      </c>
      <c r="H3090" t="s">
        <v>14450</v>
      </c>
      <c r="L3090" t="s">
        <v>105</v>
      </c>
      <c r="M3090" t="s">
        <v>75</v>
      </c>
      <c r="R3090" t="s">
        <v>17919</v>
      </c>
      <c r="W3090" t="s">
        <v>17918</v>
      </c>
      <c r="X3090" t="s">
        <v>3743</v>
      </c>
      <c r="Y3090" t="s">
        <v>97</v>
      </c>
      <c r="Z3090" t="s">
        <v>77</v>
      </c>
      <c r="AA3090" t="str">
        <f>"10011-4401"</f>
        <v>10011-4401</v>
      </c>
      <c r="AB3090" t="s">
        <v>113</v>
      </c>
      <c r="AC3090" t="s">
        <v>79</v>
      </c>
      <c r="AD3090" t="s">
        <v>75</v>
      </c>
      <c r="AE3090" t="s">
        <v>80</v>
      </c>
      <c r="AG3090" t="s">
        <v>81</v>
      </c>
    </row>
    <row r="3091" spans="1:33" x14ac:dyDescent="0.25">
      <c r="A3091" t="str">
        <f>"1699789289"</f>
        <v>1699789289</v>
      </c>
      <c r="B3091" t="str">
        <f>"03519151"</f>
        <v>03519151</v>
      </c>
      <c r="C3091" t="s">
        <v>17920</v>
      </c>
      <c r="D3091" t="s">
        <v>17921</v>
      </c>
      <c r="E3091" t="s">
        <v>17922</v>
      </c>
      <c r="G3091" t="s">
        <v>7218</v>
      </c>
      <c r="H3091" t="s">
        <v>6801</v>
      </c>
      <c r="I3091">
        <v>6136</v>
      </c>
      <c r="J3091" t="s">
        <v>7219</v>
      </c>
      <c r="L3091" t="s">
        <v>74</v>
      </c>
      <c r="M3091" t="s">
        <v>75</v>
      </c>
      <c r="R3091" t="s">
        <v>17923</v>
      </c>
      <c r="W3091" t="s">
        <v>17922</v>
      </c>
      <c r="X3091" t="s">
        <v>10704</v>
      </c>
      <c r="Y3091" t="s">
        <v>87</v>
      </c>
      <c r="Z3091" t="s">
        <v>77</v>
      </c>
      <c r="AA3091" t="str">
        <f>"11229-4004"</f>
        <v>11229-4004</v>
      </c>
      <c r="AB3091" t="s">
        <v>113</v>
      </c>
      <c r="AC3091" t="s">
        <v>79</v>
      </c>
      <c r="AD3091" t="s">
        <v>75</v>
      </c>
      <c r="AE3091" t="s">
        <v>80</v>
      </c>
      <c r="AG3091" t="s">
        <v>81</v>
      </c>
    </row>
    <row r="3092" spans="1:33" x14ac:dyDescent="0.25">
      <c r="A3092" t="str">
        <f>"1700941283"</f>
        <v>1700941283</v>
      </c>
      <c r="B3092" t="str">
        <f>"02782887"</f>
        <v>02782887</v>
      </c>
      <c r="C3092" t="s">
        <v>17924</v>
      </c>
      <c r="D3092" t="s">
        <v>17925</v>
      </c>
      <c r="E3092" t="s">
        <v>17926</v>
      </c>
      <c r="G3092" t="s">
        <v>7218</v>
      </c>
      <c r="H3092" t="s">
        <v>6801</v>
      </c>
      <c r="I3092">
        <v>6136</v>
      </c>
      <c r="J3092" t="s">
        <v>7219</v>
      </c>
      <c r="L3092" t="s">
        <v>74</v>
      </c>
      <c r="M3092" t="s">
        <v>75</v>
      </c>
      <c r="R3092" t="s">
        <v>17927</v>
      </c>
      <c r="W3092" t="s">
        <v>17926</v>
      </c>
      <c r="X3092" t="s">
        <v>10704</v>
      </c>
      <c r="Y3092" t="s">
        <v>87</v>
      </c>
      <c r="Z3092" t="s">
        <v>77</v>
      </c>
      <c r="AA3092" t="str">
        <f>"11229-4004"</f>
        <v>11229-4004</v>
      </c>
      <c r="AB3092" t="s">
        <v>125</v>
      </c>
      <c r="AC3092" t="s">
        <v>79</v>
      </c>
      <c r="AD3092" t="s">
        <v>75</v>
      </c>
      <c r="AE3092" t="s">
        <v>80</v>
      </c>
      <c r="AG3092" t="s">
        <v>81</v>
      </c>
    </row>
    <row r="3093" spans="1:33" x14ac:dyDescent="0.25">
      <c r="A3093" t="str">
        <f>"1700942067"</f>
        <v>1700942067</v>
      </c>
      <c r="B3093" t="str">
        <f>"02218931"</f>
        <v>02218931</v>
      </c>
      <c r="C3093" t="s">
        <v>17928</v>
      </c>
      <c r="D3093" t="s">
        <v>17929</v>
      </c>
      <c r="E3093" t="s">
        <v>17930</v>
      </c>
      <c r="G3093" t="s">
        <v>7218</v>
      </c>
      <c r="H3093" t="s">
        <v>6801</v>
      </c>
      <c r="I3093">
        <v>6136</v>
      </c>
      <c r="J3093" t="s">
        <v>7219</v>
      </c>
      <c r="L3093" t="s">
        <v>74</v>
      </c>
      <c r="M3093" t="s">
        <v>75</v>
      </c>
      <c r="R3093" t="s">
        <v>17931</v>
      </c>
      <c r="W3093" t="s">
        <v>17930</v>
      </c>
      <c r="X3093" t="s">
        <v>17932</v>
      </c>
      <c r="Y3093" t="s">
        <v>247</v>
      </c>
      <c r="Z3093" t="s">
        <v>77</v>
      </c>
      <c r="AA3093" t="str">
        <f>"11791-6818"</f>
        <v>11791-6818</v>
      </c>
      <c r="AB3093" t="s">
        <v>93</v>
      </c>
      <c r="AC3093" t="s">
        <v>79</v>
      </c>
      <c r="AD3093" t="s">
        <v>75</v>
      </c>
      <c r="AE3093" t="s">
        <v>80</v>
      </c>
      <c r="AG3093" t="s">
        <v>81</v>
      </c>
    </row>
    <row r="3094" spans="1:33" x14ac:dyDescent="0.25">
      <c r="A3094" t="str">
        <f>"1932161841"</f>
        <v>1932161841</v>
      </c>
      <c r="C3094" t="s">
        <v>17933</v>
      </c>
      <c r="G3094" t="s">
        <v>13504</v>
      </c>
      <c r="H3094" t="s">
        <v>13505</v>
      </c>
      <c r="J3094" t="s">
        <v>13506</v>
      </c>
      <c r="K3094" t="s">
        <v>99</v>
      </c>
      <c r="L3094" t="s">
        <v>74</v>
      </c>
      <c r="M3094" t="s">
        <v>75</v>
      </c>
      <c r="R3094" t="s">
        <v>17934</v>
      </c>
      <c r="S3094" t="s">
        <v>17935</v>
      </c>
      <c r="T3094" t="s">
        <v>4597</v>
      </c>
      <c r="U3094" t="s">
        <v>4597</v>
      </c>
      <c r="V3094" t="str">
        <f>"8004"</f>
        <v>8004</v>
      </c>
      <c r="AC3094" t="s">
        <v>79</v>
      </c>
      <c r="AD3094" t="s">
        <v>75</v>
      </c>
      <c r="AE3094" t="s">
        <v>103</v>
      </c>
      <c r="AG3094" t="s">
        <v>81</v>
      </c>
    </row>
    <row r="3095" spans="1:33" x14ac:dyDescent="0.25">
      <c r="A3095" t="str">
        <f>"1811975444"</f>
        <v>1811975444</v>
      </c>
      <c r="B3095" t="str">
        <f>"02635830"</f>
        <v>02635830</v>
      </c>
      <c r="C3095" t="s">
        <v>17936</v>
      </c>
      <c r="D3095" t="s">
        <v>17937</v>
      </c>
      <c r="E3095" t="s">
        <v>17938</v>
      </c>
      <c r="G3095" t="s">
        <v>13504</v>
      </c>
      <c r="H3095" t="s">
        <v>13505</v>
      </c>
      <c r="J3095" t="s">
        <v>13506</v>
      </c>
      <c r="L3095" t="s">
        <v>84</v>
      </c>
      <c r="M3095" t="s">
        <v>85</v>
      </c>
      <c r="R3095" t="s">
        <v>17939</v>
      </c>
      <c r="W3095" t="s">
        <v>17938</v>
      </c>
      <c r="X3095" t="s">
        <v>610</v>
      </c>
      <c r="Y3095" t="s">
        <v>87</v>
      </c>
      <c r="Z3095" t="s">
        <v>77</v>
      </c>
      <c r="AA3095" t="str">
        <f>"11203-2056"</f>
        <v>11203-2056</v>
      </c>
      <c r="AB3095" t="s">
        <v>78</v>
      </c>
      <c r="AC3095" t="s">
        <v>79</v>
      </c>
      <c r="AD3095" t="s">
        <v>75</v>
      </c>
      <c r="AE3095" t="s">
        <v>80</v>
      </c>
      <c r="AG3095" t="s">
        <v>81</v>
      </c>
    </row>
    <row r="3096" spans="1:33" x14ac:dyDescent="0.25">
      <c r="A3096" t="str">
        <f>"1619035862"</f>
        <v>1619035862</v>
      </c>
      <c r="B3096" t="str">
        <f>"02298882"</f>
        <v>02298882</v>
      </c>
      <c r="C3096" t="s">
        <v>17940</v>
      </c>
      <c r="D3096" t="s">
        <v>17941</v>
      </c>
      <c r="E3096" t="s">
        <v>17942</v>
      </c>
      <c r="G3096" t="s">
        <v>13504</v>
      </c>
      <c r="H3096" t="s">
        <v>13505</v>
      </c>
      <c r="J3096" t="s">
        <v>13506</v>
      </c>
      <c r="L3096" t="s">
        <v>83</v>
      </c>
      <c r="M3096" t="s">
        <v>75</v>
      </c>
      <c r="R3096" t="s">
        <v>17943</v>
      </c>
      <c r="W3096" t="s">
        <v>17942</v>
      </c>
      <c r="X3096" t="s">
        <v>17944</v>
      </c>
      <c r="Y3096" t="s">
        <v>87</v>
      </c>
      <c r="Z3096" t="s">
        <v>77</v>
      </c>
      <c r="AA3096" t="str">
        <f>"11201-5425"</f>
        <v>11201-5425</v>
      </c>
      <c r="AB3096" t="s">
        <v>78</v>
      </c>
      <c r="AC3096" t="s">
        <v>79</v>
      </c>
      <c r="AD3096" t="s">
        <v>75</v>
      </c>
      <c r="AE3096" t="s">
        <v>80</v>
      </c>
      <c r="AG3096" t="s">
        <v>81</v>
      </c>
    </row>
    <row r="3097" spans="1:33" x14ac:dyDescent="0.25">
      <c r="A3097" t="str">
        <f>"1316919004"</f>
        <v>1316919004</v>
      </c>
      <c r="B3097" t="str">
        <f>"02374252"</f>
        <v>02374252</v>
      </c>
      <c r="C3097" t="s">
        <v>13436</v>
      </c>
      <c r="D3097" t="s">
        <v>17945</v>
      </c>
      <c r="E3097" t="s">
        <v>17946</v>
      </c>
      <c r="G3097" t="s">
        <v>17947</v>
      </c>
      <c r="L3097" t="s">
        <v>83</v>
      </c>
      <c r="M3097" t="s">
        <v>85</v>
      </c>
      <c r="R3097" t="s">
        <v>17948</v>
      </c>
      <c r="W3097" t="s">
        <v>17946</v>
      </c>
      <c r="X3097" t="s">
        <v>201</v>
      </c>
      <c r="Y3097" t="s">
        <v>87</v>
      </c>
      <c r="Z3097" t="s">
        <v>77</v>
      </c>
      <c r="AA3097" t="str">
        <f>"11237-4006"</f>
        <v>11237-4006</v>
      </c>
      <c r="AB3097" t="s">
        <v>78</v>
      </c>
      <c r="AC3097" t="s">
        <v>79</v>
      </c>
      <c r="AD3097" t="s">
        <v>75</v>
      </c>
      <c r="AE3097" t="s">
        <v>80</v>
      </c>
      <c r="AG3097" t="s">
        <v>81</v>
      </c>
    </row>
    <row r="3098" spans="1:33" x14ac:dyDescent="0.25">
      <c r="A3098" t="str">
        <f>"1326056284"</f>
        <v>1326056284</v>
      </c>
      <c r="B3098" t="str">
        <f>"02861109"</f>
        <v>02861109</v>
      </c>
      <c r="C3098" t="s">
        <v>13436</v>
      </c>
      <c r="D3098" t="s">
        <v>17949</v>
      </c>
      <c r="E3098" t="s">
        <v>17950</v>
      </c>
      <c r="G3098" t="s">
        <v>17951</v>
      </c>
      <c r="L3098" t="s">
        <v>84</v>
      </c>
      <c r="M3098" t="s">
        <v>85</v>
      </c>
      <c r="R3098" t="s">
        <v>17952</v>
      </c>
      <c r="W3098" t="s">
        <v>17950</v>
      </c>
      <c r="X3098" t="s">
        <v>191</v>
      </c>
      <c r="Y3098" t="s">
        <v>97</v>
      </c>
      <c r="Z3098" t="s">
        <v>77</v>
      </c>
      <c r="AA3098" t="str">
        <f>"10019-1147"</f>
        <v>10019-1147</v>
      </c>
      <c r="AB3098" t="s">
        <v>78</v>
      </c>
      <c r="AC3098" t="s">
        <v>79</v>
      </c>
      <c r="AD3098" t="s">
        <v>75</v>
      </c>
      <c r="AE3098" t="s">
        <v>80</v>
      </c>
      <c r="AG3098" t="s">
        <v>81</v>
      </c>
    </row>
    <row r="3099" spans="1:33" x14ac:dyDescent="0.25">
      <c r="A3099" t="str">
        <f>"1184046609"</f>
        <v>1184046609</v>
      </c>
      <c r="C3099" t="s">
        <v>17953</v>
      </c>
      <c r="G3099" t="s">
        <v>17954</v>
      </c>
      <c r="H3099" t="s">
        <v>17955</v>
      </c>
      <c r="J3099" t="s">
        <v>17956</v>
      </c>
      <c r="K3099" t="s">
        <v>99</v>
      </c>
      <c r="L3099" t="s">
        <v>102</v>
      </c>
      <c r="M3099" t="s">
        <v>75</v>
      </c>
      <c r="R3099" t="s">
        <v>17957</v>
      </c>
      <c r="S3099" t="s">
        <v>17958</v>
      </c>
      <c r="T3099" t="s">
        <v>97</v>
      </c>
      <c r="U3099" t="s">
        <v>77</v>
      </c>
      <c r="V3099" t="str">
        <f>"100112019"</f>
        <v>100112019</v>
      </c>
      <c r="AC3099" t="s">
        <v>79</v>
      </c>
      <c r="AD3099" t="s">
        <v>75</v>
      </c>
      <c r="AE3099" t="s">
        <v>103</v>
      </c>
      <c r="AG3099" t="s">
        <v>81</v>
      </c>
    </row>
    <row r="3100" spans="1:33" x14ac:dyDescent="0.25">
      <c r="A3100" t="str">
        <f>"1093141707"</f>
        <v>1093141707</v>
      </c>
      <c r="C3100" t="s">
        <v>17959</v>
      </c>
      <c r="G3100" t="s">
        <v>17960</v>
      </c>
      <c r="H3100" t="s">
        <v>17961</v>
      </c>
      <c r="J3100" t="s">
        <v>17962</v>
      </c>
      <c r="K3100" t="s">
        <v>99</v>
      </c>
      <c r="L3100" t="s">
        <v>74</v>
      </c>
      <c r="M3100" t="s">
        <v>75</v>
      </c>
      <c r="R3100" t="s">
        <v>17963</v>
      </c>
      <c r="S3100" t="s">
        <v>1723</v>
      </c>
      <c r="T3100" t="s">
        <v>97</v>
      </c>
      <c r="U3100" t="s">
        <v>77</v>
      </c>
      <c r="V3100" t="str">
        <f>"100657769"</f>
        <v>100657769</v>
      </c>
      <c r="AC3100" t="s">
        <v>79</v>
      </c>
      <c r="AD3100" t="s">
        <v>75</v>
      </c>
      <c r="AE3100" t="s">
        <v>103</v>
      </c>
      <c r="AG3100" t="s">
        <v>81</v>
      </c>
    </row>
    <row r="3101" spans="1:33" x14ac:dyDescent="0.25">
      <c r="A3101" t="str">
        <f>"1427470319"</f>
        <v>1427470319</v>
      </c>
      <c r="C3101" t="s">
        <v>17960</v>
      </c>
      <c r="G3101" t="s">
        <v>17960</v>
      </c>
      <c r="H3101" t="s">
        <v>17961</v>
      </c>
      <c r="J3101" t="s">
        <v>17962</v>
      </c>
      <c r="K3101" t="s">
        <v>99</v>
      </c>
      <c r="L3101" t="s">
        <v>102</v>
      </c>
      <c r="M3101" t="s">
        <v>75</v>
      </c>
      <c r="R3101" t="s">
        <v>17964</v>
      </c>
      <c r="S3101" t="s">
        <v>17965</v>
      </c>
      <c r="T3101" t="s">
        <v>190</v>
      </c>
      <c r="U3101" t="s">
        <v>77</v>
      </c>
      <c r="V3101" t="str">
        <f>"11101"</f>
        <v>11101</v>
      </c>
      <c r="AC3101" t="s">
        <v>79</v>
      </c>
      <c r="AD3101" t="s">
        <v>75</v>
      </c>
      <c r="AE3101" t="s">
        <v>103</v>
      </c>
      <c r="AG3101" t="s">
        <v>81</v>
      </c>
    </row>
    <row r="3102" spans="1:33" x14ac:dyDescent="0.25">
      <c r="A3102" t="str">
        <f>"1386066348"</f>
        <v>1386066348</v>
      </c>
      <c r="C3102" t="s">
        <v>17966</v>
      </c>
      <c r="G3102" t="s">
        <v>17960</v>
      </c>
      <c r="H3102" t="s">
        <v>17961</v>
      </c>
      <c r="J3102" t="s">
        <v>17962</v>
      </c>
      <c r="K3102" t="s">
        <v>99</v>
      </c>
      <c r="L3102" t="s">
        <v>74</v>
      </c>
      <c r="M3102" t="s">
        <v>75</v>
      </c>
      <c r="R3102" t="s">
        <v>17967</v>
      </c>
      <c r="S3102" t="s">
        <v>17968</v>
      </c>
      <c r="T3102" t="s">
        <v>97</v>
      </c>
      <c r="U3102" t="s">
        <v>77</v>
      </c>
      <c r="V3102" t="str">
        <f>"100112019"</f>
        <v>100112019</v>
      </c>
      <c r="AC3102" t="s">
        <v>79</v>
      </c>
      <c r="AD3102" t="s">
        <v>75</v>
      </c>
      <c r="AE3102" t="s">
        <v>103</v>
      </c>
      <c r="AG3102" t="s">
        <v>81</v>
      </c>
    </row>
    <row r="3103" spans="1:33" x14ac:dyDescent="0.25">
      <c r="A3103" t="str">
        <f>"1871619395"</f>
        <v>1871619395</v>
      </c>
      <c r="B3103" t="str">
        <f>"02042928"</f>
        <v>02042928</v>
      </c>
      <c r="C3103" t="s">
        <v>17969</v>
      </c>
      <c r="D3103" t="s">
        <v>17970</v>
      </c>
      <c r="E3103" t="s">
        <v>17971</v>
      </c>
      <c r="G3103" t="s">
        <v>13504</v>
      </c>
      <c r="H3103" t="s">
        <v>13505</v>
      </c>
      <c r="J3103" t="s">
        <v>13506</v>
      </c>
      <c r="L3103" t="s">
        <v>84</v>
      </c>
      <c r="M3103" t="s">
        <v>85</v>
      </c>
      <c r="R3103" t="s">
        <v>17972</v>
      </c>
      <c r="W3103" t="s">
        <v>17971</v>
      </c>
      <c r="X3103" t="s">
        <v>5590</v>
      </c>
      <c r="Y3103" t="s">
        <v>131</v>
      </c>
      <c r="Z3103" t="s">
        <v>77</v>
      </c>
      <c r="AA3103" t="str">
        <f>"10466-5098"</f>
        <v>10466-5098</v>
      </c>
      <c r="AB3103" t="s">
        <v>78</v>
      </c>
      <c r="AC3103" t="s">
        <v>79</v>
      </c>
      <c r="AD3103" t="s">
        <v>75</v>
      </c>
      <c r="AE3103" t="s">
        <v>80</v>
      </c>
      <c r="AG3103" t="s">
        <v>81</v>
      </c>
    </row>
    <row r="3104" spans="1:33" x14ac:dyDescent="0.25">
      <c r="A3104" t="str">
        <f>"1720028061"</f>
        <v>1720028061</v>
      </c>
      <c r="B3104" t="str">
        <f>"01810351"</f>
        <v>01810351</v>
      </c>
      <c r="C3104" t="s">
        <v>13436</v>
      </c>
      <c r="D3104" t="s">
        <v>17973</v>
      </c>
      <c r="E3104" t="s">
        <v>17974</v>
      </c>
      <c r="G3104" t="s">
        <v>17975</v>
      </c>
      <c r="L3104" t="s">
        <v>83</v>
      </c>
      <c r="M3104" t="s">
        <v>85</v>
      </c>
      <c r="R3104" t="s">
        <v>17976</v>
      </c>
      <c r="W3104" t="s">
        <v>17974</v>
      </c>
      <c r="X3104" t="s">
        <v>14871</v>
      </c>
      <c r="Y3104" t="s">
        <v>97</v>
      </c>
      <c r="Z3104" t="s">
        <v>77</v>
      </c>
      <c r="AA3104" t="str">
        <f>"10003"</f>
        <v>10003</v>
      </c>
      <c r="AB3104" t="s">
        <v>78</v>
      </c>
      <c r="AC3104" t="s">
        <v>79</v>
      </c>
      <c r="AD3104" t="s">
        <v>75</v>
      </c>
      <c r="AE3104" t="s">
        <v>80</v>
      </c>
      <c r="AG3104" t="s">
        <v>81</v>
      </c>
    </row>
    <row r="3105" spans="1:33" x14ac:dyDescent="0.25">
      <c r="A3105" t="str">
        <f>"1093941817"</f>
        <v>1093941817</v>
      </c>
      <c r="B3105" t="str">
        <f>"03775188"</f>
        <v>03775188</v>
      </c>
      <c r="C3105" t="s">
        <v>17977</v>
      </c>
      <c r="D3105" t="s">
        <v>17978</v>
      </c>
      <c r="E3105" t="s">
        <v>17979</v>
      </c>
      <c r="G3105" t="s">
        <v>13504</v>
      </c>
      <c r="H3105" t="s">
        <v>13505</v>
      </c>
      <c r="J3105" t="s">
        <v>13506</v>
      </c>
      <c r="L3105" t="s">
        <v>74</v>
      </c>
      <c r="M3105" t="s">
        <v>75</v>
      </c>
      <c r="R3105" t="s">
        <v>17980</v>
      </c>
      <c r="W3105" t="s">
        <v>17979</v>
      </c>
      <c r="X3105" t="s">
        <v>202</v>
      </c>
      <c r="Y3105" t="s">
        <v>87</v>
      </c>
      <c r="Z3105" t="s">
        <v>77</v>
      </c>
      <c r="AA3105" t="str">
        <f>"11201-5425"</f>
        <v>11201-5425</v>
      </c>
      <c r="AB3105" t="s">
        <v>78</v>
      </c>
      <c r="AC3105" t="s">
        <v>79</v>
      </c>
      <c r="AD3105" t="s">
        <v>75</v>
      </c>
      <c r="AE3105" t="s">
        <v>80</v>
      </c>
      <c r="AG3105" t="s">
        <v>81</v>
      </c>
    </row>
    <row r="3106" spans="1:33" x14ac:dyDescent="0.25">
      <c r="A3106" t="str">
        <f>"1013111707"</f>
        <v>1013111707</v>
      </c>
      <c r="B3106" t="str">
        <f>"03493390"</f>
        <v>03493390</v>
      </c>
      <c r="C3106" t="s">
        <v>17981</v>
      </c>
      <c r="D3106" t="s">
        <v>17982</v>
      </c>
      <c r="E3106" t="s">
        <v>17983</v>
      </c>
      <c r="G3106" t="s">
        <v>13504</v>
      </c>
      <c r="H3106" t="s">
        <v>13505</v>
      </c>
      <c r="J3106" t="s">
        <v>13506</v>
      </c>
      <c r="L3106" t="s">
        <v>83</v>
      </c>
      <c r="M3106" t="s">
        <v>85</v>
      </c>
      <c r="R3106" t="s">
        <v>17984</v>
      </c>
      <c r="W3106" t="s">
        <v>17985</v>
      </c>
      <c r="X3106" t="s">
        <v>202</v>
      </c>
      <c r="Y3106" t="s">
        <v>87</v>
      </c>
      <c r="Z3106" t="s">
        <v>77</v>
      </c>
      <c r="AA3106" t="str">
        <f>"11201-5425"</f>
        <v>11201-5425</v>
      </c>
      <c r="AB3106" t="s">
        <v>78</v>
      </c>
      <c r="AC3106" t="s">
        <v>79</v>
      </c>
      <c r="AD3106" t="s">
        <v>75</v>
      </c>
      <c r="AE3106" t="s">
        <v>80</v>
      </c>
      <c r="AG3106" t="s">
        <v>81</v>
      </c>
    </row>
    <row r="3107" spans="1:33" x14ac:dyDescent="0.25">
      <c r="A3107" t="str">
        <f>"1639440258"</f>
        <v>1639440258</v>
      </c>
      <c r="B3107" t="str">
        <f>"03569862"</f>
        <v>03569862</v>
      </c>
      <c r="C3107" t="s">
        <v>17986</v>
      </c>
      <c r="D3107" t="s">
        <v>17987</v>
      </c>
      <c r="E3107" t="s">
        <v>17988</v>
      </c>
      <c r="G3107" t="s">
        <v>13504</v>
      </c>
      <c r="H3107" t="s">
        <v>13505</v>
      </c>
      <c r="J3107" t="s">
        <v>13506</v>
      </c>
      <c r="L3107" t="s">
        <v>74</v>
      </c>
      <c r="M3107" t="s">
        <v>75</v>
      </c>
      <c r="R3107" t="s">
        <v>17989</v>
      </c>
      <c r="W3107" t="s">
        <v>17988</v>
      </c>
      <c r="X3107" t="s">
        <v>2779</v>
      </c>
      <c r="Y3107" t="s">
        <v>87</v>
      </c>
      <c r="Z3107" t="s">
        <v>77</v>
      </c>
      <c r="AA3107" t="str">
        <f>"11217-1702"</f>
        <v>11217-1702</v>
      </c>
      <c r="AB3107" t="s">
        <v>78</v>
      </c>
      <c r="AC3107" t="s">
        <v>79</v>
      </c>
      <c r="AD3107" t="s">
        <v>75</v>
      </c>
      <c r="AE3107" t="s">
        <v>80</v>
      </c>
      <c r="AG3107" t="s">
        <v>81</v>
      </c>
    </row>
    <row r="3108" spans="1:33" x14ac:dyDescent="0.25">
      <c r="A3108" t="str">
        <f>"1518236181"</f>
        <v>1518236181</v>
      </c>
      <c r="B3108" t="str">
        <f>"03518669"</f>
        <v>03518669</v>
      </c>
      <c r="C3108" t="s">
        <v>17990</v>
      </c>
      <c r="D3108" t="s">
        <v>17991</v>
      </c>
      <c r="E3108" t="s">
        <v>17992</v>
      </c>
      <c r="G3108" t="s">
        <v>13504</v>
      </c>
      <c r="H3108" t="s">
        <v>13505</v>
      </c>
      <c r="J3108" t="s">
        <v>13506</v>
      </c>
      <c r="L3108" t="s">
        <v>84</v>
      </c>
      <c r="M3108" t="s">
        <v>85</v>
      </c>
      <c r="R3108" t="s">
        <v>17992</v>
      </c>
      <c r="W3108" t="s">
        <v>17992</v>
      </c>
      <c r="X3108" t="s">
        <v>17993</v>
      </c>
      <c r="Y3108" t="s">
        <v>87</v>
      </c>
      <c r="Z3108" t="s">
        <v>77</v>
      </c>
      <c r="AA3108" t="str">
        <f>"11220-4211"</f>
        <v>11220-4211</v>
      </c>
      <c r="AB3108" t="s">
        <v>78</v>
      </c>
      <c r="AC3108" t="s">
        <v>79</v>
      </c>
      <c r="AD3108" t="s">
        <v>75</v>
      </c>
      <c r="AE3108" t="s">
        <v>80</v>
      </c>
      <c r="AG3108" t="s">
        <v>81</v>
      </c>
    </row>
    <row r="3109" spans="1:33" x14ac:dyDescent="0.25">
      <c r="A3109" t="str">
        <f>"1265759070"</f>
        <v>1265759070</v>
      </c>
      <c r="B3109" t="str">
        <f>"03616722"</f>
        <v>03616722</v>
      </c>
      <c r="C3109" t="s">
        <v>17994</v>
      </c>
      <c r="D3109" t="s">
        <v>17995</v>
      </c>
      <c r="E3109" t="s">
        <v>17996</v>
      </c>
      <c r="G3109" t="s">
        <v>13504</v>
      </c>
      <c r="H3109" t="s">
        <v>13505</v>
      </c>
      <c r="J3109" t="s">
        <v>13506</v>
      </c>
      <c r="L3109" t="s">
        <v>83</v>
      </c>
      <c r="M3109" t="s">
        <v>75</v>
      </c>
      <c r="R3109" t="s">
        <v>17997</v>
      </c>
      <c r="W3109" t="s">
        <v>17996</v>
      </c>
      <c r="X3109" t="s">
        <v>202</v>
      </c>
      <c r="Y3109" t="s">
        <v>87</v>
      </c>
      <c r="Z3109" t="s">
        <v>77</v>
      </c>
      <c r="AA3109" t="str">
        <f>"11201-5425"</f>
        <v>11201-5425</v>
      </c>
      <c r="AB3109" t="s">
        <v>78</v>
      </c>
      <c r="AC3109" t="s">
        <v>79</v>
      </c>
      <c r="AD3109" t="s">
        <v>75</v>
      </c>
      <c r="AE3109" t="s">
        <v>80</v>
      </c>
      <c r="AG3109" t="s">
        <v>81</v>
      </c>
    </row>
    <row r="3110" spans="1:33" x14ac:dyDescent="0.25">
      <c r="A3110" t="str">
        <f>"1538302146"</f>
        <v>1538302146</v>
      </c>
      <c r="B3110" t="str">
        <f>"03708638"</f>
        <v>03708638</v>
      </c>
      <c r="C3110" t="s">
        <v>17998</v>
      </c>
      <c r="D3110" t="s">
        <v>17999</v>
      </c>
      <c r="E3110" t="s">
        <v>18000</v>
      </c>
      <c r="G3110" t="s">
        <v>13504</v>
      </c>
      <c r="H3110" t="s">
        <v>13505</v>
      </c>
      <c r="J3110" t="s">
        <v>13506</v>
      </c>
      <c r="L3110" t="s">
        <v>74</v>
      </c>
      <c r="M3110" t="s">
        <v>75</v>
      </c>
      <c r="R3110" t="s">
        <v>18001</v>
      </c>
      <c r="W3110" t="s">
        <v>18000</v>
      </c>
      <c r="X3110" t="s">
        <v>202</v>
      </c>
      <c r="Y3110" t="s">
        <v>87</v>
      </c>
      <c r="Z3110" t="s">
        <v>77</v>
      </c>
      <c r="AA3110" t="str">
        <f>"11201-5425"</f>
        <v>11201-5425</v>
      </c>
      <c r="AB3110" t="s">
        <v>78</v>
      </c>
      <c r="AC3110" t="s">
        <v>79</v>
      </c>
      <c r="AD3110" t="s">
        <v>75</v>
      </c>
      <c r="AE3110" t="s">
        <v>80</v>
      </c>
      <c r="AG3110" t="s">
        <v>81</v>
      </c>
    </row>
    <row r="3111" spans="1:33" x14ac:dyDescent="0.25">
      <c r="A3111" t="str">
        <f>"1790733186"</f>
        <v>1790733186</v>
      </c>
      <c r="B3111" t="str">
        <f>"02754061"</f>
        <v>02754061</v>
      </c>
      <c r="C3111" t="s">
        <v>18002</v>
      </c>
      <c r="D3111" t="s">
        <v>18003</v>
      </c>
      <c r="E3111" t="s">
        <v>18004</v>
      </c>
      <c r="G3111" t="s">
        <v>13504</v>
      </c>
      <c r="H3111" t="s">
        <v>13505</v>
      </c>
      <c r="J3111" t="s">
        <v>13506</v>
      </c>
      <c r="L3111" t="s">
        <v>74</v>
      </c>
      <c r="M3111" t="s">
        <v>75</v>
      </c>
      <c r="R3111" t="s">
        <v>18005</v>
      </c>
      <c r="W3111" t="s">
        <v>18004</v>
      </c>
      <c r="X3111" t="s">
        <v>201</v>
      </c>
      <c r="Y3111" t="s">
        <v>87</v>
      </c>
      <c r="Z3111" t="s">
        <v>77</v>
      </c>
      <c r="AA3111" t="str">
        <f>"11237-4006"</f>
        <v>11237-4006</v>
      </c>
      <c r="AB3111" t="s">
        <v>78</v>
      </c>
      <c r="AC3111" t="s">
        <v>79</v>
      </c>
      <c r="AD3111" t="s">
        <v>75</v>
      </c>
      <c r="AE3111" t="s">
        <v>80</v>
      </c>
      <c r="AG3111" t="s">
        <v>81</v>
      </c>
    </row>
    <row r="3112" spans="1:33" x14ac:dyDescent="0.25">
      <c r="A3112" t="str">
        <f>"1962823179"</f>
        <v>1962823179</v>
      </c>
      <c r="C3112" t="s">
        <v>18006</v>
      </c>
      <c r="G3112" t="s">
        <v>16280</v>
      </c>
      <c r="H3112" t="s">
        <v>16281</v>
      </c>
      <c r="J3112" t="s">
        <v>16282</v>
      </c>
      <c r="K3112" t="s">
        <v>99</v>
      </c>
      <c r="L3112" t="s">
        <v>102</v>
      </c>
      <c r="M3112" t="s">
        <v>75</v>
      </c>
      <c r="R3112" t="s">
        <v>18007</v>
      </c>
      <c r="S3112" t="s">
        <v>3076</v>
      </c>
      <c r="T3112" t="s">
        <v>97</v>
      </c>
      <c r="U3112" t="s">
        <v>77</v>
      </c>
      <c r="V3112" t="str">
        <f>"100143518"</f>
        <v>100143518</v>
      </c>
      <c r="AC3112" t="s">
        <v>79</v>
      </c>
      <c r="AD3112" t="s">
        <v>75</v>
      </c>
      <c r="AE3112" t="s">
        <v>103</v>
      </c>
      <c r="AG3112" t="s">
        <v>81</v>
      </c>
    </row>
    <row r="3113" spans="1:33" x14ac:dyDescent="0.25">
      <c r="A3113" t="str">
        <f>"1821104993"</f>
        <v>1821104993</v>
      </c>
      <c r="B3113" t="str">
        <f>"00349257"</f>
        <v>00349257</v>
      </c>
      <c r="C3113" t="s">
        <v>18008</v>
      </c>
      <c r="D3113" t="s">
        <v>18009</v>
      </c>
      <c r="E3113" t="s">
        <v>18010</v>
      </c>
      <c r="G3113" t="s">
        <v>13504</v>
      </c>
      <c r="H3113" t="s">
        <v>13505</v>
      </c>
      <c r="J3113" t="s">
        <v>13506</v>
      </c>
      <c r="L3113" t="s">
        <v>83</v>
      </c>
      <c r="M3113" t="s">
        <v>75</v>
      </c>
      <c r="R3113" t="s">
        <v>18011</v>
      </c>
      <c r="W3113" t="s">
        <v>18012</v>
      </c>
      <c r="X3113" t="s">
        <v>202</v>
      </c>
      <c r="Y3113" t="s">
        <v>87</v>
      </c>
      <c r="Z3113" t="s">
        <v>77</v>
      </c>
      <c r="AA3113" t="str">
        <f>"11201-5425"</f>
        <v>11201-5425</v>
      </c>
      <c r="AB3113" t="s">
        <v>78</v>
      </c>
      <c r="AC3113" t="s">
        <v>79</v>
      </c>
      <c r="AD3113" t="s">
        <v>75</v>
      </c>
      <c r="AE3113" t="s">
        <v>80</v>
      </c>
      <c r="AG3113" t="s">
        <v>81</v>
      </c>
    </row>
    <row r="3114" spans="1:33" x14ac:dyDescent="0.25">
      <c r="A3114" t="str">
        <f>"1255455457"</f>
        <v>1255455457</v>
      </c>
      <c r="B3114" t="str">
        <f>"00514512"</f>
        <v>00514512</v>
      </c>
      <c r="C3114" t="s">
        <v>18013</v>
      </c>
      <c r="D3114" t="s">
        <v>18014</v>
      </c>
      <c r="E3114" t="s">
        <v>18015</v>
      </c>
      <c r="G3114" t="s">
        <v>13504</v>
      </c>
      <c r="H3114" t="s">
        <v>13505</v>
      </c>
      <c r="J3114" t="s">
        <v>13506</v>
      </c>
      <c r="L3114" t="s">
        <v>84</v>
      </c>
      <c r="M3114" t="s">
        <v>75</v>
      </c>
      <c r="R3114" t="s">
        <v>18016</v>
      </c>
      <c r="W3114" t="s">
        <v>18015</v>
      </c>
      <c r="X3114" t="s">
        <v>18017</v>
      </c>
      <c r="Y3114" t="s">
        <v>87</v>
      </c>
      <c r="Z3114" t="s">
        <v>77</v>
      </c>
      <c r="AA3114" t="str">
        <f>"11226-3301"</f>
        <v>11226-3301</v>
      </c>
      <c r="AB3114" t="s">
        <v>78</v>
      </c>
      <c r="AC3114" t="s">
        <v>79</v>
      </c>
      <c r="AD3114" t="s">
        <v>75</v>
      </c>
      <c r="AE3114" t="s">
        <v>80</v>
      </c>
      <c r="AG3114" t="s">
        <v>81</v>
      </c>
    </row>
    <row r="3115" spans="1:33" x14ac:dyDescent="0.25">
      <c r="A3115" t="str">
        <f>"1821013442"</f>
        <v>1821013442</v>
      </c>
      <c r="B3115" t="str">
        <f>"00726774"</f>
        <v>00726774</v>
      </c>
      <c r="C3115" t="s">
        <v>18018</v>
      </c>
      <c r="D3115" t="s">
        <v>18019</v>
      </c>
      <c r="E3115" t="s">
        <v>18020</v>
      </c>
      <c r="G3115" t="s">
        <v>13504</v>
      </c>
      <c r="H3115" t="s">
        <v>13505</v>
      </c>
      <c r="J3115" t="s">
        <v>13506</v>
      </c>
      <c r="L3115" t="s">
        <v>83</v>
      </c>
      <c r="M3115" t="s">
        <v>75</v>
      </c>
      <c r="R3115" t="s">
        <v>18021</v>
      </c>
      <c r="W3115" t="s">
        <v>18021</v>
      </c>
      <c r="Y3115" t="s">
        <v>87</v>
      </c>
      <c r="Z3115" t="s">
        <v>77</v>
      </c>
      <c r="AA3115" t="str">
        <f>"11201-5493"</f>
        <v>11201-5493</v>
      </c>
      <c r="AB3115" t="s">
        <v>78</v>
      </c>
      <c r="AC3115" t="s">
        <v>79</v>
      </c>
      <c r="AD3115" t="s">
        <v>75</v>
      </c>
      <c r="AE3115" t="s">
        <v>80</v>
      </c>
      <c r="AG3115" t="s">
        <v>81</v>
      </c>
    </row>
    <row r="3116" spans="1:33" x14ac:dyDescent="0.25">
      <c r="A3116" t="str">
        <f>"1316973951"</f>
        <v>1316973951</v>
      </c>
      <c r="B3116" t="str">
        <f>"01391708"</f>
        <v>01391708</v>
      </c>
      <c r="C3116" t="s">
        <v>18022</v>
      </c>
      <c r="D3116" t="s">
        <v>18023</v>
      </c>
      <c r="E3116" t="s">
        <v>18024</v>
      </c>
      <c r="G3116" t="s">
        <v>13504</v>
      </c>
      <c r="H3116" t="s">
        <v>13505</v>
      </c>
      <c r="J3116" t="s">
        <v>13506</v>
      </c>
      <c r="L3116" t="s">
        <v>83</v>
      </c>
      <c r="M3116" t="s">
        <v>75</v>
      </c>
      <c r="R3116" t="s">
        <v>18025</v>
      </c>
      <c r="W3116" t="s">
        <v>18024</v>
      </c>
      <c r="X3116" t="s">
        <v>18026</v>
      </c>
      <c r="Y3116" t="s">
        <v>87</v>
      </c>
      <c r="Z3116" t="s">
        <v>77</v>
      </c>
      <c r="AA3116" t="str">
        <f>"11201-5493"</f>
        <v>11201-5493</v>
      </c>
      <c r="AB3116" t="s">
        <v>78</v>
      </c>
      <c r="AC3116" t="s">
        <v>79</v>
      </c>
      <c r="AD3116" t="s">
        <v>75</v>
      </c>
      <c r="AE3116" t="s">
        <v>80</v>
      </c>
      <c r="AG3116" t="s">
        <v>81</v>
      </c>
    </row>
    <row r="3117" spans="1:33" x14ac:dyDescent="0.25">
      <c r="A3117" t="str">
        <f>"1497979751"</f>
        <v>1497979751</v>
      </c>
      <c r="B3117" t="str">
        <f>"00736732"</f>
        <v>00736732</v>
      </c>
      <c r="C3117" t="s">
        <v>18027</v>
      </c>
      <c r="D3117" t="s">
        <v>18028</v>
      </c>
      <c r="E3117" t="s">
        <v>18029</v>
      </c>
      <c r="G3117" t="s">
        <v>13504</v>
      </c>
      <c r="H3117" t="s">
        <v>13505</v>
      </c>
      <c r="J3117" t="s">
        <v>13506</v>
      </c>
      <c r="L3117" t="s">
        <v>84</v>
      </c>
      <c r="M3117" t="s">
        <v>75</v>
      </c>
      <c r="R3117" t="s">
        <v>18030</v>
      </c>
      <c r="W3117" t="s">
        <v>18029</v>
      </c>
      <c r="X3117" t="s">
        <v>18031</v>
      </c>
      <c r="Y3117" t="s">
        <v>87</v>
      </c>
      <c r="Z3117" t="s">
        <v>77</v>
      </c>
      <c r="AA3117" t="str">
        <f>"11234-6703"</f>
        <v>11234-6703</v>
      </c>
      <c r="AB3117" t="s">
        <v>78</v>
      </c>
      <c r="AC3117" t="s">
        <v>79</v>
      </c>
      <c r="AD3117" t="s">
        <v>75</v>
      </c>
      <c r="AE3117" t="s">
        <v>80</v>
      </c>
      <c r="AG3117" t="s">
        <v>81</v>
      </c>
    </row>
    <row r="3118" spans="1:33" x14ac:dyDescent="0.25">
      <c r="A3118" t="str">
        <f>"1801901327"</f>
        <v>1801901327</v>
      </c>
      <c r="B3118" t="str">
        <f>"00561546"</f>
        <v>00561546</v>
      </c>
      <c r="C3118" t="s">
        <v>18032</v>
      </c>
      <c r="D3118" t="s">
        <v>18033</v>
      </c>
      <c r="E3118" t="s">
        <v>18034</v>
      </c>
      <c r="G3118" t="s">
        <v>13504</v>
      </c>
      <c r="H3118" t="s">
        <v>13505</v>
      </c>
      <c r="J3118" t="s">
        <v>13506</v>
      </c>
      <c r="L3118" t="s">
        <v>84</v>
      </c>
      <c r="M3118" t="s">
        <v>85</v>
      </c>
      <c r="R3118" t="s">
        <v>18035</v>
      </c>
      <c r="W3118" t="s">
        <v>18034</v>
      </c>
      <c r="X3118" t="s">
        <v>202</v>
      </c>
      <c r="Y3118" t="s">
        <v>87</v>
      </c>
      <c r="Z3118" t="s">
        <v>77</v>
      </c>
      <c r="AA3118" t="str">
        <f>"11201-5493"</f>
        <v>11201-5493</v>
      </c>
      <c r="AB3118" t="s">
        <v>78</v>
      </c>
      <c r="AC3118" t="s">
        <v>79</v>
      </c>
      <c r="AD3118" t="s">
        <v>75</v>
      </c>
      <c r="AE3118" t="s">
        <v>80</v>
      </c>
      <c r="AG3118" t="s">
        <v>81</v>
      </c>
    </row>
    <row r="3119" spans="1:33" x14ac:dyDescent="0.25">
      <c r="A3119" t="str">
        <f>"1407936321"</f>
        <v>1407936321</v>
      </c>
      <c r="B3119" t="str">
        <f>"01696762"</f>
        <v>01696762</v>
      </c>
      <c r="C3119" t="s">
        <v>18036</v>
      </c>
      <c r="D3119" t="s">
        <v>18037</v>
      </c>
      <c r="E3119" t="s">
        <v>18038</v>
      </c>
      <c r="G3119" t="s">
        <v>14449</v>
      </c>
      <c r="H3119" t="s">
        <v>14450</v>
      </c>
      <c r="L3119" t="s">
        <v>105</v>
      </c>
      <c r="M3119" t="s">
        <v>75</v>
      </c>
      <c r="R3119" t="s">
        <v>18039</v>
      </c>
      <c r="W3119" t="s">
        <v>18038</v>
      </c>
      <c r="X3119" t="s">
        <v>18038</v>
      </c>
      <c r="Y3119" t="s">
        <v>91</v>
      </c>
      <c r="Z3119" t="s">
        <v>77</v>
      </c>
      <c r="AA3119" t="str">
        <f>"11373"</f>
        <v>11373</v>
      </c>
      <c r="AB3119" t="s">
        <v>78</v>
      </c>
      <c r="AC3119" t="s">
        <v>79</v>
      </c>
      <c r="AD3119" t="s">
        <v>75</v>
      </c>
      <c r="AE3119" t="s">
        <v>80</v>
      </c>
      <c r="AG3119" t="s">
        <v>81</v>
      </c>
    </row>
    <row r="3120" spans="1:33" x14ac:dyDescent="0.25">
      <c r="A3120" t="str">
        <f>"1780020669"</f>
        <v>1780020669</v>
      </c>
      <c r="C3120" t="s">
        <v>18040</v>
      </c>
      <c r="G3120" t="s">
        <v>14449</v>
      </c>
      <c r="H3120" t="s">
        <v>14450</v>
      </c>
      <c r="K3120" t="s">
        <v>99</v>
      </c>
      <c r="L3120" t="s">
        <v>74</v>
      </c>
      <c r="M3120" t="s">
        <v>75</v>
      </c>
      <c r="R3120" t="s">
        <v>18041</v>
      </c>
      <c r="S3120" t="s">
        <v>3743</v>
      </c>
      <c r="T3120" t="s">
        <v>97</v>
      </c>
      <c r="U3120" t="s">
        <v>77</v>
      </c>
      <c r="V3120" t="str">
        <f>"100114401"</f>
        <v>100114401</v>
      </c>
      <c r="AC3120" t="s">
        <v>79</v>
      </c>
      <c r="AD3120" t="s">
        <v>75</v>
      </c>
      <c r="AE3120" t="s">
        <v>103</v>
      </c>
      <c r="AG3120" t="s">
        <v>81</v>
      </c>
    </row>
    <row r="3121" spans="1:33" x14ac:dyDescent="0.25">
      <c r="A3121" t="str">
        <f>"1922092063"</f>
        <v>1922092063</v>
      </c>
      <c r="B3121" t="str">
        <f>"00500541"</f>
        <v>00500541</v>
      </c>
      <c r="C3121" t="s">
        <v>18042</v>
      </c>
      <c r="D3121" t="s">
        <v>18043</v>
      </c>
      <c r="E3121" t="s">
        <v>18044</v>
      </c>
      <c r="G3121" t="s">
        <v>13504</v>
      </c>
      <c r="H3121" t="s">
        <v>13505</v>
      </c>
      <c r="J3121" t="s">
        <v>13506</v>
      </c>
      <c r="L3121" t="s">
        <v>74</v>
      </c>
      <c r="M3121" t="s">
        <v>85</v>
      </c>
      <c r="R3121" t="s">
        <v>18045</v>
      </c>
      <c r="W3121" t="s">
        <v>18044</v>
      </c>
      <c r="X3121" t="s">
        <v>18046</v>
      </c>
      <c r="Y3121" t="s">
        <v>87</v>
      </c>
      <c r="Z3121" t="s">
        <v>77</v>
      </c>
      <c r="AA3121" t="str">
        <f>"11203-2098"</f>
        <v>11203-2098</v>
      </c>
      <c r="AB3121" t="s">
        <v>78</v>
      </c>
      <c r="AC3121" t="s">
        <v>79</v>
      </c>
      <c r="AD3121" t="s">
        <v>75</v>
      </c>
      <c r="AE3121" t="s">
        <v>80</v>
      </c>
      <c r="AG3121" t="s">
        <v>81</v>
      </c>
    </row>
    <row r="3122" spans="1:33" x14ac:dyDescent="0.25">
      <c r="A3122" t="str">
        <f>"1629092119"</f>
        <v>1629092119</v>
      </c>
      <c r="B3122" t="str">
        <f>"00465485"</f>
        <v>00465485</v>
      </c>
      <c r="C3122" t="s">
        <v>18047</v>
      </c>
      <c r="D3122" t="s">
        <v>18048</v>
      </c>
      <c r="E3122" t="s">
        <v>18049</v>
      </c>
      <c r="G3122" t="s">
        <v>13504</v>
      </c>
      <c r="H3122" t="s">
        <v>13505</v>
      </c>
      <c r="J3122" t="s">
        <v>13506</v>
      </c>
      <c r="L3122" t="s">
        <v>84</v>
      </c>
      <c r="M3122" t="s">
        <v>85</v>
      </c>
      <c r="R3122" t="s">
        <v>18050</v>
      </c>
      <c r="W3122" t="s">
        <v>18049</v>
      </c>
      <c r="X3122" t="s">
        <v>18051</v>
      </c>
      <c r="Y3122" t="s">
        <v>87</v>
      </c>
      <c r="Z3122" t="s">
        <v>77</v>
      </c>
      <c r="AA3122" t="str">
        <f>"11203-2056"</f>
        <v>11203-2056</v>
      </c>
      <c r="AB3122" t="s">
        <v>78</v>
      </c>
      <c r="AC3122" t="s">
        <v>79</v>
      </c>
      <c r="AD3122" t="s">
        <v>75</v>
      </c>
      <c r="AE3122" t="s">
        <v>80</v>
      </c>
      <c r="AG3122" t="s">
        <v>81</v>
      </c>
    </row>
    <row r="3123" spans="1:33" x14ac:dyDescent="0.25">
      <c r="A3123" t="str">
        <f>"1285838011"</f>
        <v>1285838011</v>
      </c>
      <c r="C3123" t="s">
        <v>18052</v>
      </c>
      <c r="G3123" t="s">
        <v>7218</v>
      </c>
      <c r="H3123" t="s">
        <v>6801</v>
      </c>
      <c r="I3123">
        <v>6136</v>
      </c>
      <c r="J3123" t="s">
        <v>7219</v>
      </c>
      <c r="K3123" t="s">
        <v>99</v>
      </c>
      <c r="L3123" t="s">
        <v>74</v>
      </c>
      <c r="M3123" t="s">
        <v>75</v>
      </c>
      <c r="R3123" t="s">
        <v>18053</v>
      </c>
      <c r="S3123" t="s">
        <v>6229</v>
      </c>
      <c r="T3123" t="s">
        <v>97</v>
      </c>
      <c r="U3123" t="s">
        <v>77</v>
      </c>
      <c r="V3123" t="str">
        <f>"100012320"</f>
        <v>100012320</v>
      </c>
      <c r="AC3123" t="s">
        <v>79</v>
      </c>
      <c r="AD3123" t="s">
        <v>75</v>
      </c>
      <c r="AE3123" t="s">
        <v>103</v>
      </c>
      <c r="AG3123" t="s">
        <v>81</v>
      </c>
    </row>
    <row r="3124" spans="1:33" x14ac:dyDescent="0.25">
      <c r="A3124" t="str">
        <f>"1215939012"</f>
        <v>1215939012</v>
      </c>
      <c r="B3124" t="str">
        <f>"00896066"</f>
        <v>00896066</v>
      </c>
      <c r="C3124" t="s">
        <v>13436</v>
      </c>
      <c r="D3124" t="s">
        <v>18054</v>
      </c>
      <c r="E3124" t="s">
        <v>18055</v>
      </c>
      <c r="G3124" t="s">
        <v>18056</v>
      </c>
      <c r="L3124" t="s">
        <v>74</v>
      </c>
      <c r="M3124" t="s">
        <v>75</v>
      </c>
      <c r="R3124" t="s">
        <v>18057</v>
      </c>
      <c r="W3124" t="s">
        <v>18055</v>
      </c>
      <c r="X3124" t="s">
        <v>823</v>
      </c>
      <c r="Y3124" t="s">
        <v>97</v>
      </c>
      <c r="Z3124" t="s">
        <v>77</v>
      </c>
      <c r="AA3124" t="str">
        <f>"10019"</f>
        <v>10019</v>
      </c>
      <c r="AB3124" t="s">
        <v>78</v>
      </c>
      <c r="AC3124" t="s">
        <v>79</v>
      </c>
      <c r="AD3124" t="s">
        <v>75</v>
      </c>
      <c r="AE3124" t="s">
        <v>80</v>
      </c>
      <c r="AG3124" t="s">
        <v>81</v>
      </c>
    </row>
    <row r="3125" spans="1:33" x14ac:dyDescent="0.25">
      <c r="A3125" t="str">
        <f>"1255407300"</f>
        <v>1255407300</v>
      </c>
      <c r="B3125" t="str">
        <f>"00796790"</f>
        <v>00796790</v>
      </c>
      <c r="C3125" t="s">
        <v>18058</v>
      </c>
      <c r="D3125" t="s">
        <v>4932</v>
      </c>
      <c r="E3125" t="s">
        <v>4933</v>
      </c>
      <c r="G3125" t="s">
        <v>18058</v>
      </c>
      <c r="H3125" t="s">
        <v>18059</v>
      </c>
      <c r="J3125" t="s">
        <v>18060</v>
      </c>
      <c r="L3125" t="s">
        <v>83</v>
      </c>
      <c r="M3125" t="s">
        <v>75</v>
      </c>
      <c r="R3125" t="s">
        <v>4934</v>
      </c>
      <c r="W3125" t="s">
        <v>4933</v>
      </c>
      <c r="X3125" t="s">
        <v>4935</v>
      </c>
      <c r="Y3125" t="s">
        <v>97</v>
      </c>
      <c r="Z3125" t="s">
        <v>77</v>
      </c>
      <c r="AA3125" t="str">
        <f>"10027-6300"</f>
        <v>10027-6300</v>
      </c>
      <c r="AB3125" t="s">
        <v>78</v>
      </c>
      <c r="AC3125" t="s">
        <v>79</v>
      </c>
      <c r="AD3125" t="s">
        <v>75</v>
      </c>
      <c r="AE3125" t="s">
        <v>80</v>
      </c>
      <c r="AG3125" t="s">
        <v>81</v>
      </c>
    </row>
    <row r="3126" spans="1:33" x14ac:dyDescent="0.25">
      <c r="A3126" t="str">
        <f>"1558479535"</f>
        <v>1558479535</v>
      </c>
      <c r="B3126" t="str">
        <f>"02386538"</f>
        <v>02386538</v>
      </c>
      <c r="C3126" t="s">
        <v>18061</v>
      </c>
      <c r="D3126" t="s">
        <v>18062</v>
      </c>
      <c r="E3126" t="s">
        <v>18063</v>
      </c>
      <c r="G3126" t="s">
        <v>18061</v>
      </c>
      <c r="H3126" t="s">
        <v>5739</v>
      </c>
      <c r="J3126" t="s">
        <v>18064</v>
      </c>
      <c r="L3126" t="s">
        <v>105</v>
      </c>
      <c r="M3126" t="s">
        <v>75</v>
      </c>
      <c r="R3126" t="s">
        <v>18065</v>
      </c>
      <c r="W3126" t="s">
        <v>18063</v>
      </c>
      <c r="X3126" t="s">
        <v>18066</v>
      </c>
      <c r="Y3126" t="s">
        <v>97</v>
      </c>
      <c r="Z3126" t="s">
        <v>77</v>
      </c>
      <c r="AA3126" t="str">
        <f>"10011-8305"</f>
        <v>10011-8305</v>
      </c>
      <c r="AB3126" t="s">
        <v>78</v>
      </c>
      <c r="AC3126" t="s">
        <v>79</v>
      </c>
      <c r="AD3126" t="s">
        <v>75</v>
      </c>
      <c r="AE3126" t="s">
        <v>80</v>
      </c>
      <c r="AG3126" t="s">
        <v>81</v>
      </c>
    </row>
    <row r="3127" spans="1:33" x14ac:dyDescent="0.25">
      <c r="A3127" t="str">
        <f>"1396728895"</f>
        <v>1396728895</v>
      </c>
      <c r="B3127" t="str">
        <f>"01292424"</f>
        <v>01292424</v>
      </c>
      <c r="C3127" t="s">
        <v>18067</v>
      </c>
      <c r="D3127" t="s">
        <v>4657</v>
      </c>
      <c r="E3127" t="s">
        <v>4658</v>
      </c>
      <c r="G3127" t="s">
        <v>18067</v>
      </c>
      <c r="H3127" t="s">
        <v>18068</v>
      </c>
      <c r="J3127" t="s">
        <v>18069</v>
      </c>
      <c r="L3127" t="s">
        <v>84</v>
      </c>
      <c r="M3127" t="s">
        <v>85</v>
      </c>
      <c r="R3127" t="s">
        <v>4659</v>
      </c>
      <c r="W3127" t="s">
        <v>4660</v>
      </c>
      <c r="X3127" t="s">
        <v>4661</v>
      </c>
      <c r="Y3127" t="s">
        <v>131</v>
      </c>
      <c r="Z3127" t="s">
        <v>77</v>
      </c>
      <c r="AA3127" t="str">
        <f>"10467-1005"</f>
        <v>10467-1005</v>
      </c>
      <c r="AB3127" t="s">
        <v>78</v>
      </c>
      <c r="AC3127" t="s">
        <v>79</v>
      </c>
      <c r="AD3127" t="s">
        <v>75</v>
      </c>
      <c r="AE3127" t="s">
        <v>80</v>
      </c>
      <c r="AG3127" t="s">
        <v>81</v>
      </c>
    </row>
    <row r="3128" spans="1:33" x14ac:dyDescent="0.25">
      <c r="C3128" t="s">
        <v>18070</v>
      </c>
      <c r="G3128" t="s">
        <v>18070</v>
      </c>
      <c r="H3128" t="s">
        <v>18071</v>
      </c>
      <c r="J3128" t="s">
        <v>18072</v>
      </c>
      <c r="K3128" t="s">
        <v>206</v>
      </c>
      <c r="L3128" t="s">
        <v>100</v>
      </c>
      <c r="M3128" t="s">
        <v>75</v>
      </c>
      <c r="N3128" t="s">
        <v>18073</v>
      </c>
      <c r="O3128" t="s">
        <v>6410</v>
      </c>
      <c r="P3128" t="s">
        <v>77</v>
      </c>
      <c r="Q3128" t="str">
        <f>"10029"</f>
        <v>10029</v>
      </c>
      <c r="AC3128" t="s">
        <v>79</v>
      </c>
      <c r="AD3128" t="s">
        <v>75</v>
      </c>
      <c r="AE3128" t="s">
        <v>101</v>
      </c>
      <c r="AG3128" t="s">
        <v>81</v>
      </c>
    </row>
    <row r="3129" spans="1:33" x14ac:dyDescent="0.25">
      <c r="A3129" t="str">
        <f>"1003234154"</f>
        <v>1003234154</v>
      </c>
      <c r="C3129" t="s">
        <v>13436</v>
      </c>
      <c r="K3129" t="s">
        <v>99</v>
      </c>
      <c r="L3129" t="s">
        <v>102</v>
      </c>
      <c r="M3129" t="s">
        <v>75</v>
      </c>
      <c r="R3129" t="s">
        <v>18074</v>
      </c>
      <c r="S3129" t="s">
        <v>18075</v>
      </c>
      <c r="T3129" t="s">
        <v>10690</v>
      </c>
      <c r="U3129" t="s">
        <v>77</v>
      </c>
      <c r="V3129" t="str">
        <f>"110401013"</f>
        <v>110401013</v>
      </c>
      <c r="AC3129" t="s">
        <v>79</v>
      </c>
      <c r="AD3129" t="s">
        <v>75</v>
      </c>
      <c r="AE3129" t="s">
        <v>103</v>
      </c>
      <c r="AG3129" t="s">
        <v>81</v>
      </c>
    </row>
    <row r="3130" spans="1:33" x14ac:dyDescent="0.25">
      <c r="A3130" t="str">
        <f>"1831304914"</f>
        <v>1831304914</v>
      </c>
      <c r="B3130" t="str">
        <f>"03729935"</f>
        <v>03729935</v>
      </c>
      <c r="C3130" t="s">
        <v>18076</v>
      </c>
      <c r="D3130" t="s">
        <v>5088</v>
      </c>
      <c r="E3130" t="s">
        <v>5089</v>
      </c>
      <c r="G3130" t="s">
        <v>7218</v>
      </c>
      <c r="H3130" t="s">
        <v>6801</v>
      </c>
      <c r="I3130">
        <v>6136</v>
      </c>
      <c r="J3130" t="s">
        <v>7219</v>
      </c>
      <c r="L3130" t="s">
        <v>74</v>
      </c>
      <c r="M3130" t="s">
        <v>75</v>
      </c>
      <c r="R3130" t="s">
        <v>5089</v>
      </c>
      <c r="W3130" t="s">
        <v>5089</v>
      </c>
      <c r="X3130" t="s">
        <v>2997</v>
      </c>
      <c r="Y3130" t="s">
        <v>87</v>
      </c>
      <c r="Z3130" t="s">
        <v>77</v>
      </c>
      <c r="AA3130" t="str">
        <f>"11201-4333"</f>
        <v>11201-4333</v>
      </c>
      <c r="AB3130" t="s">
        <v>109</v>
      </c>
      <c r="AC3130" t="s">
        <v>79</v>
      </c>
      <c r="AD3130" t="s">
        <v>75</v>
      </c>
      <c r="AE3130" t="s">
        <v>80</v>
      </c>
      <c r="AG3130" t="s">
        <v>81</v>
      </c>
    </row>
    <row r="3131" spans="1:33" x14ac:dyDescent="0.25">
      <c r="A3131" t="str">
        <f>"1831331610"</f>
        <v>1831331610</v>
      </c>
      <c r="B3131" t="str">
        <f>"04308985"</f>
        <v>04308985</v>
      </c>
      <c r="C3131" t="s">
        <v>18077</v>
      </c>
      <c r="D3131" t="s">
        <v>18078</v>
      </c>
      <c r="E3131" t="s">
        <v>18079</v>
      </c>
      <c r="G3131" t="s">
        <v>7218</v>
      </c>
      <c r="H3131" t="s">
        <v>6801</v>
      </c>
      <c r="I3131">
        <v>6136</v>
      </c>
      <c r="J3131" t="s">
        <v>7219</v>
      </c>
      <c r="L3131" t="s">
        <v>83</v>
      </c>
      <c r="M3131" t="s">
        <v>75</v>
      </c>
      <c r="R3131" t="s">
        <v>18080</v>
      </c>
      <c r="W3131" t="s">
        <v>18079</v>
      </c>
      <c r="X3131" t="s">
        <v>86</v>
      </c>
      <c r="Y3131" t="s">
        <v>87</v>
      </c>
      <c r="Z3131" t="s">
        <v>77</v>
      </c>
      <c r="AA3131" t="str">
        <f>"11220-2508"</f>
        <v>11220-2508</v>
      </c>
      <c r="AB3131" t="s">
        <v>125</v>
      </c>
      <c r="AC3131" t="s">
        <v>79</v>
      </c>
      <c r="AD3131" t="s">
        <v>75</v>
      </c>
      <c r="AE3131" t="s">
        <v>80</v>
      </c>
      <c r="AG3131" t="s">
        <v>81</v>
      </c>
    </row>
    <row r="3132" spans="1:33" x14ac:dyDescent="0.25">
      <c r="A3132" t="str">
        <f>"1508827114"</f>
        <v>1508827114</v>
      </c>
      <c r="B3132" t="str">
        <f>"01140454"</f>
        <v>01140454</v>
      </c>
      <c r="C3132" t="s">
        <v>13436</v>
      </c>
      <c r="D3132" t="s">
        <v>18081</v>
      </c>
      <c r="E3132" t="s">
        <v>18082</v>
      </c>
      <c r="G3132" t="s">
        <v>18083</v>
      </c>
      <c r="L3132" t="s">
        <v>74</v>
      </c>
      <c r="M3132" t="s">
        <v>85</v>
      </c>
      <c r="R3132" t="s">
        <v>18084</v>
      </c>
      <c r="W3132" t="s">
        <v>18085</v>
      </c>
      <c r="X3132" t="s">
        <v>16708</v>
      </c>
      <c r="Y3132" t="s">
        <v>97</v>
      </c>
      <c r="Z3132" t="s">
        <v>77</v>
      </c>
      <c r="AA3132" t="str">
        <f>"10024-5116"</f>
        <v>10024-5116</v>
      </c>
      <c r="AB3132" t="s">
        <v>78</v>
      </c>
      <c r="AC3132" t="s">
        <v>79</v>
      </c>
      <c r="AD3132" t="s">
        <v>75</v>
      </c>
      <c r="AE3132" t="s">
        <v>80</v>
      </c>
      <c r="AG3132" t="s">
        <v>81</v>
      </c>
    </row>
    <row r="3133" spans="1:33" x14ac:dyDescent="0.25">
      <c r="A3133" t="str">
        <f>"1285799775"</f>
        <v>1285799775</v>
      </c>
      <c r="B3133" t="str">
        <f>"03530485"</f>
        <v>03530485</v>
      </c>
      <c r="C3133" t="s">
        <v>18086</v>
      </c>
      <c r="D3133" t="s">
        <v>18087</v>
      </c>
      <c r="E3133" t="s">
        <v>18088</v>
      </c>
      <c r="G3133" t="s">
        <v>7218</v>
      </c>
      <c r="H3133" t="s">
        <v>6801</v>
      </c>
      <c r="I3133">
        <v>6136</v>
      </c>
      <c r="J3133" t="s">
        <v>7219</v>
      </c>
      <c r="L3133" t="s">
        <v>74</v>
      </c>
      <c r="M3133" t="s">
        <v>75</v>
      </c>
      <c r="R3133" t="s">
        <v>18089</v>
      </c>
      <c r="W3133" t="s">
        <v>18088</v>
      </c>
      <c r="X3133" t="s">
        <v>9151</v>
      </c>
      <c r="Y3133" t="s">
        <v>97</v>
      </c>
      <c r="Z3133" t="s">
        <v>77</v>
      </c>
      <c r="AA3133" t="str">
        <f>"10001-2320"</f>
        <v>10001-2320</v>
      </c>
      <c r="AB3133" t="s">
        <v>125</v>
      </c>
      <c r="AC3133" t="s">
        <v>79</v>
      </c>
      <c r="AD3133" t="s">
        <v>75</v>
      </c>
      <c r="AE3133" t="s">
        <v>80</v>
      </c>
      <c r="AG3133" t="s">
        <v>81</v>
      </c>
    </row>
    <row r="3134" spans="1:33" x14ac:dyDescent="0.25">
      <c r="A3134" t="str">
        <f>"1528051331"</f>
        <v>1528051331</v>
      </c>
      <c r="B3134" t="str">
        <f>"01911751"</f>
        <v>01911751</v>
      </c>
      <c r="C3134" t="s">
        <v>13436</v>
      </c>
      <c r="D3134" t="s">
        <v>18090</v>
      </c>
      <c r="E3134" t="s">
        <v>18091</v>
      </c>
      <c r="G3134" t="s">
        <v>18092</v>
      </c>
      <c r="L3134" t="s">
        <v>84</v>
      </c>
      <c r="M3134" t="s">
        <v>85</v>
      </c>
      <c r="R3134" t="s">
        <v>18093</v>
      </c>
      <c r="W3134" t="s">
        <v>18094</v>
      </c>
      <c r="X3134" t="s">
        <v>200</v>
      </c>
      <c r="Y3134" t="s">
        <v>97</v>
      </c>
      <c r="Z3134" t="s">
        <v>77</v>
      </c>
      <c r="AA3134" t="str">
        <f>"10032-3720"</f>
        <v>10032-3720</v>
      </c>
      <c r="AB3134" t="s">
        <v>78</v>
      </c>
      <c r="AC3134" t="s">
        <v>79</v>
      </c>
      <c r="AD3134" t="s">
        <v>75</v>
      </c>
      <c r="AE3134" t="s">
        <v>80</v>
      </c>
      <c r="AG3134" t="s">
        <v>81</v>
      </c>
    </row>
    <row r="3135" spans="1:33" x14ac:dyDescent="0.25">
      <c r="A3135" t="str">
        <f>"1528084324"</f>
        <v>1528084324</v>
      </c>
      <c r="B3135" t="str">
        <f>"02154938"</f>
        <v>02154938</v>
      </c>
      <c r="C3135" t="s">
        <v>13436</v>
      </c>
      <c r="D3135" t="s">
        <v>18095</v>
      </c>
      <c r="E3135" t="s">
        <v>18096</v>
      </c>
      <c r="G3135" t="s">
        <v>18097</v>
      </c>
      <c r="L3135" t="s">
        <v>84</v>
      </c>
      <c r="M3135" t="s">
        <v>85</v>
      </c>
      <c r="R3135" t="s">
        <v>18098</v>
      </c>
      <c r="W3135" t="s">
        <v>18096</v>
      </c>
      <c r="X3135" t="s">
        <v>18099</v>
      </c>
      <c r="Y3135" t="s">
        <v>97</v>
      </c>
      <c r="Z3135" t="s">
        <v>77</v>
      </c>
      <c r="AA3135" t="str">
        <f>"10025-1716"</f>
        <v>10025-1716</v>
      </c>
      <c r="AB3135" t="s">
        <v>78</v>
      </c>
      <c r="AC3135" t="s">
        <v>79</v>
      </c>
      <c r="AD3135" t="s">
        <v>75</v>
      </c>
      <c r="AE3135" t="s">
        <v>80</v>
      </c>
      <c r="AG3135" t="s">
        <v>81</v>
      </c>
    </row>
    <row r="3136" spans="1:33" x14ac:dyDescent="0.25">
      <c r="A3136" t="str">
        <f>"1538121744"</f>
        <v>1538121744</v>
      </c>
      <c r="B3136" t="str">
        <f>"01196556"</f>
        <v>01196556</v>
      </c>
      <c r="C3136" t="s">
        <v>13436</v>
      </c>
      <c r="D3136" t="s">
        <v>18100</v>
      </c>
      <c r="E3136" t="s">
        <v>18101</v>
      </c>
      <c r="G3136" t="s">
        <v>18102</v>
      </c>
      <c r="L3136" t="s">
        <v>74</v>
      </c>
      <c r="M3136" t="s">
        <v>85</v>
      </c>
      <c r="R3136" t="s">
        <v>18103</v>
      </c>
      <c r="W3136" t="s">
        <v>18101</v>
      </c>
      <c r="AB3136" t="s">
        <v>78</v>
      </c>
      <c r="AC3136" t="s">
        <v>79</v>
      </c>
      <c r="AD3136" t="s">
        <v>75</v>
      </c>
      <c r="AE3136" t="s">
        <v>80</v>
      </c>
      <c r="AG3136" t="s">
        <v>81</v>
      </c>
    </row>
    <row r="3137" spans="1:33" x14ac:dyDescent="0.25">
      <c r="A3137" t="str">
        <f>"1538191655"</f>
        <v>1538191655</v>
      </c>
      <c r="B3137" t="str">
        <f>"02583159"</f>
        <v>02583159</v>
      </c>
      <c r="C3137" t="s">
        <v>13436</v>
      </c>
      <c r="D3137" t="s">
        <v>18104</v>
      </c>
      <c r="E3137" t="s">
        <v>18105</v>
      </c>
      <c r="G3137" t="s">
        <v>18106</v>
      </c>
      <c r="L3137" t="s">
        <v>84</v>
      </c>
      <c r="M3137" t="s">
        <v>85</v>
      </c>
      <c r="R3137" t="s">
        <v>18107</v>
      </c>
      <c r="W3137" t="s">
        <v>18108</v>
      </c>
      <c r="X3137" t="s">
        <v>18109</v>
      </c>
      <c r="Y3137" t="s">
        <v>97</v>
      </c>
      <c r="Z3137" t="s">
        <v>77</v>
      </c>
      <c r="AA3137" t="str">
        <f>"10003-0000"</f>
        <v>10003-0000</v>
      </c>
      <c r="AB3137" t="s">
        <v>78</v>
      </c>
      <c r="AC3137" t="s">
        <v>79</v>
      </c>
      <c r="AD3137" t="s">
        <v>75</v>
      </c>
      <c r="AE3137" t="s">
        <v>80</v>
      </c>
      <c r="AG3137" t="s">
        <v>81</v>
      </c>
    </row>
    <row r="3138" spans="1:33" x14ac:dyDescent="0.25">
      <c r="A3138" t="str">
        <f>"1538235239"</f>
        <v>1538235239</v>
      </c>
      <c r="B3138" t="str">
        <f>"00951006"</f>
        <v>00951006</v>
      </c>
      <c r="C3138" t="s">
        <v>13436</v>
      </c>
      <c r="D3138" t="s">
        <v>18110</v>
      </c>
      <c r="E3138" t="s">
        <v>18111</v>
      </c>
      <c r="G3138" t="s">
        <v>18112</v>
      </c>
      <c r="L3138" t="s">
        <v>74</v>
      </c>
      <c r="M3138" t="s">
        <v>85</v>
      </c>
      <c r="R3138" t="s">
        <v>18113</v>
      </c>
      <c r="W3138" t="s">
        <v>18111</v>
      </c>
      <c r="X3138" t="s">
        <v>822</v>
      </c>
      <c r="Y3138" t="s">
        <v>97</v>
      </c>
      <c r="Z3138" t="s">
        <v>77</v>
      </c>
      <c r="AA3138" t="str">
        <f>"10025"</f>
        <v>10025</v>
      </c>
      <c r="AB3138" t="s">
        <v>78</v>
      </c>
      <c r="AC3138" t="s">
        <v>79</v>
      </c>
      <c r="AD3138" t="s">
        <v>75</v>
      </c>
      <c r="AE3138" t="s">
        <v>80</v>
      </c>
      <c r="AG3138" t="s">
        <v>81</v>
      </c>
    </row>
    <row r="3139" spans="1:33" x14ac:dyDescent="0.25">
      <c r="A3139" t="str">
        <f>"1538320536"</f>
        <v>1538320536</v>
      </c>
      <c r="C3139" t="s">
        <v>13436</v>
      </c>
      <c r="G3139" t="s">
        <v>18114</v>
      </c>
      <c r="K3139" t="s">
        <v>99</v>
      </c>
      <c r="L3139" t="s">
        <v>74</v>
      </c>
      <c r="M3139" t="s">
        <v>85</v>
      </c>
      <c r="R3139" t="s">
        <v>18115</v>
      </c>
      <c r="S3139" t="s">
        <v>18116</v>
      </c>
      <c r="T3139" t="s">
        <v>97</v>
      </c>
      <c r="U3139" t="s">
        <v>77</v>
      </c>
      <c r="V3139" t="str">
        <f>"100251716"</f>
        <v>100251716</v>
      </c>
      <c r="AC3139" t="s">
        <v>79</v>
      </c>
      <c r="AD3139" t="s">
        <v>75</v>
      </c>
      <c r="AE3139" t="s">
        <v>103</v>
      </c>
      <c r="AG3139" t="s">
        <v>81</v>
      </c>
    </row>
    <row r="3140" spans="1:33" x14ac:dyDescent="0.25">
      <c r="A3140" t="str">
        <f>"1912080524"</f>
        <v>1912080524</v>
      </c>
      <c r="B3140" t="str">
        <f>"00994147"</f>
        <v>00994147</v>
      </c>
      <c r="C3140" t="s">
        <v>13436</v>
      </c>
      <c r="D3140" t="s">
        <v>18117</v>
      </c>
      <c r="E3140" t="s">
        <v>18118</v>
      </c>
      <c r="G3140" t="s">
        <v>18119</v>
      </c>
      <c r="L3140" t="s">
        <v>84</v>
      </c>
      <c r="M3140" t="s">
        <v>85</v>
      </c>
      <c r="R3140" t="s">
        <v>18120</v>
      </c>
      <c r="W3140" t="s">
        <v>18121</v>
      </c>
      <c r="X3140" t="s">
        <v>18122</v>
      </c>
      <c r="Y3140" t="s">
        <v>97</v>
      </c>
      <c r="Z3140" t="s">
        <v>77</v>
      </c>
      <c r="AA3140" t="str">
        <f>"10028-4714"</f>
        <v>10028-4714</v>
      </c>
      <c r="AB3140" t="s">
        <v>78</v>
      </c>
      <c r="AC3140" t="s">
        <v>79</v>
      </c>
      <c r="AD3140" t="s">
        <v>75</v>
      </c>
      <c r="AE3140" t="s">
        <v>80</v>
      </c>
      <c r="AG3140" t="s">
        <v>81</v>
      </c>
    </row>
    <row r="3141" spans="1:33" x14ac:dyDescent="0.25">
      <c r="A3141" t="str">
        <f>"1003809146"</f>
        <v>1003809146</v>
      </c>
      <c r="B3141" t="str">
        <f>"02329537"</f>
        <v>02329537</v>
      </c>
      <c r="C3141" t="s">
        <v>13436</v>
      </c>
      <c r="D3141" t="s">
        <v>18123</v>
      </c>
      <c r="E3141" t="s">
        <v>18124</v>
      </c>
      <c r="G3141" t="s">
        <v>18125</v>
      </c>
      <c r="L3141" t="s">
        <v>83</v>
      </c>
      <c r="M3141" t="s">
        <v>85</v>
      </c>
      <c r="R3141" t="s">
        <v>18126</v>
      </c>
      <c r="W3141" t="s">
        <v>18124</v>
      </c>
      <c r="X3141" t="s">
        <v>1076</v>
      </c>
      <c r="Y3141" t="s">
        <v>97</v>
      </c>
      <c r="Z3141" t="s">
        <v>77</v>
      </c>
      <c r="AA3141" t="str">
        <f>"10025-1737"</f>
        <v>10025-1737</v>
      </c>
      <c r="AB3141" t="s">
        <v>78</v>
      </c>
      <c r="AC3141" t="s">
        <v>79</v>
      </c>
      <c r="AD3141" t="s">
        <v>75</v>
      </c>
      <c r="AE3141" t="s">
        <v>80</v>
      </c>
      <c r="AG3141" t="s">
        <v>81</v>
      </c>
    </row>
    <row r="3142" spans="1:33" x14ac:dyDescent="0.25">
      <c r="A3142" t="str">
        <f>"1003826363"</f>
        <v>1003826363</v>
      </c>
      <c r="B3142" t="str">
        <f>"02801509"</f>
        <v>02801509</v>
      </c>
      <c r="C3142" t="s">
        <v>13436</v>
      </c>
      <c r="D3142" t="s">
        <v>3229</v>
      </c>
      <c r="E3142" t="s">
        <v>3230</v>
      </c>
      <c r="G3142" t="s">
        <v>18127</v>
      </c>
      <c r="L3142" t="s">
        <v>74</v>
      </c>
      <c r="M3142" t="s">
        <v>85</v>
      </c>
      <c r="R3142" t="s">
        <v>3230</v>
      </c>
      <c r="W3142" t="s">
        <v>3230</v>
      </c>
      <c r="X3142" t="s">
        <v>191</v>
      </c>
      <c r="Y3142" t="s">
        <v>97</v>
      </c>
      <c r="Z3142" t="s">
        <v>77</v>
      </c>
      <c r="AA3142" t="str">
        <f>"10019-1147"</f>
        <v>10019-1147</v>
      </c>
      <c r="AB3142" t="s">
        <v>78</v>
      </c>
      <c r="AC3142" t="s">
        <v>79</v>
      </c>
      <c r="AD3142" t="s">
        <v>75</v>
      </c>
      <c r="AE3142" t="s">
        <v>80</v>
      </c>
      <c r="AG3142" t="s">
        <v>81</v>
      </c>
    </row>
    <row r="3143" spans="1:33" x14ac:dyDescent="0.25">
      <c r="A3143" t="str">
        <f>"1003891474"</f>
        <v>1003891474</v>
      </c>
      <c r="B3143" t="str">
        <f>"00997062"</f>
        <v>00997062</v>
      </c>
      <c r="C3143" t="s">
        <v>13436</v>
      </c>
      <c r="D3143" t="s">
        <v>18128</v>
      </c>
      <c r="E3143" t="s">
        <v>18129</v>
      </c>
      <c r="G3143" t="s">
        <v>18130</v>
      </c>
      <c r="L3143" t="s">
        <v>83</v>
      </c>
      <c r="M3143" t="s">
        <v>85</v>
      </c>
      <c r="R3143" t="s">
        <v>18131</v>
      </c>
      <c r="W3143" t="s">
        <v>18129</v>
      </c>
      <c r="X3143" t="s">
        <v>18132</v>
      </c>
      <c r="Y3143" t="s">
        <v>97</v>
      </c>
      <c r="Z3143" t="s">
        <v>77</v>
      </c>
      <c r="AA3143" t="str">
        <f>"10003"</f>
        <v>10003</v>
      </c>
      <c r="AB3143" t="s">
        <v>78</v>
      </c>
      <c r="AC3143" t="s">
        <v>79</v>
      </c>
      <c r="AD3143" t="s">
        <v>75</v>
      </c>
      <c r="AE3143" t="s">
        <v>80</v>
      </c>
      <c r="AG3143" t="s">
        <v>81</v>
      </c>
    </row>
    <row r="3144" spans="1:33" x14ac:dyDescent="0.25">
      <c r="A3144" t="str">
        <f>"1003897992"</f>
        <v>1003897992</v>
      </c>
      <c r="B3144" t="str">
        <f>"01720438"</f>
        <v>01720438</v>
      </c>
      <c r="C3144" t="s">
        <v>13436</v>
      </c>
      <c r="D3144" t="s">
        <v>18133</v>
      </c>
      <c r="E3144" t="s">
        <v>18134</v>
      </c>
      <c r="G3144" t="s">
        <v>18135</v>
      </c>
      <c r="L3144" t="s">
        <v>83</v>
      </c>
      <c r="M3144" t="s">
        <v>85</v>
      </c>
      <c r="R3144" t="s">
        <v>18136</v>
      </c>
      <c r="W3144" t="s">
        <v>18134</v>
      </c>
      <c r="X3144" t="s">
        <v>18137</v>
      </c>
      <c r="Y3144" t="s">
        <v>97</v>
      </c>
      <c r="Z3144" t="s">
        <v>77</v>
      </c>
      <c r="AA3144" t="str">
        <f>"10003-3314"</f>
        <v>10003-3314</v>
      </c>
      <c r="AB3144" t="s">
        <v>78</v>
      </c>
      <c r="AC3144" t="s">
        <v>79</v>
      </c>
      <c r="AD3144" t="s">
        <v>75</v>
      </c>
      <c r="AE3144" t="s">
        <v>80</v>
      </c>
      <c r="AG3144" t="s">
        <v>81</v>
      </c>
    </row>
    <row r="3145" spans="1:33" x14ac:dyDescent="0.25">
      <c r="A3145" t="str">
        <f>"1003898305"</f>
        <v>1003898305</v>
      </c>
      <c r="B3145" t="str">
        <f>"01101091"</f>
        <v>01101091</v>
      </c>
      <c r="C3145" t="s">
        <v>13436</v>
      </c>
      <c r="D3145" t="s">
        <v>18138</v>
      </c>
      <c r="E3145" t="s">
        <v>18139</v>
      </c>
      <c r="G3145" t="s">
        <v>18140</v>
      </c>
      <c r="L3145" t="s">
        <v>84</v>
      </c>
      <c r="M3145" t="s">
        <v>85</v>
      </c>
      <c r="R3145" t="s">
        <v>18141</v>
      </c>
      <c r="W3145" t="s">
        <v>18139</v>
      </c>
      <c r="X3145" t="s">
        <v>18142</v>
      </c>
      <c r="Y3145" t="s">
        <v>97</v>
      </c>
      <c r="Z3145" t="s">
        <v>77</v>
      </c>
      <c r="AA3145" t="str">
        <f>"10003"</f>
        <v>10003</v>
      </c>
      <c r="AB3145" t="s">
        <v>78</v>
      </c>
      <c r="AC3145" t="s">
        <v>79</v>
      </c>
      <c r="AD3145" t="s">
        <v>75</v>
      </c>
      <c r="AE3145" t="s">
        <v>80</v>
      </c>
      <c r="AG3145" t="s">
        <v>81</v>
      </c>
    </row>
    <row r="3146" spans="1:33" x14ac:dyDescent="0.25">
      <c r="A3146" t="str">
        <f>"1003923038"</f>
        <v>1003923038</v>
      </c>
      <c r="B3146" t="str">
        <f>"01580890"</f>
        <v>01580890</v>
      </c>
      <c r="C3146" t="s">
        <v>13436</v>
      </c>
      <c r="D3146" t="s">
        <v>18143</v>
      </c>
      <c r="E3146" t="s">
        <v>18144</v>
      </c>
      <c r="G3146" t="s">
        <v>18145</v>
      </c>
      <c r="L3146" t="s">
        <v>83</v>
      </c>
      <c r="M3146" t="s">
        <v>85</v>
      </c>
      <c r="R3146" t="s">
        <v>18146</v>
      </c>
      <c r="W3146" t="s">
        <v>18144</v>
      </c>
      <c r="X3146" t="s">
        <v>18147</v>
      </c>
      <c r="Y3146" t="s">
        <v>97</v>
      </c>
      <c r="Z3146" t="s">
        <v>77</v>
      </c>
      <c r="AA3146" t="str">
        <f>"10025-1716"</f>
        <v>10025-1716</v>
      </c>
      <c r="AB3146" t="s">
        <v>78</v>
      </c>
      <c r="AC3146" t="s">
        <v>79</v>
      </c>
      <c r="AD3146" t="s">
        <v>75</v>
      </c>
      <c r="AE3146" t="s">
        <v>80</v>
      </c>
      <c r="AG3146" t="s">
        <v>81</v>
      </c>
    </row>
    <row r="3147" spans="1:33" x14ac:dyDescent="0.25">
      <c r="A3147" t="str">
        <f>"1003999491"</f>
        <v>1003999491</v>
      </c>
      <c r="B3147" t="str">
        <f>"01730203"</f>
        <v>01730203</v>
      </c>
      <c r="C3147" t="s">
        <v>13436</v>
      </c>
      <c r="D3147" t="s">
        <v>18148</v>
      </c>
      <c r="E3147" t="s">
        <v>18149</v>
      </c>
      <c r="G3147" t="s">
        <v>18150</v>
      </c>
      <c r="L3147" t="s">
        <v>83</v>
      </c>
      <c r="M3147" t="s">
        <v>85</v>
      </c>
      <c r="R3147" t="s">
        <v>18151</v>
      </c>
      <c r="W3147" t="s">
        <v>18149</v>
      </c>
      <c r="X3147" t="s">
        <v>18152</v>
      </c>
      <c r="Y3147" t="s">
        <v>97</v>
      </c>
      <c r="Z3147" t="s">
        <v>77</v>
      </c>
      <c r="AA3147" t="str">
        <f>"10065-4870"</f>
        <v>10065-4870</v>
      </c>
      <c r="AB3147" t="s">
        <v>78</v>
      </c>
      <c r="AC3147" t="s">
        <v>79</v>
      </c>
      <c r="AD3147" t="s">
        <v>75</v>
      </c>
      <c r="AE3147" t="s">
        <v>80</v>
      </c>
      <c r="AG3147" t="s">
        <v>81</v>
      </c>
    </row>
    <row r="3148" spans="1:33" x14ac:dyDescent="0.25">
      <c r="A3148" t="str">
        <f>"1013000660"</f>
        <v>1013000660</v>
      </c>
      <c r="B3148" t="str">
        <f>"01872802"</f>
        <v>01872802</v>
      </c>
      <c r="C3148" t="s">
        <v>13436</v>
      </c>
      <c r="D3148" t="s">
        <v>18153</v>
      </c>
      <c r="E3148" t="s">
        <v>18154</v>
      </c>
      <c r="G3148" t="s">
        <v>18155</v>
      </c>
      <c r="L3148" t="s">
        <v>74</v>
      </c>
      <c r="M3148" t="s">
        <v>85</v>
      </c>
      <c r="R3148" t="s">
        <v>18156</v>
      </c>
      <c r="W3148" t="s">
        <v>18154</v>
      </c>
      <c r="X3148" t="s">
        <v>18157</v>
      </c>
      <c r="Y3148" t="s">
        <v>97</v>
      </c>
      <c r="Z3148" t="s">
        <v>77</v>
      </c>
      <c r="AA3148" t="str">
        <f>"10019-1104"</f>
        <v>10019-1104</v>
      </c>
      <c r="AB3148" t="s">
        <v>78</v>
      </c>
      <c r="AC3148" t="s">
        <v>79</v>
      </c>
      <c r="AD3148" t="s">
        <v>75</v>
      </c>
      <c r="AE3148" t="s">
        <v>80</v>
      </c>
      <c r="AG3148" t="s">
        <v>81</v>
      </c>
    </row>
    <row r="3149" spans="1:33" x14ac:dyDescent="0.25">
      <c r="A3149" t="str">
        <f>"1013080738"</f>
        <v>1013080738</v>
      </c>
      <c r="B3149" t="str">
        <f>"01769635"</f>
        <v>01769635</v>
      </c>
      <c r="C3149" t="s">
        <v>13436</v>
      </c>
      <c r="D3149" t="s">
        <v>18158</v>
      </c>
      <c r="E3149" t="s">
        <v>18159</v>
      </c>
      <c r="G3149" t="s">
        <v>18160</v>
      </c>
      <c r="L3149" t="s">
        <v>83</v>
      </c>
      <c r="M3149" t="s">
        <v>85</v>
      </c>
      <c r="R3149" t="s">
        <v>18161</v>
      </c>
      <c r="W3149" t="s">
        <v>18159</v>
      </c>
      <c r="X3149" t="s">
        <v>181</v>
      </c>
      <c r="Y3149" t="s">
        <v>97</v>
      </c>
      <c r="Z3149" t="s">
        <v>77</v>
      </c>
      <c r="AA3149" t="str">
        <f>"10025-1716"</f>
        <v>10025-1716</v>
      </c>
      <c r="AB3149" t="s">
        <v>78</v>
      </c>
      <c r="AC3149" t="s">
        <v>79</v>
      </c>
      <c r="AD3149" t="s">
        <v>75</v>
      </c>
      <c r="AE3149" t="s">
        <v>80</v>
      </c>
      <c r="AG3149" t="s">
        <v>81</v>
      </c>
    </row>
    <row r="3150" spans="1:33" x14ac:dyDescent="0.25">
      <c r="A3150" t="str">
        <f>"1013081363"</f>
        <v>1013081363</v>
      </c>
      <c r="B3150" t="str">
        <f>"01747819"</f>
        <v>01747819</v>
      </c>
      <c r="C3150" t="s">
        <v>13436</v>
      </c>
      <c r="D3150" t="s">
        <v>18162</v>
      </c>
      <c r="E3150" t="s">
        <v>18163</v>
      </c>
      <c r="G3150" t="s">
        <v>18164</v>
      </c>
      <c r="L3150" t="s">
        <v>74</v>
      </c>
      <c r="M3150" t="s">
        <v>85</v>
      </c>
      <c r="R3150" t="s">
        <v>18165</v>
      </c>
      <c r="W3150" t="s">
        <v>18163</v>
      </c>
      <c r="X3150" t="s">
        <v>823</v>
      </c>
      <c r="Y3150" t="s">
        <v>1846</v>
      </c>
      <c r="Z3150" t="s">
        <v>1784</v>
      </c>
      <c r="AA3150" t="str">
        <f>"15213-2584"</f>
        <v>15213-2584</v>
      </c>
      <c r="AB3150" t="s">
        <v>78</v>
      </c>
      <c r="AC3150" t="s">
        <v>79</v>
      </c>
      <c r="AD3150" t="s">
        <v>75</v>
      </c>
      <c r="AE3150" t="s">
        <v>80</v>
      </c>
      <c r="AG3150" t="s">
        <v>81</v>
      </c>
    </row>
    <row r="3151" spans="1:33" x14ac:dyDescent="0.25">
      <c r="A3151" t="str">
        <f>"1013083492"</f>
        <v>1013083492</v>
      </c>
      <c r="B3151" t="str">
        <f>"01348443"</f>
        <v>01348443</v>
      </c>
      <c r="C3151" t="s">
        <v>13436</v>
      </c>
      <c r="D3151" t="s">
        <v>18166</v>
      </c>
      <c r="E3151" t="s">
        <v>18167</v>
      </c>
      <c r="G3151" t="s">
        <v>18168</v>
      </c>
      <c r="L3151" t="s">
        <v>74</v>
      </c>
      <c r="M3151" t="s">
        <v>85</v>
      </c>
      <c r="R3151" t="s">
        <v>18169</v>
      </c>
      <c r="W3151" t="s">
        <v>18167</v>
      </c>
      <c r="X3151" t="s">
        <v>822</v>
      </c>
      <c r="Y3151" t="s">
        <v>97</v>
      </c>
      <c r="Z3151" t="s">
        <v>77</v>
      </c>
      <c r="AA3151" t="str">
        <f>"10025"</f>
        <v>10025</v>
      </c>
      <c r="AB3151" t="s">
        <v>78</v>
      </c>
      <c r="AC3151" t="s">
        <v>79</v>
      </c>
      <c r="AD3151" t="s">
        <v>75</v>
      </c>
      <c r="AE3151" t="s">
        <v>80</v>
      </c>
      <c r="AG3151" t="s">
        <v>81</v>
      </c>
    </row>
    <row r="3152" spans="1:33" x14ac:dyDescent="0.25">
      <c r="A3152" t="str">
        <f>"1013941673"</f>
        <v>1013941673</v>
      </c>
      <c r="B3152" t="str">
        <f>"02065694"</f>
        <v>02065694</v>
      </c>
      <c r="C3152" t="s">
        <v>13436</v>
      </c>
      <c r="D3152" t="s">
        <v>18170</v>
      </c>
      <c r="E3152" t="s">
        <v>18171</v>
      </c>
      <c r="G3152" t="s">
        <v>18172</v>
      </c>
      <c r="L3152" t="s">
        <v>83</v>
      </c>
      <c r="M3152" t="s">
        <v>85</v>
      </c>
      <c r="R3152" t="s">
        <v>18173</v>
      </c>
      <c r="W3152" t="s">
        <v>18171</v>
      </c>
      <c r="X3152" t="s">
        <v>18174</v>
      </c>
      <c r="Y3152" t="s">
        <v>97</v>
      </c>
      <c r="Z3152" t="s">
        <v>77</v>
      </c>
      <c r="AA3152" t="str">
        <f>"10019-1104"</f>
        <v>10019-1104</v>
      </c>
      <c r="AB3152" t="s">
        <v>78</v>
      </c>
      <c r="AC3152" t="s">
        <v>79</v>
      </c>
      <c r="AD3152" t="s">
        <v>75</v>
      </c>
      <c r="AE3152" t="s">
        <v>80</v>
      </c>
      <c r="AG3152" t="s">
        <v>81</v>
      </c>
    </row>
    <row r="3153" spans="1:33" x14ac:dyDescent="0.25">
      <c r="A3153" t="str">
        <f>"1013990449"</f>
        <v>1013990449</v>
      </c>
      <c r="B3153" t="str">
        <f>"02317522"</f>
        <v>02317522</v>
      </c>
      <c r="C3153" t="s">
        <v>13436</v>
      </c>
      <c r="D3153" t="s">
        <v>18175</v>
      </c>
      <c r="E3153" t="s">
        <v>18176</v>
      </c>
      <c r="G3153" t="s">
        <v>18177</v>
      </c>
      <c r="L3153" t="s">
        <v>74</v>
      </c>
      <c r="M3153" t="s">
        <v>85</v>
      </c>
      <c r="R3153" t="s">
        <v>18178</v>
      </c>
      <c r="W3153" t="s">
        <v>18176</v>
      </c>
      <c r="X3153" t="s">
        <v>1076</v>
      </c>
      <c r="Y3153" t="s">
        <v>97</v>
      </c>
      <c r="Z3153" t="s">
        <v>77</v>
      </c>
      <c r="AA3153" t="str">
        <f>"10025-1737"</f>
        <v>10025-1737</v>
      </c>
      <c r="AB3153" t="s">
        <v>78</v>
      </c>
      <c r="AC3153" t="s">
        <v>79</v>
      </c>
      <c r="AD3153" t="s">
        <v>75</v>
      </c>
      <c r="AE3153" t="s">
        <v>80</v>
      </c>
      <c r="AG3153" t="s">
        <v>81</v>
      </c>
    </row>
    <row r="3154" spans="1:33" x14ac:dyDescent="0.25">
      <c r="A3154" t="str">
        <f>"1013995760"</f>
        <v>1013995760</v>
      </c>
      <c r="B3154" t="str">
        <f>"01628591"</f>
        <v>01628591</v>
      </c>
      <c r="C3154" t="s">
        <v>13436</v>
      </c>
      <c r="D3154" t="s">
        <v>18179</v>
      </c>
      <c r="E3154" t="s">
        <v>18180</v>
      </c>
      <c r="G3154" t="s">
        <v>18181</v>
      </c>
      <c r="L3154" t="s">
        <v>74</v>
      </c>
      <c r="M3154" t="s">
        <v>85</v>
      </c>
      <c r="R3154" t="s">
        <v>18182</v>
      </c>
      <c r="W3154" t="s">
        <v>18180</v>
      </c>
      <c r="X3154" t="s">
        <v>14871</v>
      </c>
      <c r="Y3154" t="s">
        <v>97</v>
      </c>
      <c r="Z3154" t="s">
        <v>77</v>
      </c>
      <c r="AA3154" t="str">
        <f>"10003"</f>
        <v>10003</v>
      </c>
      <c r="AB3154" t="s">
        <v>78</v>
      </c>
      <c r="AC3154" t="s">
        <v>79</v>
      </c>
      <c r="AD3154" t="s">
        <v>75</v>
      </c>
      <c r="AE3154" t="s">
        <v>80</v>
      </c>
      <c r="AG3154" t="s">
        <v>81</v>
      </c>
    </row>
    <row r="3155" spans="1:33" x14ac:dyDescent="0.25">
      <c r="A3155" t="str">
        <f>"1508843269"</f>
        <v>1508843269</v>
      </c>
      <c r="B3155" t="str">
        <f>"01402331"</f>
        <v>01402331</v>
      </c>
      <c r="C3155" t="s">
        <v>13436</v>
      </c>
      <c r="D3155" t="s">
        <v>18183</v>
      </c>
      <c r="E3155" t="s">
        <v>18184</v>
      </c>
      <c r="G3155" t="s">
        <v>18185</v>
      </c>
      <c r="L3155" t="s">
        <v>83</v>
      </c>
      <c r="M3155" t="s">
        <v>85</v>
      </c>
      <c r="R3155" t="s">
        <v>18186</v>
      </c>
      <c r="W3155" t="s">
        <v>18184</v>
      </c>
      <c r="X3155" t="s">
        <v>181</v>
      </c>
      <c r="Y3155" t="s">
        <v>97</v>
      </c>
      <c r="Z3155" t="s">
        <v>77</v>
      </c>
      <c r="AA3155" t="str">
        <f>"10025-1716"</f>
        <v>10025-1716</v>
      </c>
      <c r="AB3155" t="s">
        <v>78</v>
      </c>
      <c r="AC3155" t="s">
        <v>79</v>
      </c>
      <c r="AD3155" t="s">
        <v>75</v>
      </c>
      <c r="AE3155" t="s">
        <v>80</v>
      </c>
      <c r="AG3155" t="s">
        <v>81</v>
      </c>
    </row>
    <row r="3156" spans="1:33" x14ac:dyDescent="0.25">
      <c r="A3156" t="str">
        <f>"1508857855"</f>
        <v>1508857855</v>
      </c>
      <c r="B3156" t="str">
        <f>"02567233"</f>
        <v>02567233</v>
      </c>
      <c r="C3156" t="s">
        <v>13436</v>
      </c>
      <c r="D3156" t="s">
        <v>18187</v>
      </c>
      <c r="E3156" t="s">
        <v>18188</v>
      </c>
      <c r="G3156" t="s">
        <v>18189</v>
      </c>
      <c r="L3156" t="s">
        <v>74</v>
      </c>
      <c r="M3156" t="s">
        <v>85</v>
      </c>
      <c r="R3156" t="s">
        <v>18190</v>
      </c>
      <c r="W3156" t="s">
        <v>18188</v>
      </c>
      <c r="X3156" t="s">
        <v>2587</v>
      </c>
      <c r="Y3156" t="s">
        <v>97</v>
      </c>
      <c r="Z3156" t="s">
        <v>77</v>
      </c>
      <c r="AA3156" t="str">
        <f>"10003-3314"</f>
        <v>10003-3314</v>
      </c>
      <c r="AB3156" t="s">
        <v>78</v>
      </c>
      <c r="AC3156" t="s">
        <v>79</v>
      </c>
      <c r="AD3156" t="s">
        <v>75</v>
      </c>
      <c r="AE3156" t="s">
        <v>80</v>
      </c>
      <c r="AG3156" t="s">
        <v>81</v>
      </c>
    </row>
    <row r="3157" spans="1:33" x14ac:dyDescent="0.25">
      <c r="A3157" t="str">
        <f>"1508898040"</f>
        <v>1508898040</v>
      </c>
      <c r="B3157" t="str">
        <f>"01860104"</f>
        <v>01860104</v>
      </c>
      <c r="C3157" t="s">
        <v>13436</v>
      </c>
      <c r="D3157" t="s">
        <v>18191</v>
      </c>
      <c r="E3157" t="s">
        <v>18192</v>
      </c>
      <c r="G3157" t="s">
        <v>18193</v>
      </c>
      <c r="L3157" t="s">
        <v>105</v>
      </c>
      <c r="M3157" t="s">
        <v>85</v>
      </c>
      <c r="R3157" t="s">
        <v>18194</v>
      </c>
      <c r="W3157" t="s">
        <v>18192</v>
      </c>
      <c r="X3157" t="s">
        <v>5307</v>
      </c>
      <c r="Y3157" t="s">
        <v>97</v>
      </c>
      <c r="Z3157" t="s">
        <v>77</v>
      </c>
      <c r="AA3157" t="str">
        <f>"10003"</f>
        <v>10003</v>
      </c>
      <c r="AB3157" t="s">
        <v>78</v>
      </c>
      <c r="AC3157" t="s">
        <v>79</v>
      </c>
      <c r="AD3157" t="s">
        <v>75</v>
      </c>
      <c r="AE3157" t="s">
        <v>80</v>
      </c>
      <c r="AG3157" t="s">
        <v>81</v>
      </c>
    </row>
    <row r="3158" spans="1:33" x14ac:dyDescent="0.25">
      <c r="A3158" t="str">
        <f>"1508950163"</f>
        <v>1508950163</v>
      </c>
      <c r="B3158" t="str">
        <f>"01833912"</f>
        <v>01833912</v>
      </c>
      <c r="C3158" t="s">
        <v>13436</v>
      </c>
      <c r="D3158" t="s">
        <v>18195</v>
      </c>
      <c r="E3158" t="s">
        <v>18196</v>
      </c>
      <c r="G3158" t="s">
        <v>18197</v>
      </c>
      <c r="L3158" t="s">
        <v>74</v>
      </c>
      <c r="M3158" t="s">
        <v>85</v>
      </c>
      <c r="R3158" t="s">
        <v>18198</v>
      </c>
      <c r="W3158" t="s">
        <v>18196</v>
      </c>
      <c r="X3158" t="s">
        <v>18157</v>
      </c>
      <c r="Y3158" t="s">
        <v>97</v>
      </c>
      <c r="Z3158" t="s">
        <v>77</v>
      </c>
      <c r="AA3158" t="str">
        <f>"10019-1104"</f>
        <v>10019-1104</v>
      </c>
      <c r="AB3158" t="s">
        <v>78</v>
      </c>
      <c r="AC3158" t="s">
        <v>79</v>
      </c>
      <c r="AD3158" t="s">
        <v>75</v>
      </c>
      <c r="AE3158" t="s">
        <v>80</v>
      </c>
      <c r="AG3158" t="s">
        <v>81</v>
      </c>
    </row>
    <row r="3159" spans="1:33" x14ac:dyDescent="0.25">
      <c r="A3159" t="str">
        <f>"1508984329"</f>
        <v>1508984329</v>
      </c>
      <c r="B3159" t="str">
        <f>"03730527"</f>
        <v>03730527</v>
      </c>
      <c r="C3159" t="s">
        <v>13436</v>
      </c>
      <c r="D3159" t="s">
        <v>3528</v>
      </c>
      <c r="E3159" t="s">
        <v>3529</v>
      </c>
      <c r="G3159" t="s">
        <v>18199</v>
      </c>
      <c r="L3159" t="s">
        <v>74</v>
      </c>
      <c r="M3159" t="s">
        <v>85</v>
      </c>
      <c r="R3159" t="s">
        <v>3530</v>
      </c>
      <c r="W3159" t="s">
        <v>3529</v>
      </c>
      <c r="X3159" t="s">
        <v>318</v>
      </c>
      <c r="Y3159" t="s">
        <v>131</v>
      </c>
      <c r="Z3159" t="s">
        <v>77</v>
      </c>
      <c r="AA3159" t="str">
        <f>"10457-7606"</f>
        <v>10457-7606</v>
      </c>
      <c r="AB3159" t="s">
        <v>82</v>
      </c>
      <c r="AC3159" t="s">
        <v>79</v>
      </c>
      <c r="AD3159" t="s">
        <v>75</v>
      </c>
      <c r="AE3159" t="s">
        <v>80</v>
      </c>
      <c r="AG3159" t="s">
        <v>81</v>
      </c>
    </row>
    <row r="3160" spans="1:33" x14ac:dyDescent="0.25">
      <c r="A3160" t="str">
        <f>"1396801056"</f>
        <v>1396801056</v>
      </c>
      <c r="C3160" t="s">
        <v>18200</v>
      </c>
      <c r="G3160" t="s">
        <v>18200</v>
      </c>
      <c r="H3160" t="s">
        <v>18201</v>
      </c>
      <c r="J3160" t="s">
        <v>18202</v>
      </c>
      <c r="K3160" t="s">
        <v>99</v>
      </c>
      <c r="L3160" t="s">
        <v>102</v>
      </c>
      <c r="M3160" t="s">
        <v>75</v>
      </c>
      <c r="R3160" t="s">
        <v>18203</v>
      </c>
      <c r="S3160" t="s">
        <v>18204</v>
      </c>
      <c r="T3160" t="s">
        <v>131</v>
      </c>
      <c r="U3160" t="s">
        <v>77</v>
      </c>
      <c r="V3160" t="str">
        <f>"104534303"</f>
        <v>104534303</v>
      </c>
      <c r="AC3160" t="s">
        <v>79</v>
      </c>
      <c r="AD3160" t="s">
        <v>75</v>
      </c>
      <c r="AE3160" t="s">
        <v>103</v>
      </c>
      <c r="AG3160" t="s">
        <v>81</v>
      </c>
    </row>
    <row r="3161" spans="1:33" x14ac:dyDescent="0.25">
      <c r="A3161" t="str">
        <f>"1518096825"</f>
        <v>1518096825</v>
      </c>
      <c r="B3161" t="str">
        <f>"01081034"</f>
        <v>01081034</v>
      </c>
      <c r="C3161" t="s">
        <v>18205</v>
      </c>
      <c r="D3161" t="s">
        <v>18206</v>
      </c>
      <c r="E3161" t="s">
        <v>18207</v>
      </c>
      <c r="G3161" t="s">
        <v>18205</v>
      </c>
      <c r="H3161" t="s">
        <v>18208</v>
      </c>
      <c r="J3161" t="s">
        <v>18209</v>
      </c>
      <c r="L3161" t="s">
        <v>94</v>
      </c>
      <c r="M3161" t="s">
        <v>75</v>
      </c>
      <c r="R3161" t="s">
        <v>18210</v>
      </c>
      <c r="W3161" t="s">
        <v>18207</v>
      </c>
      <c r="X3161" t="s">
        <v>18211</v>
      </c>
      <c r="Y3161" t="s">
        <v>97</v>
      </c>
      <c r="Z3161" t="s">
        <v>77</v>
      </c>
      <c r="AA3161" t="str">
        <f>"10014-6422"</f>
        <v>10014-6422</v>
      </c>
      <c r="AB3161" t="s">
        <v>78</v>
      </c>
      <c r="AC3161" t="s">
        <v>79</v>
      </c>
      <c r="AD3161" t="s">
        <v>75</v>
      </c>
      <c r="AE3161" t="s">
        <v>80</v>
      </c>
      <c r="AG3161" t="s">
        <v>81</v>
      </c>
    </row>
    <row r="3162" spans="1:33" x14ac:dyDescent="0.25">
      <c r="A3162" t="str">
        <f>"1285618926"</f>
        <v>1285618926</v>
      </c>
      <c r="B3162" t="str">
        <f>"01018982"</f>
        <v>01018982</v>
      </c>
      <c r="C3162" t="s">
        <v>13436</v>
      </c>
      <c r="D3162" t="s">
        <v>18212</v>
      </c>
      <c r="E3162" t="s">
        <v>18213</v>
      </c>
      <c r="G3162" t="s">
        <v>18214</v>
      </c>
      <c r="L3162" t="s">
        <v>83</v>
      </c>
      <c r="M3162" t="s">
        <v>85</v>
      </c>
      <c r="R3162" t="s">
        <v>18215</v>
      </c>
      <c r="W3162" t="s">
        <v>18213</v>
      </c>
      <c r="X3162" t="s">
        <v>200</v>
      </c>
      <c r="Y3162" t="s">
        <v>97</v>
      </c>
      <c r="Z3162" t="s">
        <v>77</v>
      </c>
      <c r="AA3162" t="str">
        <f>"10032-3720"</f>
        <v>10032-3720</v>
      </c>
      <c r="AB3162" t="s">
        <v>78</v>
      </c>
      <c r="AC3162" t="s">
        <v>79</v>
      </c>
      <c r="AD3162" t="s">
        <v>75</v>
      </c>
      <c r="AE3162" t="s">
        <v>80</v>
      </c>
      <c r="AG3162" t="s">
        <v>81</v>
      </c>
    </row>
    <row r="3163" spans="1:33" x14ac:dyDescent="0.25">
      <c r="A3163" t="str">
        <f>"1497751424"</f>
        <v>1497751424</v>
      </c>
      <c r="B3163" t="str">
        <f>"02129720"</f>
        <v>02129720</v>
      </c>
      <c r="C3163" t="s">
        <v>18216</v>
      </c>
      <c r="D3163" t="s">
        <v>18217</v>
      </c>
      <c r="E3163" t="s">
        <v>18218</v>
      </c>
      <c r="G3163" t="s">
        <v>13504</v>
      </c>
      <c r="H3163" t="s">
        <v>13505</v>
      </c>
      <c r="J3163" t="s">
        <v>13506</v>
      </c>
      <c r="L3163" t="s">
        <v>83</v>
      </c>
      <c r="M3163" t="s">
        <v>75</v>
      </c>
      <c r="R3163" t="s">
        <v>18219</v>
      </c>
      <c r="W3163" t="s">
        <v>18220</v>
      </c>
      <c r="X3163" t="s">
        <v>187</v>
      </c>
      <c r="Y3163" t="s">
        <v>161</v>
      </c>
      <c r="Z3163" t="s">
        <v>77</v>
      </c>
      <c r="AA3163" t="str">
        <f>"11040-1402"</f>
        <v>11040-1402</v>
      </c>
      <c r="AB3163" t="s">
        <v>78</v>
      </c>
      <c r="AC3163" t="s">
        <v>79</v>
      </c>
      <c r="AD3163" t="s">
        <v>75</v>
      </c>
      <c r="AE3163" t="s">
        <v>80</v>
      </c>
      <c r="AG3163" t="s">
        <v>81</v>
      </c>
    </row>
    <row r="3164" spans="1:33" x14ac:dyDescent="0.25">
      <c r="A3164" t="str">
        <f>"1912952466"</f>
        <v>1912952466</v>
      </c>
      <c r="B3164" t="str">
        <f>"02094677"</f>
        <v>02094677</v>
      </c>
      <c r="C3164" t="s">
        <v>18221</v>
      </c>
      <c r="D3164" t="s">
        <v>18222</v>
      </c>
      <c r="E3164" t="s">
        <v>18223</v>
      </c>
      <c r="G3164" t="s">
        <v>13504</v>
      </c>
      <c r="H3164" t="s">
        <v>13505</v>
      </c>
      <c r="J3164" t="s">
        <v>13506</v>
      </c>
      <c r="L3164" t="s">
        <v>84</v>
      </c>
      <c r="M3164" t="s">
        <v>75</v>
      </c>
      <c r="R3164" t="s">
        <v>18224</v>
      </c>
      <c r="W3164" t="s">
        <v>18223</v>
      </c>
      <c r="X3164" t="s">
        <v>1187</v>
      </c>
      <c r="Y3164" t="s">
        <v>87</v>
      </c>
      <c r="Z3164" t="s">
        <v>77</v>
      </c>
      <c r="AA3164" t="str">
        <f>"11235-2328"</f>
        <v>11235-2328</v>
      </c>
      <c r="AB3164" t="s">
        <v>78</v>
      </c>
      <c r="AC3164" t="s">
        <v>79</v>
      </c>
      <c r="AD3164" t="s">
        <v>75</v>
      </c>
      <c r="AE3164" t="s">
        <v>80</v>
      </c>
      <c r="AG3164" t="s">
        <v>81</v>
      </c>
    </row>
    <row r="3165" spans="1:33" x14ac:dyDescent="0.25">
      <c r="A3165" t="str">
        <f>"1417191883"</f>
        <v>1417191883</v>
      </c>
      <c r="B3165" t="str">
        <f>"03259390"</f>
        <v>03259390</v>
      </c>
      <c r="C3165" t="s">
        <v>18225</v>
      </c>
      <c r="D3165" t="s">
        <v>18226</v>
      </c>
      <c r="E3165" t="s">
        <v>18227</v>
      </c>
      <c r="G3165" t="s">
        <v>13504</v>
      </c>
      <c r="H3165" t="s">
        <v>13505</v>
      </c>
      <c r="J3165" t="s">
        <v>13506</v>
      </c>
      <c r="L3165" t="s">
        <v>83</v>
      </c>
      <c r="M3165" t="s">
        <v>75</v>
      </c>
      <c r="R3165" t="s">
        <v>18228</v>
      </c>
      <c r="W3165" t="s">
        <v>18229</v>
      </c>
      <c r="X3165" t="s">
        <v>4524</v>
      </c>
      <c r="Y3165" t="s">
        <v>2674</v>
      </c>
      <c r="Z3165" t="s">
        <v>77</v>
      </c>
      <c r="AA3165" t="str">
        <f>"11733-3465"</f>
        <v>11733-3465</v>
      </c>
      <c r="AB3165" t="s">
        <v>78</v>
      </c>
      <c r="AC3165" t="s">
        <v>79</v>
      </c>
      <c r="AD3165" t="s">
        <v>75</v>
      </c>
      <c r="AE3165" t="s">
        <v>80</v>
      </c>
      <c r="AG3165" t="s">
        <v>81</v>
      </c>
    </row>
    <row r="3166" spans="1:33" x14ac:dyDescent="0.25">
      <c r="A3166" t="str">
        <f>"1306162060"</f>
        <v>1306162060</v>
      </c>
      <c r="B3166" t="str">
        <f>"03251847"</f>
        <v>03251847</v>
      </c>
      <c r="C3166" t="s">
        <v>18230</v>
      </c>
      <c r="D3166" t="s">
        <v>18231</v>
      </c>
      <c r="E3166" t="s">
        <v>18232</v>
      </c>
      <c r="G3166" t="s">
        <v>13504</v>
      </c>
      <c r="H3166" t="s">
        <v>13505</v>
      </c>
      <c r="J3166" t="s">
        <v>13506</v>
      </c>
      <c r="L3166" t="s">
        <v>83</v>
      </c>
      <c r="M3166" t="s">
        <v>75</v>
      </c>
      <c r="R3166" t="s">
        <v>18233</v>
      </c>
      <c r="W3166" t="s">
        <v>18234</v>
      </c>
      <c r="X3166" t="s">
        <v>202</v>
      </c>
      <c r="Y3166" t="s">
        <v>87</v>
      </c>
      <c r="Z3166" t="s">
        <v>77</v>
      </c>
      <c r="AA3166" t="str">
        <f>"11201-5425"</f>
        <v>11201-5425</v>
      </c>
      <c r="AB3166" t="s">
        <v>78</v>
      </c>
      <c r="AC3166" t="s">
        <v>79</v>
      </c>
      <c r="AD3166" t="s">
        <v>75</v>
      </c>
      <c r="AE3166" t="s">
        <v>80</v>
      </c>
      <c r="AG3166" t="s">
        <v>81</v>
      </c>
    </row>
    <row r="3167" spans="1:33" x14ac:dyDescent="0.25">
      <c r="A3167" t="str">
        <f>"1790971489"</f>
        <v>1790971489</v>
      </c>
      <c r="B3167" t="str">
        <f>"03256246"</f>
        <v>03256246</v>
      </c>
      <c r="C3167" t="s">
        <v>18235</v>
      </c>
      <c r="D3167" t="s">
        <v>18236</v>
      </c>
      <c r="E3167" t="s">
        <v>18237</v>
      </c>
      <c r="G3167" t="s">
        <v>13504</v>
      </c>
      <c r="H3167" t="s">
        <v>13505</v>
      </c>
      <c r="J3167" t="s">
        <v>13506</v>
      </c>
      <c r="L3167" t="s">
        <v>83</v>
      </c>
      <c r="M3167" t="s">
        <v>75</v>
      </c>
      <c r="R3167" t="s">
        <v>18238</v>
      </c>
      <c r="W3167" t="s">
        <v>18237</v>
      </c>
      <c r="X3167" t="s">
        <v>173</v>
      </c>
      <c r="Y3167" t="s">
        <v>87</v>
      </c>
      <c r="Z3167" t="s">
        <v>77</v>
      </c>
      <c r="AA3167" t="str">
        <f>"11219-2916"</f>
        <v>11219-2916</v>
      </c>
      <c r="AB3167" t="s">
        <v>78</v>
      </c>
      <c r="AC3167" t="s">
        <v>79</v>
      </c>
      <c r="AD3167" t="s">
        <v>75</v>
      </c>
      <c r="AE3167" t="s">
        <v>80</v>
      </c>
      <c r="AG3167" t="s">
        <v>81</v>
      </c>
    </row>
    <row r="3168" spans="1:33" x14ac:dyDescent="0.25">
      <c r="A3168" t="str">
        <f>"1861712317"</f>
        <v>1861712317</v>
      </c>
      <c r="B3168" t="str">
        <f>"03266795"</f>
        <v>03266795</v>
      </c>
      <c r="C3168" t="s">
        <v>18239</v>
      </c>
      <c r="D3168" t="s">
        <v>18240</v>
      </c>
      <c r="E3168" t="s">
        <v>18241</v>
      </c>
      <c r="G3168" t="s">
        <v>13504</v>
      </c>
      <c r="H3168" t="s">
        <v>13505</v>
      </c>
      <c r="J3168" t="s">
        <v>13506</v>
      </c>
      <c r="L3168" t="s">
        <v>84</v>
      </c>
      <c r="M3168" t="s">
        <v>85</v>
      </c>
      <c r="R3168" t="s">
        <v>18242</v>
      </c>
      <c r="W3168" t="s">
        <v>18241</v>
      </c>
      <c r="X3168" t="s">
        <v>18243</v>
      </c>
      <c r="Y3168" t="s">
        <v>87</v>
      </c>
      <c r="Z3168" t="s">
        <v>77</v>
      </c>
      <c r="AA3168" t="str">
        <f>"11203-5912"</f>
        <v>11203-5912</v>
      </c>
      <c r="AB3168" t="s">
        <v>78</v>
      </c>
      <c r="AC3168" t="s">
        <v>79</v>
      </c>
      <c r="AD3168" t="s">
        <v>75</v>
      </c>
      <c r="AE3168" t="s">
        <v>80</v>
      </c>
      <c r="AG3168" t="s">
        <v>81</v>
      </c>
    </row>
    <row r="3169" spans="1:33" x14ac:dyDescent="0.25">
      <c r="A3169" t="str">
        <f>"1871819524"</f>
        <v>1871819524</v>
      </c>
      <c r="B3169" t="str">
        <f>"03233061"</f>
        <v>03233061</v>
      </c>
      <c r="C3169" t="s">
        <v>18244</v>
      </c>
      <c r="D3169" t="s">
        <v>18245</v>
      </c>
      <c r="E3169" t="s">
        <v>18246</v>
      </c>
      <c r="G3169" t="s">
        <v>13504</v>
      </c>
      <c r="H3169" t="s">
        <v>13505</v>
      </c>
      <c r="J3169" t="s">
        <v>13506</v>
      </c>
      <c r="L3169" t="s">
        <v>83</v>
      </c>
      <c r="M3169" t="s">
        <v>75</v>
      </c>
      <c r="R3169" t="s">
        <v>18247</v>
      </c>
      <c r="W3169" t="s">
        <v>18246</v>
      </c>
      <c r="X3169" t="s">
        <v>130</v>
      </c>
      <c r="Y3169" t="s">
        <v>131</v>
      </c>
      <c r="Z3169" t="s">
        <v>77</v>
      </c>
      <c r="AA3169" t="str">
        <f>"10461-1119"</f>
        <v>10461-1119</v>
      </c>
      <c r="AB3169" t="s">
        <v>78</v>
      </c>
      <c r="AC3169" t="s">
        <v>79</v>
      </c>
      <c r="AD3169" t="s">
        <v>75</v>
      </c>
      <c r="AE3169" t="s">
        <v>80</v>
      </c>
      <c r="AG3169" t="s">
        <v>81</v>
      </c>
    </row>
    <row r="3170" spans="1:33" x14ac:dyDescent="0.25">
      <c r="A3170" t="str">
        <f>"1306039565"</f>
        <v>1306039565</v>
      </c>
      <c r="B3170" t="str">
        <f>"03241027"</f>
        <v>03241027</v>
      </c>
      <c r="C3170" t="s">
        <v>18248</v>
      </c>
      <c r="D3170" t="s">
        <v>18249</v>
      </c>
      <c r="E3170" t="s">
        <v>18250</v>
      </c>
      <c r="G3170" t="s">
        <v>13504</v>
      </c>
      <c r="H3170" t="s">
        <v>13505</v>
      </c>
      <c r="J3170" t="s">
        <v>13506</v>
      </c>
      <c r="L3170" t="s">
        <v>83</v>
      </c>
      <c r="M3170" t="s">
        <v>75</v>
      </c>
      <c r="R3170" t="s">
        <v>18251</v>
      </c>
      <c r="W3170" t="s">
        <v>18251</v>
      </c>
      <c r="X3170" t="s">
        <v>202</v>
      </c>
      <c r="Y3170" t="s">
        <v>87</v>
      </c>
      <c r="Z3170" t="s">
        <v>77</v>
      </c>
      <c r="AA3170" t="str">
        <f>"11201-5425"</f>
        <v>11201-5425</v>
      </c>
      <c r="AB3170" t="s">
        <v>78</v>
      </c>
      <c r="AC3170" t="s">
        <v>79</v>
      </c>
      <c r="AD3170" t="s">
        <v>75</v>
      </c>
      <c r="AE3170" t="s">
        <v>80</v>
      </c>
      <c r="AG3170" t="s">
        <v>81</v>
      </c>
    </row>
    <row r="3171" spans="1:33" x14ac:dyDescent="0.25">
      <c r="A3171" t="str">
        <f>"1336140029"</f>
        <v>1336140029</v>
      </c>
      <c r="B3171" t="str">
        <f>"02461585"</f>
        <v>02461585</v>
      </c>
      <c r="C3171" t="s">
        <v>13436</v>
      </c>
      <c r="D3171" t="s">
        <v>18252</v>
      </c>
      <c r="E3171" t="s">
        <v>18253</v>
      </c>
      <c r="G3171" t="s">
        <v>18254</v>
      </c>
      <c r="L3171" t="s">
        <v>83</v>
      </c>
      <c r="M3171" t="s">
        <v>85</v>
      </c>
      <c r="R3171" t="s">
        <v>18255</v>
      </c>
      <c r="W3171" t="s">
        <v>18253</v>
      </c>
      <c r="X3171" t="s">
        <v>18256</v>
      </c>
      <c r="Y3171" t="s">
        <v>97</v>
      </c>
      <c r="Z3171" t="s">
        <v>77</v>
      </c>
      <c r="AA3171" t="str">
        <f>"10025-1737"</f>
        <v>10025-1737</v>
      </c>
      <c r="AB3171" t="s">
        <v>78</v>
      </c>
      <c r="AC3171" t="s">
        <v>79</v>
      </c>
      <c r="AD3171" t="s">
        <v>75</v>
      </c>
      <c r="AE3171" t="s">
        <v>80</v>
      </c>
      <c r="AG3171" t="s">
        <v>81</v>
      </c>
    </row>
    <row r="3172" spans="1:33" x14ac:dyDescent="0.25">
      <c r="A3172" t="str">
        <f>"1336153972"</f>
        <v>1336153972</v>
      </c>
      <c r="B3172" t="str">
        <f>"01605210"</f>
        <v>01605210</v>
      </c>
      <c r="C3172" t="s">
        <v>13436</v>
      </c>
      <c r="D3172" t="s">
        <v>18257</v>
      </c>
      <c r="E3172" t="s">
        <v>18258</v>
      </c>
      <c r="G3172" t="s">
        <v>18259</v>
      </c>
      <c r="L3172" t="s">
        <v>105</v>
      </c>
      <c r="M3172" t="s">
        <v>85</v>
      </c>
      <c r="R3172" t="s">
        <v>18260</v>
      </c>
      <c r="W3172" t="s">
        <v>18261</v>
      </c>
      <c r="X3172" t="s">
        <v>181</v>
      </c>
      <c r="Y3172" t="s">
        <v>97</v>
      </c>
      <c r="Z3172" t="s">
        <v>77</v>
      </c>
      <c r="AA3172" t="str">
        <f>"10025-1716"</f>
        <v>10025-1716</v>
      </c>
      <c r="AB3172" t="s">
        <v>78</v>
      </c>
      <c r="AC3172" t="s">
        <v>79</v>
      </c>
      <c r="AD3172" t="s">
        <v>75</v>
      </c>
      <c r="AE3172" t="s">
        <v>80</v>
      </c>
      <c r="AG3172" t="s">
        <v>81</v>
      </c>
    </row>
    <row r="3173" spans="1:33" x14ac:dyDescent="0.25">
      <c r="A3173" t="str">
        <f>"1336205293"</f>
        <v>1336205293</v>
      </c>
      <c r="B3173" t="str">
        <f>"03129999"</f>
        <v>03129999</v>
      </c>
      <c r="C3173" t="s">
        <v>13436</v>
      </c>
      <c r="D3173" t="s">
        <v>18262</v>
      </c>
      <c r="E3173" t="s">
        <v>18263</v>
      </c>
      <c r="G3173" t="s">
        <v>18264</v>
      </c>
      <c r="L3173" t="s">
        <v>84</v>
      </c>
      <c r="M3173" t="s">
        <v>85</v>
      </c>
      <c r="R3173" t="s">
        <v>18265</v>
      </c>
      <c r="W3173" t="s">
        <v>18266</v>
      </c>
      <c r="X3173" t="s">
        <v>181</v>
      </c>
      <c r="Y3173" t="s">
        <v>97</v>
      </c>
      <c r="Z3173" t="s">
        <v>77</v>
      </c>
      <c r="AA3173" t="str">
        <f>"10025-1716"</f>
        <v>10025-1716</v>
      </c>
      <c r="AB3173" t="s">
        <v>78</v>
      </c>
      <c r="AC3173" t="s">
        <v>79</v>
      </c>
      <c r="AD3173" t="s">
        <v>75</v>
      </c>
      <c r="AE3173" t="s">
        <v>80</v>
      </c>
      <c r="AG3173" t="s">
        <v>81</v>
      </c>
    </row>
    <row r="3174" spans="1:33" x14ac:dyDescent="0.25">
      <c r="A3174" t="str">
        <f>"1336279900"</f>
        <v>1336279900</v>
      </c>
      <c r="B3174" t="str">
        <f>"01890468"</f>
        <v>01890468</v>
      </c>
      <c r="C3174" t="s">
        <v>13436</v>
      </c>
      <c r="D3174" t="s">
        <v>18267</v>
      </c>
      <c r="E3174" t="s">
        <v>18268</v>
      </c>
      <c r="G3174" t="s">
        <v>18269</v>
      </c>
      <c r="L3174" t="s">
        <v>84</v>
      </c>
      <c r="M3174" t="s">
        <v>85</v>
      </c>
      <c r="R3174" t="s">
        <v>18270</v>
      </c>
      <c r="W3174" t="s">
        <v>18268</v>
      </c>
      <c r="X3174" t="s">
        <v>5153</v>
      </c>
      <c r="Y3174" t="s">
        <v>97</v>
      </c>
      <c r="Z3174" t="s">
        <v>77</v>
      </c>
      <c r="AA3174" t="str">
        <f>"10011-8305"</f>
        <v>10011-8305</v>
      </c>
      <c r="AB3174" t="s">
        <v>78</v>
      </c>
      <c r="AC3174" t="s">
        <v>79</v>
      </c>
      <c r="AD3174" t="s">
        <v>75</v>
      </c>
      <c r="AE3174" t="s">
        <v>80</v>
      </c>
      <c r="AG3174" t="s">
        <v>81</v>
      </c>
    </row>
    <row r="3175" spans="1:33" x14ac:dyDescent="0.25">
      <c r="A3175" t="str">
        <f>"1336297886"</f>
        <v>1336297886</v>
      </c>
      <c r="B3175" t="str">
        <f>"03116621"</f>
        <v>03116621</v>
      </c>
      <c r="C3175" t="s">
        <v>13436</v>
      </c>
      <c r="D3175" t="s">
        <v>18271</v>
      </c>
      <c r="E3175" t="s">
        <v>18272</v>
      </c>
      <c r="G3175" t="s">
        <v>18273</v>
      </c>
      <c r="L3175" t="s">
        <v>74</v>
      </c>
      <c r="M3175" t="s">
        <v>85</v>
      </c>
      <c r="R3175" t="s">
        <v>18274</v>
      </c>
      <c r="W3175" t="s">
        <v>18272</v>
      </c>
      <c r="X3175" t="s">
        <v>2587</v>
      </c>
      <c r="Y3175" t="s">
        <v>97</v>
      </c>
      <c r="Z3175" t="s">
        <v>77</v>
      </c>
      <c r="AA3175" t="str">
        <f>"10003-3314"</f>
        <v>10003-3314</v>
      </c>
      <c r="AB3175" t="s">
        <v>78</v>
      </c>
      <c r="AC3175" t="s">
        <v>79</v>
      </c>
      <c r="AD3175" t="s">
        <v>75</v>
      </c>
      <c r="AE3175" t="s">
        <v>80</v>
      </c>
      <c r="AG3175" t="s">
        <v>81</v>
      </c>
    </row>
    <row r="3176" spans="1:33" x14ac:dyDescent="0.25">
      <c r="A3176" t="str">
        <f>"1336339464"</f>
        <v>1336339464</v>
      </c>
      <c r="B3176" t="str">
        <f>"03373122"</f>
        <v>03373122</v>
      </c>
      <c r="C3176" t="s">
        <v>13436</v>
      </c>
      <c r="D3176" t="s">
        <v>18275</v>
      </c>
      <c r="E3176" t="s">
        <v>18276</v>
      </c>
      <c r="G3176" t="s">
        <v>18277</v>
      </c>
      <c r="L3176" t="s">
        <v>83</v>
      </c>
      <c r="M3176" t="s">
        <v>85</v>
      </c>
      <c r="R3176" t="s">
        <v>18276</v>
      </c>
      <c r="W3176" t="s">
        <v>18276</v>
      </c>
      <c r="X3176" t="s">
        <v>18278</v>
      </c>
      <c r="Y3176" t="s">
        <v>97</v>
      </c>
      <c r="Z3176" t="s">
        <v>77</v>
      </c>
      <c r="AA3176" t="str">
        <f>"10024-5728"</f>
        <v>10024-5728</v>
      </c>
      <c r="AB3176" t="s">
        <v>78</v>
      </c>
      <c r="AC3176" t="s">
        <v>79</v>
      </c>
      <c r="AD3176" t="s">
        <v>75</v>
      </c>
      <c r="AE3176" t="s">
        <v>80</v>
      </c>
      <c r="AG3176" t="s">
        <v>81</v>
      </c>
    </row>
    <row r="3177" spans="1:33" x14ac:dyDescent="0.25">
      <c r="C3177" t="s">
        <v>18279</v>
      </c>
      <c r="G3177" t="s">
        <v>18279</v>
      </c>
      <c r="H3177" t="s">
        <v>5164</v>
      </c>
      <c r="J3177" t="s">
        <v>5284</v>
      </c>
      <c r="K3177" t="s">
        <v>206</v>
      </c>
      <c r="L3177" t="s">
        <v>100</v>
      </c>
      <c r="M3177" t="s">
        <v>75</v>
      </c>
      <c r="N3177" t="s">
        <v>18280</v>
      </c>
      <c r="O3177" t="s">
        <v>18281</v>
      </c>
      <c r="P3177" t="s">
        <v>77</v>
      </c>
      <c r="Q3177" t="str">
        <f>"11743"</f>
        <v>11743</v>
      </c>
      <c r="AC3177" t="s">
        <v>79</v>
      </c>
      <c r="AD3177" t="s">
        <v>75</v>
      </c>
      <c r="AE3177" t="s">
        <v>101</v>
      </c>
      <c r="AG3177" t="s">
        <v>81</v>
      </c>
    </row>
    <row r="3178" spans="1:33" x14ac:dyDescent="0.25">
      <c r="C3178" t="s">
        <v>18282</v>
      </c>
      <c r="G3178" t="s">
        <v>18282</v>
      </c>
      <c r="H3178" t="s">
        <v>5164</v>
      </c>
      <c r="J3178" t="s">
        <v>5165</v>
      </c>
      <c r="K3178" t="s">
        <v>206</v>
      </c>
      <c r="L3178" t="s">
        <v>100</v>
      </c>
      <c r="M3178" t="s">
        <v>75</v>
      </c>
      <c r="N3178" t="s">
        <v>18280</v>
      </c>
      <c r="O3178" t="s">
        <v>18281</v>
      </c>
      <c r="P3178" t="s">
        <v>77</v>
      </c>
      <c r="Q3178" t="str">
        <f>"11743"</f>
        <v>11743</v>
      </c>
      <c r="AC3178" t="s">
        <v>79</v>
      </c>
      <c r="AD3178" t="s">
        <v>75</v>
      </c>
      <c r="AE3178" t="s">
        <v>101</v>
      </c>
      <c r="AG3178" t="s">
        <v>81</v>
      </c>
    </row>
    <row r="3179" spans="1:33" x14ac:dyDescent="0.25">
      <c r="A3179" t="str">
        <f>"1427022656"</f>
        <v>1427022656</v>
      </c>
      <c r="B3179" t="str">
        <f>"01729262"</f>
        <v>01729262</v>
      </c>
      <c r="C3179" t="s">
        <v>18283</v>
      </c>
      <c r="D3179" t="s">
        <v>18284</v>
      </c>
      <c r="E3179" t="s">
        <v>18285</v>
      </c>
      <c r="G3179" t="s">
        <v>13504</v>
      </c>
      <c r="H3179" t="s">
        <v>13505</v>
      </c>
      <c r="J3179" t="s">
        <v>13506</v>
      </c>
      <c r="L3179" t="s">
        <v>84</v>
      </c>
      <c r="M3179" t="s">
        <v>75</v>
      </c>
      <c r="R3179" t="s">
        <v>18285</v>
      </c>
      <c r="W3179" t="s">
        <v>18285</v>
      </c>
      <c r="X3179" t="s">
        <v>18286</v>
      </c>
      <c r="Y3179" t="s">
        <v>87</v>
      </c>
      <c r="Z3179" t="s">
        <v>77</v>
      </c>
      <c r="AA3179" t="str">
        <f>"11201-5514"</f>
        <v>11201-5514</v>
      </c>
      <c r="AB3179" t="s">
        <v>78</v>
      </c>
      <c r="AC3179" t="s">
        <v>79</v>
      </c>
      <c r="AD3179" t="s">
        <v>75</v>
      </c>
      <c r="AE3179" t="s">
        <v>80</v>
      </c>
      <c r="AG3179" t="s">
        <v>81</v>
      </c>
    </row>
    <row r="3180" spans="1:33" x14ac:dyDescent="0.25">
      <c r="A3180" t="str">
        <f>"1588686588"</f>
        <v>1588686588</v>
      </c>
      <c r="B3180" t="str">
        <f>"02059396"</f>
        <v>02059396</v>
      </c>
      <c r="C3180" t="s">
        <v>18287</v>
      </c>
      <c r="D3180" t="s">
        <v>18288</v>
      </c>
      <c r="E3180" t="s">
        <v>18289</v>
      </c>
      <c r="G3180" t="s">
        <v>13504</v>
      </c>
      <c r="H3180" t="s">
        <v>13505</v>
      </c>
      <c r="J3180" t="s">
        <v>13506</v>
      </c>
      <c r="L3180" t="s">
        <v>74</v>
      </c>
      <c r="M3180" t="s">
        <v>75</v>
      </c>
      <c r="R3180" t="s">
        <v>18290</v>
      </c>
      <c r="W3180" t="s">
        <v>18290</v>
      </c>
      <c r="X3180" t="s">
        <v>11367</v>
      </c>
      <c r="Y3180" t="s">
        <v>87</v>
      </c>
      <c r="Z3180" t="s">
        <v>77</v>
      </c>
      <c r="AA3180" t="str">
        <f>"11201-5493"</f>
        <v>11201-5493</v>
      </c>
      <c r="AB3180" t="s">
        <v>78</v>
      </c>
      <c r="AC3180" t="s">
        <v>79</v>
      </c>
      <c r="AD3180" t="s">
        <v>75</v>
      </c>
      <c r="AE3180" t="s">
        <v>80</v>
      </c>
      <c r="AG3180" t="s">
        <v>81</v>
      </c>
    </row>
    <row r="3181" spans="1:33" x14ac:dyDescent="0.25">
      <c r="A3181" t="str">
        <f>"1376552141"</f>
        <v>1376552141</v>
      </c>
      <c r="B3181" t="str">
        <f>"01878739"</f>
        <v>01878739</v>
      </c>
      <c r="C3181" t="s">
        <v>18291</v>
      </c>
      <c r="D3181" t="s">
        <v>18292</v>
      </c>
      <c r="E3181" t="s">
        <v>18293</v>
      </c>
      <c r="G3181" t="s">
        <v>13504</v>
      </c>
      <c r="H3181" t="s">
        <v>13505</v>
      </c>
      <c r="J3181" t="s">
        <v>13506</v>
      </c>
      <c r="L3181" t="s">
        <v>84</v>
      </c>
      <c r="M3181" t="s">
        <v>85</v>
      </c>
      <c r="R3181" t="s">
        <v>18294</v>
      </c>
      <c r="W3181" t="s">
        <v>18293</v>
      </c>
      <c r="X3181" t="s">
        <v>18295</v>
      </c>
      <c r="Y3181" t="s">
        <v>87</v>
      </c>
      <c r="Z3181" t="s">
        <v>77</v>
      </c>
      <c r="AA3181" t="str">
        <f>"11213-3339"</f>
        <v>11213-3339</v>
      </c>
      <c r="AB3181" t="s">
        <v>78</v>
      </c>
      <c r="AC3181" t="s">
        <v>79</v>
      </c>
      <c r="AD3181" t="s">
        <v>75</v>
      </c>
      <c r="AE3181" t="s">
        <v>80</v>
      </c>
      <c r="AG3181" t="s">
        <v>81</v>
      </c>
    </row>
    <row r="3182" spans="1:33" x14ac:dyDescent="0.25">
      <c r="A3182" t="str">
        <f>"1891737326"</f>
        <v>1891737326</v>
      </c>
      <c r="B3182" t="str">
        <f>"02120634"</f>
        <v>02120634</v>
      </c>
      <c r="C3182" t="s">
        <v>18296</v>
      </c>
      <c r="D3182" t="s">
        <v>18297</v>
      </c>
      <c r="E3182" t="s">
        <v>18298</v>
      </c>
      <c r="G3182" t="s">
        <v>13504</v>
      </c>
      <c r="H3182" t="s">
        <v>13505</v>
      </c>
      <c r="J3182" t="s">
        <v>13506</v>
      </c>
      <c r="L3182" t="s">
        <v>74</v>
      </c>
      <c r="M3182" t="s">
        <v>75</v>
      </c>
      <c r="R3182" t="s">
        <v>18299</v>
      </c>
      <c r="W3182" t="s">
        <v>18298</v>
      </c>
      <c r="X3182" t="s">
        <v>18300</v>
      </c>
      <c r="Y3182" t="s">
        <v>87</v>
      </c>
      <c r="Z3182" t="s">
        <v>77</v>
      </c>
      <c r="AA3182" t="str">
        <f>"11212-3139"</f>
        <v>11212-3139</v>
      </c>
      <c r="AB3182" t="s">
        <v>78</v>
      </c>
      <c r="AC3182" t="s">
        <v>79</v>
      </c>
      <c r="AD3182" t="s">
        <v>75</v>
      </c>
      <c r="AE3182" t="s">
        <v>80</v>
      </c>
      <c r="AG3182" t="s">
        <v>81</v>
      </c>
    </row>
    <row r="3183" spans="1:33" x14ac:dyDescent="0.25">
      <c r="A3183" t="str">
        <f>"1396725081"</f>
        <v>1396725081</v>
      </c>
      <c r="B3183" t="str">
        <f>"01863881"</f>
        <v>01863881</v>
      </c>
      <c r="C3183" t="s">
        <v>18301</v>
      </c>
      <c r="D3183" t="s">
        <v>18302</v>
      </c>
      <c r="E3183" t="s">
        <v>18303</v>
      </c>
      <c r="G3183" t="s">
        <v>13504</v>
      </c>
      <c r="H3183" t="s">
        <v>13505</v>
      </c>
      <c r="J3183" t="s">
        <v>13506</v>
      </c>
      <c r="L3183" t="s">
        <v>83</v>
      </c>
      <c r="M3183" t="s">
        <v>75</v>
      </c>
      <c r="R3183" t="s">
        <v>18303</v>
      </c>
      <c r="W3183" t="s">
        <v>18303</v>
      </c>
      <c r="X3183" t="s">
        <v>18304</v>
      </c>
      <c r="Y3183" t="s">
        <v>199</v>
      </c>
      <c r="Z3183" t="s">
        <v>77</v>
      </c>
      <c r="AA3183" t="str">
        <f>"11706-7306"</f>
        <v>11706-7306</v>
      </c>
      <c r="AB3183" t="s">
        <v>78</v>
      </c>
      <c r="AC3183" t="s">
        <v>79</v>
      </c>
      <c r="AD3183" t="s">
        <v>75</v>
      </c>
      <c r="AE3183" t="s">
        <v>80</v>
      </c>
      <c r="AG3183" t="s">
        <v>81</v>
      </c>
    </row>
    <row r="3184" spans="1:33" x14ac:dyDescent="0.25">
      <c r="A3184" t="str">
        <f>"1477500437"</f>
        <v>1477500437</v>
      </c>
      <c r="B3184" t="str">
        <f>"01889096"</f>
        <v>01889096</v>
      </c>
      <c r="C3184" t="s">
        <v>18305</v>
      </c>
      <c r="D3184" t="s">
        <v>18306</v>
      </c>
      <c r="E3184" t="s">
        <v>18307</v>
      </c>
      <c r="G3184" t="s">
        <v>13504</v>
      </c>
      <c r="H3184" t="s">
        <v>13505</v>
      </c>
      <c r="J3184" t="s">
        <v>13506</v>
      </c>
      <c r="L3184" t="s">
        <v>84</v>
      </c>
      <c r="M3184" t="s">
        <v>75</v>
      </c>
      <c r="R3184" t="s">
        <v>18307</v>
      </c>
      <c r="W3184" t="s">
        <v>18307</v>
      </c>
      <c r="X3184" t="s">
        <v>2779</v>
      </c>
      <c r="Y3184" t="s">
        <v>87</v>
      </c>
      <c r="Z3184" t="s">
        <v>77</v>
      </c>
      <c r="AA3184" t="str">
        <f>"11217-1702"</f>
        <v>11217-1702</v>
      </c>
      <c r="AB3184" t="s">
        <v>78</v>
      </c>
      <c r="AC3184" t="s">
        <v>79</v>
      </c>
      <c r="AD3184" t="s">
        <v>75</v>
      </c>
      <c r="AE3184" t="s">
        <v>80</v>
      </c>
      <c r="AG3184" t="s">
        <v>81</v>
      </c>
    </row>
    <row r="3185" spans="1:33" x14ac:dyDescent="0.25">
      <c r="A3185" t="str">
        <f>"1407997174"</f>
        <v>1407997174</v>
      </c>
      <c r="B3185" t="str">
        <f>"01896973"</f>
        <v>01896973</v>
      </c>
      <c r="C3185" t="s">
        <v>18308</v>
      </c>
      <c r="D3185" t="s">
        <v>18309</v>
      </c>
      <c r="E3185" t="s">
        <v>18310</v>
      </c>
      <c r="G3185" t="s">
        <v>13504</v>
      </c>
      <c r="H3185" t="s">
        <v>13505</v>
      </c>
      <c r="J3185" t="s">
        <v>13506</v>
      </c>
      <c r="L3185" t="s">
        <v>84</v>
      </c>
      <c r="M3185" t="s">
        <v>75</v>
      </c>
      <c r="R3185" t="s">
        <v>18311</v>
      </c>
      <c r="W3185" t="s">
        <v>18310</v>
      </c>
      <c r="X3185" t="s">
        <v>18312</v>
      </c>
      <c r="Y3185" t="s">
        <v>87</v>
      </c>
      <c r="Z3185" t="s">
        <v>77</v>
      </c>
      <c r="AA3185" t="str">
        <f>"11221-4303"</f>
        <v>11221-4303</v>
      </c>
      <c r="AB3185" t="s">
        <v>78</v>
      </c>
      <c r="AC3185" t="s">
        <v>79</v>
      </c>
      <c r="AD3185" t="s">
        <v>75</v>
      </c>
      <c r="AE3185" t="s">
        <v>80</v>
      </c>
      <c r="AG3185" t="s">
        <v>81</v>
      </c>
    </row>
    <row r="3186" spans="1:33" x14ac:dyDescent="0.25">
      <c r="A3186" t="str">
        <f>"1801943154"</f>
        <v>1801943154</v>
      </c>
      <c r="B3186" t="str">
        <f>"03482157"</f>
        <v>03482157</v>
      </c>
      <c r="C3186" t="s">
        <v>18313</v>
      </c>
      <c r="D3186" t="s">
        <v>18314</v>
      </c>
      <c r="E3186" t="s">
        <v>18315</v>
      </c>
      <c r="G3186" t="s">
        <v>14449</v>
      </c>
      <c r="H3186" t="s">
        <v>14450</v>
      </c>
      <c r="L3186" t="s">
        <v>84</v>
      </c>
      <c r="M3186" t="s">
        <v>85</v>
      </c>
      <c r="R3186" t="s">
        <v>18315</v>
      </c>
      <c r="W3186" t="s">
        <v>18315</v>
      </c>
      <c r="X3186" t="s">
        <v>3743</v>
      </c>
      <c r="Y3186" t="s">
        <v>97</v>
      </c>
      <c r="Z3186" t="s">
        <v>77</v>
      </c>
      <c r="AA3186" t="str">
        <f>"10011-4401"</f>
        <v>10011-4401</v>
      </c>
      <c r="AB3186" t="s">
        <v>78</v>
      </c>
      <c r="AC3186" t="s">
        <v>79</v>
      </c>
      <c r="AD3186" t="s">
        <v>75</v>
      </c>
      <c r="AE3186" t="s">
        <v>80</v>
      </c>
      <c r="AG3186" t="s">
        <v>81</v>
      </c>
    </row>
    <row r="3187" spans="1:33" x14ac:dyDescent="0.25">
      <c r="A3187" t="str">
        <f>"1962610717"</f>
        <v>1962610717</v>
      </c>
      <c r="C3187" t="s">
        <v>18316</v>
      </c>
      <c r="G3187" t="s">
        <v>14449</v>
      </c>
      <c r="H3187" t="s">
        <v>14450</v>
      </c>
      <c r="K3187" t="s">
        <v>99</v>
      </c>
      <c r="L3187" t="s">
        <v>74</v>
      </c>
      <c r="M3187" t="s">
        <v>75</v>
      </c>
      <c r="R3187" t="s">
        <v>18317</v>
      </c>
      <c r="S3187" t="s">
        <v>18318</v>
      </c>
      <c r="T3187" t="s">
        <v>97</v>
      </c>
      <c r="U3187" t="s">
        <v>77</v>
      </c>
      <c r="V3187" t="str">
        <f>"100382515"</f>
        <v>100382515</v>
      </c>
      <c r="AC3187" t="s">
        <v>79</v>
      </c>
      <c r="AD3187" t="s">
        <v>75</v>
      </c>
      <c r="AE3187" t="s">
        <v>103</v>
      </c>
      <c r="AG3187" t="s">
        <v>81</v>
      </c>
    </row>
    <row r="3188" spans="1:33" x14ac:dyDescent="0.25">
      <c r="A3188" t="str">
        <f>"1316014434"</f>
        <v>1316014434</v>
      </c>
      <c r="B3188" t="str">
        <f>"03323493"</f>
        <v>03323493</v>
      </c>
      <c r="C3188" t="s">
        <v>18319</v>
      </c>
      <c r="D3188" t="s">
        <v>18320</v>
      </c>
      <c r="E3188" t="s">
        <v>18321</v>
      </c>
      <c r="G3188" t="s">
        <v>14449</v>
      </c>
      <c r="H3188" t="s">
        <v>14450</v>
      </c>
      <c r="L3188" t="s">
        <v>105</v>
      </c>
      <c r="M3188" t="s">
        <v>75</v>
      </c>
      <c r="R3188" t="s">
        <v>18322</v>
      </c>
      <c r="W3188" t="s">
        <v>18321</v>
      </c>
      <c r="X3188" t="s">
        <v>3743</v>
      </c>
      <c r="Y3188" t="s">
        <v>97</v>
      </c>
      <c r="Z3188" t="s">
        <v>77</v>
      </c>
      <c r="AA3188" t="str">
        <f>"10011-4401"</f>
        <v>10011-4401</v>
      </c>
      <c r="AB3188" t="s">
        <v>113</v>
      </c>
      <c r="AC3188" t="s">
        <v>79</v>
      </c>
      <c r="AD3188" t="s">
        <v>75</v>
      </c>
      <c r="AE3188" t="s">
        <v>80</v>
      </c>
      <c r="AG3188" t="s">
        <v>81</v>
      </c>
    </row>
    <row r="3189" spans="1:33" x14ac:dyDescent="0.25">
      <c r="A3189" t="str">
        <f>"1174802243"</f>
        <v>1174802243</v>
      </c>
      <c r="B3189" t="str">
        <f>"03517911"</f>
        <v>03517911</v>
      </c>
      <c r="C3189" t="s">
        <v>18323</v>
      </c>
      <c r="D3189" t="s">
        <v>18324</v>
      </c>
      <c r="E3189" t="s">
        <v>18325</v>
      </c>
      <c r="G3189" t="s">
        <v>14449</v>
      </c>
      <c r="H3189" t="s">
        <v>14450</v>
      </c>
      <c r="L3189" t="s">
        <v>74</v>
      </c>
      <c r="M3189" t="s">
        <v>85</v>
      </c>
      <c r="R3189" t="s">
        <v>18326</v>
      </c>
      <c r="W3189" t="s">
        <v>18325</v>
      </c>
      <c r="X3189" t="s">
        <v>3743</v>
      </c>
      <c r="Y3189" t="s">
        <v>97</v>
      </c>
      <c r="Z3189" t="s">
        <v>77</v>
      </c>
      <c r="AA3189" t="str">
        <f>"10011-4401"</f>
        <v>10011-4401</v>
      </c>
      <c r="AB3189" t="s">
        <v>82</v>
      </c>
      <c r="AC3189" t="s">
        <v>79</v>
      </c>
      <c r="AD3189" t="s">
        <v>75</v>
      </c>
      <c r="AE3189" t="s">
        <v>80</v>
      </c>
      <c r="AG3189" t="s">
        <v>81</v>
      </c>
    </row>
    <row r="3190" spans="1:33" x14ac:dyDescent="0.25">
      <c r="A3190" t="str">
        <f>"1588747935"</f>
        <v>1588747935</v>
      </c>
      <c r="B3190" t="str">
        <f>"02020639"</f>
        <v>02020639</v>
      </c>
      <c r="C3190" t="s">
        <v>18327</v>
      </c>
      <c r="D3190" t="s">
        <v>18328</v>
      </c>
      <c r="E3190" t="s">
        <v>18329</v>
      </c>
      <c r="G3190" t="s">
        <v>13504</v>
      </c>
      <c r="H3190" t="s">
        <v>13505</v>
      </c>
      <c r="J3190" t="s">
        <v>13506</v>
      </c>
      <c r="L3190" t="s">
        <v>84</v>
      </c>
      <c r="M3190" t="s">
        <v>75</v>
      </c>
      <c r="R3190" t="s">
        <v>18330</v>
      </c>
      <c r="W3190" t="s">
        <v>18329</v>
      </c>
      <c r="X3190" t="s">
        <v>18331</v>
      </c>
      <c r="Y3190" t="s">
        <v>87</v>
      </c>
      <c r="Z3190" t="s">
        <v>77</v>
      </c>
      <c r="AA3190" t="str">
        <f>"11210-5449"</f>
        <v>11210-5449</v>
      </c>
      <c r="AB3190" t="s">
        <v>78</v>
      </c>
      <c r="AC3190" t="s">
        <v>79</v>
      </c>
      <c r="AD3190" t="s">
        <v>75</v>
      </c>
      <c r="AE3190" t="s">
        <v>80</v>
      </c>
      <c r="AG3190" t="s">
        <v>81</v>
      </c>
    </row>
    <row r="3191" spans="1:33" x14ac:dyDescent="0.25">
      <c r="A3191" t="str">
        <f>"1053308239"</f>
        <v>1053308239</v>
      </c>
      <c r="B3191" t="str">
        <f>"01840220"</f>
        <v>01840220</v>
      </c>
      <c r="C3191" t="s">
        <v>18332</v>
      </c>
      <c r="D3191" t="s">
        <v>18333</v>
      </c>
      <c r="E3191" t="s">
        <v>18334</v>
      </c>
      <c r="G3191" t="s">
        <v>13504</v>
      </c>
      <c r="H3191" t="s">
        <v>13505</v>
      </c>
      <c r="J3191" t="s">
        <v>13506</v>
      </c>
      <c r="L3191" t="s">
        <v>83</v>
      </c>
      <c r="M3191" t="s">
        <v>75</v>
      </c>
      <c r="R3191" t="s">
        <v>18335</v>
      </c>
      <c r="W3191" t="s">
        <v>18334</v>
      </c>
      <c r="AB3191" t="s">
        <v>78</v>
      </c>
      <c r="AC3191" t="s">
        <v>79</v>
      </c>
      <c r="AD3191" t="s">
        <v>75</v>
      </c>
      <c r="AE3191" t="s">
        <v>80</v>
      </c>
      <c r="AG3191" t="s">
        <v>81</v>
      </c>
    </row>
    <row r="3192" spans="1:33" x14ac:dyDescent="0.25">
      <c r="A3192" t="str">
        <f>"1215933270"</f>
        <v>1215933270</v>
      </c>
      <c r="B3192" t="str">
        <f>"01711691"</f>
        <v>01711691</v>
      </c>
      <c r="C3192" t="s">
        <v>18336</v>
      </c>
      <c r="D3192" t="s">
        <v>18337</v>
      </c>
      <c r="E3192" t="s">
        <v>18338</v>
      </c>
      <c r="G3192" t="s">
        <v>13504</v>
      </c>
      <c r="H3192" t="s">
        <v>13505</v>
      </c>
      <c r="J3192" t="s">
        <v>13506</v>
      </c>
      <c r="L3192" t="s">
        <v>83</v>
      </c>
      <c r="M3192" t="s">
        <v>75</v>
      </c>
      <c r="R3192" t="s">
        <v>18339</v>
      </c>
      <c r="W3192" t="s">
        <v>18340</v>
      </c>
      <c r="X3192" t="s">
        <v>354</v>
      </c>
      <c r="Y3192" t="s">
        <v>152</v>
      </c>
      <c r="Z3192" t="s">
        <v>77</v>
      </c>
      <c r="AA3192" t="str">
        <f>"11375-7624"</f>
        <v>11375-7624</v>
      </c>
      <c r="AB3192" t="s">
        <v>78</v>
      </c>
      <c r="AC3192" t="s">
        <v>79</v>
      </c>
      <c r="AD3192" t="s">
        <v>75</v>
      </c>
      <c r="AE3192" t="s">
        <v>80</v>
      </c>
      <c r="AG3192" t="s">
        <v>81</v>
      </c>
    </row>
    <row r="3193" spans="1:33" x14ac:dyDescent="0.25">
      <c r="A3193" t="str">
        <f>"1245293935"</f>
        <v>1245293935</v>
      </c>
      <c r="B3193" t="str">
        <f>"01723808"</f>
        <v>01723808</v>
      </c>
      <c r="C3193" t="s">
        <v>18341</v>
      </c>
      <c r="D3193" t="s">
        <v>18342</v>
      </c>
      <c r="E3193" t="s">
        <v>18343</v>
      </c>
      <c r="G3193" t="s">
        <v>13504</v>
      </c>
      <c r="H3193" t="s">
        <v>13505</v>
      </c>
      <c r="J3193" t="s">
        <v>13506</v>
      </c>
      <c r="L3193" t="s">
        <v>84</v>
      </c>
      <c r="M3193" t="s">
        <v>75</v>
      </c>
      <c r="R3193" t="s">
        <v>18344</v>
      </c>
      <c r="W3193" t="s">
        <v>18343</v>
      </c>
      <c r="X3193" t="s">
        <v>18345</v>
      </c>
      <c r="Y3193" t="s">
        <v>87</v>
      </c>
      <c r="Z3193" t="s">
        <v>77</v>
      </c>
      <c r="AA3193" t="str">
        <f>"11229-3716"</f>
        <v>11229-3716</v>
      </c>
      <c r="AB3193" t="s">
        <v>78</v>
      </c>
      <c r="AC3193" t="s">
        <v>79</v>
      </c>
      <c r="AD3193" t="s">
        <v>75</v>
      </c>
      <c r="AE3193" t="s">
        <v>80</v>
      </c>
      <c r="AG3193" t="s">
        <v>81</v>
      </c>
    </row>
    <row r="3194" spans="1:33" x14ac:dyDescent="0.25">
      <c r="A3194" t="str">
        <f>"1780661009"</f>
        <v>1780661009</v>
      </c>
      <c r="B3194" t="str">
        <f>"01878124"</f>
        <v>01878124</v>
      </c>
      <c r="C3194" t="s">
        <v>18346</v>
      </c>
      <c r="D3194" t="s">
        <v>18347</v>
      </c>
      <c r="E3194" t="s">
        <v>18348</v>
      </c>
      <c r="G3194" t="s">
        <v>13504</v>
      </c>
      <c r="H3194" t="s">
        <v>13505</v>
      </c>
      <c r="J3194" t="s">
        <v>13506</v>
      </c>
      <c r="L3194" t="s">
        <v>83</v>
      </c>
      <c r="M3194" t="s">
        <v>75</v>
      </c>
      <c r="R3194" t="s">
        <v>18349</v>
      </c>
      <c r="W3194" t="s">
        <v>18348</v>
      </c>
      <c r="X3194" t="s">
        <v>18350</v>
      </c>
      <c r="Y3194" t="s">
        <v>254</v>
      </c>
      <c r="Z3194" t="s">
        <v>77</v>
      </c>
      <c r="AA3194" t="str">
        <f>"11374-2244"</f>
        <v>11374-2244</v>
      </c>
      <c r="AB3194" t="s">
        <v>78</v>
      </c>
      <c r="AC3194" t="s">
        <v>79</v>
      </c>
      <c r="AD3194" t="s">
        <v>75</v>
      </c>
      <c r="AE3194" t="s">
        <v>80</v>
      </c>
      <c r="AG3194" t="s">
        <v>81</v>
      </c>
    </row>
    <row r="3195" spans="1:33" x14ac:dyDescent="0.25">
      <c r="A3195" t="str">
        <f>"1811087570"</f>
        <v>1811087570</v>
      </c>
      <c r="B3195" t="str">
        <f>"00368447"</f>
        <v>00368447</v>
      </c>
      <c r="C3195" t="s">
        <v>18351</v>
      </c>
      <c r="D3195" t="s">
        <v>18352</v>
      </c>
      <c r="E3195" t="s">
        <v>18353</v>
      </c>
      <c r="G3195" t="s">
        <v>13504</v>
      </c>
      <c r="H3195" t="s">
        <v>13505</v>
      </c>
      <c r="J3195" t="s">
        <v>13506</v>
      </c>
      <c r="L3195" t="s">
        <v>84</v>
      </c>
      <c r="M3195" t="s">
        <v>75</v>
      </c>
      <c r="R3195" t="s">
        <v>18354</v>
      </c>
      <c r="W3195" t="s">
        <v>18353</v>
      </c>
      <c r="X3195" t="s">
        <v>18355</v>
      </c>
      <c r="Y3195" t="s">
        <v>87</v>
      </c>
      <c r="Z3195" t="s">
        <v>77</v>
      </c>
      <c r="AA3195" t="str">
        <f>"11226-4672"</f>
        <v>11226-4672</v>
      </c>
      <c r="AB3195" t="s">
        <v>78</v>
      </c>
      <c r="AC3195" t="s">
        <v>79</v>
      </c>
      <c r="AD3195" t="s">
        <v>75</v>
      </c>
      <c r="AE3195" t="s">
        <v>80</v>
      </c>
      <c r="AG3195" t="s">
        <v>81</v>
      </c>
    </row>
    <row r="3196" spans="1:33" x14ac:dyDescent="0.25">
      <c r="A3196" t="str">
        <f>"1699722132"</f>
        <v>1699722132</v>
      </c>
      <c r="B3196" t="str">
        <f>"00730947"</f>
        <v>00730947</v>
      </c>
      <c r="C3196" t="s">
        <v>18356</v>
      </c>
      <c r="D3196" t="s">
        <v>18357</v>
      </c>
      <c r="E3196" t="s">
        <v>18358</v>
      </c>
      <c r="G3196" t="s">
        <v>13504</v>
      </c>
      <c r="H3196" t="s">
        <v>13505</v>
      </c>
      <c r="J3196" t="s">
        <v>13506</v>
      </c>
      <c r="L3196" t="s">
        <v>83</v>
      </c>
      <c r="M3196" t="s">
        <v>75</v>
      </c>
      <c r="R3196" t="s">
        <v>18359</v>
      </c>
      <c r="W3196" t="s">
        <v>18358</v>
      </c>
      <c r="X3196" t="s">
        <v>202</v>
      </c>
      <c r="Y3196" t="s">
        <v>87</v>
      </c>
      <c r="Z3196" t="s">
        <v>77</v>
      </c>
      <c r="AA3196" t="str">
        <f>"11201-5425"</f>
        <v>11201-5425</v>
      </c>
      <c r="AB3196" t="s">
        <v>78</v>
      </c>
      <c r="AC3196" t="s">
        <v>79</v>
      </c>
      <c r="AD3196" t="s">
        <v>75</v>
      </c>
      <c r="AE3196" t="s">
        <v>80</v>
      </c>
      <c r="AG3196" t="s">
        <v>81</v>
      </c>
    </row>
    <row r="3197" spans="1:33" x14ac:dyDescent="0.25">
      <c r="A3197" t="str">
        <f>"1033252788"</f>
        <v>1033252788</v>
      </c>
      <c r="C3197" t="s">
        <v>18360</v>
      </c>
      <c r="G3197" t="s">
        <v>18361</v>
      </c>
      <c r="H3197" t="s">
        <v>3470</v>
      </c>
      <c r="I3197">
        <v>110</v>
      </c>
      <c r="J3197" t="s">
        <v>18362</v>
      </c>
      <c r="K3197" t="s">
        <v>99</v>
      </c>
      <c r="L3197" t="s">
        <v>74</v>
      </c>
      <c r="M3197" t="s">
        <v>75</v>
      </c>
      <c r="R3197" t="s">
        <v>18363</v>
      </c>
      <c r="S3197" t="s">
        <v>18364</v>
      </c>
      <c r="T3197" t="s">
        <v>131</v>
      </c>
      <c r="U3197" t="s">
        <v>77</v>
      </c>
      <c r="V3197" t="str">
        <f>"104662051"</f>
        <v>104662051</v>
      </c>
      <c r="AC3197" t="s">
        <v>79</v>
      </c>
      <c r="AD3197" t="s">
        <v>75</v>
      </c>
      <c r="AE3197" t="s">
        <v>103</v>
      </c>
      <c r="AG3197" t="s">
        <v>81</v>
      </c>
    </row>
    <row r="3198" spans="1:33" x14ac:dyDescent="0.25">
      <c r="A3198" t="str">
        <f>"1407147754"</f>
        <v>1407147754</v>
      </c>
      <c r="B3198" t="str">
        <f>"03529279"</f>
        <v>03529279</v>
      </c>
      <c r="C3198" t="s">
        <v>18365</v>
      </c>
      <c r="D3198" t="s">
        <v>2856</v>
      </c>
      <c r="E3198" t="s">
        <v>2857</v>
      </c>
      <c r="G3198" t="s">
        <v>12446</v>
      </c>
      <c r="H3198" t="s">
        <v>797</v>
      </c>
      <c r="J3198" t="s">
        <v>3051</v>
      </c>
      <c r="L3198" t="s">
        <v>84</v>
      </c>
      <c r="M3198" t="s">
        <v>85</v>
      </c>
      <c r="R3198" t="s">
        <v>2858</v>
      </c>
      <c r="W3198" t="s">
        <v>2857</v>
      </c>
      <c r="X3198" t="s">
        <v>2859</v>
      </c>
      <c r="Y3198" t="s">
        <v>179</v>
      </c>
      <c r="Z3198" t="s">
        <v>77</v>
      </c>
      <c r="AA3198" t="str">
        <f>"11550-4364"</f>
        <v>11550-4364</v>
      </c>
      <c r="AB3198" t="s">
        <v>78</v>
      </c>
      <c r="AC3198" t="s">
        <v>79</v>
      </c>
      <c r="AD3198" t="s">
        <v>75</v>
      </c>
      <c r="AE3198" t="s">
        <v>80</v>
      </c>
      <c r="AG3198" t="s">
        <v>81</v>
      </c>
    </row>
    <row r="3199" spans="1:33" x14ac:dyDescent="0.25">
      <c r="C3199" t="s">
        <v>18366</v>
      </c>
      <c r="G3199" t="s">
        <v>12446</v>
      </c>
      <c r="H3199" t="s">
        <v>797</v>
      </c>
      <c r="J3199" t="s">
        <v>3051</v>
      </c>
      <c r="K3199" t="s">
        <v>99</v>
      </c>
      <c r="L3199" t="s">
        <v>100</v>
      </c>
      <c r="M3199" t="s">
        <v>75</v>
      </c>
      <c r="N3199" t="s">
        <v>18367</v>
      </c>
      <c r="O3199" t="s">
        <v>1352</v>
      </c>
      <c r="P3199" t="s">
        <v>77</v>
      </c>
      <c r="Q3199" t="str">
        <f>"11106"</f>
        <v>11106</v>
      </c>
      <c r="AC3199" t="s">
        <v>79</v>
      </c>
      <c r="AD3199" t="s">
        <v>75</v>
      </c>
      <c r="AE3199" t="s">
        <v>101</v>
      </c>
      <c r="AG3199" t="s">
        <v>81</v>
      </c>
    </row>
    <row r="3200" spans="1:33" x14ac:dyDescent="0.25">
      <c r="A3200" t="str">
        <f>"1902997943"</f>
        <v>1902997943</v>
      </c>
      <c r="B3200" t="str">
        <f>"02803336"</f>
        <v>02803336</v>
      </c>
      <c r="C3200" t="s">
        <v>18368</v>
      </c>
      <c r="D3200" t="s">
        <v>3255</v>
      </c>
      <c r="E3200" t="s">
        <v>3256</v>
      </c>
      <c r="G3200" t="s">
        <v>12446</v>
      </c>
      <c r="H3200" t="s">
        <v>797</v>
      </c>
      <c r="J3200" t="s">
        <v>3051</v>
      </c>
      <c r="L3200" t="s">
        <v>84</v>
      </c>
      <c r="M3200" t="s">
        <v>85</v>
      </c>
      <c r="R3200" t="s">
        <v>3257</v>
      </c>
      <c r="W3200" t="s">
        <v>3256</v>
      </c>
      <c r="X3200" t="s">
        <v>3258</v>
      </c>
      <c r="Y3200" t="s">
        <v>153</v>
      </c>
      <c r="Z3200" t="s">
        <v>77</v>
      </c>
      <c r="AA3200" t="str">
        <f>"12603-2808"</f>
        <v>12603-2808</v>
      </c>
      <c r="AB3200" t="s">
        <v>78</v>
      </c>
      <c r="AC3200" t="s">
        <v>79</v>
      </c>
      <c r="AD3200" t="s">
        <v>75</v>
      </c>
      <c r="AE3200" t="s">
        <v>80</v>
      </c>
      <c r="AG3200" t="s">
        <v>81</v>
      </c>
    </row>
    <row r="3201" spans="1:33" x14ac:dyDescent="0.25">
      <c r="A3201" t="str">
        <f>"1396870309"</f>
        <v>1396870309</v>
      </c>
      <c r="B3201" t="str">
        <f>"03346009"</f>
        <v>03346009</v>
      </c>
      <c r="C3201" t="s">
        <v>18369</v>
      </c>
      <c r="D3201" t="s">
        <v>4236</v>
      </c>
      <c r="E3201" t="s">
        <v>4237</v>
      </c>
      <c r="G3201" t="s">
        <v>12446</v>
      </c>
      <c r="H3201" t="s">
        <v>797</v>
      </c>
      <c r="J3201" t="s">
        <v>3051</v>
      </c>
      <c r="L3201" t="s">
        <v>84</v>
      </c>
      <c r="M3201" t="s">
        <v>75</v>
      </c>
      <c r="R3201" t="s">
        <v>4237</v>
      </c>
      <c r="W3201" t="s">
        <v>4237</v>
      </c>
      <c r="X3201" t="s">
        <v>4238</v>
      </c>
      <c r="Y3201" t="s">
        <v>87</v>
      </c>
      <c r="Z3201" t="s">
        <v>77</v>
      </c>
      <c r="AA3201" t="str">
        <f>"11206-2501"</f>
        <v>11206-2501</v>
      </c>
      <c r="AB3201" t="s">
        <v>78</v>
      </c>
      <c r="AC3201" t="s">
        <v>79</v>
      </c>
      <c r="AD3201" t="s">
        <v>75</v>
      </c>
      <c r="AE3201" t="s">
        <v>80</v>
      </c>
      <c r="AG3201" t="s">
        <v>81</v>
      </c>
    </row>
    <row r="3202" spans="1:33" x14ac:dyDescent="0.25">
      <c r="A3202" t="str">
        <f>"1194741819"</f>
        <v>1194741819</v>
      </c>
      <c r="B3202" t="str">
        <f>"01369626"</f>
        <v>01369626</v>
      </c>
      <c r="C3202" t="s">
        <v>18370</v>
      </c>
      <c r="D3202" t="s">
        <v>2839</v>
      </c>
      <c r="E3202" t="s">
        <v>2840</v>
      </c>
      <c r="G3202" t="s">
        <v>12446</v>
      </c>
      <c r="H3202" t="s">
        <v>797</v>
      </c>
      <c r="J3202" t="s">
        <v>3051</v>
      </c>
      <c r="L3202" t="s">
        <v>84</v>
      </c>
      <c r="M3202" t="s">
        <v>75</v>
      </c>
      <c r="R3202" t="s">
        <v>2841</v>
      </c>
      <c r="W3202" t="s">
        <v>2840</v>
      </c>
      <c r="X3202" t="s">
        <v>2842</v>
      </c>
      <c r="Y3202" t="s">
        <v>171</v>
      </c>
      <c r="Z3202" t="s">
        <v>77</v>
      </c>
      <c r="AA3202" t="str">
        <f>"11432-3730"</f>
        <v>11432-3730</v>
      </c>
      <c r="AB3202" t="s">
        <v>78</v>
      </c>
      <c r="AC3202" t="s">
        <v>79</v>
      </c>
      <c r="AD3202" t="s">
        <v>75</v>
      </c>
      <c r="AE3202" t="s">
        <v>80</v>
      </c>
      <c r="AG3202" t="s">
        <v>81</v>
      </c>
    </row>
    <row r="3203" spans="1:33" x14ac:dyDescent="0.25">
      <c r="A3203" t="str">
        <f>"1992006514"</f>
        <v>1992006514</v>
      </c>
      <c r="B3203" t="str">
        <f>"03302036"</f>
        <v>03302036</v>
      </c>
      <c r="C3203" t="s">
        <v>18371</v>
      </c>
      <c r="D3203" t="s">
        <v>4232</v>
      </c>
      <c r="E3203" t="s">
        <v>4233</v>
      </c>
      <c r="G3203" t="s">
        <v>12446</v>
      </c>
      <c r="H3203" t="s">
        <v>797</v>
      </c>
      <c r="J3203" t="s">
        <v>3051</v>
      </c>
      <c r="L3203" t="s">
        <v>84</v>
      </c>
      <c r="M3203" t="s">
        <v>85</v>
      </c>
      <c r="R3203" t="s">
        <v>4233</v>
      </c>
      <c r="W3203" t="s">
        <v>4233</v>
      </c>
      <c r="X3203" t="s">
        <v>1341</v>
      </c>
      <c r="Y3203" t="s">
        <v>131</v>
      </c>
      <c r="Z3203" t="s">
        <v>77</v>
      </c>
      <c r="AA3203" t="str">
        <f>"10459-2417"</f>
        <v>10459-2417</v>
      </c>
      <c r="AB3203" t="s">
        <v>78</v>
      </c>
      <c r="AC3203" t="s">
        <v>79</v>
      </c>
      <c r="AD3203" t="s">
        <v>75</v>
      </c>
      <c r="AE3203" t="s">
        <v>80</v>
      </c>
      <c r="AG3203" t="s">
        <v>81</v>
      </c>
    </row>
    <row r="3204" spans="1:33" x14ac:dyDescent="0.25">
      <c r="A3204" t="str">
        <f>"1649598731"</f>
        <v>1649598731</v>
      </c>
      <c r="B3204" t="str">
        <f>"03648120"</f>
        <v>03648120</v>
      </c>
      <c r="C3204" t="s">
        <v>18372</v>
      </c>
      <c r="D3204" t="s">
        <v>3240</v>
      </c>
      <c r="E3204" t="s">
        <v>3241</v>
      </c>
      <c r="G3204" t="s">
        <v>12446</v>
      </c>
      <c r="H3204" t="s">
        <v>797</v>
      </c>
      <c r="J3204" t="s">
        <v>3051</v>
      </c>
      <c r="L3204" t="s">
        <v>84</v>
      </c>
      <c r="M3204" t="s">
        <v>85</v>
      </c>
      <c r="R3204" t="s">
        <v>3241</v>
      </c>
      <c r="W3204" t="s">
        <v>3241</v>
      </c>
      <c r="X3204" t="s">
        <v>2855</v>
      </c>
      <c r="Y3204" t="s">
        <v>131</v>
      </c>
      <c r="Z3204" t="s">
        <v>77</v>
      </c>
      <c r="AA3204" t="str">
        <f>"10459-3204"</f>
        <v>10459-3204</v>
      </c>
      <c r="AB3204" t="s">
        <v>78</v>
      </c>
      <c r="AC3204" t="s">
        <v>79</v>
      </c>
      <c r="AD3204" t="s">
        <v>75</v>
      </c>
      <c r="AE3204" t="s">
        <v>80</v>
      </c>
      <c r="AG3204" t="s">
        <v>81</v>
      </c>
    </row>
    <row r="3205" spans="1:33" x14ac:dyDescent="0.25">
      <c r="A3205" t="str">
        <f>"1215972179"</f>
        <v>1215972179</v>
      </c>
      <c r="B3205" t="str">
        <f>"00740547"</f>
        <v>00740547</v>
      </c>
      <c r="C3205" t="s">
        <v>13436</v>
      </c>
      <c r="D3205" t="s">
        <v>18373</v>
      </c>
      <c r="E3205" t="s">
        <v>18374</v>
      </c>
      <c r="G3205" t="s">
        <v>18375</v>
      </c>
      <c r="L3205" t="s">
        <v>83</v>
      </c>
      <c r="M3205" t="s">
        <v>75</v>
      </c>
      <c r="R3205" t="s">
        <v>18376</v>
      </c>
      <c r="W3205" t="s">
        <v>18374</v>
      </c>
      <c r="X3205" t="s">
        <v>16550</v>
      </c>
      <c r="Y3205" t="s">
        <v>97</v>
      </c>
      <c r="Z3205" t="s">
        <v>77</v>
      </c>
      <c r="AA3205" t="str">
        <f>"10019"</f>
        <v>10019</v>
      </c>
      <c r="AB3205" t="s">
        <v>78</v>
      </c>
      <c r="AC3205" t="s">
        <v>79</v>
      </c>
      <c r="AD3205" t="s">
        <v>75</v>
      </c>
      <c r="AE3205" t="s">
        <v>80</v>
      </c>
      <c r="AG3205" t="s">
        <v>81</v>
      </c>
    </row>
    <row r="3206" spans="1:33" x14ac:dyDescent="0.25">
      <c r="A3206" t="str">
        <f>"1225078355"</f>
        <v>1225078355</v>
      </c>
      <c r="B3206" t="str">
        <f>"02525506"</f>
        <v>02525506</v>
      </c>
      <c r="C3206" t="s">
        <v>13436</v>
      </c>
      <c r="D3206" t="s">
        <v>18377</v>
      </c>
      <c r="E3206" t="s">
        <v>18378</v>
      </c>
      <c r="G3206" t="s">
        <v>18379</v>
      </c>
      <c r="L3206" t="s">
        <v>105</v>
      </c>
      <c r="M3206" t="s">
        <v>75</v>
      </c>
      <c r="R3206" t="s">
        <v>18380</v>
      </c>
      <c r="W3206" t="s">
        <v>18380</v>
      </c>
      <c r="X3206" t="s">
        <v>329</v>
      </c>
      <c r="Y3206" t="s">
        <v>97</v>
      </c>
      <c r="Z3206" t="s">
        <v>77</v>
      </c>
      <c r="AA3206" t="str">
        <f>"10029-6500"</f>
        <v>10029-6500</v>
      </c>
      <c r="AB3206" t="s">
        <v>125</v>
      </c>
      <c r="AC3206" t="s">
        <v>79</v>
      </c>
      <c r="AD3206" t="s">
        <v>75</v>
      </c>
      <c r="AE3206" t="s">
        <v>80</v>
      </c>
      <c r="AG3206" t="s">
        <v>81</v>
      </c>
    </row>
    <row r="3207" spans="1:33" x14ac:dyDescent="0.25">
      <c r="A3207" t="str">
        <f>"1225225915"</f>
        <v>1225225915</v>
      </c>
      <c r="B3207" t="str">
        <f>"01686382"</f>
        <v>01686382</v>
      </c>
      <c r="C3207" t="s">
        <v>13436</v>
      </c>
      <c r="D3207" t="s">
        <v>18381</v>
      </c>
      <c r="E3207" t="s">
        <v>18382</v>
      </c>
      <c r="G3207" t="s">
        <v>18383</v>
      </c>
      <c r="L3207" t="s">
        <v>94</v>
      </c>
      <c r="M3207" t="s">
        <v>75</v>
      </c>
      <c r="R3207" t="s">
        <v>18384</v>
      </c>
      <c r="W3207" t="s">
        <v>18382</v>
      </c>
      <c r="X3207" t="s">
        <v>4799</v>
      </c>
      <c r="Y3207" t="s">
        <v>87</v>
      </c>
      <c r="Z3207" t="s">
        <v>77</v>
      </c>
      <c r="AA3207" t="str">
        <f>"11234-2625"</f>
        <v>11234-2625</v>
      </c>
      <c r="AB3207" t="s">
        <v>78</v>
      </c>
      <c r="AC3207" t="s">
        <v>79</v>
      </c>
      <c r="AD3207" t="s">
        <v>75</v>
      </c>
      <c r="AE3207" t="s">
        <v>80</v>
      </c>
      <c r="AG3207" t="s">
        <v>81</v>
      </c>
    </row>
    <row r="3208" spans="1:33" x14ac:dyDescent="0.25">
      <c r="A3208" t="str">
        <f>"1235364654"</f>
        <v>1235364654</v>
      </c>
      <c r="B3208" t="str">
        <f>"02636973"</f>
        <v>02636973</v>
      </c>
      <c r="C3208" t="s">
        <v>13436</v>
      </c>
      <c r="D3208" t="s">
        <v>18385</v>
      </c>
      <c r="E3208" t="s">
        <v>18386</v>
      </c>
      <c r="G3208" t="s">
        <v>18387</v>
      </c>
      <c r="L3208" t="s">
        <v>74</v>
      </c>
      <c r="M3208" t="s">
        <v>85</v>
      </c>
      <c r="R3208" t="s">
        <v>18388</v>
      </c>
      <c r="W3208" t="s">
        <v>18389</v>
      </c>
      <c r="X3208" t="s">
        <v>11176</v>
      </c>
      <c r="Y3208" t="s">
        <v>97</v>
      </c>
      <c r="Z3208" t="s">
        <v>77</v>
      </c>
      <c r="AA3208" t="str">
        <f>"10029-6542"</f>
        <v>10029-6542</v>
      </c>
      <c r="AB3208" t="s">
        <v>78</v>
      </c>
      <c r="AC3208" t="s">
        <v>79</v>
      </c>
      <c r="AD3208" t="s">
        <v>75</v>
      </c>
      <c r="AE3208" t="s">
        <v>80</v>
      </c>
      <c r="AG3208" t="s">
        <v>81</v>
      </c>
    </row>
    <row r="3209" spans="1:33" x14ac:dyDescent="0.25">
      <c r="A3209" t="str">
        <f>"1538416227"</f>
        <v>1538416227</v>
      </c>
      <c r="B3209" t="str">
        <f>"03768509"</f>
        <v>03768509</v>
      </c>
      <c r="C3209" t="s">
        <v>18390</v>
      </c>
      <c r="D3209" t="s">
        <v>18391</v>
      </c>
      <c r="E3209" t="s">
        <v>18392</v>
      </c>
      <c r="G3209" t="s">
        <v>7218</v>
      </c>
      <c r="H3209" t="s">
        <v>6801</v>
      </c>
      <c r="I3209">
        <v>6136</v>
      </c>
      <c r="J3209" t="s">
        <v>7219</v>
      </c>
      <c r="L3209" t="s">
        <v>74</v>
      </c>
      <c r="M3209" t="s">
        <v>75</v>
      </c>
      <c r="R3209" t="s">
        <v>18393</v>
      </c>
      <c r="W3209" t="s">
        <v>18392</v>
      </c>
      <c r="X3209" t="s">
        <v>8509</v>
      </c>
      <c r="Y3209" t="s">
        <v>145</v>
      </c>
      <c r="Z3209" t="s">
        <v>77</v>
      </c>
      <c r="AA3209" t="str">
        <f>"11361-3241"</f>
        <v>11361-3241</v>
      </c>
      <c r="AB3209" t="s">
        <v>109</v>
      </c>
      <c r="AC3209" t="s">
        <v>79</v>
      </c>
      <c r="AD3209" t="s">
        <v>75</v>
      </c>
      <c r="AE3209" t="s">
        <v>80</v>
      </c>
      <c r="AG3209" t="s">
        <v>81</v>
      </c>
    </row>
    <row r="3210" spans="1:33" x14ac:dyDescent="0.25">
      <c r="A3210" t="str">
        <f>"1558426718"</f>
        <v>1558426718</v>
      </c>
      <c r="B3210" t="str">
        <f>"03528618"</f>
        <v>03528618</v>
      </c>
      <c r="C3210" t="s">
        <v>18394</v>
      </c>
      <c r="D3210" t="s">
        <v>18395</v>
      </c>
      <c r="E3210" t="s">
        <v>18396</v>
      </c>
      <c r="G3210" t="s">
        <v>7218</v>
      </c>
      <c r="H3210" t="s">
        <v>6801</v>
      </c>
      <c r="I3210">
        <v>6136</v>
      </c>
      <c r="J3210" t="s">
        <v>7219</v>
      </c>
      <c r="L3210" t="s">
        <v>74</v>
      </c>
      <c r="M3210" t="s">
        <v>75</v>
      </c>
      <c r="R3210" t="s">
        <v>18397</v>
      </c>
      <c r="W3210" t="s">
        <v>18396</v>
      </c>
      <c r="X3210" t="s">
        <v>8686</v>
      </c>
      <c r="Y3210" t="s">
        <v>145</v>
      </c>
      <c r="Z3210" t="s">
        <v>77</v>
      </c>
      <c r="AA3210" t="str">
        <f>"11361-3241"</f>
        <v>11361-3241</v>
      </c>
      <c r="AB3210" t="s">
        <v>109</v>
      </c>
      <c r="AC3210" t="s">
        <v>79</v>
      </c>
      <c r="AD3210" t="s">
        <v>75</v>
      </c>
      <c r="AE3210" t="s">
        <v>80</v>
      </c>
      <c r="AG3210" t="s">
        <v>81</v>
      </c>
    </row>
    <row r="3211" spans="1:33" x14ac:dyDescent="0.25">
      <c r="A3211" t="str">
        <f>"1376835439"</f>
        <v>1376835439</v>
      </c>
      <c r="B3211" t="str">
        <f>"03997293"</f>
        <v>03997293</v>
      </c>
      <c r="C3211" t="s">
        <v>18398</v>
      </c>
      <c r="D3211" t="s">
        <v>6136</v>
      </c>
      <c r="E3211" t="s">
        <v>6137</v>
      </c>
      <c r="G3211" t="s">
        <v>18398</v>
      </c>
      <c r="H3211" t="s">
        <v>18399</v>
      </c>
      <c r="J3211" t="s">
        <v>18400</v>
      </c>
      <c r="L3211" t="s">
        <v>74</v>
      </c>
      <c r="M3211" t="s">
        <v>75</v>
      </c>
      <c r="R3211" t="s">
        <v>6138</v>
      </c>
      <c r="W3211" t="s">
        <v>6137</v>
      </c>
      <c r="X3211" t="s">
        <v>2192</v>
      </c>
      <c r="Y3211" t="s">
        <v>131</v>
      </c>
      <c r="Z3211" t="s">
        <v>77</v>
      </c>
      <c r="AA3211" t="str">
        <f>"10469-3134"</f>
        <v>10469-3134</v>
      </c>
      <c r="AB3211" t="s">
        <v>78</v>
      </c>
      <c r="AC3211" t="s">
        <v>79</v>
      </c>
      <c r="AD3211" t="s">
        <v>75</v>
      </c>
      <c r="AE3211" t="s">
        <v>80</v>
      </c>
      <c r="AG3211" t="s">
        <v>81</v>
      </c>
    </row>
    <row r="3212" spans="1:33" x14ac:dyDescent="0.25">
      <c r="A3212" t="str">
        <f>"1427275569"</f>
        <v>1427275569</v>
      </c>
      <c r="B3212" t="str">
        <f>"03231289"</f>
        <v>03231289</v>
      </c>
      <c r="C3212" t="s">
        <v>18401</v>
      </c>
      <c r="D3212" t="s">
        <v>18402</v>
      </c>
      <c r="E3212" t="s">
        <v>18403</v>
      </c>
      <c r="G3212" t="s">
        <v>18401</v>
      </c>
      <c r="H3212" t="s">
        <v>18404</v>
      </c>
      <c r="J3212" t="s">
        <v>18405</v>
      </c>
      <c r="L3212" t="s">
        <v>105</v>
      </c>
      <c r="M3212" t="s">
        <v>75</v>
      </c>
      <c r="R3212" t="s">
        <v>18406</v>
      </c>
      <c r="W3212" t="s">
        <v>18407</v>
      </c>
      <c r="X3212" t="s">
        <v>1163</v>
      </c>
      <c r="Y3212" t="s">
        <v>97</v>
      </c>
      <c r="Z3212" t="s">
        <v>77</v>
      </c>
      <c r="AA3212" t="str">
        <f>"10029-4413"</f>
        <v>10029-4413</v>
      </c>
      <c r="AB3212" t="s">
        <v>78</v>
      </c>
      <c r="AC3212" t="s">
        <v>79</v>
      </c>
      <c r="AD3212" t="s">
        <v>75</v>
      </c>
      <c r="AE3212" t="s">
        <v>80</v>
      </c>
      <c r="AG3212" t="s">
        <v>81</v>
      </c>
    </row>
    <row r="3213" spans="1:33" x14ac:dyDescent="0.25">
      <c r="A3213" t="str">
        <f>"1275527798"</f>
        <v>1275527798</v>
      </c>
      <c r="B3213" t="str">
        <f>"00845336"</f>
        <v>00845336</v>
      </c>
      <c r="C3213" t="s">
        <v>18408</v>
      </c>
      <c r="D3213" t="s">
        <v>2072</v>
      </c>
      <c r="E3213" t="s">
        <v>2073</v>
      </c>
      <c r="G3213" t="s">
        <v>18408</v>
      </c>
      <c r="H3213" t="s">
        <v>3041</v>
      </c>
      <c r="J3213" t="s">
        <v>3042</v>
      </c>
      <c r="L3213" t="s">
        <v>84</v>
      </c>
      <c r="M3213" t="s">
        <v>75</v>
      </c>
      <c r="R3213" t="s">
        <v>2071</v>
      </c>
      <c r="W3213" t="s">
        <v>2073</v>
      </c>
      <c r="X3213" t="s">
        <v>2074</v>
      </c>
      <c r="Y3213" t="s">
        <v>155</v>
      </c>
      <c r="Z3213" t="s">
        <v>77</v>
      </c>
      <c r="AA3213" t="str">
        <f>"10305-3498"</f>
        <v>10305-3498</v>
      </c>
      <c r="AB3213" t="s">
        <v>78</v>
      </c>
      <c r="AC3213" t="s">
        <v>79</v>
      </c>
      <c r="AD3213" t="s">
        <v>75</v>
      </c>
      <c r="AE3213" t="s">
        <v>80</v>
      </c>
      <c r="AG3213" t="s">
        <v>81</v>
      </c>
    </row>
    <row r="3214" spans="1:33" x14ac:dyDescent="0.25">
      <c r="A3214" t="str">
        <f>"1417975103"</f>
        <v>1417975103</v>
      </c>
      <c r="B3214" t="str">
        <f>"02782272"</f>
        <v>02782272</v>
      </c>
      <c r="C3214" t="s">
        <v>13436</v>
      </c>
      <c r="D3214" t="s">
        <v>18409</v>
      </c>
      <c r="E3214" t="s">
        <v>18410</v>
      </c>
      <c r="G3214" t="s">
        <v>18411</v>
      </c>
      <c r="L3214" t="s">
        <v>83</v>
      </c>
      <c r="M3214" t="s">
        <v>85</v>
      </c>
      <c r="R3214" t="s">
        <v>18412</v>
      </c>
      <c r="W3214" t="s">
        <v>18410</v>
      </c>
      <c r="X3214" t="s">
        <v>191</v>
      </c>
      <c r="Y3214" t="s">
        <v>97</v>
      </c>
      <c r="Z3214" t="s">
        <v>77</v>
      </c>
      <c r="AA3214" t="str">
        <f>"10019-1147"</f>
        <v>10019-1147</v>
      </c>
      <c r="AB3214" t="s">
        <v>78</v>
      </c>
      <c r="AC3214" t="s">
        <v>79</v>
      </c>
      <c r="AD3214" t="s">
        <v>75</v>
      </c>
      <c r="AE3214" t="s">
        <v>80</v>
      </c>
      <c r="AG3214" t="s">
        <v>81</v>
      </c>
    </row>
    <row r="3215" spans="1:33" x14ac:dyDescent="0.25">
      <c r="A3215" t="str">
        <f>"1225345457"</f>
        <v>1225345457</v>
      </c>
      <c r="B3215" t="str">
        <f>"03647514"</f>
        <v>03647514</v>
      </c>
      <c r="C3215" t="s">
        <v>18413</v>
      </c>
      <c r="D3215" t="s">
        <v>18414</v>
      </c>
      <c r="E3215" t="s">
        <v>18415</v>
      </c>
      <c r="G3215" t="s">
        <v>7218</v>
      </c>
      <c r="H3215" t="s">
        <v>6801</v>
      </c>
      <c r="I3215">
        <v>6136</v>
      </c>
      <c r="J3215" t="s">
        <v>7219</v>
      </c>
      <c r="L3215" t="s">
        <v>74</v>
      </c>
      <c r="M3215" t="s">
        <v>75</v>
      </c>
      <c r="R3215" t="s">
        <v>18416</v>
      </c>
      <c r="W3215" t="s">
        <v>18417</v>
      </c>
      <c r="X3215" t="s">
        <v>17649</v>
      </c>
      <c r="Y3215" t="s">
        <v>327</v>
      </c>
      <c r="Z3215" t="s">
        <v>77</v>
      </c>
      <c r="AA3215" t="str">
        <f>"11415-3609"</f>
        <v>11415-3609</v>
      </c>
      <c r="AB3215" t="s">
        <v>109</v>
      </c>
      <c r="AC3215" t="s">
        <v>79</v>
      </c>
      <c r="AD3215" t="s">
        <v>75</v>
      </c>
      <c r="AE3215" t="s">
        <v>80</v>
      </c>
      <c r="AG3215" t="s">
        <v>81</v>
      </c>
    </row>
    <row r="3216" spans="1:33" x14ac:dyDescent="0.25">
      <c r="A3216" t="str">
        <f>"1225353410"</f>
        <v>1225353410</v>
      </c>
      <c r="C3216" t="s">
        <v>18418</v>
      </c>
      <c r="G3216" t="s">
        <v>7218</v>
      </c>
      <c r="H3216" t="s">
        <v>6801</v>
      </c>
      <c r="I3216">
        <v>6136</v>
      </c>
      <c r="J3216" t="s">
        <v>7219</v>
      </c>
      <c r="K3216" t="s">
        <v>99</v>
      </c>
      <c r="L3216" t="s">
        <v>102</v>
      </c>
      <c r="M3216" t="s">
        <v>75</v>
      </c>
      <c r="R3216" t="s">
        <v>18419</v>
      </c>
      <c r="S3216" t="s">
        <v>18420</v>
      </c>
      <c r="T3216" t="s">
        <v>87</v>
      </c>
      <c r="U3216" t="s">
        <v>77</v>
      </c>
      <c r="V3216" t="str">
        <f>"112203713"</f>
        <v>112203713</v>
      </c>
      <c r="AC3216" t="s">
        <v>79</v>
      </c>
      <c r="AD3216" t="s">
        <v>75</v>
      </c>
      <c r="AE3216" t="s">
        <v>103</v>
      </c>
      <c r="AG3216" t="s">
        <v>81</v>
      </c>
    </row>
    <row r="3217" spans="1:33" x14ac:dyDescent="0.25">
      <c r="A3217" t="str">
        <f>"1225444144"</f>
        <v>1225444144</v>
      </c>
      <c r="C3217" t="s">
        <v>18421</v>
      </c>
      <c r="G3217" t="s">
        <v>7218</v>
      </c>
      <c r="H3217" t="s">
        <v>6801</v>
      </c>
      <c r="I3217">
        <v>6136</v>
      </c>
      <c r="J3217" t="s">
        <v>7219</v>
      </c>
      <c r="K3217" t="s">
        <v>99</v>
      </c>
      <c r="L3217" t="s">
        <v>102</v>
      </c>
      <c r="M3217" t="s">
        <v>75</v>
      </c>
      <c r="R3217" t="s">
        <v>18422</v>
      </c>
      <c r="S3217" t="s">
        <v>14675</v>
      </c>
      <c r="T3217" t="s">
        <v>97</v>
      </c>
      <c r="U3217" t="s">
        <v>77</v>
      </c>
      <c r="V3217" t="str">
        <f>"10001"</f>
        <v>10001</v>
      </c>
      <c r="AC3217" t="s">
        <v>79</v>
      </c>
      <c r="AD3217" t="s">
        <v>75</v>
      </c>
      <c r="AE3217" t="s">
        <v>103</v>
      </c>
      <c r="AG3217" t="s">
        <v>81</v>
      </c>
    </row>
    <row r="3218" spans="1:33" x14ac:dyDescent="0.25">
      <c r="A3218" t="str">
        <f>"1225456619"</f>
        <v>1225456619</v>
      </c>
      <c r="B3218" t="str">
        <f>"03846384"</f>
        <v>03846384</v>
      </c>
      <c r="C3218" t="s">
        <v>18423</v>
      </c>
      <c r="D3218" t="s">
        <v>18424</v>
      </c>
      <c r="E3218" t="s">
        <v>18425</v>
      </c>
      <c r="G3218" t="s">
        <v>7218</v>
      </c>
      <c r="H3218" t="s">
        <v>6801</v>
      </c>
      <c r="I3218">
        <v>6136</v>
      </c>
      <c r="J3218" t="s">
        <v>7219</v>
      </c>
      <c r="L3218" t="s">
        <v>74</v>
      </c>
      <c r="M3218" t="s">
        <v>75</v>
      </c>
      <c r="R3218" t="s">
        <v>18426</v>
      </c>
      <c r="W3218" t="s">
        <v>18425</v>
      </c>
      <c r="X3218" t="s">
        <v>8385</v>
      </c>
      <c r="Y3218" t="s">
        <v>97</v>
      </c>
      <c r="Z3218" t="s">
        <v>77</v>
      </c>
      <c r="AA3218" t="str">
        <f>"10001-2320"</f>
        <v>10001-2320</v>
      </c>
      <c r="AB3218" t="s">
        <v>109</v>
      </c>
      <c r="AC3218" t="s">
        <v>79</v>
      </c>
      <c r="AD3218" t="s">
        <v>75</v>
      </c>
      <c r="AE3218" t="s">
        <v>80</v>
      </c>
      <c r="AG3218" t="s">
        <v>81</v>
      </c>
    </row>
    <row r="3219" spans="1:33" x14ac:dyDescent="0.25">
      <c r="A3219" t="str">
        <f>"1235294703"</f>
        <v>1235294703</v>
      </c>
      <c r="C3219" t="s">
        <v>18427</v>
      </c>
      <c r="G3219" t="s">
        <v>7218</v>
      </c>
      <c r="H3219" t="s">
        <v>6801</v>
      </c>
      <c r="I3219">
        <v>6136</v>
      </c>
      <c r="J3219" t="s">
        <v>7219</v>
      </c>
      <c r="K3219" t="s">
        <v>99</v>
      </c>
      <c r="L3219" t="s">
        <v>74</v>
      </c>
      <c r="M3219" t="s">
        <v>75</v>
      </c>
      <c r="R3219" t="s">
        <v>18428</v>
      </c>
      <c r="S3219" t="s">
        <v>6229</v>
      </c>
      <c r="T3219" t="s">
        <v>97</v>
      </c>
      <c r="U3219" t="s">
        <v>77</v>
      </c>
      <c r="V3219" t="str">
        <f>"100012320"</f>
        <v>100012320</v>
      </c>
      <c r="AC3219" t="s">
        <v>79</v>
      </c>
      <c r="AD3219" t="s">
        <v>75</v>
      </c>
      <c r="AE3219" t="s">
        <v>103</v>
      </c>
      <c r="AG3219" t="s">
        <v>81</v>
      </c>
    </row>
    <row r="3220" spans="1:33" x14ac:dyDescent="0.25">
      <c r="A3220" t="str">
        <f>"1235294794"</f>
        <v>1235294794</v>
      </c>
      <c r="B3220" t="str">
        <f>"02452064"</f>
        <v>02452064</v>
      </c>
      <c r="C3220" t="s">
        <v>18429</v>
      </c>
      <c r="D3220" t="s">
        <v>18430</v>
      </c>
      <c r="E3220" t="s">
        <v>18431</v>
      </c>
      <c r="G3220" t="s">
        <v>7218</v>
      </c>
      <c r="H3220" t="s">
        <v>6801</v>
      </c>
      <c r="I3220">
        <v>6136</v>
      </c>
      <c r="J3220" t="s">
        <v>7219</v>
      </c>
      <c r="L3220" t="s">
        <v>74</v>
      </c>
      <c r="M3220" t="s">
        <v>75</v>
      </c>
      <c r="R3220" t="s">
        <v>18431</v>
      </c>
      <c r="W3220" t="s">
        <v>18432</v>
      </c>
      <c r="X3220" t="s">
        <v>18433</v>
      </c>
      <c r="Y3220" t="s">
        <v>236</v>
      </c>
      <c r="Z3220" t="s">
        <v>77</v>
      </c>
      <c r="AA3220" t="str">
        <f>"11101-1524"</f>
        <v>11101-1524</v>
      </c>
      <c r="AB3220" t="s">
        <v>113</v>
      </c>
      <c r="AC3220" t="s">
        <v>79</v>
      </c>
      <c r="AD3220" t="s">
        <v>75</v>
      </c>
      <c r="AE3220" t="s">
        <v>80</v>
      </c>
      <c r="AG3220" t="s">
        <v>81</v>
      </c>
    </row>
    <row r="3221" spans="1:33" x14ac:dyDescent="0.25">
      <c r="A3221" t="str">
        <f>"1245595511"</f>
        <v>1245595511</v>
      </c>
      <c r="C3221" t="s">
        <v>18434</v>
      </c>
      <c r="G3221" t="s">
        <v>7218</v>
      </c>
      <c r="H3221" t="s">
        <v>6801</v>
      </c>
      <c r="I3221">
        <v>6136</v>
      </c>
      <c r="J3221" t="s">
        <v>7219</v>
      </c>
      <c r="K3221" t="s">
        <v>99</v>
      </c>
      <c r="L3221" t="s">
        <v>102</v>
      </c>
      <c r="M3221" t="s">
        <v>75</v>
      </c>
      <c r="R3221" t="s">
        <v>18435</v>
      </c>
      <c r="S3221" t="s">
        <v>2997</v>
      </c>
      <c r="T3221" t="s">
        <v>87</v>
      </c>
      <c r="U3221" t="s">
        <v>77</v>
      </c>
      <c r="V3221" t="str">
        <f>"112014333"</f>
        <v>112014333</v>
      </c>
      <c r="AC3221" t="s">
        <v>79</v>
      </c>
      <c r="AD3221" t="s">
        <v>75</v>
      </c>
      <c r="AE3221" t="s">
        <v>103</v>
      </c>
      <c r="AG3221" t="s">
        <v>81</v>
      </c>
    </row>
    <row r="3222" spans="1:33" x14ac:dyDescent="0.25">
      <c r="A3222" t="str">
        <f>"1255534368"</f>
        <v>1255534368</v>
      </c>
      <c r="B3222" t="str">
        <f>"03212131"</f>
        <v>03212131</v>
      </c>
      <c r="C3222" t="s">
        <v>18436</v>
      </c>
      <c r="D3222" t="s">
        <v>18437</v>
      </c>
      <c r="E3222" t="s">
        <v>18438</v>
      </c>
      <c r="G3222" t="s">
        <v>7218</v>
      </c>
      <c r="H3222" t="s">
        <v>6801</v>
      </c>
      <c r="I3222">
        <v>6136</v>
      </c>
      <c r="J3222" t="s">
        <v>7219</v>
      </c>
      <c r="L3222" t="s">
        <v>74</v>
      </c>
      <c r="M3222" t="s">
        <v>75</v>
      </c>
      <c r="R3222" t="s">
        <v>18439</v>
      </c>
      <c r="W3222" t="s">
        <v>18440</v>
      </c>
      <c r="X3222" t="s">
        <v>9151</v>
      </c>
      <c r="Y3222" t="s">
        <v>97</v>
      </c>
      <c r="Z3222" t="s">
        <v>77</v>
      </c>
      <c r="AA3222" t="str">
        <f>"10001-2320"</f>
        <v>10001-2320</v>
      </c>
      <c r="AB3222" t="s">
        <v>113</v>
      </c>
      <c r="AC3222" t="s">
        <v>79</v>
      </c>
      <c r="AD3222" t="s">
        <v>75</v>
      </c>
      <c r="AE3222" t="s">
        <v>80</v>
      </c>
      <c r="AG3222" t="s">
        <v>81</v>
      </c>
    </row>
    <row r="3223" spans="1:33" x14ac:dyDescent="0.25">
      <c r="A3223" t="str">
        <f>"1255615795"</f>
        <v>1255615795</v>
      </c>
      <c r="B3223" t="str">
        <f>"03523104"</f>
        <v>03523104</v>
      </c>
      <c r="C3223" t="s">
        <v>18441</v>
      </c>
      <c r="D3223" t="s">
        <v>18442</v>
      </c>
      <c r="E3223" t="s">
        <v>18443</v>
      </c>
      <c r="G3223" t="s">
        <v>7218</v>
      </c>
      <c r="H3223" t="s">
        <v>6801</v>
      </c>
      <c r="I3223">
        <v>6136</v>
      </c>
      <c r="J3223" t="s">
        <v>7219</v>
      </c>
      <c r="L3223" t="s">
        <v>74</v>
      </c>
      <c r="M3223" t="s">
        <v>75</v>
      </c>
      <c r="R3223" t="s">
        <v>18444</v>
      </c>
      <c r="W3223" t="s">
        <v>18443</v>
      </c>
      <c r="X3223" t="s">
        <v>8686</v>
      </c>
      <c r="Y3223" t="s">
        <v>145</v>
      </c>
      <c r="Z3223" t="s">
        <v>77</v>
      </c>
      <c r="AA3223" t="str">
        <f>"11361-3241"</f>
        <v>11361-3241</v>
      </c>
      <c r="AB3223" t="s">
        <v>113</v>
      </c>
      <c r="AC3223" t="s">
        <v>79</v>
      </c>
      <c r="AD3223" t="s">
        <v>75</v>
      </c>
      <c r="AE3223" t="s">
        <v>80</v>
      </c>
      <c r="AG3223" t="s">
        <v>81</v>
      </c>
    </row>
    <row r="3224" spans="1:33" x14ac:dyDescent="0.25">
      <c r="A3224" t="str">
        <f>"1255774782"</f>
        <v>1255774782</v>
      </c>
      <c r="C3224" t="s">
        <v>18445</v>
      </c>
      <c r="G3224" t="s">
        <v>7218</v>
      </c>
      <c r="H3224" t="s">
        <v>6801</v>
      </c>
      <c r="I3224">
        <v>6136</v>
      </c>
      <c r="J3224" t="s">
        <v>7219</v>
      </c>
      <c r="K3224" t="s">
        <v>99</v>
      </c>
      <c r="L3224" t="s">
        <v>74</v>
      </c>
      <c r="M3224" t="s">
        <v>75</v>
      </c>
      <c r="R3224" t="s">
        <v>18446</v>
      </c>
      <c r="S3224" t="s">
        <v>14675</v>
      </c>
      <c r="T3224" t="s">
        <v>97</v>
      </c>
      <c r="U3224" t="s">
        <v>77</v>
      </c>
      <c r="V3224" t="str">
        <f>"10001"</f>
        <v>10001</v>
      </c>
      <c r="AC3224" t="s">
        <v>79</v>
      </c>
      <c r="AD3224" t="s">
        <v>75</v>
      </c>
      <c r="AE3224" t="s">
        <v>103</v>
      </c>
      <c r="AG3224" t="s">
        <v>81</v>
      </c>
    </row>
    <row r="3225" spans="1:33" x14ac:dyDescent="0.25">
      <c r="A3225" t="str">
        <f>"1700213501"</f>
        <v>1700213501</v>
      </c>
      <c r="C3225" t="s">
        <v>18447</v>
      </c>
      <c r="G3225" t="s">
        <v>17283</v>
      </c>
      <c r="H3225" t="s">
        <v>1118</v>
      </c>
      <c r="I3225">
        <v>235</v>
      </c>
      <c r="J3225" t="s">
        <v>17284</v>
      </c>
      <c r="K3225" t="s">
        <v>99</v>
      </c>
      <c r="L3225" t="s">
        <v>102</v>
      </c>
      <c r="M3225" t="s">
        <v>75</v>
      </c>
      <c r="R3225" t="s">
        <v>1447</v>
      </c>
      <c r="S3225" t="s">
        <v>1124</v>
      </c>
      <c r="T3225" t="s">
        <v>190</v>
      </c>
      <c r="U3225" t="s">
        <v>77</v>
      </c>
      <c r="V3225" t="str">
        <f>"111012822"</f>
        <v>111012822</v>
      </c>
      <c r="AC3225" t="s">
        <v>79</v>
      </c>
      <c r="AD3225" t="s">
        <v>75</v>
      </c>
      <c r="AE3225" t="s">
        <v>103</v>
      </c>
      <c r="AG3225" t="s">
        <v>81</v>
      </c>
    </row>
    <row r="3226" spans="1:33" x14ac:dyDescent="0.25">
      <c r="A3226" t="str">
        <f>"1861821233"</f>
        <v>1861821233</v>
      </c>
      <c r="C3226" t="s">
        <v>18448</v>
      </c>
      <c r="G3226" t="s">
        <v>17283</v>
      </c>
      <c r="H3226" t="s">
        <v>1118</v>
      </c>
      <c r="I3226">
        <v>235</v>
      </c>
      <c r="J3226" t="s">
        <v>17284</v>
      </c>
      <c r="K3226" t="s">
        <v>99</v>
      </c>
      <c r="L3226" t="s">
        <v>102</v>
      </c>
      <c r="M3226" t="s">
        <v>75</v>
      </c>
      <c r="R3226" t="s">
        <v>1125</v>
      </c>
      <c r="S3226" t="s">
        <v>1124</v>
      </c>
      <c r="T3226" t="s">
        <v>190</v>
      </c>
      <c r="U3226" t="s">
        <v>77</v>
      </c>
      <c r="V3226" t="str">
        <f>"111012822"</f>
        <v>111012822</v>
      </c>
      <c r="AC3226" t="s">
        <v>79</v>
      </c>
      <c r="AD3226" t="s">
        <v>75</v>
      </c>
      <c r="AE3226" t="s">
        <v>103</v>
      </c>
      <c r="AG3226" t="s">
        <v>81</v>
      </c>
    </row>
    <row r="3227" spans="1:33" x14ac:dyDescent="0.25">
      <c r="A3227" t="str">
        <f>"1952726481"</f>
        <v>1952726481</v>
      </c>
      <c r="C3227" t="s">
        <v>18449</v>
      </c>
      <c r="G3227" t="s">
        <v>17283</v>
      </c>
      <c r="H3227" t="s">
        <v>1118</v>
      </c>
      <c r="I3227">
        <v>235</v>
      </c>
      <c r="J3227" t="s">
        <v>17284</v>
      </c>
      <c r="K3227" t="s">
        <v>99</v>
      </c>
      <c r="L3227" t="s">
        <v>102</v>
      </c>
      <c r="M3227" t="s">
        <v>75</v>
      </c>
      <c r="R3227" t="s">
        <v>1126</v>
      </c>
      <c r="S3227" t="s">
        <v>1124</v>
      </c>
      <c r="T3227" t="s">
        <v>190</v>
      </c>
      <c r="U3227" t="s">
        <v>77</v>
      </c>
      <c r="V3227" t="str">
        <f>"111012822"</f>
        <v>111012822</v>
      </c>
      <c r="AC3227" t="s">
        <v>79</v>
      </c>
      <c r="AD3227" t="s">
        <v>75</v>
      </c>
      <c r="AE3227" t="s">
        <v>103</v>
      </c>
      <c r="AG3227" t="s">
        <v>81</v>
      </c>
    </row>
    <row r="3228" spans="1:33" x14ac:dyDescent="0.25">
      <c r="A3228" t="str">
        <f>"1275663106"</f>
        <v>1275663106</v>
      </c>
      <c r="B3228" t="str">
        <f>"01852428"</f>
        <v>01852428</v>
      </c>
      <c r="C3228" t="s">
        <v>18450</v>
      </c>
      <c r="D3228" t="s">
        <v>1439</v>
      </c>
      <c r="E3228" t="s">
        <v>1440</v>
      </c>
      <c r="G3228" t="s">
        <v>17283</v>
      </c>
      <c r="H3228" t="s">
        <v>1118</v>
      </c>
      <c r="I3228">
        <v>235</v>
      </c>
      <c r="J3228" t="s">
        <v>17284</v>
      </c>
      <c r="L3228" t="s">
        <v>105</v>
      </c>
      <c r="M3228" t="s">
        <v>85</v>
      </c>
      <c r="R3228" t="s">
        <v>1441</v>
      </c>
      <c r="W3228" t="s">
        <v>1440</v>
      </c>
      <c r="X3228" t="s">
        <v>818</v>
      </c>
      <c r="Y3228" t="s">
        <v>171</v>
      </c>
      <c r="Z3228" t="s">
        <v>77</v>
      </c>
      <c r="AA3228" t="str">
        <f>"11435-3647"</f>
        <v>11435-3647</v>
      </c>
      <c r="AB3228" t="s">
        <v>78</v>
      </c>
      <c r="AC3228" t="s">
        <v>79</v>
      </c>
      <c r="AD3228" t="s">
        <v>75</v>
      </c>
      <c r="AE3228" t="s">
        <v>80</v>
      </c>
      <c r="AG3228" t="s">
        <v>81</v>
      </c>
    </row>
    <row r="3229" spans="1:33" x14ac:dyDescent="0.25">
      <c r="A3229" t="str">
        <f>"1265737449"</f>
        <v>1265737449</v>
      </c>
      <c r="C3229" t="s">
        <v>18451</v>
      </c>
      <c r="G3229" t="s">
        <v>17283</v>
      </c>
      <c r="H3229" t="s">
        <v>1118</v>
      </c>
      <c r="I3229">
        <v>235</v>
      </c>
      <c r="J3229" t="s">
        <v>17284</v>
      </c>
      <c r="K3229" t="s">
        <v>99</v>
      </c>
      <c r="L3229" t="s">
        <v>74</v>
      </c>
      <c r="M3229" t="s">
        <v>75</v>
      </c>
      <c r="R3229" t="s">
        <v>1438</v>
      </c>
      <c r="S3229" t="s">
        <v>1124</v>
      </c>
      <c r="T3229" t="s">
        <v>190</v>
      </c>
      <c r="U3229" t="s">
        <v>77</v>
      </c>
      <c r="V3229" t="str">
        <f>"111012822"</f>
        <v>111012822</v>
      </c>
      <c r="AC3229" t="s">
        <v>79</v>
      </c>
      <c r="AD3229" t="s">
        <v>75</v>
      </c>
      <c r="AE3229" t="s">
        <v>103</v>
      </c>
      <c r="AG3229" t="s">
        <v>81</v>
      </c>
    </row>
    <row r="3230" spans="1:33" x14ac:dyDescent="0.25">
      <c r="A3230" t="str">
        <f>"1083700926"</f>
        <v>1083700926</v>
      </c>
      <c r="B3230" t="str">
        <f>"02126570"</f>
        <v>02126570</v>
      </c>
      <c r="C3230" t="s">
        <v>13436</v>
      </c>
      <c r="D3230" t="s">
        <v>18452</v>
      </c>
      <c r="E3230" t="s">
        <v>18453</v>
      </c>
      <c r="G3230" t="s">
        <v>18454</v>
      </c>
      <c r="L3230" t="s">
        <v>84</v>
      </c>
      <c r="M3230" t="s">
        <v>85</v>
      </c>
      <c r="R3230" t="s">
        <v>18455</v>
      </c>
      <c r="W3230" t="s">
        <v>18456</v>
      </c>
      <c r="X3230" t="s">
        <v>18457</v>
      </c>
      <c r="Y3230" t="s">
        <v>97</v>
      </c>
      <c r="Z3230" t="s">
        <v>77</v>
      </c>
      <c r="AA3230" t="str">
        <f>"10019-3823"</f>
        <v>10019-3823</v>
      </c>
      <c r="AB3230" t="s">
        <v>78</v>
      </c>
      <c r="AC3230" t="s">
        <v>79</v>
      </c>
      <c r="AD3230" t="s">
        <v>75</v>
      </c>
      <c r="AE3230" t="s">
        <v>80</v>
      </c>
      <c r="AG3230" t="s">
        <v>81</v>
      </c>
    </row>
    <row r="3231" spans="1:33" x14ac:dyDescent="0.25">
      <c r="A3231" t="str">
        <f>"1083765721"</f>
        <v>1083765721</v>
      </c>
      <c r="B3231" t="str">
        <f>"00865352"</f>
        <v>00865352</v>
      </c>
      <c r="C3231" t="s">
        <v>13436</v>
      </c>
      <c r="D3231" t="s">
        <v>18458</v>
      </c>
      <c r="E3231" t="s">
        <v>18459</v>
      </c>
      <c r="G3231" t="s">
        <v>18460</v>
      </c>
      <c r="L3231" t="s">
        <v>83</v>
      </c>
      <c r="M3231" t="s">
        <v>85</v>
      </c>
      <c r="R3231" t="s">
        <v>18461</v>
      </c>
      <c r="W3231" t="s">
        <v>18459</v>
      </c>
      <c r="X3231" t="s">
        <v>18462</v>
      </c>
      <c r="Y3231" t="s">
        <v>97</v>
      </c>
      <c r="Z3231" t="s">
        <v>77</v>
      </c>
      <c r="AA3231" t="str">
        <f>"10032-3733"</f>
        <v>10032-3733</v>
      </c>
      <c r="AB3231" t="s">
        <v>78</v>
      </c>
      <c r="AC3231" t="s">
        <v>79</v>
      </c>
      <c r="AD3231" t="s">
        <v>75</v>
      </c>
      <c r="AE3231" t="s">
        <v>80</v>
      </c>
      <c r="AG3231" t="s">
        <v>81</v>
      </c>
    </row>
    <row r="3232" spans="1:33" x14ac:dyDescent="0.25">
      <c r="A3232" t="str">
        <f>"1073686721"</f>
        <v>1073686721</v>
      </c>
      <c r="B3232" t="str">
        <f>"01362129"</f>
        <v>01362129</v>
      </c>
      <c r="C3232" t="s">
        <v>13436</v>
      </c>
      <c r="D3232" t="s">
        <v>18463</v>
      </c>
      <c r="E3232" t="s">
        <v>18464</v>
      </c>
      <c r="G3232" t="s">
        <v>18465</v>
      </c>
      <c r="L3232" t="s">
        <v>83</v>
      </c>
      <c r="M3232" t="s">
        <v>85</v>
      </c>
      <c r="R3232" t="s">
        <v>18466</v>
      </c>
      <c r="W3232" t="s">
        <v>18464</v>
      </c>
      <c r="X3232" t="s">
        <v>1333</v>
      </c>
      <c r="Y3232" t="s">
        <v>97</v>
      </c>
      <c r="Z3232" t="s">
        <v>77</v>
      </c>
      <c r="AA3232" t="str">
        <f>"10019"</f>
        <v>10019</v>
      </c>
      <c r="AB3232" t="s">
        <v>78</v>
      </c>
      <c r="AC3232" t="s">
        <v>79</v>
      </c>
      <c r="AD3232" t="s">
        <v>75</v>
      </c>
      <c r="AE3232" t="s">
        <v>80</v>
      </c>
      <c r="AG3232" t="s">
        <v>81</v>
      </c>
    </row>
    <row r="3233" spans="1:33" x14ac:dyDescent="0.25">
      <c r="A3233" t="str">
        <f>"1043203995"</f>
        <v>1043203995</v>
      </c>
      <c r="B3233" t="str">
        <f>"00934785"</f>
        <v>00934785</v>
      </c>
      <c r="C3233" t="s">
        <v>13436</v>
      </c>
      <c r="D3233" t="s">
        <v>18467</v>
      </c>
      <c r="E3233" t="s">
        <v>18468</v>
      </c>
      <c r="G3233" t="s">
        <v>18469</v>
      </c>
      <c r="L3233" t="s">
        <v>83</v>
      </c>
      <c r="M3233" t="s">
        <v>85</v>
      </c>
      <c r="R3233" t="s">
        <v>18470</v>
      </c>
      <c r="W3233" t="s">
        <v>18471</v>
      </c>
      <c r="X3233" t="s">
        <v>18472</v>
      </c>
      <c r="Y3233" t="s">
        <v>146</v>
      </c>
      <c r="Z3233" t="s">
        <v>77</v>
      </c>
      <c r="AA3233" t="str">
        <f>"10595"</f>
        <v>10595</v>
      </c>
      <c r="AB3233" t="s">
        <v>78</v>
      </c>
      <c r="AC3233" t="s">
        <v>79</v>
      </c>
      <c r="AD3233" t="s">
        <v>75</v>
      </c>
      <c r="AE3233" t="s">
        <v>80</v>
      </c>
      <c r="AG3233" t="s">
        <v>81</v>
      </c>
    </row>
    <row r="3234" spans="1:33" x14ac:dyDescent="0.25">
      <c r="A3234" t="str">
        <f>"1053315762"</f>
        <v>1053315762</v>
      </c>
      <c r="B3234" t="str">
        <f>"01150696"</f>
        <v>01150696</v>
      </c>
      <c r="C3234" t="s">
        <v>13436</v>
      </c>
      <c r="D3234" t="s">
        <v>18473</v>
      </c>
      <c r="E3234" t="s">
        <v>18474</v>
      </c>
      <c r="G3234" t="s">
        <v>18475</v>
      </c>
      <c r="L3234" t="s">
        <v>83</v>
      </c>
      <c r="M3234" t="s">
        <v>85</v>
      </c>
      <c r="R3234" t="s">
        <v>18476</v>
      </c>
      <c r="W3234" t="s">
        <v>18474</v>
      </c>
      <c r="X3234" t="s">
        <v>9005</v>
      </c>
      <c r="Y3234" t="s">
        <v>97</v>
      </c>
      <c r="Z3234" t="s">
        <v>77</v>
      </c>
      <c r="AA3234" t="str">
        <f>"10011-2172"</f>
        <v>10011-2172</v>
      </c>
      <c r="AB3234" t="s">
        <v>78</v>
      </c>
      <c r="AC3234" t="s">
        <v>79</v>
      </c>
      <c r="AD3234" t="s">
        <v>75</v>
      </c>
      <c r="AE3234" t="s">
        <v>80</v>
      </c>
      <c r="AG3234" t="s">
        <v>81</v>
      </c>
    </row>
    <row r="3235" spans="1:33" x14ac:dyDescent="0.25">
      <c r="A3235" t="str">
        <f>"1053451559"</f>
        <v>1053451559</v>
      </c>
      <c r="B3235" t="str">
        <f>"02793713"</f>
        <v>02793713</v>
      </c>
      <c r="C3235" t="s">
        <v>13436</v>
      </c>
      <c r="D3235" t="s">
        <v>18477</v>
      </c>
      <c r="E3235" t="s">
        <v>18478</v>
      </c>
      <c r="G3235" t="s">
        <v>18479</v>
      </c>
      <c r="L3235" t="s">
        <v>84</v>
      </c>
      <c r="M3235" t="s">
        <v>85</v>
      </c>
      <c r="R3235" t="s">
        <v>18478</v>
      </c>
      <c r="W3235" t="s">
        <v>18480</v>
      </c>
      <c r="X3235" t="s">
        <v>4761</v>
      </c>
      <c r="Y3235" t="s">
        <v>131</v>
      </c>
      <c r="Z3235" t="s">
        <v>77</v>
      </c>
      <c r="AA3235" t="str">
        <f>"10459-3913"</f>
        <v>10459-3913</v>
      </c>
      <c r="AB3235" t="s">
        <v>78</v>
      </c>
      <c r="AC3235" t="s">
        <v>79</v>
      </c>
      <c r="AD3235" t="s">
        <v>75</v>
      </c>
      <c r="AE3235" t="s">
        <v>80</v>
      </c>
      <c r="AG3235" t="s">
        <v>81</v>
      </c>
    </row>
    <row r="3236" spans="1:33" x14ac:dyDescent="0.25">
      <c r="A3236" t="str">
        <f>"1053468868"</f>
        <v>1053468868</v>
      </c>
      <c r="B3236" t="str">
        <f>"03524701"</f>
        <v>03524701</v>
      </c>
      <c r="C3236" t="s">
        <v>13436</v>
      </c>
      <c r="D3236" t="s">
        <v>1424</v>
      </c>
      <c r="E3236" t="s">
        <v>1425</v>
      </c>
      <c r="G3236" t="s">
        <v>18481</v>
      </c>
      <c r="L3236" t="s">
        <v>83</v>
      </c>
      <c r="M3236" t="s">
        <v>85</v>
      </c>
      <c r="R3236" t="s">
        <v>1426</v>
      </c>
      <c r="W3236" t="s">
        <v>1425</v>
      </c>
      <c r="X3236" t="s">
        <v>1033</v>
      </c>
      <c r="Y3236" t="s">
        <v>97</v>
      </c>
      <c r="Z3236" t="s">
        <v>77</v>
      </c>
      <c r="AA3236" t="str">
        <f>"10013-4555"</f>
        <v>10013-4555</v>
      </c>
      <c r="AB3236" t="s">
        <v>78</v>
      </c>
      <c r="AC3236" t="s">
        <v>79</v>
      </c>
      <c r="AD3236" t="s">
        <v>75</v>
      </c>
      <c r="AE3236" t="s">
        <v>80</v>
      </c>
      <c r="AG3236" t="s">
        <v>81</v>
      </c>
    </row>
    <row r="3237" spans="1:33" x14ac:dyDescent="0.25">
      <c r="A3237" t="str">
        <f>"1053534578"</f>
        <v>1053534578</v>
      </c>
      <c r="B3237" t="str">
        <f>"00487729"</f>
        <v>00487729</v>
      </c>
      <c r="C3237" t="s">
        <v>13436</v>
      </c>
      <c r="D3237" t="s">
        <v>18482</v>
      </c>
      <c r="E3237" t="s">
        <v>18483</v>
      </c>
      <c r="G3237" t="s">
        <v>18484</v>
      </c>
      <c r="L3237" t="s">
        <v>83</v>
      </c>
      <c r="M3237" t="s">
        <v>85</v>
      </c>
      <c r="R3237" t="s">
        <v>18485</v>
      </c>
      <c r="W3237" t="s">
        <v>18483</v>
      </c>
      <c r="X3237" t="s">
        <v>18486</v>
      </c>
      <c r="Y3237" t="s">
        <v>302</v>
      </c>
      <c r="Z3237" t="s">
        <v>77</v>
      </c>
      <c r="AA3237" t="str">
        <f>"12553-7805"</f>
        <v>12553-7805</v>
      </c>
      <c r="AB3237" t="s">
        <v>78</v>
      </c>
      <c r="AC3237" t="s">
        <v>79</v>
      </c>
      <c r="AD3237" t="s">
        <v>75</v>
      </c>
      <c r="AE3237" t="s">
        <v>80</v>
      </c>
      <c r="AG3237" t="s">
        <v>81</v>
      </c>
    </row>
    <row r="3238" spans="1:33" x14ac:dyDescent="0.25">
      <c r="A3238" t="str">
        <f>"1053622449"</f>
        <v>1053622449</v>
      </c>
      <c r="B3238" t="str">
        <f>"04229067"</f>
        <v>04229067</v>
      </c>
      <c r="C3238" t="s">
        <v>13436</v>
      </c>
      <c r="D3238" t="s">
        <v>18487</v>
      </c>
      <c r="E3238" t="s">
        <v>18488</v>
      </c>
      <c r="G3238" t="s">
        <v>18489</v>
      </c>
      <c r="L3238" t="s">
        <v>74</v>
      </c>
      <c r="M3238" t="s">
        <v>85</v>
      </c>
      <c r="R3238" t="s">
        <v>18490</v>
      </c>
      <c r="W3238" t="s">
        <v>18488</v>
      </c>
      <c r="X3238" t="s">
        <v>18491</v>
      </c>
      <c r="Y3238" t="s">
        <v>97</v>
      </c>
      <c r="Z3238" t="s">
        <v>77</v>
      </c>
      <c r="AA3238" t="str">
        <f>"10023-4198"</f>
        <v>10023-4198</v>
      </c>
      <c r="AB3238" t="s">
        <v>78</v>
      </c>
      <c r="AC3238" t="s">
        <v>79</v>
      </c>
      <c r="AD3238" t="s">
        <v>75</v>
      </c>
      <c r="AE3238" t="s">
        <v>80</v>
      </c>
      <c r="AG3238" t="s">
        <v>81</v>
      </c>
    </row>
    <row r="3239" spans="1:33" x14ac:dyDescent="0.25">
      <c r="A3239" t="str">
        <f>"1063415420"</f>
        <v>1063415420</v>
      </c>
      <c r="B3239" t="str">
        <f>"01172898"</f>
        <v>01172898</v>
      </c>
      <c r="C3239" t="s">
        <v>13436</v>
      </c>
      <c r="D3239" t="s">
        <v>1068</v>
      </c>
      <c r="E3239" t="s">
        <v>1069</v>
      </c>
      <c r="G3239" t="s">
        <v>18492</v>
      </c>
      <c r="L3239" t="s">
        <v>83</v>
      </c>
      <c r="M3239" t="s">
        <v>85</v>
      </c>
      <c r="R3239" t="s">
        <v>1070</v>
      </c>
      <c r="W3239" t="s">
        <v>1069</v>
      </c>
      <c r="X3239" t="s">
        <v>1071</v>
      </c>
      <c r="Y3239" t="s">
        <v>97</v>
      </c>
      <c r="Z3239" t="s">
        <v>77</v>
      </c>
      <c r="AA3239" t="str">
        <f>"10065-7471"</f>
        <v>10065-7471</v>
      </c>
      <c r="AB3239" t="s">
        <v>78</v>
      </c>
      <c r="AC3239" t="s">
        <v>79</v>
      </c>
      <c r="AD3239" t="s">
        <v>75</v>
      </c>
      <c r="AE3239" t="s">
        <v>80</v>
      </c>
      <c r="AG3239" t="s">
        <v>81</v>
      </c>
    </row>
    <row r="3240" spans="1:33" x14ac:dyDescent="0.25">
      <c r="A3240" t="str">
        <f>"1073776126"</f>
        <v>1073776126</v>
      </c>
      <c r="B3240" t="str">
        <f>"03469596"</f>
        <v>03469596</v>
      </c>
      <c r="C3240" t="s">
        <v>13436</v>
      </c>
      <c r="D3240" t="s">
        <v>18493</v>
      </c>
      <c r="E3240" t="s">
        <v>18494</v>
      </c>
      <c r="G3240" t="s">
        <v>18495</v>
      </c>
      <c r="L3240" t="s">
        <v>83</v>
      </c>
      <c r="M3240" t="s">
        <v>85</v>
      </c>
      <c r="R3240" t="s">
        <v>18496</v>
      </c>
      <c r="W3240" t="s">
        <v>18494</v>
      </c>
      <c r="X3240" t="s">
        <v>18497</v>
      </c>
      <c r="Y3240" t="s">
        <v>97</v>
      </c>
      <c r="Z3240" t="s">
        <v>77</v>
      </c>
      <c r="AA3240" t="str">
        <f>"10019-6113"</f>
        <v>10019-6113</v>
      </c>
      <c r="AB3240" t="s">
        <v>78</v>
      </c>
      <c r="AC3240" t="s">
        <v>79</v>
      </c>
      <c r="AD3240" t="s">
        <v>75</v>
      </c>
      <c r="AE3240" t="s">
        <v>80</v>
      </c>
      <c r="AG3240" t="s">
        <v>81</v>
      </c>
    </row>
    <row r="3241" spans="1:33" x14ac:dyDescent="0.25">
      <c r="A3241" t="str">
        <f>"1093715187"</f>
        <v>1093715187</v>
      </c>
      <c r="B3241" t="str">
        <f>"02517215"</f>
        <v>02517215</v>
      </c>
      <c r="C3241" t="s">
        <v>13436</v>
      </c>
      <c r="D3241" t="s">
        <v>18498</v>
      </c>
      <c r="E3241" t="s">
        <v>18499</v>
      </c>
      <c r="G3241" t="s">
        <v>18500</v>
      </c>
      <c r="L3241" t="s">
        <v>83</v>
      </c>
      <c r="M3241" t="s">
        <v>85</v>
      </c>
      <c r="R3241" t="s">
        <v>18501</v>
      </c>
      <c r="W3241" t="s">
        <v>18502</v>
      </c>
      <c r="X3241" t="s">
        <v>18503</v>
      </c>
      <c r="Y3241" t="s">
        <v>2068</v>
      </c>
      <c r="Z3241" t="s">
        <v>77</v>
      </c>
      <c r="AA3241" t="str">
        <f>"11725-3412"</f>
        <v>11725-3412</v>
      </c>
      <c r="AB3241" t="s">
        <v>78</v>
      </c>
      <c r="AC3241" t="s">
        <v>79</v>
      </c>
      <c r="AD3241" t="s">
        <v>75</v>
      </c>
      <c r="AE3241" t="s">
        <v>80</v>
      </c>
      <c r="AG3241" t="s">
        <v>81</v>
      </c>
    </row>
    <row r="3242" spans="1:33" x14ac:dyDescent="0.25">
      <c r="A3242" t="str">
        <f>"1104083245"</f>
        <v>1104083245</v>
      </c>
      <c r="B3242" t="str">
        <f>"03078659"</f>
        <v>03078659</v>
      </c>
      <c r="C3242" t="s">
        <v>13436</v>
      </c>
      <c r="D3242" t="s">
        <v>18504</v>
      </c>
      <c r="E3242" t="s">
        <v>18505</v>
      </c>
      <c r="G3242" t="s">
        <v>18506</v>
      </c>
      <c r="L3242" t="s">
        <v>83</v>
      </c>
      <c r="M3242" t="s">
        <v>85</v>
      </c>
      <c r="R3242" t="s">
        <v>18507</v>
      </c>
      <c r="W3242" t="s">
        <v>18508</v>
      </c>
      <c r="X3242" t="s">
        <v>18509</v>
      </c>
      <c r="Y3242" t="s">
        <v>97</v>
      </c>
      <c r="Z3242" t="s">
        <v>77</v>
      </c>
      <c r="AA3242" t="str">
        <f>"10075-0000"</f>
        <v>10075-0000</v>
      </c>
      <c r="AB3242" t="s">
        <v>78</v>
      </c>
      <c r="AC3242" t="s">
        <v>79</v>
      </c>
      <c r="AD3242" t="s">
        <v>75</v>
      </c>
      <c r="AE3242" t="s">
        <v>80</v>
      </c>
      <c r="AG3242" t="s">
        <v>81</v>
      </c>
    </row>
    <row r="3243" spans="1:33" x14ac:dyDescent="0.25">
      <c r="A3243" t="str">
        <f>"1285791905"</f>
        <v>1285791905</v>
      </c>
      <c r="B3243" t="str">
        <f>"02395251"</f>
        <v>02395251</v>
      </c>
      <c r="C3243" t="s">
        <v>13436</v>
      </c>
      <c r="D3243" t="s">
        <v>18510</v>
      </c>
      <c r="E3243" t="s">
        <v>18511</v>
      </c>
      <c r="G3243" t="s">
        <v>18512</v>
      </c>
      <c r="L3243" t="s">
        <v>83</v>
      </c>
      <c r="M3243" t="s">
        <v>85</v>
      </c>
      <c r="R3243" t="s">
        <v>18513</v>
      </c>
      <c r="W3243" t="s">
        <v>18511</v>
      </c>
      <c r="X3243" t="s">
        <v>1734</v>
      </c>
      <c r="Y3243" t="s">
        <v>97</v>
      </c>
      <c r="Z3243" t="s">
        <v>77</v>
      </c>
      <c r="AA3243" t="str">
        <f>"10032-3726"</f>
        <v>10032-3726</v>
      </c>
      <c r="AB3243" t="s">
        <v>78</v>
      </c>
      <c r="AC3243" t="s">
        <v>79</v>
      </c>
      <c r="AD3243" t="s">
        <v>75</v>
      </c>
      <c r="AE3243" t="s">
        <v>80</v>
      </c>
      <c r="AG3243" t="s">
        <v>81</v>
      </c>
    </row>
    <row r="3244" spans="1:33" x14ac:dyDescent="0.25">
      <c r="A3244" t="str">
        <f>"1285799049"</f>
        <v>1285799049</v>
      </c>
      <c r="B3244" t="str">
        <f>"03107513"</f>
        <v>03107513</v>
      </c>
      <c r="C3244" t="s">
        <v>13436</v>
      </c>
      <c r="D3244" t="s">
        <v>18514</v>
      </c>
      <c r="E3244" t="s">
        <v>18515</v>
      </c>
      <c r="G3244" t="s">
        <v>18516</v>
      </c>
      <c r="L3244" t="s">
        <v>84</v>
      </c>
      <c r="M3244" t="s">
        <v>85</v>
      </c>
      <c r="R3244" t="s">
        <v>18517</v>
      </c>
      <c r="W3244" t="s">
        <v>18518</v>
      </c>
      <c r="X3244" t="s">
        <v>181</v>
      </c>
      <c r="Y3244" t="s">
        <v>97</v>
      </c>
      <c r="Z3244" t="s">
        <v>77</v>
      </c>
      <c r="AA3244" t="str">
        <f>"10025-1716"</f>
        <v>10025-1716</v>
      </c>
      <c r="AB3244" t="s">
        <v>78</v>
      </c>
      <c r="AC3244" t="s">
        <v>79</v>
      </c>
      <c r="AD3244" t="s">
        <v>75</v>
      </c>
      <c r="AE3244" t="s">
        <v>80</v>
      </c>
      <c r="AG3244" t="s">
        <v>81</v>
      </c>
    </row>
    <row r="3245" spans="1:33" x14ac:dyDescent="0.25">
      <c r="A3245" t="str">
        <f>"1710114624"</f>
        <v>1710114624</v>
      </c>
      <c r="B3245" t="str">
        <f>"03757522"</f>
        <v>03757522</v>
      </c>
      <c r="C3245" t="s">
        <v>18519</v>
      </c>
      <c r="D3245" t="s">
        <v>5513</v>
      </c>
      <c r="E3245" t="s">
        <v>5514</v>
      </c>
      <c r="G3245" t="s">
        <v>14326</v>
      </c>
      <c r="H3245" t="s">
        <v>14327</v>
      </c>
      <c r="J3245" t="s">
        <v>14328</v>
      </c>
      <c r="L3245" t="s">
        <v>74</v>
      </c>
      <c r="M3245" t="s">
        <v>75</v>
      </c>
      <c r="R3245" t="s">
        <v>5515</v>
      </c>
      <c r="W3245" t="s">
        <v>5516</v>
      </c>
      <c r="X3245" t="s">
        <v>5016</v>
      </c>
      <c r="Y3245" t="s">
        <v>97</v>
      </c>
      <c r="Z3245" t="s">
        <v>77</v>
      </c>
      <c r="AA3245" t="str">
        <f>"10025-3923"</f>
        <v>10025-3923</v>
      </c>
      <c r="AB3245" t="s">
        <v>78</v>
      </c>
      <c r="AC3245" t="s">
        <v>79</v>
      </c>
      <c r="AD3245" t="s">
        <v>75</v>
      </c>
      <c r="AE3245" t="s">
        <v>80</v>
      </c>
      <c r="AG3245" t="s">
        <v>81</v>
      </c>
    </row>
    <row r="3246" spans="1:33" x14ac:dyDescent="0.25">
      <c r="A3246" t="str">
        <f>"1962415935"</f>
        <v>1962415935</v>
      </c>
      <c r="B3246" t="str">
        <f>"02869125"</f>
        <v>02869125</v>
      </c>
      <c r="C3246" t="s">
        <v>18520</v>
      </c>
      <c r="D3246" t="s">
        <v>18521</v>
      </c>
      <c r="E3246" t="s">
        <v>18522</v>
      </c>
      <c r="G3246" t="s">
        <v>14326</v>
      </c>
      <c r="H3246" t="s">
        <v>14327</v>
      </c>
      <c r="J3246" t="s">
        <v>14328</v>
      </c>
      <c r="L3246" t="s">
        <v>74</v>
      </c>
      <c r="M3246" t="s">
        <v>75</v>
      </c>
      <c r="R3246" t="s">
        <v>18523</v>
      </c>
      <c r="W3246" t="s">
        <v>18524</v>
      </c>
      <c r="X3246" t="s">
        <v>1112</v>
      </c>
      <c r="Y3246" t="s">
        <v>227</v>
      </c>
      <c r="Z3246" t="s">
        <v>77</v>
      </c>
      <c r="AA3246" t="str">
        <f>"10601-1509"</f>
        <v>10601-1509</v>
      </c>
      <c r="AB3246" t="s">
        <v>78</v>
      </c>
      <c r="AC3246" t="s">
        <v>79</v>
      </c>
      <c r="AD3246" t="s">
        <v>75</v>
      </c>
      <c r="AE3246" t="s">
        <v>80</v>
      </c>
      <c r="AG3246" t="s">
        <v>81</v>
      </c>
    </row>
    <row r="3247" spans="1:33" x14ac:dyDescent="0.25">
      <c r="A3247" t="str">
        <f>"1558524207"</f>
        <v>1558524207</v>
      </c>
      <c r="B3247" t="str">
        <f>"03648744"</f>
        <v>03648744</v>
      </c>
      <c r="C3247" t="s">
        <v>18525</v>
      </c>
      <c r="D3247" t="s">
        <v>18526</v>
      </c>
      <c r="E3247" t="s">
        <v>18527</v>
      </c>
      <c r="G3247" t="s">
        <v>14326</v>
      </c>
      <c r="H3247" t="s">
        <v>14327</v>
      </c>
      <c r="J3247" t="s">
        <v>14328</v>
      </c>
      <c r="L3247" t="s">
        <v>84</v>
      </c>
      <c r="M3247" t="s">
        <v>85</v>
      </c>
      <c r="R3247" t="s">
        <v>18528</v>
      </c>
      <c r="W3247" t="s">
        <v>18527</v>
      </c>
      <c r="X3247" t="s">
        <v>86</v>
      </c>
      <c r="Y3247" t="s">
        <v>87</v>
      </c>
      <c r="Z3247" t="s">
        <v>77</v>
      </c>
      <c r="AA3247" t="str">
        <f>"11220-2508"</f>
        <v>11220-2508</v>
      </c>
      <c r="AB3247" t="s">
        <v>78</v>
      </c>
      <c r="AC3247" t="s">
        <v>79</v>
      </c>
      <c r="AD3247" t="s">
        <v>75</v>
      </c>
      <c r="AE3247" t="s">
        <v>80</v>
      </c>
      <c r="AG3247" t="s">
        <v>81</v>
      </c>
    </row>
    <row r="3248" spans="1:33" x14ac:dyDescent="0.25">
      <c r="A3248" t="str">
        <f>"1730380031"</f>
        <v>1730380031</v>
      </c>
      <c r="B3248" t="str">
        <f>"02196463"</f>
        <v>02196463</v>
      </c>
      <c r="C3248" t="s">
        <v>18529</v>
      </c>
      <c r="D3248" t="s">
        <v>5223</v>
      </c>
      <c r="E3248" t="s">
        <v>5224</v>
      </c>
      <c r="G3248" t="s">
        <v>14326</v>
      </c>
      <c r="H3248" t="s">
        <v>14327</v>
      </c>
      <c r="J3248" t="s">
        <v>14328</v>
      </c>
      <c r="L3248" t="s">
        <v>74</v>
      </c>
      <c r="M3248" t="s">
        <v>75</v>
      </c>
      <c r="R3248" t="s">
        <v>5225</v>
      </c>
      <c r="W3248" t="s">
        <v>5226</v>
      </c>
      <c r="X3248" t="s">
        <v>5016</v>
      </c>
      <c r="Y3248" t="s">
        <v>97</v>
      </c>
      <c r="Z3248" t="s">
        <v>77</v>
      </c>
      <c r="AA3248" t="str">
        <f>"10025-3923"</f>
        <v>10025-3923</v>
      </c>
      <c r="AB3248" t="s">
        <v>78</v>
      </c>
      <c r="AC3248" t="s">
        <v>79</v>
      </c>
      <c r="AD3248" t="s">
        <v>75</v>
      </c>
      <c r="AE3248" t="s">
        <v>80</v>
      </c>
      <c r="AG3248" t="s">
        <v>81</v>
      </c>
    </row>
    <row r="3249" spans="1:33" x14ac:dyDescent="0.25">
      <c r="A3249" t="str">
        <f>"1609203397"</f>
        <v>1609203397</v>
      </c>
      <c r="C3249" t="s">
        <v>18530</v>
      </c>
      <c r="G3249" t="s">
        <v>13504</v>
      </c>
      <c r="H3249" t="s">
        <v>13505</v>
      </c>
      <c r="J3249" t="s">
        <v>13506</v>
      </c>
      <c r="K3249" t="s">
        <v>99</v>
      </c>
      <c r="L3249" t="s">
        <v>74</v>
      </c>
      <c r="M3249" t="s">
        <v>75</v>
      </c>
      <c r="R3249" t="s">
        <v>18531</v>
      </c>
      <c r="S3249" t="s">
        <v>843</v>
      </c>
      <c r="T3249" t="s">
        <v>97</v>
      </c>
      <c r="U3249" t="s">
        <v>77</v>
      </c>
      <c r="V3249" t="str">
        <f>"100166402"</f>
        <v>100166402</v>
      </c>
      <c r="AC3249" t="s">
        <v>79</v>
      </c>
      <c r="AD3249" t="s">
        <v>75</v>
      </c>
      <c r="AE3249" t="s">
        <v>103</v>
      </c>
      <c r="AG3249" t="s">
        <v>81</v>
      </c>
    </row>
    <row r="3250" spans="1:33" x14ac:dyDescent="0.25">
      <c r="A3250" t="str">
        <f>"1497196257"</f>
        <v>1497196257</v>
      </c>
      <c r="B3250" t="str">
        <f>"03879949"</f>
        <v>03879949</v>
      </c>
      <c r="C3250" t="s">
        <v>18532</v>
      </c>
      <c r="D3250" t="s">
        <v>18533</v>
      </c>
      <c r="E3250" t="s">
        <v>18534</v>
      </c>
      <c r="G3250" t="s">
        <v>13504</v>
      </c>
      <c r="H3250" t="s">
        <v>13505</v>
      </c>
      <c r="J3250" t="s">
        <v>13506</v>
      </c>
      <c r="L3250" t="s">
        <v>83</v>
      </c>
      <c r="M3250" t="s">
        <v>75</v>
      </c>
      <c r="R3250" t="s">
        <v>18535</v>
      </c>
      <c r="W3250" t="s">
        <v>18535</v>
      </c>
      <c r="X3250" t="s">
        <v>202</v>
      </c>
      <c r="Y3250" t="s">
        <v>87</v>
      </c>
      <c r="Z3250" t="s">
        <v>77</v>
      </c>
      <c r="AA3250" t="str">
        <f>"11201-5425"</f>
        <v>11201-5425</v>
      </c>
      <c r="AB3250" t="s">
        <v>78</v>
      </c>
      <c r="AC3250" t="s">
        <v>79</v>
      </c>
      <c r="AD3250" t="s">
        <v>75</v>
      </c>
      <c r="AE3250" t="s">
        <v>80</v>
      </c>
      <c r="AG3250" t="s">
        <v>81</v>
      </c>
    </row>
    <row r="3251" spans="1:33" x14ac:dyDescent="0.25">
      <c r="A3251" t="str">
        <f>"1801143367"</f>
        <v>1801143367</v>
      </c>
      <c r="B3251" t="str">
        <f>"03688135"</f>
        <v>03688135</v>
      </c>
      <c r="C3251" t="s">
        <v>18536</v>
      </c>
      <c r="D3251" t="s">
        <v>18537</v>
      </c>
      <c r="E3251" t="s">
        <v>18538</v>
      </c>
      <c r="G3251" t="s">
        <v>13504</v>
      </c>
      <c r="H3251" t="s">
        <v>13505</v>
      </c>
      <c r="J3251" t="s">
        <v>13506</v>
      </c>
      <c r="L3251" t="s">
        <v>84</v>
      </c>
      <c r="M3251" t="s">
        <v>85</v>
      </c>
      <c r="R3251" t="s">
        <v>18539</v>
      </c>
      <c r="W3251" t="s">
        <v>18540</v>
      </c>
      <c r="X3251" t="s">
        <v>6227</v>
      </c>
      <c r="Y3251" t="s">
        <v>87</v>
      </c>
      <c r="Z3251" t="s">
        <v>77</v>
      </c>
      <c r="AA3251" t="str">
        <f>"11216-2505"</f>
        <v>11216-2505</v>
      </c>
      <c r="AB3251" t="s">
        <v>78</v>
      </c>
      <c r="AC3251" t="s">
        <v>79</v>
      </c>
      <c r="AD3251" t="s">
        <v>75</v>
      </c>
      <c r="AE3251" t="s">
        <v>80</v>
      </c>
      <c r="AG3251" t="s">
        <v>81</v>
      </c>
    </row>
    <row r="3252" spans="1:33" x14ac:dyDescent="0.25">
      <c r="A3252" t="str">
        <f>"1760590236"</f>
        <v>1760590236</v>
      </c>
      <c r="B3252" t="str">
        <f>"01010053"</f>
        <v>01010053</v>
      </c>
      <c r="C3252" t="s">
        <v>18541</v>
      </c>
      <c r="D3252" t="s">
        <v>18542</v>
      </c>
      <c r="E3252" t="s">
        <v>18543</v>
      </c>
      <c r="G3252" t="s">
        <v>13504</v>
      </c>
      <c r="H3252" t="s">
        <v>13505</v>
      </c>
      <c r="J3252" t="s">
        <v>13506</v>
      </c>
      <c r="L3252" t="s">
        <v>84</v>
      </c>
      <c r="M3252" t="s">
        <v>75</v>
      </c>
      <c r="R3252" t="s">
        <v>18544</v>
      </c>
      <c r="W3252" t="s">
        <v>18545</v>
      </c>
      <c r="X3252" t="s">
        <v>16910</v>
      </c>
      <c r="Y3252" t="s">
        <v>87</v>
      </c>
      <c r="Z3252" t="s">
        <v>77</v>
      </c>
      <c r="AA3252" t="str">
        <f>"11213-3618"</f>
        <v>11213-3618</v>
      </c>
      <c r="AB3252" t="s">
        <v>78</v>
      </c>
      <c r="AC3252" t="s">
        <v>79</v>
      </c>
      <c r="AD3252" t="s">
        <v>75</v>
      </c>
      <c r="AE3252" t="s">
        <v>80</v>
      </c>
      <c r="AG3252" t="s">
        <v>81</v>
      </c>
    </row>
    <row r="3253" spans="1:33" x14ac:dyDescent="0.25">
      <c r="A3253" t="str">
        <f>"1194929273"</f>
        <v>1194929273</v>
      </c>
      <c r="B3253" t="str">
        <f>"02956669"</f>
        <v>02956669</v>
      </c>
      <c r="C3253" t="s">
        <v>18546</v>
      </c>
      <c r="D3253" t="s">
        <v>18547</v>
      </c>
      <c r="E3253" t="s">
        <v>18548</v>
      </c>
      <c r="G3253" t="s">
        <v>13504</v>
      </c>
      <c r="H3253" t="s">
        <v>13505</v>
      </c>
      <c r="J3253" t="s">
        <v>13506</v>
      </c>
      <c r="L3253" t="s">
        <v>74</v>
      </c>
      <c r="M3253" t="s">
        <v>85</v>
      </c>
      <c r="R3253" t="s">
        <v>18548</v>
      </c>
      <c r="W3253" t="s">
        <v>18549</v>
      </c>
      <c r="X3253" t="s">
        <v>816</v>
      </c>
      <c r="Y3253" t="s">
        <v>87</v>
      </c>
      <c r="Z3253" t="s">
        <v>77</v>
      </c>
      <c r="AA3253" t="str">
        <f>"11201-5428"</f>
        <v>11201-5428</v>
      </c>
      <c r="AB3253" t="s">
        <v>78</v>
      </c>
      <c r="AC3253" t="s">
        <v>79</v>
      </c>
      <c r="AD3253" t="s">
        <v>75</v>
      </c>
      <c r="AE3253" t="s">
        <v>80</v>
      </c>
      <c r="AG3253" t="s">
        <v>81</v>
      </c>
    </row>
    <row r="3254" spans="1:33" x14ac:dyDescent="0.25">
      <c r="A3254" t="str">
        <f>"1841625134"</f>
        <v>1841625134</v>
      </c>
      <c r="B3254" t="str">
        <f>"03816319"</f>
        <v>03816319</v>
      </c>
      <c r="C3254" t="s">
        <v>18550</v>
      </c>
      <c r="D3254" t="s">
        <v>18551</v>
      </c>
      <c r="E3254" t="s">
        <v>18552</v>
      </c>
      <c r="G3254" t="s">
        <v>13504</v>
      </c>
      <c r="H3254" t="s">
        <v>13505</v>
      </c>
      <c r="J3254" t="s">
        <v>13506</v>
      </c>
      <c r="L3254" t="s">
        <v>94</v>
      </c>
      <c r="M3254" t="s">
        <v>75</v>
      </c>
      <c r="R3254" t="s">
        <v>18553</v>
      </c>
      <c r="W3254" t="s">
        <v>18552</v>
      </c>
      <c r="X3254" t="s">
        <v>17993</v>
      </c>
      <c r="Y3254" t="s">
        <v>87</v>
      </c>
      <c r="Z3254" t="s">
        <v>77</v>
      </c>
      <c r="AA3254" t="str">
        <f>"11220-4211"</f>
        <v>11220-4211</v>
      </c>
      <c r="AB3254" t="s">
        <v>78</v>
      </c>
      <c r="AC3254" t="s">
        <v>79</v>
      </c>
      <c r="AD3254" t="s">
        <v>75</v>
      </c>
      <c r="AE3254" t="s">
        <v>80</v>
      </c>
      <c r="AG3254" t="s">
        <v>81</v>
      </c>
    </row>
    <row r="3255" spans="1:33" x14ac:dyDescent="0.25">
      <c r="A3255" t="str">
        <f>"1558551861"</f>
        <v>1558551861</v>
      </c>
      <c r="B3255" t="str">
        <f>"03532978"</f>
        <v>03532978</v>
      </c>
      <c r="C3255" t="s">
        <v>18554</v>
      </c>
      <c r="D3255" t="s">
        <v>18555</v>
      </c>
      <c r="E3255" t="s">
        <v>18556</v>
      </c>
      <c r="G3255" t="s">
        <v>7218</v>
      </c>
      <c r="H3255" t="s">
        <v>6801</v>
      </c>
      <c r="I3255">
        <v>6136</v>
      </c>
      <c r="J3255" t="s">
        <v>7219</v>
      </c>
      <c r="L3255" t="s">
        <v>74</v>
      </c>
      <c r="M3255" t="s">
        <v>75</v>
      </c>
      <c r="R3255" t="s">
        <v>18557</v>
      </c>
      <c r="W3255" t="s">
        <v>18556</v>
      </c>
      <c r="X3255" t="s">
        <v>3458</v>
      </c>
      <c r="Y3255" t="s">
        <v>87</v>
      </c>
      <c r="Z3255" t="s">
        <v>77</v>
      </c>
      <c r="AA3255" t="str">
        <f>"11201-4300"</f>
        <v>11201-4300</v>
      </c>
      <c r="AB3255" t="s">
        <v>109</v>
      </c>
      <c r="AC3255" t="s">
        <v>79</v>
      </c>
      <c r="AD3255" t="s">
        <v>75</v>
      </c>
      <c r="AE3255" t="s">
        <v>80</v>
      </c>
      <c r="AG3255" t="s">
        <v>81</v>
      </c>
    </row>
    <row r="3256" spans="1:33" x14ac:dyDescent="0.25">
      <c r="A3256" t="str">
        <f>"1578827374"</f>
        <v>1578827374</v>
      </c>
      <c r="B3256" t="str">
        <f>"03785935"</f>
        <v>03785935</v>
      </c>
      <c r="C3256" t="s">
        <v>18558</v>
      </c>
      <c r="D3256" t="s">
        <v>18559</v>
      </c>
      <c r="E3256" t="s">
        <v>18560</v>
      </c>
      <c r="G3256" t="s">
        <v>7218</v>
      </c>
      <c r="H3256" t="s">
        <v>6801</v>
      </c>
      <c r="I3256">
        <v>6136</v>
      </c>
      <c r="J3256" t="s">
        <v>7219</v>
      </c>
      <c r="L3256" t="s">
        <v>74</v>
      </c>
      <c r="M3256" t="s">
        <v>75</v>
      </c>
      <c r="R3256" t="s">
        <v>18560</v>
      </c>
      <c r="W3256" t="s">
        <v>18560</v>
      </c>
      <c r="X3256" t="s">
        <v>2997</v>
      </c>
      <c r="Y3256" t="s">
        <v>87</v>
      </c>
      <c r="Z3256" t="s">
        <v>77</v>
      </c>
      <c r="AA3256" t="str">
        <f>"11201-4333"</f>
        <v>11201-4333</v>
      </c>
      <c r="AB3256" t="s">
        <v>109</v>
      </c>
      <c r="AC3256" t="s">
        <v>79</v>
      </c>
      <c r="AD3256" t="s">
        <v>75</v>
      </c>
      <c r="AE3256" t="s">
        <v>80</v>
      </c>
      <c r="AG3256" t="s">
        <v>81</v>
      </c>
    </row>
    <row r="3257" spans="1:33" x14ac:dyDescent="0.25">
      <c r="A3257" t="str">
        <f>"1588993083"</f>
        <v>1588993083</v>
      </c>
      <c r="B3257" t="str">
        <f>"04045781"</f>
        <v>04045781</v>
      </c>
      <c r="C3257" t="s">
        <v>18561</v>
      </c>
      <c r="D3257" t="s">
        <v>18562</v>
      </c>
      <c r="E3257" t="s">
        <v>18563</v>
      </c>
      <c r="G3257" t="s">
        <v>7218</v>
      </c>
      <c r="H3257" t="s">
        <v>6801</v>
      </c>
      <c r="I3257">
        <v>6136</v>
      </c>
      <c r="J3257" t="s">
        <v>7219</v>
      </c>
      <c r="L3257" t="s">
        <v>74</v>
      </c>
      <c r="M3257" t="s">
        <v>75</v>
      </c>
      <c r="R3257" t="s">
        <v>18564</v>
      </c>
      <c r="W3257" t="s">
        <v>18563</v>
      </c>
      <c r="X3257" t="s">
        <v>3458</v>
      </c>
      <c r="Y3257" t="s">
        <v>87</v>
      </c>
      <c r="Z3257" t="s">
        <v>77</v>
      </c>
      <c r="AA3257" t="str">
        <f>"11201-4300"</f>
        <v>11201-4300</v>
      </c>
      <c r="AB3257" t="s">
        <v>113</v>
      </c>
      <c r="AC3257" t="s">
        <v>79</v>
      </c>
      <c r="AD3257" t="s">
        <v>75</v>
      </c>
      <c r="AE3257" t="s">
        <v>80</v>
      </c>
      <c r="AG3257" t="s">
        <v>81</v>
      </c>
    </row>
    <row r="3258" spans="1:33" x14ac:dyDescent="0.25">
      <c r="A3258" t="str">
        <f>"1932273596"</f>
        <v>1932273596</v>
      </c>
      <c r="B3258" t="str">
        <f>"03382721"</f>
        <v>03382721</v>
      </c>
      <c r="C3258" t="s">
        <v>18565</v>
      </c>
      <c r="D3258" t="s">
        <v>18566</v>
      </c>
      <c r="E3258" t="s">
        <v>18567</v>
      </c>
      <c r="G3258" t="s">
        <v>14449</v>
      </c>
      <c r="H3258" t="s">
        <v>14450</v>
      </c>
      <c r="L3258" t="s">
        <v>105</v>
      </c>
      <c r="M3258" t="s">
        <v>85</v>
      </c>
      <c r="R3258" t="s">
        <v>18567</v>
      </c>
      <c r="W3258" t="s">
        <v>18567</v>
      </c>
      <c r="X3258" t="s">
        <v>3743</v>
      </c>
      <c r="Y3258" t="s">
        <v>97</v>
      </c>
      <c r="Z3258" t="s">
        <v>77</v>
      </c>
      <c r="AA3258" t="str">
        <f>"10011-4401"</f>
        <v>10011-4401</v>
      </c>
      <c r="AB3258" t="s">
        <v>78</v>
      </c>
      <c r="AC3258" t="s">
        <v>79</v>
      </c>
      <c r="AD3258" t="s">
        <v>75</v>
      </c>
      <c r="AE3258" t="s">
        <v>80</v>
      </c>
      <c r="AG3258" t="s">
        <v>81</v>
      </c>
    </row>
    <row r="3259" spans="1:33" x14ac:dyDescent="0.25">
      <c r="A3259" t="str">
        <f>"1104054618"</f>
        <v>1104054618</v>
      </c>
      <c r="B3259" t="str">
        <f>"03127988"</f>
        <v>03127988</v>
      </c>
      <c r="C3259" t="s">
        <v>18568</v>
      </c>
      <c r="D3259" t="s">
        <v>18569</v>
      </c>
      <c r="E3259" t="s">
        <v>18570</v>
      </c>
      <c r="G3259" t="s">
        <v>14449</v>
      </c>
      <c r="H3259" t="s">
        <v>14450</v>
      </c>
      <c r="L3259" t="s">
        <v>84</v>
      </c>
      <c r="M3259" t="s">
        <v>85</v>
      </c>
      <c r="R3259" t="s">
        <v>18570</v>
      </c>
      <c r="W3259" t="s">
        <v>18571</v>
      </c>
      <c r="X3259" t="s">
        <v>258</v>
      </c>
      <c r="Y3259" t="s">
        <v>131</v>
      </c>
      <c r="Z3259" t="s">
        <v>77</v>
      </c>
      <c r="AA3259" t="str">
        <f>"10467-2401"</f>
        <v>10467-2401</v>
      </c>
      <c r="AB3259" t="s">
        <v>78</v>
      </c>
      <c r="AC3259" t="s">
        <v>79</v>
      </c>
      <c r="AD3259" t="s">
        <v>75</v>
      </c>
      <c r="AE3259" t="s">
        <v>80</v>
      </c>
      <c r="AG3259" t="s">
        <v>81</v>
      </c>
    </row>
    <row r="3260" spans="1:33" x14ac:dyDescent="0.25">
      <c r="A3260" t="str">
        <f>"1871791251"</f>
        <v>1871791251</v>
      </c>
      <c r="C3260" t="s">
        <v>18572</v>
      </c>
      <c r="G3260" t="s">
        <v>7218</v>
      </c>
      <c r="H3260" t="s">
        <v>6801</v>
      </c>
      <c r="I3260">
        <v>6136</v>
      </c>
      <c r="J3260" t="s">
        <v>7219</v>
      </c>
      <c r="K3260" t="s">
        <v>99</v>
      </c>
      <c r="L3260" t="s">
        <v>102</v>
      </c>
      <c r="M3260" t="s">
        <v>75</v>
      </c>
      <c r="R3260" t="s">
        <v>18573</v>
      </c>
      <c r="S3260" t="s">
        <v>6229</v>
      </c>
      <c r="T3260" t="s">
        <v>97</v>
      </c>
      <c r="U3260" t="s">
        <v>77</v>
      </c>
      <c r="V3260" t="str">
        <f>"100012320"</f>
        <v>100012320</v>
      </c>
      <c r="AC3260" t="s">
        <v>79</v>
      </c>
      <c r="AD3260" t="s">
        <v>75</v>
      </c>
      <c r="AE3260" t="s">
        <v>103</v>
      </c>
      <c r="AG3260" t="s">
        <v>81</v>
      </c>
    </row>
    <row r="3261" spans="1:33" x14ac:dyDescent="0.25">
      <c r="A3261" t="str">
        <f>"1871900506"</f>
        <v>1871900506</v>
      </c>
      <c r="C3261" t="s">
        <v>18574</v>
      </c>
      <c r="G3261" t="s">
        <v>7218</v>
      </c>
      <c r="H3261" t="s">
        <v>6801</v>
      </c>
      <c r="I3261">
        <v>6136</v>
      </c>
      <c r="J3261" t="s">
        <v>7219</v>
      </c>
      <c r="K3261" t="s">
        <v>99</v>
      </c>
      <c r="L3261" t="s">
        <v>102</v>
      </c>
      <c r="M3261" t="s">
        <v>75</v>
      </c>
      <c r="R3261" t="s">
        <v>18575</v>
      </c>
      <c r="S3261" t="s">
        <v>14675</v>
      </c>
      <c r="T3261" t="s">
        <v>97</v>
      </c>
      <c r="U3261" t="s">
        <v>77</v>
      </c>
      <c r="V3261" t="str">
        <f>"10001"</f>
        <v>10001</v>
      </c>
      <c r="AC3261" t="s">
        <v>79</v>
      </c>
      <c r="AD3261" t="s">
        <v>75</v>
      </c>
      <c r="AE3261" t="s">
        <v>103</v>
      </c>
      <c r="AG3261" t="s">
        <v>81</v>
      </c>
    </row>
    <row r="3262" spans="1:33" x14ac:dyDescent="0.25">
      <c r="A3262" t="str">
        <f>"1245399567"</f>
        <v>1245399567</v>
      </c>
      <c r="B3262" t="str">
        <f>"02930270"</f>
        <v>02930270</v>
      </c>
      <c r="C3262" t="s">
        <v>18576</v>
      </c>
      <c r="D3262" t="s">
        <v>18577</v>
      </c>
      <c r="E3262" t="s">
        <v>18578</v>
      </c>
      <c r="G3262" t="s">
        <v>14449</v>
      </c>
      <c r="H3262" t="s">
        <v>14450</v>
      </c>
      <c r="L3262" t="s">
        <v>105</v>
      </c>
      <c r="M3262" t="s">
        <v>75</v>
      </c>
      <c r="R3262" t="s">
        <v>18578</v>
      </c>
      <c r="W3262" t="s">
        <v>18578</v>
      </c>
      <c r="X3262" t="s">
        <v>18579</v>
      </c>
      <c r="Y3262" t="s">
        <v>97</v>
      </c>
      <c r="Z3262" t="s">
        <v>77</v>
      </c>
      <c r="AA3262" t="str">
        <f>"10001-7405"</f>
        <v>10001-7405</v>
      </c>
      <c r="AB3262" t="s">
        <v>113</v>
      </c>
      <c r="AC3262" t="s">
        <v>79</v>
      </c>
      <c r="AD3262" t="s">
        <v>75</v>
      </c>
      <c r="AE3262" t="s">
        <v>80</v>
      </c>
      <c r="AG3262" t="s">
        <v>81</v>
      </c>
    </row>
    <row r="3263" spans="1:33" x14ac:dyDescent="0.25">
      <c r="A3263" t="str">
        <f>"1346408184"</f>
        <v>1346408184</v>
      </c>
      <c r="B3263" t="str">
        <f>"03203885"</f>
        <v>03203885</v>
      </c>
      <c r="C3263" t="s">
        <v>18580</v>
      </c>
      <c r="D3263" t="s">
        <v>18581</v>
      </c>
      <c r="E3263" t="s">
        <v>18582</v>
      </c>
      <c r="G3263" t="s">
        <v>14449</v>
      </c>
      <c r="H3263" t="s">
        <v>14450</v>
      </c>
      <c r="L3263" t="s">
        <v>74</v>
      </c>
      <c r="M3263" t="s">
        <v>75</v>
      </c>
      <c r="R3263" t="s">
        <v>18583</v>
      </c>
      <c r="W3263" t="s">
        <v>18582</v>
      </c>
      <c r="X3263" t="s">
        <v>18584</v>
      </c>
      <c r="Y3263" t="s">
        <v>131</v>
      </c>
      <c r="Z3263" t="s">
        <v>77</v>
      </c>
      <c r="AA3263" t="str">
        <f>"10455-3902"</f>
        <v>10455-3902</v>
      </c>
      <c r="AB3263" t="s">
        <v>82</v>
      </c>
      <c r="AC3263" t="s">
        <v>79</v>
      </c>
      <c r="AD3263" t="s">
        <v>75</v>
      </c>
      <c r="AE3263" t="s">
        <v>80</v>
      </c>
      <c r="AG3263" t="s">
        <v>81</v>
      </c>
    </row>
    <row r="3264" spans="1:33" x14ac:dyDescent="0.25">
      <c r="A3264" t="str">
        <f>"1881860930"</f>
        <v>1881860930</v>
      </c>
      <c r="B3264" t="str">
        <f>"03533873"</f>
        <v>03533873</v>
      </c>
      <c r="C3264" t="s">
        <v>18585</v>
      </c>
      <c r="D3264" t="s">
        <v>18586</v>
      </c>
      <c r="E3264" t="s">
        <v>18587</v>
      </c>
      <c r="G3264" t="s">
        <v>14449</v>
      </c>
      <c r="H3264" t="s">
        <v>14450</v>
      </c>
      <c r="L3264" t="s">
        <v>105</v>
      </c>
      <c r="M3264" t="s">
        <v>85</v>
      </c>
      <c r="R3264" t="s">
        <v>18587</v>
      </c>
      <c r="W3264" t="s">
        <v>18587</v>
      </c>
      <c r="X3264" t="s">
        <v>3743</v>
      </c>
      <c r="Y3264" t="s">
        <v>97</v>
      </c>
      <c r="Z3264" t="s">
        <v>77</v>
      </c>
      <c r="AA3264" t="str">
        <f>"10011-4401"</f>
        <v>10011-4401</v>
      </c>
      <c r="AB3264" t="s">
        <v>78</v>
      </c>
      <c r="AC3264" t="s">
        <v>79</v>
      </c>
      <c r="AD3264" t="s">
        <v>75</v>
      </c>
      <c r="AE3264" t="s">
        <v>80</v>
      </c>
      <c r="AG3264" t="s">
        <v>81</v>
      </c>
    </row>
    <row r="3265" spans="1:33" x14ac:dyDescent="0.25">
      <c r="A3265" t="str">
        <f>"1740215862"</f>
        <v>1740215862</v>
      </c>
      <c r="B3265" t="str">
        <f>"02279629"</f>
        <v>02279629</v>
      </c>
      <c r="C3265" t="s">
        <v>18588</v>
      </c>
      <c r="D3265" t="s">
        <v>3554</v>
      </c>
      <c r="E3265" t="s">
        <v>3555</v>
      </c>
      <c r="G3265" t="s">
        <v>15545</v>
      </c>
      <c r="H3265" t="s">
        <v>7060</v>
      </c>
      <c r="J3265" t="s">
        <v>7061</v>
      </c>
      <c r="L3265" t="s">
        <v>143</v>
      </c>
      <c r="M3265" t="s">
        <v>85</v>
      </c>
      <c r="R3265" t="s">
        <v>3555</v>
      </c>
      <c r="W3265" t="s">
        <v>3555</v>
      </c>
      <c r="X3265" t="s">
        <v>3556</v>
      </c>
      <c r="Y3265" t="s">
        <v>1797</v>
      </c>
      <c r="Z3265" t="s">
        <v>77</v>
      </c>
      <c r="AA3265" t="str">
        <f>"12550-6204"</f>
        <v>12550-6204</v>
      </c>
      <c r="AB3265" t="s">
        <v>78</v>
      </c>
      <c r="AC3265" t="s">
        <v>79</v>
      </c>
      <c r="AD3265" t="s">
        <v>75</v>
      </c>
      <c r="AE3265" t="s">
        <v>80</v>
      </c>
      <c r="AG3265" t="s">
        <v>81</v>
      </c>
    </row>
    <row r="3266" spans="1:33" x14ac:dyDescent="0.25">
      <c r="A3266" t="str">
        <f>"1710978481"</f>
        <v>1710978481</v>
      </c>
      <c r="B3266" t="str">
        <f>"01157235"</f>
        <v>01157235</v>
      </c>
      <c r="C3266" t="s">
        <v>18589</v>
      </c>
      <c r="D3266" t="s">
        <v>18590</v>
      </c>
      <c r="E3266" t="s">
        <v>18591</v>
      </c>
      <c r="G3266" t="s">
        <v>18589</v>
      </c>
      <c r="H3266" t="s">
        <v>18592</v>
      </c>
      <c r="J3266" t="s">
        <v>18593</v>
      </c>
      <c r="L3266" t="s">
        <v>83</v>
      </c>
      <c r="M3266" t="s">
        <v>75</v>
      </c>
      <c r="R3266" t="s">
        <v>18594</v>
      </c>
      <c r="W3266" t="s">
        <v>18591</v>
      </c>
      <c r="X3266" t="s">
        <v>251</v>
      </c>
      <c r="Y3266" t="s">
        <v>87</v>
      </c>
      <c r="Z3266" t="s">
        <v>77</v>
      </c>
      <c r="AA3266" t="str">
        <f>"11203-1809"</f>
        <v>11203-1809</v>
      </c>
      <c r="AB3266" t="s">
        <v>78</v>
      </c>
      <c r="AC3266" t="s">
        <v>79</v>
      </c>
      <c r="AD3266" t="s">
        <v>75</v>
      </c>
      <c r="AE3266" t="s">
        <v>80</v>
      </c>
      <c r="AG3266" t="s">
        <v>81</v>
      </c>
    </row>
    <row r="3267" spans="1:33" x14ac:dyDescent="0.25">
      <c r="A3267" t="str">
        <f>"1811228703"</f>
        <v>1811228703</v>
      </c>
      <c r="B3267" t="str">
        <f>"03520138"</f>
        <v>03520138</v>
      </c>
      <c r="C3267" t="s">
        <v>18595</v>
      </c>
      <c r="D3267" t="s">
        <v>18596</v>
      </c>
      <c r="E3267" t="s">
        <v>18597</v>
      </c>
      <c r="G3267" t="s">
        <v>18595</v>
      </c>
      <c r="H3267" t="s">
        <v>18598</v>
      </c>
      <c r="J3267" t="s">
        <v>18599</v>
      </c>
      <c r="L3267" t="s">
        <v>84</v>
      </c>
      <c r="M3267" t="s">
        <v>85</v>
      </c>
      <c r="R3267" t="s">
        <v>18600</v>
      </c>
      <c r="W3267" t="s">
        <v>18597</v>
      </c>
      <c r="X3267" t="s">
        <v>4707</v>
      </c>
      <c r="Y3267" t="s">
        <v>87</v>
      </c>
      <c r="Z3267" t="s">
        <v>77</v>
      </c>
      <c r="AA3267" t="str">
        <f>"11213-4108"</f>
        <v>11213-4108</v>
      </c>
      <c r="AB3267" t="s">
        <v>78</v>
      </c>
      <c r="AC3267" t="s">
        <v>79</v>
      </c>
      <c r="AD3267" t="s">
        <v>75</v>
      </c>
      <c r="AE3267" t="s">
        <v>80</v>
      </c>
      <c r="AG3267" t="s">
        <v>81</v>
      </c>
    </row>
    <row r="3268" spans="1:33" x14ac:dyDescent="0.25">
      <c r="C3268" t="s">
        <v>18601</v>
      </c>
      <c r="G3268" t="s">
        <v>18601</v>
      </c>
      <c r="H3268" t="s">
        <v>5358</v>
      </c>
      <c r="J3268" t="s">
        <v>5411</v>
      </c>
      <c r="K3268" t="s">
        <v>99</v>
      </c>
      <c r="L3268" t="s">
        <v>100</v>
      </c>
      <c r="M3268" t="s">
        <v>75</v>
      </c>
      <c r="AC3268" t="s">
        <v>79</v>
      </c>
      <c r="AD3268" t="s">
        <v>75</v>
      </c>
      <c r="AE3268" t="s">
        <v>101</v>
      </c>
      <c r="AG3268" t="s">
        <v>81</v>
      </c>
    </row>
    <row r="3269" spans="1:33" x14ac:dyDescent="0.25">
      <c r="A3269" t="str">
        <f>"1699720805"</f>
        <v>1699720805</v>
      </c>
      <c r="B3269" t="str">
        <f>"01919240"</f>
        <v>01919240</v>
      </c>
      <c r="C3269" t="s">
        <v>18602</v>
      </c>
      <c r="D3269" t="s">
        <v>18603</v>
      </c>
      <c r="E3269" t="s">
        <v>18604</v>
      </c>
      <c r="H3269" t="s">
        <v>18605</v>
      </c>
      <c r="L3269" t="s">
        <v>84</v>
      </c>
      <c r="M3269" t="s">
        <v>75</v>
      </c>
      <c r="R3269" t="s">
        <v>18606</v>
      </c>
      <c r="W3269" t="s">
        <v>18604</v>
      </c>
      <c r="X3269" t="s">
        <v>18607</v>
      </c>
      <c r="Y3269" t="s">
        <v>97</v>
      </c>
      <c r="Z3269" t="s">
        <v>77</v>
      </c>
      <c r="AA3269" t="str">
        <f>"10027-6175"</f>
        <v>10027-6175</v>
      </c>
      <c r="AB3269" t="s">
        <v>78</v>
      </c>
      <c r="AC3269" t="s">
        <v>79</v>
      </c>
      <c r="AD3269" t="s">
        <v>75</v>
      </c>
      <c r="AE3269" t="s">
        <v>80</v>
      </c>
      <c r="AG3269" t="s">
        <v>81</v>
      </c>
    </row>
    <row r="3270" spans="1:33" x14ac:dyDescent="0.25">
      <c r="A3270" t="str">
        <f>"1942306915"</f>
        <v>1942306915</v>
      </c>
      <c r="C3270" t="s">
        <v>18608</v>
      </c>
      <c r="H3270" t="s">
        <v>1167</v>
      </c>
      <c r="K3270" t="s">
        <v>99</v>
      </c>
      <c r="L3270" t="s">
        <v>74</v>
      </c>
      <c r="M3270" t="s">
        <v>75</v>
      </c>
      <c r="R3270" t="s">
        <v>18609</v>
      </c>
      <c r="S3270" t="s">
        <v>18610</v>
      </c>
      <c r="T3270" t="s">
        <v>87</v>
      </c>
      <c r="U3270" t="s">
        <v>77</v>
      </c>
      <c r="V3270" t="str">
        <f>"112073509"</f>
        <v>112073509</v>
      </c>
      <c r="AC3270" t="s">
        <v>79</v>
      </c>
      <c r="AD3270" t="s">
        <v>75</v>
      </c>
      <c r="AE3270" t="s">
        <v>103</v>
      </c>
      <c r="AG3270" t="s">
        <v>81</v>
      </c>
    </row>
    <row r="3271" spans="1:33" x14ac:dyDescent="0.25">
      <c r="C3271" t="s">
        <v>18611</v>
      </c>
      <c r="H3271" t="s">
        <v>1167</v>
      </c>
      <c r="K3271" t="s">
        <v>99</v>
      </c>
      <c r="L3271" t="s">
        <v>100</v>
      </c>
      <c r="M3271" t="s">
        <v>75</v>
      </c>
      <c r="N3271" t="s">
        <v>18612</v>
      </c>
      <c r="O3271" t="s">
        <v>1310</v>
      </c>
      <c r="P3271" t="s">
        <v>77</v>
      </c>
      <c r="Q3271" t="str">
        <f>"10039"</f>
        <v>10039</v>
      </c>
      <c r="AC3271" t="s">
        <v>79</v>
      </c>
      <c r="AD3271" t="s">
        <v>75</v>
      </c>
      <c r="AE3271" t="s">
        <v>101</v>
      </c>
      <c r="AG3271" t="s">
        <v>81</v>
      </c>
    </row>
    <row r="3272" spans="1:33" x14ac:dyDescent="0.25">
      <c r="A3272" t="str">
        <f>"1841375292"</f>
        <v>1841375292</v>
      </c>
      <c r="B3272" t="str">
        <f>"01566678"</f>
        <v>01566678</v>
      </c>
      <c r="C3272" t="s">
        <v>18613</v>
      </c>
      <c r="D3272" t="s">
        <v>18614</v>
      </c>
      <c r="E3272" t="s">
        <v>18615</v>
      </c>
      <c r="H3272" t="s">
        <v>919</v>
      </c>
      <c r="J3272" t="s">
        <v>18616</v>
      </c>
      <c r="L3272" t="s">
        <v>74</v>
      </c>
      <c r="M3272" t="s">
        <v>75</v>
      </c>
      <c r="R3272" t="s">
        <v>18617</v>
      </c>
      <c r="W3272" t="s">
        <v>18615</v>
      </c>
      <c r="X3272" t="s">
        <v>2586</v>
      </c>
      <c r="Y3272" t="s">
        <v>131</v>
      </c>
      <c r="Z3272" t="s">
        <v>77</v>
      </c>
      <c r="AA3272" t="str">
        <f>"10467-2490"</f>
        <v>10467-2490</v>
      </c>
      <c r="AB3272" t="s">
        <v>78</v>
      </c>
      <c r="AC3272" t="s">
        <v>79</v>
      </c>
      <c r="AD3272" t="s">
        <v>75</v>
      </c>
      <c r="AE3272" t="s">
        <v>80</v>
      </c>
      <c r="AG3272" t="s">
        <v>81</v>
      </c>
    </row>
    <row r="3273" spans="1:33" x14ac:dyDescent="0.25">
      <c r="A3273" t="str">
        <f>"1932113172"</f>
        <v>1932113172</v>
      </c>
      <c r="B3273" t="str">
        <f>"02206004"</f>
        <v>02206004</v>
      </c>
      <c r="C3273" t="s">
        <v>18618</v>
      </c>
      <c r="D3273" t="s">
        <v>18619</v>
      </c>
      <c r="E3273" t="s">
        <v>18620</v>
      </c>
      <c r="H3273" t="s">
        <v>919</v>
      </c>
      <c r="J3273" t="s">
        <v>18621</v>
      </c>
      <c r="L3273" t="s">
        <v>105</v>
      </c>
      <c r="M3273" t="s">
        <v>85</v>
      </c>
      <c r="R3273" t="s">
        <v>18622</v>
      </c>
      <c r="W3273" t="s">
        <v>18620</v>
      </c>
      <c r="X3273" t="s">
        <v>18623</v>
      </c>
      <c r="Y3273" t="s">
        <v>300</v>
      </c>
      <c r="Z3273" t="s">
        <v>77</v>
      </c>
      <c r="AA3273" t="str">
        <f>"10954-2454"</f>
        <v>10954-2454</v>
      </c>
      <c r="AB3273" t="s">
        <v>78</v>
      </c>
      <c r="AC3273" t="s">
        <v>79</v>
      </c>
      <c r="AD3273" t="s">
        <v>75</v>
      </c>
      <c r="AE3273" t="s">
        <v>80</v>
      </c>
      <c r="AG3273" t="s">
        <v>81</v>
      </c>
    </row>
    <row r="3274" spans="1:33" x14ac:dyDescent="0.25">
      <c r="A3274" t="str">
        <f>"1366587776"</f>
        <v>1366587776</v>
      </c>
      <c r="B3274" t="str">
        <f>"03674031"</f>
        <v>03674031</v>
      </c>
      <c r="C3274" t="s">
        <v>18624</v>
      </c>
      <c r="D3274" t="s">
        <v>18625</v>
      </c>
      <c r="E3274" t="s">
        <v>18626</v>
      </c>
      <c r="G3274" t="s">
        <v>18627</v>
      </c>
      <c r="J3274" t="s">
        <v>18628</v>
      </c>
      <c r="L3274" t="s">
        <v>102</v>
      </c>
      <c r="M3274" t="s">
        <v>75</v>
      </c>
      <c r="R3274" t="s">
        <v>18629</v>
      </c>
      <c r="W3274" t="s">
        <v>18626</v>
      </c>
      <c r="X3274" t="s">
        <v>5322</v>
      </c>
      <c r="Y3274" t="s">
        <v>97</v>
      </c>
      <c r="Z3274" t="s">
        <v>77</v>
      </c>
      <c r="AA3274" t="str">
        <f>"10011-2019"</f>
        <v>10011-2019</v>
      </c>
      <c r="AB3274" t="s">
        <v>78</v>
      </c>
      <c r="AC3274" t="s">
        <v>79</v>
      </c>
      <c r="AD3274" t="s">
        <v>75</v>
      </c>
      <c r="AE3274" t="s">
        <v>80</v>
      </c>
      <c r="AG3274" t="s">
        <v>81</v>
      </c>
    </row>
    <row r="3275" spans="1:33" x14ac:dyDescent="0.25">
      <c r="A3275" t="str">
        <f>"1174811749"</f>
        <v>1174811749</v>
      </c>
      <c r="B3275" t="str">
        <f>"03446820"</f>
        <v>03446820</v>
      </c>
      <c r="C3275" t="s">
        <v>18630</v>
      </c>
      <c r="D3275" t="s">
        <v>18631</v>
      </c>
      <c r="E3275" t="s">
        <v>18632</v>
      </c>
      <c r="G3275" t="s">
        <v>18627</v>
      </c>
      <c r="J3275" t="s">
        <v>18628</v>
      </c>
      <c r="L3275" t="s">
        <v>102</v>
      </c>
      <c r="M3275" t="s">
        <v>75</v>
      </c>
      <c r="R3275" t="s">
        <v>18633</v>
      </c>
      <c r="W3275" t="s">
        <v>18632</v>
      </c>
      <c r="X3275" t="s">
        <v>18634</v>
      </c>
      <c r="Y3275" t="s">
        <v>131</v>
      </c>
      <c r="Z3275" t="s">
        <v>77</v>
      </c>
      <c r="AA3275" t="str">
        <f>"10457-4249"</f>
        <v>10457-4249</v>
      </c>
      <c r="AB3275" t="s">
        <v>78</v>
      </c>
      <c r="AC3275" t="s">
        <v>79</v>
      </c>
      <c r="AD3275" t="s">
        <v>75</v>
      </c>
      <c r="AE3275" t="s">
        <v>80</v>
      </c>
      <c r="AG3275" t="s">
        <v>81</v>
      </c>
    </row>
    <row r="3276" spans="1:33" x14ac:dyDescent="0.25">
      <c r="A3276" t="str">
        <f>"1568507788"</f>
        <v>1568507788</v>
      </c>
      <c r="B3276" t="str">
        <f>"03826079"</f>
        <v>03826079</v>
      </c>
      <c r="C3276" t="s">
        <v>18635</v>
      </c>
      <c r="D3276" t="s">
        <v>18636</v>
      </c>
      <c r="E3276" t="s">
        <v>18637</v>
      </c>
      <c r="G3276" t="s">
        <v>18627</v>
      </c>
      <c r="J3276" t="s">
        <v>18628</v>
      </c>
      <c r="L3276" t="s">
        <v>74</v>
      </c>
      <c r="M3276" t="s">
        <v>75</v>
      </c>
      <c r="R3276" t="s">
        <v>18638</v>
      </c>
      <c r="W3276" t="s">
        <v>18637</v>
      </c>
      <c r="X3276" t="s">
        <v>18639</v>
      </c>
      <c r="Y3276" t="s">
        <v>131</v>
      </c>
      <c r="Z3276" t="s">
        <v>77</v>
      </c>
      <c r="AA3276" t="str">
        <f>"10454-4140"</f>
        <v>10454-4140</v>
      </c>
      <c r="AB3276" t="s">
        <v>78</v>
      </c>
      <c r="AC3276" t="s">
        <v>79</v>
      </c>
      <c r="AD3276" t="s">
        <v>75</v>
      </c>
      <c r="AE3276" t="s">
        <v>80</v>
      </c>
      <c r="AG3276" t="s">
        <v>81</v>
      </c>
    </row>
    <row r="3277" spans="1:33" x14ac:dyDescent="0.25">
      <c r="A3277" t="str">
        <f>"1164401055"</f>
        <v>1164401055</v>
      </c>
      <c r="B3277" t="str">
        <f>"00790845"</f>
        <v>00790845</v>
      </c>
      <c r="C3277" t="s">
        <v>13436</v>
      </c>
      <c r="D3277" t="s">
        <v>18640</v>
      </c>
      <c r="E3277" t="s">
        <v>18641</v>
      </c>
      <c r="G3277" t="s">
        <v>18642</v>
      </c>
      <c r="L3277" t="s">
        <v>84</v>
      </c>
      <c r="M3277" t="s">
        <v>85</v>
      </c>
      <c r="R3277" t="s">
        <v>18643</v>
      </c>
      <c r="W3277" t="s">
        <v>18641</v>
      </c>
      <c r="X3277" t="s">
        <v>537</v>
      </c>
      <c r="Y3277" t="s">
        <v>97</v>
      </c>
      <c r="Z3277" t="s">
        <v>77</v>
      </c>
      <c r="AA3277" t="str">
        <f>"10011-8305"</f>
        <v>10011-8305</v>
      </c>
      <c r="AB3277" t="s">
        <v>78</v>
      </c>
      <c r="AC3277" t="s">
        <v>79</v>
      </c>
      <c r="AD3277" t="s">
        <v>75</v>
      </c>
      <c r="AE3277" t="s">
        <v>80</v>
      </c>
      <c r="AG3277" t="s">
        <v>81</v>
      </c>
    </row>
    <row r="3278" spans="1:33" x14ac:dyDescent="0.25">
      <c r="A3278" t="str">
        <f>"1003233420"</f>
        <v>1003233420</v>
      </c>
      <c r="C3278" t="s">
        <v>13436</v>
      </c>
      <c r="K3278" t="s">
        <v>99</v>
      </c>
      <c r="L3278" t="s">
        <v>102</v>
      </c>
      <c r="M3278" t="s">
        <v>75</v>
      </c>
      <c r="R3278" t="s">
        <v>18644</v>
      </c>
      <c r="S3278" t="s">
        <v>18645</v>
      </c>
      <c r="T3278" t="s">
        <v>2540</v>
      </c>
      <c r="U3278" t="s">
        <v>77</v>
      </c>
      <c r="V3278" t="str">
        <f>"117831443"</f>
        <v>117831443</v>
      </c>
      <c r="AC3278" t="s">
        <v>79</v>
      </c>
      <c r="AD3278" t="s">
        <v>75</v>
      </c>
      <c r="AE3278" t="s">
        <v>103</v>
      </c>
      <c r="AG3278" t="s">
        <v>81</v>
      </c>
    </row>
    <row r="3279" spans="1:33" x14ac:dyDescent="0.25">
      <c r="A3279" t="str">
        <f>"1861475816"</f>
        <v>1861475816</v>
      </c>
      <c r="B3279" t="str">
        <f>"02064428"</f>
        <v>02064428</v>
      </c>
      <c r="C3279" t="s">
        <v>13436</v>
      </c>
      <c r="D3279" t="s">
        <v>18646</v>
      </c>
      <c r="E3279" t="s">
        <v>18647</v>
      </c>
      <c r="G3279" t="s">
        <v>18648</v>
      </c>
      <c r="L3279" t="s">
        <v>74</v>
      </c>
      <c r="M3279" t="s">
        <v>85</v>
      </c>
      <c r="R3279" t="s">
        <v>18649</v>
      </c>
      <c r="W3279" t="s">
        <v>18647</v>
      </c>
      <c r="X3279" t="s">
        <v>737</v>
      </c>
      <c r="Y3279" t="s">
        <v>97</v>
      </c>
      <c r="Z3279" t="s">
        <v>77</v>
      </c>
      <c r="AA3279" t="str">
        <f>"10023-7410"</f>
        <v>10023-7410</v>
      </c>
      <c r="AB3279" t="s">
        <v>78</v>
      </c>
      <c r="AC3279" t="s">
        <v>79</v>
      </c>
      <c r="AD3279" t="s">
        <v>75</v>
      </c>
      <c r="AE3279" t="s">
        <v>80</v>
      </c>
      <c r="AG3279" t="s">
        <v>81</v>
      </c>
    </row>
    <row r="3280" spans="1:33" x14ac:dyDescent="0.25">
      <c r="A3280" t="str">
        <f>"1235321241"</f>
        <v>1235321241</v>
      </c>
      <c r="B3280" t="str">
        <f>"02900663"</f>
        <v>02900663</v>
      </c>
      <c r="C3280" t="s">
        <v>18650</v>
      </c>
      <c r="D3280" t="s">
        <v>18651</v>
      </c>
      <c r="E3280" t="s">
        <v>18652</v>
      </c>
      <c r="G3280" t="s">
        <v>13504</v>
      </c>
      <c r="H3280" t="s">
        <v>13505</v>
      </c>
      <c r="J3280" t="s">
        <v>13506</v>
      </c>
      <c r="L3280" t="s">
        <v>83</v>
      </c>
      <c r="M3280" t="s">
        <v>75</v>
      </c>
      <c r="R3280" t="s">
        <v>18653</v>
      </c>
      <c r="W3280" t="s">
        <v>18652</v>
      </c>
      <c r="X3280" t="s">
        <v>130</v>
      </c>
      <c r="Y3280" t="s">
        <v>131</v>
      </c>
      <c r="Z3280" t="s">
        <v>77</v>
      </c>
      <c r="AA3280" t="str">
        <f>"10461-1138"</f>
        <v>10461-1138</v>
      </c>
      <c r="AB3280" t="s">
        <v>78</v>
      </c>
      <c r="AC3280" t="s">
        <v>79</v>
      </c>
      <c r="AD3280" t="s">
        <v>75</v>
      </c>
      <c r="AE3280" t="s">
        <v>80</v>
      </c>
      <c r="AG3280" t="s">
        <v>81</v>
      </c>
    </row>
    <row r="3281" spans="1:33" x14ac:dyDescent="0.25">
      <c r="A3281" t="str">
        <f>"1295729622"</f>
        <v>1295729622</v>
      </c>
      <c r="B3281" t="str">
        <f>"02611154"</f>
        <v>02611154</v>
      </c>
      <c r="C3281" t="s">
        <v>18654</v>
      </c>
      <c r="D3281" t="s">
        <v>18655</v>
      </c>
      <c r="E3281" t="s">
        <v>18656</v>
      </c>
      <c r="G3281" t="s">
        <v>13504</v>
      </c>
      <c r="H3281" t="s">
        <v>13505</v>
      </c>
      <c r="J3281" t="s">
        <v>13506</v>
      </c>
      <c r="L3281" t="s">
        <v>74</v>
      </c>
      <c r="M3281" t="s">
        <v>75</v>
      </c>
      <c r="R3281" t="s">
        <v>18657</v>
      </c>
      <c r="W3281" t="s">
        <v>18656</v>
      </c>
      <c r="X3281" t="s">
        <v>610</v>
      </c>
      <c r="Y3281" t="s">
        <v>87</v>
      </c>
      <c r="Z3281" t="s">
        <v>77</v>
      </c>
      <c r="AA3281" t="str">
        <f>"11203-2056"</f>
        <v>11203-2056</v>
      </c>
      <c r="AB3281" t="s">
        <v>78</v>
      </c>
      <c r="AC3281" t="s">
        <v>79</v>
      </c>
      <c r="AD3281" t="s">
        <v>75</v>
      </c>
      <c r="AE3281" t="s">
        <v>80</v>
      </c>
      <c r="AG3281" t="s">
        <v>81</v>
      </c>
    </row>
    <row r="3282" spans="1:33" x14ac:dyDescent="0.25">
      <c r="A3282" t="str">
        <f>"1659413805"</f>
        <v>1659413805</v>
      </c>
      <c r="B3282" t="str">
        <f>"03448042"</f>
        <v>03448042</v>
      </c>
      <c r="C3282" t="s">
        <v>18658</v>
      </c>
      <c r="D3282" t="s">
        <v>18659</v>
      </c>
      <c r="E3282" t="s">
        <v>18660</v>
      </c>
      <c r="G3282" t="s">
        <v>13504</v>
      </c>
      <c r="H3282" t="s">
        <v>13505</v>
      </c>
      <c r="J3282" t="s">
        <v>13506</v>
      </c>
      <c r="L3282" t="s">
        <v>83</v>
      </c>
      <c r="M3282" t="s">
        <v>75</v>
      </c>
      <c r="R3282" t="s">
        <v>18661</v>
      </c>
      <c r="W3282" t="s">
        <v>18660</v>
      </c>
      <c r="X3282" t="s">
        <v>2597</v>
      </c>
      <c r="Y3282" t="s">
        <v>2598</v>
      </c>
      <c r="Z3282" t="s">
        <v>77</v>
      </c>
      <c r="AA3282" t="str">
        <f>"12771-2253"</f>
        <v>12771-2253</v>
      </c>
      <c r="AB3282" t="s">
        <v>78</v>
      </c>
      <c r="AC3282" t="s">
        <v>79</v>
      </c>
      <c r="AD3282" t="s">
        <v>75</v>
      </c>
      <c r="AE3282" t="s">
        <v>80</v>
      </c>
      <c r="AG3282" t="s">
        <v>81</v>
      </c>
    </row>
    <row r="3283" spans="1:33" x14ac:dyDescent="0.25">
      <c r="A3283" t="str">
        <f>"1023104965"</f>
        <v>1023104965</v>
      </c>
      <c r="B3283" t="str">
        <f>"01483090"</f>
        <v>01483090</v>
      </c>
      <c r="C3283" t="s">
        <v>18662</v>
      </c>
      <c r="D3283" t="s">
        <v>18663</v>
      </c>
      <c r="E3283" t="s">
        <v>18664</v>
      </c>
      <c r="G3283" t="s">
        <v>15344</v>
      </c>
      <c r="H3283" t="s">
        <v>15345</v>
      </c>
      <c r="J3283" t="s">
        <v>18665</v>
      </c>
      <c r="L3283" t="s">
        <v>105</v>
      </c>
      <c r="M3283" t="s">
        <v>75</v>
      </c>
      <c r="R3283" t="s">
        <v>18666</v>
      </c>
      <c r="W3283" t="s">
        <v>18664</v>
      </c>
      <c r="X3283" t="s">
        <v>648</v>
      </c>
      <c r="Y3283" t="s">
        <v>97</v>
      </c>
      <c r="Z3283" t="s">
        <v>77</v>
      </c>
      <c r="AA3283" t="str">
        <f>"10037-1802"</f>
        <v>10037-1802</v>
      </c>
      <c r="AB3283" t="s">
        <v>78</v>
      </c>
      <c r="AC3283" t="s">
        <v>79</v>
      </c>
      <c r="AD3283" t="s">
        <v>75</v>
      </c>
      <c r="AE3283" t="s">
        <v>80</v>
      </c>
      <c r="AG3283" t="s">
        <v>81</v>
      </c>
    </row>
    <row r="3284" spans="1:33" x14ac:dyDescent="0.25">
      <c r="A3284" t="str">
        <f>"1902247372"</f>
        <v>1902247372</v>
      </c>
      <c r="B3284" t="str">
        <f>"03873232"</f>
        <v>03873232</v>
      </c>
      <c r="C3284" t="s">
        <v>18667</v>
      </c>
      <c r="D3284" t="s">
        <v>18668</v>
      </c>
      <c r="E3284" t="s">
        <v>18669</v>
      </c>
      <c r="G3284" t="s">
        <v>18670</v>
      </c>
      <c r="H3284" t="s">
        <v>18671</v>
      </c>
      <c r="J3284" t="s">
        <v>18672</v>
      </c>
      <c r="L3284" t="s">
        <v>84</v>
      </c>
      <c r="M3284" t="s">
        <v>75</v>
      </c>
      <c r="R3284" t="s">
        <v>18673</v>
      </c>
      <c r="W3284" t="s">
        <v>18674</v>
      </c>
      <c r="X3284" t="s">
        <v>18675</v>
      </c>
      <c r="Y3284" t="s">
        <v>131</v>
      </c>
      <c r="Z3284" t="s">
        <v>77</v>
      </c>
      <c r="AA3284" t="str">
        <f>"10460-0000"</f>
        <v>10460-0000</v>
      </c>
      <c r="AB3284" t="s">
        <v>78</v>
      </c>
      <c r="AC3284" t="s">
        <v>79</v>
      </c>
      <c r="AD3284" t="s">
        <v>75</v>
      </c>
      <c r="AE3284" t="s">
        <v>80</v>
      </c>
      <c r="AG3284" t="s">
        <v>81</v>
      </c>
    </row>
    <row r="3285" spans="1:33" x14ac:dyDescent="0.25">
      <c r="A3285" t="str">
        <f>"1740276302"</f>
        <v>1740276302</v>
      </c>
      <c r="B3285" t="str">
        <f>"01659329"</f>
        <v>01659329</v>
      </c>
      <c r="C3285" t="s">
        <v>18676</v>
      </c>
      <c r="D3285" t="s">
        <v>18677</v>
      </c>
      <c r="E3285" t="s">
        <v>18678</v>
      </c>
      <c r="G3285" t="s">
        <v>13504</v>
      </c>
      <c r="H3285" t="s">
        <v>13505</v>
      </c>
      <c r="J3285" t="s">
        <v>13506</v>
      </c>
      <c r="L3285" t="s">
        <v>83</v>
      </c>
      <c r="M3285" t="s">
        <v>75</v>
      </c>
      <c r="R3285" t="s">
        <v>18679</v>
      </c>
      <c r="W3285" t="s">
        <v>18679</v>
      </c>
      <c r="X3285" t="s">
        <v>18680</v>
      </c>
      <c r="Y3285" t="s">
        <v>87</v>
      </c>
      <c r="Z3285" t="s">
        <v>77</v>
      </c>
      <c r="AA3285" t="str">
        <f>"11229-4559"</f>
        <v>11229-4559</v>
      </c>
      <c r="AB3285" t="s">
        <v>78</v>
      </c>
      <c r="AC3285" t="s">
        <v>79</v>
      </c>
      <c r="AD3285" t="s">
        <v>75</v>
      </c>
      <c r="AE3285" t="s">
        <v>80</v>
      </c>
      <c r="AG3285" t="s">
        <v>81</v>
      </c>
    </row>
    <row r="3286" spans="1:33" x14ac:dyDescent="0.25">
      <c r="A3286" t="str">
        <f>"1528150034"</f>
        <v>1528150034</v>
      </c>
      <c r="B3286" t="str">
        <f>"01749260"</f>
        <v>01749260</v>
      </c>
      <c r="C3286" t="s">
        <v>18681</v>
      </c>
      <c r="D3286" t="s">
        <v>18682</v>
      </c>
      <c r="E3286" t="s">
        <v>18683</v>
      </c>
      <c r="G3286" t="s">
        <v>13504</v>
      </c>
      <c r="H3286" t="s">
        <v>13505</v>
      </c>
      <c r="J3286" t="s">
        <v>13506</v>
      </c>
      <c r="L3286" t="s">
        <v>83</v>
      </c>
      <c r="M3286" t="s">
        <v>85</v>
      </c>
      <c r="R3286" t="s">
        <v>18684</v>
      </c>
      <c r="W3286" t="s">
        <v>18685</v>
      </c>
      <c r="X3286" t="s">
        <v>18686</v>
      </c>
      <c r="Y3286" t="s">
        <v>87</v>
      </c>
      <c r="Z3286" t="s">
        <v>77</v>
      </c>
      <c r="AA3286" t="str">
        <f>"11201-5493"</f>
        <v>11201-5493</v>
      </c>
      <c r="AB3286" t="s">
        <v>78</v>
      </c>
      <c r="AC3286" t="s">
        <v>79</v>
      </c>
      <c r="AD3286" t="s">
        <v>75</v>
      </c>
      <c r="AE3286" t="s">
        <v>80</v>
      </c>
      <c r="AG3286" t="s">
        <v>81</v>
      </c>
    </row>
    <row r="3287" spans="1:33" x14ac:dyDescent="0.25">
      <c r="A3287" t="str">
        <f>"1104090935"</f>
        <v>1104090935</v>
      </c>
      <c r="B3287" t="str">
        <f>"03231734"</f>
        <v>03231734</v>
      </c>
      <c r="C3287" t="s">
        <v>13436</v>
      </c>
      <c r="D3287" t="s">
        <v>4873</v>
      </c>
      <c r="E3287" t="s">
        <v>4874</v>
      </c>
      <c r="G3287" t="s">
        <v>18687</v>
      </c>
      <c r="L3287" t="s">
        <v>84</v>
      </c>
      <c r="M3287" t="s">
        <v>85</v>
      </c>
      <c r="R3287" t="s">
        <v>4875</v>
      </c>
      <c r="W3287" t="s">
        <v>4874</v>
      </c>
      <c r="X3287" t="s">
        <v>4876</v>
      </c>
      <c r="Y3287" t="s">
        <v>131</v>
      </c>
      <c r="Z3287" t="s">
        <v>77</v>
      </c>
      <c r="AA3287" t="str">
        <f>"10473-1402"</f>
        <v>10473-1402</v>
      </c>
      <c r="AB3287" t="s">
        <v>78</v>
      </c>
      <c r="AC3287" t="s">
        <v>79</v>
      </c>
      <c r="AD3287" t="s">
        <v>75</v>
      </c>
      <c r="AE3287" t="s">
        <v>80</v>
      </c>
      <c r="AG3287" t="s">
        <v>81</v>
      </c>
    </row>
    <row r="3288" spans="1:33" x14ac:dyDescent="0.25">
      <c r="A3288" t="str">
        <f>"1285623843"</f>
        <v>1285623843</v>
      </c>
      <c r="B3288" t="str">
        <f>"02094580"</f>
        <v>02094580</v>
      </c>
      <c r="C3288" t="s">
        <v>13436</v>
      </c>
      <c r="D3288" t="s">
        <v>18688</v>
      </c>
      <c r="E3288" t="s">
        <v>18689</v>
      </c>
      <c r="G3288" t="s">
        <v>18690</v>
      </c>
      <c r="L3288" t="s">
        <v>84</v>
      </c>
      <c r="M3288" t="s">
        <v>85</v>
      </c>
      <c r="R3288" t="s">
        <v>18691</v>
      </c>
      <c r="W3288" t="s">
        <v>18689</v>
      </c>
      <c r="X3288" t="s">
        <v>14588</v>
      </c>
      <c r="Y3288" t="s">
        <v>97</v>
      </c>
      <c r="Z3288" t="s">
        <v>77</v>
      </c>
      <c r="AA3288" t="str">
        <f>"10003-3314"</f>
        <v>10003-3314</v>
      </c>
      <c r="AB3288" t="s">
        <v>78</v>
      </c>
      <c r="AC3288" t="s">
        <v>79</v>
      </c>
      <c r="AD3288" t="s">
        <v>75</v>
      </c>
      <c r="AE3288" t="s">
        <v>80</v>
      </c>
      <c r="AG3288" t="s">
        <v>81</v>
      </c>
    </row>
    <row r="3289" spans="1:33" x14ac:dyDescent="0.25">
      <c r="A3289" t="str">
        <f>"1285625160"</f>
        <v>1285625160</v>
      </c>
      <c r="B3289" t="str">
        <f>"02587828"</f>
        <v>02587828</v>
      </c>
      <c r="C3289" t="s">
        <v>13436</v>
      </c>
      <c r="D3289" t="s">
        <v>18692</v>
      </c>
      <c r="E3289" t="s">
        <v>18693</v>
      </c>
      <c r="G3289" t="s">
        <v>18694</v>
      </c>
      <c r="L3289" t="s">
        <v>83</v>
      </c>
      <c r="M3289" t="s">
        <v>85</v>
      </c>
      <c r="R3289" t="s">
        <v>18695</v>
      </c>
      <c r="W3289" t="s">
        <v>18693</v>
      </c>
      <c r="X3289" t="s">
        <v>18696</v>
      </c>
      <c r="Y3289" t="s">
        <v>97</v>
      </c>
      <c r="Z3289" t="s">
        <v>77</v>
      </c>
      <c r="AA3289" t="str">
        <f>"10003-3314"</f>
        <v>10003-3314</v>
      </c>
      <c r="AB3289" t="s">
        <v>78</v>
      </c>
      <c r="AC3289" t="s">
        <v>79</v>
      </c>
      <c r="AD3289" t="s">
        <v>75</v>
      </c>
      <c r="AE3289" t="s">
        <v>80</v>
      </c>
      <c r="AG3289" t="s">
        <v>81</v>
      </c>
    </row>
    <row r="3290" spans="1:33" x14ac:dyDescent="0.25">
      <c r="A3290" t="str">
        <f>"1285730234"</f>
        <v>1285730234</v>
      </c>
      <c r="B3290" t="str">
        <f>"02802293"</f>
        <v>02802293</v>
      </c>
      <c r="C3290" t="s">
        <v>13436</v>
      </c>
      <c r="D3290" t="s">
        <v>18697</v>
      </c>
      <c r="E3290" t="s">
        <v>18698</v>
      </c>
      <c r="G3290" t="s">
        <v>18699</v>
      </c>
      <c r="L3290" t="s">
        <v>83</v>
      </c>
      <c r="M3290" t="s">
        <v>85</v>
      </c>
      <c r="R3290" t="s">
        <v>18700</v>
      </c>
      <c r="W3290" t="s">
        <v>18698</v>
      </c>
      <c r="X3290" t="s">
        <v>889</v>
      </c>
      <c r="Y3290" t="s">
        <v>97</v>
      </c>
      <c r="Z3290" t="s">
        <v>77</v>
      </c>
      <c r="AA3290" t="str">
        <f>"10032"</f>
        <v>10032</v>
      </c>
      <c r="AB3290" t="s">
        <v>78</v>
      </c>
      <c r="AC3290" t="s">
        <v>79</v>
      </c>
      <c r="AD3290" t="s">
        <v>75</v>
      </c>
      <c r="AE3290" t="s">
        <v>80</v>
      </c>
      <c r="AG3290" t="s">
        <v>81</v>
      </c>
    </row>
    <row r="3291" spans="1:33" x14ac:dyDescent="0.25">
      <c r="A3291" t="str">
        <f>"1982635520"</f>
        <v>1982635520</v>
      </c>
      <c r="B3291" t="str">
        <f>"01948127"</f>
        <v>01948127</v>
      </c>
      <c r="C3291" t="s">
        <v>13436</v>
      </c>
      <c r="D3291" t="s">
        <v>18701</v>
      </c>
      <c r="E3291" t="s">
        <v>18702</v>
      </c>
      <c r="G3291" t="s">
        <v>18703</v>
      </c>
      <c r="L3291" t="s">
        <v>83</v>
      </c>
      <c r="M3291" t="s">
        <v>85</v>
      </c>
      <c r="R3291" t="s">
        <v>18704</v>
      </c>
      <c r="W3291" t="s">
        <v>18702</v>
      </c>
      <c r="X3291" t="s">
        <v>18705</v>
      </c>
      <c r="Y3291" t="s">
        <v>97</v>
      </c>
      <c r="Z3291" t="s">
        <v>77</v>
      </c>
      <c r="AA3291" t="str">
        <f>"10128-7603"</f>
        <v>10128-7603</v>
      </c>
      <c r="AB3291" t="s">
        <v>78</v>
      </c>
      <c r="AC3291" t="s">
        <v>79</v>
      </c>
      <c r="AD3291" t="s">
        <v>75</v>
      </c>
      <c r="AE3291" t="s">
        <v>80</v>
      </c>
      <c r="AG3291" t="s">
        <v>81</v>
      </c>
    </row>
    <row r="3292" spans="1:33" x14ac:dyDescent="0.25">
      <c r="A3292" t="str">
        <f>"1982683041"</f>
        <v>1982683041</v>
      </c>
      <c r="B3292" t="str">
        <f>"01194027"</f>
        <v>01194027</v>
      </c>
      <c r="C3292" t="s">
        <v>13436</v>
      </c>
      <c r="D3292" t="s">
        <v>18706</v>
      </c>
      <c r="E3292" t="s">
        <v>18707</v>
      </c>
      <c r="G3292" t="s">
        <v>18708</v>
      </c>
      <c r="L3292" t="s">
        <v>84</v>
      </c>
      <c r="M3292" t="s">
        <v>85</v>
      </c>
      <c r="R3292" t="s">
        <v>18709</v>
      </c>
      <c r="W3292" t="s">
        <v>18707</v>
      </c>
      <c r="X3292" t="s">
        <v>857</v>
      </c>
      <c r="Y3292" t="s">
        <v>97</v>
      </c>
      <c r="Z3292" t="s">
        <v>77</v>
      </c>
      <c r="AA3292" t="str">
        <f>"10010-5417"</f>
        <v>10010-5417</v>
      </c>
      <c r="AB3292" t="s">
        <v>78</v>
      </c>
      <c r="AC3292" t="s">
        <v>79</v>
      </c>
      <c r="AD3292" t="s">
        <v>75</v>
      </c>
      <c r="AE3292" t="s">
        <v>80</v>
      </c>
      <c r="AG3292" t="s">
        <v>81</v>
      </c>
    </row>
    <row r="3293" spans="1:33" x14ac:dyDescent="0.25">
      <c r="A3293" t="str">
        <f>"1982759957"</f>
        <v>1982759957</v>
      </c>
      <c r="B3293" t="str">
        <f>"02109997"</f>
        <v>02109997</v>
      </c>
      <c r="C3293" t="s">
        <v>13436</v>
      </c>
      <c r="D3293" t="s">
        <v>18710</v>
      </c>
      <c r="E3293" t="s">
        <v>18711</v>
      </c>
      <c r="G3293" t="s">
        <v>18712</v>
      </c>
      <c r="L3293" t="s">
        <v>83</v>
      </c>
      <c r="M3293" t="s">
        <v>85</v>
      </c>
      <c r="R3293" t="s">
        <v>18713</v>
      </c>
      <c r="W3293" t="s">
        <v>18711</v>
      </c>
      <c r="X3293" t="s">
        <v>181</v>
      </c>
      <c r="Y3293" t="s">
        <v>97</v>
      </c>
      <c r="Z3293" t="s">
        <v>77</v>
      </c>
      <c r="AA3293" t="str">
        <f>"10025-1716"</f>
        <v>10025-1716</v>
      </c>
      <c r="AB3293" t="s">
        <v>78</v>
      </c>
      <c r="AC3293" t="s">
        <v>79</v>
      </c>
      <c r="AD3293" t="s">
        <v>75</v>
      </c>
      <c r="AE3293" t="s">
        <v>80</v>
      </c>
      <c r="AG3293" t="s">
        <v>81</v>
      </c>
    </row>
    <row r="3294" spans="1:33" x14ac:dyDescent="0.25">
      <c r="A3294" t="str">
        <f>"1992731095"</f>
        <v>1992731095</v>
      </c>
      <c r="B3294" t="str">
        <f>"02093841"</f>
        <v>02093841</v>
      </c>
      <c r="C3294" t="s">
        <v>13436</v>
      </c>
      <c r="D3294" t="s">
        <v>18714</v>
      </c>
      <c r="E3294" t="s">
        <v>18715</v>
      </c>
      <c r="G3294" t="s">
        <v>18716</v>
      </c>
      <c r="L3294" t="s">
        <v>83</v>
      </c>
      <c r="M3294" t="s">
        <v>85</v>
      </c>
      <c r="R3294" t="s">
        <v>18717</v>
      </c>
      <c r="W3294" t="s">
        <v>18718</v>
      </c>
      <c r="X3294" t="s">
        <v>191</v>
      </c>
      <c r="Y3294" t="s">
        <v>97</v>
      </c>
      <c r="Z3294" t="s">
        <v>77</v>
      </c>
      <c r="AA3294" t="str">
        <f>"10019-1147"</f>
        <v>10019-1147</v>
      </c>
      <c r="AB3294" t="s">
        <v>78</v>
      </c>
      <c r="AC3294" t="s">
        <v>79</v>
      </c>
      <c r="AD3294" t="s">
        <v>75</v>
      </c>
      <c r="AE3294" t="s">
        <v>80</v>
      </c>
      <c r="AG3294" t="s">
        <v>81</v>
      </c>
    </row>
    <row r="3295" spans="1:33" x14ac:dyDescent="0.25">
      <c r="A3295" t="str">
        <f>"1992731988"</f>
        <v>1992731988</v>
      </c>
      <c r="B3295" t="str">
        <f>"02674082"</f>
        <v>02674082</v>
      </c>
      <c r="C3295" t="s">
        <v>13436</v>
      </c>
      <c r="D3295" t="s">
        <v>18719</v>
      </c>
      <c r="E3295" t="s">
        <v>18720</v>
      </c>
      <c r="G3295" t="s">
        <v>18721</v>
      </c>
      <c r="L3295" t="s">
        <v>83</v>
      </c>
      <c r="M3295" t="s">
        <v>85</v>
      </c>
      <c r="R3295" t="s">
        <v>18722</v>
      </c>
      <c r="W3295" t="s">
        <v>18720</v>
      </c>
      <c r="X3295" t="s">
        <v>181</v>
      </c>
      <c r="Y3295" t="s">
        <v>97</v>
      </c>
      <c r="Z3295" t="s">
        <v>77</v>
      </c>
      <c r="AA3295" t="str">
        <f>"10025-1716"</f>
        <v>10025-1716</v>
      </c>
      <c r="AB3295" t="s">
        <v>78</v>
      </c>
      <c r="AC3295" t="s">
        <v>79</v>
      </c>
      <c r="AD3295" t="s">
        <v>75</v>
      </c>
      <c r="AE3295" t="s">
        <v>80</v>
      </c>
      <c r="AG3295" t="s">
        <v>81</v>
      </c>
    </row>
    <row r="3296" spans="1:33" x14ac:dyDescent="0.25">
      <c r="A3296" t="str">
        <f>"1992735443"</f>
        <v>1992735443</v>
      </c>
      <c r="B3296" t="str">
        <f>"00142636"</f>
        <v>00142636</v>
      </c>
      <c r="C3296" t="s">
        <v>13436</v>
      </c>
      <c r="D3296" t="s">
        <v>18723</v>
      </c>
      <c r="E3296" t="s">
        <v>18724</v>
      </c>
      <c r="G3296" t="s">
        <v>18725</v>
      </c>
      <c r="L3296" t="s">
        <v>83</v>
      </c>
      <c r="M3296" t="s">
        <v>85</v>
      </c>
      <c r="R3296" t="s">
        <v>18726</v>
      </c>
      <c r="W3296" t="s">
        <v>18727</v>
      </c>
      <c r="X3296" t="s">
        <v>443</v>
      </c>
      <c r="Y3296" t="s">
        <v>97</v>
      </c>
      <c r="Z3296" t="s">
        <v>77</v>
      </c>
      <c r="AA3296" t="str">
        <f>"10075-1850"</f>
        <v>10075-1850</v>
      </c>
      <c r="AB3296" t="s">
        <v>78</v>
      </c>
      <c r="AC3296" t="s">
        <v>79</v>
      </c>
      <c r="AD3296" t="s">
        <v>75</v>
      </c>
      <c r="AE3296" t="s">
        <v>80</v>
      </c>
      <c r="AG3296" t="s">
        <v>81</v>
      </c>
    </row>
    <row r="3297" spans="1:33" x14ac:dyDescent="0.25">
      <c r="A3297" t="str">
        <f>"1992748271"</f>
        <v>1992748271</v>
      </c>
      <c r="B3297" t="str">
        <f>"00187802"</f>
        <v>00187802</v>
      </c>
      <c r="C3297" t="s">
        <v>13436</v>
      </c>
      <c r="D3297" t="s">
        <v>18728</v>
      </c>
      <c r="E3297" t="s">
        <v>18729</v>
      </c>
      <c r="G3297" t="s">
        <v>18730</v>
      </c>
      <c r="L3297" t="s">
        <v>105</v>
      </c>
      <c r="M3297" t="s">
        <v>85</v>
      </c>
      <c r="R3297" t="s">
        <v>18731</v>
      </c>
      <c r="W3297" t="s">
        <v>18729</v>
      </c>
      <c r="X3297" t="s">
        <v>18732</v>
      </c>
      <c r="Y3297" t="s">
        <v>97</v>
      </c>
      <c r="Z3297" t="s">
        <v>77</v>
      </c>
      <c r="AA3297" t="str">
        <f>"10021-4032"</f>
        <v>10021-4032</v>
      </c>
      <c r="AB3297" t="s">
        <v>78</v>
      </c>
      <c r="AC3297" t="s">
        <v>79</v>
      </c>
      <c r="AD3297" t="s">
        <v>75</v>
      </c>
      <c r="AE3297" t="s">
        <v>80</v>
      </c>
      <c r="AG3297" t="s">
        <v>81</v>
      </c>
    </row>
    <row r="3298" spans="1:33" x14ac:dyDescent="0.25">
      <c r="A3298" t="str">
        <f>"1992852941"</f>
        <v>1992852941</v>
      </c>
      <c r="B3298" t="str">
        <f>"01872480"</f>
        <v>01872480</v>
      </c>
      <c r="C3298" t="s">
        <v>13436</v>
      </c>
      <c r="D3298" t="s">
        <v>18733</v>
      </c>
      <c r="E3298" t="s">
        <v>18734</v>
      </c>
      <c r="G3298" t="s">
        <v>18735</v>
      </c>
      <c r="L3298" t="s">
        <v>84</v>
      </c>
      <c r="M3298" t="s">
        <v>85</v>
      </c>
      <c r="R3298" t="s">
        <v>18736</v>
      </c>
      <c r="W3298" t="s">
        <v>18734</v>
      </c>
      <c r="X3298" t="s">
        <v>18737</v>
      </c>
      <c r="Y3298" t="s">
        <v>97</v>
      </c>
      <c r="Z3298" t="s">
        <v>77</v>
      </c>
      <c r="AA3298" t="str">
        <f>"10010-7436"</f>
        <v>10010-7436</v>
      </c>
      <c r="AB3298" t="s">
        <v>78</v>
      </c>
      <c r="AC3298" t="s">
        <v>79</v>
      </c>
      <c r="AD3298" t="s">
        <v>75</v>
      </c>
      <c r="AE3298" t="s">
        <v>80</v>
      </c>
      <c r="AG3298" t="s">
        <v>81</v>
      </c>
    </row>
    <row r="3299" spans="1:33" x14ac:dyDescent="0.25">
      <c r="A3299" t="str">
        <f>"1992865174"</f>
        <v>1992865174</v>
      </c>
      <c r="B3299" t="str">
        <f>"00257736"</f>
        <v>00257736</v>
      </c>
      <c r="C3299" t="s">
        <v>13436</v>
      </c>
      <c r="D3299" t="s">
        <v>18738</v>
      </c>
      <c r="E3299" t="s">
        <v>18739</v>
      </c>
      <c r="G3299" t="s">
        <v>18740</v>
      </c>
      <c r="L3299" t="s">
        <v>83</v>
      </c>
      <c r="M3299" t="s">
        <v>85</v>
      </c>
      <c r="R3299" t="s">
        <v>18741</v>
      </c>
      <c r="W3299" t="s">
        <v>18739</v>
      </c>
      <c r="X3299" t="s">
        <v>14871</v>
      </c>
      <c r="Y3299" t="s">
        <v>97</v>
      </c>
      <c r="Z3299" t="s">
        <v>77</v>
      </c>
      <c r="AA3299" t="str">
        <f>"10003"</f>
        <v>10003</v>
      </c>
      <c r="AB3299" t="s">
        <v>78</v>
      </c>
      <c r="AC3299" t="s">
        <v>79</v>
      </c>
      <c r="AD3299" t="s">
        <v>75</v>
      </c>
      <c r="AE3299" t="s">
        <v>80</v>
      </c>
      <c r="AG3299" t="s">
        <v>81</v>
      </c>
    </row>
    <row r="3300" spans="1:33" x14ac:dyDescent="0.25">
      <c r="A3300" t="str">
        <f>"1336565605"</f>
        <v>1336565605</v>
      </c>
      <c r="B3300" t="str">
        <f>"03945104"</f>
        <v>03945104</v>
      </c>
      <c r="C3300" t="s">
        <v>18742</v>
      </c>
      <c r="D3300" t="s">
        <v>2036</v>
      </c>
      <c r="E3300" t="s">
        <v>2037</v>
      </c>
      <c r="G3300" t="s">
        <v>18742</v>
      </c>
      <c r="H3300" t="s">
        <v>17720</v>
      </c>
      <c r="L3300" t="s">
        <v>74</v>
      </c>
      <c r="M3300" t="s">
        <v>75</v>
      </c>
      <c r="R3300" t="s">
        <v>2035</v>
      </c>
      <c r="W3300" t="s">
        <v>2037</v>
      </c>
      <c r="X3300" t="s">
        <v>2021</v>
      </c>
      <c r="Y3300" t="s">
        <v>140</v>
      </c>
      <c r="Z3300" t="s">
        <v>77</v>
      </c>
      <c r="AA3300" t="str">
        <f>"11772-2004"</f>
        <v>11772-2004</v>
      </c>
      <c r="AB3300" t="s">
        <v>78</v>
      </c>
      <c r="AC3300" t="s">
        <v>79</v>
      </c>
      <c r="AD3300" t="s">
        <v>75</v>
      </c>
      <c r="AE3300" t="s">
        <v>80</v>
      </c>
      <c r="AG3300" t="s">
        <v>81</v>
      </c>
    </row>
    <row r="3301" spans="1:33" x14ac:dyDescent="0.25">
      <c r="A3301" t="str">
        <f>"1134169576"</f>
        <v>1134169576</v>
      </c>
      <c r="B3301" t="str">
        <f>"02645036"</f>
        <v>02645036</v>
      </c>
      <c r="C3301" t="s">
        <v>13436</v>
      </c>
      <c r="D3301" t="s">
        <v>18743</v>
      </c>
      <c r="E3301" t="s">
        <v>18744</v>
      </c>
      <c r="G3301" t="s">
        <v>18745</v>
      </c>
      <c r="L3301" t="s">
        <v>74</v>
      </c>
      <c r="M3301" t="s">
        <v>85</v>
      </c>
      <c r="R3301" t="s">
        <v>18746</v>
      </c>
      <c r="W3301" t="s">
        <v>18744</v>
      </c>
      <c r="X3301" t="s">
        <v>181</v>
      </c>
      <c r="Y3301" t="s">
        <v>97</v>
      </c>
      <c r="Z3301" t="s">
        <v>77</v>
      </c>
      <c r="AA3301" t="str">
        <f>"10025-1716"</f>
        <v>10025-1716</v>
      </c>
      <c r="AB3301" t="s">
        <v>78</v>
      </c>
      <c r="AC3301" t="s">
        <v>79</v>
      </c>
      <c r="AD3301" t="s">
        <v>75</v>
      </c>
      <c r="AE3301" t="s">
        <v>80</v>
      </c>
      <c r="AG3301" t="s">
        <v>81</v>
      </c>
    </row>
    <row r="3302" spans="1:33" x14ac:dyDescent="0.25">
      <c r="A3302" t="str">
        <f>"1134223423"</f>
        <v>1134223423</v>
      </c>
      <c r="B3302" t="str">
        <f>"02212628"</f>
        <v>02212628</v>
      </c>
      <c r="C3302" t="s">
        <v>13436</v>
      </c>
      <c r="D3302" t="s">
        <v>18747</v>
      </c>
      <c r="E3302" t="s">
        <v>18748</v>
      </c>
      <c r="G3302" t="s">
        <v>18749</v>
      </c>
      <c r="L3302" t="s">
        <v>83</v>
      </c>
      <c r="M3302" t="s">
        <v>85</v>
      </c>
      <c r="R3302" t="s">
        <v>18750</v>
      </c>
      <c r="W3302" t="s">
        <v>18751</v>
      </c>
      <c r="X3302" t="s">
        <v>18752</v>
      </c>
      <c r="Y3302" t="s">
        <v>87</v>
      </c>
      <c r="Z3302" t="s">
        <v>77</v>
      </c>
      <c r="AA3302" t="str">
        <f>"11230-3814"</f>
        <v>11230-3814</v>
      </c>
      <c r="AB3302" t="s">
        <v>78</v>
      </c>
      <c r="AC3302" t="s">
        <v>79</v>
      </c>
      <c r="AD3302" t="s">
        <v>75</v>
      </c>
      <c r="AE3302" t="s">
        <v>80</v>
      </c>
      <c r="AG3302" t="s">
        <v>81</v>
      </c>
    </row>
    <row r="3303" spans="1:33" x14ac:dyDescent="0.25">
      <c r="A3303" t="str">
        <f>"1134281041"</f>
        <v>1134281041</v>
      </c>
      <c r="B3303" t="str">
        <f>"02870368"</f>
        <v>02870368</v>
      </c>
      <c r="C3303" t="s">
        <v>13436</v>
      </c>
      <c r="D3303" t="s">
        <v>18753</v>
      </c>
      <c r="E3303" t="s">
        <v>18754</v>
      </c>
      <c r="G3303" t="s">
        <v>18755</v>
      </c>
      <c r="L3303" t="s">
        <v>83</v>
      </c>
      <c r="M3303" t="s">
        <v>85</v>
      </c>
      <c r="R3303" t="s">
        <v>18756</v>
      </c>
      <c r="W3303" t="s">
        <v>18754</v>
      </c>
      <c r="X3303" t="s">
        <v>7205</v>
      </c>
      <c r="Y3303" t="s">
        <v>97</v>
      </c>
      <c r="Z3303" t="s">
        <v>77</v>
      </c>
      <c r="AA3303" t="str">
        <f>"10128-6703"</f>
        <v>10128-6703</v>
      </c>
      <c r="AB3303" t="s">
        <v>78</v>
      </c>
      <c r="AC3303" t="s">
        <v>79</v>
      </c>
      <c r="AD3303" t="s">
        <v>75</v>
      </c>
      <c r="AE3303" t="s">
        <v>80</v>
      </c>
      <c r="AG3303" t="s">
        <v>81</v>
      </c>
    </row>
    <row r="3304" spans="1:33" x14ac:dyDescent="0.25">
      <c r="A3304" t="str">
        <f>"1134379076"</f>
        <v>1134379076</v>
      </c>
      <c r="B3304" t="str">
        <f>"04232019"</f>
        <v>04232019</v>
      </c>
      <c r="C3304" t="s">
        <v>13436</v>
      </c>
      <c r="D3304" t="s">
        <v>18757</v>
      </c>
      <c r="E3304" t="s">
        <v>18758</v>
      </c>
      <c r="G3304" t="s">
        <v>18759</v>
      </c>
      <c r="L3304" t="s">
        <v>74</v>
      </c>
      <c r="M3304" t="s">
        <v>85</v>
      </c>
      <c r="R3304" t="s">
        <v>18760</v>
      </c>
      <c r="W3304" t="s">
        <v>18758</v>
      </c>
      <c r="X3304" t="s">
        <v>18761</v>
      </c>
      <c r="Y3304" t="s">
        <v>97</v>
      </c>
      <c r="Z3304" t="s">
        <v>77</v>
      </c>
      <c r="AA3304" t="str">
        <f>"10035-1641"</f>
        <v>10035-1641</v>
      </c>
      <c r="AB3304" t="s">
        <v>78</v>
      </c>
      <c r="AC3304" t="s">
        <v>79</v>
      </c>
      <c r="AD3304" t="s">
        <v>75</v>
      </c>
      <c r="AE3304" t="s">
        <v>80</v>
      </c>
      <c r="AG3304" t="s">
        <v>81</v>
      </c>
    </row>
    <row r="3305" spans="1:33" x14ac:dyDescent="0.25">
      <c r="A3305" t="str">
        <f>"1134399306"</f>
        <v>1134399306</v>
      </c>
      <c r="B3305" t="str">
        <f>"03245558"</f>
        <v>03245558</v>
      </c>
      <c r="C3305" t="s">
        <v>13436</v>
      </c>
      <c r="D3305" t="s">
        <v>18762</v>
      </c>
      <c r="E3305" t="s">
        <v>18763</v>
      </c>
      <c r="G3305" t="s">
        <v>18764</v>
      </c>
      <c r="L3305" t="s">
        <v>83</v>
      </c>
      <c r="M3305" t="s">
        <v>85</v>
      </c>
      <c r="R3305" t="s">
        <v>18765</v>
      </c>
      <c r="W3305" t="s">
        <v>18763</v>
      </c>
      <c r="X3305" t="s">
        <v>3553</v>
      </c>
      <c r="Y3305" t="s">
        <v>97</v>
      </c>
      <c r="Z3305" t="s">
        <v>77</v>
      </c>
      <c r="AA3305" t="str">
        <f>"10003-3851"</f>
        <v>10003-3851</v>
      </c>
      <c r="AB3305" t="s">
        <v>78</v>
      </c>
      <c r="AC3305" t="s">
        <v>79</v>
      </c>
      <c r="AD3305" t="s">
        <v>75</v>
      </c>
      <c r="AE3305" t="s">
        <v>80</v>
      </c>
      <c r="AG3305" t="s">
        <v>81</v>
      </c>
    </row>
    <row r="3306" spans="1:33" x14ac:dyDescent="0.25">
      <c r="A3306" t="str">
        <f>"1144202433"</f>
        <v>1144202433</v>
      </c>
      <c r="B3306" t="str">
        <f>"01947713"</f>
        <v>01947713</v>
      </c>
      <c r="C3306" t="s">
        <v>13436</v>
      </c>
      <c r="D3306" t="s">
        <v>18766</v>
      </c>
      <c r="E3306" t="s">
        <v>18767</v>
      </c>
      <c r="G3306" t="s">
        <v>18768</v>
      </c>
      <c r="L3306" t="s">
        <v>94</v>
      </c>
      <c r="M3306" t="s">
        <v>85</v>
      </c>
      <c r="R3306" t="s">
        <v>18769</v>
      </c>
      <c r="W3306" t="s">
        <v>18767</v>
      </c>
      <c r="X3306" t="s">
        <v>2587</v>
      </c>
      <c r="Y3306" t="s">
        <v>97</v>
      </c>
      <c r="Z3306" t="s">
        <v>77</v>
      </c>
      <c r="AA3306" t="str">
        <f>"10003-3314"</f>
        <v>10003-3314</v>
      </c>
      <c r="AB3306" t="s">
        <v>78</v>
      </c>
      <c r="AC3306" t="s">
        <v>79</v>
      </c>
      <c r="AD3306" t="s">
        <v>75</v>
      </c>
      <c r="AE3306" t="s">
        <v>80</v>
      </c>
      <c r="AG3306" t="s">
        <v>81</v>
      </c>
    </row>
    <row r="3307" spans="1:33" x14ac:dyDescent="0.25">
      <c r="A3307" t="str">
        <f>"1144245382"</f>
        <v>1144245382</v>
      </c>
      <c r="B3307" t="str">
        <f>"01925671"</f>
        <v>01925671</v>
      </c>
      <c r="C3307" t="s">
        <v>13436</v>
      </c>
      <c r="D3307" t="s">
        <v>18770</v>
      </c>
      <c r="E3307" t="s">
        <v>18771</v>
      </c>
      <c r="G3307" t="s">
        <v>18772</v>
      </c>
      <c r="L3307" t="s">
        <v>94</v>
      </c>
      <c r="M3307" t="s">
        <v>85</v>
      </c>
      <c r="R3307" t="s">
        <v>18773</v>
      </c>
      <c r="W3307" t="s">
        <v>18771</v>
      </c>
      <c r="X3307" t="s">
        <v>18774</v>
      </c>
      <c r="Y3307" t="s">
        <v>97</v>
      </c>
      <c r="Z3307" t="s">
        <v>77</v>
      </c>
      <c r="AA3307" t="str">
        <f>"10019-1147"</f>
        <v>10019-1147</v>
      </c>
      <c r="AB3307" t="s">
        <v>78</v>
      </c>
      <c r="AC3307" t="s">
        <v>79</v>
      </c>
      <c r="AD3307" t="s">
        <v>75</v>
      </c>
      <c r="AE3307" t="s">
        <v>80</v>
      </c>
      <c r="AG3307" t="s">
        <v>81</v>
      </c>
    </row>
    <row r="3308" spans="1:33" x14ac:dyDescent="0.25">
      <c r="A3308" t="str">
        <f>"1144284068"</f>
        <v>1144284068</v>
      </c>
      <c r="B3308" t="str">
        <f>"02706738"</f>
        <v>02706738</v>
      </c>
      <c r="C3308" t="s">
        <v>13436</v>
      </c>
      <c r="D3308" t="s">
        <v>18775</v>
      </c>
      <c r="E3308" t="s">
        <v>18776</v>
      </c>
      <c r="G3308" t="s">
        <v>18777</v>
      </c>
      <c r="L3308" t="s">
        <v>83</v>
      </c>
      <c r="M3308" t="s">
        <v>85</v>
      </c>
      <c r="R3308" t="s">
        <v>18778</v>
      </c>
      <c r="W3308" t="s">
        <v>18779</v>
      </c>
      <c r="X3308" t="s">
        <v>191</v>
      </c>
      <c r="Y3308" t="s">
        <v>97</v>
      </c>
      <c r="Z3308" t="s">
        <v>77</v>
      </c>
      <c r="AA3308" t="str">
        <f>"10019-1147"</f>
        <v>10019-1147</v>
      </c>
      <c r="AB3308" t="s">
        <v>78</v>
      </c>
      <c r="AC3308" t="s">
        <v>79</v>
      </c>
      <c r="AD3308" t="s">
        <v>75</v>
      </c>
      <c r="AE3308" t="s">
        <v>80</v>
      </c>
      <c r="AG3308" t="s">
        <v>81</v>
      </c>
    </row>
    <row r="3309" spans="1:33" x14ac:dyDescent="0.25">
      <c r="A3309" t="str">
        <f>"1154302032"</f>
        <v>1154302032</v>
      </c>
      <c r="B3309" t="str">
        <f>"00906914"</f>
        <v>00906914</v>
      </c>
      <c r="C3309" t="s">
        <v>13436</v>
      </c>
      <c r="D3309" t="s">
        <v>18780</v>
      </c>
      <c r="E3309" t="s">
        <v>18781</v>
      </c>
      <c r="G3309" t="s">
        <v>18782</v>
      </c>
      <c r="L3309" t="s">
        <v>74</v>
      </c>
      <c r="M3309" t="s">
        <v>85</v>
      </c>
      <c r="R3309" t="s">
        <v>18783</v>
      </c>
      <c r="W3309" t="s">
        <v>18781</v>
      </c>
      <c r="X3309" t="s">
        <v>3553</v>
      </c>
      <c r="Y3309" t="s">
        <v>97</v>
      </c>
      <c r="Z3309" t="s">
        <v>77</v>
      </c>
      <c r="AA3309" t="str">
        <f>"10003-3851"</f>
        <v>10003-3851</v>
      </c>
      <c r="AB3309" t="s">
        <v>78</v>
      </c>
      <c r="AC3309" t="s">
        <v>79</v>
      </c>
      <c r="AD3309" t="s">
        <v>75</v>
      </c>
      <c r="AE3309" t="s">
        <v>80</v>
      </c>
      <c r="AG3309" t="s">
        <v>81</v>
      </c>
    </row>
    <row r="3310" spans="1:33" x14ac:dyDescent="0.25">
      <c r="A3310" t="str">
        <f>"1154305720"</f>
        <v>1154305720</v>
      </c>
      <c r="B3310" t="str">
        <f>"02169877"</f>
        <v>02169877</v>
      </c>
      <c r="C3310" t="s">
        <v>13436</v>
      </c>
      <c r="D3310" t="s">
        <v>18784</v>
      </c>
      <c r="E3310" t="s">
        <v>18785</v>
      </c>
      <c r="G3310" t="s">
        <v>18786</v>
      </c>
      <c r="L3310" t="s">
        <v>83</v>
      </c>
      <c r="M3310" t="s">
        <v>85</v>
      </c>
      <c r="R3310" t="s">
        <v>18787</v>
      </c>
      <c r="W3310" t="s">
        <v>18785</v>
      </c>
      <c r="X3310" t="s">
        <v>2587</v>
      </c>
      <c r="Y3310" t="s">
        <v>97</v>
      </c>
      <c r="Z3310" t="s">
        <v>77</v>
      </c>
      <c r="AA3310" t="str">
        <f>"10003-3314"</f>
        <v>10003-3314</v>
      </c>
      <c r="AB3310" t="s">
        <v>78</v>
      </c>
      <c r="AC3310" t="s">
        <v>79</v>
      </c>
      <c r="AD3310" t="s">
        <v>75</v>
      </c>
      <c r="AE3310" t="s">
        <v>80</v>
      </c>
      <c r="AG3310" t="s">
        <v>81</v>
      </c>
    </row>
    <row r="3311" spans="1:33" x14ac:dyDescent="0.25">
      <c r="A3311" t="str">
        <f>"1154314847"</f>
        <v>1154314847</v>
      </c>
      <c r="B3311" t="str">
        <f>"00333028"</f>
        <v>00333028</v>
      </c>
      <c r="C3311" t="s">
        <v>13436</v>
      </c>
      <c r="D3311" t="s">
        <v>18788</v>
      </c>
      <c r="E3311" t="s">
        <v>18789</v>
      </c>
      <c r="G3311" t="s">
        <v>18790</v>
      </c>
      <c r="L3311" t="s">
        <v>74</v>
      </c>
      <c r="M3311" t="s">
        <v>85</v>
      </c>
      <c r="R3311" t="s">
        <v>18791</v>
      </c>
      <c r="W3311" t="s">
        <v>18792</v>
      </c>
      <c r="X3311" t="s">
        <v>18793</v>
      </c>
      <c r="Y3311" t="s">
        <v>97</v>
      </c>
      <c r="Z3311" t="s">
        <v>77</v>
      </c>
      <c r="AA3311" t="str">
        <f>"10019-1147"</f>
        <v>10019-1147</v>
      </c>
      <c r="AB3311" t="s">
        <v>78</v>
      </c>
      <c r="AC3311" t="s">
        <v>79</v>
      </c>
      <c r="AD3311" t="s">
        <v>75</v>
      </c>
      <c r="AE3311" t="s">
        <v>80</v>
      </c>
      <c r="AG3311" t="s">
        <v>81</v>
      </c>
    </row>
    <row r="3312" spans="1:33" x14ac:dyDescent="0.25">
      <c r="A3312" t="str">
        <f>"1154348712"</f>
        <v>1154348712</v>
      </c>
      <c r="B3312" t="str">
        <f>"01708832"</f>
        <v>01708832</v>
      </c>
      <c r="C3312" t="s">
        <v>13436</v>
      </c>
      <c r="D3312" t="s">
        <v>18794</v>
      </c>
      <c r="E3312" t="s">
        <v>18795</v>
      </c>
      <c r="G3312" t="s">
        <v>18796</v>
      </c>
      <c r="L3312" t="s">
        <v>74</v>
      </c>
      <c r="M3312" t="s">
        <v>85</v>
      </c>
      <c r="R3312" t="s">
        <v>18797</v>
      </c>
      <c r="W3312" t="s">
        <v>18795</v>
      </c>
      <c r="X3312" t="s">
        <v>150</v>
      </c>
      <c r="Y3312" t="s">
        <v>87</v>
      </c>
      <c r="Z3312" t="s">
        <v>77</v>
      </c>
      <c r="AA3312" t="str">
        <f>"11212-3139"</f>
        <v>11212-3139</v>
      </c>
      <c r="AB3312" t="s">
        <v>82</v>
      </c>
      <c r="AC3312" t="s">
        <v>79</v>
      </c>
      <c r="AD3312" t="s">
        <v>75</v>
      </c>
      <c r="AE3312" t="s">
        <v>80</v>
      </c>
      <c r="AG3312" t="s">
        <v>81</v>
      </c>
    </row>
    <row r="3313" spans="1:33" x14ac:dyDescent="0.25">
      <c r="A3313" t="str">
        <f>"1154449601"</f>
        <v>1154449601</v>
      </c>
      <c r="B3313" t="str">
        <f>"04227170"</f>
        <v>04227170</v>
      </c>
      <c r="C3313" t="s">
        <v>13436</v>
      </c>
      <c r="D3313" t="s">
        <v>18798</v>
      </c>
      <c r="E3313" t="s">
        <v>18799</v>
      </c>
      <c r="G3313" t="s">
        <v>18800</v>
      </c>
      <c r="L3313" t="s">
        <v>83</v>
      </c>
      <c r="M3313" t="s">
        <v>85</v>
      </c>
      <c r="R3313" t="s">
        <v>18801</v>
      </c>
      <c r="W3313" t="s">
        <v>18802</v>
      </c>
      <c r="X3313" t="s">
        <v>18803</v>
      </c>
      <c r="Y3313" t="s">
        <v>1823</v>
      </c>
      <c r="Z3313" t="s">
        <v>77</v>
      </c>
      <c r="AA3313" t="str">
        <f>"10940-2650"</f>
        <v>10940-2650</v>
      </c>
      <c r="AB3313" t="s">
        <v>78</v>
      </c>
      <c r="AC3313" t="s">
        <v>79</v>
      </c>
      <c r="AD3313" t="s">
        <v>75</v>
      </c>
      <c r="AE3313" t="s">
        <v>80</v>
      </c>
      <c r="AG3313" t="s">
        <v>81</v>
      </c>
    </row>
    <row r="3314" spans="1:33" x14ac:dyDescent="0.25">
      <c r="A3314" t="str">
        <f>"1154472066"</f>
        <v>1154472066</v>
      </c>
      <c r="B3314" t="str">
        <f>"01624437"</f>
        <v>01624437</v>
      </c>
      <c r="C3314" t="s">
        <v>13436</v>
      </c>
      <c r="D3314" t="s">
        <v>18804</v>
      </c>
      <c r="E3314" t="s">
        <v>18805</v>
      </c>
      <c r="G3314" t="s">
        <v>18806</v>
      </c>
      <c r="L3314" t="s">
        <v>74</v>
      </c>
      <c r="M3314" t="s">
        <v>85</v>
      </c>
      <c r="R3314" t="s">
        <v>18807</v>
      </c>
      <c r="W3314" t="s">
        <v>18805</v>
      </c>
      <c r="X3314" t="s">
        <v>18808</v>
      </c>
      <c r="Y3314" t="s">
        <v>97</v>
      </c>
      <c r="Z3314" t="s">
        <v>77</v>
      </c>
      <c r="AA3314" t="str">
        <f>"10019-1147"</f>
        <v>10019-1147</v>
      </c>
      <c r="AB3314" t="s">
        <v>78</v>
      </c>
      <c r="AC3314" t="s">
        <v>79</v>
      </c>
      <c r="AD3314" t="s">
        <v>75</v>
      </c>
      <c r="AE3314" t="s">
        <v>80</v>
      </c>
      <c r="AG3314" t="s">
        <v>81</v>
      </c>
    </row>
    <row r="3315" spans="1:33" x14ac:dyDescent="0.25">
      <c r="A3315" t="str">
        <f>"1154474369"</f>
        <v>1154474369</v>
      </c>
      <c r="B3315" t="str">
        <f>"03810813"</f>
        <v>03810813</v>
      </c>
      <c r="C3315" t="s">
        <v>13436</v>
      </c>
      <c r="D3315" t="s">
        <v>18809</v>
      </c>
      <c r="E3315" t="s">
        <v>18810</v>
      </c>
      <c r="G3315" t="s">
        <v>18811</v>
      </c>
      <c r="L3315" t="s">
        <v>102</v>
      </c>
      <c r="M3315" t="s">
        <v>85</v>
      </c>
      <c r="R3315" t="s">
        <v>18812</v>
      </c>
      <c r="W3315" t="s">
        <v>18810</v>
      </c>
      <c r="X3315" t="s">
        <v>18813</v>
      </c>
      <c r="Y3315" t="s">
        <v>97</v>
      </c>
      <c r="Z3315" t="s">
        <v>77</v>
      </c>
      <c r="AA3315" t="str">
        <f>"10019-8022"</f>
        <v>10019-8022</v>
      </c>
      <c r="AB3315" t="s">
        <v>78</v>
      </c>
      <c r="AC3315" t="s">
        <v>79</v>
      </c>
      <c r="AD3315" t="s">
        <v>75</v>
      </c>
      <c r="AE3315" t="s">
        <v>80</v>
      </c>
      <c r="AG3315" t="s">
        <v>81</v>
      </c>
    </row>
    <row r="3316" spans="1:33" x14ac:dyDescent="0.25">
      <c r="A3316" t="str">
        <f>"1154499358"</f>
        <v>1154499358</v>
      </c>
      <c r="B3316" t="str">
        <f>"00886379"</f>
        <v>00886379</v>
      </c>
      <c r="C3316" t="s">
        <v>13436</v>
      </c>
      <c r="D3316" t="s">
        <v>18814</v>
      </c>
      <c r="E3316" t="s">
        <v>18815</v>
      </c>
      <c r="G3316" t="s">
        <v>18816</v>
      </c>
      <c r="L3316" t="s">
        <v>83</v>
      </c>
      <c r="M3316" t="s">
        <v>85</v>
      </c>
      <c r="R3316" t="s">
        <v>18817</v>
      </c>
      <c r="W3316" t="s">
        <v>18815</v>
      </c>
      <c r="X3316" t="s">
        <v>18818</v>
      </c>
      <c r="Y3316" t="s">
        <v>97</v>
      </c>
      <c r="Z3316" t="s">
        <v>77</v>
      </c>
      <c r="AA3316" t="str">
        <f>"10019"</f>
        <v>10019</v>
      </c>
      <c r="AB3316" t="s">
        <v>78</v>
      </c>
      <c r="AC3316" t="s">
        <v>79</v>
      </c>
      <c r="AD3316" t="s">
        <v>75</v>
      </c>
      <c r="AE3316" t="s">
        <v>80</v>
      </c>
      <c r="AG3316" t="s">
        <v>81</v>
      </c>
    </row>
    <row r="3317" spans="1:33" x14ac:dyDescent="0.25">
      <c r="A3317" t="str">
        <f>"1154519601"</f>
        <v>1154519601</v>
      </c>
      <c r="B3317" t="str">
        <f>"03040237"</f>
        <v>03040237</v>
      </c>
      <c r="C3317" t="s">
        <v>13436</v>
      </c>
      <c r="D3317" t="s">
        <v>18819</v>
      </c>
      <c r="E3317" t="s">
        <v>18820</v>
      </c>
      <c r="G3317" t="s">
        <v>18821</v>
      </c>
      <c r="L3317" t="s">
        <v>84</v>
      </c>
      <c r="M3317" t="s">
        <v>85</v>
      </c>
      <c r="R3317" t="s">
        <v>18822</v>
      </c>
      <c r="W3317" t="s">
        <v>18823</v>
      </c>
      <c r="X3317" t="s">
        <v>181</v>
      </c>
      <c r="Y3317" t="s">
        <v>97</v>
      </c>
      <c r="Z3317" t="s">
        <v>77</v>
      </c>
      <c r="AA3317" t="str">
        <f>"10025-1716"</f>
        <v>10025-1716</v>
      </c>
      <c r="AB3317" t="s">
        <v>78</v>
      </c>
      <c r="AC3317" t="s">
        <v>79</v>
      </c>
      <c r="AD3317" t="s">
        <v>75</v>
      </c>
      <c r="AE3317" t="s">
        <v>80</v>
      </c>
      <c r="AG3317" t="s">
        <v>81</v>
      </c>
    </row>
    <row r="3318" spans="1:33" x14ac:dyDescent="0.25">
      <c r="A3318" t="str">
        <f>"1427037431"</f>
        <v>1427037431</v>
      </c>
      <c r="B3318" t="str">
        <f>"02092877"</f>
        <v>02092877</v>
      </c>
      <c r="C3318" t="s">
        <v>13436</v>
      </c>
      <c r="D3318" t="s">
        <v>18824</v>
      </c>
      <c r="E3318" t="s">
        <v>18825</v>
      </c>
      <c r="G3318" t="s">
        <v>18826</v>
      </c>
      <c r="L3318" t="s">
        <v>83</v>
      </c>
      <c r="M3318" t="s">
        <v>85</v>
      </c>
      <c r="R3318" t="s">
        <v>18827</v>
      </c>
      <c r="W3318" t="s">
        <v>18825</v>
      </c>
      <c r="X3318" t="s">
        <v>18828</v>
      </c>
      <c r="Y3318" t="s">
        <v>97</v>
      </c>
      <c r="Z3318" t="s">
        <v>77</v>
      </c>
      <c r="AA3318" t="str">
        <f>"10019-8022"</f>
        <v>10019-8022</v>
      </c>
      <c r="AB3318" t="s">
        <v>78</v>
      </c>
      <c r="AC3318" t="s">
        <v>79</v>
      </c>
      <c r="AD3318" t="s">
        <v>75</v>
      </c>
      <c r="AE3318" t="s">
        <v>80</v>
      </c>
      <c r="AG3318" t="s">
        <v>81</v>
      </c>
    </row>
    <row r="3319" spans="1:33" x14ac:dyDescent="0.25">
      <c r="A3319" t="str">
        <f>"1427039551"</f>
        <v>1427039551</v>
      </c>
      <c r="B3319" t="str">
        <f>"02246573"</f>
        <v>02246573</v>
      </c>
      <c r="C3319" t="s">
        <v>13436</v>
      </c>
      <c r="D3319" t="s">
        <v>18829</v>
      </c>
      <c r="E3319" t="s">
        <v>18830</v>
      </c>
      <c r="G3319" t="s">
        <v>18831</v>
      </c>
      <c r="L3319" t="s">
        <v>74</v>
      </c>
      <c r="M3319" t="s">
        <v>85</v>
      </c>
      <c r="R3319" t="s">
        <v>18832</v>
      </c>
      <c r="W3319" t="s">
        <v>18830</v>
      </c>
      <c r="X3319" t="s">
        <v>3553</v>
      </c>
      <c r="Y3319" t="s">
        <v>97</v>
      </c>
      <c r="Z3319" t="s">
        <v>77</v>
      </c>
      <c r="AA3319" t="str">
        <f>"10003-3851"</f>
        <v>10003-3851</v>
      </c>
      <c r="AB3319" t="s">
        <v>78</v>
      </c>
      <c r="AC3319" t="s">
        <v>79</v>
      </c>
      <c r="AD3319" t="s">
        <v>75</v>
      </c>
      <c r="AE3319" t="s">
        <v>80</v>
      </c>
      <c r="AG3319" t="s">
        <v>81</v>
      </c>
    </row>
    <row r="3320" spans="1:33" x14ac:dyDescent="0.25">
      <c r="A3320" t="str">
        <f>"1427100577"</f>
        <v>1427100577</v>
      </c>
      <c r="B3320" t="str">
        <f>"02389559"</f>
        <v>02389559</v>
      </c>
      <c r="C3320" t="s">
        <v>13436</v>
      </c>
      <c r="D3320" t="s">
        <v>18833</v>
      </c>
      <c r="E3320" t="s">
        <v>18834</v>
      </c>
      <c r="G3320" t="s">
        <v>18835</v>
      </c>
      <c r="L3320" t="s">
        <v>74</v>
      </c>
      <c r="M3320" t="s">
        <v>85</v>
      </c>
      <c r="R3320" t="s">
        <v>18836</v>
      </c>
      <c r="W3320" t="s">
        <v>18834</v>
      </c>
      <c r="X3320" t="s">
        <v>18834</v>
      </c>
      <c r="Y3320" t="s">
        <v>97</v>
      </c>
      <c r="Z3320" t="s">
        <v>77</v>
      </c>
      <c r="AA3320" t="str">
        <f>"10025-1716"</f>
        <v>10025-1716</v>
      </c>
      <c r="AB3320" t="s">
        <v>114</v>
      </c>
      <c r="AC3320" t="s">
        <v>79</v>
      </c>
      <c r="AD3320" t="s">
        <v>75</v>
      </c>
      <c r="AE3320" t="s">
        <v>80</v>
      </c>
      <c r="AG3320" t="s">
        <v>81</v>
      </c>
    </row>
    <row r="3321" spans="1:33" x14ac:dyDescent="0.25">
      <c r="A3321" t="str">
        <f>"1083632038"</f>
        <v>1083632038</v>
      </c>
      <c r="B3321" t="str">
        <f>"02406980"</f>
        <v>02406980</v>
      </c>
      <c r="C3321" t="s">
        <v>13436</v>
      </c>
      <c r="D3321" t="s">
        <v>18837</v>
      </c>
      <c r="E3321" t="s">
        <v>18838</v>
      </c>
      <c r="G3321" t="s">
        <v>18839</v>
      </c>
      <c r="L3321" t="s">
        <v>83</v>
      </c>
      <c r="M3321" t="s">
        <v>85</v>
      </c>
      <c r="R3321" t="s">
        <v>18840</v>
      </c>
      <c r="W3321" t="s">
        <v>18838</v>
      </c>
      <c r="X3321" t="s">
        <v>2587</v>
      </c>
      <c r="Y3321" t="s">
        <v>97</v>
      </c>
      <c r="Z3321" t="s">
        <v>77</v>
      </c>
      <c r="AA3321" t="str">
        <f>"10003-3314"</f>
        <v>10003-3314</v>
      </c>
      <c r="AB3321" t="s">
        <v>78</v>
      </c>
      <c r="AC3321" t="s">
        <v>79</v>
      </c>
      <c r="AD3321" t="s">
        <v>75</v>
      </c>
      <c r="AE3321" t="s">
        <v>80</v>
      </c>
      <c r="AG3321" t="s">
        <v>81</v>
      </c>
    </row>
    <row r="3322" spans="1:33" x14ac:dyDescent="0.25">
      <c r="A3322" t="str">
        <f>"1083661250"</f>
        <v>1083661250</v>
      </c>
      <c r="B3322" t="str">
        <f>"00166087"</f>
        <v>00166087</v>
      </c>
      <c r="C3322" t="s">
        <v>13436</v>
      </c>
      <c r="D3322" t="s">
        <v>18841</v>
      </c>
      <c r="E3322" t="s">
        <v>18842</v>
      </c>
      <c r="G3322" t="s">
        <v>18843</v>
      </c>
      <c r="L3322" t="s">
        <v>83</v>
      </c>
      <c r="M3322" t="s">
        <v>85</v>
      </c>
      <c r="R3322" t="s">
        <v>18844</v>
      </c>
      <c r="W3322" t="s">
        <v>18844</v>
      </c>
      <c r="X3322" t="s">
        <v>18845</v>
      </c>
      <c r="Y3322" t="s">
        <v>4529</v>
      </c>
      <c r="Z3322" t="s">
        <v>77</v>
      </c>
      <c r="AA3322" t="str">
        <f>"10530-2340"</f>
        <v>10530-2340</v>
      </c>
      <c r="AB3322" t="s">
        <v>78</v>
      </c>
      <c r="AC3322" t="s">
        <v>79</v>
      </c>
      <c r="AD3322" t="s">
        <v>75</v>
      </c>
      <c r="AE3322" t="s">
        <v>80</v>
      </c>
      <c r="AG3322" t="s">
        <v>81</v>
      </c>
    </row>
    <row r="3323" spans="1:33" x14ac:dyDescent="0.25">
      <c r="A3323" t="str">
        <f>"1184799884"</f>
        <v>1184799884</v>
      </c>
      <c r="B3323" t="str">
        <f>"01249150"</f>
        <v>01249150</v>
      </c>
      <c r="C3323" t="s">
        <v>18846</v>
      </c>
      <c r="D3323" t="s">
        <v>3234</v>
      </c>
      <c r="E3323" t="s">
        <v>3235</v>
      </c>
      <c r="G3323" t="s">
        <v>18846</v>
      </c>
      <c r="H3323" t="s">
        <v>2816</v>
      </c>
      <c r="I3323">
        <v>703</v>
      </c>
      <c r="J3323" t="s">
        <v>3236</v>
      </c>
      <c r="L3323" t="s">
        <v>105</v>
      </c>
      <c r="M3323" t="s">
        <v>85</v>
      </c>
      <c r="R3323" t="s">
        <v>3237</v>
      </c>
      <c r="W3323" t="s">
        <v>3235</v>
      </c>
      <c r="Y3323" t="s">
        <v>131</v>
      </c>
      <c r="Z3323" t="s">
        <v>77</v>
      </c>
      <c r="AA3323" t="str">
        <f>"10466-2697"</f>
        <v>10466-2697</v>
      </c>
      <c r="AB3323" t="s">
        <v>78</v>
      </c>
      <c r="AC3323" t="s">
        <v>79</v>
      </c>
      <c r="AD3323" t="s">
        <v>75</v>
      </c>
      <c r="AE3323" t="s">
        <v>80</v>
      </c>
      <c r="AG3323" t="s">
        <v>81</v>
      </c>
    </row>
    <row r="3324" spans="1:33" x14ac:dyDescent="0.25">
      <c r="A3324" t="str">
        <f>"1568707859"</f>
        <v>1568707859</v>
      </c>
      <c r="B3324" t="str">
        <f>"03589728"</f>
        <v>03589728</v>
      </c>
      <c r="C3324" t="s">
        <v>18847</v>
      </c>
      <c r="D3324" t="s">
        <v>3497</v>
      </c>
      <c r="E3324" t="s">
        <v>3498</v>
      </c>
      <c r="G3324" t="s">
        <v>18847</v>
      </c>
      <c r="H3324" t="s">
        <v>2816</v>
      </c>
      <c r="I3324">
        <v>335</v>
      </c>
      <c r="J3324" t="s">
        <v>3494</v>
      </c>
      <c r="L3324" t="s">
        <v>105</v>
      </c>
      <c r="M3324" t="s">
        <v>75</v>
      </c>
      <c r="R3324" t="s">
        <v>3499</v>
      </c>
      <c r="W3324" t="s">
        <v>3498</v>
      </c>
      <c r="X3324" t="s">
        <v>3500</v>
      </c>
      <c r="Y3324" t="s">
        <v>97</v>
      </c>
      <c r="Z3324" t="s">
        <v>77</v>
      </c>
      <c r="AA3324" t="str">
        <f>"10035-2831"</f>
        <v>10035-2831</v>
      </c>
      <c r="AB3324" t="s">
        <v>113</v>
      </c>
      <c r="AC3324" t="s">
        <v>79</v>
      </c>
      <c r="AD3324" t="s">
        <v>75</v>
      </c>
      <c r="AE3324" t="s">
        <v>80</v>
      </c>
      <c r="AG3324" t="s">
        <v>81</v>
      </c>
    </row>
    <row r="3325" spans="1:33" x14ac:dyDescent="0.25">
      <c r="A3325" t="str">
        <f>"1871670125"</f>
        <v>1871670125</v>
      </c>
      <c r="B3325" t="str">
        <f>"03042853"</f>
        <v>03042853</v>
      </c>
      <c r="C3325" t="s">
        <v>18848</v>
      </c>
      <c r="D3325" t="s">
        <v>2814</v>
      </c>
      <c r="E3325" t="s">
        <v>2815</v>
      </c>
      <c r="G3325" t="s">
        <v>18848</v>
      </c>
      <c r="H3325" t="s">
        <v>2816</v>
      </c>
      <c r="I3325">
        <v>702</v>
      </c>
      <c r="J3325" t="s">
        <v>2817</v>
      </c>
      <c r="L3325" t="s">
        <v>105</v>
      </c>
      <c r="M3325" t="s">
        <v>75</v>
      </c>
      <c r="R3325" t="s">
        <v>2818</v>
      </c>
      <c r="W3325" t="s">
        <v>2815</v>
      </c>
      <c r="X3325" t="s">
        <v>2819</v>
      </c>
      <c r="Y3325" t="s">
        <v>131</v>
      </c>
      <c r="Z3325" t="s">
        <v>77</v>
      </c>
      <c r="AA3325" t="str">
        <f>"10474-5336"</f>
        <v>10474-5336</v>
      </c>
      <c r="AB3325" t="s">
        <v>113</v>
      </c>
      <c r="AC3325" t="s">
        <v>79</v>
      </c>
      <c r="AD3325" t="s">
        <v>75</v>
      </c>
      <c r="AE3325" t="s">
        <v>80</v>
      </c>
      <c r="AG3325" t="s">
        <v>81</v>
      </c>
    </row>
    <row r="3326" spans="1:33" x14ac:dyDescent="0.25">
      <c r="A3326" t="str">
        <f>"1902192271"</f>
        <v>1902192271</v>
      </c>
      <c r="C3326" t="s">
        <v>18849</v>
      </c>
      <c r="G3326" t="s">
        <v>18849</v>
      </c>
      <c r="H3326" t="s">
        <v>2904</v>
      </c>
      <c r="I3326">
        <v>451</v>
      </c>
      <c r="J3326" t="s">
        <v>2905</v>
      </c>
      <c r="K3326" t="s">
        <v>99</v>
      </c>
      <c r="L3326" t="s">
        <v>74</v>
      </c>
      <c r="M3326" t="s">
        <v>75</v>
      </c>
      <c r="R3326" t="s">
        <v>2906</v>
      </c>
      <c r="S3326" t="s">
        <v>2907</v>
      </c>
      <c r="T3326" t="s">
        <v>97</v>
      </c>
      <c r="U3326" t="s">
        <v>77</v>
      </c>
      <c r="V3326" t="str">
        <f>"100104102"</f>
        <v>100104102</v>
      </c>
      <c r="AC3326" t="s">
        <v>79</v>
      </c>
      <c r="AD3326" t="s">
        <v>75</v>
      </c>
      <c r="AE3326" t="s">
        <v>103</v>
      </c>
      <c r="AG3326" t="s">
        <v>81</v>
      </c>
    </row>
    <row r="3327" spans="1:33" x14ac:dyDescent="0.25">
      <c r="A3327" t="str">
        <f>"1750521332"</f>
        <v>1750521332</v>
      </c>
      <c r="C3327" t="s">
        <v>18850</v>
      </c>
      <c r="G3327" t="s">
        <v>18850</v>
      </c>
      <c r="H3327" t="s">
        <v>2904</v>
      </c>
      <c r="I3327">
        <v>332</v>
      </c>
      <c r="J3327" t="s">
        <v>3008</v>
      </c>
      <c r="K3327" t="s">
        <v>99</v>
      </c>
      <c r="L3327" t="s">
        <v>102</v>
      </c>
      <c r="M3327" t="s">
        <v>75</v>
      </c>
      <c r="R3327" t="s">
        <v>3009</v>
      </c>
      <c r="S3327" t="s">
        <v>3010</v>
      </c>
      <c r="T3327" t="s">
        <v>87</v>
      </c>
      <c r="U3327" t="s">
        <v>77</v>
      </c>
      <c r="V3327" t="str">
        <f>"112015861"</f>
        <v>112015861</v>
      </c>
      <c r="AC3327" t="s">
        <v>79</v>
      </c>
      <c r="AD3327" t="s">
        <v>75</v>
      </c>
      <c r="AE3327" t="s">
        <v>103</v>
      </c>
      <c r="AG3327" t="s">
        <v>81</v>
      </c>
    </row>
    <row r="3328" spans="1:33" x14ac:dyDescent="0.25">
      <c r="A3328" t="str">
        <f>"1558317537"</f>
        <v>1558317537</v>
      </c>
      <c r="B3328" t="str">
        <f>"02390930"</f>
        <v>02390930</v>
      </c>
      <c r="C3328" t="s">
        <v>18851</v>
      </c>
      <c r="D3328" t="s">
        <v>18852</v>
      </c>
      <c r="E3328" t="s">
        <v>18853</v>
      </c>
      <c r="G3328" t="s">
        <v>18851</v>
      </c>
      <c r="H3328" t="s">
        <v>18854</v>
      </c>
      <c r="J3328" t="s">
        <v>18855</v>
      </c>
      <c r="L3328" t="s">
        <v>84</v>
      </c>
      <c r="M3328" t="s">
        <v>85</v>
      </c>
      <c r="R3328" t="s">
        <v>18856</v>
      </c>
      <c r="W3328" t="s">
        <v>18853</v>
      </c>
      <c r="X3328" t="s">
        <v>201</v>
      </c>
      <c r="Y3328" t="s">
        <v>87</v>
      </c>
      <c r="Z3328" t="s">
        <v>77</v>
      </c>
      <c r="AA3328" t="str">
        <f>"11237-4006"</f>
        <v>11237-4006</v>
      </c>
      <c r="AB3328" t="s">
        <v>78</v>
      </c>
      <c r="AC3328" t="s">
        <v>79</v>
      </c>
      <c r="AD3328" t="s">
        <v>75</v>
      </c>
      <c r="AE3328" t="s">
        <v>80</v>
      </c>
      <c r="AG3328" t="s">
        <v>81</v>
      </c>
    </row>
    <row r="3329" spans="1:33" x14ac:dyDescent="0.25">
      <c r="A3329" t="str">
        <f>"1437143377"</f>
        <v>1437143377</v>
      </c>
      <c r="B3329" t="str">
        <f>"02354185"</f>
        <v>02354185</v>
      </c>
      <c r="C3329" t="s">
        <v>18857</v>
      </c>
      <c r="D3329" t="s">
        <v>4301</v>
      </c>
      <c r="E3329" t="s">
        <v>4302</v>
      </c>
      <c r="G3329" t="s">
        <v>18857</v>
      </c>
      <c r="H3329" t="s">
        <v>7801</v>
      </c>
      <c r="J3329" t="s">
        <v>18858</v>
      </c>
      <c r="L3329" t="s">
        <v>84</v>
      </c>
      <c r="M3329" t="s">
        <v>85</v>
      </c>
      <c r="R3329" t="s">
        <v>4303</v>
      </c>
      <c r="W3329" t="s">
        <v>4302</v>
      </c>
      <c r="X3329" t="s">
        <v>4304</v>
      </c>
      <c r="Y3329" t="s">
        <v>87</v>
      </c>
      <c r="Z3329" t="s">
        <v>77</v>
      </c>
      <c r="AA3329" t="str">
        <f>"11214-5706"</f>
        <v>11214-5706</v>
      </c>
      <c r="AB3329" t="s">
        <v>78</v>
      </c>
      <c r="AC3329" t="s">
        <v>79</v>
      </c>
      <c r="AD3329" t="s">
        <v>75</v>
      </c>
      <c r="AE3329" t="s">
        <v>80</v>
      </c>
      <c r="AG3329" t="s">
        <v>81</v>
      </c>
    </row>
    <row r="3330" spans="1:33" x14ac:dyDescent="0.25">
      <c r="A3330" t="str">
        <f>"1447289012"</f>
        <v>1447289012</v>
      </c>
      <c r="B3330" t="str">
        <f>"02102629"</f>
        <v>02102629</v>
      </c>
      <c r="C3330" t="s">
        <v>13436</v>
      </c>
      <c r="D3330" t="s">
        <v>18859</v>
      </c>
      <c r="E3330" t="s">
        <v>18860</v>
      </c>
      <c r="G3330" t="s">
        <v>18861</v>
      </c>
      <c r="L3330" t="s">
        <v>105</v>
      </c>
      <c r="M3330" t="s">
        <v>85</v>
      </c>
      <c r="R3330" t="s">
        <v>18862</v>
      </c>
      <c r="W3330" t="s">
        <v>18860</v>
      </c>
      <c r="X3330" t="s">
        <v>11176</v>
      </c>
      <c r="Y3330" t="s">
        <v>97</v>
      </c>
      <c r="Z3330" t="s">
        <v>77</v>
      </c>
      <c r="AA3330" t="str">
        <f>"10029-6542"</f>
        <v>10029-6542</v>
      </c>
      <c r="AB3330" t="s">
        <v>78</v>
      </c>
      <c r="AC3330" t="s">
        <v>79</v>
      </c>
      <c r="AD3330" t="s">
        <v>75</v>
      </c>
      <c r="AE3330" t="s">
        <v>80</v>
      </c>
      <c r="AG3330" t="s">
        <v>81</v>
      </c>
    </row>
    <row r="3331" spans="1:33" x14ac:dyDescent="0.25">
      <c r="A3331" t="str">
        <f>"1447309570"</f>
        <v>1447309570</v>
      </c>
      <c r="C3331" t="s">
        <v>13436</v>
      </c>
      <c r="G3331" t="s">
        <v>18863</v>
      </c>
      <c r="K3331" t="s">
        <v>99</v>
      </c>
      <c r="L3331" t="s">
        <v>102</v>
      </c>
      <c r="M3331" t="s">
        <v>85</v>
      </c>
      <c r="R3331" t="s">
        <v>18864</v>
      </c>
      <c r="S3331" t="s">
        <v>181</v>
      </c>
      <c r="T3331" t="s">
        <v>97</v>
      </c>
      <c r="U3331" t="s">
        <v>77</v>
      </c>
      <c r="V3331" t="str">
        <f>"100251716"</f>
        <v>100251716</v>
      </c>
      <c r="AC3331" t="s">
        <v>79</v>
      </c>
      <c r="AD3331" t="s">
        <v>75</v>
      </c>
      <c r="AE3331" t="s">
        <v>103</v>
      </c>
      <c r="AG3331" t="s">
        <v>81</v>
      </c>
    </row>
    <row r="3332" spans="1:33" x14ac:dyDescent="0.25">
      <c r="A3332" t="str">
        <f>"1457308876"</f>
        <v>1457308876</v>
      </c>
      <c r="B3332" t="str">
        <f>"00709077"</f>
        <v>00709077</v>
      </c>
      <c r="C3332" t="s">
        <v>13436</v>
      </c>
      <c r="D3332" t="s">
        <v>18865</v>
      </c>
      <c r="E3332" t="s">
        <v>18866</v>
      </c>
      <c r="G3332" t="s">
        <v>18867</v>
      </c>
      <c r="L3332" t="s">
        <v>74</v>
      </c>
      <c r="M3332" t="s">
        <v>85</v>
      </c>
      <c r="R3332" t="s">
        <v>18868</v>
      </c>
      <c r="W3332" t="s">
        <v>18866</v>
      </c>
      <c r="X3332" t="s">
        <v>18869</v>
      </c>
      <c r="Y3332" t="s">
        <v>97</v>
      </c>
      <c r="Z3332" t="s">
        <v>77</v>
      </c>
      <c r="AA3332" t="str">
        <f>"10019-8022"</f>
        <v>10019-8022</v>
      </c>
      <c r="AB3332" t="s">
        <v>78</v>
      </c>
      <c r="AC3332" t="s">
        <v>79</v>
      </c>
      <c r="AD3332" t="s">
        <v>75</v>
      </c>
      <c r="AE3332" t="s">
        <v>80</v>
      </c>
      <c r="AG3332" t="s">
        <v>81</v>
      </c>
    </row>
    <row r="3333" spans="1:33" x14ac:dyDescent="0.25">
      <c r="A3333" t="str">
        <f>"1457323156"</f>
        <v>1457323156</v>
      </c>
      <c r="B3333" t="str">
        <f>"02807990"</f>
        <v>02807990</v>
      </c>
      <c r="C3333" t="s">
        <v>13436</v>
      </c>
      <c r="D3333" t="s">
        <v>18870</v>
      </c>
      <c r="E3333" t="s">
        <v>18871</v>
      </c>
      <c r="G3333" t="s">
        <v>18872</v>
      </c>
      <c r="L3333" t="s">
        <v>83</v>
      </c>
      <c r="M3333" t="s">
        <v>85</v>
      </c>
      <c r="R3333" t="s">
        <v>18871</v>
      </c>
      <c r="W3333" t="s">
        <v>18871</v>
      </c>
      <c r="X3333" t="s">
        <v>5585</v>
      </c>
      <c r="Y3333" t="s">
        <v>97</v>
      </c>
      <c r="Z3333" t="s">
        <v>77</v>
      </c>
      <c r="AA3333" t="str">
        <f>"10003-0000"</f>
        <v>10003-0000</v>
      </c>
      <c r="AB3333" t="s">
        <v>78</v>
      </c>
      <c r="AC3333" t="s">
        <v>79</v>
      </c>
      <c r="AD3333" t="s">
        <v>75</v>
      </c>
      <c r="AE3333" t="s">
        <v>80</v>
      </c>
      <c r="AG3333" t="s">
        <v>81</v>
      </c>
    </row>
    <row r="3334" spans="1:33" x14ac:dyDescent="0.25">
      <c r="A3334" t="str">
        <f>"1457326175"</f>
        <v>1457326175</v>
      </c>
      <c r="B3334" t="str">
        <f>"00982361"</f>
        <v>00982361</v>
      </c>
      <c r="C3334" t="s">
        <v>13436</v>
      </c>
      <c r="D3334" t="s">
        <v>18873</v>
      </c>
      <c r="E3334" t="s">
        <v>18874</v>
      </c>
      <c r="G3334" t="s">
        <v>18875</v>
      </c>
      <c r="L3334" t="s">
        <v>83</v>
      </c>
      <c r="M3334" t="s">
        <v>85</v>
      </c>
      <c r="R3334" t="s">
        <v>18876</v>
      </c>
      <c r="W3334" t="s">
        <v>18874</v>
      </c>
      <c r="X3334" t="s">
        <v>18877</v>
      </c>
      <c r="Y3334" t="s">
        <v>97</v>
      </c>
      <c r="Z3334" t="s">
        <v>77</v>
      </c>
      <c r="AA3334" t="str">
        <f>"10032-3720"</f>
        <v>10032-3720</v>
      </c>
      <c r="AB3334" t="s">
        <v>78</v>
      </c>
      <c r="AC3334" t="s">
        <v>79</v>
      </c>
      <c r="AD3334" t="s">
        <v>75</v>
      </c>
      <c r="AE3334" t="s">
        <v>80</v>
      </c>
      <c r="AG3334" t="s">
        <v>81</v>
      </c>
    </row>
    <row r="3335" spans="1:33" x14ac:dyDescent="0.25">
      <c r="A3335" t="str">
        <f>"1457333569"</f>
        <v>1457333569</v>
      </c>
      <c r="B3335" t="str">
        <f>"01350912"</f>
        <v>01350912</v>
      </c>
      <c r="C3335" t="s">
        <v>13436</v>
      </c>
      <c r="D3335" t="s">
        <v>18878</v>
      </c>
      <c r="E3335" t="s">
        <v>18879</v>
      </c>
      <c r="G3335" t="s">
        <v>18880</v>
      </c>
      <c r="L3335" t="s">
        <v>83</v>
      </c>
      <c r="M3335" t="s">
        <v>85</v>
      </c>
      <c r="R3335" t="s">
        <v>18881</v>
      </c>
      <c r="W3335" t="s">
        <v>18879</v>
      </c>
      <c r="X3335" t="s">
        <v>3553</v>
      </c>
      <c r="Y3335" t="s">
        <v>97</v>
      </c>
      <c r="Z3335" t="s">
        <v>77</v>
      </c>
      <c r="AA3335" t="str">
        <f>"10003-0000"</f>
        <v>10003-0000</v>
      </c>
      <c r="AB3335" t="s">
        <v>78</v>
      </c>
      <c r="AC3335" t="s">
        <v>79</v>
      </c>
      <c r="AD3335" t="s">
        <v>75</v>
      </c>
      <c r="AE3335" t="s">
        <v>80</v>
      </c>
      <c r="AG3335" t="s">
        <v>81</v>
      </c>
    </row>
    <row r="3336" spans="1:33" x14ac:dyDescent="0.25">
      <c r="A3336" t="str">
        <f>"1457340762"</f>
        <v>1457340762</v>
      </c>
      <c r="B3336" t="str">
        <f>"02554112"</f>
        <v>02554112</v>
      </c>
      <c r="C3336" t="s">
        <v>13436</v>
      </c>
      <c r="D3336" t="s">
        <v>18882</v>
      </c>
      <c r="E3336" t="s">
        <v>18883</v>
      </c>
      <c r="G3336" t="s">
        <v>18884</v>
      </c>
      <c r="L3336" t="s">
        <v>83</v>
      </c>
      <c r="M3336" t="s">
        <v>85</v>
      </c>
      <c r="R3336" t="s">
        <v>18885</v>
      </c>
      <c r="W3336" t="s">
        <v>18883</v>
      </c>
      <c r="X3336" t="s">
        <v>16346</v>
      </c>
      <c r="Y3336" t="s">
        <v>97</v>
      </c>
      <c r="Z3336" t="s">
        <v>77</v>
      </c>
      <c r="AA3336" t="str">
        <f>"10011-9092"</f>
        <v>10011-9092</v>
      </c>
      <c r="AB3336" t="s">
        <v>78</v>
      </c>
      <c r="AC3336" t="s">
        <v>79</v>
      </c>
      <c r="AD3336" t="s">
        <v>75</v>
      </c>
      <c r="AE3336" t="s">
        <v>80</v>
      </c>
      <c r="AG3336" t="s">
        <v>81</v>
      </c>
    </row>
    <row r="3337" spans="1:33" x14ac:dyDescent="0.25">
      <c r="A3337" t="str">
        <f>"1457344137"</f>
        <v>1457344137</v>
      </c>
      <c r="B3337" t="str">
        <f>"01702845"</f>
        <v>01702845</v>
      </c>
      <c r="C3337" t="s">
        <v>13436</v>
      </c>
      <c r="D3337" t="s">
        <v>18886</v>
      </c>
      <c r="E3337" t="s">
        <v>18887</v>
      </c>
      <c r="G3337" t="s">
        <v>18888</v>
      </c>
      <c r="L3337" t="s">
        <v>74</v>
      </c>
      <c r="M3337" t="s">
        <v>85</v>
      </c>
      <c r="R3337" t="s">
        <v>18889</v>
      </c>
      <c r="W3337" t="s">
        <v>18887</v>
      </c>
      <c r="Y3337" t="s">
        <v>87</v>
      </c>
      <c r="Z3337" t="s">
        <v>77</v>
      </c>
      <c r="AA3337" t="str">
        <f>"11219-2916"</f>
        <v>11219-2916</v>
      </c>
      <c r="AB3337" t="s">
        <v>78</v>
      </c>
      <c r="AC3337" t="s">
        <v>79</v>
      </c>
      <c r="AD3337" t="s">
        <v>75</v>
      </c>
      <c r="AE3337" t="s">
        <v>80</v>
      </c>
      <c r="AG3337" t="s">
        <v>81</v>
      </c>
    </row>
    <row r="3338" spans="1:33" x14ac:dyDescent="0.25">
      <c r="A3338" t="str">
        <f>"1457353880"</f>
        <v>1457353880</v>
      </c>
      <c r="B3338" t="str">
        <f>"02060768"</f>
        <v>02060768</v>
      </c>
      <c r="C3338" t="s">
        <v>13436</v>
      </c>
      <c r="D3338" t="s">
        <v>18890</v>
      </c>
      <c r="E3338" t="s">
        <v>18891</v>
      </c>
      <c r="G3338" t="s">
        <v>18892</v>
      </c>
      <c r="L3338" t="s">
        <v>105</v>
      </c>
      <c r="M3338" t="s">
        <v>85</v>
      </c>
      <c r="R3338" t="s">
        <v>18893</v>
      </c>
      <c r="W3338" t="s">
        <v>18891</v>
      </c>
      <c r="X3338" t="s">
        <v>18894</v>
      </c>
      <c r="Y3338" t="s">
        <v>87</v>
      </c>
      <c r="Z3338" t="s">
        <v>77</v>
      </c>
      <c r="AA3338" t="str">
        <f>"11211-5058"</f>
        <v>11211-5058</v>
      </c>
      <c r="AB3338" t="s">
        <v>78</v>
      </c>
      <c r="AC3338" t="s">
        <v>79</v>
      </c>
      <c r="AD3338" t="s">
        <v>75</v>
      </c>
      <c r="AE3338" t="s">
        <v>80</v>
      </c>
      <c r="AG3338" t="s">
        <v>81</v>
      </c>
    </row>
    <row r="3339" spans="1:33" x14ac:dyDescent="0.25">
      <c r="A3339" t="str">
        <f>"1457383267"</f>
        <v>1457383267</v>
      </c>
      <c r="B3339" t="str">
        <f>"02737382"</f>
        <v>02737382</v>
      </c>
      <c r="C3339" t="s">
        <v>13436</v>
      </c>
      <c r="D3339" t="s">
        <v>18895</v>
      </c>
      <c r="E3339" t="s">
        <v>18896</v>
      </c>
      <c r="G3339" t="s">
        <v>18897</v>
      </c>
      <c r="L3339" t="s">
        <v>74</v>
      </c>
      <c r="M3339" t="s">
        <v>85</v>
      </c>
      <c r="R3339" t="s">
        <v>18898</v>
      </c>
      <c r="W3339" t="s">
        <v>18896</v>
      </c>
      <c r="X3339" t="s">
        <v>1076</v>
      </c>
      <c r="Y3339" t="s">
        <v>97</v>
      </c>
      <c r="Z3339" t="s">
        <v>77</v>
      </c>
      <c r="AA3339" t="str">
        <f>"10025-1737"</f>
        <v>10025-1737</v>
      </c>
      <c r="AB3339" t="s">
        <v>78</v>
      </c>
      <c r="AC3339" t="s">
        <v>79</v>
      </c>
      <c r="AD3339" t="s">
        <v>75</v>
      </c>
      <c r="AE3339" t="s">
        <v>80</v>
      </c>
      <c r="AG3339" t="s">
        <v>81</v>
      </c>
    </row>
    <row r="3340" spans="1:33" x14ac:dyDescent="0.25">
      <c r="A3340" t="str">
        <f>"1457499543"</f>
        <v>1457499543</v>
      </c>
      <c r="B3340" t="str">
        <f>"02860346"</f>
        <v>02860346</v>
      </c>
      <c r="C3340" t="s">
        <v>13436</v>
      </c>
      <c r="D3340" t="s">
        <v>18899</v>
      </c>
      <c r="E3340" t="s">
        <v>18900</v>
      </c>
      <c r="G3340" t="s">
        <v>18901</v>
      </c>
      <c r="L3340" t="s">
        <v>83</v>
      </c>
      <c r="M3340" t="s">
        <v>85</v>
      </c>
      <c r="R3340" t="s">
        <v>18902</v>
      </c>
      <c r="W3340" t="s">
        <v>18900</v>
      </c>
      <c r="X3340" t="s">
        <v>18903</v>
      </c>
      <c r="Y3340" t="s">
        <v>97</v>
      </c>
      <c r="Z3340" t="s">
        <v>77</v>
      </c>
      <c r="AA3340" t="str">
        <f>"10019"</f>
        <v>10019</v>
      </c>
      <c r="AB3340" t="s">
        <v>78</v>
      </c>
      <c r="AC3340" t="s">
        <v>79</v>
      </c>
      <c r="AD3340" t="s">
        <v>75</v>
      </c>
      <c r="AE3340" t="s">
        <v>80</v>
      </c>
      <c r="AG3340" t="s">
        <v>81</v>
      </c>
    </row>
    <row r="3341" spans="1:33" x14ac:dyDescent="0.25">
      <c r="A3341" t="str">
        <f>"1467453050"</f>
        <v>1467453050</v>
      </c>
      <c r="B3341" t="str">
        <f>"02103042"</f>
        <v>02103042</v>
      </c>
      <c r="C3341" t="s">
        <v>13436</v>
      </c>
      <c r="D3341" t="s">
        <v>18904</v>
      </c>
      <c r="E3341" t="s">
        <v>18905</v>
      </c>
      <c r="G3341" t="s">
        <v>18906</v>
      </c>
      <c r="L3341" t="s">
        <v>83</v>
      </c>
      <c r="M3341" t="s">
        <v>85</v>
      </c>
      <c r="R3341" t="s">
        <v>18907</v>
      </c>
      <c r="W3341" t="s">
        <v>18905</v>
      </c>
      <c r="X3341" t="s">
        <v>18908</v>
      </c>
      <c r="Y3341" t="s">
        <v>97</v>
      </c>
      <c r="Z3341" t="s">
        <v>77</v>
      </c>
      <c r="AA3341" t="str">
        <f>"10023-7906"</f>
        <v>10023-7906</v>
      </c>
      <c r="AB3341" t="s">
        <v>78</v>
      </c>
      <c r="AC3341" t="s">
        <v>79</v>
      </c>
      <c r="AD3341" t="s">
        <v>75</v>
      </c>
      <c r="AE3341" t="s">
        <v>80</v>
      </c>
      <c r="AG3341" t="s">
        <v>81</v>
      </c>
    </row>
    <row r="3342" spans="1:33" x14ac:dyDescent="0.25">
      <c r="A3342" t="str">
        <f>"1467557165"</f>
        <v>1467557165</v>
      </c>
      <c r="C3342" t="s">
        <v>13436</v>
      </c>
      <c r="G3342" t="s">
        <v>18909</v>
      </c>
      <c r="K3342" t="s">
        <v>99</v>
      </c>
      <c r="L3342" t="s">
        <v>74</v>
      </c>
      <c r="M3342" t="s">
        <v>85</v>
      </c>
      <c r="S3342" t="s">
        <v>18910</v>
      </c>
      <c r="T3342" t="s">
        <v>894</v>
      </c>
      <c r="U3342" t="s">
        <v>77</v>
      </c>
      <c r="V3342" t="str">
        <f>"10003"</f>
        <v>10003</v>
      </c>
      <c r="AC3342" t="s">
        <v>79</v>
      </c>
      <c r="AD3342" t="s">
        <v>75</v>
      </c>
      <c r="AE3342" t="s">
        <v>103</v>
      </c>
      <c r="AG3342" t="s">
        <v>81</v>
      </c>
    </row>
    <row r="3343" spans="1:33" x14ac:dyDescent="0.25">
      <c r="A3343" t="str">
        <f>"1467698241"</f>
        <v>1467698241</v>
      </c>
      <c r="B3343" t="str">
        <f>"03249727"</f>
        <v>03249727</v>
      </c>
      <c r="C3343" t="s">
        <v>13436</v>
      </c>
      <c r="D3343" t="s">
        <v>18911</v>
      </c>
      <c r="E3343" t="s">
        <v>18912</v>
      </c>
      <c r="G3343" t="s">
        <v>18913</v>
      </c>
      <c r="L3343" t="s">
        <v>83</v>
      </c>
      <c r="M3343" t="s">
        <v>85</v>
      </c>
      <c r="R3343" t="s">
        <v>18914</v>
      </c>
      <c r="W3343" t="s">
        <v>18912</v>
      </c>
      <c r="X3343" t="s">
        <v>3433</v>
      </c>
      <c r="Y3343" t="s">
        <v>97</v>
      </c>
      <c r="Z3343" t="s">
        <v>77</v>
      </c>
      <c r="AA3343" t="str">
        <f>"10003-3805"</f>
        <v>10003-3805</v>
      </c>
      <c r="AB3343" t="s">
        <v>78</v>
      </c>
      <c r="AC3343" t="s">
        <v>79</v>
      </c>
      <c r="AD3343" t="s">
        <v>75</v>
      </c>
      <c r="AE3343" t="s">
        <v>80</v>
      </c>
      <c r="AG3343" t="s">
        <v>81</v>
      </c>
    </row>
    <row r="3344" spans="1:33" x14ac:dyDescent="0.25">
      <c r="A3344" t="str">
        <f>"1477511673"</f>
        <v>1477511673</v>
      </c>
      <c r="B3344" t="str">
        <f>"01813583"</f>
        <v>01813583</v>
      </c>
      <c r="C3344" t="s">
        <v>13436</v>
      </c>
      <c r="D3344" t="s">
        <v>18915</v>
      </c>
      <c r="E3344" t="s">
        <v>18916</v>
      </c>
      <c r="G3344" t="s">
        <v>18917</v>
      </c>
      <c r="L3344" t="s">
        <v>94</v>
      </c>
      <c r="M3344" t="s">
        <v>85</v>
      </c>
      <c r="R3344" t="s">
        <v>18918</v>
      </c>
      <c r="W3344" t="s">
        <v>18916</v>
      </c>
      <c r="X3344" t="s">
        <v>18919</v>
      </c>
      <c r="Y3344" t="s">
        <v>97</v>
      </c>
      <c r="Z3344" t="s">
        <v>77</v>
      </c>
      <c r="AA3344" t="str">
        <f>"10003"</f>
        <v>10003</v>
      </c>
      <c r="AB3344" t="s">
        <v>78</v>
      </c>
      <c r="AC3344" t="s">
        <v>79</v>
      </c>
      <c r="AD3344" t="s">
        <v>75</v>
      </c>
      <c r="AE3344" t="s">
        <v>80</v>
      </c>
      <c r="AG3344" t="s">
        <v>81</v>
      </c>
    </row>
    <row r="3345" spans="1:33" x14ac:dyDescent="0.25">
      <c r="A3345" t="str">
        <f>"1639593478"</f>
        <v>1639593478</v>
      </c>
      <c r="C3345" t="s">
        <v>18920</v>
      </c>
      <c r="G3345" t="s">
        <v>16280</v>
      </c>
      <c r="H3345" t="s">
        <v>16281</v>
      </c>
      <c r="J3345" t="s">
        <v>16282</v>
      </c>
      <c r="K3345" t="s">
        <v>99</v>
      </c>
      <c r="L3345" t="s">
        <v>102</v>
      </c>
      <c r="M3345" t="s">
        <v>75</v>
      </c>
      <c r="R3345" t="s">
        <v>18921</v>
      </c>
      <c r="S3345" t="s">
        <v>17502</v>
      </c>
      <c r="T3345" t="s">
        <v>97</v>
      </c>
      <c r="U3345" t="s">
        <v>77</v>
      </c>
      <c r="V3345" t="str">
        <f>"100112019"</f>
        <v>100112019</v>
      </c>
      <c r="AC3345" t="s">
        <v>79</v>
      </c>
      <c r="AD3345" t="s">
        <v>75</v>
      </c>
      <c r="AE3345" t="s">
        <v>103</v>
      </c>
      <c r="AG3345" t="s">
        <v>81</v>
      </c>
    </row>
    <row r="3346" spans="1:33" x14ac:dyDescent="0.25">
      <c r="A3346" t="str">
        <f>"1043525975"</f>
        <v>1043525975</v>
      </c>
      <c r="C3346" t="s">
        <v>16280</v>
      </c>
      <c r="G3346" t="s">
        <v>16280</v>
      </c>
      <c r="H3346" t="s">
        <v>16281</v>
      </c>
      <c r="J3346" t="s">
        <v>16282</v>
      </c>
      <c r="K3346" t="s">
        <v>99</v>
      </c>
      <c r="L3346" t="s">
        <v>74</v>
      </c>
      <c r="M3346" t="s">
        <v>75</v>
      </c>
      <c r="R3346" t="s">
        <v>18922</v>
      </c>
      <c r="S3346" t="s">
        <v>13260</v>
      </c>
      <c r="T3346" t="s">
        <v>87</v>
      </c>
      <c r="U3346" t="s">
        <v>77</v>
      </c>
      <c r="V3346" t="str">
        <f>"112386102"</f>
        <v>112386102</v>
      </c>
      <c r="AC3346" t="s">
        <v>79</v>
      </c>
      <c r="AD3346" t="s">
        <v>75</v>
      </c>
      <c r="AE3346" t="s">
        <v>103</v>
      </c>
      <c r="AG3346" t="s">
        <v>81</v>
      </c>
    </row>
    <row r="3347" spans="1:33" x14ac:dyDescent="0.25">
      <c r="A3347" t="str">
        <f>"1023109394"</f>
        <v>1023109394</v>
      </c>
      <c r="B3347" t="str">
        <f>"02219950"</f>
        <v>02219950</v>
      </c>
      <c r="C3347" t="s">
        <v>18923</v>
      </c>
      <c r="D3347" t="s">
        <v>18924</v>
      </c>
      <c r="E3347" t="s">
        <v>18925</v>
      </c>
      <c r="G3347" t="s">
        <v>13504</v>
      </c>
      <c r="H3347" t="s">
        <v>13505</v>
      </c>
      <c r="J3347" t="s">
        <v>13506</v>
      </c>
      <c r="L3347" t="s">
        <v>83</v>
      </c>
      <c r="M3347" t="s">
        <v>75</v>
      </c>
      <c r="R3347" t="s">
        <v>18926</v>
      </c>
      <c r="W3347" t="s">
        <v>18925</v>
      </c>
      <c r="X3347" t="s">
        <v>202</v>
      </c>
      <c r="Y3347" t="s">
        <v>87</v>
      </c>
      <c r="Z3347" t="s">
        <v>77</v>
      </c>
      <c r="AA3347" t="str">
        <f>"11201-5425"</f>
        <v>11201-5425</v>
      </c>
      <c r="AB3347" t="s">
        <v>78</v>
      </c>
      <c r="AC3347" t="s">
        <v>79</v>
      </c>
      <c r="AD3347" t="s">
        <v>75</v>
      </c>
      <c r="AE3347" t="s">
        <v>80</v>
      </c>
      <c r="AG3347" t="s">
        <v>81</v>
      </c>
    </row>
    <row r="3348" spans="1:33" x14ac:dyDescent="0.25">
      <c r="A3348" t="str">
        <f>"1265609127"</f>
        <v>1265609127</v>
      </c>
      <c r="B3348" t="str">
        <f>"03054428"</f>
        <v>03054428</v>
      </c>
      <c r="C3348" t="s">
        <v>18927</v>
      </c>
      <c r="D3348" t="s">
        <v>18928</v>
      </c>
      <c r="E3348" t="s">
        <v>18929</v>
      </c>
      <c r="G3348" t="s">
        <v>13504</v>
      </c>
      <c r="H3348" t="s">
        <v>13505</v>
      </c>
      <c r="J3348" t="s">
        <v>13506</v>
      </c>
      <c r="L3348" t="s">
        <v>84</v>
      </c>
      <c r="M3348" t="s">
        <v>75</v>
      </c>
      <c r="R3348" t="s">
        <v>18930</v>
      </c>
      <c r="W3348" t="s">
        <v>18929</v>
      </c>
      <c r="X3348" t="s">
        <v>229</v>
      </c>
      <c r="Y3348" t="s">
        <v>230</v>
      </c>
      <c r="Z3348" t="s">
        <v>77</v>
      </c>
      <c r="AA3348" t="str">
        <f>"11795-4927"</f>
        <v>11795-4927</v>
      </c>
      <c r="AB3348" t="s">
        <v>78</v>
      </c>
      <c r="AC3348" t="s">
        <v>79</v>
      </c>
      <c r="AD3348" t="s">
        <v>75</v>
      </c>
      <c r="AE3348" t="s">
        <v>80</v>
      </c>
      <c r="AG3348" t="s">
        <v>81</v>
      </c>
    </row>
    <row r="3349" spans="1:33" x14ac:dyDescent="0.25">
      <c r="A3349" t="str">
        <f>"1780876268"</f>
        <v>1780876268</v>
      </c>
      <c r="B3349" t="str">
        <f>"02965864"</f>
        <v>02965864</v>
      </c>
      <c r="C3349" t="s">
        <v>18931</v>
      </c>
      <c r="D3349" t="s">
        <v>18932</v>
      </c>
      <c r="E3349" t="s">
        <v>4478</v>
      </c>
      <c r="G3349" t="s">
        <v>13504</v>
      </c>
      <c r="H3349" t="s">
        <v>13505</v>
      </c>
      <c r="J3349" t="s">
        <v>13506</v>
      </c>
      <c r="L3349" t="s">
        <v>83</v>
      </c>
      <c r="M3349" t="s">
        <v>75</v>
      </c>
      <c r="R3349" t="s">
        <v>18933</v>
      </c>
      <c r="W3349" t="s">
        <v>4478</v>
      </c>
      <c r="X3349" t="s">
        <v>1834</v>
      </c>
      <c r="Y3349" t="s">
        <v>194</v>
      </c>
      <c r="Z3349" t="s">
        <v>77</v>
      </c>
      <c r="AA3349" t="str">
        <f>"11378-1825"</f>
        <v>11378-1825</v>
      </c>
      <c r="AB3349" t="s">
        <v>78</v>
      </c>
      <c r="AC3349" t="s">
        <v>79</v>
      </c>
      <c r="AD3349" t="s">
        <v>75</v>
      </c>
      <c r="AE3349" t="s">
        <v>80</v>
      </c>
      <c r="AG3349" t="s">
        <v>81</v>
      </c>
    </row>
    <row r="3350" spans="1:33" x14ac:dyDescent="0.25">
      <c r="A3350" t="str">
        <f>"1154304368"</f>
        <v>1154304368</v>
      </c>
      <c r="B3350" t="str">
        <f>"01269043"</f>
        <v>01269043</v>
      </c>
      <c r="C3350" t="s">
        <v>13436</v>
      </c>
      <c r="D3350" t="s">
        <v>18934</v>
      </c>
      <c r="E3350" t="s">
        <v>18935</v>
      </c>
      <c r="G3350" t="s">
        <v>18936</v>
      </c>
      <c r="L3350" t="s">
        <v>83</v>
      </c>
      <c r="M3350" t="s">
        <v>85</v>
      </c>
      <c r="R3350" t="s">
        <v>18937</v>
      </c>
      <c r="W3350" t="s">
        <v>18935</v>
      </c>
      <c r="X3350" t="s">
        <v>6794</v>
      </c>
      <c r="Y3350" t="s">
        <v>97</v>
      </c>
      <c r="Z3350" t="s">
        <v>77</v>
      </c>
      <c r="AA3350" t="str">
        <f>"10003"</f>
        <v>10003</v>
      </c>
      <c r="AB3350" t="s">
        <v>78</v>
      </c>
      <c r="AC3350" t="s">
        <v>79</v>
      </c>
      <c r="AD3350" t="s">
        <v>75</v>
      </c>
      <c r="AE3350" t="s">
        <v>80</v>
      </c>
      <c r="AG3350" t="s">
        <v>81</v>
      </c>
    </row>
    <row r="3351" spans="1:33" x14ac:dyDescent="0.25">
      <c r="A3351" t="str">
        <f>"1366519910"</f>
        <v>1366519910</v>
      </c>
      <c r="B3351" t="str">
        <f>"03137299"</f>
        <v>03137299</v>
      </c>
      <c r="C3351" t="s">
        <v>13436</v>
      </c>
      <c r="D3351" t="s">
        <v>18938</v>
      </c>
      <c r="E3351" t="s">
        <v>18939</v>
      </c>
      <c r="G3351" t="s">
        <v>18940</v>
      </c>
      <c r="L3351" t="s">
        <v>84</v>
      </c>
      <c r="M3351" t="s">
        <v>85</v>
      </c>
      <c r="R3351" t="s">
        <v>18941</v>
      </c>
      <c r="W3351" t="s">
        <v>18942</v>
      </c>
      <c r="X3351" t="s">
        <v>3743</v>
      </c>
      <c r="Y3351" t="s">
        <v>97</v>
      </c>
      <c r="Z3351" t="s">
        <v>77</v>
      </c>
      <c r="AA3351" t="str">
        <f>"10011-4401"</f>
        <v>10011-4401</v>
      </c>
      <c r="AB3351" t="s">
        <v>78</v>
      </c>
      <c r="AC3351" t="s">
        <v>79</v>
      </c>
      <c r="AD3351" t="s">
        <v>75</v>
      </c>
      <c r="AE3351" t="s">
        <v>80</v>
      </c>
      <c r="AG3351" t="s">
        <v>81</v>
      </c>
    </row>
    <row r="3352" spans="1:33" x14ac:dyDescent="0.25">
      <c r="A3352" t="str">
        <f>"1376574939"</f>
        <v>1376574939</v>
      </c>
      <c r="B3352" t="str">
        <f>"01605229"</f>
        <v>01605229</v>
      </c>
      <c r="C3352" t="s">
        <v>13436</v>
      </c>
      <c r="D3352" t="s">
        <v>18943</v>
      </c>
      <c r="E3352" t="s">
        <v>18944</v>
      </c>
      <c r="G3352" t="s">
        <v>18945</v>
      </c>
      <c r="L3352" t="s">
        <v>83</v>
      </c>
      <c r="M3352" t="s">
        <v>85</v>
      </c>
      <c r="R3352" t="s">
        <v>18946</v>
      </c>
      <c r="W3352" t="s">
        <v>18944</v>
      </c>
      <c r="X3352" t="s">
        <v>18947</v>
      </c>
      <c r="Y3352" t="s">
        <v>97</v>
      </c>
      <c r="Z3352" t="s">
        <v>77</v>
      </c>
      <c r="AA3352" t="str">
        <f>"10025"</f>
        <v>10025</v>
      </c>
      <c r="AB3352" t="s">
        <v>78</v>
      </c>
      <c r="AC3352" t="s">
        <v>79</v>
      </c>
      <c r="AD3352" t="s">
        <v>75</v>
      </c>
      <c r="AE3352" t="s">
        <v>80</v>
      </c>
      <c r="AG3352" t="s">
        <v>81</v>
      </c>
    </row>
    <row r="3353" spans="1:33" x14ac:dyDescent="0.25">
      <c r="A3353" t="str">
        <f>"1386681674"</f>
        <v>1386681674</v>
      </c>
      <c r="B3353" t="str">
        <f>"00645354"</f>
        <v>00645354</v>
      </c>
      <c r="C3353" t="s">
        <v>13436</v>
      </c>
      <c r="D3353" t="s">
        <v>18948</v>
      </c>
      <c r="E3353" t="s">
        <v>18949</v>
      </c>
      <c r="G3353" t="s">
        <v>18950</v>
      </c>
      <c r="L3353" t="s">
        <v>83</v>
      </c>
      <c r="M3353" t="s">
        <v>85</v>
      </c>
      <c r="R3353" t="s">
        <v>18951</v>
      </c>
      <c r="W3353" t="s">
        <v>18949</v>
      </c>
      <c r="X3353" t="s">
        <v>18952</v>
      </c>
      <c r="Y3353" t="s">
        <v>97</v>
      </c>
      <c r="Z3353" t="s">
        <v>77</v>
      </c>
      <c r="AA3353" t="str">
        <f>"10010-6310"</f>
        <v>10010-6310</v>
      </c>
      <c r="AB3353" t="s">
        <v>78</v>
      </c>
      <c r="AC3353" t="s">
        <v>79</v>
      </c>
      <c r="AD3353" t="s">
        <v>75</v>
      </c>
      <c r="AE3353" t="s">
        <v>80</v>
      </c>
      <c r="AG3353" t="s">
        <v>81</v>
      </c>
    </row>
    <row r="3354" spans="1:33" x14ac:dyDescent="0.25">
      <c r="A3354" t="str">
        <f>"1386697043"</f>
        <v>1386697043</v>
      </c>
      <c r="B3354" t="str">
        <f>"01716343"</f>
        <v>01716343</v>
      </c>
      <c r="C3354" t="s">
        <v>13436</v>
      </c>
      <c r="D3354" t="s">
        <v>18953</v>
      </c>
      <c r="E3354" t="s">
        <v>18954</v>
      </c>
      <c r="G3354" t="s">
        <v>18955</v>
      </c>
      <c r="L3354" t="s">
        <v>74</v>
      </c>
      <c r="M3354" t="s">
        <v>85</v>
      </c>
      <c r="R3354" t="s">
        <v>18956</v>
      </c>
      <c r="W3354" t="s">
        <v>18954</v>
      </c>
      <c r="X3354" t="s">
        <v>4678</v>
      </c>
      <c r="Y3354" t="s">
        <v>97</v>
      </c>
      <c r="Z3354" t="s">
        <v>77</v>
      </c>
      <c r="AA3354" t="str">
        <f>"10022-1008"</f>
        <v>10022-1008</v>
      </c>
      <c r="AB3354" t="s">
        <v>78</v>
      </c>
      <c r="AC3354" t="s">
        <v>79</v>
      </c>
      <c r="AD3354" t="s">
        <v>75</v>
      </c>
      <c r="AE3354" t="s">
        <v>80</v>
      </c>
      <c r="AG3354" t="s">
        <v>81</v>
      </c>
    </row>
    <row r="3355" spans="1:33" x14ac:dyDescent="0.25">
      <c r="A3355" t="str">
        <f>"1386737658"</f>
        <v>1386737658</v>
      </c>
      <c r="B3355" t="str">
        <f>"01546661"</f>
        <v>01546661</v>
      </c>
      <c r="C3355" t="s">
        <v>13436</v>
      </c>
      <c r="D3355" t="s">
        <v>18957</v>
      </c>
      <c r="E3355" t="s">
        <v>18958</v>
      </c>
      <c r="G3355" t="s">
        <v>18959</v>
      </c>
      <c r="L3355" t="s">
        <v>94</v>
      </c>
      <c r="M3355" t="s">
        <v>85</v>
      </c>
      <c r="R3355" t="s">
        <v>18960</v>
      </c>
      <c r="W3355" t="s">
        <v>18958</v>
      </c>
      <c r="X3355" t="s">
        <v>18961</v>
      </c>
      <c r="Y3355" t="s">
        <v>97</v>
      </c>
      <c r="Z3355" t="s">
        <v>77</v>
      </c>
      <c r="AA3355" t="str">
        <f>"10011-6842"</f>
        <v>10011-6842</v>
      </c>
      <c r="AB3355" t="s">
        <v>78</v>
      </c>
      <c r="AC3355" t="s">
        <v>79</v>
      </c>
      <c r="AD3355" t="s">
        <v>75</v>
      </c>
      <c r="AE3355" t="s">
        <v>80</v>
      </c>
      <c r="AG3355" t="s">
        <v>81</v>
      </c>
    </row>
    <row r="3356" spans="1:33" x14ac:dyDescent="0.25">
      <c r="A3356" t="str">
        <f>"1396729984"</f>
        <v>1396729984</v>
      </c>
      <c r="B3356" t="str">
        <f>"01629134"</f>
        <v>01629134</v>
      </c>
      <c r="C3356" t="s">
        <v>13436</v>
      </c>
      <c r="D3356" t="s">
        <v>18962</v>
      </c>
      <c r="E3356" t="s">
        <v>18963</v>
      </c>
      <c r="G3356" t="s">
        <v>18964</v>
      </c>
      <c r="L3356" t="s">
        <v>84</v>
      </c>
      <c r="M3356" t="s">
        <v>85</v>
      </c>
      <c r="R3356" t="s">
        <v>18965</v>
      </c>
      <c r="W3356" t="s">
        <v>18963</v>
      </c>
      <c r="X3356" t="s">
        <v>258</v>
      </c>
      <c r="Y3356" t="s">
        <v>131</v>
      </c>
      <c r="Z3356" t="s">
        <v>77</v>
      </c>
      <c r="AA3356" t="str">
        <f>"10467-2401"</f>
        <v>10467-2401</v>
      </c>
      <c r="AB3356" t="s">
        <v>78</v>
      </c>
      <c r="AC3356" t="s">
        <v>79</v>
      </c>
      <c r="AD3356" t="s">
        <v>75</v>
      </c>
      <c r="AE3356" t="s">
        <v>80</v>
      </c>
      <c r="AG3356" t="s">
        <v>81</v>
      </c>
    </row>
    <row r="3357" spans="1:33" x14ac:dyDescent="0.25">
      <c r="A3357" t="str">
        <f>"1588906739"</f>
        <v>1588906739</v>
      </c>
      <c r="B3357" t="str">
        <f>"03889723"</f>
        <v>03889723</v>
      </c>
      <c r="C3357" t="s">
        <v>13436</v>
      </c>
      <c r="D3357" t="s">
        <v>18966</v>
      </c>
      <c r="E3357" t="s">
        <v>18967</v>
      </c>
      <c r="L3357" t="s">
        <v>102</v>
      </c>
      <c r="M3357" t="s">
        <v>75</v>
      </c>
      <c r="R3357" t="s">
        <v>18967</v>
      </c>
      <c r="W3357" t="s">
        <v>18967</v>
      </c>
      <c r="X3357" t="s">
        <v>306</v>
      </c>
      <c r="Y3357" t="s">
        <v>97</v>
      </c>
      <c r="Z3357" t="s">
        <v>77</v>
      </c>
      <c r="AA3357" t="str">
        <f>"10003-4201"</f>
        <v>10003-4201</v>
      </c>
      <c r="AB3357" t="s">
        <v>78</v>
      </c>
      <c r="AC3357" t="s">
        <v>79</v>
      </c>
      <c r="AD3357" t="s">
        <v>75</v>
      </c>
      <c r="AE3357" t="s">
        <v>80</v>
      </c>
      <c r="AG3357" t="s">
        <v>81</v>
      </c>
    </row>
    <row r="3358" spans="1:33" x14ac:dyDescent="0.25">
      <c r="A3358" t="str">
        <f>"1588906747"</f>
        <v>1588906747</v>
      </c>
      <c r="C3358" t="s">
        <v>13436</v>
      </c>
      <c r="K3358" t="s">
        <v>99</v>
      </c>
      <c r="L3358" t="s">
        <v>102</v>
      </c>
      <c r="M3358" t="s">
        <v>75</v>
      </c>
      <c r="R3358" t="s">
        <v>18968</v>
      </c>
      <c r="S3358" t="s">
        <v>11850</v>
      </c>
      <c r="T3358" t="s">
        <v>97</v>
      </c>
      <c r="U3358" t="s">
        <v>77</v>
      </c>
      <c r="V3358" t="str">
        <f>"100296574"</f>
        <v>100296574</v>
      </c>
      <c r="AC3358" t="s">
        <v>79</v>
      </c>
      <c r="AD3358" t="s">
        <v>75</v>
      </c>
      <c r="AE3358" t="s">
        <v>103</v>
      </c>
      <c r="AG3358" t="s">
        <v>81</v>
      </c>
    </row>
    <row r="3359" spans="1:33" x14ac:dyDescent="0.25">
      <c r="A3359" t="str">
        <f>"1588907356"</f>
        <v>1588907356</v>
      </c>
      <c r="B3359" t="str">
        <f>"04445369"</f>
        <v>04445369</v>
      </c>
      <c r="C3359" t="s">
        <v>13436</v>
      </c>
      <c r="D3359" t="s">
        <v>18969</v>
      </c>
      <c r="E3359" t="s">
        <v>18970</v>
      </c>
      <c r="L3359" t="s">
        <v>74</v>
      </c>
      <c r="M3359" t="s">
        <v>75</v>
      </c>
      <c r="R3359" t="s">
        <v>18971</v>
      </c>
      <c r="W3359" t="s">
        <v>18972</v>
      </c>
      <c r="AB3359" t="s">
        <v>78</v>
      </c>
      <c r="AC3359" t="s">
        <v>79</v>
      </c>
      <c r="AD3359" t="s">
        <v>75</v>
      </c>
      <c r="AE3359" t="s">
        <v>80</v>
      </c>
      <c r="AG3359" t="s">
        <v>81</v>
      </c>
    </row>
    <row r="3360" spans="1:33" x14ac:dyDescent="0.25">
      <c r="A3360" t="str">
        <f>"1851441323"</f>
        <v>1851441323</v>
      </c>
      <c r="B3360" t="str">
        <f>"02718087"</f>
        <v>02718087</v>
      </c>
      <c r="C3360" t="s">
        <v>13436</v>
      </c>
      <c r="D3360" t="s">
        <v>18973</v>
      </c>
      <c r="E3360" t="s">
        <v>18974</v>
      </c>
      <c r="G3360" t="s">
        <v>18975</v>
      </c>
      <c r="L3360" t="s">
        <v>74</v>
      </c>
      <c r="M3360" t="s">
        <v>85</v>
      </c>
      <c r="R3360" t="s">
        <v>18976</v>
      </c>
      <c r="W3360" t="s">
        <v>18974</v>
      </c>
      <c r="X3360" t="s">
        <v>318</v>
      </c>
      <c r="Y3360" t="s">
        <v>131</v>
      </c>
      <c r="Z3360" t="s">
        <v>77</v>
      </c>
      <c r="AA3360" t="str">
        <f>"10457-7606"</f>
        <v>10457-7606</v>
      </c>
      <c r="AB3360" t="s">
        <v>78</v>
      </c>
      <c r="AC3360" t="s">
        <v>79</v>
      </c>
      <c r="AD3360" t="s">
        <v>75</v>
      </c>
      <c r="AE3360" t="s">
        <v>80</v>
      </c>
      <c r="AG3360" t="s">
        <v>81</v>
      </c>
    </row>
    <row r="3361" spans="1:33" x14ac:dyDescent="0.25">
      <c r="A3361" t="str">
        <f>"1851457261"</f>
        <v>1851457261</v>
      </c>
      <c r="B3361" t="str">
        <f>"01948154"</f>
        <v>01948154</v>
      </c>
      <c r="C3361" t="s">
        <v>13436</v>
      </c>
      <c r="D3361" t="s">
        <v>18977</v>
      </c>
      <c r="E3361" t="s">
        <v>18978</v>
      </c>
      <c r="G3361" t="s">
        <v>18979</v>
      </c>
      <c r="L3361" t="s">
        <v>83</v>
      </c>
      <c r="M3361" t="s">
        <v>85</v>
      </c>
      <c r="R3361" t="s">
        <v>18980</v>
      </c>
      <c r="W3361" t="s">
        <v>18978</v>
      </c>
      <c r="X3361" t="s">
        <v>3553</v>
      </c>
      <c r="Y3361" t="s">
        <v>97</v>
      </c>
      <c r="Z3361" t="s">
        <v>77</v>
      </c>
      <c r="AA3361" t="str">
        <f>"10003-3851"</f>
        <v>10003-3851</v>
      </c>
      <c r="AB3361" t="s">
        <v>78</v>
      </c>
      <c r="AC3361" t="s">
        <v>79</v>
      </c>
      <c r="AD3361" t="s">
        <v>75</v>
      </c>
      <c r="AE3361" t="s">
        <v>80</v>
      </c>
      <c r="AG3361" t="s">
        <v>81</v>
      </c>
    </row>
    <row r="3362" spans="1:33" x14ac:dyDescent="0.25">
      <c r="A3362" t="str">
        <f>"1861580979"</f>
        <v>1861580979</v>
      </c>
      <c r="B3362" t="str">
        <f>"04107411"</f>
        <v>04107411</v>
      </c>
      <c r="C3362" t="s">
        <v>13436</v>
      </c>
      <c r="D3362" t="s">
        <v>18981</v>
      </c>
      <c r="E3362" t="s">
        <v>18982</v>
      </c>
      <c r="G3362" t="s">
        <v>18983</v>
      </c>
      <c r="L3362" t="s">
        <v>74</v>
      </c>
      <c r="M3362" t="s">
        <v>85</v>
      </c>
      <c r="R3362" t="s">
        <v>18984</v>
      </c>
      <c r="W3362" t="s">
        <v>18982</v>
      </c>
      <c r="X3362" t="s">
        <v>2587</v>
      </c>
      <c r="Y3362" t="s">
        <v>97</v>
      </c>
      <c r="Z3362" t="s">
        <v>77</v>
      </c>
      <c r="AA3362" t="str">
        <f>"10003-3314"</f>
        <v>10003-3314</v>
      </c>
      <c r="AB3362" t="s">
        <v>78</v>
      </c>
      <c r="AC3362" t="s">
        <v>79</v>
      </c>
      <c r="AD3362" t="s">
        <v>75</v>
      </c>
      <c r="AE3362" t="s">
        <v>80</v>
      </c>
      <c r="AG3362" t="s">
        <v>81</v>
      </c>
    </row>
    <row r="3363" spans="1:33" x14ac:dyDescent="0.25">
      <c r="A3363" t="str">
        <f>"1881746360"</f>
        <v>1881746360</v>
      </c>
      <c r="B3363" t="str">
        <f>"00275287"</f>
        <v>00275287</v>
      </c>
      <c r="C3363" t="s">
        <v>13436</v>
      </c>
      <c r="D3363" t="s">
        <v>18985</v>
      </c>
      <c r="E3363" t="s">
        <v>18986</v>
      </c>
      <c r="G3363" t="s">
        <v>18987</v>
      </c>
      <c r="L3363" t="s">
        <v>105</v>
      </c>
      <c r="M3363" t="s">
        <v>85</v>
      </c>
      <c r="R3363" t="s">
        <v>18988</v>
      </c>
      <c r="W3363" t="s">
        <v>18989</v>
      </c>
      <c r="X3363" t="s">
        <v>5585</v>
      </c>
      <c r="Y3363" t="s">
        <v>97</v>
      </c>
      <c r="Z3363" t="s">
        <v>77</v>
      </c>
      <c r="AA3363" t="str">
        <f>"10003-0000"</f>
        <v>10003-0000</v>
      </c>
      <c r="AB3363" t="s">
        <v>78</v>
      </c>
      <c r="AC3363" t="s">
        <v>79</v>
      </c>
      <c r="AD3363" t="s">
        <v>75</v>
      </c>
      <c r="AE3363" t="s">
        <v>80</v>
      </c>
      <c r="AG3363" t="s">
        <v>81</v>
      </c>
    </row>
    <row r="3364" spans="1:33" x14ac:dyDescent="0.25">
      <c r="A3364" t="str">
        <f>"1881780849"</f>
        <v>1881780849</v>
      </c>
      <c r="B3364" t="str">
        <f>"02322829"</f>
        <v>02322829</v>
      </c>
      <c r="C3364" t="s">
        <v>13436</v>
      </c>
      <c r="D3364" t="s">
        <v>18990</v>
      </c>
      <c r="E3364" t="s">
        <v>18991</v>
      </c>
      <c r="G3364" t="s">
        <v>18992</v>
      </c>
      <c r="L3364" t="s">
        <v>74</v>
      </c>
      <c r="M3364" t="s">
        <v>85</v>
      </c>
      <c r="R3364" t="s">
        <v>18993</v>
      </c>
      <c r="W3364" t="s">
        <v>18991</v>
      </c>
      <c r="X3364" t="s">
        <v>18994</v>
      </c>
      <c r="Y3364" t="s">
        <v>87</v>
      </c>
      <c r="Z3364" t="s">
        <v>77</v>
      </c>
      <c r="AA3364" t="str">
        <f>"11219-2916"</f>
        <v>11219-2916</v>
      </c>
      <c r="AB3364" t="s">
        <v>78</v>
      </c>
      <c r="AC3364" t="s">
        <v>79</v>
      </c>
      <c r="AD3364" t="s">
        <v>75</v>
      </c>
      <c r="AE3364" t="s">
        <v>80</v>
      </c>
      <c r="AG3364" t="s">
        <v>81</v>
      </c>
    </row>
    <row r="3365" spans="1:33" x14ac:dyDescent="0.25">
      <c r="A3365" t="str">
        <f>"1891760633"</f>
        <v>1891760633</v>
      </c>
      <c r="B3365" t="str">
        <f>"01993140"</f>
        <v>01993140</v>
      </c>
      <c r="C3365" t="s">
        <v>13436</v>
      </c>
      <c r="D3365" t="s">
        <v>18995</v>
      </c>
      <c r="E3365" t="s">
        <v>18996</v>
      </c>
      <c r="G3365" t="s">
        <v>18997</v>
      </c>
      <c r="L3365" t="s">
        <v>74</v>
      </c>
      <c r="M3365" t="s">
        <v>85</v>
      </c>
      <c r="R3365" t="s">
        <v>18998</v>
      </c>
      <c r="W3365" t="s">
        <v>18996</v>
      </c>
      <c r="X3365" t="s">
        <v>18999</v>
      </c>
      <c r="Y3365" t="s">
        <v>19000</v>
      </c>
      <c r="Z3365" t="s">
        <v>2632</v>
      </c>
      <c r="AA3365" t="str">
        <f>"23507-1910"</f>
        <v>23507-1910</v>
      </c>
      <c r="AB3365" t="s">
        <v>78</v>
      </c>
      <c r="AC3365" t="s">
        <v>79</v>
      </c>
      <c r="AD3365" t="s">
        <v>75</v>
      </c>
      <c r="AE3365" t="s">
        <v>80</v>
      </c>
      <c r="AG3365" t="s">
        <v>81</v>
      </c>
    </row>
    <row r="3366" spans="1:33" x14ac:dyDescent="0.25">
      <c r="A3366" t="str">
        <f>"1992871933"</f>
        <v>1992871933</v>
      </c>
      <c r="B3366" t="str">
        <f>"02909511"</f>
        <v>02909511</v>
      </c>
      <c r="C3366" t="s">
        <v>13436</v>
      </c>
      <c r="D3366" t="s">
        <v>510</v>
      </c>
      <c r="E3366" t="s">
        <v>511</v>
      </c>
      <c r="G3366" t="s">
        <v>19001</v>
      </c>
      <c r="L3366" t="s">
        <v>84</v>
      </c>
      <c r="M3366" t="s">
        <v>85</v>
      </c>
      <c r="R3366" t="s">
        <v>512</v>
      </c>
      <c r="W3366" t="s">
        <v>511</v>
      </c>
      <c r="X3366" t="s">
        <v>513</v>
      </c>
      <c r="Y3366" t="s">
        <v>97</v>
      </c>
      <c r="Z3366" t="s">
        <v>77</v>
      </c>
      <c r="AA3366" t="str">
        <f>"10013-4408"</f>
        <v>10013-4408</v>
      </c>
      <c r="AB3366" t="s">
        <v>78</v>
      </c>
      <c r="AC3366" t="s">
        <v>79</v>
      </c>
      <c r="AD3366" t="s">
        <v>75</v>
      </c>
      <c r="AE3366" t="s">
        <v>80</v>
      </c>
      <c r="AG3366" t="s">
        <v>81</v>
      </c>
    </row>
    <row r="3367" spans="1:33" x14ac:dyDescent="0.25">
      <c r="A3367" t="str">
        <f>"1013022532"</f>
        <v>1013022532</v>
      </c>
      <c r="B3367" t="str">
        <f>"01092048"</f>
        <v>01092048</v>
      </c>
      <c r="C3367" t="s">
        <v>19002</v>
      </c>
      <c r="D3367" t="s">
        <v>19003</v>
      </c>
      <c r="E3367" t="s">
        <v>19004</v>
      </c>
      <c r="G3367" t="s">
        <v>13504</v>
      </c>
      <c r="H3367" t="s">
        <v>13505</v>
      </c>
      <c r="J3367" t="s">
        <v>13506</v>
      </c>
      <c r="L3367" t="s">
        <v>84</v>
      </c>
      <c r="M3367" t="s">
        <v>75</v>
      </c>
      <c r="R3367" t="s">
        <v>19005</v>
      </c>
      <c r="W3367" t="s">
        <v>19004</v>
      </c>
      <c r="X3367" t="s">
        <v>1484</v>
      </c>
      <c r="Y3367" t="s">
        <v>87</v>
      </c>
      <c r="Z3367" t="s">
        <v>77</v>
      </c>
      <c r="AA3367" t="str">
        <f>"11201-5465"</f>
        <v>11201-5465</v>
      </c>
      <c r="AB3367" t="s">
        <v>78</v>
      </c>
      <c r="AC3367" t="s">
        <v>79</v>
      </c>
      <c r="AD3367" t="s">
        <v>75</v>
      </c>
      <c r="AE3367" t="s">
        <v>80</v>
      </c>
      <c r="AG3367" t="s">
        <v>81</v>
      </c>
    </row>
    <row r="3368" spans="1:33" x14ac:dyDescent="0.25">
      <c r="A3368" t="str">
        <f>"1649241100"</f>
        <v>1649241100</v>
      </c>
      <c r="B3368" t="str">
        <f>"01344421"</f>
        <v>01344421</v>
      </c>
      <c r="C3368" t="s">
        <v>19006</v>
      </c>
      <c r="D3368" t="s">
        <v>19007</v>
      </c>
      <c r="E3368" t="s">
        <v>19008</v>
      </c>
      <c r="G3368" t="s">
        <v>13504</v>
      </c>
      <c r="H3368" t="s">
        <v>13505</v>
      </c>
      <c r="J3368" t="s">
        <v>13506</v>
      </c>
      <c r="L3368" t="s">
        <v>83</v>
      </c>
      <c r="M3368" t="s">
        <v>75</v>
      </c>
      <c r="R3368" t="s">
        <v>19008</v>
      </c>
      <c r="W3368" t="s">
        <v>19008</v>
      </c>
      <c r="X3368" t="s">
        <v>610</v>
      </c>
      <c r="Y3368" t="s">
        <v>87</v>
      </c>
      <c r="Z3368" t="s">
        <v>77</v>
      </c>
      <c r="AA3368" t="str">
        <f>"11203-2012"</f>
        <v>11203-2012</v>
      </c>
      <c r="AB3368" t="s">
        <v>78</v>
      </c>
      <c r="AC3368" t="s">
        <v>79</v>
      </c>
      <c r="AD3368" t="s">
        <v>75</v>
      </c>
      <c r="AE3368" t="s">
        <v>80</v>
      </c>
      <c r="AG3368" t="s">
        <v>81</v>
      </c>
    </row>
    <row r="3369" spans="1:33" x14ac:dyDescent="0.25">
      <c r="A3369" t="str">
        <f>"1770677353"</f>
        <v>1770677353</v>
      </c>
      <c r="B3369" t="str">
        <f>"00945304"</f>
        <v>00945304</v>
      </c>
      <c r="C3369" t="s">
        <v>19009</v>
      </c>
      <c r="D3369" t="s">
        <v>19010</v>
      </c>
      <c r="E3369" t="s">
        <v>19011</v>
      </c>
      <c r="G3369" t="s">
        <v>13504</v>
      </c>
      <c r="H3369" t="s">
        <v>13505</v>
      </c>
      <c r="J3369" t="s">
        <v>13506</v>
      </c>
      <c r="L3369" t="s">
        <v>83</v>
      </c>
      <c r="M3369" t="s">
        <v>85</v>
      </c>
      <c r="R3369" t="s">
        <v>19012</v>
      </c>
      <c r="W3369" t="s">
        <v>19013</v>
      </c>
      <c r="X3369" t="s">
        <v>3704</v>
      </c>
      <c r="Y3369" t="s">
        <v>131</v>
      </c>
      <c r="Z3369" t="s">
        <v>77</v>
      </c>
      <c r="AA3369" t="str">
        <f>"10457-5401"</f>
        <v>10457-5401</v>
      </c>
      <c r="AB3369" t="s">
        <v>78</v>
      </c>
      <c r="AC3369" t="s">
        <v>79</v>
      </c>
      <c r="AD3369" t="s">
        <v>75</v>
      </c>
      <c r="AE3369" t="s">
        <v>80</v>
      </c>
      <c r="AG3369" t="s">
        <v>81</v>
      </c>
    </row>
    <row r="3370" spans="1:33" x14ac:dyDescent="0.25">
      <c r="A3370" t="str">
        <f>"1053421412"</f>
        <v>1053421412</v>
      </c>
      <c r="B3370" t="str">
        <f>"01031209"</f>
        <v>01031209</v>
      </c>
      <c r="C3370" t="s">
        <v>19014</v>
      </c>
      <c r="D3370" t="s">
        <v>19015</v>
      </c>
      <c r="E3370" t="s">
        <v>19016</v>
      </c>
      <c r="G3370" t="s">
        <v>13504</v>
      </c>
      <c r="H3370" t="s">
        <v>13505</v>
      </c>
      <c r="J3370" t="s">
        <v>13506</v>
      </c>
      <c r="L3370" t="s">
        <v>83</v>
      </c>
      <c r="M3370" t="s">
        <v>75</v>
      </c>
      <c r="R3370" t="s">
        <v>19017</v>
      </c>
      <c r="W3370" t="s">
        <v>19018</v>
      </c>
      <c r="X3370" t="s">
        <v>19019</v>
      </c>
      <c r="Y3370" t="s">
        <v>87</v>
      </c>
      <c r="Z3370" t="s">
        <v>77</v>
      </c>
      <c r="AA3370" t="str">
        <f>"11201-5425"</f>
        <v>11201-5425</v>
      </c>
      <c r="AB3370" t="s">
        <v>78</v>
      </c>
      <c r="AC3370" t="s">
        <v>79</v>
      </c>
      <c r="AD3370" t="s">
        <v>75</v>
      </c>
      <c r="AE3370" t="s">
        <v>80</v>
      </c>
      <c r="AG3370" t="s">
        <v>81</v>
      </c>
    </row>
    <row r="3371" spans="1:33" x14ac:dyDescent="0.25">
      <c r="A3371" t="str">
        <f>"1003250887"</f>
        <v>1003250887</v>
      </c>
      <c r="C3371" t="s">
        <v>13436</v>
      </c>
      <c r="K3371" t="s">
        <v>99</v>
      </c>
      <c r="L3371" t="s">
        <v>102</v>
      </c>
      <c r="M3371" t="s">
        <v>75</v>
      </c>
      <c r="R3371" t="s">
        <v>19020</v>
      </c>
      <c r="S3371" t="s">
        <v>191</v>
      </c>
      <c r="T3371" t="s">
        <v>97</v>
      </c>
      <c r="U3371" t="s">
        <v>77</v>
      </c>
      <c r="V3371" t="str">
        <f>"100191147"</f>
        <v>100191147</v>
      </c>
      <c r="AC3371" t="s">
        <v>79</v>
      </c>
      <c r="AD3371" t="s">
        <v>75</v>
      </c>
      <c r="AE3371" t="s">
        <v>103</v>
      </c>
      <c r="AG3371" t="s">
        <v>81</v>
      </c>
    </row>
    <row r="3372" spans="1:33" x14ac:dyDescent="0.25">
      <c r="A3372" t="str">
        <f>"1003251299"</f>
        <v>1003251299</v>
      </c>
      <c r="B3372" t="str">
        <f>"04470926"</f>
        <v>04470926</v>
      </c>
      <c r="C3372" t="s">
        <v>13436</v>
      </c>
      <c r="D3372" t="s">
        <v>19021</v>
      </c>
      <c r="E3372" t="s">
        <v>19022</v>
      </c>
      <c r="L3372" t="s">
        <v>74</v>
      </c>
      <c r="M3372" t="s">
        <v>75</v>
      </c>
      <c r="R3372" t="s">
        <v>19023</v>
      </c>
      <c r="W3372" t="s">
        <v>19022</v>
      </c>
      <c r="AB3372" t="s">
        <v>78</v>
      </c>
      <c r="AC3372" t="s">
        <v>79</v>
      </c>
      <c r="AD3372" t="s">
        <v>75</v>
      </c>
      <c r="AE3372" t="s">
        <v>80</v>
      </c>
      <c r="AG3372" t="s">
        <v>81</v>
      </c>
    </row>
    <row r="3373" spans="1:33" x14ac:dyDescent="0.25">
      <c r="A3373" t="str">
        <f>"1003259532"</f>
        <v>1003259532</v>
      </c>
      <c r="C3373" t="s">
        <v>13436</v>
      </c>
      <c r="K3373" t="s">
        <v>99</v>
      </c>
      <c r="L3373" t="s">
        <v>102</v>
      </c>
      <c r="M3373" t="s">
        <v>75</v>
      </c>
      <c r="R3373" t="s">
        <v>19024</v>
      </c>
      <c r="S3373" t="s">
        <v>19025</v>
      </c>
      <c r="T3373" t="s">
        <v>97</v>
      </c>
      <c r="U3373" t="s">
        <v>77</v>
      </c>
      <c r="V3373" t="str">
        <f>"100296500"</f>
        <v>100296500</v>
      </c>
      <c r="AC3373" t="s">
        <v>79</v>
      </c>
      <c r="AD3373" t="s">
        <v>75</v>
      </c>
      <c r="AE3373" t="s">
        <v>103</v>
      </c>
      <c r="AG3373" t="s">
        <v>81</v>
      </c>
    </row>
    <row r="3374" spans="1:33" x14ac:dyDescent="0.25">
      <c r="A3374" t="str">
        <f>"1386948248"</f>
        <v>1386948248</v>
      </c>
      <c r="B3374" t="str">
        <f>"03788841"</f>
        <v>03788841</v>
      </c>
      <c r="C3374" t="s">
        <v>19026</v>
      </c>
      <c r="D3374" t="s">
        <v>19027</v>
      </c>
      <c r="E3374" t="s">
        <v>19028</v>
      </c>
      <c r="G3374" t="s">
        <v>13504</v>
      </c>
      <c r="H3374" t="s">
        <v>13505</v>
      </c>
      <c r="J3374" t="s">
        <v>13506</v>
      </c>
      <c r="L3374" t="s">
        <v>74</v>
      </c>
      <c r="M3374" t="s">
        <v>75</v>
      </c>
      <c r="R3374" t="s">
        <v>19029</v>
      </c>
      <c r="W3374" t="s">
        <v>19028</v>
      </c>
      <c r="X3374" t="s">
        <v>19030</v>
      </c>
      <c r="Y3374" t="s">
        <v>87</v>
      </c>
      <c r="Z3374" t="s">
        <v>77</v>
      </c>
      <c r="AA3374" t="str">
        <f>"11201-5425"</f>
        <v>11201-5425</v>
      </c>
      <c r="AB3374" t="s">
        <v>78</v>
      </c>
      <c r="AC3374" t="s">
        <v>79</v>
      </c>
      <c r="AD3374" t="s">
        <v>75</v>
      </c>
      <c r="AE3374" t="s">
        <v>80</v>
      </c>
      <c r="AG3374" t="s">
        <v>81</v>
      </c>
    </row>
    <row r="3375" spans="1:33" x14ac:dyDescent="0.25">
      <c r="A3375" t="str">
        <f>"1427296227"</f>
        <v>1427296227</v>
      </c>
      <c r="C3375" t="s">
        <v>19031</v>
      </c>
      <c r="G3375" t="s">
        <v>13504</v>
      </c>
      <c r="H3375" t="s">
        <v>13505</v>
      </c>
      <c r="J3375" t="s">
        <v>13506</v>
      </c>
      <c r="K3375" t="s">
        <v>99</v>
      </c>
      <c r="L3375" t="s">
        <v>74</v>
      </c>
      <c r="M3375" t="s">
        <v>75</v>
      </c>
      <c r="R3375" t="s">
        <v>19032</v>
      </c>
      <c r="S3375" t="s">
        <v>202</v>
      </c>
      <c r="T3375" t="s">
        <v>87</v>
      </c>
      <c r="U3375" t="s">
        <v>77</v>
      </c>
      <c r="V3375" t="str">
        <f>"112015425"</f>
        <v>112015425</v>
      </c>
      <c r="AC3375" t="s">
        <v>79</v>
      </c>
      <c r="AD3375" t="s">
        <v>75</v>
      </c>
      <c r="AE3375" t="s">
        <v>103</v>
      </c>
      <c r="AG3375" t="s">
        <v>81</v>
      </c>
    </row>
    <row r="3376" spans="1:33" x14ac:dyDescent="0.25">
      <c r="A3376" t="str">
        <f>"1083939680"</f>
        <v>1083939680</v>
      </c>
      <c r="C3376" t="s">
        <v>19033</v>
      </c>
      <c r="G3376" t="s">
        <v>13504</v>
      </c>
      <c r="H3376" t="s">
        <v>13505</v>
      </c>
      <c r="J3376" t="s">
        <v>13506</v>
      </c>
      <c r="K3376" t="s">
        <v>99</v>
      </c>
      <c r="L3376" t="s">
        <v>102</v>
      </c>
      <c r="M3376" t="s">
        <v>75</v>
      </c>
      <c r="R3376" t="s">
        <v>19034</v>
      </c>
      <c r="S3376" t="s">
        <v>202</v>
      </c>
      <c r="T3376" t="s">
        <v>87</v>
      </c>
      <c r="U3376" t="s">
        <v>77</v>
      </c>
      <c r="V3376" t="str">
        <f>"112015425"</f>
        <v>112015425</v>
      </c>
      <c r="AC3376" t="s">
        <v>79</v>
      </c>
      <c r="AD3376" t="s">
        <v>75</v>
      </c>
      <c r="AE3376" t="s">
        <v>103</v>
      </c>
      <c r="AG3376" t="s">
        <v>81</v>
      </c>
    </row>
    <row r="3377" spans="1:33" x14ac:dyDescent="0.25">
      <c r="A3377" t="str">
        <f>"1477704872"</f>
        <v>1477704872</v>
      </c>
      <c r="B3377" t="str">
        <f>"03066800"</f>
        <v>03066800</v>
      </c>
      <c r="C3377" t="s">
        <v>19035</v>
      </c>
      <c r="D3377" t="s">
        <v>19036</v>
      </c>
      <c r="E3377" t="s">
        <v>19037</v>
      </c>
      <c r="G3377" t="s">
        <v>13504</v>
      </c>
      <c r="H3377" t="s">
        <v>13505</v>
      </c>
      <c r="J3377" t="s">
        <v>13506</v>
      </c>
      <c r="L3377" t="s">
        <v>83</v>
      </c>
      <c r="M3377" t="s">
        <v>75</v>
      </c>
      <c r="R3377" t="s">
        <v>19038</v>
      </c>
      <c r="W3377" t="s">
        <v>19037</v>
      </c>
      <c r="X3377" t="s">
        <v>19039</v>
      </c>
      <c r="Y3377" t="s">
        <v>87</v>
      </c>
      <c r="Z3377" t="s">
        <v>77</v>
      </c>
      <c r="AA3377" t="str">
        <f>"11215-1212"</f>
        <v>11215-1212</v>
      </c>
      <c r="AB3377" t="s">
        <v>108</v>
      </c>
      <c r="AC3377" t="s">
        <v>79</v>
      </c>
      <c r="AD3377" t="s">
        <v>75</v>
      </c>
      <c r="AE3377" t="s">
        <v>80</v>
      </c>
      <c r="AG3377" t="s">
        <v>81</v>
      </c>
    </row>
    <row r="3378" spans="1:33" x14ac:dyDescent="0.25">
      <c r="C3378" t="s">
        <v>19040</v>
      </c>
      <c r="G3378" t="s">
        <v>13504</v>
      </c>
      <c r="H3378" t="s">
        <v>13505</v>
      </c>
      <c r="J3378" t="s">
        <v>13506</v>
      </c>
      <c r="K3378" t="s">
        <v>99</v>
      </c>
      <c r="L3378" t="s">
        <v>100</v>
      </c>
      <c r="M3378" t="s">
        <v>75</v>
      </c>
      <c r="N3378" t="s">
        <v>14458</v>
      </c>
      <c r="O3378" t="s">
        <v>431</v>
      </c>
      <c r="P3378" t="s">
        <v>77</v>
      </c>
      <c r="Q3378" t="str">
        <f>"11201"</f>
        <v>11201</v>
      </c>
      <c r="AC3378" t="s">
        <v>79</v>
      </c>
      <c r="AD3378" t="s">
        <v>75</v>
      </c>
      <c r="AE3378" t="s">
        <v>101</v>
      </c>
      <c r="AG3378" t="s">
        <v>81</v>
      </c>
    </row>
    <row r="3379" spans="1:33" x14ac:dyDescent="0.25">
      <c r="A3379" t="str">
        <f>"1184720617"</f>
        <v>1184720617</v>
      </c>
      <c r="C3379" t="s">
        <v>19041</v>
      </c>
      <c r="G3379" t="s">
        <v>13504</v>
      </c>
      <c r="H3379" t="s">
        <v>13505</v>
      </c>
      <c r="J3379" t="s">
        <v>13506</v>
      </c>
      <c r="K3379" t="s">
        <v>99</v>
      </c>
      <c r="L3379" t="s">
        <v>102</v>
      </c>
      <c r="M3379" t="s">
        <v>75</v>
      </c>
      <c r="R3379" t="s">
        <v>19042</v>
      </c>
      <c r="S3379" t="s">
        <v>86</v>
      </c>
      <c r="T3379" t="s">
        <v>87</v>
      </c>
      <c r="U3379" t="s">
        <v>77</v>
      </c>
      <c r="V3379" t="str">
        <f>"112202559"</f>
        <v>112202559</v>
      </c>
      <c r="AC3379" t="s">
        <v>79</v>
      </c>
      <c r="AD3379" t="s">
        <v>75</v>
      </c>
      <c r="AE3379" t="s">
        <v>103</v>
      </c>
      <c r="AG3379" t="s">
        <v>81</v>
      </c>
    </row>
    <row r="3380" spans="1:33" x14ac:dyDescent="0.25">
      <c r="A3380" t="str">
        <f>"1205033305"</f>
        <v>1205033305</v>
      </c>
      <c r="B3380" t="str">
        <f>"04310192"</f>
        <v>04310192</v>
      </c>
      <c r="C3380" t="s">
        <v>19043</v>
      </c>
      <c r="D3380" t="s">
        <v>19044</v>
      </c>
      <c r="E3380" t="s">
        <v>19045</v>
      </c>
      <c r="G3380" t="s">
        <v>13504</v>
      </c>
      <c r="H3380" t="s">
        <v>13505</v>
      </c>
      <c r="J3380" t="s">
        <v>13506</v>
      </c>
      <c r="L3380" t="s">
        <v>74</v>
      </c>
      <c r="M3380" t="s">
        <v>75</v>
      </c>
      <c r="R3380" t="s">
        <v>19046</v>
      </c>
      <c r="W3380" t="s">
        <v>19045</v>
      </c>
      <c r="X3380" t="s">
        <v>202</v>
      </c>
      <c r="Y3380" t="s">
        <v>87</v>
      </c>
      <c r="Z3380" t="s">
        <v>77</v>
      </c>
      <c r="AA3380" t="str">
        <f>"11201-5425"</f>
        <v>11201-5425</v>
      </c>
      <c r="AB3380" t="s">
        <v>78</v>
      </c>
      <c r="AC3380" t="s">
        <v>79</v>
      </c>
      <c r="AD3380" t="s">
        <v>75</v>
      </c>
      <c r="AE3380" t="s">
        <v>80</v>
      </c>
      <c r="AG3380" t="s">
        <v>81</v>
      </c>
    </row>
    <row r="3381" spans="1:33" x14ac:dyDescent="0.25">
      <c r="A3381" t="str">
        <f>"1447356308"</f>
        <v>1447356308</v>
      </c>
      <c r="B3381" t="str">
        <f>"03810620"</f>
        <v>03810620</v>
      </c>
      <c r="C3381" t="s">
        <v>19047</v>
      </c>
      <c r="D3381" t="s">
        <v>19048</v>
      </c>
      <c r="E3381" t="s">
        <v>19049</v>
      </c>
      <c r="G3381" t="s">
        <v>13504</v>
      </c>
      <c r="H3381" t="s">
        <v>13505</v>
      </c>
      <c r="J3381" t="s">
        <v>13506</v>
      </c>
      <c r="L3381" t="s">
        <v>102</v>
      </c>
      <c r="M3381" t="s">
        <v>75</v>
      </c>
      <c r="R3381" t="s">
        <v>19050</v>
      </c>
      <c r="W3381" t="s">
        <v>19051</v>
      </c>
      <c r="X3381" t="s">
        <v>202</v>
      </c>
      <c r="Y3381" t="s">
        <v>87</v>
      </c>
      <c r="Z3381" t="s">
        <v>77</v>
      </c>
      <c r="AA3381" t="str">
        <f>"11201-5425"</f>
        <v>11201-5425</v>
      </c>
      <c r="AB3381" t="s">
        <v>78</v>
      </c>
      <c r="AC3381" t="s">
        <v>79</v>
      </c>
      <c r="AD3381" t="s">
        <v>75</v>
      </c>
      <c r="AE3381" t="s">
        <v>80</v>
      </c>
      <c r="AG3381" t="s">
        <v>81</v>
      </c>
    </row>
    <row r="3382" spans="1:33" x14ac:dyDescent="0.25">
      <c r="A3382" t="str">
        <f>"1144354697"</f>
        <v>1144354697</v>
      </c>
      <c r="B3382" t="str">
        <f>"01334087"</f>
        <v>01334087</v>
      </c>
      <c r="C3382" t="s">
        <v>19052</v>
      </c>
      <c r="D3382" t="s">
        <v>19053</v>
      </c>
      <c r="E3382" t="s">
        <v>19054</v>
      </c>
      <c r="G3382" t="s">
        <v>13504</v>
      </c>
      <c r="H3382" t="s">
        <v>13505</v>
      </c>
      <c r="J3382" t="s">
        <v>13506</v>
      </c>
      <c r="L3382" t="s">
        <v>10</v>
      </c>
      <c r="M3382" t="s">
        <v>75</v>
      </c>
      <c r="R3382" t="s">
        <v>19055</v>
      </c>
      <c r="W3382" t="s">
        <v>19056</v>
      </c>
      <c r="X3382" t="s">
        <v>19057</v>
      </c>
      <c r="Y3382" t="s">
        <v>87</v>
      </c>
      <c r="Z3382" t="s">
        <v>77</v>
      </c>
      <c r="AA3382" t="str">
        <f>"11217-3303"</f>
        <v>11217-3303</v>
      </c>
      <c r="AB3382" t="s">
        <v>125</v>
      </c>
      <c r="AC3382" t="s">
        <v>79</v>
      </c>
      <c r="AD3382" t="s">
        <v>75</v>
      </c>
      <c r="AE3382" t="s">
        <v>80</v>
      </c>
      <c r="AG3382" t="s">
        <v>81</v>
      </c>
    </row>
    <row r="3383" spans="1:33" x14ac:dyDescent="0.25">
      <c r="A3383" t="str">
        <f>"1033282983"</f>
        <v>1033282983</v>
      </c>
      <c r="C3383" t="s">
        <v>19058</v>
      </c>
      <c r="G3383" t="s">
        <v>13504</v>
      </c>
      <c r="H3383" t="s">
        <v>13505</v>
      </c>
      <c r="J3383" t="s">
        <v>13506</v>
      </c>
      <c r="K3383" t="s">
        <v>99</v>
      </c>
      <c r="L3383" t="s">
        <v>102</v>
      </c>
      <c r="M3383" t="s">
        <v>75</v>
      </c>
      <c r="R3383" t="s">
        <v>19059</v>
      </c>
      <c r="S3383" t="s">
        <v>19060</v>
      </c>
      <c r="T3383" t="s">
        <v>97</v>
      </c>
      <c r="U3383" t="s">
        <v>77</v>
      </c>
      <c r="V3383" t="str">
        <f>"100107304"</f>
        <v>100107304</v>
      </c>
      <c r="AC3383" t="s">
        <v>79</v>
      </c>
      <c r="AD3383" t="s">
        <v>75</v>
      </c>
      <c r="AE3383" t="s">
        <v>103</v>
      </c>
      <c r="AG3383" t="s">
        <v>81</v>
      </c>
    </row>
    <row r="3384" spans="1:33" x14ac:dyDescent="0.25">
      <c r="A3384" t="str">
        <f>"1497870158"</f>
        <v>1497870158</v>
      </c>
      <c r="B3384" t="str">
        <f>"03786367"</f>
        <v>03786367</v>
      </c>
      <c r="C3384" t="s">
        <v>19061</v>
      </c>
      <c r="D3384" t="s">
        <v>19062</v>
      </c>
      <c r="E3384" t="s">
        <v>19063</v>
      </c>
      <c r="G3384" t="s">
        <v>13504</v>
      </c>
      <c r="H3384" t="s">
        <v>13505</v>
      </c>
      <c r="J3384" t="s">
        <v>13506</v>
      </c>
      <c r="L3384" t="s">
        <v>83</v>
      </c>
      <c r="M3384" t="s">
        <v>75</v>
      </c>
      <c r="R3384" t="s">
        <v>19064</v>
      </c>
      <c r="W3384" t="s">
        <v>19063</v>
      </c>
      <c r="X3384" t="s">
        <v>86</v>
      </c>
      <c r="Y3384" t="s">
        <v>87</v>
      </c>
      <c r="Z3384" t="s">
        <v>77</v>
      </c>
      <c r="AA3384" t="str">
        <f>"11220-2508"</f>
        <v>11220-2508</v>
      </c>
      <c r="AB3384" t="s">
        <v>78</v>
      </c>
      <c r="AC3384" t="s">
        <v>79</v>
      </c>
      <c r="AD3384" t="s">
        <v>75</v>
      </c>
      <c r="AE3384" t="s">
        <v>80</v>
      </c>
      <c r="AG3384" t="s">
        <v>81</v>
      </c>
    </row>
    <row r="3385" spans="1:33" x14ac:dyDescent="0.25">
      <c r="A3385" t="str">
        <f>"1619117017"</f>
        <v>1619117017</v>
      </c>
      <c r="B3385" t="str">
        <f>"04583579"</f>
        <v>04583579</v>
      </c>
      <c r="C3385" t="s">
        <v>19065</v>
      </c>
      <c r="D3385" t="s">
        <v>19066</v>
      </c>
      <c r="E3385" t="s">
        <v>19067</v>
      </c>
      <c r="G3385" t="s">
        <v>13504</v>
      </c>
      <c r="H3385" t="s">
        <v>13505</v>
      </c>
      <c r="J3385" t="s">
        <v>13506</v>
      </c>
      <c r="L3385" t="s">
        <v>102</v>
      </c>
      <c r="M3385" t="s">
        <v>75</v>
      </c>
      <c r="R3385" t="s">
        <v>19067</v>
      </c>
      <c r="W3385" t="s">
        <v>19067</v>
      </c>
      <c r="AB3385" t="s">
        <v>78</v>
      </c>
      <c r="AC3385" t="s">
        <v>79</v>
      </c>
      <c r="AD3385" t="s">
        <v>75</v>
      </c>
      <c r="AE3385" t="s">
        <v>80</v>
      </c>
      <c r="AG3385" t="s">
        <v>81</v>
      </c>
    </row>
    <row r="3386" spans="1:33" x14ac:dyDescent="0.25">
      <c r="A3386" t="str">
        <f>"1427380559"</f>
        <v>1427380559</v>
      </c>
      <c r="B3386" t="str">
        <f>"04080104"</f>
        <v>04080104</v>
      </c>
      <c r="C3386" t="s">
        <v>19068</v>
      </c>
      <c r="D3386" t="s">
        <v>19069</v>
      </c>
      <c r="E3386" t="s">
        <v>19070</v>
      </c>
      <c r="G3386" t="s">
        <v>13504</v>
      </c>
      <c r="H3386" t="s">
        <v>13505</v>
      </c>
      <c r="J3386" t="s">
        <v>13506</v>
      </c>
      <c r="L3386" t="s">
        <v>94</v>
      </c>
      <c r="M3386" t="s">
        <v>75</v>
      </c>
      <c r="R3386" t="s">
        <v>19070</v>
      </c>
      <c r="W3386" t="s">
        <v>19070</v>
      </c>
      <c r="X3386" t="s">
        <v>202</v>
      </c>
      <c r="Y3386" t="s">
        <v>87</v>
      </c>
      <c r="Z3386" t="s">
        <v>77</v>
      </c>
      <c r="AA3386" t="str">
        <f>"11201-5425"</f>
        <v>11201-5425</v>
      </c>
      <c r="AB3386" t="s">
        <v>78</v>
      </c>
      <c r="AC3386" t="s">
        <v>79</v>
      </c>
      <c r="AD3386" t="s">
        <v>75</v>
      </c>
      <c r="AE3386" t="s">
        <v>80</v>
      </c>
      <c r="AG3386" t="s">
        <v>81</v>
      </c>
    </row>
    <row r="3387" spans="1:33" x14ac:dyDescent="0.25">
      <c r="A3387" t="str">
        <f>"1720385446"</f>
        <v>1720385446</v>
      </c>
      <c r="B3387" t="str">
        <f>"03788901"</f>
        <v>03788901</v>
      </c>
      <c r="C3387" t="s">
        <v>19071</v>
      </c>
      <c r="D3387" t="s">
        <v>19072</v>
      </c>
      <c r="E3387" t="s">
        <v>19073</v>
      </c>
      <c r="G3387" t="s">
        <v>13504</v>
      </c>
      <c r="H3387" t="s">
        <v>13505</v>
      </c>
      <c r="J3387" t="s">
        <v>13506</v>
      </c>
      <c r="L3387" t="s">
        <v>102</v>
      </c>
      <c r="M3387" t="s">
        <v>75</v>
      </c>
      <c r="R3387" t="s">
        <v>19074</v>
      </c>
      <c r="W3387" t="s">
        <v>19073</v>
      </c>
      <c r="X3387" t="s">
        <v>202</v>
      </c>
      <c r="Y3387" t="s">
        <v>87</v>
      </c>
      <c r="Z3387" t="s">
        <v>77</v>
      </c>
      <c r="AA3387" t="str">
        <f>"11201-5425"</f>
        <v>11201-5425</v>
      </c>
      <c r="AB3387" t="s">
        <v>78</v>
      </c>
      <c r="AC3387" t="s">
        <v>79</v>
      </c>
      <c r="AD3387" t="s">
        <v>75</v>
      </c>
      <c r="AE3387" t="s">
        <v>80</v>
      </c>
      <c r="AG3387" t="s">
        <v>81</v>
      </c>
    </row>
    <row r="3388" spans="1:33" x14ac:dyDescent="0.25">
      <c r="A3388" t="str">
        <f>"1205123783"</f>
        <v>1205123783</v>
      </c>
      <c r="B3388" t="str">
        <f>"03788878"</f>
        <v>03788878</v>
      </c>
      <c r="C3388" t="s">
        <v>19075</v>
      </c>
      <c r="D3388" t="s">
        <v>19076</v>
      </c>
      <c r="E3388" t="s">
        <v>19077</v>
      </c>
      <c r="G3388" t="s">
        <v>13504</v>
      </c>
      <c r="H3388" t="s">
        <v>13505</v>
      </c>
      <c r="J3388" t="s">
        <v>13506</v>
      </c>
      <c r="L3388" t="s">
        <v>83</v>
      </c>
      <c r="M3388" t="s">
        <v>75</v>
      </c>
      <c r="R3388" t="s">
        <v>19078</v>
      </c>
      <c r="W3388" t="s">
        <v>19078</v>
      </c>
      <c r="X3388" t="s">
        <v>17217</v>
      </c>
      <c r="Y3388" t="s">
        <v>87</v>
      </c>
      <c r="Z3388" t="s">
        <v>77</v>
      </c>
      <c r="AA3388" t="str">
        <f>"11201-5465"</f>
        <v>11201-5465</v>
      </c>
      <c r="AB3388" t="s">
        <v>78</v>
      </c>
      <c r="AC3388" t="s">
        <v>79</v>
      </c>
      <c r="AD3388" t="s">
        <v>75</v>
      </c>
      <c r="AE3388" t="s">
        <v>80</v>
      </c>
      <c r="AG3388" t="s">
        <v>81</v>
      </c>
    </row>
    <row r="3389" spans="1:33" x14ac:dyDescent="0.25">
      <c r="A3389" t="str">
        <f>"1164799508"</f>
        <v>1164799508</v>
      </c>
      <c r="B3389" t="str">
        <f>"03787831"</f>
        <v>03787831</v>
      </c>
      <c r="C3389" t="s">
        <v>19079</v>
      </c>
      <c r="D3389" t="s">
        <v>19080</v>
      </c>
      <c r="E3389" t="s">
        <v>19081</v>
      </c>
      <c r="G3389" t="s">
        <v>13504</v>
      </c>
      <c r="H3389" t="s">
        <v>13505</v>
      </c>
      <c r="J3389" t="s">
        <v>13506</v>
      </c>
      <c r="L3389" t="s">
        <v>74</v>
      </c>
      <c r="M3389" t="s">
        <v>75</v>
      </c>
      <c r="R3389" t="s">
        <v>19082</v>
      </c>
      <c r="W3389" t="s">
        <v>19081</v>
      </c>
      <c r="X3389" t="s">
        <v>202</v>
      </c>
      <c r="Y3389" t="s">
        <v>87</v>
      </c>
      <c r="Z3389" t="s">
        <v>77</v>
      </c>
      <c r="AA3389" t="str">
        <f>"11201-5425"</f>
        <v>11201-5425</v>
      </c>
      <c r="AB3389" t="s">
        <v>78</v>
      </c>
      <c r="AC3389" t="s">
        <v>79</v>
      </c>
      <c r="AD3389" t="s">
        <v>75</v>
      </c>
      <c r="AE3389" t="s">
        <v>80</v>
      </c>
      <c r="AG3389" t="s">
        <v>81</v>
      </c>
    </row>
    <row r="3390" spans="1:33" x14ac:dyDescent="0.25">
      <c r="A3390" t="str">
        <f>"1932483823"</f>
        <v>1932483823</v>
      </c>
      <c r="B3390" t="str">
        <f>"03813412"</f>
        <v>03813412</v>
      </c>
      <c r="C3390" t="s">
        <v>19083</v>
      </c>
      <c r="D3390" t="s">
        <v>19084</v>
      </c>
      <c r="E3390" t="s">
        <v>19085</v>
      </c>
      <c r="G3390" t="s">
        <v>13504</v>
      </c>
      <c r="H3390" t="s">
        <v>13505</v>
      </c>
      <c r="J3390" t="s">
        <v>13506</v>
      </c>
      <c r="L3390" t="s">
        <v>74</v>
      </c>
      <c r="M3390" t="s">
        <v>75</v>
      </c>
      <c r="R3390" t="s">
        <v>19086</v>
      </c>
      <c r="W3390" t="s">
        <v>19085</v>
      </c>
      <c r="X3390" t="s">
        <v>202</v>
      </c>
      <c r="Y3390" t="s">
        <v>87</v>
      </c>
      <c r="Z3390" t="s">
        <v>77</v>
      </c>
      <c r="AA3390" t="str">
        <f>"11201-5425"</f>
        <v>11201-5425</v>
      </c>
      <c r="AB3390" t="s">
        <v>78</v>
      </c>
      <c r="AC3390" t="s">
        <v>79</v>
      </c>
      <c r="AD3390" t="s">
        <v>75</v>
      </c>
      <c r="AE3390" t="s">
        <v>80</v>
      </c>
      <c r="AG3390" t="s">
        <v>81</v>
      </c>
    </row>
    <row r="3391" spans="1:33" x14ac:dyDescent="0.25">
      <c r="A3391" t="str">
        <f>"1245570324"</f>
        <v>1245570324</v>
      </c>
      <c r="B3391" t="str">
        <f>"04400395"</f>
        <v>04400395</v>
      </c>
      <c r="C3391" t="s">
        <v>15237</v>
      </c>
      <c r="D3391" t="s">
        <v>1109</v>
      </c>
      <c r="E3391" t="s">
        <v>1110</v>
      </c>
      <c r="G3391" t="s">
        <v>13504</v>
      </c>
      <c r="H3391" t="s">
        <v>13505</v>
      </c>
      <c r="J3391" t="s">
        <v>13506</v>
      </c>
      <c r="L3391" t="s">
        <v>74</v>
      </c>
      <c r="M3391" t="s">
        <v>75</v>
      </c>
      <c r="R3391" t="s">
        <v>1111</v>
      </c>
      <c r="W3391" t="s">
        <v>1110</v>
      </c>
      <c r="X3391" t="s">
        <v>150</v>
      </c>
      <c r="Y3391" t="s">
        <v>87</v>
      </c>
      <c r="Z3391" t="s">
        <v>77</v>
      </c>
      <c r="AA3391" t="str">
        <f>"11212-3139"</f>
        <v>11212-3139</v>
      </c>
      <c r="AB3391" t="s">
        <v>78</v>
      </c>
      <c r="AC3391" t="s">
        <v>79</v>
      </c>
      <c r="AD3391" t="s">
        <v>75</v>
      </c>
      <c r="AE3391" t="s">
        <v>80</v>
      </c>
      <c r="AG3391" t="s">
        <v>81</v>
      </c>
    </row>
    <row r="3392" spans="1:33" x14ac:dyDescent="0.25">
      <c r="A3392" t="str">
        <f>"1851557375"</f>
        <v>1851557375</v>
      </c>
      <c r="B3392" t="str">
        <f>"03078159"</f>
        <v>03078159</v>
      </c>
      <c r="C3392" t="s">
        <v>19087</v>
      </c>
      <c r="D3392" t="s">
        <v>2014</v>
      </c>
      <c r="E3392" t="s">
        <v>2015</v>
      </c>
      <c r="G3392" t="s">
        <v>19087</v>
      </c>
      <c r="H3392" t="s">
        <v>19088</v>
      </c>
      <c r="L3392" t="s">
        <v>74</v>
      </c>
      <c r="M3392" t="s">
        <v>75</v>
      </c>
      <c r="R3392" t="s">
        <v>2013</v>
      </c>
      <c r="W3392" t="s">
        <v>2015</v>
      </c>
      <c r="X3392" t="s">
        <v>2016</v>
      </c>
      <c r="Y3392" t="s">
        <v>2017</v>
      </c>
      <c r="Z3392" t="s">
        <v>77</v>
      </c>
      <c r="AA3392" t="str">
        <f>"11769-1652"</f>
        <v>11769-1652</v>
      </c>
      <c r="AB3392" t="s">
        <v>78</v>
      </c>
      <c r="AC3392" t="s">
        <v>79</v>
      </c>
      <c r="AD3392" t="s">
        <v>75</v>
      </c>
      <c r="AE3392" t="s">
        <v>80</v>
      </c>
      <c r="AG3392" t="s">
        <v>81</v>
      </c>
    </row>
    <row r="3393" spans="1:33" x14ac:dyDescent="0.25">
      <c r="A3393" t="str">
        <f>"1780996983"</f>
        <v>1780996983</v>
      </c>
      <c r="B3393" t="str">
        <f>"03377144"</f>
        <v>03377144</v>
      </c>
      <c r="C3393" t="s">
        <v>19089</v>
      </c>
      <c r="D3393" t="s">
        <v>2019</v>
      </c>
      <c r="E3393" t="s">
        <v>2020</v>
      </c>
      <c r="G3393" t="s">
        <v>19089</v>
      </c>
      <c r="H3393" t="s">
        <v>17720</v>
      </c>
      <c r="L3393" t="s">
        <v>84</v>
      </c>
      <c r="M3393" t="s">
        <v>85</v>
      </c>
      <c r="R3393" t="s">
        <v>2018</v>
      </c>
      <c r="W3393" t="s">
        <v>2020</v>
      </c>
      <c r="X3393" t="s">
        <v>2021</v>
      </c>
      <c r="Y3393" t="s">
        <v>140</v>
      </c>
      <c r="Z3393" t="s">
        <v>77</v>
      </c>
      <c r="AA3393" t="str">
        <f>"11772-2004"</f>
        <v>11772-2004</v>
      </c>
      <c r="AB3393" t="s">
        <v>78</v>
      </c>
      <c r="AC3393" t="s">
        <v>79</v>
      </c>
      <c r="AD3393" t="s">
        <v>75</v>
      </c>
      <c r="AE3393" t="s">
        <v>80</v>
      </c>
      <c r="AG3393" t="s">
        <v>81</v>
      </c>
    </row>
    <row r="3394" spans="1:33" x14ac:dyDescent="0.25">
      <c r="A3394" t="str">
        <f>"1205267440"</f>
        <v>1205267440</v>
      </c>
      <c r="C3394" t="s">
        <v>19090</v>
      </c>
      <c r="G3394" t="s">
        <v>16280</v>
      </c>
      <c r="H3394" t="s">
        <v>16281</v>
      </c>
      <c r="J3394" t="s">
        <v>16282</v>
      </c>
      <c r="K3394" t="s">
        <v>99</v>
      </c>
      <c r="L3394" t="s">
        <v>102</v>
      </c>
      <c r="M3394" t="s">
        <v>75</v>
      </c>
      <c r="R3394" t="s">
        <v>19091</v>
      </c>
      <c r="S3394" t="s">
        <v>5322</v>
      </c>
      <c r="T3394" t="s">
        <v>97</v>
      </c>
      <c r="U3394" t="s">
        <v>77</v>
      </c>
      <c r="V3394" t="str">
        <f>"100112019"</f>
        <v>100112019</v>
      </c>
      <c r="AC3394" t="s">
        <v>79</v>
      </c>
      <c r="AD3394" t="s">
        <v>75</v>
      </c>
      <c r="AE3394" t="s">
        <v>103</v>
      </c>
      <c r="AG3394" t="s">
        <v>81</v>
      </c>
    </row>
    <row r="3395" spans="1:33" x14ac:dyDescent="0.25">
      <c r="A3395" t="str">
        <f>"1194147967"</f>
        <v>1194147967</v>
      </c>
      <c r="C3395" t="s">
        <v>19092</v>
      </c>
      <c r="G3395" t="s">
        <v>16280</v>
      </c>
      <c r="H3395" t="s">
        <v>16281</v>
      </c>
      <c r="J3395" t="s">
        <v>16282</v>
      </c>
      <c r="K3395" t="s">
        <v>99</v>
      </c>
      <c r="L3395" t="s">
        <v>102</v>
      </c>
      <c r="M3395" t="s">
        <v>75</v>
      </c>
      <c r="R3395" t="s">
        <v>19093</v>
      </c>
      <c r="S3395" t="s">
        <v>19094</v>
      </c>
      <c r="T3395" t="s">
        <v>97</v>
      </c>
      <c r="U3395" t="s">
        <v>77</v>
      </c>
      <c r="V3395" t="str">
        <f>"100274990"</f>
        <v>100274990</v>
      </c>
      <c r="AC3395" t="s">
        <v>79</v>
      </c>
      <c r="AD3395" t="s">
        <v>75</v>
      </c>
      <c r="AE3395" t="s">
        <v>103</v>
      </c>
      <c r="AG3395" t="s">
        <v>81</v>
      </c>
    </row>
    <row r="3396" spans="1:33" x14ac:dyDescent="0.25">
      <c r="A3396" t="str">
        <f>"1689095010"</f>
        <v>1689095010</v>
      </c>
      <c r="C3396" t="s">
        <v>19095</v>
      </c>
      <c r="G3396" t="s">
        <v>16280</v>
      </c>
      <c r="H3396" t="s">
        <v>16281</v>
      </c>
      <c r="J3396" t="s">
        <v>16282</v>
      </c>
      <c r="K3396" t="s">
        <v>99</v>
      </c>
      <c r="L3396" t="s">
        <v>74</v>
      </c>
      <c r="M3396" t="s">
        <v>75</v>
      </c>
      <c r="R3396" t="s">
        <v>19096</v>
      </c>
      <c r="S3396" t="s">
        <v>5322</v>
      </c>
      <c r="T3396" t="s">
        <v>97</v>
      </c>
      <c r="U3396" t="s">
        <v>77</v>
      </c>
      <c r="V3396" t="str">
        <f>"100112019"</f>
        <v>100112019</v>
      </c>
      <c r="AC3396" t="s">
        <v>79</v>
      </c>
      <c r="AD3396" t="s">
        <v>75</v>
      </c>
      <c r="AE3396" t="s">
        <v>103</v>
      </c>
      <c r="AG3396" t="s">
        <v>81</v>
      </c>
    </row>
    <row r="3397" spans="1:33" x14ac:dyDescent="0.25">
      <c r="A3397" t="str">
        <f>"1710142096"</f>
        <v>1710142096</v>
      </c>
      <c r="B3397" t="str">
        <f>"03047505"</f>
        <v>03047505</v>
      </c>
      <c r="C3397" t="s">
        <v>13436</v>
      </c>
      <c r="D3397" t="s">
        <v>19097</v>
      </c>
      <c r="E3397" t="s">
        <v>19098</v>
      </c>
      <c r="G3397" t="s">
        <v>19099</v>
      </c>
      <c r="L3397" t="s">
        <v>74</v>
      </c>
      <c r="M3397" t="s">
        <v>85</v>
      </c>
      <c r="R3397" t="s">
        <v>19100</v>
      </c>
      <c r="W3397" t="s">
        <v>19098</v>
      </c>
      <c r="X3397" t="s">
        <v>191</v>
      </c>
      <c r="Y3397" t="s">
        <v>97</v>
      </c>
      <c r="Z3397" t="s">
        <v>77</v>
      </c>
      <c r="AA3397" t="str">
        <f>"10019-1147"</f>
        <v>10019-1147</v>
      </c>
      <c r="AB3397" t="s">
        <v>78</v>
      </c>
      <c r="AC3397" t="s">
        <v>79</v>
      </c>
      <c r="AD3397" t="s">
        <v>75</v>
      </c>
      <c r="AE3397" t="s">
        <v>80</v>
      </c>
      <c r="AG3397" t="s">
        <v>81</v>
      </c>
    </row>
    <row r="3398" spans="1:33" x14ac:dyDescent="0.25">
      <c r="A3398" t="str">
        <f>"1710993811"</f>
        <v>1710993811</v>
      </c>
      <c r="C3398" t="s">
        <v>13436</v>
      </c>
      <c r="G3398" t="s">
        <v>19101</v>
      </c>
      <c r="K3398" t="s">
        <v>99</v>
      </c>
      <c r="L3398" t="s">
        <v>102</v>
      </c>
      <c r="M3398" t="s">
        <v>85</v>
      </c>
      <c r="R3398" t="s">
        <v>19102</v>
      </c>
      <c r="S3398" t="s">
        <v>15939</v>
      </c>
      <c r="T3398" t="s">
        <v>97</v>
      </c>
      <c r="U3398" t="s">
        <v>77</v>
      </c>
      <c r="V3398" t="str">
        <f>"10019"</f>
        <v>10019</v>
      </c>
      <c r="AC3398" t="s">
        <v>79</v>
      </c>
      <c r="AD3398" t="s">
        <v>75</v>
      </c>
      <c r="AE3398" t="s">
        <v>103</v>
      </c>
      <c r="AG3398" t="s">
        <v>81</v>
      </c>
    </row>
    <row r="3399" spans="1:33" x14ac:dyDescent="0.25">
      <c r="A3399" t="str">
        <f>"1720024136"</f>
        <v>1720024136</v>
      </c>
      <c r="B3399" t="str">
        <f>"01236382"</f>
        <v>01236382</v>
      </c>
      <c r="C3399" t="s">
        <v>13436</v>
      </c>
      <c r="D3399" t="s">
        <v>19103</v>
      </c>
      <c r="E3399" t="s">
        <v>19104</v>
      </c>
      <c r="G3399" t="s">
        <v>19105</v>
      </c>
      <c r="L3399" t="s">
        <v>84</v>
      </c>
      <c r="M3399" t="s">
        <v>85</v>
      </c>
      <c r="R3399" t="s">
        <v>19106</v>
      </c>
      <c r="W3399" t="s">
        <v>19104</v>
      </c>
      <c r="X3399" t="s">
        <v>19107</v>
      </c>
      <c r="Y3399" t="s">
        <v>97</v>
      </c>
      <c r="Z3399" t="s">
        <v>77</v>
      </c>
      <c r="AA3399" t="str">
        <f>"10003-4319"</f>
        <v>10003-4319</v>
      </c>
      <c r="AB3399" t="s">
        <v>78</v>
      </c>
      <c r="AC3399" t="s">
        <v>79</v>
      </c>
      <c r="AD3399" t="s">
        <v>75</v>
      </c>
      <c r="AE3399" t="s">
        <v>80</v>
      </c>
      <c r="AG3399" t="s">
        <v>81</v>
      </c>
    </row>
    <row r="3400" spans="1:33" x14ac:dyDescent="0.25">
      <c r="A3400" t="str">
        <f>"1902064124"</f>
        <v>1902064124</v>
      </c>
      <c r="B3400" t="str">
        <f>"03347844"</f>
        <v>03347844</v>
      </c>
      <c r="C3400" t="s">
        <v>13436</v>
      </c>
      <c r="D3400" t="s">
        <v>19108</v>
      </c>
      <c r="E3400" t="s">
        <v>19109</v>
      </c>
      <c r="G3400" t="s">
        <v>19110</v>
      </c>
      <c r="L3400" t="s">
        <v>83</v>
      </c>
      <c r="M3400" t="s">
        <v>85</v>
      </c>
      <c r="R3400" t="s">
        <v>19111</v>
      </c>
      <c r="W3400" t="s">
        <v>19109</v>
      </c>
      <c r="X3400" t="s">
        <v>5771</v>
      </c>
      <c r="Y3400" t="s">
        <v>97</v>
      </c>
      <c r="Z3400" t="s">
        <v>77</v>
      </c>
      <c r="AA3400" t="str">
        <f>"10003-3314"</f>
        <v>10003-3314</v>
      </c>
      <c r="AB3400" t="s">
        <v>78</v>
      </c>
      <c r="AC3400" t="s">
        <v>79</v>
      </c>
      <c r="AD3400" t="s">
        <v>75</v>
      </c>
      <c r="AE3400" t="s">
        <v>80</v>
      </c>
      <c r="AG3400" t="s">
        <v>81</v>
      </c>
    </row>
    <row r="3401" spans="1:33" x14ac:dyDescent="0.25">
      <c r="A3401" t="str">
        <f>"1902882327"</f>
        <v>1902882327</v>
      </c>
      <c r="B3401" t="str">
        <f>"02710034"</f>
        <v>02710034</v>
      </c>
      <c r="C3401" t="s">
        <v>13436</v>
      </c>
      <c r="D3401" t="s">
        <v>19112</v>
      </c>
      <c r="E3401" t="s">
        <v>19113</v>
      </c>
      <c r="G3401" t="s">
        <v>19114</v>
      </c>
      <c r="L3401" t="s">
        <v>83</v>
      </c>
      <c r="M3401" t="s">
        <v>85</v>
      </c>
      <c r="R3401" t="s">
        <v>19115</v>
      </c>
      <c r="W3401" t="s">
        <v>19113</v>
      </c>
      <c r="X3401" t="s">
        <v>181</v>
      </c>
      <c r="Y3401" t="s">
        <v>97</v>
      </c>
      <c r="Z3401" t="s">
        <v>77</v>
      </c>
      <c r="AA3401" t="str">
        <f>"10025-1716"</f>
        <v>10025-1716</v>
      </c>
      <c r="AB3401" t="s">
        <v>78</v>
      </c>
      <c r="AC3401" t="s">
        <v>79</v>
      </c>
      <c r="AD3401" t="s">
        <v>75</v>
      </c>
      <c r="AE3401" t="s">
        <v>80</v>
      </c>
      <c r="AG3401" t="s">
        <v>81</v>
      </c>
    </row>
    <row r="3402" spans="1:33" x14ac:dyDescent="0.25">
      <c r="A3402" t="str">
        <f>"1902887219"</f>
        <v>1902887219</v>
      </c>
      <c r="B3402" t="str">
        <f>"01025983"</f>
        <v>01025983</v>
      </c>
      <c r="C3402" t="s">
        <v>13436</v>
      </c>
      <c r="D3402" t="s">
        <v>19116</v>
      </c>
      <c r="E3402" t="s">
        <v>19117</v>
      </c>
      <c r="G3402" t="s">
        <v>19118</v>
      </c>
      <c r="L3402" t="s">
        <v>83</v>
      </c>
      <c r="M3402" t="s">
        <v>85</v>
      </c>
      <c r="R3402" t="s">
        <v>19119</v>
      </c>
      <c r="W3402" t="s">
        <v>19117</v>
      </c>
      <c r="X3402" t="s">
        <v>3553</v>
      </c>
      <c r="Y3402" t="s">
        <v>97</v>
      </c>
      <c r="Z3402" t="s">
        <v>77</v>
      </c>
      <c r="AA3402" t="str">
        <f>"10003-3851"</f>
        <v>10003-3851</v>
      </c>
      <c r="AB3402" t="s">
        <v>78</v>
      </c>
      <c r="AC3402" t="s">
        <v>79</v>
      </c>
      <c r="AD3402" t="s">
        <v>75</v>
      </c>
      <c r="AE3402" t="s">
        <v>80</v>
      </c>
      <c r="AG3402" t="s">
        <v>81</v>
      </c>
    </row>
    <row r="3403" spans="1:33" x14ac:dyDescent="0.25">
      <c r="A3403" t="str">
        <f>"1902927890"</f>
        <v>1902927890</v>
      </c>
      <c r="C3403" t="s">
        <v>13436</v>
      </c>
      <c r="G3403" t="s">
        <v>19120</v>
      </c>
      <c r="K3403" t="s">
        <v>99</v>
      </c>
      <c r="L3403" t="s">
        <v>102</v>
      </c>
      <c r="M3403" t="s">
        <v>85</v>
      </c>
      <c r="R3403" t="s">
        <v>19121</v>
      </c>
      <c r="S3403" t="s">
        <v>19122</v>
      </c>
      <c r="T3403" t="s">
        <v>97</v>
      </c>
      <c r="U3403" t="s">
        <v>77</v>
      </c>
      <c r="V3403" t="str">
        <f>"100191147"</f>
        <v>100191147</v>
      </c>
      <c r="AC3403" t="s">
        <v>79</v>
      </c>
      <c r="AD3403" t="s">
        <v>75</v>
      </c>
      <c r="AE3403" t="s">
        <v>103</v>
      </c>
      <c r="AG3403" t="s">
        <v>81</v>
      </c>
    </row>
    <row r="3404" spans="1:33" x14ac:dyDescent="0.25">
      <c r="A3404" t="str">
        <f>"1902976293"</f>
        <v>1902976293</v>
      </c>
      <c r="B3404" t="str">
        <f>"02913293"</f>
        <v>02913293</v>
      </c>
      <c r="C3404" t="s">
        <v>13436</v>
      </c>
      <c r="D3404" t="s">
        <v>19123</v>
      </c>
      <c r="E3404" t="s">
        <v>19124</v>
      </c>
      <c r="G3404" t="s">
        <v>19125</v>
      </c>
      <c r="L3404" t="s">
        <v>84</v>
      </c>
      <c r="M3404" t="s">
        <v>85</v>
      </c>
      <c r="R3404" t="s">
        <v>19126</v>
      </c>
      <c r="W3404" t="s">
        <v>19124</v>
      </c>
      <c r="X3404" t="s">
        <v>181</v>
      </c>
      <c r="Y3404" t="s">
        <v>97</v>
      </c>
      <c r="Z3404" t="s">
        <v>77</v>
      </c>
      <c r="AA3404" t="str">
        <f>"10025-1716"</f>
        <v>10025-1716</v>
      </c>
      <c r="AB3404" t="s">
        <v>78</v>
      </c>
      <c r="AC3404" t="s">
        <v>79</v>
      </c>
      <c r="AD3404" t="s">
        <v>75</v>
      </c>
      <c r="AE3404" t="s">
        <v>80</v>
      </c>
      <c r="AG3404" t="s">
        <v>81</v>
      </c>
    </row>
    <row r="3405" spans="1:33" x14ac:dyDescent="0.25">
      <c r="A3405" t="str">
        <f>"1912009358"</f>
        <v>1912009358</v>
      </c>
      <c r="B3405" t="str">
        <f>"02178605"</f>
        <v>02178605</v>
      </c>
      <c r="C3405" t="s">
        <v>13436</v>
      </c>
      <c r="D3405" t="s">
        <v>19127</v>
      </c>
      <c r="E3405" t="s">
        <v>19128</v>
      </c>
      <c r="G3405" t="s">
        <v>19129</v>
      </c>
      <c r="L3405" t="s">
        <v>74</v>
      </c>
      <c r="M3405" t="s">
        <v>85</v>
      </c>
      <c r="R3405" t="s">
        <v>19130</v>
      </c>
      <c r="W3405" t="s">
        <v>19128</v>
      </c>
      <c r="X3405" t="s">
        <v>19131</v>
      </c>
      <c r="Y3405" t="s">
        <v>441</v>
      </c>
      <c r="Z3405" t="s">
        <v>77</v>
      </c>
      <c r="AA3405" t="str">
        <f>"10538-3907"</f>
        <v>10538-3907</v>
      </c>
      <c r="AB3405" t="s">
        <v>78</v>
      </c>
      <c r="AC3405" t="s">
        <v>79</v>
      </c>
      <c r="AD3405" t="s">
        <v>75</v>
      </c>
      <c r="AE3405" t="s">
        <v>80</v>
      </c>
      <c r="AG3405" t="s">
        <v>81</v>
      </c>
    </row>
    <row r="3406" spans="1:33" x14ac:dyDescent="0.25">
      <c r="A3406" t="str">
        <f>"1912044942"</f>
        <v>1912044942</v>
      </c>
      <c r="B3406" t="str">
        <f>"03846646"</f>
        <v>03846646</v>
      </c>
      <c r="C3406" t="s">
        <v>13436</v>
      </c>
      <c r="D3406" t="s">
        <v>19132</v>
      </c>
      <c r="E3406" t="s">
        <v>19133</v>
      </c>
      <c r="G3406" t="s">
        <v>19134</v>
      </c>
      <c r="L3406" t="s">
        <v>102</v>
      </c>
      <c r="M3406" t="s">
        <v>85</v>
      </c>
      <c r="R3406" t="s">
        <v>19133</v>
      </c>
      <c r="W3406" t="s">
        <v>19135</v>
      </c>
      <c r="X3406" t="s">
        <v>1076</v>
      </c>
      <c r="Y3406" t="s">
        <v>97</v>
      </c>
      <c r="Z3406" t="s">
        <v>77</v>
      </c>
      <c r="AA3406" t="str">
        <f>"10025-1737"</f>
        <v>10025-1737</v>
      </c>
      <c r="AB3406" t="s">
        <v>78</v>
      </c>
      <c r="AC3406" t="s">
        <v>79</v>
      </c>
      <c r="AD3406" t="s">
        <v>75</v>
      </c>
      <c r="AE3406" t="s">
        <v>80</v>
      </c>
      <c r="AG3406" t="s">
        <v>81</v>
      </c>
    </row>
    <row r="3407" spans="1:33" x14ac:dyDescent="0.25">
      <c r="A3407" t="str">
        <f>"1912066283"</f>
        <v>1912066283</v>
      </c>
      <c r="B3407" t="str">
        <f>"02967802"</f>
        <v>02967802</v>
      </c>
      <c r="C3407" t="s">
        <v>13436</v>
      </c>
      <c r="D3407" t="s">
        <v>19136</v>
      </c>
      <c r="E3407" t="s">
        <v>19137</v>
      </c>
      <c r="G3407" t="s">
        <v>19138</v>
      </c>
      <c r="L3407" t="s">
        <v>74</v>
      </c>
      <c r="M3407" t="s">
        <v>85</v>
      </c>
      <c r="R3407" t="s">
        <v>19139</v>
      </c>
      <c r="W3407" t="s">
        <v>19140</v>
      </c>
      <c r="X3407" t="s">
        <v>2587</v>
      </c>
      <c r="Y3407" t="s">
        <v>97</v>
      </c>
      <c r="Z3407" t="s">
        <v>77</v>
      </c>
      <c r="AA3407" t="str">
        <f>"10003-3314"</f>
        <v>10003-3314</v>
      </c>
      <c r="AB3407" t="s">
        <v>78</v>
      </c>
      <c r="AC3407" t="s">
        <v>79</v>
      </c>
      <c r="AD3407" t="s">
        <v>75</v>
      </c>
      <c r="AE3407" t="s">
        <v>80</v>
      </c>
      <c r="AG3407" t="s">
        <v>81</v>
      </c>
    </row>
    <row r="3408" spans="1:33" x14ac:dyDescent="0.25">
      <c r="A3408" t="str">
        <f>"1912066820"</f>
        <v>1912066820</v>
      </c>
      <c r="B3408" t="str">
        <f>"01298237"</f>
        <v>01298237</v>
      </c>
      <c r="C3408" t="s">
        <v>13436</v>
      </c>
      <c r="D3408" t="s">
        <v>19141</v>
      </c>
      <c r="E3408" t="s">
        <v>19142</v>
      </c>
      <c r="G3408" t="s">
        <v>19143</v>
      </c>
      <c r="L3408" t="s">
        <v>94</v>
      </c>
      <c r="M3408" t="s">
        <v>85</v>
      </c>
      <c r="R3408" t="s">
        <v>19144</v>
      </c>
      <c r="W3408" t="s">
        <v>19142</v>
      </c>
      <c r="X3408" t="s">
        <v>1333</v>
      </c>
      <c r="Y3408" t="s">
        <v>97</v>
      </c>
      <c r="Z3408" t="s">
        <v>77</v>
      </c>
      <c r="AA3408" t="str">
        <f>"10025"</f>
        <v>10025</v>
      </c>
      <c r="AB3408" t="s">
        <v>78</v>
      </c>
      <c r="AC3408" t="s">
        <v>79</v>
      </c>
      <c r="AD3408" t="s">
        <v>75</v>
      </c>
      <c r="AE3408" t="s">
        <v>80</v>
      </c>
      <c r="AG3408" t="s">
        <v>81</v>
      </c>
    </row>
    <row r="3409" spans="1:33" x14ac:dyDescent="0.25">
      <c r="A3409" t="str">
        <f>"1912098187"</f>
        <v>1912098187</v>
      </c>
      <c r="B3409" t="str">
        <f>"02098502"</f>
        <v>02098502</v>
      </c>
      <c r="C3409" t="s">
        <v>13436</v>
      </c>
      <c r="D3409" t="s">
        <v>19145</v>
      </c>
      <c r="E3409" t="s">
        <v>19146</v>
      </c>
      <c r="G3409" t="s">
        <v>19147</v>
      </c>
      <c r="L3409" t="s">
        <v>74</v>
      </c>
      <c r="M3409" t="s">
        <v>85</v>
      </c>
      <c r="R3409" t="s">
        <v>19148</v>
      </c>
      <c r="W3409" t="s">
        <v>19146</v>
      </c>
      <c r="X3409" t="s">
        <v>14807</v>
      </c>
      <c r="Y3409" t="s">
        <v>97</v>
      </c>
      <c r="Z3409" t="s">
        <v>77</v>
      </c>
      <c r="AA3409" t="str">
        <f>"10128-7603"</f>
        <v>10128-7603</v>
      </c>
      <c r="AB3409" t="s">
        <v>78</v>
      </c>
      <c r="AC3409" t="s">
        <v>79</v>
      </c>
      <c r="AD3409" t="s">
        <v>75</v>
      </c>
      <c r="AE3409" t="s">
        <v>80</v>
      </c>
      <c r="AG3409" t="s">
        <v>81</v>
      </c>
    </row>
    <row r="3410" spans="1:33" x14ac:dyDescent="0.25">
      <c r="A3410" t="str">
        <f>"1912160953"</f>
        <v>1912160953</v>
      </c>
      <c r="B3410" t="str">
        <f>"03031110"</f>
        <v>03031110</v>
      </c>
      <c r="C3410" t="s">
        <v>13436</v>
      </c>
      <c r="D3410" t="s">
        <v>19149</v>
      </c>
      <c r="E3410" t="s">
        <v>19150</v>
      </c>
      <c r="G3410" t="s">
        <v>19151</v>
      </c>
      <c r="L3410" t="s">
        <v>74</v>
      </c>
      <c r="M3410" t="s">
        <v>85</v>
      </c>
      <c r="R3410" t="s">
        <v>19150</v>
      </c>
      <c r="W3410" t="s">
        <v>19152</v>
      </c>
      <c r="X3410" t="s">
        <v>19153</v>
      </c>
      <c r="Y3410" t="s">
        <v>97</v>
      </c>
      <c r="Z3410" t="s">
        <v>77</v>
      </c>
      <c r="AA3410" t="str">
        <f>"10003-3851"</f>
        <v>10003-3851</v>
      </c>
      <c r="AB3410" t="s">
        <v>78</v>
      </c>
      <c r="AC3410" t="s">
        <v>79</v>
      </c>
      <c r="AD3410" t="s">
        <v>75</v>
      </c>
      <c r="AE3410" t="s">
        <v>80</v>
      </c>
      <c r="AG3410" t="s">
        <v>81</v>
      </c>
    </row>
    <row r="3411" spans="1:33" x14ac:dyDescent="0.25">
      <c r="A3411" t="str">
        <f>"1912168782"</f>
        <v>1912168782</v>
      </c>
      <c r="B3411" t="str">
        <f>"03363311"</f>
        <v>03363311</v>
      </c>
      <c r="C3411" t="s">
        <v>13436</v>
      </c>
      <c r="D3411" t="s">
        <v>19154</v>
      </c>
      <c r="E3411" t="s">
        <v>19155</v>
      </c>
      <c r="G3411" t="s">
        <v>19156</v>
      </c>
      <c r="L3411" t="s">
        <v>74</v>
      </c>
      <c r="M3411" t="s">
        <v>85</v>
      </c>
      <c r="R3411" t="s">
        <v>19157</v>
      </c>
      <c r="W3411" t="s">
        <v>19155</v>
      </c>
      <c r="X3411" t="s">
        <v>3553</v>
      </c>
      <c r="Y3411" t="s">
        <v>97</v>
      </c>
      <c r="Z3411" t="s">
        <v>77</v>
      </c>
      <c r="AA3411" t="str">
        <f>"10003-3851"</f>
        <v>10003-3851</v>
      </c>
      <c r="AB3411" t="s">
        <v>78</v>
      </c>
      <c r="AC3411" t="s">
        <v>79</v>
      </c>
      <c r="AD3411" t="s">
        <v>75</v>
      </c>
      <c r="AE3411" t="s">
        <v>80</v>
      </c>
      <c r="AG3411" t="s">
        <v>81</v>
      </c>
    </row>
    <row r="3412" spans="1:33" x14ac:dyDescent="0.25">
      <c r="A3412" t="str">
        <f>"1124071022"</f>
        <v>1124071022</v>
      </c>
      <c r="B3412" t="str">
        <f>"00229956"</f>
        <v>00229956</v>
      </c>
      <c r="C3412" t="s">
        <v>13436</v>
      </c>
      <c r="D3412" t="s">
        <v>19158</v>
      </c>
      <c r="E3412" t="s">
        <v>19159</v>
      </c>
      <c r="G3412" t="s">
        <v>19160</v>
      </c>
      <c r="L3412" t="s">
        <v>83</v>
      </c>
      <c r="M3412" t="s">
        <v>85</v>
      </c>
      <c r="R3412" t="s">
        <v>19161</v>
      </c>
      <c r="W3412" t="s">
        <v>19162</v>
      </c>
      <c r="X3412" t="s">
        <v>19163</v>
      </c>
      <c r="Y3412" t="s">
        <v>97</v>
      </c>
      <c r="Z3412" t="s">
        <v>77</v>
      </c>
      <c r="AA3412" t="str">
        <f>"10025-1737"</f>
        <v>10025-1737</v>
      </c>
      <c r="AB3412" t="s">
        <v>78</v>
      </c>
      <c r="AC3412" t="s">
        <v>79</v>
      </c>
      <c r="AD3412" t="s">
        <v>75</v>
      </c>
      <c r="AE3412" t="s">
        <v>80</v>
      </c>
      <c r="AG3412" t="s">
        <v>81</v>
      </c>
    </row>
    <row r="3413" spans="1:33" x14ac:dyDescent="0.25">
      <c r="A3413" t="str">
        <f>"1124100318"</f>
        <v>1124100318</v>
      </c>
      <c r="B3413" t="str">
        <f>"01618491"</f>
        <v>01618491</v>
      </c>
      <c r="C3413" t="s">
        <v>13436</v>
      </c>
      <c r="D3413" t="s">
        <v>3577</v>
      </c>
      <c r="E3413" t="s">
        <v>3578</v>
      </c>
      <c r="G3413" t="s">
        <v>19164</v>
      </c>
      <c r="L3413" t="s">
        <v>84</v>
      </c>
      <c r="M3413" t="s">
        <v>85</v>
      </c>
      <c r="R3413" t="s">
        <v>3579</v>
      </c>
      <c r="W3413" t="s">
        <v>3579</v>
      </c>
      <c r="X3413" t="s">
        <v>261</v>
      </c>
      <c r="Y3413" t="s">
        <v>97</v>
      </c>
      <c r="Z3413" t="s">
        <v>77</v>
      </c>
      <c r="AA3413" t="str">
        <f>"10003-2255"</f>
        <v>10003-2255</v>
      </c>
      <c r="AB3413" t="s">
        <v>78</v>
      </c>
      <c r="AC3413" t="s">
        <v>79</v>
      </c>
      <c r="AD3413" t="s">
        <v>75</v>
      </c>
      <c r="AE3413" t="s">
        <v>80</v>
      </c>
      <c r="AG3413" t="s">
        <v>81</v>
      </c>
    </row>
    <row r="3414" spans="1:33" x14ac:dyDescent="0.25">
      <c r="A3414" t="str">
        <f>"1124108295"</f>
        <v>1124108295</v>
      </c>
      <c r="B3414" t="str">
        <f>"01456817"</f>
        <v>01456817</v>
      </c>
      <c r="C3414" t="s">
        <v>13436</v>
      </c>
      <c r="D3414" t="s">
        <v>19165</v>
      </c>
      <c r="E3414" t="s">
        <v>19166</v>
      </c>
      <c r="G3414" t="s">
        <v>19167</v>
      </c>
      <c r="L3414" t="s">
        <v>83</v>
      </c>
      <c r="M3414" t="s">
        <v>85</v>
      </c>
      <c r="R3414" t="s">
        <v>19168</v>
      </c>
      <c r="W3414" t="s">
        <v>19168</v>
      </c>
      <c r="X3414" t="s">
        <v>19169</v>
      </c>
      <c r="Y3414" t="s">
        <v>97</v>
      </c>
      <c r="Z3414" t="s">
        <v>77</v>
      </c>
      <c r="AA3414" t="str">
        <f>"10010-5517"</f>
        <v>10010-5517</v>
      </c>
      <c r="AB3414" t="s">
        <v>78</v>
      </c>
      <c r="AC3414" t="s">
        <v>79</v>
      </c>
      <c r="AD3414" t="s">
        <v>75</v>
      </c>
      <c r="AE3414" t="s">
        <v>80</v>
      </c>
      <c r="AG3414" t="s">
        <v>81</v>
      </c>
    </row>
    <row r="3415" spans="1:33" x14ac:dyDescent="0.25">
      <c r="A3415" t="str">
        <f>"1245498278"</f>
        <v>1245498278</v>
      </c>
      <c r="B3415" t="str">
        <f>"03116772"</f>
        <v>03116772</v>
      </c>
      <c r="C3415" t="s">
        <v>19170</v>
      </c>
      <c r="D3415" t="s">
        <v>19171</v>
      </c>
      <c r="E3415" t="s">
        <v>19172</v>
      </c>
      <c r="G3415" t="s">
        <v>13504</v>
      </c>
      <c r="H3415" t="s">
        <v>13505</v>
      </c>
      <c r="J3415" t="s">
        <v>13506</v>
      </c>
      <c r="L3415" t="s">
        <v>83</v>
      </c>
      <c r="M3415" t="s">
        <v>75</v>
      </c>
      <c r="R3415" t="s">
        <v>19173</v>
      </c>
      <c r="W3415" t="s">
        <v>19174</v>
      </c>
      <c r="X3415" t="s">
        <v>6019</v>
      </c>
      <c r="Y3415" t="s">
        <v>91</v>
      </c>
      <c r="Z3415" t="s">
        <v>77</v>
      </c>
      <c r="AA3415" t="str">
        <f>"11373-1329"</f>
        <v>11373-1329</v>
      </c>
      <c r="AB3415" t="s">
        <v>78</v>
      </c>
      <c r="AC3415" t="s">
        <v>79</v>
      </c>
      <c r="AD3415" t="s">
        <v>75</v>
      </c>
      <c r="AE3415" t="s">
        <v>80</v>
      </c>
      <c r="AG3415" t="s">
        <v>81</v>
      </c>
    </row>
    <row r="3416" spans="1:33" x14ac:dyDescent="0.25">
      <c r="A3416" t="str">
        <f>"1497913842"</f>
        <v>1497913842</v>
      </c>
      <c r="B3416" t="str">
        <f>"03123255"</f>
        <v>03123255</v>
      </c>
      <c r="C3416" t="s">
        <v>19175</v>
      </c>
      <c r="D3416" t="s">
        <v>19176</v>
      </c>
      <c r="E3416" t="s">
        <v>19177</v>
      </c>
      <c r="G3416" t="s">
        <v>13504</v>
      </c>
      <c r="H3416" t="s">
        <v>13505</v>
      </c>
      <c r="J3416" t="s">
        <v>13506</v>
      </c>
      <c r="L3416" t="s">
        <v>83</v>
      </c>
      <c r="M3416" t="s">
        <v>85</v>
      </c>
      <c r="R3416" t="s">
        <v>19178</v>
      </c>
      <c r="W3416" t="s">
        <v>19179</v>
      </c>
      <c r="X3416" t="s">
        <v>202</v>
      </c>
      <c r="Y3416" t="s">
        <v>87</v>
      </c>
      <c r="Z3416" t="s">
        <v>77</v>
      </c>
      <c r="AA3416" t="str">
        <f>"11201-5425"</f>
        <v>11201-5425</v>
      </c>
      <c r="AB3416" t="s">
        <v>78</v>
      </c>
      <c r="AC3416" t="s">
        <v>79</v>
      </c>
      <c r="AD3416" t="s">
        <v>75</v>
      </c>
      <c r="AE3416" t="s">
        <v>80</v>
      </c>
      <c r="AG3416" t="s">
        <v>81</v>
      </c>
    </row>
    <row r="3417" spans="1:33" x14ac:dyDescent="0.25">
      <c r="A3417" t="str">
        <f>"1508046871"</f>
        <v>1508046871</v>
      </c>
      <c r="B3417" t="str">
        <f>"02967682"</f>
        <v>02967682</v>
      </c>
      <c r="C3417" t="s">
        <v>19180</v>
      </c>
      <c r="D3417" t="s">
        <v>19181</v>
      </c>
      <c r="E3417" t="s">
        <v>4699</v>
      </c>
      <c r="G3417" t="s">
        <v>13504</v>
      </c>
      <c r="H3417" t="s">
        <v>13505</v>
      </c>
      <c r="J3417" t="s">
        <v>13506</v>
      </c>
      <c r="L3417" t="s">
        <v>83</v>
      </c>
      <c r="M3417" t="s">
        <v>75</v>
      </c>
      <c r="R3417" t="s">
        <v>19182</v>
      </c>
      <c r="W3417" t="s">
        <v>19183</v>
      </c>
      <c r="X3417" t="s">
        <v>6079</v>
      </c>
      <c r="Y3417" t="s">
        <v>97</v>
      </c>
      <c r="Z3417" t="s">
        <v>77</v>
      </c>
      <c r="AA3417" t="str">
        <f>"10016-4974"</f>
        <v>10016-4974</v>
      </c>
      <c r="AB3417" t="s">
        <v>78</v>
      </c>
      <c r="AC3417" t="s">
        <v>79</v>
      </c>
      <c r="AD3417" t="s">
        <v>75</v>
      </c>
      <c r="AE3417" t="s">
        <v>80</v>
      </c>
      <c r="AG3417" t="s">
        <v>81</v>
      </c>
    </row>
    <row r="3418" spans="1:33" x14ac:dyDescent="0.25">
      <c r="A3418" t="str">
        <f>"1922213032"</f>
        <v>1922213032</v>
      </c>
      <c r="B3418" t="str">
        <f>"02887254"</f>
        <v>02887254</v>
      </c>
      <c r="C3418" t="s">
        <v>19184</v>
      </c>
      <c r="D3418" t="s">
        <v>19185</v>
      </c>
      <c r="E3418" t="s">
        <v>19186</v>
      </c>
      <c r="G3418" t="s">
        <v>13504</v>
      </c>
      <c r="H3418" t="s">
        <v>13505</v>
      </c>
      <c r="J3418" t="s">
        <v>13506</v>
      </c>
      <c r="L3418" t="s">
        <v>83</v>
      </c>
      <c r="M3418" t="s">
        <v>75</v>
      </c>
      <c r="R3418" t="s">
        <v>19187</v>
      </c>
      <c r="W3418" t="s">
        <v>19186</v>
      </c>
      <c r="X3418" t="s">
        <v>202</v>
      </c>
      <c r="Y3418" t="s">
        <v>87</v>
      </c>
      <c r="Z3418" t="s">
        <v>77</v>
      </c>
      <c r="AA3418" t="str">
        <f>"11201-5425"</f>
        <v>11201-5425</v>
      </c>
      <c r="AB3418" t="s">
        <v>78</v>
      </c>
      <c r="AC3418" t="s">
        <v>79</v>
      </c>
      <c r="AD3418" t="s">
        <v>75</v>
      </c>
      <c r="AE3418" t="s">
        <v>80</v>
      </c>
      <c r="AG3418" t="s">
        <v>81</v>
      </c>
    </row>
    <row r="3419" spans="1:33" x14ac:dyDescent="0.25">
      <c r="A3419" t="str">
        <f>"1699732925"</f>
        <v>1699732925</v>
      </c>
      <c r="B3419" t="str">
        <f>"03266566"</f>
        <v>03266566</v>
      </c>
      <c r="C3419" t="s">
        <v>19188</v>
      </c>
      <c r="D3419" t="s">
        <v>4609</v>
      </c>
      <c r="E3419" t="s">
        <v>4610</v>
      </c>
      <c r="G3419" t="s">
        <v>13504</v>
      </c>
      <c r="H3419" t="s">
        <v>13505</v>
      </c>
      <c r="J3419" t="s">
        <v>13506</v>
      </c>
      <c r="L3419" t="s">
        <v>83</v>
      </c>
      <c r="M3419" t="s">
        <v>75</v>
      </c>
      <c r="R3419" t="s">
        <v>4611</v>
      </c>
      <c r="W3419" t="s">
        <v>4612</v>
      </c>
      <c r="X3419" t="s">
        <v>1740</v>
      </c>
      <c r="Y3419" t="s">
        <v>1741</v>
      </c>
      <c r="Z3419" t="s">
        <v>77</v>
      </c>
      <c r="AA3419" t="str">
        <f>"12866-1003"</f>
        <v>12866-1003</v>
      </c>
      <c r="AB3419" t="s">
        <v>78</v>
      </c>
      <c r="AC3419" t="s">
        <v>79</v>
      </c>
      <c r="AD3419" t="s">
        <v>75</v>
      </c>
      <c r="AE3419" t="s">
        <v>80</v>
      </c>
      <c r="AG3419" t="s">
        <v>81</v>
      </c>
    </row>
    <row r="3420" spans="1:33" x14ac:dyDescent="0.25">
      <c r="A3420" t="str">
        <f>"1386658086"</f>
        <v>1386658086</v>
      </c>
      <c r="B3420" t="str">
        <f>"03523475"</f>
        <v>03523475</v>
      </c>
      <c r="C3420" t="s">
        <v>19189</v>
      </c>
      <c r="D3420" t="s">
        <v>19190</v>
      </c>
      <c r="E3420" t="s">
        <v>19191</v>
      </c>
      <c r="G3420" t="s">
        <v>7218</v>
      </c>
      <c r="H3420" t="s">
        <v>6801</v>
      </c>
      <c r="I3420">
        <v>6136</v>
      </c>
      <c r="J3420" t="s">
        <v>7219</v>
      </c>
      <c r="L3420" t="s">
        <v>105</v>
      </c>
      <c r="M3420" t="s">
        <v>75</v>
      </c>
      <c r="R3420" t="s">
        <v>19192</v>
      </c>
      <c r="W3420" t="s">
        <v>19191</v>
      </c>
      <c r="X3420" t="s">
        <v>9151</v>
      </c>
      <c r="Y3420" t="s">
        <v>97</v>
      </c>
      <c r="Z3420" t="s">
        <v>77</v>
      </c>
      <c r="AA3420" t="str">
        <f>"10001-2320"</f>
        <v>10001-2320</v>
      </c>
      <c r="AB3420" t="s">
        <v>125</v>
      </c>
      <c r="AC3420" t="s">
        <v>79</v>
      </c>
      <c r="AD3420" t="s">
        <v>75</v>
      </c>
      <c r="AE3420" t="s">
        <v>80</v>
      </c>
      <c r="AG3420" t="s">
        <v>81</v>
      </c>
    </row>
    <row r="3421" spans="1:33" x14ac:dyDescent="0.25">
      <c r="A3421" t="str">
        <f>"1154416642"</f>
        <v>1154416642</v>
      </c>
      <c r="B3421" t="str">
        <f>"00196272"</f>
        <v>00196272</v>
      </c>
      <c r="C3421" t="s">
        <v>13436</v>
      </c>
      <c r="D3421" t="s">
        <v>19193</v>
      </c>
      <c r="E3421" t="s">
        <v>19194</v>
      </c>
      <c r="G3421" t="s">
        <v>19195</v>
      </c>
      <c r="L3421" t="s">
        <v>74</v>
      </c>
      <c r="M3421" t="s">
        <v>85</v>
      </c>
      <c r="R3421" t="s">
        <v>19196</v>
      </c>
      <c r="W3421" t="s">
        <v>19194</v>
      </c>
      <c r="X3421" t="s">
        <v>610</v>
      </c>
      <c r="Y3421" t="s">
        <v>87</v>
      </c>
      <c r="Z3421" t="s">
        <v>77</v>
      </c>
      <c r="AA3421" t="str">
        <f>"11203-2056"</f>
        <v>11203-2056</v>
      </c>
      <c r="AB3421" t="s">
        <v>78</v>
      </c>
      <c r="AC3421" t="s">
        <v>79</v>
      </c>
      <c r="AD3421" t="s">
        <v>75</v>
      </c>
      <c r="AE3421" t="s">
        <v>80</v>
      </c>
      <c r="AG3421" t="s">
        <v>81</v>
      </c>
    </row>
    <row r="3422" spans="1:33" x14ac:dyDescent="0.25">
      <c r="A3422" t="str">
        <f>"1154429215"</f>
        <v>1154429215</v>
      </c>
      <c r="B3422" t="str">
        <f>"01681492"</f>
        <v>01681492</v>
      </c>
      <c r="C3422" t="s">
        <v>13436</v>
      </c>
      <c r="D3422" t="s">
        <v>740</v>
      </c>
      <c r="E3422" t="s">
        <v>741</v>
      </c>
      <c r="G3422" t="s">
        <v>19197</v>
      </c>
      <c r="L3422" t="s">
        <v>84</v>
      </c>
      <c r="M3422" t="s">
        <v>85</v>
      </c>
      <c r="R3422" t="s">
        <v>742</v>
      </c>
      <c r="W3422" t="s">
        <v>741</v>
      </c>
      <c r="X3422" t="s">
        <v>743</v>
      </c>
      <c r="Y3422" t="s">
        <v>97</v>
      </c>
      <c r="Z3422" t="s">
        <v>77</v>
      </c>
      <c r="AA3422" t="str">
        <f>"10037-2530"</f>
        <v>10037-2530</v>
      </c>
      <c r="AB3422" t="s">
        <v>78</v>
      </c>
      <c r="AC3422" t="s">
        <v>79</v>
      </c>
      <c r="AD3422" t="s">
        <v>75</v>
      </c>
      <c r="AE3422" t="s">
        <v>80</v>
      </c>
      <c r="AG3422" t="s">
        <v>81</v>
      </c>
    </row>
    <row r="3423" spans="1:33" x14ac:dyDescent="0.25">
      <c r="A3423" t="str">
        <f>"1154437283"</f>
        <v>1154437283</v>
      </c>
      <c r="B3423" t="str">
        <f>"01417110"</f>
        <v>01417110</v>
      </c>
      <c r="C3423" t="s">
        <v>13436</v>
      </c>
      <c r="D3423" t="s">
        <v>19198</v>
      </c>
      <c r="E3423" t="s">
        <v>19199</v>
      </c>
      <c r="G3423" t="s">
        <v>19200</v>
      </c>
      <c r="L3423" t="s">
        <v>83</v>
      </c>
      <c r="M3423" t="s">
        <v>85</v>
      </c>
      <c r="R3423" t="s">
        <v>19201</v>
      </c>
      <c r="W3423" t="s">
        <v>19199</v>
      </c>
      <c r="X3423" t="s">
        <v>19202</v>
      </c>
      <c r="Y3423" t="s">
        <v>95</v>
      </c>
      <c r="Z3423" t="s">
        <v>77</v>
      </c>
      <c r="AA3423" t="str">
        <f>"12208-3412"</f>
        <v>12208-3412</v>
      </c>
      <c r="AB3423" t="s">
        <v>78</v>
      </c>
      <c r="AC3423" t="s">
        <v>79</v>
      </c>
      <c r="AD3423" t="s">
        <v>75</v>
      </c>
      <c r="AE3423" t="s">
        <v>80</v>
      </c>
      <c r="AG3423" t="s">
        <v>81</v>
      </c>
    </row>
    <row r="3424" spans="1:33" x14ac:dyDescent="0.25">
      <c r="A3424" t="str">
        <f>"1154459030"</f>
        <v>1154459030</v>
      </c>
      <c r="B3424" t="str">
        <f>"01410159"</f>
        <v>01410159</v>
      </c>
      <c r="C3424" t="s">
        <v>13436</v>
      </c>
      <c r="D3424" t="s">
        <v>19203</v>
      </c>
      <c r="E3424" t="s">
        <v>19204</v>
      </c>
      <c r="G3424" t="s">
        <v>19205</v>
      </c>
      <c r="L3424" t="s">
        <v>84</v>
      </c>
      <c r="M3424" t="s">
        <v>85</v>
      </c>
      <c r="R3424" t="s">
        <v>19206</v>
      </c>
      <c r="W3424" t="s">
        <v>19204</v>
      </c>
      <c r="X3424" t="s">
        <v>19207</v>
      </c>
      <c r="Y3424" t="s">
        <v>97</v>
      </c>
      <c r="Z3424" t="s">
        <v>77</v>
      </c>
      <c r="AA3424" t="str">
        <f>"10003"</f>
        <v>10003</v>
      </c>
      <c r="AB3424" t="s">
        <v>78</v>
      </c>
      <c r="AC3424" t="s">
        <v>79</v>
      </c>
      <c r="AD3424" t="s">
        <v>75</v>
      </c>
      <c r="AE3424" t="s">
        <v>80</v>
      </c>
      <c r="AG3424" t="s">
        <v>81</v>
      </c>
    </row>
    <row r="3425" spans="1:33" x14ac:dyDescent="0.25">
      <c r="A3425" t="str">
        <f>"1154497642"</f>
        <v>1154497642</v>
      </c>
      <c r="B3425" t="str">
        <f>"01897281"</f>
        <v>01897281</v>
      </c>
      <c r="C3425" t="s">
        <v>13436</v>
      </c>
      <c r="D3425" t="s">
        <v>514</v>
      </c>
      <c r="E3425" t="s">
        <v>515</v>
      </c>
      <c r="G3425" t="s">
        <v>19208</v>
      </c>
      <c r="L3425" t="s">
        <v>84</v>
      </c>
      <c r="M3425" t="s">
        <v>85</v>
      </c>
      <c r="R3425" t="s">
        <v>516</v>
      </c>
      <c r="W3425" t="s">
        <v>517</v>
      </c>
      <c r="X3425" t="s">
        <v>518</v>
      </c>
      <c r="Y3425" t="s">
        <v>97</v>
      </c>
      <c r="Z3425" t="s">
        <v>77</v>
      </c>
      <c r="AA3425" t="str">
        <f>"10013-4615"</f>
        <v>10013-4615</v>
      </c>
      <c r="AB3425" t="s">
        <v>78</v>
      </c>
      <c r="AC3425" t="s">
        <v>79</v>
      </c>
      <c r="AD3425" t="s">
        <v>75</v>
      </c>
      <c r="AE3425" t="s">
        <v>80</v>
      </c>
      <c r="AG3425" t="s">
        <v>81</v>
      </c>
    </row>
    <row r="3426" spans="1:33" x14ac:dyDescent="0.25">
      <c r="A3426" t="str">
        <f>"1437232964"</f>
        <v>1437232964</v>
      </c>
      <c r="B3426" t="str">
        <f>"01750027"</f>
        <v>01750027</v>
      </c>
      <c r="C3426" t="s">
        <v>13436</v>
      </c>
      <c r="D3426" t="s">
        <v>19209</v>
      </c>
      <c r="E3426" t="s">
        <v>19210</v>
      </c>
      <c r="G3426" t="s">
        <v>19211</v>
      </c>
      <c r="L3426" t="s">
        <v>83</v>
      </c>
      <c r="M3426" t="s">
        <v>85</v>
      </c>
      <c r="R3426" t="s">
        <v>19212</v>
      </c>
      <c r="W3426" t="s">
        <v>19210</v>
      </c>
      <c r="X3426" t="s">
        <v>258</v>
      </c>
      <c r="Y3426" t="s">
        <v>131</v>
      </c>
      <c r="Z3426" t="s">
        <v>77</v>
      </c>
      <c r="AA3426" t="str">
        <f>"10467-2401"</f>
        <v>10467-2401</v>
      </c>
      <c r="AB3426" t="s">
        <v>78</v>
      </c>
      <c r="AC3426" t="s">
        <v>79</v>
      </c>
      <c r="AD3426" t="s">
        <v>75</v>
      </c>
      <c r="AE3426" t="s">
        <v>80</v>
      </c>
      <c r="AG3426" t="s">
        <v>81</v>
      </c>
    </row>
    <row r="3427" spans="1:33" x14ac:dyDescent="0.25">
      <c r="A3427" t="str">
        <f>"1447225891"</f>
        <v>1447225891</v>
      </c>
      <c r="B3427" t="str">
        <f>"02336267"</f>
        <v>02336267</v>
      </c>
      <c r="C3427" t="s">
        <v>13436</v>
      </c>
      <c r="D3427" t="s">
        <v>19213</v>
      </c>
      <c r="E3427" t="s">
        <v>19214</v>
      </c>
      <c r="G3427" t="s">
        <v>19215</v>
      </c>
      <c r="L3427" t="s">
        <v>84</v>
      </c>
      <c r="M3427" t="s">
        <v>85</v>
      </c>
      <c r="R3427" t="s">
        <v>19216</v>
      </c>
      <c r="W3427" t="s">
        <v>19214</v>
      </c>
      <c r="X3427" t="s">
        <v>19217</v>
      </c>
      <c r="Y3427" t="s">
        <v>97</v>
      </c>
      <c r="Z3427" t="s">
        <v>77</v>
      </c>
      <c r="AA3427" t="str">
        <f>"10010-7455"</f>
        <v>10010-7455</v>
      </c>
      <c r="AB3427" t="s">
        <v>78</v>
      </c>
      <c r="AC3427" t="s">
        <v>79</v>
      </c>
      <c r="AD3427" t="s">
        <v>75</v>
      </c>
      <c r="AE3427" t="s">
        <v>80</v>
      </c>
      <c r="AG3427" t="s">
        <v>81</v>
      </c>
    </row>
    <row r="3428" spans="1:33" x14ac:dyDescent="0.25">
      <c r="A3428" t="str">
        <f>"1447244900"</f>
        <v>1447244900</v>
      </c>
      <c r="B3428" t="str">
        <f>"02353717"</f>
        <v>02353717</v>
      </c>
      <c r="C3428" t="s">
        <v>13436</v>
      </c>
      <c r="D3428" t="s">
        <v>19218</v>
      </c>
      <c r="E3428" t="s">
        <v>19219</v>
      </c>
      <c r="G3428" t="s">
        <v>19220</v>
      </c>
      <c r="L3428" t="s">
        <v>74</v>
      </c>
      <c r="M3428" t="s">
        <v>85</v>
      </c>
      <c r="R3428" t="s">
        <v>19221</v>
      </c>
      <c r="W3428" t="s">
        <v>19219</v>
      </c>
      <c r="X3428" t="s">
        <v>4452</v>
      </c>
      <c r="Y3428" t="s">
        <v>97</v>
      </c>
      <c r="Z3428" t="s">
        <v>77</v>
      </c>
      <c r="AA3428" t="str">
        <f>"10023-5204"</f>
        <v>10023-5204</v>
      </c>
      <c r="AB3428" t="s">
        <v>78</v>
      </c>
      <c r="AC3428" t="s">
        <v>79</v>
      </c>
      <c r="AD3428" t="s">
        <v>75</v>
      </c>
      <c r="AE3428" t="s">
        <v>80</v>
      </c>
      <c r="AG3428" t="s">
        <v>81</v>
      </c>
    </row>
    <row r="3429" spans="1:33" x14ac:dyDescent="0.25">
      <c r="A3429" t="str">
        <f>"1447291968"</f>
        <v>1447291968</v>
      </c>
      <c r="B3429" t="str">
        <f>"01485249"</f>
        <v>01485249</v>
      </c>
      <c r="C3429" t="s">
        <v>13436</v>
      </c>
      <c r="D3429" t="s">
        <v>19222</v>
      </c>
      <c r="E3429" t="s">
        <v>19223</v>
      </c>
      <c r="G3429" t="s">
        <v>19224</v>
      </c>
      <c r="L3429" t="s">
        <v>83</v>
      </c>
      <c r="M3429" t="s">
        <v>85</v>
      </c>
      <c r="R3429" t="s">
        <v>19225</v>
      </c>
      <c r="W3429" t="s">
        <v>19223</v>
      </c>
      <c r="X3429" t="s">
        <v>7205</v>
      </c>
      <c r="Y3429" t="s">
        <v>97</v>
      </c>
      <c r="Z3429" t="s">
        <v>77</v>
      </c>
      <c r="AA3429" t="str">
        <f>"10128-6703"</f>
        <v>10128-6703</v>
      </c>
      <c r="AB3429" t="s">
        <v>78</v>
      </c>
      <c r="AC3429" t="s">
        <v>79</v>
      </c>
      <c r="AD3429" t="s">
        <v>75</v>
      </c>
      <c r="AE3429" t="s">
        <v>80</v>
      </c>
      <c r="AG3429" t="s">
        <v>81</v>
      </c>
    </row>
    <row r="3430" spans="1:33" x14ac:dyDescent="0.25">
      <c r="A3430" t="str">
        <f>"1447456231"</f>
        <v>1447456231</v>
      </c>
      <c r="B3430" t="str">
        <f>"02976869"</f>
        <v>02976869</v>
      </c>
      <c r="C3430" t="s">
        <v>13436</v>
      </c>
      <c r="D3430" t="s">
        <v>19226</v>
      </c>
      <c r="E3430" t="s">
        <v>19227</v>
      </c>
      <c r="G3430" t="s">
        <v>19228</v>
      </c>
      <c r="L3430" t="s">
        <v>83</v>
      </c>
      <c r="M3430" t="s">
        <v>85</v>
      </c>
      <c r="R3430" t="s">
        <v>19229</v>
      </c>
      <c r="W3430" t="s">
        <v>19229</v>
      </c>
      <c r="X3430" t="s">
        <v>995</v>
      </c>
      <c r="Y3430" t="s">
        <v>97</v>
      </c>
      <c r="Z3430" t="s">
        <v>77</v>
      </c>
      <c r="AA3430" t="str">
        <f>"10013-4554"</f>
        <v>10013-4554</v>
      </c>
      <c r="AB3430" t="s">
        <v>78</v>
      </c>
      <c r="AC3430" t="s">
        <v>79</v>
      </c>
      <c r="AD3430" t="s">
        <v>75</v>
      </c>
      <c r="AE3430" t="s">
        <v>80</v>
      </c>
      <c r="AG3430" t="s">
        <v>81</v>
      </c>
    </row>
    <row r="3431" spans="1:33" x14ac:dyDescent="0.25">
      <c r="A3431" t="str">
        <f>"1457311920"</f>
        <v>1457311920</v>
      </c>
      <c r="B3431" t="str">
        <f>"02049769"</f>
        <v>02049769</v>
      </c>
      <c r="C3431" t="s">
        <v>13436</v>
      </c>
      <c r="D3431" t="s">
        <v>19230</v>
      </c>
      <c r="E3431" t="s">
        <v>19231</v>
      </c>
      <c r="G3431" t="s">
        <v>19232</v>
      </c>
      <c r="L3431" t="s">
        <v>84</v>
      </c>
      <c r="M3431" t="s">
        <v>85</v>
      </c>
      <c r="R3431" t="s">
        <v>19233</v>
      </c>
      <c r="W3431" t="s">
        <v>19231</v>
      </c>
      <c r="X3431" t="s">
        <v>19234</v>
      </c>
      <c r="Y3431" t="s">
        <v>87</v>
      </c>
      <c r="Z3431" t="s">
        <v>77</v>
      </c>
      <c r="AA3431" t="str">
        <f>"11213-2421"</f>
        <v>11213-2421</v>
      </c>
      <c r="AB3431" t="s">
        <v>78</v>
      </c>
      <c r="AC3431" t="s">
        <v>79</v>
      </c>
      <c r="AD3431" t="s">
        <v>75</v>
      </c>
      <c r="AE3431" t="s">
        <v>80</v>
      </c>
      <c r="AG3431" t="s">
        <v>81</v>
      </c>
    </row>
    <row r="3432" spans="1:33" x14ac:dyDescent="0.25">
      <c r="A3432" t="str">
        <f>"1457390171"</f>
        <v>1457390171</v>
      </c>
      <c r="B3432" t="str">
        <f>"02150118"</f>
        <v>02150118</v>
      </c>
      <c r="C3432" t="s">
        <v>13436</v>
      </c>
      <c r="D3432" t="s">
        <v>19235</v>
      </c>
      <c r="E3432" t="s">
        <v>19236</v>
      </c>
      <c r="G3432" t="s">
        <v>19237</v>
      </c>
      <c r="L3432" t="s">
        <v>83</v>
      </c>
      <c r="M3432" t="s">
        <v>85</v>
      </c>
      <c r="R3432" t="s">
        <v>19238</v>
      </c>
      <c r="W3432" t="s">
        <v>19236</v>
      </c>
      <c r="X3432" t="s">
        <v>591</v>
      </c>
      <c r="Y3432" t="s">
        <v>97</v>
      </c>
      <c r="Z3432" t="s">
        <v>77</v>
      </c>
      <c r="AA3432" t="str">
        <f>"10032-3720"</f>
        <v>10032-3720</v>
      </c>
      <c r="AB3432" t="s">
        <v>78</v>
      </c>
      <c r="AC3432" t="s">
        <v>79</v>
      </c>
      <c r="AD3432" t="s">
        <v>75</v>
      </c>
      <c r="AE3432" t="s">
        <v>80</v>
      </c>
      <c r="AG3432" t="s">
        <v>81</v>
      </c>
    </row>
    <row r="3433" spans="1:33" x14ac:dyDescent="0.25">
      <c r="A3433" t="str">
        <f>"1457411472"</f>
        <v>1457411472</v>
      </c>
      <c r="B3433" t="str">
        <f>"00867689"</f>
        <v>00867689</v>
      </c>
      <c r="C3433" t="s">
        <v>13436</v>
      </c>
      <c r="D3433" t="s">
        <v>19239</v>
      </c>
      <c r="E3433" t="s">
        <v>19240</v>
      </c>
      <c r="G3433" t="s">
        <v>19241</v>
      </c>
      <c r="L3433" t="s">
        <v>83</v>
      </c>
      <c r="M3433" t="s">
        <v>85</v>
      </c>
      <c r="R3433" t="s">
        <v>19242</v>
      </c>
      <c r="W3433" t="s">
        <v>19243</v>
      </c>
      <c r="X3433" t="s">
        <v>537</v>
      </c>
      <c r="Y3433" t="s">
        <v>97</v>
      </c>
      <c r="Z3433" t="s">
        <v>77</v>
      </c>
      <c r="AA3433" t="str">
        <f>"10011-8305"</f>
        <v>10011-8305</v>
      </c>
      <c r="AB3433" t="s">
        <v>78</v>
      </c>
      <c r="AC3433" t="s">
        <v>79</v>
      </c>
      <c r="AD3433" t="s">
        <v>75</v>
      </c>
      <c r="AE3433" t="s">
        <v>80</v>
      </c>
      <c r="AG3433" t="s">
        <v>81</v>
      </c>
    </row>
    <row r="3434" spans="1:33" x14ac:dyDescent="0.25">
      <c r="A3434" t="str">
        <f>"1457423956"</f>
        <v>1457423956</v>
      </c>
      <c r="B3434" t="str">
        <f>"02982901"</f>
        <v>02982901</v>
      </c>
      <c r="C3434" t="s">
        <v>13436</v>
      </c>
      <c r="D3434" t="s">
        <v>19244</v>
      </c>
      <c r="E3434" t="s">
        <v>19245</v>
      </c>
      <c r="G3434" t="s">
        <v>19246</v>
      </c>
      <c r="L3434" t="s">
        <v>83</v>
      </c>
      <c r="M3434" t="s">
        <v>85</v>
      </c>
      <c r="R3434" t="s">
        <v>19247</v>
      </c>
      <c r="W3434" t="s">
        <v>19248</v>
      </c>
      <c r="X3434" t="s">
        <v>19249</v>
      </c>
      <c r="Y3434" t="s">
        <v>97</v>
      </c>
      <c r="Z3434" t="s">
        <v>77</v>
      </c>
      <c r="AA3434" t="str">
        <f>"10003"</f>
        <v>10003</v>
      </c>
      <c r="AB3434" t="s">
        <v>78</v>
      </c>
      <c r="AC3434" t="s">
        <v>79</v>
      </c>
      <c r="AD3434" t="s">
        <v>75</v>
      </c>
      <c r="AE3434" t="s">
        <v>80</v>
      </c>
      <c r="AG3434" t="s">
        <v>81</v>
      </c>
    </row>
    <row r="3435" spans="1:33" x14ac:dyDescent="0.25">
      <c r="A3435" t="str">
        <f>"1104890565"</f>
        <v>1104890565</v>
      </c>
      <c r="B3435" t="str">
        <f>"02620886"</f>
        <v>02620886</v>
      </c>
      <c r="C3435" t="s">
        <v>13436</v>
      </c>
      <c r="D3435" t="s">
        <v>19250</v>
      </c>
      <c r="E3435" t="s">
        <v>19251</v>
      </c>
      <c r="G3435" t="s">
        <v>19252</v>
      </c>
      <c r="L3435" t="s">
        <v>83</v>
      </c>
      <c r="M3435" t="s">
        <v>85</v>
      </c>
      <c r="R3435" t="s">
        <v>19253</v>
      </c>
      <c r="W3435" t="s">
        <v>19251</v>
      </c>
      <c r="X3435" t="s">
        <v>19254</v>
      </c>
      <c r="Y3435" t="s">
        <v>180</v>
      </c>
      <c r="Z3435" t="s">
        <v>77</v>
      </c>
      <c r="AA3435" t="str">
        <f>"10710-2427"</f>
        <v>10710-2427</v>
      </c>
      <c r="AB3435" t="s">
        <v>78</v>
      </c>
      <c r="AC3435" t="s">
        <v>79</v>
      </c>
      <c r="AD3435" t="s">
        <v>75</v>
      </c>
      <c r="AE3435" t="s">
        <v>80</v>
      </c>
      <c r="AG3435" t="s">
        <v>81</v>
      </c>
    </row>
    <row r="3436" spans="1:33" x14ac:dyDescent="0.25">
      <c r="A3436" t="str">
        <f>"1114008059"</f>
        <v>1114008059</v>
      </c>
      <c r="B3436" t="str">
        <f>"01725075"</f>
        <v>01725075</v>
      </c>
      <c r="C3436" t="s">
        <v>13436</v>
      </c>
      <c r="D3436" t="s">
        <v>19255</v>
      </c>
      <c r="E3436" t="s">
        <v>19256</v>
      </c>
      <c r="G3436" t="s">
        <v>19257</v>
      </c>
      <c r="L3436" t="s">
        <v>74</v>
      </c>
      <c r="M3436" t="s">
        <v>85</v>
      </c>
      <c r="R3436" t="s">
        <v>19258</v>
      </c>
      <c r="W3436" t="s">
        <v>19256</v>
      </c>
      <c r="X3436" t="s">
        <v>19259</v>
      </c>
      <c r="Y3436" t="s">
        <v>97</v>
      </c>
      <c r="Z3436" t="s">
        <v>77</v>
      </c>
      <c r="AA3436" t="str">
        <f>"10019-1108"</f>
        <v>10019-1108</v>
      </c>
      <c r="AB3436" t="s">
        <v>78</v>
      </c>
      <c r="AC3436" t="s">
        <v>79</v>
      </c>
      <c r="AD3436" t="s">
        <v>75</v>
      </c>
      <c r="AE3436" t="s">
        <v>80</v>
      </c>
      <c r="AG3436" t="s">
        <v>81</v>
      </c>
    </row>
    <row r="3437" spans="1:33" x14ac:dyDescent="0.25">
      <c r="A3437" t="str">
        <f>"1699868562"</f>
        <v>1699868562</v>
      </c>
      <c r="B3437" t="str">
        <f>"02207427"</f>
        <v>02207427</v>
      </c>
      <c r="C3437" t="s">
        <v>13436</v>
      </c>
      <c r="D3437" t="s">
        <v>19260</v>
      </c>
      <c r="E3437" t="s">
        <v>19261</v>
      </c>
      <c r="G3437" t="s">
        <v>19262</v>
      </c>
      <c r="L3437" t="s">
        <v>83</v>
      </c>
      <c r="M3437" t="s">
        <v>85</v>
      </c>
      <c r="R3437" t="s">
        <v>19263</v>
      </c>
      <c r="W3437" t="s">
        <v>19261</v>
      </c>
      <c r="X3437" t="s">
        <v>191</v>
      </c>
      <c r="Y3437" t="s">
        <v>97</v>
      </c>
      <c r="Z3437" t="s">
        <v>77</v>
      </c>
      <c r="AA3437" t="str">
        <f>"10019-1147"</f>
        <v>10019-1147</v>
      </c>
      <c r="AB3437" t="s">
        <v>78</v>
      </c>
      <c r="AC3437" t="s">
        <v>79</v>
      </c>
      <c r="AD3437" t="s">
        <v>75</v>
      </c>
      <c r="AE3437" t="s">
        <v>80</v>
      </c>
      <c r="AG3437" t="s">
        <v>81</v>
      </c>
    </row>
    <row r="3438" spans="1:33" x14ac:dyDescent="0.25">
      <c r="A3438" t="str">
        <f>"1699882886"</f>
        <v>1699882886</v>
      </c>
      <c r="B3438" t="str">
        <f>"00181475"</f>
        <v>00181475</v>
      </c>
      <c r="C3438" t="s">
        <v>13436</v>
      </c>
      <c r="D3438" t="s">
        <v>19264</v>
      </c>
      <c r="E3438" t="s">
        <v>19265</v>
      </c>
      <c r="G3438" t="s">
        <v>19266</v>
      </c>
      <c r="L3438" t="s">
        <v>105</v>
      </c>
      <c r="M3438" t="s">
        <v>85</v>
      </c>
      <c r="R3438" t="s">
        <v>19267</v>
      </c>
      <c r="W3438" t="s">
        <v>19268</v>
      </c>
      <c r="X3438" t="s">
        <v>19269</v>
      </c>
      <c r="Y3438" t="s">
        <v>97</v>
      </c>
      <c r="Z3438" t="s">
        <v>77</v>
      </c>
      <c r="AA3438" t="str">
        <f>"10024-4933"</f>
        <v>10024-4933</v>
      </c>
      <c r="AB3438" t="s">
        <v>78</v>
      </c>
      <c r="AC3438" t="s">
        <v>79</v>
      </c>
      <c r="AD3438" t="s">
        <v>75</v>
      </c>
      <c r="AE3438" t="s">
        <v>80</v>
      </c>
      <c r="AG3438" t="s">
        <v>81</v>
      </c>
    </row>
    <row r="3439" spans="1:33" x14ac:dyDescent="0.25">
      <c r="A3439" t="str">
        <f>"1508181306"</f>
        <v>1508181306</v>
      </c>
      <c r="C3439" t="s">
        <v>13436</v>
      </c>
      <c r="K3439" t="s">
        <v>99</v>
      </c>
      <c r="L3439" t="s">
        <v>102</v>
      </c>
      <c r="M3439" t="s">
        <v>75</v>
      </c>
      <c r="R3439" t="s">
        <v>19270</v>
      </c>
      <c r="S3439" t="s">
        <v>4622</v>
      </c>
      <c r="T3439" t="s">
        <v>4522</v>
      </c>
      <c r="U3439" t="s">
        <v>739</v>
      </c>
      <c r="V3439" t="str">
        <f>"441061716"</f>
        <v>441061716</v>
      </c>
      <c r="AC3439" t="s">
        <v>79</v>
      </c>
      <c r="AD3439" t="s">
        <v>75</v>
      </c>
      <c r="AE3439" t="s">
        <v>103</v>
      </c>
      <c r="AG3439" t="s">
        <v>81</v>
      </c>
    </row>
    <row r="3440" spans="1:33" x14ac:dyDescent="0.25">
      <c r="A3440" t="str">
        <f>"1508182296"</f>
        <v>1508182296</v>
      </c>
      <c r="C3440" t="s">
        <v>13436</v>
      </c>
      <c r="K3440" t="s">
        <v>99</v>
      </c>
      <c r="L3440" t="s">
        <v>102</v>
      </c>
      <c r="M3440" t="s">
        <v>75</v>
      </c>
      <c r="R3440" t="s">
        <v>19271</v>
      </c>
      <c r="S3440" t="s">
        <v>19272</v>
      </c>
      <c r="T3440" t="s">
        <v>19273</v>
      </c>
      <c r="U3440" t="s">
        <v>1784</v>
      </c>
      <c r="V3440" t="str">
        <f>"189741634"</f>
        <v>189741634</v>
      </c>
      <c r="AC3440" t="s">
        <v>79</v>
      </c>
      <c r="AD3440" t="s">
        <v>75</v>
      </c>
      <c r="AE3440" t="s">
        <v>103</v>
      </c>
      <c r="AG3440" t="s">
        <v>81</v>
      </c>
    </row>
    <row r="3441" spans="1:33" x14ac:dyDescent="0.25">
      <c r="A3441" t="str">
        <f>"1588009229"</f>
        <v>1588009229</v>
      </c>
      <c r="C3441" t="s">
        <v>13436</v>
      </c>
      <c r="K3441" t="s">
        <v>99</v>
      </c>
      <c r="L3441" t="s">
        <v>102</v>
      </c>
      <c r="M3441" t="s">
        <v>75</v>
      </c>
      <c r="R3441" t="s">
        <v>19274</v>
      </c>
      <c r="S3441" t="s">
        <v>19275</v>
      </c>
      <c r="T3441" t="s">
        <v>4646</v>
      </c>
      <c r="U3441" t="s">
        <v>4647</v>
      </c>
      <c r="V3441" t="str">
        <f>"303221059"</f>
        <v>303221059</v>
      </c>
      <c r="AC3441" t="s">
        <v>79</v>
      </c>
      <c r="AD3441" t="s">
        <v>75</v>
      </c>
      <c r="AE3441" t="s">
        <v>103</v>
      </c>
      <c r="AG3441" t="s">
        <v>81</v>
      </c>
    </row>
    <row r="3442" spans="1:33" x14ac:dyDescent="0.25">
      <c r="A3442" t="str">
        <f>"1154503183"</f>
        <v>1154503183</v>
      </c>
      <c r="B3442" t="str">
        <f>"03992032"</f>
        <v>03992032</v>
      </c>
      <c r="C3442" t="s">
        <v>13436</v>
      </c>
      <c r="D3442" t="s">
        <v>19276</v>
      </c>
      <c r="E3442" t="s">
        <v>19277</v>
      </c>
      <c r="L3442" t="s">
        <v>74</v>
      </c>
      <c r="M3442" t="s">
        <v>75</v>
      </c>
      <c r="R3442" t="s">
        <v>19277</v>
      </c>
      <c r="W3442" t="s">
        <v>19277</v>
      </c>
      <c r="X3442" t="s">
        <v>234</v>
      </c>
      <c r="Y3442" t="s">
        <v>97</v>
      </c>
      <c r="Z3442" t="s">
        <v>77</v>
      </c>
      <c r="AA3442" t="str">
        <f>"10032-3729"</f>
        <v>10032-3729</v>
      </c>
      <c r="AB3442" t="s">
        <v>78</v>
      </c>
      <c r="AC3442" t="s">
        <v>79</v>
      </c>
      <c r="AD3442" t="s">
        <v>75</v>
      </c>
      <c r="AE3442" t="s">
        <v>80</v>
      </c>
      <c r="AG3442" t="s">
        <v>81</v>
      </c>
    </row>
    <row r="3443" spans="1:33" x14ac:dyDescent="0.25">
      <c r="A3443" t="str">
        <f>"1871700500"</f>
        <v>1871700500</v>
      </c>
      <c r="B3443" t="str">
        <f>"02906325"</f>
        <v>02906325</v>
      </c>
      <c r="C3443" t="s">
        <v>13436</v>
      </c>
      <c r="D3443" t="s">
        <v>19278</v>
      </c>
      <c r="E3443" t="s">
        <v>19279</v>
      </c>
      <c r="G3443" t="s">
        <v>19280</v>
      </c>
      <c r="L3443" t="s">
        <v>83</v>
      </c>
      <c r="M3443" t="s">
        <v>85</v>
      </c>
      <c r="R3443" t="s">
        <v>19281</v>
      </c>
      <c r="W3443" t="s">
        <v>19282</v>
      </c>
      <c r="X3443" t="s">
        <v>2587</v>
      </c>
      <c r="Y3443" t="s">
        <v>97</v>
      </c>
      <c r="Z3443" t="s">
        <v>77</v>
      </c>
      <c r="AA3443" t="str">
        <f>"10003-3314"</f>
        <v>10003-3314</v>
      </c>
      <c r="AB3443" t="s">
        <v>78</v>
      </c>
      <c r="AC3443" t="s">
        <v>79</v>
      </c>
      <c r="AD3443" t="s">
        <v>75</v>
      </c>
      <c r="AE3443" t="s">
        <v>80</v>
      </c>
      <c r="AG3443" t="s">
        <v>81</v>
      </c>
    </row>
    <row r="3444" spans="1:33" x14ac:dyDescent="0.25">
      <c r="A3444" t="str">
        <f>"1093715633"</f>
        <v>1093715633</v>
      </c>
      <c r="B3444" t="str">
        <f>"01477669"</f>
        <v>01477669</v>
      </c>
      <c r="C3444" t="s">
        <v>19283</v>
      </c>
      <c r="D3444" t="s">
        <v>2023</v>
      </c>
      <c r="E3444" t="s">
        <v>2024</v>
      </c>
      <c r="G3444" t="s">
        <v>19283</v>
      </c>
      <c r="H3444" t="s">
        <v>19284</v>
      </c>
      <c r="L3444" t="s">
        <v>83</v>
      </c>
      <c r="M3444" t="s">
        <v>75</v>
      </c>
      <c r="R3444" t="s">
        <v>2022</v>
      </c>
      <c r="W3444" t="s">
        <v>2024</v>
      </c>
      <c r="X3444" t="s">
        <v>2025</v>
      </c>
      <c r="Y3444" t="s">
        <v>230</v>
      </c>
      <c r="Z3444" t="s">
        <v>77</v>
      </c>
      <c r="AA3444" t="str">
        <f>"11795-4429"</f>
        <v>11795-4429</v>
      </c>
      <c r="AB3444" t="s">
        <v>128</v>
      </c>
      <c r="AC3444" t="s">
        <v>79</v>
      </c>
      <c r="AD3444" t="s">
        <v>75</v>
      </c>
      <c r="AE3444" t="s">
        <v>80</v>
      </c>
      <c r="AG3444" t="s">
        <v>81</v>
      </c>
    </row>
    <row r="3445" spans="1:33" x14ac:dyDescent="0.25">
      <c r="A3445" t="str">
        <f>"1871691659"</f>
        <v>1871691659</v>
      </c>
      <c r="B3445" t="str">
        <f>"02522425"</f>
        <v>02522425</v>
      </c>
      <c r="C3445" t="s">
        <v>19285</v>
      </c>
      <c r="D3445" t="s">
        <v>2027</v>
      </c>
      <c r="E3445" t="s">
        <v>2028</v>
      </c>
      <c r="G3445" t="s">
        <v>19285</v>
      </c>
      <c r="H3445" t="s">
        <v>19286</v>
      </c>
      <c r="L3445" t="s">
        <v>84</v>
      </c>
      <c r="M3445" t="s">
        <v>75</v>
      </c>
      <c r="R3445" t="s">
        <v>2026</v>
      </c>
      <c r="W3445" t="s">
        <v>2029</v>
      </c>
      <c r="X3445" t="s">
        <v>2030</v>
      </c>
      <c r="Y3445" t="s">
        <v>140</v>
      </c>
      <c r="Z3445" t="s">
        <v>77</v>
      </c>
      <c r="AA3445" t="str">
        <f>"11772-2631"</f>
        <v>11772-2631</v>
      </c>
      <c r="AB3445" t="s">
        <v>78</v>
      </c>
      <c r="AC3445" t="s">
        <v>79</v>
      </c>
      <c r="AD3445" t="s">
        <v>75</v>
      </c>
      <c r="AE3445" t="s">
        <v>80</v>
      </c>
      <c r="AG3445" t="s">
        <v>81</v>
      </c>
    </row>
    <row r="3446" spans="1:33" x14ac:dyDescent="0.25">
      <c r="A3446" t="str">
        <f>"1043316755"</f>
        <v>1043316755</v>
      </c>
      <c r="B3446" t="str">
        <f>"01341120"</f>
        <v>01341120</v>
      </c>
      <c r="C3446" t="s">
        <v>19287</v>
      </c>
      <c r="D3446" t="s">
        <v>2032</v>
      </c>
      <c r="E3446" t="s">
        <v>2033</v>
      </c>
      <c r="G3446" t="s">
        <v>19287</v>
      </c>
      <c r="H3446" t="s">
        <v>19286</v>
      </c>
      <c r="L3446" t="s">
        <v>84</v>
      </c>
      <c r="M3446" t="s">
        <v>75</v>
      </c>
      <c r="R3446" t="s">
        <v>2031</v>
      </c>
      <c r="W3446" t="s">
        <v>2033</v>
      </c>
      <c r="X3446" t="s">
        <v>2030</v>
      </c>
      <c r="Y3446" t="s">
        <v>140</v>
      </c>
      <c r="Z3446" t="s">
        <v>77</v>
      </c>
      <c r="AA3446" t="str">
        <f>"11772-2631"</f>
        <v>11772-2631</v>
      </c>
      <c r="AB3446" t="s">
        <v>78</v>
      </c>
      <c r="AC3446" t="s">
        <v>79</v>
      </c>
      <c r="AD3446" t="s">
        <v>75</v>
      </c>
      <c r="AE3446" t="s">
        <v>80</v>
      </c>
      <c r="AG3446" t="s">
        <v>81</v>
      </c>
    </row>
    <row r="3447" spans="1:33" x14ac:dyDescent="0.25">
      <c r="A3447" t="str">
        <f>"1083766448"</f>
        <v>1083766448</v>
      </c>
      <c r="C3447" t="s">
        <v>13436</v>
      </c>
      <c r="G3447" t="s">
        <v>19288</v>
      </c>
      <c r="K3447" t="s">
        <v>99</v>
      </c>
      <c r="L3447" t="s">
        <v>102</v>
      </c>
      <c r="M3447" t="s">
        <v>85</v>
      </c>
      <c r="R3447" t="s">
        <v>19289</v>
      </c>
      <c r="S3447" t="s">
        <v>191</v>
      </c>
      <c r="T3447" t="s">
        <v>97</v>
      </c>
      <c r="U3447" t="s">
        <v>77</v>
      </c>
      <c r="V3447" t="str">
        <f>"100191147"</f>
        <v>100191147</v>
      </c>
      <c r="AC3447" t="s">
        <v>79</v>
      </c>
      <c r="AD3447" t="s">
        <v>75</v>
      </c>
      <c r="AE3447" t="s">
        <v>103</v>
      </c>
      <c r="AG3447" t="s">
        <v>81</v>
      </c>
    </row>
    <row r="3448" spans="1:33" x14ac:dyDescent="0.25">
      <c r="A3448" t="str">
        <f>"1083889505"</f>
        <v>1083889505</v>
      </c>
      <c r="B3448" t="str">
        <f>"00219301"</f>
        <v>00219301</v>
      </c>
      <c r="C3448" t="s">
        <v>13436</v>
      </c>
      <c r="D3448" t="s">
        <v>19290</v>
      </c>
      <c r="E3448" t="s">
        <v>19291</v>
      </c>
      <c r="G3448" t="s">
        <v>19292</v>
      </c>
      <c r="L3448" t="s">
        <v>83</v>
      </c>
      <c r="M3448" t="s">
        <v>85</v>
      </c>
      <c r="R3448" t="s">
        <v>19293</v>
      </c>
      <c r="W3448" t="s">
        <v>19291</v>
      </c>
      <c r="X3448" t="s">
        <v>4489</v>
      </c>
      <c r="Y3448" t="s">
        <v>97</v>
      </c>
      <c r="Z3448" t="s">
        <v>77</v>
      </c>
      <c r="AA3448" t="str">
        <f>"10025"</f>
        <v>10025</v>
      </c>
      <c r="AB3448" t="s">
        <v>78</v>
      </c>
      <c r="AC3448" t="s">
        <v>79</v>
      </c>
      <c r="AD3448" t="s">
        <v>75</v>
      </c>
      <c r="AE3448" t="s">
        <v>80</v>
      </c>
      <c r="AG3448" t="s">
        <v>81</v>
      </c>
    </row>
    <row r="3449" spans="1:33" x14ac:dyDescent="0.25">
      <c r="A3449" t="str">
        <f>"1205888120"</f>
        <v>1205888120</v>
      </c>
      <c r="B3449" t="str">
        <f>"00425943"</f>
        <v>00425943</v>
      </c>
      <c r="C3449" t="s">
        <v>19294</v>
      </c>
      <c r="D3449" t="s">
        <v>19295</v>
      </c>
      <c r="E3449" t="s">
        <v>19296</v>
      </c>
      <c r="G3449" t="s">
        <v>19294</v>
      </c>
      <c r="H3449" t="s">
        <v>19297</v>
      </c>
      <c r="J3449" t="s">
        <v>19298</v>
      </c>
      <c r="L3449" t="s">
        <v>83</v>
      </c>
      <c r="M3449" t="s">
        <v>75</v>
      </c>
      <c r="R3449" t="s">
        <v>19299</v>
      </c>
      <c r="W3449" t="s">
        <v>19296</v>
      </c>
      <c r="X3449" t="s">
        <v>19300</v>
      </c>
      <c r="Y3449" t="s">
        <v>87</v>
      </c>
      <c r="Z3449" t="s">
        <v>77</v>
      </c>
      <c r="AA3449" t="str">
        <f>"11238-4266"</f>
        <v>11238-4266</v>
      </c>
      <c r="AB3449" t="s">
        <v>78</v>
      </c>
      <c r="AC3449" t="s">
        <v>79</v>
      </c>
      <c r="AD3449" t="s">
        <v>75</v>
      </c>
      <c r="AE3449" t="s">
        <v>80</v>
      </c>
      <c r="AG3449" t="s">
        <v>81</v>
      </c>
    </row>
    <row r="3450" spans="1:33" x14ac:dyDescent="0.25">
      <c r="C3450" t="s">
        <v>19301</v>
      </c>
      <c r="G3450" t="s">
        <v>19301</v>
      </c>
      <c r="H3450" t="s">
        <v>19302</v>
      </c>
      <c r="J3450" t="s">
        <v>19303</v>
      </c>
      <c r="K3450" t="s">
        <v>206</v>
      </c>
      <c r="L3450" t="s">
        <v>100</v>
      </c>
      <c r="M3450" t="s">
        <v>75</v>
      </c>
      <c r="N3450" t="s">
        <v>19304</v>
      </c>
      <c r="O3450" t="s">
        <v>19305</v>
      </c>
      <c r="P3450" t="s">
        <v>6410</v>
      </c>
      <c r="Q3450" t="str">
        <f>"11557"</f>
        <v>11557</v>
      </c>
      <c r="AC3450" t="s">
        <v>79</v>
      </c>
      <c r="AD3450" t="s">
        <v>75</v>
      </c>
      <c r="AE3450" t="s">
        <v>101</v>
      </c>
      <c r="AG3450" t="s">
        <v>81</v>
      </c>
    </row>
    <row r="3451" spans="1:33" x14ac:dyDescent="0.25">
      <c r="A3451" t="str">
        <f>"1194085134"</f>
        <v>1194085134</v>
      </c>
      <c r="C3451" t="s">
        <v>19306</v>
      </c>
      <c r="G3451" t="s">
        <v>14449</v>
      </c>
      <c r="H3451" t="s">
        <v>14450</v>
      </c>
      <c r="K3451" t="s">
        <v>99</v>
      </c>
      <c r="L3451" t="s">
        <v>74</v>
      </c>
      <c r="M3451" t="s">
        <v>75</v>
      </c>
      <c r="R3451" t="s">
        <v>19307</v>
      </c>
      <c r="S3451" t="s">
        <v>3743</v>
      </c>
      <c r="T3451" t="s">
        <v>97</v>
      </c>
      <c r="U3451" t="s">
        <v>77</v>
      </c>
      <c r="V3451" t="str">
        <f>"100114401"</f>
        <v>100114401</v>
      </c>
      <c r="AC3451" t="s">
        <v>79</v>
      </c>
      <c r="AD3451" t="s">
        <v>75</v>
      </c>
      <c r="AE3451" t="s">
        <v>103</v>
      </c>
      <c r="AG3451" t="s">
        <v>81</v>
      </c>
    </row>
    <row r="3452" spans="1:33" x14ac:dyDescent="0.25">
      <c r="A3452" t="str">
        <f>"1184681033"</f>
        <v>1184681033</v>
      </c>
      <c r="B3452" t="str">
        <f>"01476379"</f>
        <v>01476379</v>
      </c>
      <c r="C3452" t="s">
        <v>19308</v>
      </c>
      <c r="D3452" t="s">
        <v>19309</v>
      </c>
      <c r="E3452" t="s">
        <v>19310</v>
      </c>
      <c r="G3452" t="s">
        <v>13504</v>
      </c>
      <c r="H3452" t="s">
        <v>13505</v>
      </c>
      <c r="J3452" t="s">
        <v>13506</v>
      </c>
      <c r="L3452" t="s">
        <v>83</v>
      </c>
      <c r="M3452" t="s">
        <v>75</v>
      </c>
      <c r="R3452" t="s">
        <v>19311</v>
      </c>
      <c r="W3452" t="s">
        <v>19310</v>
      </c>
      <c r="Y3452" t="s">
        <v>87</v>
      </c>
      <c r="Z3452" t="s">
        <v>77</v>
      </c>
      <c r="AA3452" t="str">
        <f>"11213-2421"</f>
        <v>11213-2421</v>
      </c>
      <c r="AB3452" t="s">
        <v>78</v>
      </c>
      <c r="AC3452" t="s">
        <v>79</v>
      </c>
      <c r="AD3452" t="s">
        <v>75</v>
      </c>
      <c r="AE3452" t="s">
        <v>80</v>
      </c>
      <c r="AG3452" t="s">
        <v>81</v>
      </c>
    </row>
    <row r="3453" spans="1:33" x14ac:dyDescent="0.25">
      <c r="A3453" t="str">
        <f>"1477638385"</f>
        <v>1477638385</v>
      </c>
      <c r="B3453" t="str">
        <f>"01350816"</f>
        <v>01350816</v>
      </c>
      <c r="C3453" t="s">
        <v>19312</v>
      </c>
      <c r="D3453" t="s">
        <v>19313</v>
      </c>
      <c r="E3453" t="s">
        <v>19314</v>
      </c>
      <c r="G3453" t="s">
        <v>13504</v>
      </c>
      <c r="H3453" t="s">
        <v>13505</v>
      </c>
      <c r="J3453" t="s">
        <v>13506</v>
      </c>
      <c r="L3453" t="s">
        <v>84</v>
      </c>
      <c r="M3453" t="s">
        <v>75</v>
      </c>
      <c r="R3453" t="s">
        <v>19315</v>
      </c>
      <c r="W3453" t="s">
        <v>19314</v>
      </c>
      <c r="X3453" t="s">
        <v>19316</v>
      </c>
      <c r="Y3453" t="s">
        <v>87</v>
      </c>
      <c r="Z3453" t="s">
        <v>77</v>
      </c>
      <c r="AA3453" t="str">
        <f>"11201-5493"</f>
        <v>11201-5493</v>
      </c>
      <c r="AB3453" t="s">
        <v>78</v>
      </c>
      <c r="AC3453" t="s">
        <v>79</v>
      </c>
      <c r="AD3453" t="s">
        <v>75</v>
      </c>
      <c r="AE3453" t="s">
        <v>80</v>
      </c>
      <c r="AG3453" t="s">
        <v>81</v>
      </c>
    </row>
    <row r="3454" spans="1:33" x14ac:dyDescent="0.25">
      <c r="A3454" t="str">
        <f>"1538279476"</f>
        <v>1538279476</v>
      </c>
      <c r="B3454" t="str">
        <f>"01851252"</f>
        <v>01851252</v>
      </c>
      <c r="C3454" t="s">
        <v>19317</v>
      </c>
      <c r="D3454" t="s">
        <v>19318</v>
      </c>
      <c r="E3454" t="s">
        <v>19319</v>
      </c>
      <c r="G3454" t="s">
        <v>13504</v>
      </c>
      <c r="H3454" t="s">
        <v>13505</v>
      </c>
      <c r="J3454" t="s">
        <v>13506</v>
      </c>
      <c r="L3454" t="s">
        <v>84</v>
      </c>
      <c r="M3454" t="s">
        <v>85</v>
      </c>
      <c r="R3454" t="s">
        <v>19320</v>
      </c>
      <c r="W3454" t="s">
        <v>19321</v>
      </c>
      <c r="X3454" t="s">
        <v>168</v>
      </c>
      <c r="Y3454" t="s">
        <v>155</v>
      </c>
      <c r="Z3454" t="s">
        <v>77</v>
      </c>
      <c r="AA3454" t="str">
        <f>"10310-1664"</f>
        <v>10310-1664</v>
      </c>
      <c r="AB3454" t="s">
        <v>78</v>
      </c>
      <c r="AC3454" t="s">
        <v>79</v>
      </c>
      <c r="AD3454" t="s">
        <v>75</v>
      </c>
      <c r="AE3454" t="s">
        <v>80</v>
      </c>
      <c r="AG3454" t="s">
        <v>81</v>
      </c>
    </row>
    <row r="3455" spans="1:33" x14ac:dyDescent="0.25">
      <c r="A3455" t="str">
        <f>"1255331799"</f>
        <v>1255331799</v>
      </c>
      <c r="B3455" t="str">
        <f>"01249641"</f>
        <v>01249641</v>
      </c>
      <c r="C3455" t="s">
        <v>19322</v>
      </c>
      <c r="D3455" t="s">
        <v>19323</v>
      </c>
      <c r="E3455" t="s">
        <v>19324</v>
      </c>
      <c r="G3455" t="s">
        <v>13504</v>
      </c>
      <c r="H3455" t="s">
        <v>13505</v>
      </c>
      <c r="J3455" t="s">
        <v>13506</v>
      </c>
      <c r="L3455" t="s">
        <v>84</v>
      </c>
      <c r="M3455" t="s">
        <v>85</v>
      </c>
      <c r="R3455" t="s">
        <v>19325</v>
      </c>
      <c r="W3455" t="s">
        <v>19326</v>
      </c>
      <c r="Y3455" t="s">
        <v>131</v>
      </c>
      <c r="Z3455" t="s">
        <v>77</v>
      </c>
      <c r="AA3455" t="str">
        <f>"10451-5589"</f>
        <v>10451-5589</v>
      </c>
      <c r="AB3455" t="s">
        <v>78</v>
      </c>
      <c r="AC3455" t="s">
        <v>79</v>
      </c>
      <c r="AD3455" t="s">
        <v>75</v>
      </c>
      <c r="AE3455" t="s">
        <v>80</v>
      </c>
      <c r="AG3455" t="s">
        <v>81</v>
      </c>
    </row>
    <row r="3456" spans="1:33" x14ac:dyDescent="0.25">
      <c r="A3456" t="str">
        <f>"1528147998"</f>
        <v>1528147998</v>
      </c>
      <c r="B3456" t="str">
        <f>"01647025"</f>
        <v>01647025</v>
      </c>
      <c r="C3456" t="s">
        <v>19327</v>
      </c>
      <c r="D3456" t="s">
        <v>19328</v>
      </c>
      <c r="E3456" t="s">
        <v>19329</v>
      </c>
      <c r="G3456" t="s">
        <v>13504</v>
      </c>
      <c r="H3456" t="s">
        <v>13505</v>
      </c>
      <c r="J3456" t="s">
        <v>13506</v>
      </c>
      <c r="L3456" t="s">
        <v>84</v>
      </c>
      <c r="M3456" t="s">
        <v>85</v>
      </c>
      <c r="R3456" t="s">
        <v>19330</v>
      </c>
      <c r="W3456" t="s">
        <v>19329</v>
      </c>
      <c r="Y3456" t="s">
        <v>131</v>
      </c>
      <c r="Z3456" t="s">
        <v>77</v>
      </c>
      <c r="AA3456" t="str">
        <f>"10461-2301"</f>
        <v>10461-2301</v>
      </c>
      <c r="AB3456" t="s">
        <v>78</v>
      </c>
      <c r="AC3456" t="s">
        <v>79</v>
      </c>
      <c r="AD3456" t="s">
        <v>75</v>
      </c>
      <c r="AE3456" t="s">
        <v>80</v>
      </c>
      <c r="AG3456" t="s">
        <v>81</v>
      </c>
    </row>
    <row r="3457" spans="1:33" x14ac:dyDescent="0.25">
      <c r="A3457" t="str">
        <f>"1790727584"</f>
        <v>1790727584</v>
      </c>
      <c r="B3457" t="str">
        <f>"01221829"</f>
        <v>01221829</v>
      </c>
      <c r="C3457" t="s">
        <v>19331</v>
      </c>
      <c r="D3457" t="s">
        <v>19332</v>
      </c>
      <c r="E3457" t="s">
        <v>19333</v>
      </c>
      <c r="G3457" t="s">
        <v>13504</v>
      </c>
      <c r="H3457" t="s">
        <v>13505</v>
      </c>
      <c r="J3457" t="s">
        <v>13506</v>
      </c>
      <c r="L3457" t="s">
        <v>84</v>
      </c>
      <c r="M3457" t="s">
        <v>85</v>
      </c>
      <c r="R3457" t="s">
        <v>19334</v>
      </c>
      <c r="W3457" t="s">
        <v>19333</v>
      </c>
      <c r="X3457" t="s">
        <v>821</v>
      </c>
      <c r="Y3457" t="s">
        <v>283</v>
      </c>
      <c r="Z3457" t="s">
        <v>77</v>
      </c>
      <c r="AA3457" t="str">
        <f>"11418-1812"</f>
        <v>11418-1812</v>
      </c>
      <c r="AB3457" t="s">
        <v>78</v>
      </c>
      <c r="AC3457" t="s">
        <v>79</v>
      </c>
      <c r="AD3457" t="s">
        <v>75</v>
      </c>
      <c r="AE3457" t="s">
        <v>80</v>
      </c>
      <c r="AG3457" t="s">
        <v>81</v>
      </c>
    </row>
    <row r="3458" spans="1:33" x14ac:dyDescent="0.25">
      <c r="A3458" t="str">
        <f>"1851715007"</f>
        <v>1851715007</v>
      </c>
      <c r="B3458" t="str">
        <f>"04515055"</f>
        <v>04515055</v>
      </c>
      <c r="C3458" t="s">
        <v>19335</v>
      </c>
      <c r="D3458" t="s">
        <v>1993</v>
      </c>
      <c r="E3458" t="s">
        <v>1992</v>
      </c>
      <c r="G3458" t="s">
        <v>19335</v>
      </c>
      <c r="H3458" t="s">
        <v>19336</v>
      </c>
      <c r="L3458" t="s">
        <v>74</v>
      </c>
      <c r="M3458" t="s">
        <v>75</v>
      </c>
      <c r="R3458" t="s">
        <v>1992</v>
      </c>
      <c r="W3458" t="s">
        <v>1992</v>
      </c>
      <c r="AB3458" t="s">
        <v>78</v>
      </c>
      <c r="AC3458" t="s">
        <v>79</v>
      </c>
      <c r="AD3458" t="s">
        <v>75</v>
      </c>
      <c r="AE3458" t="s">
        <v>80</v>
      </c>
      <c r="AG3458" t="s">
        <v>81</v>
      </c>
    </row>
    <row r="3459" spans="1:33" x14ac:dyDescent="0.25">
      <c r="A3459" t="str">
        <f>"1891073771"</f>
        <v>1891073771</v>
      </c>
      <c r="B3459" t="str">
        <f>"03583864"</f>
        <v>03583864</v>
      </c>
      <c r="C3459" t="s">
        <v>19337</v>
      </c>
      <c r="D3459" t="s">
        <v>1951</v>
      </c>
      <c r="E3459" t="s">
        <v>1950</v>
      </c>
      <c r="G3459" t="s">
        <v>19337</v>
      </c>
      <c r="H3459" t="s">
        <v>19336</v>
      </c>
      <c r="L3459" t="s">
        <v>74</v>
      </c>
      <c r="M3459" t="s">
        <v>75</v>
      </c>
      <c r="R3459" t="s">
        <v>1950</v>
      </c>
      <c r="W3459" t="s">
        <v>1950</v>
      </c>
      <c r="X3459" t="s">
        <v>1934</v>
      </c>
      <c r="Y3459" t="s">
        <v>1935</v>
      </c>
      <c r="Z3459" t="s">
        <v>77</v>
      </c>
      <c r="AA3459" t="str">
        <f>"11779-7613"</f>
        <v>11779-7613</v>
      </c>
      <c r="AB3459" t="s">
        <v>78</v>
      </c>
      <c r="AC3459" t="s">
        <v>79</v>
      </c>
      <c r="AD3459" t="s">
        <v>75</v>
      </c>
      <c r="AE3459" t="s">
        <v>80</v>
      </c>
      <c r="AG3459" t="s">
        <v>81</v>
      </c>
    </row>
    <row r="3460" spans="1:33" x14ac:dyDescent="0.25">
      <c r="A3460" t="str">
        <f>"1588723993"</f>
        <v>1588723993</v>
      </c>
      <c r="B3460" t="str">
        <f>"00681892"</f>
        <v>00681892</v>
      </c>
      <c r="C3460" t="s">
        <v>19338</v>
      </c>
      <c r="D3460" t="s">
        <v>1953</v>
      </c>
      <c r="E3460" t="s">
        <v>1954</v>
      </c>
      <c r="G3460" t="s">
        <v>19338</v>
      </c>
      <c r="H3460" t="s">
        <v>19339</v>
      </c>
      <c r="L3460" t="s">
        <v>105</v>
      </c>
      <c r="M3460" t="s">
        <v>75</v>
      </c>
      <c r="R3460" t="s">
        <v>1952</v>
      </c>
      <c r="W3460" t="s">
        <v>1952</v>
      </c>
      <c r="X3460" t="s">
        <v>1955</v>
      </c>
      <c r="Y3460" t="s">
        <v>1818</v>
      </c>
      <c r="Z3460" t="s">
        <v>77</v>
      </c>
      <c r="AA3460" t="str">
        <f>"11787-2871"</f>
        <v>11787-2871</v>
      </c>
      <c r="AB3460" t="s">
        <v>78</v>
      </c>
      <c r="AC3460" t="s">
        <v>79</v>
      </c>
      <c r="AD3460" t="s">
        <v>75</v>
      </c>
      <c r="AE3460" t="s">
        <v>80</v>
      </c>
      <c r="AG3460" t="s">
        <v>81</v>
      </c>
    </row>
    <row r="3461" spans="1:33" x14ac:dyDescent="0.25">
      <c r="A3461" t="str">
        <f>"1639499353"</f>
        <v>1639499353</v>
      </c>
      <c r="B3461" t="str">
        <f>"03738603"</f>
        <v>03738603</v>
      </c>
      <c r="C3461" t="s">
        <v>19340</v>
      </c>
      <c r="D3461" t="s">
        <v>1957</v>
      </c>
      <c r="E3461" t="s">
        <v>1958</v>
      </c>
      <c r="G3461" t="s">
        <v>19340</v>
      </c>
      <c r="H3461" t="s">
        <v>19341</v>
      </c>
      <c r="L3461" t="s">
        <v>105</v>
      </c>
      <c r="M3461" t="s">
        <v>75</v>
      </c>
      <c r="R3461" t="s">
        <v>1956</v>
      </c>
      <c r="W3461" t="s">
        <v>1958</v>
      </c>
      <c r="X3461" t="s">
        <v>1959</v>
      </c>
      <c r="Y3461" t="s">
        <v>1960</v>
      </c>
      <c r="Z3461" t="s">
        <v>77</v>
      </c>
      <c r="AA3461" t="str">
        <f>"11598-1347"</f>
        <v>11598-1347</v>
      </c>
      <c r="AB3461" t="s">
        <v>78</v>
      </c>
      <c r="AC3461" t="s">
        <v>79</v>
      </c>
      <c r="AD3461" t="s">
        <v>75</v>
      </c>
      <c r="AE3461" t="s">
        <v>80</v>
      </c>
      <c r="AG3461" t="s">
        <v>81</v>
      </c>
    </row>
    <row r="3462" spans="1:33" x14ac:dyDescent="0.25">
      <c r="C3462" t="s">
        <v>19342</v>
      </c>
      <c r="G3462" t="s">
        <v>19342</v>
      </c>
      <c r="H3462" t="s">
        <v>19343</v>
      </c>
      <c r="K3462" t="s">
        <v>99</v>
      </c>
      <c r="L3462" t="s">
        <v>100</v>
      </c>
      <c r="M3462" t="s">
        <v>75</v>
      </c>
      <c r="N3462" t="s">
        <v>19344</v>
      </c>
      <c r="O3462" t="s">
        <v>19345</v>
      </c>
      <c r="P3462" t="s">
        <v>77</v>
      </c>
      <c r="Q3462" t="str">
        <f>"11733"</f>
        <v>11733</v>
      </c>
      <c r="AC3462" t="s">
        <v>79</v>
      </c>
      <c r="AD3462" t="s">
        <v>75</v>
      </c>
      <c r="AE3462" t="s">
        <v>101</v>
      </c>
      <c r="AG3462" t="s">
        <v>81</v>
      </c>
    </row>
    <row r="3463" spans="1:33" x14ac:dyDescent="0.25">
      <c r="C3463" t="s">
        <v>19346</v>
      </c>
      <c r="G3463" t="s">
        <v>19346</v>
      </c>
      <c r="H3463" t="s">
        <v>19347</v>
      </c>
      <c r="K3463" t="s">
        <v>99</v>
      </c>
      <c r="L3463" t="s">
        <v>100</v>
      </c>
      <c r="M3463" t="s">
        <v>75</v>
      </c>
      <c r="N3463" t="s">
        <v>19348</v>
      </c>
      <c r="O3463" t="s">
        <v>431</v>
      </c>
      <c r="P3463" t="s">
        <v>77</v>
      </c>
      <c r="Q3463" t="str">
        <f>"11234"</f>
        <v>11234</v>
      </c>
      <c r="AC3463" t="s">
        <v>79</v>
      </c>
      <c r="AD3463" t="s">
        <v>75</v>
      </c>
      <c r="AE3463" t="s">
        <v>101</v>
      </c>
      <c r="AG3463" t="s">
        <v>81</v>
      </c>
    </row>
    <row r="3464" spans="1:33" x14ac:dyDescent="0.25">
      <c r="C3464" t="s">
        <v>19349</v>
      </c>
      <c r="G3464" t="s">
        <v>19349</v>
      </c>
      <c r="H3464" t="s">
        <v>19347</v>
      </c>
      <c r="K3464" t="s">
        <v>99</v>
      </c>
      <c r="L3464" t="s">
        <v>100</v>
      </c>
      <c r="M3464" t="s">
        <v>75</v>
      </c>
      <c r="N3464" t="s">
        <v>19348</v>
      </c>
      <c r="O3464" t="s">
        <v>431</v>
      </c>
      <c r="P3464" t="s">
        <v>77</v>
      </c>
      <c r="Q3464" t="str">
        <f>"11234"</f>
        <v>11234</v>
      </c>
      <c r="AC3464" t="s">
        <v>79</v>
      </c>
      <c r="AD3464" t="s">
        <v>75</v>
      </c>
      <c r="AE3464" t="s">
        <v>101</v>
      </c>
      <c r="AG3464" t="s">
        <v>81</v>
      </c>
    </row>
    <row r="3465" spans="1:33" x14ac:dyDescent="0.25">
      <c r="C3465" t="s">
        <v>19350</v>
      </c>
      <c r="G3465" t="s">
        <v>19350</v>
      </c>
      <c r="H3465" t="s">
        <v>19347</v>
      </c>
      <c r="K3465" t="s">
        <v>99</v>
      </c>
      <c r="L3465" t="s">
        <v>100</v>
      </c>
      <c r="M3465" t="s">
        <v>75</v>
      </c>
      <c r="N3465" t="s">
        <v>19348</v>
      </c>
      <c r="O3465" t="s">
        <v>431</v>
      </c>
      <c r="P3465" t="s">
        <v>77</v>
      </c>
      <c r="Q3465" t="str">
        <f>"11234"</f>
        <v>11234</v>
      </c>
      <c r="AC3465" t="s">
        <v>79</v>
      </c>
      <c r="AD3465" t="s">
        <v>75</v>
      </c>
      <c r="AE3465" t="s">
        <v>101</v>
      </c>
      <c r="AG3465" t="s">
        <v>81</v>
      </c>
    </row>
    <row r="3466" spans="1:33" x14ac:dyDescent="0.25">
      <c r="A3466" t="str">
        <f>"1689765521"</f>
        <v>1689765521</v>
      </c>
      <c r="B3466" t="str">
        <f>"01032177"</f>
        <v>01032177</v>
      </c>
      <c r="C3466" t="s">
        <v>13436</v>
      </c>
      <c r="D3466" t="s">
        <v>19351</v>
      </c>
      <c r="E3466" t="s">
        <v>19352</v>
      </c>
      <c r="G3466" t="s">
        <v>19353</v>
      </c>
      <c r="L3466" t="s">
        <v>83</v>
      </c>
      <c r="M3466" t="s">
        <v>85</v>
      </c>
      <c r="R3466" t="s">
        <v>19354</v>
      </c>
      <c r="W3466" t="s">
        <v>19352</v>
      </c>
      <c r="X3466" t="s">
        <v>19355</v>
      </c>
      <c r="Y3466" t="s">
        <v>97</v>
      </c>
      <c r="Z3466" t="s">
        <v>77</v>
      </c>
      <c r="AA3466" t="str">
        <f>"10128-0101"</f>
        <v>10128-0101</v>
      </c>
      <c r="AB3466" t="s">
        <v>78</v>
      </c>
      <c r="AC3466" t="s">
        <v>79</v>
      </c>
      <c r="AD3466" t="s">
        <v>75</v>
      </c>
      <c r="AE3466" t="s">
        <v>80</v>
      </c>
      <c r="AG3466" t="s">
        <v>81</v>
      </c>
    </row>
    <row r="3467" spans="1:33" x14ac:dyDescent="0.25">
      <c r="A3467" t="str">
        <f>"1699001230"</f>
        <v>1699001230</v>
      </c>
      <c r="B3467" t="str">
        <f>"03203041"</f>
        <v>03203041</v>
      </c>
      <c r="C3467" t="s">
        <v>13436</v>
      </c>
      <c r="D3467" t="s">
        <v>19356</v>
      </c>
      <c r="E3467" t="s">
        <v>19357</v>
      </c>
      <c r="G3467" t="s">
        <v>19358</v>
      </c>
      <c r="L3467" t="s">
        <v>83</v>
      </c>
      <c r="M3467" t="s">
        <v>85</v>
      </c>
      <c r="R3467" t="s">
        <v>19357</v>
      </c>
      <c r="W3467" t="s">
        <v>19357</v>
      </c>
      <c r="X3467" t="s">
        <v>19359</v>
      </c>
      <c r="Y3467" t="s">
        <v>97</v>
      </c>
      <c r="Z3467" t="s">
        <v>77</v>
      </c>
      <c r="AA3467" t="str">
        <f>"10019-8022"</f>
        <v>10019-8022</v>
      </c>
      <c r="AB3467" t="s">
        <v>78</v>
      </c>
      <c r="AC3467" t="s">
        <v>79</v>
      </c>
      <c r="AD3467" t="s">
        <v>75</v>
      </c>
      <c r="AE3467" t="s">
        <v>80</v>
      </c>
      <c r="AG3467" t="s">
        <v>81</v>
      </c>
    </row>
    <row r="3468" spans="1:33" x14ac:dyDescent="0.25">
      <c r="A3468" t="str">
        <f>"1487783015"</f>
        <v>1487783015</v>
      </c>
      <c r="B3468" t="str">
        <f>"01541991"</f>
        <v>01541991</v>
      </c>
      <c r="C3468" t="s">
        <v>13436</v>
      </c>
      <c r="D3468" t="s">
        <v>19360</v>
      </c>
      <c r="E3468" t="s">
        <v>19361</v>
      </c>
      <c r="G3468" t="s">
        <v>19362</v>
      </c>
      <c r="L3468" t="s">
        <v>83</v>
      </c>
      <c r="M3468" t="s">
        <v>75</v>
      </c>
      <c r="R3468" t="s">
        <v>19363</v>
      </c>
      <c r="W3468" t="s">
        <v>19361</v>
      </c>
      <c r="X3468" t="s">
        <v>17795</v>
      </c>
      <c r="Y3468" t="s">
        <v>160</v>
      </c>
      <c r="Z3468" t="s">
        <v>77</v>
      </c>
      <c r="AA3468" t="str">
        <f>"11030-3816"</f>
        <v>11030-3816</v>
      </c>
      <c r="AB3468" t="s">
        <v>78</v>
      </c>
      <c r="AC3468" t="s">
        <v>79</v>
      </c>
      <c r="AD3468" t="s">
        <v>75</v>
      </c>
      <c r="AE3468" t="s">
        <v>80</v>
      </c>
      <c r="AG3468" t="s">
        <v>81</v>
      </c>
    </row>
    <row r="3469" spans="1:33" x14ac:dyDescent="0.25">
      <c r="A3469" t="str">
        <f>"1497767974"</f>
        <v>1497767974</v>
      </c>
      <c r="B3469" t="str">
        <f>"00975159"</f>
        <v>00975159</v>
      </c>
      <c r="C3469" t="s">
        <v>13436</v>
      </c>
      <c r="D3469" t="s">
        <v>19364</v>
      </c>
      <c r="E3469" t="s">
        <v>19365</v>
      </c>
      <c r="G3469" t="s">
        <v>19366</v>
      </c>
      <c r="L3469" t="s">
        <v>84</v>
      </c>
      <c r="M3469" t="s">
        <v>75</v>
      </c>
      <c r="R3469" t="s">
        <v>19367</v>
      </c>
      <c r="W3469" t="s">
        <v>19365</v>
      </c>
      <c r="X3469" t="s">
        <v>5696</v>
      </c>
      <c r="Y3469" t="s">
        <v>152</v>
      </c>
      <c r="Z3469" t="s">
        <v>77</v>
      </c>
      <c r="AA3469" t="str">
        <f>"11375-4566"</f>
        <v>11375-4566</v>
      </c>
      <c r="AB3469" t="s">
        <v>78</v>
      </c>
      <c r="AC3469" t="s">
        <v>79</v>
      </c>
      <c r="AD3469" t="s">
        <v>75</v>
      </c>
      <c r="AE3469" t="s">
        <v>80</v>
      </c>
      <c r="AG3469" t="s">
        <v>81</v>
      </c>
    </row>
    <row r="3470" spans="1:33" x14ac:dyDescent="0.25">
      <c r="A3470" t="str">
        <f>"1447419593"</f>
        <v>1447419593</v>
      </c>
      <c r="B3470" t="str">
        <f>"03725197"</f>
        <v>03725197</v>
      </c>
      <c r="C3470" t="s">
        <v>13436</v>
      </c>
      <c r="D3470" t="s">
        <v>19368</v>
      </c>
      <c r="E3470" t="s">
        <v>19369</v>
      </c>
      <c r="G3470" t="s">
        <v>19370</v>
      </c>
      <c r="L3470" t="s">
        <v>84</v>
      </c>
      <c r="M3470" t="s">
        <v>85</v>
      </c>
      <c r="R3470" t="s">
        <v>19369</v>
      </c>
      <c r="W3470" t="s">
        <v>19369</v>
      </c>
      <c r="X3470" t="s">
        <v>330</v>
      </c>
      <c r="Y3470" t="s">
        <v>97</v>
      </c>
      <c r="Z3470" t="s">
        <v>77</v>
      </c>
      <c r="AA3470" t="str">
        <f>"10029-5204"</f>
        <v>10029-5204</v>
      </c>
      <c r="AB3470" t="s">
        <v>78</v>
      </c>
      <c r="AC3470" t="s">
        <v>79</v>
      </c>
      <c r="AD3470" t="s">
        <v>75</v>
      </c>
      <c r="AE3470" t="s">
        <v>80</v>
      </c>
      <c r="AG3470" t="s">
        <v>81</v>
      </c>
    </row>
    <row r="3471" spans="1:33" x14ac:dyDescent="0.25">
      <c r="A3471" t="str">
        <f>"1386805042"</f>
        <v>1386805042</v>
      </c>
      <c r="B3471" t="str">
        <f>"03746792"</f>
        <v>03746792</v>
      </c>
      <c r="C3471" t="s">
        <v>19371</v>
      </c>
      <c r="D3471" t="s">
        <v>19372</v>
      </c>
      <c r="E3471" t="s">
        <v>19373</v>
      </c>
      <c r="G3471" t="s">
        <v>7218</v>
      </c>
      <c r="H3471" t="s">
        <v>6801</v>
      </c>
      <c r="I3471">
        <v>6136</v>
      </c>
      <c r="J3471" t="s">
        <v>7219</v>
      </c>
      <c r="L3471" t="s">
        <v>74</v>
      </c>
      <c r="M3471" t="s">
        <v>75</v>
      </c>
      <c r="R3471" t="s">
        <v>19373</v>
      </c>
      <c r="W3471" t="s">
        <v>19373</v>
      </c>
      <c r="X3471" t="s">
        <v>8509</v>
      </c>
      <c r="Y3471" t="s">
        <v>145</v>
      </c>
      <c r="Z3471" t="s">
        <v>77</v>
      </c>
      <c r="AA3471" t="str">
        <f>"11361-3241"</f>
        <v>11361-3241</v>
      </c>
      <c r="AB3471" t="s">
        <v>109</v>
      </c>
      <c r="AC3471" t="s">
        <v>79</v>
      </c>
      <c r="AD3471" t="s">
        <v>75</v>
      </c>
      <c r="AE3471" t="s">
        <v>80</v>
      </c>
      <c r="AG3471" t="s">
        <v>81</v>
      </c>
    </row>
    <row r="3472" spans="1:33" x14ac:dyDescent="0.25">
      <c r="A3472" t="str">
        <f>"1538226998"</f>
        <v>1538226998</v>
      </c>
      <c r="B3472" t="str">
        <f>"00907451"</f>
        <v>00907451</v>
      </c>
      <c r="C3472" t="s">
        <v>19374</v>
      </c>
      <c r="D3472" t="s">
        <v>19375</v>
      </c>
      <c r="E3472" t="s">
        <v>19376</v>
      </c>
      <c r="G3472" t="s">
        <v>13504</v>
      </c>
      <c r="H3472" t="s">
        <v>13505</v>
      </c>
      <c r="J3472" t="s">
        <v>13506</v>
      </c>
      <c r="L3472" t="s">
        <v>83</v>
      </c>
      <c r="M3472" t="s">
        <v>75</v>
      </c>
      <c r="R3472" t="s">
        <v>19377</v>
      </c>
      <c r="W3472" t="s">
        <v>19376</v>
      </c>
      <c r="X3472" t="s">
        <v>19378</v>
      </c>
      <c r="Y3472" t="s">
        <v>171</v>
      </c>
      <c r="Z3472" t="s">
        <v>77</v>
      </c>
      <c r="AA3472" t="str">
        <f>"11432"</f>
        <v>11432</v>
      </c>
      <c r="AB3472" t="s">
        <v>78</v>
      </c>
      <c r="AC3472" t="s">
        <v>79</v>
      </c>
      <c r="AD3472" t="s">
        <v>75</v>
      </c>
      <c r="AE3472" t="s">
        <v>80</v>
      </c>
      <c r="AG3472" t="s">
        <v>81</v>
      </c>
    </row>
    <row r="3473" spans="1:33" x14ac:dyDescent="0.25">
      <c r="A3473" t="str">
        <f>"1932274156"</f>
        <v>1932274156</v>
      </c>
      <c r="B3473" t="str">
        <f>"01863890"</f>
        <v>01863890</v>
      </c>
      <c r="C3473" t="s">
        <v>19379</v>
      </c>
      <c r="D3473" t="s">
        <v>19380</v>
      </c>
      <c r="E3473" t="s">
        <v>19381</v>
      </c>
      <c r="G3473" t="s">
        <v>13504</v>
      </c>
      <c r="H3473" t="s">
        <v>13505</v>
      </c>
      <c r="J3473" t="s">
        <v>13506</v>
      </c>
      <c r="L3473" t="s">
        <v>84</v>
      </c>
      <c r="M3473" t="s">
        <v>75</v>
      </c>
      <c r="R3473" t="s">
        <v>19382</v>
      </c>
      <c r="W3473" t="s">
        <v>19381</v>
      </c>
      <c r="X3473" t="s">
        <v>19383</v>
      </c>
      <c r="Y3473" t="s">
        <v>87</v>
      </c>
      <c r="Z3473" t="s">
        <v>77</v>
      </c>
      <c r="AA3473" t="str">
        <f>"11229-1960"</f>
        <v>11229-1960</v>
      </c>
      <c r="AB3473" t="s">
        <v>78</v>
      </c>
      <c r="AC3473" t="s">
        <v>79</v>
      </c>
      <c r="AD3473" t="s">
        <v>75</v>
      </c>
      <c r="AE3473" t="s">
        <v>80</v>
      </c>
      <c r="AG3473" t="s">
        <v>81</v>
      </c>
    </row>
    <row r="3474" spans="1:33" x14ac:dyDescent="0.25">
      <c r="A3474" t="str">
        <f>"1386750289"</f>
        <v>1386750289</v>
      </c>
      <c r="B3474" t="str">
        <f>"02668133"</f>
        <v>02668133</v>
      </c>
      <c r="C3474" t="s">
        <v>19384</v>
      </c>
      <c r="D3474" t="s">
        <v>19385</v>
      </c>
      <c r="E3474" t="s">
        <v>19386</v>
      </c>
      <c r="G3474" t="s">
        <v>13504</v>
      </c>
      <c r="H3474" t="s">
        <v>13505</v>
      </c>
      <c r="J3474" t="s">
        <v>13506</v>
      </c>
      <c r="L3474" t="s">
        <v>83</v>
      </c>
      <c r="M3474" t="s">
        <v>75</v>
      </c>
      <c r="R3474" t="s">
        <v>19387</v>
      </c>
      <c r="W3474" t="s">
        <v>19386</v>
      </c>
      <c r="X3474" t="s">
        <v>173</v>
      </c>
      <c r="Y3474" t="s">
        <v>87</v>
      </c>
      <c r="Z3474" t="s">
        <v>77</v>
      </c>
      <c r="AA3474" t="str">
        <f>"11219-2916"</f>
        <v>11219-2916</v>
      </c>
      <c r="AB3474" t="s">
        <v>78</v>
      </c>
      <c r="AC3474" t="s">
        <v>79</v>
      </c>
      <c r="AD3474" t="s">
        <v>75</v>
      </c>
      <c r="AE3474" t="s">
        <v>80</v>
      </c>
      <c r="AG3474" t="s">
        <v>81</v>
      </c>
    </row>
    <row r="3475" spans="1:33" x14ac:dyDescent="0.25">
      <c r="A3475" t="str">
        <f>"1588611685"</f>
        <v>1588611685</v>
      </c>
      <c r="B3475" t="str">
        <f>"01689014"</f>
        <v>01689014</v>
      </c>
      <c r="C3475" t="s">
        <v>19388</v>
      </c>
      <c r="D3475" t="s">
        <v>5989</v>
      </c>
      <c r="E3475" t="s">
        <v>5990</v>
      </c>
      <c r="G3475" t="s">
        <v>9477</v>
      </c>
      <c r="H3475" t="s">
        <v>4867</v>
      </c>
      <c r="I3475">
        <v>135</v>
      </c>
      <c r="J3475" t="s">
        <v>5634</v>
      </c>
      <c r="L3475" t="s">
        <v>83</v>
      </c>
      <c r="M3475" t="s">
        <v>75</v>
      </c>
      <c r="R3475" t="s">
        <v>5991</v>
      </c>
      <c r="W3475" t="s">
        <v>5990</v>
      </c>
      <c r="X3475" t="s">
        <v>197</v>
      </c>
      <c r="Y3475" t="s">
        <v>180</v>
      </c>
      <c r="Z3475" t="s">
        <v>77</v>
      </c>
      <c r="AA3475" t="str">
        <f>"10701-4006"</f>
        <v>10701-4006</v>
      </c>
      <c r="AB3475" t="s">
        <v>78</v>
      </c>
      <c r="AC3475" t="s">
        <v>79</v>
      </c>
      <c r="AD3475" t="s">
        <v>75</v>
      </c>
      <c r="AE3475" t="s">
        <v>80</v>
      </c>
      <c r="AG3475" t="s">
        <v>81</v>
      </c>
    </row>
    <row r="3476" spans="1:33" x14ac:dyDescent="0.25">
      <c r="A3476" t="str">
        <f>"1629090634"</f>
        <v>1629090634</v>
      </c>
      <c r="B3476" t="str">
        <f>"00834506"</f>
        <v>00834506</v>
      </c>
      <c r="C3476" t="s">
        <v>19389</v>
      </c>
      <c r="D3476" t="s">
        <v>19390</v>
      </c>
      <c r="E3476" t="s">
        <v>19391</v>
      </c>
      <c r="G3476" t="s">
        <v>13504</v>
      </c>
      <c r="H3476" t="s">
        <v>13505</v>
      </c>
      <c r="J3476" t="s">
        <v>13506</v>
      </c>
      <c r="L3476" t="s">
        <v>74</v>
      </c>
      <c r="M3476" t="s">
        <v>75</v>
      </c>
      <c r="R3476" t="s">
        <v>19392</v>
      </c>
      <c r="W3476" t="s">
        <v>19391</v>
      </c>
      <c r="X3476" t="s">
        <v>19393</v>
      </c>
      <c r="Y3476" t="s">
        <v>508</v>
      </c>
      <c r="Z3476" t="s">
        <v>77</v>
      </c>
      <c r="AA3476" t="str">
        <f>"11357-4038"</f>
        <v>11357-4038</v>
      </c>
      <c r="AB3476" t="s">
        <v>78</v>
      </c>
      <c r="AC3476" t="s">
        <v>79</v>
      </c>
      <c r="AD3476" t="s">
        <v>75</v>
      </c>
      <c r="AE3476" t="s">
        <v>80</v>
      </c>
      <c r="AG3476" t="s">
        <v>81</v>
      </c>
    </row>
    <row r="3477" spans="1:33" x14ac:dyDescent="0.25">
      <c r="A3477" t="str">
        <f>"1306893201"</f>
        <v>1306893201</v>
      </c>
      <c r="B3477" t="str">
        <f>"00649752"</f>
        <v>00649752</v>
      </c>
      <c r="C3477" t="s">
        <v>19394</v>
      </c>
      <c r="D3477" t="s">
        <v>19395</v>
      </c>
      <c r="E3477" t="s">
        <v>19396</v>
      </c>
      <c r="G3477" t="s">
        <v>13504</v>
      </c>
      <c r="H3477" t="s">
        <v>13505</v>
      </c>
      <c r="J3477" t="s">
        <v>13506</v>
      </c>
      <c r="L3477" t="s">
        <v>74</v>
      </c>
      <c r="M3477" t="s">
        <v>85</v>
      </c>
      <c r="R3477" t="s">
        <v>19397</v>
      </c>
      <c r="W3477" t="s">
        <v>19396</v>
      </c>
      <c r="X3477" t="s">
        <v>202</v>
      </c>
      <c r="Y3477" t="s">
        <v>87</v>
      </c>
      <c r="Z3477" t="s">
        <v>77</v>
      </c>
      <c r="AA3477" t="str">
        <f>"11201-5425"</f>
        <v>11201-5425</v>
      </c>
      <c r="AB3477" t="s">
        <v>78</v>
      </c>
      <c r="AC3477" t="s">
        <v>79</v>
      </c>
      <c r="AD3477" t="s">
        <v>75</v>
      </c>
      <c r="AE3477" t="s">
        <v>80</v>
      </c>
      <c r="AG3477" t="s">
        <v>81</v>
      </c>
    </row>
    <row r="3478" spans="1:33" x14ac:dyDescent="0.25">
      <c r="A3478" t="str">
        <f>"1851478234"</f>
        <v>1851478234</v>
      </c>
      <c r="B3478" t="str">
        <f>"00820342"</f>
        <v>00820342</v>
      </c>
      <c r="C3478" t="s">
        <v>19398</v>
      </c>
      <c r="D3478" t="s">
        <v>19399</v>
      </c>
      <c r="E3478" t="s">
        <v>19400</v>
      </c>
      <c r="G3478" t="s">
        <v>13504</v>
      </c>
      <c r="H3478" t="s">
        <v>13505</v>
      </c>
      <c r="J3478" t="s">
        <v>13506</v>
      </c>
      <c r="L3478" t="s">
        <v>84</v>
      </c>
      <c r="M3478" t="s">
        <v>75</v>
      </c>
      <c r="R3478" t="s">
        <v>19401</v>
      </c>
      <c r="W3478" t="s">
        <v>19402</v>
      </c>
      <c r="X3478" t="s">
        <v>19403</v>
      </c>
      <c r="Y3478" t="s">
        <v>87</v>
      </c>
      <c r="Z3478" t="s">
        <v>77</v>
      </c>
      <c r="AA3478" t="str">
        <f>"11201-5425"</f>
        <v>11201-5425</v>
      </c>
      <c r="AB3478" t="s">
        <v>78</v>
      </c>
      <c r="AC3478" t="s">
        <v>79</v>
      </c>
      <c r="AD3478" t="s">
        <v>75</v>
      </c>
      <c r="AE3478" t="s">
        <v>80</v>
      </c>
      <c r="AG3478" t="s">
        <v>81</v>
      </c>
    </row>
    <row r="3479" spans="1:33" x14ac:dyDescent="0.25">
      <c r="A3479" t="str">
        <f>"1427217710"</f>
        <v>1427217710</v>
      </c>
      <c r="B3479" t="str">
        <f>"03636091"</f>
        <v>03636091</v>
      </c>
      <c r="C3479" t="s">
        <v>13436</v>
      </c>
      <c r="D3479" t="s">
        <v>19404</v>
      </c>
      <c r="E3479" t="s">
        <v>19405</v>
      </c>
      <c r="G3479" t="s">
        <v>19406</v>
      </c>
      <c r="L3479" t="s">
        <v>83</v>
      </c>
      <c r="M3479" t="s">
        <v>85</v>
      </c>
      <c r="R3479" t="s">
        <v>19407</v>
      </c>
      <c r="W3479" t="s">
        <v>19405</v>
      </c>
      <c r="X3479" t="s">
        <v>15724</v>
      </c>
      <c r="Y3479" t="s">
        <v>97</v>
      </c>
      <c r="Z3479" t="s">
        <v>77</v>
      </c>
      <c r="AA3479" t="str">
        <f>"10011-2202"</f>
        <v>10011-2202</v>
      </c>
      <c r="AB3479" t="s">
        <v>78</v>
      </c>
      <c r="AC3479" t="s">
        <v>79</v>
      </c>
      <c r="AD3479" t="s">
        <v>75</v>
      </c>
      <c r="AE3479" t="s">
        <v>80</v>
      </c>
      <c r="AG3479" t="s">
        <v>81</v>
      </c>
    </row>
    <row r="3480" spans="1:33" x14ac:dyDescent="0.25">
      <c r="A3480" t="str">
        <f>"1427379346"</f>
        <v>1427379346</v>
      </c>
      <c r="B3480" t="str">
        <f>"03656659"</f>
        <v>03656659</v>
      </c>
      <c r="C3480" t="s">
        <v>13436</v>
      </c>
      <c r="D3480" t="s">
        <v>19408</v>
      </c>
      <c r="E3480" t="s">
        <v>19409</v>
      </c>
      <c r="G3480" t="s">
        <v>19410</v>
      </c>
      <c r="L3480" t="s">
        <v>83</v>
      </c>
      <c r="M3480" t="s">
        <v>85</v>
      </c>
      <c r="R3480" t="s">
        <v>19411</v>
      </c>
      <c r="W3480" t="s">
        <v>19409</v>
      </c>
      <c r="X3480" t="s">
        <v>181</v>
      </c>
      <c r="Y3480" t="s">
        <v>97</v>
      </c>
      <c r="Z3480" t="s">
        <v>77</v>
      </c>
      <c r="AA3480" t="str">
        <f>"10025-1716"</f>
        <v>10025-1716</v>
      </c>
      <c r="AB3480" t="s">
        <v>78</v>
      </c>
      <c r="AC3480" t="s">
        <v>79</v>
      </c>
      <c r="AD3480" t="s">
        <v>75</v>
      </c>
      <c r="AE3480" t="s">
        <v>80</v>
      </c>
      <c r="AG3480" t="s">
        <v>81</v>
      </c>
    </row>
    <row r="3481" spans="1:33" x14ac:dyDescent="0.25">
      <c r="A3481" t="str">
        <f>"1942305685"</f>
        <v>1942305685</v>
      </c>
      <c r="B3481" t="str">
        <f>"00787875"</f>
        <v>00787875</v>
      </c>
      <c r="C3481" t="s">
        <v>19412</v>
      </c>
      <c r="D3481" t="s">
        <v>3194</v>
      </c>
      <c r="E3481" t="s">
        <v>3195</v>
      </c>
      <c r="G3481" t="s">
        <v>19413</v>
      </c>
      <c r="H3481" t="s">
        <v>1084</v>
      </c>
      <c r="I3481">
        <v>160</v>
      </c>
      <c r="J3481" t="s">
        <v>2757</v>
      </c>
      <c r="L3481" t="s">
        <v>84</v>
      </c>
      <c r="M3481" t="s">
        <v>85</v>
      </c>
      <c r="R3481" t="s">
        <v>3196</v>
      </c>
      <c r="W3481" t="s">
        <v>3195</v>
      </c>
      <c r="X3481" t="s">
        <v>3197</v>
      </c>
      <c r="Y3481" t="s">
        <v>87</v>
      </c>
      <c r="Z3481" t="s">
        <v>77</v>
      </c>
      <c r="AA3481" t="str">
        <f>"11206-7303"</f>
        <v>11206-7303</v>
      </c>
      <c r="AB3481" t="s">
        <v>78</v>
      </c>
      <c r="AC3481" t="s">
        <v>79</v>
      </c>
      <c r="AD3481" t="s">
        <v>75</v>
      </c>
      <c r="AE3481" t="s">
        <v>80</v>
      </c>
      <c r="AG3481" t="s">
        <v>81</v>
      </c>
    </row>
    <row r="3482" spans="1:33" x14ac:dyDescent="0.25">
      <c r="A3482" t="str">
        <f>"1477535425"</f>
        <v>1477535425</v>
      </c>
      <c r="B3482" t="str">
        <f>"01863836"</f>
        <v>01863836</v>
      </c>
      <c r="C3482" t="s">
        <v>13436</v>
      </c>
      <c r="D3482" t="s">
        <v>19414</v>
      </c>
      <c r="E3482" t="s">
        <v>19415</v>
      </c>
      <c r="G3482" t="s">
        <v>19416</v>
      </c>
      <c r="L3482" t="s">
        <v>74</v>
      </c>
      <c r="M3482" t="s">
        <v>85</v>
      </c>
      <c r="R3482" t="s">
        <v>19417</v>
      </c>
      <c r="W3482" t="s">
        <v>19415</v>
      </c>
      <c r="X3482" t="s">
        <v>3553</v>
      </c>
      <c r="Y3482" t="s">
        <v>97</v>
      </c>
      <c r="Z3482" t="s">
        <v>77</v>
      </c>
      <c r="AA3482" t="str">
        <f>"10003-0000"</f>
        <v>10003-0000</v>
      </c>
      <c r="AB3482" t="s">
        <v>78</v>
      </c>
      <c r="AC3482" t="s">
        <v>79</v>
      </c>
      <c r="AD3482" t="s">
        <v>75</v>
      </c>
      <c r="AE3482" t="s">
        <v>80</v>
      </c>
      <c r="AG3482" t="s">
        <v>81</v>
      </c>
    </row>
    <row r="3483" spans="1:33" x14ac:dyDescent="0.25">
      <c r="A3483" t="str">
        <f>"1477538015"</f>
        <v>1477538015</v>
      </c>
      <c r="B3483" t="str">
        <f>"02484733"</f>
        <v>02484733</v>
      </c>
      <c r="C3483" t="s">
        <v>13436</v>
      </c>
      <c r="D3483" t="s">
        <v>19418</v>
      </c>
      <c r="E3483" t="s">
        <v>19419</v>
      </c>
      <c r="G3483" t="s">
        <v>19420</v>
      </c>
      <c r="L3483" t="s">
        <v>83</v>
      </c>
      <c r="M3483" t="s">
        <v>85</v>
      </c>
      <c r="R3483" t="s">
        <v>19421</v>
      </c>
      <c r="W3483" t="s">
        <v>19419</v>
      </c>
      <c r="X3483" t="s">
        <v>6922</v>
      </c>
      <c r="Y3483" t="s">
        <v>97</v>
      </c>
      <c r="Z3483" t="s">
        <v>77</v>
      </c>
      <c r="AA3483" t="str">
        <f>"10003-3851"</f>
        <v>10003-3851</v>
      </c>
      <c r="AB3483" t="s">
        <v>78</v>
      </c>
      <c r="AC3483" t="s">
        <v>79</v>
      </c>
      <c r="AD3483" t="s">
        <v>75</v>
      </c>
      <c r="AE3483" t="s">
        <v>80</v>
      </c>
      <c r="AG3483" t="s">
        <v>81</v>
      </c>
    </row>
    <row r="3484" spans="1:33" x14ac:dyDescent="0.25">
      <c r="A3484" t="str">
        <f>"1477542264"</f>
        <v>1477542264</v>
      </c>
      <c r="B3484" t="str">
        <f>"00198072"</f>
        <v>00198072</v>
      </c>
      <c r="C3484" t="s">
        <v>13436</v>
      </c>
      <c r="D3484" t="s">
        <v>19422</v>
      </c>
      <c r="E3484" t="s">
        <v>19423</v>
      </c>
      <c r="G3484" t="s">
        <v>19424</v>
      </c>
      <c r="L3484" t="s">
        <v>83</v>
      </c>
      <c r="M3484" t="s">
        <v>85</v>
      </c>
      <c r="R3484" t="s">
        <v>19425</v>
      </c>
      <c r="W3484" t="s">
        <v>19426</v>
      </c>
      <c r="X3484" t="s">
        <v>1076</v>
      </c>
      <c r="Y3484" t="s">
        <v>97</v>
      </c>
      <c r="Z3484" t="s">
        <v>77</v>
      </c>
      <c r="AA3484" t="str">
        <f>"10025-1737"</f>
        <v>10025-1737</v>
      </c>
      <c r="AB3484" t="s">
        <v>78</v>
      </c>
      <c r="AC3484" t="s">
        <v>79</v>
      </c>
      <c r="AD3484" t="s">
        <v>75</v>
      </c>
      <c r="AE3484" t="s">
        <v>80</v>
      </c>
      <c r="AG3484" t="s">
        <v>81</v>
      </c>
    </row>
    <row r="3485" spans="1:33" x14ac:dyDescent="0.25">
      <c r="A3485" t="str">
        <f>"1477544989"</f>
        <v>1477544989</v>
      </c>
      <c r="B3485" t="str">
        <f>"01777348"</f>
        <v>01777348</v>
      </c>
      <c r="C3485" t="s">
        <v>13436</v>
      </c>
      <c r="D3485" t="s">
        <v>19427</v>
      </c>
      <c r="E3485" t="s">
        <v>19428</v>
      </c>
      <c r="G3485" t="s">
        <v>19429</v>
      </c>
      <c r="L3485" t="s">
        <v>74</v>
      </c>
      <c r="M3485" t="s">
        <v>85</v>
      </c>
      <c r="R3485" t="s">
        <v>19430</v>
      </c>
      <c r="W3485" t="s">
        <v>19428</v>
      </c>
      <c r="X3485" t="s">
        <v>14807</v>
      </c>
      <c r="Y3485" t="s">
        <v>97</v>
      </c>
      <c r="Z3485" t="s">
        <v>77</v>
      </c>
      <c r="AA3485" t="str">
        <f>"10128-7603"</f>
        <v>10128-7603</v>
      </c>
      <c r="AB3485" t="s">
        <v>78</v>
      </c>
      <c r="AC3485" t="s">
        <v>79</v>
      </c>
      <c r="AD3485" t="s">
        <v>75</v>
      </c>
      <c r="AE3485" t="s">
        <v>80</v>
      </c>
      <c r="AG3485" t="s">
        <v>81</v>
      </c>
    </row>
    <row r="3486" spans="1:33" x14ac:dyDescent="0.25">
      <c r="A3486" t="str">
        <f>"1104934736"</f>
        <v>1104934736</v>
      </c>
      <c r="B3486" t="str">
        <f>"02229138"</f>
        <v>02229138</v>
      </c>
      <c r="C3486" t="s">
        <v>13436</v>
      </c>
      <c r="D3486" t="s">
        <v>19431</v>
      </c>
      <c r="E3486" t="s">
        <v>19432</v>
      </c>
      <c r="G3486" t="s">
        <v>19433</v>
      </c>
      <c r="L3486" t="s">
        <v>74</v>
      </c>
      <c r="M3486" t="s">
        <v>85</v>
      </c>
      <c r="R3486" t="s">
        <v>19434</v>
      </c>
      <c r="W3486" t="s">
        <v>19432</v>
      </c>
      <c r="X3486" t="s">
        <v>19435</v>
      </c>
      <c r="Y3486" t="s">
        <v>87</v>
      </c>
      <c r="Z3486" t="s">
        <v>77</v>
      </c>
      <c r="AA3486" t="str">
        <f>"11201-1093"</f>
        <v>11201-1093</v>
      </c>
      <c r="AB3486" t="s">
        <v>78</v>
      </c>
      <c r="AC3486" t="s">
        <v>79</v>
      </c>
      <c r="AD3486" t="s">
        <v>75</v>
      </c>
      <c r="AE3486" t="s">
        <v>80</v>
      </c>
      <c r="AG3486" t="s">
        <v>81</v>
      </c>
    </row>
    <row r="3487" spans="1:33" x14ac:dyDescent="0.25">
      <c r="A3487" t="str">
        <f>"1700857992"</f>
        <v>1700857992</v>
      </c>
      <c r="B3487" t="str">
        <f>"01882264"</f>
        <v>01882264</v>
      </c>
      <c r="C3487" t="s">
        <v>13436</v>
      </c>
      <c r="D3487" t="s">
        <v>19436</v>
      </c>
      <c r="E3487" t="s">
        <v>19437</v>
      </c>
      <c r="G3487" t="s">
        <v>19438</v>
      </c>
      <c r="L3487" t="s">
        <v>83</v>
      </c>
      <c r="M3487" t="s">
        <v>85</v>
      </c>
      <c r="R3487" t="s">
        <v>19439</v>
      </c>
      <c r="W3487" t="s">
        <v>19437</v>
      </c>
      <c r="X3487" t="s">
        <v>19440</v>
      </c>
      <c r="Y3487" t="s">
        <v>97</v>
      </c>
      <c r="Z3487" t="s">
        <v>77</v>
      </c>
      <c r="AA3487" t="str">
        <f>"10016-0701"</f>
        <v>10016-0701</v>
      </c>
      <c r="AB3487" t="s">
        <v>128</v>
      </c>
      <c r="AC3487" t="s">
        <v>79</v>
      </c>
      <c r="AD3487" t="s">
        <v>75</v>
      </c>
      <c r="AE3487" t="s">
        <v>80</v>
      </c>
      <c r="AG3487" t="s">
        <v>81</v>
      </c>
    </row>
    <row r="3488" spans="1:33" x14ac:dyDescent="0.25">
      <c r="A3488" t="str">
        <f>"1700867728"</f>
        <v>1700867728</v>
      </c>
      <c r="B3488" t="str">
        <f>"00480704"</f>
        <v>00480704</v>
      </c>
      <c r="C3488" t="s">
        <v>13436</v>
      </c>
      <c r="D3488" t="s">
        <v>19441</v>
      </c>
      <c r="E3488" t="s">
        <v>19442</v>
      </c>
      <c r="G3488" t="s">
        <v>19443</v>
      </c>
      <c r="L3488" t="s">
        <v>74</v>
      </c>
      <c r="M3488" t="s">
        <v>85</v>
      </c>
      <c r="R3488" t="s">
        <v>19444</v>
      </c>
      <c r="W3488" t="s">
        <v>19442</v>
      </c>
      <c r="X3488" t="s">
        <v>19445</v>
      </c>
      <c r="Y3488" t="s">
        <v>97</v>
      </c>
      <c r="Z3488" t="s">
        <v>77</v>
      </c>
      <c r="AA3488" t="str">
        <f>"10003-4201"</f>
        <v>10003-4201</v>
      </c>
      <c r="AB3488" t="s">
        <v>78</v>
      </c>
      <c r="AC3488" t="s">
        <v>79</v>
      </c>
      <c r="AD3488" t="s">
        <v>75</v>
      </c>
      <c r="AE3488" t="s">
        <v>80</v>
      </c>
      <c r="AG3488" t="s">
        <v>81</v>
      </c>
    </row>
    <row r="3489" spans="1:33" x14ac:dyDescent="0.25">
      <c r="A3489" t="str">
        <f>"1689636268"</f>
        <v>1689636268</v>
      </c>
      <c r="B3489" t="str">
        <f>"00930176"</f>
        <v>00930176</v>
      </c>
      <c r="C3489" t="s">
        <v>19446</v>
      </c>
      <c r="D3489" t="s">
        <v>19447</v>
      </c>
      <c r="E3489" t="s">
        <v>19448</v>
      </c>
      <c r="G3489" t="s">
        <v>13504</v>
      </c>
      <c r="H3489" t="s">
        <v>13505</v>
      </c>
      <c r="J3489" t="s">
        <v>13506</v>
      </c>
      <c r="L3489" t="s">
        <v>84</v>
      </c>
      <c r="M3489" t="s">
        <v>85</v>
      </c>
      <c r="R3489" t="s">
        <v>19449</v>
      </c>
      <c r="W3489" t="s">
        <v>19448</v>
      </c>
      <c r="X3489" t="s">
        <v>202</v>
      </c>
      <c r="Y3489" t="s">
        <v>87</v>
      </c>
      <c r="Z3489" t="s">
        <v>77</v>
      </c>
      <c r="AA3489" t="str">
        <f>"11201-5425"</f>
        <v>11201-5425</v>
      </c>
      <c r="AB3489" t="s">
        <v>78</v>
      </c>
      <c r="AC3489" t="s">
        <v>79</v>
      </c>
      <c r="AD3489" t="s">
        <v>75</v>
      </c>
      <c r="AE3489" t="s">
        <v>80</v>
      </c>
      <c r="AG3489" t="s">
        <v>81</v>
      </c>
    </row>
    <row r="3490" spans="1:33" x14ac:dyDescent="0.25">
      <c r="A3490" t="str">
        <f>"1154548410"</f>
        <v>1154548410</v>
      </c>
      <c r="B3490" t="str">
        <f>"00894968"</f>
        <v>00894968</v>
      </c>
      <c r="C3490" t="s">
        <v>19450</v>
      </c>
      <c r="D3490" t="s">
        <v>19451</v>
      </c>
      <c r="E3490" t="s">
        <v>19452</v>
      </c>
      <c r="G3490" t="s">
        <v>13504</v>
      </c>
      <c r="H3490" t="s">
        <v>13505</v>
      </c>
      <c r="J3490" t="s">
        <v>13506</v>
      </c>
      <c r="L3490" t="s">
        <v>84</v>
      </c>
      <c r="M3490" t="s">
        <v>75</v>
      </c>
      <c r="R3490" t="s">
        <v>19453</v>
      </c>
      <c r="W3490" t="s">
        <v>19452</v>
      </c>
      <c r="X3490" t="s">
        <v>19454</v>
      </c>
      <c r="Y3490" t="s">
        <v>87</v>
      </c>
      <c r="Z3490" t="s">
        <v>77</v>
      </c>
      <c r="AA3490" t="str">
        <f>"11211-4968"</f>
        <v>11211-4968</v>
      </c>
      <c r="AB3490" t="s">
        <v>78</v>
      </c>
      <c r="AC3490" t="s">
        <v>79</v>
      </c>
      <c r="AD3490" t="s">
        <v>75</v>
      </c>
      <c r="AE3490" t="s">
        <v>80</v>
      </c>
      <c r="AG3490" t="s">
        <v>81</v>
      </c>
    </row>
    <row r="3491" spans="1:33" x14ac:dyDescent="0.25">
      <c r="A3491" t="str">
        <f>"1215061544"</f>
        <v>1215061544</v>
      </c>
      <c r="B3491" t="str">
        <f>"03647505"</f>
        <v>03647505</v>
      </c>
      <c r="C3491" t="s">
        <v>19455</v>
      </c>
      <c r="D3491" t="s">
        <v>19456</v>
      </c>
      <c r="E3491" t="s">
        <v>19457</v>
      </c>
      <c r="G3491" t="s">
        <v>7218</v>
      </c>
      <c r="H3491" t="s">
        <v>6801</v>
      </c>
      <c r="I3491">
        <v>6136</v>
      </c>
      <c r="J3491" t="s">
        <v>7219</v>
      </c>
      <c r="L3491" t="s">
        <v>74</v>
      </c>
      <c r="M3491" t="s">
        <v>75</v>
      </c>
      <c r="R3491" t="s">
        <v>19457</v>
      </c>
      <c r="W3491" t="s">
        <v>19457</v>
      </c>
      <c r="X3491" t="s">
        <v>8686</v>
      </c>
      <c r="Y3491" t="s">
        <v>145</v>
      </c>
      <c r="Z3491" t="s">
        <v>77</v>
      </c>
      <c r="AA3491" t="str">
        <f>"11361-3241"</f>
        <v>11361-3241</v>
      </c>
      <c r="AB3491" t="s">
        <v>109</v>
      </c>
      <c r="AC3491" t="s">
        <v>79</v>
      </c>
      <c r="AD3491" t="s">
        <v>75</v>
      </c>
      <c r="AE3491" t="s">
        <v>80</v>
      </c>
      <c r="AG3491" t="s">
        <v>81</v>
      </c>
    </row>
    <row r="3492" spans="1:33" x14ac:dyDescent="0.25">
      <c r="A3492" t="str">
        <f>"1215228309"</f>
        <v>1215228309</v>
      </c>
      <c r="C3492" t="s">
        <v>19458</v>
      </c>
      <c r="G3492" t="s">
        <v>7218</v>
      </c>
      <c r="H3492" t="s">
        <v>6801</v>
      </c>
      <c r="I3492">
        <v>6136</v>
      </c>
      <c r="J3492" t="s">
        <v>7219</v>
      </c>
      <c r="K3492" t="s">
        <v>99</v>
      </c>
      <c r="L3492" t="s">
        <v>74</v>
      </c>
      <c r="M3492" t="s">
        <v>75</v>
      </c>
      <c r="R3492" t="s">
        <v>19459</v>
      </c>
      <c r="S3492" t="s">
        <v>19460</v>
      </c>
      <c r="T3492" t="s">
        <v>97</v>
      </c>
      <c r="U3492" t="s">
        <v>77</v>
      </c>
      <c r="V3492" t="str">
        <f>"102821026"</f>
        <v>102821026</v>
      </c>
      <c r="AC3492" t="s">
        <v>79</v>
      </c>
      <c r="AD3492" t="s">
        <v>75</v>
      </c>
      <c r="AE3492" t="s">
        <v>103</v>
      </c>
      <c r="AG3492" t="s">
        <v>81</v>
      </c>
    </row>
    <row r="3493" spans="1:33" x14ac:dyDescent="0.25">
      <c r="A3493" t="str">
        <f>"1336326537"</f>
        <v>1336326537</v>
      </c>
      <c r="B3493" t="str">
        <f>"03372974"</f>
        <v>03372974</v>
      </c>
      <c r="C3493" t="s">
        <v>13436</v>
      </c>
      <c r="D3493" t="s">
        <v>19461</v>
      </c>
      <c r="E3493" t="s">
        <v>19462</v>
      </c>
      <c r="G3493" t="s">
        <v>19463</v>
      </c>
      <c r="L3493" t="s">
        <v>83</v>
      </c>
      <c r="M3493" t="s">
        <v>85</v>
      </c>
      <c r="R3493" t="s">
        <v>19462</v>
      </c>
      <c r="W3493" t="s">
        <v>19464</v>
      </c>
      <c r="X3493" t="s">
        <v>181</v>
      </c>
      <c r="Y3493" t="s">
        <v>97</v>
      </c>
      <c r="Z3493" t="s">
        <v>77</v>
      </c>
      <c r="AA3493" t="str">
        <f>"10025-1716"</f>
        <v>10025-1716</v>
      </c>
      <c r="AB3493" t="s">
        <v>78</v>
      </c>
      <c r="AC3493" t="s">
        <v>79</v>
      </c>
      <c r="AD3493" t="s">
        <v>75</v>
      </c>
      <c r="AE3493" t="s">
        <v>80</v>
      </c>
      <c r="AG3493" t="s">
        <v>81</v>
      </c>
    </row>
    <row r="3494" spans="1:33" x14ac:dyDescent="0.25">
      <c r="A3494" t="str">
        <f>"1336462233"</f>
        <v>1336462233</v>
      </c>
      <c r="B3494" t="str">
        <f>"03322314"</f>
        <v>03322314</v>
      </c>
      <c r="C3494" t="s">
        <v>13436</v>
      </c>
      <c r="D3494" t="s">
        <v>19465</v>
      </c>
      <c r="E3494" t="s">
        <v>19466</v>
      </c>
      <c r="G3494" t="s">
        <v>19467</v>
      </c>
      <c r="L3494" t="s">
        <v>83</v>
      </c>
      <c r="M3494" t="s">
        <v>85</v>
      </c>
      <c r="R3494" t="s">
        <v>19468</v>
      </c>
      <c r="W3494" t="s">
        <v>19466</v>
      </c>
      <c r="X3494" t="s">
        <v>5248</v>
      </c>
      <c r="Y3494" t="s">
        <v>97</v>
      </c>
      <c r="Z3494" t="s">
        <v>77</v>
      </c>
      <c r="AA3494" t="str">
        <f>"10023-7410"</f>
        <v>10023-7410</v>
      </c>
      <c r="AB3494" t="s">
        <v>78</v>
      </c>
      <c r="AC3494" t="s">
        <v>79</v>
      </c>
      <c r="AD3494" t="s">
        <v>75</v>
      </c>
      <c r="AE3494" t="s">
        <v>80</v>
      </c>
      <c r="AG3494" t="s">
        <v>81</v>
      </c>
    </row>
    <row r="3495" spans="1:33" x14ac:dyDescent="0.25">
      <c r="A3495" t="str">
        <f>"1336464924"</f>
        <v>1336464924</v>
      </c>
      <c r="B3495" t="str">
        <f>"03735691"</f>
        <v>03735691</v>
      </c>
      <c r="C3495" t="s">
        <v>13436</v>
      </c>
      <c r="D3495" t="s">
        <v>19469</v>
      </c>
      <c r="E3495" t="s">
        <v>19470</v>
      </c>
      <c r="G3495" t="s">
        <v>19471</v>
      </c>
      <c r="L3495" t="s">
        <v>74</v>
      </c>
      <c r="M3495" t="s">
        <v>85</v>
      </c>
      <c r="R3495" t="s">
        <v>19472</v>
      </c>
      <c r="W3495" t="s">
        <v>19470</v>
      </c>
      <c r="X3495" t="s">
        <v>5307</v>
      </c>
      <c r="Y3495" t="s">
        <v>97</v>
      </c>
      <c r="Z3495" t="s">
        <v>77</v>
      </c>
      <c r="AA3495" t="str">
        <f>"10003-0000"</f>
        <v>10003-0000</v>
      </c>
      <c r="AB3495" t="s">
        <v>78</v>
      </c>
      <c r="AC3495" t="s">
        <v>79</v>
      </c>
      <c r="AD3495" t="s">
        <v>75</v>
      </c>
      <c r="AE3495" t="s">
        <v>80</v>
      </c>
      <c r="AG3495" t="s">
        <v>81</v>
      </c>
    </row>
    <row r="3496" spans="1:33" x14ac:dyDescent="0.25">
      <c r="A3496" t="str">
        <f>"1346360161"</f>
        <v>1346360161</v>
      </c>
      <c r="B3496" t="str">
        <f>"02925033"</f>
        <v>02925033</v>
      </c>
      <c r="C3496" t="s">
        <v>13436</v>
      </c>
      <c r="D3496" t="s">
        <v>19473</v>
      </c>
      <c r="E3496" t="s">
        <v>19474</v>
      </c>
      <c r="G3496" t="s">
        <v>19475</v>
      </c>
      <c r="L3496" t="s">
        <v>83</v>
      </c>
      <c r="M3496" t="s">
        <v>85</v>
      </c>
      <c r="R3496" t="s">
        <v>19476</v>
      </c>
      <c r="W3496" t="s">
        <v>19477</v>
      </c>
      <c r="X3496" t="s">
        <v>4640</v>
      </c>
      <c r="Y3496" t="s">
        <v>97</v>
      </c>
      <c r="Z3496" t="s">
        <v>77</v>
      </c>
      <c r="AA3496" t="str">
        <f>"10019-1104"</f>
        <v>10019-1104</v>
      </c>
      <c r="AB3496" t="s">
        <v>78</v>
      </c>
      <c r="AC3496" t="s">
        <v>79</v>
      </c>
      <c r="AD3496" t="s">
        <v>75</v>
      </c>
      <c r="AE3496" t="s">
        <v>80</v>
      </c>
      <c r="AG3496" t="s">
        <v>81</v>
      </c>
    </row>
    <row r="3497" spans="1:33" x14ac:dyDescent="0.25">
      <c r="A3497" t="str">
        <f>"1386711612"</f>
        <v>1386711612</v>
      </c>
      <c r="B3497" t="str">
        <f>"00699972"</f>
        <v>00699972</v>
      </c>
      <c r="C3497" t="s">
        <v>19478</v>
      </c>
      <c r="D3497" t="s">
        <v>2560</v>
      </c>
      <c r="E3497" t="s">
        <v>2561</v>
      </c>
      <c r="G3497" t="s">
        <v>19478</v>
      </c>
      <c r="H3497" t="s">
        <v>19479</v>
      </c>
      <c r="J3497" t="s">
        <v>19480</v>
      </c>
      <c r="L3497" t="s">
        <v>84</v>
      </c>
      <c r="M3497" t="s">
        <v>75</v>
      </c>
      <c r="R3497" t="s">
        <v>2559</v>
      </c>
      <c r="W3497" t="s">
        <v>2561</v>
      </c>
      <c r="X3497" t="s">
        <v>2562</v>
      </c>
      <c r="Y3497" t="s">
        <v>95</v>
      </c>
      <c r="Z3497" t="s">
        <v>77</v>
      </c>
      <c r="AA3497" t="str">
        <f>"12208-2126"</f>
        <v>12208-2126</v>
      </c>
      <c r="AB3497" t="s">
        <v>78</v>
      </c>
      <c r="AC3497" t="s">
        <v>79</v>
      </c>
      <c r="AD3497" t="s">
        <v>75</v>
      </c>
      <c r="AE3497" t="s">
        <v>80</v>
      </c>
      <c r="AG3497" t="s">
        <v>81</v>
      </c>
    </row>
    <row r="3498" spans="1:33" x14ac:dyDescent="0.25">
      <c r="A3498" t="str">
        <f>"1124187307"</f>
        <v>1124187307</v>
      </c>
      <c r="B3498" t="str">
        <f>"00566418"</f>
        <v>00566418</v>
      </c>
      <c r="C3498" t="s">
        <v>19481</v>
      </c>
      <c r="D3498" t="s">
        <v>2564</v>
      </c>
      <c r="E3498" t="s">
        <v>2565</v>
      </c>
      <c r="G3498" t="s">
        <v>19481</v>
      </c>
      <c r="H3498" t="s">
        <v>19479</v>
      </c>
      <c r="L3498" t="s">
        <v>84</v>
      </c>
      <c r="M3498" t="s">
        <v>75</v>
      </c>
      <c r="R3498" t="s">
        <v>2563</v>
      </c>
      <c r="W3498" t="s">
        <v>2566</v>
      </c>
      <c r="X3498" t="s">
        <v>1815</v>
      </c>
      <c r="Y3498" t="s">
        <v>1764</v>
      </c>
      <c r="Z3498" t="s">
        <v>77</v>
      </c>
      <c r="AA3498" t="str">
        <f>"12184-2303"</f>
        <v>12184-2303</v>
      </c>
      <c r="AB3498" t="s">
        <v>78</v>
      </c>
      <c r="AC3498" t="s">
        <v>79</v>
      </c>
      <c r="AD3498" t="s">
        <v>75</v>
      </c>
      <c r="AE3498" t="s">
        <v>80</v>
      </c>
      <c r="AG3498" t="s">
        <v>81</v>
      </c>
    </row>
    <row r="3499" spans="1:33" x14ac:dyDescent="0.25">
      <c r="A3499" t="str">
        <f>"1114925716"</f>
        <v>1114925716</v>
      </c>
      <c r="B3499" t="str">
        <f>"00961344"</f>
        <v>00961344</v>
      </c>
      <c r="C3499" t="s">
        <v>19482</v>
      </c>
      <c r="D3499" t="s">
        <v>2276</v>
      </c>
      <c r="E3499" t="s">
        <v>2277</v>
      </c>
      <c r="G3499" t="s">
        <v>19482</v>
      </c>
      <c r="H3499" t="s">
        <v>19483</v>
      </c>
      <c r="L3499" t="s">
        <v>84</v>
      </c>
      <c r="M3499" t="s">
        <v>75</v>
      </c>
      <c r="R3499" t="s">
        <v>2275</v>
      </c>
      <c r="W3499" t="s">
        <v>2278</v>
      </c>
      <c r="X3499" t="s">
        <v>1762</v>
      </c>
      <c r="Y3499" t="s">
        <v>1763</v>
      </c>
      <c r="Z3499" t="s">
        <v>77</v>
      </c>
      <c r="AA3499" t="str">
        <f>"12106"</f>
        <v>12106</v>
      </c>
      <c r="AB3499" t="s">
        <v>78</v>
      </c>
      <c r="AC3499" t="s">
        <v>79</v>
      </c>
      <c r="AD3499" t="s">
        <v>75</v>
      </c>
      <c r="AE3499" t="s">
        <v>80</v>
      </c>
      <c r="AG3499" t="s">
        <v>81</v>
      </c>
    </row>
    <row r="3500" spans="1:33" x14ac:dyDescent="0.25">
      <c r="A3500" t="str">
        <f>"1538152681"</f>
        <v>1538152681</v>
      </c>
      <c r="B3500" t="str">
        <f>"01598594"</f>
        <v>01598594</v>
      </c>
      <c r="C3500" t="s">
        <v>19484</v>
      </c>
      <c r="D3500" t="s">
        <v>19485</v>
      </c>
      <c r="E3500" t="s">
        <v>19486</v>
      </c>
      <c r="G3500" t="s">
        <v>13504</v>
      </c>
      <c r="H3500" t="s">
        <v>13505</v>
      </c>
      <c r="J3500" t="s">
        <v>13506</v>
      </c>
      <c r="L3500" t="s">
        <v>83</v>
      </c>
      <c r="M3500" t="s">
        <v>75</v>
      </c>
      <c r="R3500" t="s">
        <v>19487</v>
      </c>
      <c r="W3500" t="s">
        <v>19486</v>
      </c>
      <c r="X3500" t="s">
        <v>19488</v>
      </c>
      <c r="Y3500" t="s">
        <v>129</v>
      </c>
      <c r="Z3500" t="s">
        <v>77</v>
      </c>
      <c r="AA3500" t="str">
        <f>"11372-6538"</f>
        <v>11372-6538</v>
      </c>
      <c r="AB3500" t="s">
        <v>78</v>
      </c>
      <c r="AC3500" t="s">
        <v>79</v>
      </c>
      <c r="AD3500" t="s">
        <v>75</v>
      </c>
      <c r="AE3500" t="s">
        <v>80</v>
      </c>
      <c r="AG3500" t="s">
        <v>81</v>
      </c>
    </row>
    <row r="3501" spans="1:33" x14ac:dyDescent="0.25">
      <c r="A3501" t="str">
        <f>"1588706345"</f>
        <v>1588706345</v>
      </c>
      <c r="B3501" t="str">
        <f>"02128756"</f>
        <v>02128756</v>
      </c>
      <c r="C3501" t="s">
        <v>19489</v>
      </c>
      <c r="D3501" t="s">
        <v>19490</v>
      </c>
      <c r="E3501" t="s">
        <v>19491</v>
      </c>
      <c r="G3501" t="s">
        <v>13504</v>
      </c>
      <c r="H3501" t="s">
        <v>13505</v>
      </c>
      <c r="J3501" t="s">
        <v>13506</v>
      </c>
      <c r="L3501" t="s">
        <v>83</v>
      </c>
      <c r="M3501" t="s">
        <v>85</v>
      </c>
      <c r="R3501" t="s">
        <v>19492</v>
      </c>
      <c r="W3501" t="s">
        <v>19491</v>
      </c>
      <c r="X3501" t="s">
        <v>19493</v>
      </c>
      <c r="Y3501" t="s">
        <v>131</v>
      </c>
      <c r="Z3501" t="s">
        <v>77</v>
      </c>
      <c r="AA3501" t="str">
        <f>"10457-7606"</f>
        <v>10457-7606</v>
      </c>
      <c r="AB3501" t="s">
        <v>78</v>
      </c>
      <c r="AC3501" t="s">
        <v>79</v>
      </c>
      <c r="AD3501" t="s">
        <v>75</v>
      </c>
      <c r="AE3501" t="s">
        <v>80</v>
      </c>
      <c r="AG3501" t="s">
        <v>81</v>
      </c>
    </row>
    <row r="3502" spans="1:33" x14ac:dyDescent="0.25">
      <c r="A3502" t="str">
        <f>"1689754772"</f>
        <v>1689754772</v>
      </c>
      <c r="B3502" t="str">
        <f>"01588265"</f>
        <v>01588265</v>
      </c>
      <c r="C3502" t="s">
        <v>19494</v>
      </c>
      <c r="D3502" t="s">
        <v>19495</v>
      </c>
      <c r="E3502" t="s">
        <v>19496</v>
      </c>
      <c r="G3502" t="s">
        <v>13504</v>
      </c>
      <c r="H3502" t="s">
        <v>13505</v>
      </c>
      <c r="J3502" t="s">
        <v>13506</v>
      </c>
      <c r="L3502" t="s">
        <v>83</v>
      </c>
      <c r="M3502" t="s">
        <v>85</v>
      </c>
      <c r="R3502" t="s">
        <v>19496</v>
      </c>
      <c r="W3502" t="s">
        <v>19496</v>
      </c>
      <c r="X3502" t="s">
        <v>272</v>
      </c>
      <c r="Y3502" t="s">
        <v>97</v>
      </c>
      <c r="Z3502" t="s">
        <v>77</v>
      </c>
      <c r="AA3502" t="str">
        <f>"10029-6501"</f>
        <v>10029-6501</v>
      </c>
      <c r="AB3502" t="s">
        <v>78</v>
      </c>
      <c r="AC3502" t="s">
        <v>79</v>
      </c>
      <c r="AD3502" t="s">
        <v>75</v>
      </c>
      <c r="AE3502" t="s">
        <v>80</v>
      </c>
      <c r="AG3502" t="s">
        <v>81</v>
      </c>
    </row>
    <row r="3503" spans="1:33" x14ac:dyDescent="0.25">
      <c r="A3503" t="str">
        <f>"1235165382"</f>
        <v>1235165382</v>
      </c>
      <c r="B3503" t="str">
        <f>"01768607"</f>
        <v>01768607</v>
      </c>
      <c r="C3503" t="s">
        <v>19497</v>
      </c>
      <c r="D3503" t="s">
        <v>19498</v>
      </c>
      <c r="E3503" t="s">
        <v>19499</v>
      </c>
      <c r="G3503" t="s">
        <v>13504</v>
      </c>
      <c r="H3503" t="s">
        <v>13505</v>
      </c>
      <c r="J3503" t="s">
        <v>13506</v>
      </c>
      <c r="L3503" t="s">
        <v>83</v>
      </c>
      <c r="M3503" t="s">
        <v>75</v>
      </c>
      <c r="R3503" t="s">
        <v>19500</v>
      </c>
      <c r="W3503" t="s">
        <v>19499</v>
      </c>
      <c r="X3503" t="s">
        <v>984</v>
      </c>
      <c r="Y3503" t="s">
        <v>97</v>
      </c>
      <c r="Z3503" t="s">
        <v>77</v>
      </c>
      <c r="AA3503" t="str">
        <f>"10029-7491"</f>
        <v>10029-7491</v>
      </c>
      <c r="AB3503" t="s">
        <v>78</v>
      </c>
      <c r="AC3503" t="s">
        <v>79</v>
      </c>
      <c r="AD3503" t="s">
        <v>75</v>
      </c>
      <c r="AE3503" t="s">
        <v>80</v>
      </c>
      <c r="AG3503" t="s">
        <v>81</v>
      </c>
    </row>
    <row r="3504" spans="1:33" x14ac:dyDescent="0.25">
      <c r="A3504" t="str">
        <f>"1225050024"</f>
        <v>1225050024</v>
      </c>
      <c r="B3504" t="str">
        <f>"01717817"</f>
        <v>01717817</v>
      </c>
      <c r="C3504" t="s">
        <v>19501</v>
      </c>
      <c r="D3504" t="s">
        <v>19502</v>
      </c>
      <c r="E3504" t="s">
        <v>19503</v>
      </c>
      <c r="G3504" t="s">
        <v>13504</v>
      </c>
      <c r="H3504" t="s">
        <v>13505</v>
      </c>
      <c r="J3504" t="s">
        <v>13506</v>
      </c>
      <c r="L3504" t="s">
        <v>74</v>
      </c>
      <c r="M3504" t="s">
        <v>75</v>
      </c>
      <c r="R3504" t="s">
        <v>19504</v>
      </c>
      <c r="W3504" t="s">
        <v>19503</v>
      </c>
      <c r="X3504" t="s">
        <v>642</v>
      </c>
      <c r="Y3504" t="s">
        <v>87</v>
      </c>
      <c r="Z3504" t="s">
        <v>77</v>
      </c>
      <c r="AA3504" t="str">
        <f>"11201-5493"</f>
        <v>11201-5493</v>
      </c>
      <c r="AB3504" t="s">
        <v>78</v>
      </c>
      <c r="AC3504" t="s">
        <v>79</v>
      </c>
      <c r="AD3504" t="s">
        <v>75</v>
      </c>
      <c r="AE3504" t="s">
        <v>80</v>
      </c>
      <c r="AG3504" t="s">
        <v>81</v>
      </c>
    </row>
    <row r="3505" spans="1:33" x14ac:dyDescent="0.25">
      <c r="A3505" t="str">
        <f>"1114923323"</f>
        <v>1114923323</v>
      </c>
      <c r="B3505" t="str">
        <f>"01770552"</f>
        <v>01770552</v>
      </c>
      <c r="C3505" t="s">
        <v>19505</v>
      </c>
      <c r="D3505" t="s">
        <v>19506</v>
      </c>
      <c r="E3505" t="s">
        <v>19507</v>
      </c>
      <c r="G3505" t="s">
        <v>13504</v>
      </c>
      <c r="H3505" t="s">
        <v>13505</v>
      </c>
      <c r="J3505" t="s">
        <v>13506</v>
      </c>
      <c r="L3505" t="s">
        <v>83</v>
      </c>
      <c r="M3505" t="s">
        <v>75</v>
      </c>
      <c r="R3505" t="s">
        <v>19508</v>
      </c>
      <c r="W3505" t="s">
        <v>19507</v>
      </c>
      <c r="X3505" t="s">
        <v>19509</v>
      </c>
      <c r="Y3505" t="s">
        <v>161</v>
      </c>
      <c r="Z3505" t="s">
        <v>77</v>
      </c>
      <c r="AA3505" t="str">
        <f>"11040-1496"</f>
        <v>11040-1496</v>
      </c>
      <c r="AB3505" t="s">
        <v>78</v>
      </c>
      <c r="AC3505" t="s">
        <v>79</v>
      </c>
      <c r="AD3505" t="s">
        <v>75</v>
      </c>
      <c r="AE3505" t="s">
        <v>80</v>
      </c>
      <c r="AG3505" t="s">
        <v>81</v>
      </c>
    </row>
    <row r="3506" spans="1:33" x14ac:dyDescent="0.25">
      <c r="A3506" t="str">
        <f>"1295741395"</f>
        <v>1295741395</v>
      </c>
      <c r="B3506" t="str">
        <f>"01682957"</f>
        <v>01682957</v>
      </c>
      <c r="C3506" t="s">
        <v>19510</v>
      </c>
      <c r="D3506" t="s">
        <v>19511</v>
      </c>
      <c r="E3506" t="s">
        <v>19512</v>
      </c>
      <c r="G3506" t="s">
        <v>13504</v>
      </c>
      <c r="H3506" t="s">
        <v>13505</v>
      </c>
      <c r="J3506" t="s">
        <v>13506</v>
      </c>
      <c r="L3506" t="s">
        <v>74</v>
      </c>
      <c r="M3506" t="s">
        <v>75</v>
      </c>
      <c r="R3506" t="s">
        <v>19513</v>
      </c>
      <c r="W3506" t="s">
        <v>19512</v>
      </c>
      <c r="X3506" t="s">
        <v>19514</v>
      </c>
      <c r="Y3506" t="s">
        <v>87</v>
      </c>
      <c r="Z3506" t="s">
        <v>77</v>
      </c>
      <c r="AA3506" t="str">
        <f>"11228-3236"</f>
        <v>11228-3236</v>
      </c>
      <c r="AB3506" t="s">
        <v>78</v>
      </c>
      <c r="AC3506" t="s">
        <v>79</v>
      </c>
      <c r="AD3506" t="s">
        <v>75</v>
      </c>
      <c r="AE3506" t="s">
        <v>80</v>
      </c>
      <c r="AG3506" t="s">
        <v>81</v>
      </c>
    </row>
    <row r="3507" spans="1:33" x14ac:dyDescent="0.25">
      <c r="A3507" t="str">
        <f>"1710131982"</f>
        <v>1710131982</v>
      </c>
      <c r="B3507" t="str">
        <f>"01691905"</f>
        <v>01691905</v>
      </c>
      <c r="C3507" t="s">
        <v>19515</v>
      </c>
      <c r="D3507" t="s">
        <v>19516</v>
      </c>
      <c r="E3507" t="s">
        <v>19517</v>
      </c>
      <c r="G3507" t="s">
        <v>7218</v>
      </c>
      <c r="H3507" t="s">
        <v>6801</v>
      </c>
      <c r="I3507">
        <v>6136</v>
      </c>
      <c r="J3507" t="s">
        <v>7219</v>
      </c>
      <c r="L3507" t="s">
        <v>74</v>
      </c>
      <c r="M3507" t="s">
        <v>75</v>
      </c>
      <c r="R3507" t="s">
        <v>19518</v>
      </c>
      <c r="W3507" t="s">
        <v>19517</v>
      </c>
      <c r="X3507" t="s">
        <v>19519</v>
      </c>
      <c r="Y3507" t="s">
        <v>155</v>
      </c>
      <c r="Z3507" t="s">
        <v>77</v>
      </c>
      <c r="AA3507" t="str">
        <f>"10312-3410"</f>
        <v>10312-3410</v>
      </c>
      <c r="AB3507" t="s">
        <v>109</v>
      </c>
      <c r="AC3507" t="s">
        <v>79</v>
      </c>
      <c r="AD3507" t="s">
        <v>75</v>
      </c>
      <c r="AE3507" t="s">
        <v>80</v>
      </c>
      <c r="AG3507" t="s">
        <v>81</v>
      </c>
    </row>
    <row r="3508" spans="1:33" x14ac:dyDescent="0.25">
      <c r="A3508" t="str">
        <f>"1710201132"</f>
        <v>1710201132</v>
      </c>
      <c r="C3508" t="s">
        <v>19520</v>
      </c>
      <c r="G3508" t="s">
        <v>7218</v>
      </c>
      <c r="H3508" t="s">
        <v>6801</v>
      </c>
      <c r="I3508">
        <v>6136</v>
      </c>
      <c r="J3508" t="s">
        <v>7219</v>
      </c>
      <c r="K3508" t="s">
        <v>99</v>
      </c>
      <c r="L3508" t="s">
        <v>102</v>
      </c>
      <c r="M3508" t="s">
        <v>75</v>
      </c>
      <c r="R3508" t="s">
        <v>19521</v>
      </c>
      <c r="S3508" t="s">
        <v>8385</v>
      </c>
      <c r="T3508" t="s">
        <v>97</v>
      </c>
      <c r="U3508" t="s">
        <v>77</v>
      </c>
      <c r="V3508" t="str">
        <f>"100012320"</f>
        <v>100012320</v>
      </c>
      <c r="AC3508" t="s">
        <v>79</v>
      </c>
      <c r="AD3508" t="s">
        <v>75</v>
      </c>
      <c r="AE3508" t="s">
        <v>103</v>
      </c>
      <c r="AG3508" t="s">
        <v>81</v>
      </c>
    </row>
    <row r="3509" spans="1:33" x14ac:dyDescent="0.25">
      <c r="A3509" t="str">
        <f>"1710224209"</f>
        <v>1710224209</v>
      </c>
      <c r="C3509" t="s">
        <v>19522</v>
      </c>
      <c r="G3509" t="s">
        <v>7218</v>
      </c>
      <c r="H3509" t="s">
        <v>6801</v>
      </c>
      <c r="I3509">
        <v>6136</v>
      </c>
      <c r="J3509" t="s">
        <v>7219</v>
      </c>
      <c r="K3509" t="s">
        <v>99</v>
      </c>
      <c r="L3509" t="s">
        <v>74</v>
      </c>
      <c r="M3509" t="s">
        <v>75</v>
      </c>
      <c r="R3509" t="s">
        <v>19523</v>
      </c>
      <c r="S3509" t="s">
        <v>6229</v>
      </c>
      <c r="T3509" t="s">
        <v>97</v>
      </c>
      <c r="U3509" t="s">
        <v>77</v>
      </c>
      <c r="V3509" t="str">
        <f>"100012320"</f>
        <v>100012320</v>
      </c>
      <c r="AC3509" t="s">
        <v>79</v>
      </c>
      <c r="AD3509" t="s">
        <v>75</v>
      </c>
      <c r="AE3509" t="s">
        <v>103</v>
      </c>
      <c r="AG3509" t="s">
        <v>81</v>
      </c>
    </row>
    <row r="3510" spans="1:33" x14ac:dyDescent="0.25">
      <c r="A3510" t="str">
        <f>"1710288196"</f>
        <v>1710288196</v>
      </c>
      <c r="C3510" t="s">
        <v>19524</v>
      </c>
      <c r="G3510" t="s">
        <v>7218</v>
      </c>
      <c r="H3510" t="s">
        <v>6801</v>
      </c>
      <c r="I3510">
        <v>6136</v>
      </c>
      <c r="J3510" t="s">
        <v>7219</v>
      </c>
      <c r="K3510" t="s">
        <v>99</v>
      </c>
      <c r="L3510" t="s">
        <v>102</v>
      </c>
      <c r="M3510" t="s">
        <v>75</v>
      </c>
      <c r="R3510" t="s">
        <v>19525</v>
      </c>
      <c r="S3510" t="s">
        <v>19526</v>
      </c>
      <c r="T3510" t="s">
        <v>87</v>
      </c>
      <c r="U3510" t="s">
        <v>77</v>
      </c>
      <c r="V3510" t="str">
        <f>"112091343"</f>
        <v>112091343</v>
      </c>
      <c r="AC3510" t="s">
        <v>79</v>
      </c>
      <c r="AD3510" t="s">
        <v>75</v>
      </c>
      <c r="AE3510" t="s">
        <v>103</v>
      </c>
      <c r="AG3510" t="s">
        <v>81</v>
      </c>
    </row>
    <row r="3511" spans="1:33" x14ac:dyDescent="0.25">
      <c r="A3511" t="str">
        <f>"1730387127"</f>
        <v>1730387127</v>
      </c>
      <c r="C3511" t="s">
        <v>19527</v>
      </c>
      <c r="G3511" t="s">
        <v>7218</v>
      </c>
      <c r="H3511" t="s">
        <v>6801</v>
      </c>
      <c r="I3511">
        <v>6136</v>
      </c>
      <c r="J3511" t="s">
        <v>7219</v>
      </c>
      <c r="K3511" t="s">
        <v>99</v>
      </c>
      <c r="L3511" t="s">
        <v>74</v>
      </c>
      <c r="M3511" t="s">
        <v>75</v>
      </c>
      <c r="R3511" t="s">
        <v>19528</v>
      </c>
      <c r="S3511" t="s">
        <v>6229</v>
      </c>
      <c r="T3511" t="s">
        <v>97</v>
      </c>
      <c r="U3511" t="s">
        <v>77</v>
      </c>
      <c r="V3511" t="str">
        <f>"100012320"</f>
        <v>100012320</v>
      </c>
      <c r="AC3511" t="s">
        <v>79</v>
      </c>
      <c r="AD3511" t="s">
        <v>75</v>
      </c>
      <c r="AE3511" t="s">
        <v>103</v>
      </c>
      <c r="AG3511" t="s">
        <v>81</v>
      </c>
    </row>
    <row r="3512" spans="1:33" x14ac:dyDescent="0.25">
      <c r="A3512" t="str">
        <f>"1316003320"</f>
        <v>1316003320</v>
      </c>
      <c r="C3512" t="s">
        <v>19529</v>
      </c>
      <c r="G3512" t="s">
        <v>7218</v>
      </c>
      <c r="H3512" t="s">
        <v>6801</v>
      </c>
      <c r="I3512">
        <v>6136</v>
      </c>
      <c r="J3512" t="s">
        <v>7219</v>
      </c>
      <c r="K3512" t="s">
        <v>99</v>
      </c>
      <c r="L3512" t="s">
        <v>74</v>
      </c>
      <c r="M3512" t="s">
        <v>75</v>
      </c>
      <c r="R3512" t="s">
        <v>19530</v>
      </c>
      <c r="S3512" t="s">
        <v>6229</v>
      </c>
      <c r="T3512" t="s">
        <v>97</v>
      </c>
      <c r="U3512" t="s">
        <v>77</v>
      </c>
      <c r="V3512" t="str">
        <f>"100012320"</f>
        <v>100012320</v>
      </c>
      <c r="AC3512" t="s">
        <v>79</v>
      </c>
      <c r="AD3512" t="s">
        <v>75</v>
      </c>
      <c r="AE3512" t="s">
        <v>103</v>
      </c>
      <c r="AG3512" t="s">
        <v>81</v>
      </c>
    </row>
    <row r="3513" spans="1:33" x14ac:dyDescent="0.25">
      <c r="A3513" t="str">
        <f>"1124123823"</f>
        <v>1124123823</v>
      </c>
      <c r="B3513" t="str">
        <f>"01506174"</f>
        <v>01506174</v>
      </c>
      <c r="C3513" t="s">
        <v>13436</v>
      </c>
      <c r="D3513" t="s">
        <v>19531</v>
      </c>
      <c r="E3513" t="s">
        <v>19532</v>
      </c>
      <c r="G3513" t="s">
        <v>19533</v>
      </c>
      <c r="L3513" t="s">
        <v>84</v>
      </c>
      <c r="M3513" t="s">
        <v>85</v>
      </c>
      <c r="R3513" t="s">
        <v>19534</v>
      </c>
      <c r="W3513" t="s">
        <v>19532</v>
      </c>
      <c r="X3513" t="s">
        <v>1766</v>
      </c>
      <c r="Y3513" t="s">
        <v>97</v>
      </c>
      <c r="Z3513" t="s">
        <v>77</v>
      </c>
      <c r="AA3513" t="str">
        <f>"10016-6004"</f>
        <v>10016-6004</v>
      </c>
      <c r="AB3513" t="s">
        <v>78</v>
      </c>
      <c r="AC3513" t="s">
        <v>79</v>
      </c>
      <c r="AD3513" t="s">
        <v>75</v>
      </c>
      <c r="AE3513" t="s">
        <v>80</v>
      </c>
      <c r="AG3513" t="s">
        <v>81</v>
      </c>
    </row>
    <row r="3514" spans="1:33" x14ac:dyDescent="0.25">
      <c r="A3514" t="str">
        <f>"1124125703"</f>
        <v>1124125703</v>
      </c>
      <c r="B3514" t="str">
        <f>"01324583"</f>
        <v>01324583</v>
      </c>
      <c r="C3514" t="s">
        <v>13436</v>
      </c>
      <c r="D3514" t="s">
        <v>19535</v>
      </c>
      <c r="E3514" t="s">
        <v>19536</v>
      </c>
      <c r="G3514" t="s">
        <v>19537</v>
      </c>
      <c r="L3514" t="s">
        <v>83</v>
      </c>
      <c r="M3514" t="s">
        <v>85</v>
      </c>
      <c r="R3514" t="s">
        <v>5648</v>
      </c>
      <c r="W3514" t="s">
        <v>19536</v>
      </c>
      <c r="X3514" t="s">
        <v>4650</v>
      </c>
      <c r="Y3514" t="s">
        <v>97</v>
      </c>
      <c r="Z3514" t="s">
        <v>77</v>
      </c>
      <c r="AA3514" t="str">
        <f>"10019"</f>
        <v>10019</v>
      </c>
      <c r="AB3514" t="s">
        <v>78</v>
      </c>
      <c r="AC3514" t="s">
        <v>79</v>
      </c>
      <c r="AD3514" t="s">
        <v>75</v>
      </c>
      <c r="AE3514" t="s">
        <v>80</v>
      </c>
      <c r="AG3514" t="s">
        <v>81</v>
      </c>
    </row>
    <row r="3515" spans="1:33" x14ac:dyDescent="0.25">
      <c r="A3515" t="str">
        <f>"1134109754"</f>
        <v>1134109754</v>
      </c>
      <c r="B3515" t="str">
        <f>"00764549"</f>
        <v>00764549</v>
      </c>
      <c r="C3515" t="s">
        <v>13436</v>
      </c>
      <c r="D3515" t="s">
        <v>19538</v>
      </c>
      <c r="E3515" t="s">
        <v>19539</v>
      </c>
      <c r="G3515" t="s">
        <v>19540</v>
      </c>
      <c r="L3515" t="s">
        <v>84</v>
      </c>
      <c r="M3515" t="s">
        <v>85</v>
      </c>
      <c r="R3515" t="s">
        <v>19541</v>
      </c>
      <c r="W3515" t="s">
        <v>19539</v>
      </c>
      <c r="X3515" t="s">
        <v>17318</v>
      </c>
      <c r="Y3515" t="s">
        <v>97</v>
      </c>
      <c r="Z3515" t="s">
        <v>77</v>
      </c>
      <c r="AA3515" t="str">
        <f>"10023-7033"</f>
        <v>10023-7033</v>
      </c>
      <c r="AB3515" t="s">
        <v>78</v>
      </c>
      <c r="AC3515" t="s">
        <v>79</v>
      </c>
      <c r="AD3515" t="s">
        <v>75</v>
      </c>
      <c r="AE3515" t="s">
        <v>80</v>
      </c>
      <c r="AG3515" t="s">
        <v>81</v>
      </c>
    </row>
    <row r="3516" spans="1:33" x14ac:dyDescent="0.25">
      <c r="A3516" t="str">
        <f>"1134159684"</f>
        <v>1134159684</v>
      </c>
      <c r="B3516" t="str">
        <f>"01416302"</f>
        <v>01416302</v>
      </c>
      <c r="C3516" t="s">
        <v>13436</v>
      </c>
      <c r="D3516" t="s">
        <v>5027</v>
      </c>
      <c r="E3516" t="s">
        <v>5028</v>
      </c>
      <c r="G3516" t="s">
        <v>19542</v>
      </c>
      <c r="L3516" t="s">
        <v>83</v>
      </c>
      <c r="M3516" t="s">
        <v>85</v>
      </c>
      <c r="R3516" t="s">
        <v>5029</v>
      </c>
      <c r="W3516" t="s">
        <v>5028</v>
      </c>
      <c r="X3516" t="s">
        <v>5030</v>
      </c>
      <c r="Y3516" t="s">
        <v>97</v>
      </c>
      <c r="Z3516" t="s">
        <v>77</v>
      </c>
      <c r="AA3516" t="str">
        <f>"10003-0000"</f>
        <v>10003-0000</v>
      </c>
      <c r="AB3516" t="s">
        <v>78</v>
      </c>
      <c r="AC3516" t="s">
        <v>79</v>
      </c>
      <c r="AD3516" t="s">
        <v>75</v>
      </c>
      <c r="AE3516" t="s">
        <v>80</v>
      </c>
      <c r="AG3516" t="s">
        <v>81</v>
      </c>
    </row>
    <row r="3517" spans="1:33" x14ac:dyDescent="0.25">
      <c r="A3517" t="str">
        <f>"1134284813"</f>
        <v>1134284813</v>
      </c>
      <c r="B3517" t="str">
        <f>"02885734"</f>
        <v>02885734</v>
      </c>
      <c r="C3517" t="s">
        <v>13436</v>
      </c>
      <c r="D3517" t="s">
        <v>19543</v>
      </c>
      <c r="E3517" t="s">
        <v>19544</v>
      </c>
      <c r="G3517" t="s">
        <v>19545</v>
      </c>
      <c r="L3517" t="s">
        <v>84</v>
      </c>
      <c r="M3517" t="s">
        <v>85</v>
      </c>
      <c r="R3517" t="s">
        <v>19546</v>
      </c>
      <c r="W3517" t="s">
        <v>19544</v>
      </c>
      <c r="X3517" t="s">
        <v>19547</v>
      </c>
      <c r="Y3517" t="s">
        <v>97</v>
      </c>
      <c r="Z3517" t="s">
        <v>77</v>
      </c>
      <c r="AA3517" t="str">
        <f>"10013-5540"</f>
        <v>10013-5540</v>
      </c>
      <c r="AB3517" t="s">
        <v>78</v>
      </c>
      <c r="AC3517" t="s">
        <v>79</v>
      </c>
      <c r="AD3517" t="s">
        <v>75</v>
      </c>
      <c r="AE3517" t="s">
        <v>80</v>
      </c>
      <c r="AG3517" t="s">
        <v>81</v>
      </c>
    </row>
    <row r="3518" spans="1:33" x14ac:dyDescent="0.25">
      <c r="A3518" t="str">
        <f>"1366468274"</f>
        <v>1366468274</v>
      </c>
      <c r="B3518" t="str">
        <f>"01761137"</f>
        <v>01761137</v>
      </c>
      <c r="C3518" t="s">
        <v>13436</v>
      </c>
      <c r="D3518" t="s">
        <v>19548</v>
      </c>
      <c r="E3518" t="s">
        <v>19549</v>
      </c>
      <c r="G3518" t="s">
        <v>19550</v>
      </c>
      <c r="L3518" t="s">
        <v>83</v>
      </c>
      <c r="M3518" t="s">
        <v>85</v>
      </c>
      <c r="R3518" t="s">
        <v>19551</v>
      </c>
      <c r="W3518" t="s">
        <v>19549</v>
      </c>
      <c r="X3518" t="s">
        <v>19552</v>
      </c>
      <c r="Y3518" t="s">
        <v>97</v>
      </c>
      <c r="Z3518" t="s">
        <v>77</v>
      </c>
      <c r="AA3518" t="str">
        <f>"10013-4408"</f>
        <v>10013-4408</v>
      </c>
      <c r="AB3518" t="s">
        <v>78</v>
      </c>
      <c r="AC3518" t="s">
        <v>79</v>
      </c>
      <c r="AD3518" t="s">
        <v>75</v>
      </c>
      <c r="AE3518" t="s">
        <v>80</v>
      </c>
      <c r="AG3518" t="s">
        <v>81</v>
      </c>
    </row>
    <row r="3519" spans="1:33" x14ac:dyDescent="0.25">
      <c r="A3519" t="str">
        <f>"1366502544"</f>
        <v>1366502544</v>
      </c>
      <c r="B3519" t="str">
        <f>"00965206"</f>
        <v>00965206</v>
      </c>
      <c r="C3519" t="s">
        <v>13436</v>
      </c>
      <c r="D3519" t="s">
        <v>19553</v>
      </c>
      <c r="E3519" t="s">
        <v>19554</v>
      </c>
      <c r="G3519" t="s">
        <v>19555</v>
      </c>
      <c r="L3519" t="s">
        <v>83</v>
      </c>
      <c r="M3519" t="s">
        <v>85</v>
      </c>
      <c r="R3519" t="s">
        <v>19556</v>
      </c>
      <c r="W3519" t="s">
        <v>19554</v>
      </c>
      <c r="Y3519" t="s">
        <v>97</v>
      </c>
      <c r="Z3519" t="s">
        <v>77</v>
      </c>
      <c r="AA3519" t="str">
        <f>"10003-3896"</f>
        <v>10003-3896</v>
      </c>
      <c r="AB3519" t="s">
        <v>78</v>
      </c>
      <c r="AC3519" t="s">
        <v>79</v>
      </c>
      <c r="AD3519" t="s">
        <v>75</v>
      </c>
      <c r="AE3519" t="s">
        <v>80</v>
      </c>
      <c r="AG3519" t="s">
        <v>81</v>
      </c>
    </row>
    <row r="3520" spans="1:33" x14ac:dyDescent="0.25">
      <c r="A3520" t="str">
        <f>"1811017916"</f>
        <v>1811017916</v>
      </c>
      <c r="B3520" t="str">
        <f>"00890726"</f>
        <v>00890726</v>
      </c>
      <c r="C3520" t="s">
        <v>19557</v>
      </c>
      <c r="D3520" t="s">
        <v>19558</v>
      </c>
      <c r="E3520" t="s">
        <v>19559</v>
      </c>
      <c r="G3520" t="s">
        <v>13504</v>
      </c>
      <c r="H3520" t="s">
        <v>13505</v>
      </c>
      <c r="J3520" t="s">
        <v>13506</v>
      </c>
      <c r="L3520" t="s">
        <v>83</v>
      </c>
      <c r="M3520" t="s">
        <v>75</v>
      </c>
      <c r="R3520" t="s">
        <v>19560</v>
      </c>
      <c r="W3520" t="s">
        <v>19559</v>
      </c>
      <c r="X3520" t="s">
        <v>19561</v>
      </c>
      <c r="Y3520" t="s">
        <v>87</v>
      </c>
      <c r="Z3520" t="s">
        <v>77</v>
      </c>
      <c r="AA3520" t="str">
        <f>"11230-7813"</f>
        <v>11230-7813</v>
      </c>
      <c r="AB3520" t="s">
        <v>78</v>
      </c>
      <c r="AC3520" t="s">
        <v>79</v>
      </c>
      <c r="AD3520" t="s">
        <v>75</v>
      </c>
      <c r="AE3520" t="s">
        <v>80</v>
      </c>
      <c r="AG3520" t="s">
        <v>81</v>
      </c>
    </row>
    <row r="3521" spans="1:33" x14ac:dyDescent="0.25">
      <c r="A3521" t="str">
        <f>"1710052675"</f>
        <v>1710052675</v>
      </c>
      <c r="B3521" t="str">
        <f>"00217698"</f>
        <v>00217698</v>
      </c>
      <c r="C3521" t="s">
        <v>13436</v>
      </c>
      <c r="D3521" t="s">
        <v>3550</v>
      </c>
      <c r="E3521" t="s">
        <v>3551</v>
      </c>
      <c r="G3521" t="s">
        <v>19562</v>
      </c>
      <c r="L3521" t="s">
        <v>84</v>
      </c>
      <c r="M3521" t="s">
        <v>85</v>
      </c>
      <c r="R3521" t="s">
        <v>3552</v>
      </c>
      <c r="W3521" t="s">
        <v>3551</v>
      </c>
      <c r="Y3521" t="s">
        <v>97</v>
      </c>
      <c r="Z3521" t="s">
        <v>77</v>
      </c>
      <c r="AA3521" t="str">
        <f>"10025-1716"</f>
        <v>10025-1716</v>
      </c>
      <c r="AB3521" t="s">
        <v>78</v>
      </c>
      <c r="AC3521" t="s">
        <v>79</v>
      </c>
      <c r="AD3521" t="s">
        <v>75</v>
      </c>
      <c r="AE3521" t="s">
        <v>80</v>
      </c>
      <c r="AG3521" t="s">
        <v>81</v>
      </c>
    </row>
    <row r="3522" spans="1:33" x14ac:dyDescent="0.25">
      <c r="A3522" t="str">
        <f>"1710068960"</f>
        <v>1710068960</v>
      </c>
      <c r="B3522" t="str">
        <f>"01507524"</f>
        <v>01507524</v>
      </c>
      <c r="C3522" t="s">
        <v>13436</v>
      </c>
      <c r="D3522" t="s">
        <v>19563</v>
      </c>
      <c r="E3522" t="s">
        <v>19564</v>
      </c>
      <c r="G3522" t="s">
        <v>19565</v>
      </c>
      <c r="L3522" t="s">
        <v>74</v>
      </c>
      <c r="M3522" t="s">
        <v>85</v>
      </c>
      <c r="R3522" t="s">
        <v>19566</v>
      </c>
      <c r="W3522" t="s">
        <v>19564</v>
      </c>
      <c r="X3522" t="s">
        <v>19567</v>
      </c>
      <c r="Y3522" t="s">
        <v>97</v>
      </c>
      <c r="Z3522" t="s">
        <v>77</v>
      </c>
      <c r="AA3522" t="str">
        <f>"10038-2649"</f>
        <v>10038-2649</v>
      </c>
      <c r="AB3522" t="s">
        <v>78</v>
      </c>
      <c r="AC3522" t="s">
        <v>79</v>
      </c>
      <c r="AD3522" t="s">
        <v>75</v>
      </c>
      <c r="AE3522" t="s">
        <v>80</v>
      </c>
      <c r="AG3522" t="s">
        <v>81</v>
      </c>
    </row>
    <row r="3523" spans="1:33" x14ac:dyDescent="0.25">
      <c r="A3523" t="str">
        <f>"1326165002"</f>
        <v>1326165002</v>
      </c>
      <c r="B3523" t="str">
        <f>"03416680"</f>
        <v>03416680</v>
      </c>
      <c r="C3523" t="s">
        <v>13436</v>
      </c>
      <c r="D3523" t="s">
        <v>19568</v>
      </c>
      <c r="E3523" t="s">
        <v>19569</v>
      </c>
      <c r="G3523" t="s">
        <v>19570</v>
      </c>
      <c r="L3523" t="s">
        <v>74</v>
      </c>
      <c r="M3523" t="s">
        <v>85</v>
      </c>
      <c r="R3523" t="s">
        <v>19571</v>
      </c>
      <c r="W3523" t="s">
        <v>19569</v>
      </c>
      <c r="X3523" t="s">
        <v>12648</v>
      </c>
      <c r="Y3523" t="s">
        <v>97</v>
      </c>
      <c r="Z3523" t="s">
        <v>77</v>
      </c>
      <c r="AA3523" t="str">
        <f>"10003-0000"</f>
        <v>10003-0000</v>
      </c>
      <c r="AB3523" t="s">
        <v>78</v>
      </c>
      <c r="AC3523" t="s">
        <v>79</v>
      </c>
      <c r="AD3523" t="s">
        <v>75</v>
      </c>
      <c r="AE3523" t="s">
        <v>80</v>
      </c>
      <c r="AG3523" t="s">
        <v>81</v>
      </c>
    </row>
    <row r="3524" spans="1:33" x14ac:dyDescent="0.25">
      <c r="A3524" t="str">
        <f>"1194982579"</f>
        <v>1194982579</v>
      </c>
      <c r="B3524" t="str">
        <f>"03133153"</f>
        <v>03133153</v>
      </c>
      <c r="C3524" t="s">
        <v>19572</v>
      </c>
      <c r="D3524" t="s">
        <v>19573</v>
      </c>
      <c r="E3524" t="s">
        <v>19574</v>
      </c>
      <c r="G3524" t="s">
        <v>13504</v>
      </c>
      <c r="H3524" t="s">
        <v>13505</v>
      </c>
      <c r="J3524" t="s">
        <v>13506</v>
      </c>
      <c r="L3524" t="s">
        <v>74</v>
      </c>
      <c r="M3524" t="s">
        <v>75</v>
      </c>
      <c r="R3524" t="s">
        <v>19575</v>
      </c>
      <c r="W3524" t="s">
        <v>19576</v>
      </c>
      <c r="X3524" t="s">
        <v>202</v>
      </c>
      <c r="Y3524" t="s">
        <v>87</v>
      </c>
      <c r="Z3524" t="s">
        <v>77</v>
      </c>
      <c r="AA3524" t="str">
        <f>"11201-5425"</f>
        <v>11201-5425</v>
      </c>
      <c r="AB3524" t="s">
        <v>78</v>
      </c>
      <c r="AC3524" t="s">
        <v>79</v>
      </c>
      <c r="AD3524" t="s">
        <v>75</v>
      </c>
      <c r="AE3524" t="s">
        <v>80</v>
      </c>
      <c r="AG3524" t="s">
        <v>81</v>
      </c>
    </row>
    <row r="3525" spans="1:33" x14ac:dyDescent="0.25">
      <c r="A3525" t="str">
        <f>"1811220924"</f>
        <v>1811220924</v>
      </c>
      <c r="B3525" t="str">
        <f>"03154776"</f>
        <v>03154776</v>
      </c>
      <c r="C3525" t="s">
        <v>19577</v>
      </c>
      <c r="D3525" t="s">
        <v>19578</v>
      </c>
      <c r="E3525" t="s">
        <v>19579</v>
      </c>
      <c r="G3525" t="s">
        <v>13504</v>
      </c>
      <c r="H3525" t="s">
        <v>13505</v>
      </c>
      <c r="J3525" t="s">
        <v>13506</v>
      </c>
      <c r="L3525" t="s">
        <v>84</v>
      </c>
      <c r="M3525" t="s">
        <v>85</v>
      </c>
      <c r="R3525" t="s">
        <v>19579</v>
      </c>
      <c r="W3525" t="s">
        <v>19579</v>
      </c>
      <c r="X3525" t="s">
        <v>202</v>
      </c>
      <c r="Y3525" t="s">
        <v>87</v>
      </c>
      <c r="Z3525" t="s">
        <v>77</v>
      </c>
      <c r="AA3525" t="str">
        <f>"11201-5463"</f>
        <v>11201-5463</v>
      </c>
      <c r="AB3525" t="s">
        <v>78</v>
      </c>
      <c r="AC3525" t="s">
        <v>79</v>
      </c>
      <c r="AD3525" t="s">
        <v>75</v>
      </c>
      <c r="AE3525" t="s">
        <v>80</v>
      </c>
      <c r="AG3525" t="s">
        <v>81</v>
      </c>
    </row>
    <row r="3526" spans="1:33" x14ac:dyDescent="0.25">
      <c r="A3526" t="str">
        <f>"1477790061"</f>
        <v>1477790061</v>
      </c>
      <c r="B3526" t="str">
        <f>"03524834"</f>
        <v>03524834</v>
      </c>
      <c r="C3526" t="s">
        <v>19580</v>
      </c>
      <c r="D3526" t="s">
        <v>19581</v>
      </c>
      <c r="E3526" t="s">
        <v>19582</v>
      </c>
      <c r="G3526" t="s">
        <v>13504</v>
      </c>
      <c r="H3526" t="s">
        <v>13505</v>
      </c>
      <c r="J3526" t="s">
        <v>13506</v>
      </c>
      <c r="L3526" t="s">
        <v>83</v>
      </c>
      <c r="M3526" t="s">
        <v>75</v>
      </c>
      <c r="R3526" t="s">
        <v>19583</v>
      </c>
      <c r="W3526" t="s">
        <v>19582</v>
      </c>
      <c r="X3526" t="s">
        <v>202</v>
      </c>
      <c r="Y3526" t="s">
        <v>87</v>
      </c>
      <c r="Z3526" t="s">
        <v>77</v>
      </c>
      <c r="AA3526" t="str">
        <f>"11201-5425"</f>
        <v>11201-5425</v>
      </c>
      <c r="AB3526" t="s">
        <v>78</v>
      </c>
      <c r="AC3526" t="s">
        <v>79</v>
      </c>
      <c r="AD3526" t="s">
        <v>75</v>
      </c>
      <c r="AE3526" t="s">
        <v>80</v>
      </c>
      <c r="AG3526" t="s">
        <v>81</v>
      </c>
    </row>
    <row r="3527" spans="1:33" x14ac:dyDescent="0.25">
      <c r="A3527" t="str">
        <f>"1255640181"</f>
        <v>1255640181</v>
      </c>
      <c r="B3527" t="str">
        <f>"03716901"</f>
        <v>03716901</v>
      </c>
      <c r="C3527" t="s">
        <v>19584</v>
      </c>
      <c r="D3527" t="s">
        <v>19585</v>
      </c>
      <c r="E3527" t="s">
        <v>19586</v>
      </c>
      <c r="G3527" t="s">
        <v>13504</v>
      </c>
      <c r="H3527" t="s">
        <v>13505</v>
      </c>
      <c r="J3527" t="s">
        <v>13506</v>
      </c>
      <c r="L3527" t="s">
        <v>74</v>
      </c>
      <c r="M3527" t="s">
        <v>75</v>
      </c>
      <c r="R3527" t="s">
        <v>19587</v>
      </c>
      <c r="W3527" t="s">
        <v>19586</v>
      </c>
      <c r="X3527" t="s">
        <v>19588</v>
      </c>
      <c r="Y3527" t="s">
        <v>87</v>
      </c>
      <c r="Z3527" t="s">
        <v>77</v>
      </c>
      <c r="AA3527" t="str">
        <f>"11203-2012"</f>
        <v>11203-2012</v>
      </c>
      <c r="AB3527" t="s">
        <v>78</v>
      </c>
      <c r="AC3527" t="s">
        <v>79</v>
      </c>
      <c r="AD3527" t="s">
        <v>75</v>
      </c>
      <c r="AE3527" t="s">
        <v>80</v>
      </c>
      <c r="AG3527" t="s">
        <v>81</v>
      </c>
    </row>
    <row r="3528" spans="1:33" x14ac:dyDescent="0.25">
      <c r="A3528" t="str">
        <f>"1295994739"</f>
        <v>1295994739</v>
      </c>
      <c r="B3528" t="str">
        <f>"03347326"</f>
        <v>03347326</v>
      </c>
      <c r="C3528" t="s">
        <v>19589</v>
      </c>
      <c r="D3528" t="s">
        <v>19590</v>
      </c>
      <c r="E3528" t="s">
        <v>19591</v>
      </c>
      <c r="G3528" t="s">
        <v>13504</v>
      </c>
      <c r="H3528" t="s">
        <v>13505</v>
      </c>
      <c r="J3528" t="s">
        <v>13506</v>
      </c>
      <c r="L3528" t="s">
        <v>74</v>
      </c>
      <c r="M3528" t="s">
        <v>75</v>
      </c>
      <c r="R3528" t="s">
        <v>19592</v>
      </c>
      <c r="W3528" t="s">
        <v>19591</v>
      </c>
      <c r="X3528" t="s">
        <v>202</v>
      </c>
      <c r="Y3528" t="s">
        <v>87</v>
      </c>
      <c r="Z3528" t="s">
        <v>77</v>
      </c>
      <c r="AA3528" t="str">
        <f>"11201-5425"</f>
        <v>11201-5425</v>
      </c>
      <c r="AB3528" t="s">
        <v>78</v>
      </c>
      <c r="AC3528" t="s">
        <v>79</v>
      </c>
      <c r="AD3528" t="s">
        <v>75</v>
      </c>
      <c r="AE3528" t="s">
        <v>80</v>
      </c>
      <c r="AG3528" t="s">
        <v>81</v>
      </c>
    </row>
    <row r="3529" spans="1:33" x14ac:dyDescent="0.25">
      <c r="A3529" t="str">
        <f>"1598748964"</f>
        <v>1598748964</v>
      </c>
      <c r="B3529" t="str">
        <f>"02661003"</f>
        <v>02661003</v>
      </c>
      <c r="C3529" t="s">
        <v>19593</v>
      </c>
      <c r="D3529" t="s">
        <v>19594</v>
      </c>
      <c r="E3529" t="s">
        <v>19595</v>
      </c>
      <c r="G3529" t="s">
        <v>13504</v>
      </c>
      <c r="H3529" t="s">
        <v>13505</v>
      </c>
      <c r="J3529" t="s">
        <v>13506</v>
      </c>
      <c r="L3529" t="s">
        <v>83</v>
      </c>
      <c r="M3529" t="s">
        <v>75</v>
      </c>
      <c r="R3529" t="s">
        <v>19596</v>
      </c>
      <c r="W3529" t="s">
        <v>19595</v>
      </c>
      <c r="X3529" t="s">
        <v>159</v>
      </c>
      <c r="Y3529" t="s">
        <v>160</v>
      </c>
      <c r="Z3529" t="s">
        <v>77</v>
      </c>
      <c r="AA3529" t="str">
        <f>"11030-3816"</f>
        <v>11030-3816</v>
      </c>
      <c r="AB3529" t="s">
        <v>78</v>
      </c>
      <c r="AC3529" t="s">
        <v>79</v>
      </c>
      <c r="AD3529" t="s">
        <v>75</v>
      </c>
      <c r="AE3529" t="s">
        <v>80</v>
      </c>
      <c r="AG3529" t="s">
        <v>81</v>
      </c>
    </row>
    <row r="3530" spans="1:33" x14ac:dyDescent="0.25">
      <c r="A3530" t="str">
        <f>"1942539150"</f>
        <v>1942539150</v>
      </c>
      <c r="B3530" t="str">
        <f>"03214202"</f>
        <v>03214202</v>
      </c>
      <c r="C3530" t="s">
        <v>19597</v>
      </c>
      <c r="D3530" t="s">
        <v>19598</v>
      </c>
      <c r="E3530" t="s">
        <v>19599</v>
      </c>
      <c r="G3530" t="s">
        <v>13504</v>
      </c>
      <c r="H3530" t="s">
        <v>13505</v>
      </c>
      <c r="J3530" t="s">
        <v>13506</v>
      </c>
      <c r="L3530" t="s">
        <v>84</v>
      </c>
      <c r="M3530" t="s">
        <v>75</v>
      </c>
      <c r="R3530" t="s">
        <v>19600</v>
      </c>
      <c r="W3530" t="s">
        <v>19600</v>
      </c>
      <c r="X3530" t="s">
        <v>14532</v>
      </c>
      <c r="Y3530" t="s">
        <v>87</v>
      </c>
      <c r="Z3530" t="s">
        <v>77</v>
      </c>
      <c r="AA3530" t="str">
        <f>"11205-4924"</f>
        <v>11205-4924</v>
      </c>
      <c r="AB3530" t="s">
        <v>78</v>
      </c>
      <c r="AC3530" t="s">
        <v>79</v>
      </c>
      <c r="AD3530" t="s">
        <v>75</v>
      </c>
      <c r="AE3530" t="s">
        <v>80</v>
      </c>
      <c r="AG3530" t="s">
        <v>81</v>
      </c>
    </row>
    <row r="3531" spans="1:33" x14ac:dyDescent="0.25">
      <c r="A3531" t="str">
        <f>"1902116841"</f>
        <v>1902116841</v>
      </c>
      <c r="B3531" t="str">
        <f>"03579944"</f>
        <v>03579944</v>
      </c>
      <c r="C3531" t="s">
        <v>19601</v>
      </c>
      <c r="D3531" t="s">
        <v>19602</v>
      </c>
      <c r="E3531" t="s">
        <v>19603</v>
      </c>
      <c r="G3531" t="s">
        <v>13504</v>
      </c>
      <c r="H3531" t="s">
        <v>13505</v>
      </c>
      <c r="J3531" t="s">
        <v>13506</v>
      </c>
      <c r="L3531" t="s">
        <v>74</v>
      </c>
      <c r="M3531" t="s">
        <v>75</v>
      </c>
      <c r="R3531" t="s">
        <v>19603</v>
      </c>
      <c r="W3531" t="s">
        <v>19603</v>
      </c>
      <c r="X3531" t="s">
        <v>202</v>
      </c>
      <c r="Y3531" t="s">
        <v>87</v>
      </c>
      <c r="Z3531" t="s">
        <v>77</v>
      </c>
      <c r="AA3531" t="str">
        <f>"11201-5425"</f>
        <v>11201-5425</v>
      </c>
      <c r="AB3531" t="s">
        <v>78</v>
      </c>
      <c r="AC3531" t="s">
        <v>79</v>
      </c>
      <c r="AD3531" t="s">
        <v>75</v>
      </c>
      <c r="AE3531" t="s">
        <v>80</v>
      </c>
      <c r="AG3531" t="s">
        <v>81</v>
      </c>
    </row>
    <row r="3532" spans="1:33" x14ac:dyDescent="0.25">
      <c r="A3532" t="str">
        <f>"1689682437"</f>
        <v>1689682437</v>
      </c>
      <c r="B3532" t="str">
        <f>"02094668"</f>
        <v>02094668</v>
      </c>
      <c r="C3532" t="s">
        <v>19604</v>
      </c>
      <c r="D3532" t="s">
        <v>19605</v>
      </c>
      <c r="E3532" t="s">
        <v>19606</v>
      </c>
      <c r="G3532" t="s">
        <v>13504</v>
      </c>
      <c r="H3532" t="s">
        <v>13505</v>
      </c>
      <c r="J3532" t="s">
        <v>13506</v>
      </c>
      <c r="L3532" t="s">
        <v>83</v>
      </c>
      <c r="M3532" t="s">
        <v>85</v>
      </c>
      <c r="R3532" t="s">
        <v>19607</v>
      </c>
      <c r="W3532" t="s">
        <v>19606</v>
      </c>
      <c r="X3532" t="s">
        <v>202</v>
      </c>
      <c r="Y3532" t="s">
        <v>87</v>
      </c>
      <c r="Z3532" t="s">
        <v>77</v>
      </c>
      <c r="AA3532" t="str">
        <f>"11201-5425"</f>
        <v>11201-5425</v>
      </c>
      <c r="AB3532" t="s">
        <v>78</v>
      </c>
      <c r="AC3532" t="s">
        <v>79</v>
      </c>
      <c r="AD3532" t="s">
        <v>75</v>
      </c>
      <c r="AE3532" t="s">
        <v>80</v>
      </c>
      <c r="AG3532" t="s">
        <v>81</v>
      </c>
    </row>
    <row r="3533" spans="1:33" x14ac:dyDescent="0.25">
      <c r="A3533" t="str">
        <f>"1811051592"</f>
        <v>1811051592</v>
      </c>
      <c r="B3533" t="str">
        <f>"03323677"</f>
        <v>03323677</v>
      </c>
      <c r="C3533" t="s">
        <v>19608</v>
      </c>
      <c r="D3533" t="s">
        <v>19609</v>
      </c>
      <c r="E3533" t="s">
        <v>19610</v>
      </c>
      <c r="G3533" t="s">
        <v>13504</v>
      </c>
      <c r="H3533" t="s">
        <v>13505</v>
      </c>
      <c r="J3533" t="s">
        <v>13506</v>
      </c>
      <c r="L3533" t="s">
        <v>37</v>
      </c>
      <c r="M3533" t="s">
        <v>75</v>
      </c>
      <c r="R3533" t="s">
        <v>19611</v>
      </c>
      <c r="W3533" t="s">
        <v>19610</v>
      </c>
      <c r="X3533" t="s">
        <v>19612</v>
      </c>
      <c r="Y3533" t="s">
        <v>87</v>
      </c>
      <c r="Z3533" t="s">
        <v>77</v>
      </c>
      <c r="AA3533" t="str">
        <f>"11209-1811"</f>
        <v>11209-1811</v>
      </c>
      <c r="AB3533" t="s">
        <v>127</v>
      </c>
      <c r="AC3533" t="s">
        <v>79</v>
      </c>
      <c r="AD3533" t="s">
        <v>75</v>
      </c>
      <c r="AE3533" t="s">
        <v>80</v>
      </c>
      <c r="AG3533" t="s">
        <v>81</v>
      </c>
    </row>
    <row r="3534" spans="1:33" x14ac:dyDescent="0.25">
      <c r="A3534" t="str">
        <f>"1114989548"</f>
        <v>1114989548</v>
      </c>
      <c r="B3534" t="str">
        <f>"02159295"</f>
        <v>02159295</v>
      </c>
      <c r="C3534" t="s">
        <v>19613</v>
      </c>
      <c r="D3534" t="s">
        <v>3442</v>
      </c>
      <c r="E3534" t="s">
        <v>3443</v>
      </c>
      <c r="G3534" t="s">
        <v>13504</v>
      </c>
      <c r="H3534" t="s">
        <v>13505</v>
      </c>
      <c r="J3534" t="s">
        <v>13506</v>
      </c>
      <c r="L3534" t="s">
        <v>74</v>
      </c>
      <c r="M3534" t="s">
        <v>85</v>
      </c>
      <c r="R3534" t="s">
        <v>3444</v>
      </c>
      <c r="W3534" t="s">
        <v>3443</v>
      </c>
      <c r="X3534" t="s">
        <v>3445</v>
      </c>
      <c r="Y3534" t="s">
        <v>87</v>
      </c>
      <c r="Z3534" t="s">
        <v>77</v>
      </c>
      <c r="AA3534" t="str">
        <f>"11201-5425"</f>
        <v>11201-5425</v>
      </c>
      <c r="AB3534" t="s">
        <v>78</v>
      </c>
      <c r="AC3534" t="s">
        <v>79</v>
      </c>
      <c r="AD3534" t="s">
        <v>75</v>
      </c>
      <c r="AE3534" t="s">
        <v>80</v>
      </c>
      <c r="AG3534" t="s">
        <v>81</v>
      </c>
    </row>
    <row r="3535" spans="1:33" x14ac:dyDescent="0.25">
      <c r="A3535" t="str">
        <f>"1255395935"</f>
        <v>1255395935</v>
      </c>
      <c r="B3535" t="str">
        <f>"02101086"</f>
        <v>02101086</v>
      </c>
      <c r="C3535" t="s">
        <v>19614</v>
      </c>
      <c r="D3535" t="s">
        <v>19615</v>
      </c>
      <c r="E3535" t="s">
        <v>19616</v>
      </c>
      <c r="G3535" t="s">
        <v>13504</v>
      </c>
      <c r="H3535" t="s">
        <v>13505</v>
      </c>
      <c r="J3535" t="s">
        <v>13506</v>
      </c>
      <c r="L3535" t="s">
        <v>84</v>
      </c>
      <c r="M3535" t="s">
        <v>75</v>
      </c>
      <c r="R3535" t="s">
        <v>19617</v>
      </c>
      <c r="W3535" t="s">
        <v>19616</v>
      </c>
      <c r="X3535" t="s">
        <v>592</v>
      </c>
      <c r="Y3535" t="s">
        <v>87</v>
      </c>
      <c r="Z3535" t="s">
        <v>77</v>
      </c>
      <c r="AA3535" t="str">
        <f>"11238-4266"</f>
        <v>11238-4266</v>
      </c>
      <c r="AB3535" t="s">
        <v>78</v>
      </c>
      <c r="AC3535" t="s">
        <v>79</v>
      </c>
      <c r="AD3535" t="s">
        <v>75</v>
      </c>
      <c r="AE3535" t="s">
        <v>80</v>
      </c>
      <c r="AG3535" t="s">
        <v>81</v>
      </c>
    </row>
    <row r="3536" spans="1:33" x14ac:dyDescent="0.25">
      <c r="A3536" t="str">
        <f>"1407915564"</f>
        <v>1407915564</v>
      </c>
      <c r="B3536" t="str">
        <f>"01394701"</f>
        <v>01394701</v>
      </c>
      <c r="C3536" t="s">
        <v>19618</v>
      </c>
      <c r="D3536" t="s">
        <v>19619</v>
      </c>
      <c r="E3536" t="s">
        <v>19620</v>
      </c>
      <c r="G3536" t="s">
        <v>13504</v>
      </c>
      <c r="H3536" t="s">
        <v>13505</v>
      </c>
      <c r="J3536" t="s">
        <v>13506</v>
      </c>
      <c r="L3536" t="s">
        <v>94</v>
      </c>
      <c r="M3536" t="s">
        <v>85</v>
      </c>
      <c r="R3536" t="s">
        <v>19621</v>
      </c>
      <c r="W3536" t="s">
        <v>19620</v>
      </c>
      <c r="X3536" t="s">
        <v>19622</v>
      </c>
      <c r="Y3536" t="s">
        <v>87</v>
      </c>
      <c r="Z3536" t="s">
        <v>77</v>
      </c>
      <c r="AA3536" t="str">
        <f>"11243-2907"</f>
        <v>11243-2907</v>
      </c>
      <c r="AB3536" t="s">
        <v>78</v>
      </c>
      <c r="AC3536" t="s">
        <v>79</v>
      </c>
      <c r="AD3536" t="s">
        <v>75</v>
      </c>
      <c r="AE3536" t="s">
        <v>80</v>
      </c>
      <c r="AG3536" t="s">
        <v>81</v>
      </c>
    </row>
    <row r="3537" spans="1:33" x14ac:dyDescent="0.25">
      <c r="A3537" t="str">
        <f>"1124119706"</f>
        <v>1124119706</v>
      </c>
      <c r="B3537" t="str">
        <f>"01712101"</f>
        <v>01712101</v>
      </c>
      <c r="C3537" t="s">
        <v>19623</v>
      </c>
      <c r="D3537" t="s">
        <v>19624</v>
      </c>
      <c r="E3537" t="s">
        <v>19625</v>
      </c>
      <c r="G3537" t="s">
        <v>13504</v>
      </c>
      <c r="H3537" t="s">
        <v>13505</v>
      </c>
      <c r="J3537" t="s">
        <v>13506</v>
      </c>
      <c r="L3537" t="s">
        <v>83</v>
      </c>
      <c r="M3537" t="s">
        <v>75</v>
      </c>
      <c r="R3537" t="s">
        <v>19626</v>
      </c>
      <c r="W3537" t="s">
        <v>19625</v>
      </c>
      <c r="X3537" t="s">
        <v>19627</v>
      </c>
      <c r="Y3537" t="s">
        <v>87</v>
      </c>
      <c r="Z3537" t="s">
        <v>77</v>
      </c>
      <c r="AA3537" t="str">
        <f>"11228-3699"</f>
        <v>11228-3699</v>
      </c>
      <c r="AB3537" t="s">
        <v>78</v>
      </c>
      <c r="AC3537" t="s">
        <v>79</v>
      </c>
      <c r="AD3537" t="s">
        <v>75</v>
      </c>
      <c r="AE3537" t="s">
        <v>80</v>
      </c>
      <c r="AG3537" t="s">
        <v>81</v>
      </c>
    </row>
    <row r="3538" spans="1:33" x14ac:dyDescent="0.25">
      <c r="A3538" t="str">
        <f>"1073569133"</f>
        <v>1073569133</v>
      </c>
      <c r="B3538" t="str">
        <f>"00877436"</f>
        <v>00877436</v>
      </c>
      <c r="C3538" t="s">
        <v>13436</v>
      </c>
      <c r="D3538" t="s">
        <v>19628</v>
      </c>
      <c r="E3538" t="s">
        <v>19629</v>
      </c>
      <c r="G3538" t="s">
        <v>19630</v>
      </c>
      <c r="L3538" t="s">
        <v>83</v>
      </c>
      <c r="M3538" t="s">
        <v>75</v>
      </c>
      <c r="R3538" t="s">
        <v>19631</v>
      </c>
      <c r="W3538" t="s">
        <v>19629</v>
      </c>
      <c r="X3538" t="s">
        <v>19632</v>
      </c>
      <c r="Y3538" t="s">
        <v>87</v>
      </c>
      <c r="Z3538" t="s">
        <v>77</v>
      </c>
      <c r="AA3538" t="str">
        <f>"11212-5404"</f>
        <v>11212-5404</v>
      </c>
      <c r="AB3538" t="s">
        <v>128</v>
      </c>
      <c r="AC3538" t="s">
        <v>79</v>
      </c>
      <c r="AD3538" t="s">
        <v>75</v>
      </c>
      <c r="AE3538" t="s">
        <v>80</v>
      </c>
      <c r="AG3538" t="s">
        <v>81</v>
      </c>
    </row>
    <row r="3539" spans="1:33" x14ac:dyDescent="0.25">
      <c r="A3539" t="str">
        <f>"1083632392"</f>
        <v>1083632392</v>
      </c>
      <c r="B3539" t="str">
        <f>"02441321"</f>
        <v>02441321</v>
      </c>
      <c r="C3539" t="s">
        <v>13436</v>
      </c>
      <c r="D3539" t="s">
        <v>6247</v>
      </c>
      <c r="E3539" t="s">
        <v>6248</v>
      </c>
      <c r="G3539" t="s">
        <v>19633</v>
      </c>
      <c r="L3539" t="s">
        <v>84</v>
      </c>
      <c r="M3539" t="s">
        <v>85</v>
      </c>
      <c r="R3539" t="s">
        <v>6249</v>
      </c>
      <c r="W3539" t="s">
        <v>6248</v>
      </c>
      <c r="X3539" t="s">
        <v>913</v>
      </c>
      <c r="Y3539" t="s">
        <v>180</v>
      </c>
      <c r="Z3539" t="s">
        <v>77</v>
      </c>
      <c r="AA3539" t="str">
        <f>"10703-2996"</f>
        <v>10703-2996</v>
      </c>
      <c r="AB3539" t="s">
        <v>78</v>
      </c>
      <c r="AC3539" t="s">
        <v>79</v>
      </c>
      <c r="AD3539" t="s">
        <v>75</v>
      </c>
      <c r="AE3539" t="s">
        <v>80</v>
      </c>
      <c r="AG3539" t="s">
        <v>81</v>
      </c>
    </row>
    <row r="3540" spans="1:33" x14ac:dyDescent="0.25">
      <c r="A3540" t="str">
        <f>"1700910825"</f>
        <v>1700910825</v>
      </c>
      <c r="B3540" t="str">
        <f>"03672144"</f>
        <v>03672144</v>
      </c>
      <c r="C3540" t="s">
        <v>19634</v>
      </c>
      <c r="D3540" t="s">
        <v>2336</v>
      </c>
      <c r="E3540" t="s">
        <v>2335</v>
      </c>
      <c r="H3540" t="s">
        <v>19635</v>
      </c>
      <c r="J3540" t="s">
        <v>19636</v>
      </c>
      <c r="L3540" t="s">
        <v>74</v>
      </c>
      <c r="M3540" t="s">
        <v>75</v>
      </c>
      <c r="R3540" t="s">
        <v>2335</v>
      </c>
      <c r="W3540" t="s">
        <v>2335</v>
      </c>
      <c r="X3540" t="s">
        <v>2337</v>
      </c>
      <c r="Y3540" t="s">
        <v>97</v>
      </c>
      <c r="Z3540" t="s">
        <v>77</v>
      </c>
      <c r="AA3540" t="str">
        <f>"10036-5402"</f>
        <v>10036-5402</v>
      </c>
      <c r="AB3540" t="s">
        <v>78</v>
      </c>
      <c r="AC3540" t="s">
        <v>79</v>
      </c>
      <c r="AD3540" t="s">
        <v>75</v>
      </c>
      <c r="AE3540" t="s">
        <v>80</v>
      </c>
      <c r="AG3540" t="s">
        <v>81</v>
      </c>
    </row>
    <row r="3541" spans="1:33" x14ac:dyDescent="0.25">
      <c r="A3541" t="str">
        <f>"1649584160"</f>
        <v>1649584160</v>
      </c>
      <c r="B3541" t="str">
        <f>"03433938"</f>
        <v>03433938</v>
      </c>
      <c r="C3541" t="s">
        <v>19637</v>
      </c>
      <c r="D3541" t="s">
        <v>2339</v>
      </c>
      <c r="E3541" t="s">
        <v>2340</v>
      </c>
      <c r="H3541" t="s">
        <v>19638</v>
      </c>
      <c r="J3541" t="s">
        <v>19639</v>
      </c>
      <c r="L3541" t="s">
        <v>102</v>
      </c>
      <c r="M3541" t="s">
        <v>75</v>
      </c>
      <c r="R3541" t="s">
        <v>2338</v>
      </c>
      <c r="W3541" t="s">
        <v>2340</v>
      </c>
      <c r="X3541" t="s">
        <v>920</v>
      </c>
      <c r="Y3541" t="s">
        <v>97</v>
      </c>
      <c r="Z3541" t="s">
        <v>77</v>
      </c>
      <c r="AA3541" t="str">
        <f>"10170-1699"</f>
        <v>10170-1699</v>
      </c>
      <c r="AB3541" t="s">
        <v>78</v>
      </c>
      <c r="AC3541" t="s">
        <v>79</v>
      </c>
      <c r="AD3541" t="s">
        <v>75</v>
      </c>
      <c r="AE3541" t="s">
        <v>80</v>
      </c>
      <c r="AG3541" t="s">
        <v>81</v>
      </c>
    </row>
    <row r="3542" spans="1:33" x14ac:dyDescent="0.25">
      <c r="A3542" t="str">
        <f>"1780978213"</f>
        <v>1780978213</v>
      </c>
      <c r="B3542" t="str">
        <f>"03427754"</f>
        <v>03427754</v>
      </c>
      <c r="C3542" t="s">
        <v>19640</v>
      </c>
      <c r="D3542" t="s">
        <v>2568</v>
      </c>
      <c r="E3542" t="s">
        <v>2569</v>
      </c>
      <c r="H3542" t="s">
        <v>19641</v>
      </c>
      <c r="J3542" t="s">
        <v>19642</v>
      </c>
      <c r="L3542" t="s">
        <v>84</v>
      </c>
      <c r="M3542" t="s">
        <v>85</v>
      </c>
      <c r="R3542" t="s">
        <v>2567</v>
      </c>
      <c r="W3542" t="s">
        <v>2569</v>
      </c>
      <c r="X3542" t="s">
        <v>2570</v>
      </c>
      <c r="Y3542" t="s">
        <v>131</v>
      </c>
      <c r="Z3542" t="s">
        <v>77</v>
      </c>
      <c r="AA3542" t="str">
        <f>"10469-4806"</f>
        <v>10469-4806</v>
      </c>
      <c r="AB3542" t="s">
        <v>78</v>
      </c>
      <c r="AC3542" t="s">
        <v>79</v>
      </c>
      <c r="AD3542" t="s">
        <v>75</v>
      </c>
      <c r="AE3542" t="s">
        <v>80</v>
      </c>
      <c r="AG3542" t="s">
        <v>81</v>
      </c>
    </row>
    <row r="3543" spans="1:33" x14ac:dyDescent="0.25">
      <c r="A3543" t="str">
        <f>"1689734600"</f>
        <v>1689734600</v>
      </c>
      <c r="B3543" t="str">
        <f>"00894913"</f>
        <v>00894913</v>
      </c>
      <c r="C3543" t="s">
        <v>19643</v>
      </c>
      <c r="D3543" t="s">
        <v>19644</v>
      </c>
      <c r="E3543" t="s">
        <v>19645</v>
      </c>
      <c r="G3543" t="s">
        <v>13504</v>
      </c>
      <c r="H3543" t="s">
        <v>13505</v>
      </c>
      <c r="J3543" t="s">
        <v>13506</v>
      </c>
      <c r="L3543" t="s">
        <v>102</v>
      </c>
      <c r="M3543" t="s">
        <v>75</v>
      </c>
      <c r="R3543" t="s">
        <v>19646</v>
      </c>
      <c r="W3543" t="s">
        <v>19645</v>
      </c>
      <c r="X3543" t="s">
        <v>19647</v>
      </c>
      <c r="Y3543" t="s">
        <v>87</v>
      </c>
      <c r="Z3543" t="s">
        <v>77</v>
      </c>
      <c r="AA3543" t="str">
        <f>"11203-4714"</f>
        <v>11203-4714</v>
      </c>
      <c r="AB3543" t="s">
        <v>78</v>
      </c>
      <c r="AC3543" t="s">
        <v>79</v>
      </c>
      <c r="AD3543" t="s">
        <v>75</v>
      </c>
      <c r="AE3543" t="s">
        <v>80</v>
      </c>
      <c r="AG3543" t="s">
        <v>81</v>
      </c>
    </row>
    <row r="3544" spans="1:33" x14ac:dyDescent="0.25">
      <c r="A3544" t="str">
        <f>"1295827681"</f>
        <v>1295827681</v>
      </c>
      <c r="B3544" t="str">
        <f>"01040275"</f>
        <v>01040275</v>
      </c>
      <c r="C3544" t="s">
        <v>19648</v>
      </c>
      <c r="D3544" t="s">
        <v>19649</v>
      </c>
      <c r="E3544" t="s">
        <v>19650</v>
      </c>
      <c r="G3544" t="s">
        <v>13504</v>
      </c>
      <c r="H3544" t="s">
        <v>13505</v>
      </c>
      <c r="J3544" t="s">
        <v>13506</v>
      </c>
      <c r="L3544" t="s">
        <v>83</v>
      </c>
      <c r="M3544" t="s">
        <v>75</v>
      </c>
      <c r="R3544" t="s">
        <v>19651</v>
      </c>
      <c r="W3544" t="s">
        <v>19650</v>
      </c>
      <c r="X3544" t="s">
        <v>19652</v>
      </c>
      <c r="Y3544" t="s">
        <v>2611</v>
      </c>
      <c r="Z3544" t="s">
        <v>77</v>
      </c>
      <c r="AA3544" t="str">
        <f>"11968-1630"</f>
        <v>11968-1630</v>
      </c>
      <c r="AB3544" t="s">
        <v>78</v>
      </c>
      <c r="AC3544" t="s">
        <v>79</v>
      </c>
      <c r="AD3544" t="s">
        <v>75</v>
      </c>
      <c r="AE3544" t="s">
        <v>80</v>
      </c>
      <c r="AG3544" t="s">
        <v>81</v>
      </c>
    </row>
    <row r="3545" spans="1:33" x14ac:dyDescent="0.25">
      <c r="A3545" t="str">
        <f>"1164625232"</f>
        <v>1164625232</v>
      </c>
      <c r="B3545" t="str">
        <f>"02928701"</f>
        <v>02928701</v>
      </c>
      <c r="C3545" t="s">
        <v>13436</v>
      </c>
      <c r="D3545" t="s">
        <v>19653</v>
      </c>
      <c r="E3545" t="s">
        <v>19654</v>
      </c>
      <c r="G3545" t="s">
        <v>19655</v>
      </c>
      <c r="L3545" t="s">
        <v>105</v>
      </c>
      <c r="M3545" t="s">
        <v>85</v>
      </c>
      <c r="R3545" t="s">
        <v>19656</v>
      </c>
      <c r="W3545" t="s">
        <v>19657</v>
      </c>
      <c r="X3545" t="s">
        <v>11489</v>
      </c>
      <c r="Y3545" t="s">
        <v>97</v>
      </c>
      <c r="Z3545" t="s">
        <v>77</v>
      </c>
      <c r="AA3545" t="str">
        <f>"10003-3804"</f>
        <v>10003-3804</v>
      </c>
      <c r="AB3545" t="s">
        <v>78</v>
      </c>
      <c r="AC3545" t="s">
        <v>79</v>
      </c>
      <c r="AD3545" t="s">
        <v>75</v>
      </c>
      <c r="AE3545" t="s">
        <v>80</v>
      </c>
      <c r="AG3545" t="s">
        <v>81</v>
      </c>
    </row>
    <row r="3546" spans="1:33" x14ac:dyDescent="0.25">
      <c r="A3546" t="str">
        <f>"1174505275"</f>
        <v>1174505275</v>
      </c>
      <c r="B3546" t="str">
        <f>"01553066"</f>
        <v>01553066</v>
      </c>
      <c r="C3546" t="s">
        <v>13436</v>
      </c>
      <c r="D3546" t="s">
        <v>19658</v>
      </c>
      <c r="E3546" t="s">
        <v>19659</v>
      </c>
      <c r="G3546" t="s">
        <v>19660</v>
      </c>
      <c r="L3546" t="s">
        <v>84</v>
      </c>
      <c r="M3546" t="s">
        <v>85</v>
      </c>
      <c r="R3546" t="s">
        <v>19661</v>
      </c>
      <c r="W3546" t="s">
        <v>19659</v>
      </c>
      <c r="X3546" t="s">
        <v>14894</v>
      </c>
      <c r="Y3546" t="s">
        <v>97</v>
      </c>
      <c r="Z3546" t="s">
        <v>77</v>
      </c>
      <c r="AA3546" t="str">
        <f>"10003-0000"</f>
        <v>10003-0000</v>
      </c>
      <c r="AB3546" t="s">
        <v>78</v>
      </c>
      <c r="AC3546" t="s">
        <v>79</v>
      </c>
      <c r="AD3546" t="s">
        <v>75</v>
      </c>
      <c r="AE3546" t="s">
        <v>80</v>
      </c>
      <c r="AG3546" t="s">
        <v>81</v>
      </c>
    </row>
    <row r="3547" spans="1:33" x14ac:dyDescent="0.25">
      <c r="A3547" t="str">
        <f>"1396878013"</f>
        <v>1396878013</v>
      </c>
      <c r="B3547" t="str">
        <f>"03377126"</f>
        <v>03377126</v>
      </c>
      <c r="C3547" t="s">
        <v>13436</v>
      </c>
      <c r="D3547" t="s">
        <v>19662</v>
      </c>
      <c r="E3547" t="s">
        <v>19663</v>
      </c>
      <c r="G3547" t="s">
        <v>19664</v>
      </c>
      <c r="L3547" t="s">
        <v>83</v>
      </c>
      <c r="M3547" t="s">
        <v>85</v>
      </c>
      <c r="R3547" t="s">
        <v>19665</v>
      </c>
      <c r="W3547" t="s">
        <v>19666</v>
      </c>
      <c r="X3547" t="s">
        <v>19667</v>
      </c>
      <c r="Y3547" t="s">
        <v>97</v>
      </c>
      <c r="Z3547" t="s">
        <v>77</v>
      </c>
      <c r="AA3547" t="str">
        <f>"10019-1147"</f>
        <v>10019-1147</v>
      </c>
      <c r="AB3547" t="s">
        <v>78</v>
      </c>
      <c r="AC3547" t="s">
        <v>79</v>
      </c>
      <c r="AD3547" t="s">
        <v>75</v>
      </c>
      <c r="AE3547" t="s">
        <v>80</v>
      </c>
      <c r="AG3547" t="s">
        <v>81</v>
      </c>
    </row>
    <row r="3548" spans="1:33" x14ac:dyDescent="0.25">
      <c r="A3548" t="str">
        <f>"1396947206"</f>
        <v>1396947206</v>
      </c>
      <c r="C3548" t="s">
        <v>13436</v>
      </c>
      <c r="G3548" t="s">
        <v>19668</v>
      </c>
      <c r="K3548" t="s">
        <v>99</v>
      </c>
      <c r="L3548" t="s">
        <v>102</v>
      </c>
      <c r="M3548" t="s">
        <v>85</v>
      </c>
      <c r="R3548" t="s">
        <v>19669</v>
      </c>
      <c r="S3548" t="s">
        <v>181</v>
      </c>
      <c r="T3548" t="s">
        <v>97</v>
      </c>
      <c r="U3548" t="s">
        <v>77</v>
      </c>
      <c r="V3548" t="str">
        <f>"100251716"</f>
        <v>100251716</v>
      </c>
      <c r="AC3548" t="s">
        <v>79</v>
      </c>
      <c r="AD3548" t="s">
        <v>75</v>
      </c>
      <c r="AE3548" t="s">
        <v>103</v>
      </c>
      <c r="AG3548" t="s">
        <v>81</v>
      </c>
    </row>
    <row r="3549" spans="1:33" x14ac:dyDescent="0.25">
      <c r="A3549" t="str">
        <f>"1396963716"</f>
        <v>1396963716</v>
      </c>
      <c r="B3549" t="str">
        <f>"02945224"</f>
        <v>02945224</v>
      </c>
      <c r="C3549" t="s">
        <v>13436</v>
      </c>
      <c r="D3549" t="s">
        <v>19670</v>
      </c>
      <c r="E3549" t="s">
        <v>19671</v>
      </c>
      <c r="G3549" t="s">
        <v>19672</v>
      </c>
      <c r="L3549" t="s">
        <v>84</v>
      </c>
      <c r="M3549" t="s">
        <v>85</v>
      </c>
      <c r="R3549" t="s">
        <v>19673</v>
      </c>
      <c r="W3549" t="s">
        <v>19674</v>
      </c>
      <c r="X3549" t="s">
        <v>263</v>
      </c>
      <c r="Y3549" t="s">
        <v>97</v>
      </c>
      <c r="Z3549" t="s">
        <v>77</v>
      </c>
      <c r="AA3549" t="str">
        <f>"10011-8202"</f>
        <v>10011-8202</v>
      </c>
      <c r="AB3549" t="s">
        <v>78</v>
      </c>
      <c r="AC3549" t="s">
        <v>79</v>
      </c>
      <c r="AD3549" t="s">
        <v>75</v>
      </c>
      <c r="AE3549" t="s">
        <v>80</v>
      </c>
      <c r="AG3549" t="s">
        <v>81</v>
      </c>
    </row>
    <row r="3550" spans="1:33" x14ac:dyDescent="0.25">
      <c r="A3550" t="str">
        <f>"1407023922"</f>
        <v>1407023922</v>
      </c>
      <c r="B3550" t="str">
        <f>"02971800"</f>
        <v>02971800</v>
      </c>
      <c r="C3550" t="s">
        <v>13436</v>
      </c>
      <c r="D3550" t="s">
        <v>19675</v>
      </c>
      <c r="E3550" t="s">
        <v>19676</v>
      </c>
      <c r="G3550" t="s">
        <v>19677</v>
      </c>
      <c r="L3550" t="s">
        <v>83</v>
      </c>
      <c r="M3550" t="s">
        <v>85</v>
      </c>
      <c r="R3550" t="s">
        <v>19678</v>
      </c>
      <c r="W3550" t="s">
        <v>19679</v>
      </c>
      <c r="X3550" t="s">
        <v>19249</v>
      </c>
      <c r="Y3550" t="s">
        <v>97</v>
      </c>
      <c r="Z3550" t="s">
        <v>77</v>
      </c>
      <c r="AA3550" t="str">
        <f>"10003"</f>
        <v>10003</v>
      </c>
      <c r="AB3550" t="s">
        <v>78</v>
      </c>
      <c r="AC3550" t="s">
        <v>79</v>
      </c>
      <c r="AD3550" t="s">
        <v>75</v>
      </c>
      <c r="AE3550" t="s">
        <v>80</v>
      </c>
      <c r="AG3550" t="s">
        <v>81</v>
      </c>
    </row>
    <row r="3551" spans="1:33" x14ac:dyDescent="0.25">
      <c r="A3551" t="str">
        <f>"1407835390"</f>
        <v>1407835390</v>
      </c>
      <c r="B3551" t="str">
        <f>"00996396"</f>
        <v>00996396</v>
      </c>
      <c r="C3551" t="s">
        <v>13436</v>
      </c>
      <c r="D3551" t="s">
        <v>19680</v>
      </c>
      <c r="E3551" t="s">
        <v>19681</v>
      </c>
      <c r="G3551" t="s">
        <v>19682</v>
      </c>
      <c r="L3551" t="s">
        <v>83</v>
      </c>
      <c r="M3551" t="s">
        <v>85</v>
      </c>
      <c r="R3551" t="s">
        <v>19681</v>
      </c>
      <c r="W3551" t="s">
        <v>19681</v>
      </c>
      <c r="X3551" t="s">
        <v>267</v>
      </c>
      <c r="Y3551" t="s">
        <v>91</v>
      </c>
      <c r="Z3551" t="s">
        <v>77</v>
      </c>
      <c r="AA3551" t="str">
        <f>"11373-1329"</f>
        <v>11373-1329</v>
      </c>
      <c r="AB3551" t="s">
        <v>82</v>
      </c>
      <c r="AC3551" t="s">
        <v>79</v>
      </c>
      <c r="AD3551" t="s">
        <v>75</v>
      </c>
      <c r="AE3551" t="s">
        <v>80</v>
      </c>
      <c r="AG3551" t="s">
        <v>81</v>
      </c>
    </row>
    <row r="3552" spans="1:33" x14ac:dyDescent="0.25">
      <c r="A3552" t="str">
        <f>"1407837388"</f>
        <v>1407837388</v>
      </c>
      <c r="B3552" t="str">
        <f>"02011503"</f>
        <v>02011503</v>
      </c>
      <c r="C3552" t="s">
        <v>13436</v>
      </c>
      <c r="D3552" t="s">
        <v>19683</v>
      </c>
      <c r="E3552" t="s">
        <v>19684</v>
      </c>
      <c r="G3552" t="s">
        <v>19685</v>
      </c>
      <c r="L3552" t="s">
        <v>74</v>
      </c>
      <c r="M3552" t="s">
        <v>85</v>
      </c>
      <c r="R3552" t="s">
        <v>19686</v>
      </c>
      <c r="W3552" t="s">
        <v>19684</v>
      </c>
      <c r="Y3552" t="s">
        <v>97</v>
      </c>
      <c r="Z3552" t="s">
        <v>77</v>
      </c>
      <c r="AA3552" t="str">
        <f>"10128-7603"</f>
        <v>10128-7603</v>
      </c>
      <c r="AB3552" t="s">
        <v>78</v>
      </c>
      <c r="AC3552" t="s">
        <v>79</v>
      </c>
      <c r="AD3552" t="s">
        <v>75</v>
      </c>
      <c r="AE3552" t="s">
        <v>80</v>
      </c>
      <c r="AG3552" t="s">
        <v>81</v>
      </c>
    </row>
    <row r="3553" spans="1:33" x14ac:dyDescent="0.25">
      <c r="A3553" t="str">
        <f>"1407837396"</f>
        <v>1407837396</v>
      </c>
      <c r="B3553" t="str">
        <f>"00906634"</f>
        <v>00906634</v>
      </c>
      <c r="C3553" t="s">
        <v>13436</v>
      </c>
      <c r="D3553" t="s">
        <v>19687</v>
      </c>
      <c r="E3553" t="s">
        <v>19688</v>
      </c>
      <c r="G3553" t="s">
        <v>19689</v>
      </c>
      <c r="L3553" t="s">
        <v>102</v>
      </c>
      <c r="M3553" t="s">
        <v>85</v>
      </c>
      <c r="R3553" t="s">
        <v>19690</v>
      </c>
      <c r="W3553" t="s">
        <v>19688</v>
      </c>
      <c r="X3553" t="s">
        <v>2587</v>
      </c>
      <c r="Y3553" t="s">
        <v>97</v>
      </c>
      <c r="Z3553" t="s">
        <v>77</v>
      </c>
      <c r="AA3553" t="str">
        <f>"10003-3314"</f>
        <v>10003-3314</v>
      </c>
      <c r="AB3553" t="s">
        <v>78</v>
      </c>
      <c r="AC3553" t="s">
        <v>79</v>
      </c>
      <c r="AD3553" t="s">
        <v>75</v>
      </c>
      <c r="AE3553" t="s">
        <v>80</v>
      </c>
      <c r="AG3553" t="s">
        <v>81</v>
      </c>
    </row>
    <row r="3554" spans="1:33" x14ac:dyDescent="0.25">
      <c r="A3554" t="str">
        <f>"1407841281"</f>
        <v>1407841281</v>
      </c>
      <c r="B3554" t="str">
        <f>"00864131"</f>
        <v>00864131</v>
      </c>
      <c r="C3554" t="s">
        <v>13436</v>
      </c>
      <c r="D3554" t="s">
        <v>19691</v>
      </c>
      <c r="E3554" t="s">
        <v>19692</v>
      </c>
      <c r="G3554" t="s">
        <v>19693</v>
      </c>
      <c r="L3554" t="s">
        <v>83</v>
      </c>
      <c r="M3554" t="s">
        <v>85</v>
      </c>
      <c r="R3554" t="s">
        <v>19694</v>
      </c>
      <c r="W3554" t="s">
        <v>19695</v>
      </c>
      <c r="X3554" t="s">
        <v>19696</v>
      </c>
      <c r="Y3554" t="s">
        <v>1960</v>
      </c>
      <c r="Z3554" t="s">
        <v>77</v>
      </c>
      <c r="AA3554" t="str">
        <f>"11598-0000"</f>
        <v>11598-0000</v>
      </c>
      <c r="AB3554" t="s">
        <v>78</v>
      </c>
      <c r="AC3554" t="s">
        <v>79</v>
      </c>
      <c r="AD3554" t="s">
        <v>75</v>
      </c>
      <c r="AE3554" t="s">
        <v>80</v>
      </c>
      <c r="AG3554" t="s">
        <v>81</v>
      </c>
    </row>
    <row r="3555" spans="1:33" x14ac:dyDescent="0.25">
      <c r="A3555" t="str">
        <f>"1407857907"</f>
        <v>1407857907</v>
      </c>
      <c r="B3555" t="str">
        <f>"01557799"</f>
        <v>01557799</v>
      </c>
      <c r="C3555" t="s">
        <v>13436</v>
      </c>
      <c r="D3555" t="s">
        <v>19697</v>
      </c>
      <c r="E3555" t="s">
        <v>19698</v>
      </c>
      <c r="G3555" t="s">
        <v>19699</v>
      </c>
      <c r="L3555" t="s">
        <v>83</v>
      </c>
      <c r="M3555" t="s">
        <v>85</v>
      </c>
      <c r="R3555" t="s">
        <v>19700</v>
      </c>
      <c r="W3555" t="s">
        <v>19698</v>
      </c>
      <c r="X3555" t="s">
        <v>19701</v>
      </c>
      <c r="Y3555" t="s">
        <v>97</v>
      </c>
      <c r="Z3555" t="s">
        <v>77</v>
      </c>
      <c r="AA3555" t="str">
        <f>"10025"</f>
        <v>10025</v>
      </c>
      <c r="AB3555" t="s">
        <v>78</v>
      </c>
      <c r="AC3555" t="s">
        <v>79</v>
      </c>
      <c r="AD3555" t="s">
        <v>75</v>
      </c>
      <c r="AE3555" t="s">
        <v>80</v>
      </c>
      <c r="AG3555" t="s">
        <v>81</v>
      </c>
    </row>
    <row r="3556" spans="1:33" x14ac:dyDescent="0.25">
      <c r="A3556" t="str">
        <f>"1841575842"</f>
        <v>1841575842</v>
      </c>
      <c r="B3556" t="str">
        <f>"03461507"</f>
        <v>03461507</v>
      </c>
      <c r="C3556" t="s">
        <v>19702</v>
      </c>
      <c r="D3556" t="s">
        <v>19703</v>
      </c>
      <c r="E3556" t="s">
        <v>19704</v>
      </c>
      <c r="G3556" t="s">
        <v>14449</v>
      </c>
      <c r="H3556" t="s">
        <v>14450</v>
      </c>
      <c r="L3556" t="s">
        <v>105</v>
      </c>
      <c r="M3556" t="s">
        <v>75</v>
      </c>
      <c r="R3556" t="s">
        <v>19705</v>
      </c>
      <c r="W3556" t="s">
        <v>19704</v>
      </c>
      <c r="X3556" t="s">
        <v>19706</v>
      </c>
      <c r="Y3556" t="s">
        <v>87</v>
      </c>
      <c r="Z3556" t="s">
        <v>77</v>
      </c>
      <c r="AA3556" t="str">
        <f>"11236-3726"</f>
        <v>11236-3726</v>
      </c>
      <c r="AB3556" t="s">
        <v>113</v>
      </c>
      <c r="AC3556" t="s">
        <v>79</v>
      </c>
      <c r="AD3556" t="s">
        <v>75</v>
      </c>
      <c r="AE3556" t="s">
        <v>80</v>
      </c>
      <c r="AG3556" t="s">
        <v>81</v>
      </c>
    </row>
    <row r="3557" spans="1:33" x14ac:dyDescent="0.25">
      <c r="A3557" t="str">
        <f>"1073680690"</f>
        <v>1073680690</v>
      </c>
      <c r="B3557" t="str">
        <f>"02876153"</f>
        <v>02876153</v>
      </c>
      <c r="C3557" t="s">
        <v>19707</v>
      </c>
      <c r="D3557" t="s">
        <v>19708</v>
      </c>
      <c r="E3557" t="s">
        <v>19709</v>
      </c>
      <c r="G3557" t="s">
        <v>14449</v>
      </c>
      <c r="H3557" t="s">
        <v>14450</v>
      </c>
      <c r="L3557" t="s">
        <v>84</v>
      </c>
      <c r="M3557" t="s">
        <v>85</v>
      </c>
      <c r="R3557" t="s">
        <v>19709</v>
      </c>
      <c r="W3557" t="s">
        <v>19710</v>
      </c>
      <c r="X3557" t="s">
        <v>3743</v>
      </c>
      <c r="Y3557" t="s">
        <v>97</v>
      </c>
      <c r="Z3557" t="s">
        <v>77</v>
      </c>
      <c r="AA3557" t="str">
        <f>"10011-4401"</f>
        <v>10011-4401</v>
      </c>
      <c r="AB3557" t="s">
        <v>78</v>
      </c>
      <c r="AC3557" t="s">
        <v>79</v>
      </c>
      <c r="AD3557" t="s">
        <v>75</v>
      </c>
      <c r="AE3557" t="s">
        <v>80</v>
      </c>
      <c r="AG3557" t="s">
        <v>81</v>
      </c>
    </row>
    <row r="3558" spans="1:33" x14ac:dyDescent="0.25">
      <c r="A3558" t="str">
        <f>"1356462840"</f>
        <v>1356462840</v>
      </c>
      <c r="C3558" t="s">
        <v>13436</v>
      </c>
      <c r="G3558" t="s">
        <v>19711</v>
      </c>
      <c r="K3558" t="s">
        <v>99</v>
      </c>
      <c r="L3558" t="s">
        <v>74</v>
      </c>
      <c r="M3558" t="s">
        <v>85</v>
      </c>
      <c r="R3558" t="s">
        <v>19712</v>
      </c>
      <c r="S3558" t="s">
        <v>16975</v>
      </c>
      <c r="T3558" t="s">
        <v>87</v>
      </c>
      <c r="U3558" t="s">
        <v>77</v>
      </c>
      <c r="V3558" t="str">
        <f>"11215"</f>
        <v>11215</v>
      </c>
      <c r="AC3558" t="s">
        <v>79</v>
      </c>
      <c r="AD3558" t="s">
        <v>75</v>
      </c>
      <c r="AE3558" t="s">
        <v>103</v>
      </c>
      <c r="AG3558" t="s">
        <v>81</v>
      </c>
    </row>
    <row r="3559" spans="1:33" x14ac:dyDescent="0.25">
      <c r="A3559" t="str">
        <f>"1366435216"</f>
        <v>1366435216</v>
      </c>
      <c r="B3559" t="str">
        <f>"01659672"</f>
        <v>01659672</v>
      </c>
      <c r="C3559" t="s">
        <v>13436</v>
      </c>
      <c r="D3559" t="s">
        <v>19713</v>
      </c>
      <c r="E3559" t="s">
        <v>19714</v>
      </c>
      <c r="G3559" t="s">
        <v>19715</v>
      </c>
      <c r="L3559" t="s">
        <v>84</v>
      </c>
      <c r="M3559" t="s">
        <v>85</v>
      </c>
      <c r="R3559" t="s">
        <v>19716</v>
      </c>
      <c r="W3559" t="s">
        <v>19714</v>
      </c>
      <c r="X3559" t="s">
        <v>4640</v>
      </c>
      <c r="Y3559" t="s">
        <v>97</v>
      </c>
      <c r="Z3559" t="s">
        <v>77</v>
      </c>
      <c r="AA3559" t="str">
        <f>"10019-8022"</f>
        <v>10019-8022</v>
      </c>
      <c r="AB3559" t="s">
        <v>78</v>
      </c>
      <c r="AC3559" t="s">
        <v>79</v>
      </c>
      <c r="AD3559" t="s">
        <v>75</v>
      </c>
      <c r="AE3559" t="s">
        <v>80</v>
      </c>
      <c r="AG3559" t="s">
        <v>81</v>
      </c>
    </row>
    <row r="3560" spans="1:33" x14ac:dyDescent="0.25">
      <c r="A3560" t="str">
        <f>"1366443798"</f>
        <v>1366443798</v>
      </c>
      <c r="B3560" t="str">
        <f>"01194485"</f>
        <v>01194485</v>
      </c>
      <c r="C3560" t="s">
        <v>13436</v>
      </c>
      <c r="D3560" t="s">
        <v>19717</v>
      </c>
      <c r="E3560" t="s">
        <v>19718</v>
      </c>
      <c r="G3560" t="s">
        <v>19719</v>
      </c>
      <c r="L3560" t="s">
        <v>74</v>
      </c>
      <c r="M3560" t="s">
        <v>85</v>
      </c>
      <c r="R3560" t="s">
        <v>19720</v>
      </c>
      <c r="W3560" t="s">
        <v>19718</v>
      </c>
      <c r="X3560" t="s">
        <v>19721</v>
      </c>
      <c r="Y3560" t="s">
        <v>97</v>
      </c>
      <c r="Z3560" t="s">
        <v>77</v>
      </c>
      <c r="AA3560" t="str">
        <f>"10011-6688"</f>
        <v>10011-6688</v>
      </c>
      <c r="AB3560" t="s">
        <v>78</v>
      </c>
      <c r="AC3560" t="s">
        <v>79</v>
      </c>
      <c r="AD3560" t="s">
        <v>75</v>
      </c>
      <c r="AE3560" t="s">
        <v>80</v>
      </c>
      <c r="AG3560" t="s">
        <v>81</v>
      </c>
    </row>
    <row r="3561" spans="1:33" x14ac:dyDescent="0.25">
      <c r="A3561" t="str">
        <f>"1366458481"</f>
        <v>1366458481</v>
      </c>
      <c r="B3561" t="str">
        <f>"02006788"</f>
        <v>02006788</v>
      </c>
      <c r="C3561" t="s">
        <v>13436</v>
      </c>
      <c r="D3561" t="s">
        <v>19722</v>
      </c>
      <c r="E3561" t="s">
        <v>19723</v>
      </c>
      <c r="G3561" t="s">
        <v>19724</v>
      </c>
      <c r="L3561" t="s">
        <v>83</v>
      </c>
      <c r="M3561" t="s">
        <v>85</v>
      </c>
      <c r="R3561" t="s">
        <v>19725</v>
      </c>
      <c r="W3561" t="s">
        <v>19723</v>
      </c>
      <c r="X3561" t="s">
        <v>273</v>
      </c>
      <c r="Y3561" t="s">
        <v>131</v>
      </c>
      <c r="Z3561" t="s">
        <v>77</v>
      </c>
      <c r="AA3561" t="str">
        <f>"10451-5589"</f>
        <v>10451-5589</v>
      </c>
      <c r="AB3561" t="s">
        <v>78</v>
      </c>
      <c r="AC3561" t="s">
        <v>79</v>
      </c>
      <c r="AD3561" t="s">
        <v>75</v>
      </c>
      <c r="AE3561" t="s">
        <v>80</v>
      </c>
      <c r="AG3561" t="s">
        <v>81</v>
      </c>
    </row>
    <row r="3562" spans="1:33" x14ac:dyDescent="0.25">
      <c r="A3562" t="str">
        <f>"1659372829"</f>
        <v>1659372829</v>
      </c>
      <c r="B3562" t="str">
        <f>"01391726"</f>
        <v>01391726</v>
      </c>
      <c r="C3562" t="s">
        <v>19726</v>
      </c>
      <c r="D3562" t="s">
        <v>19727</v>
      </c>
      <c r="E3562" t="s">
        <v>19728</v>
      </c>
      <c r="G3562" t="s">
        <v>19726</v>
      </c>
      <c r="H3562" t="s">
        <v>14647</v>
      </c>
      <c r="J3562" t="s">
        <v>19729</v>
      </c>
      <c r="L3562" t="s">
        <v>84</v>
      </c>
      <c r="M3562" t="s">
        <v>75</v>
      </c>
      <c r="R3562" t="s">
        <v>19730</v>
      </c>
      <c r="W3562" t="s">
        <v>19728</v>
      </c>
      <c r="X3562" t="s">
        <v>19731</v>
      </c>
      <c r="Y3562" t="s">
        <v>87</v>
      </c>
      <c r="Z3562" t="s">
        <v>77</v>
      </c>
      <c r="AA3562" t="str">
        <f>"11233-3031"</f>
        <v>11233-3031</v>
      </c>
      <c r="AB3562" t="s">
        <v>78</v>
      </c>
      <c r="AC3562" t="s">
        <v>79</v>
      </c>
      <c r="AD3562" t="s">
        <v>75</v>
      </c>
      <c r="AE3562" t="s">
        <v>80</v>
      </c>
      <c r="AG3562" t="s">
        <v>81</v>
      </c>
    </row>
    <row r="3563" spans="1:33" x14ac:dyDescent="0.25">
      <c r="A3563" t="str">
        <f>"1295710291"</f>
        <v>1295710291</v>
      </c>
      <c r="B3563" t="str">
        <f>"00942154"</f>
        <v>00942154</v>
      </c>
      <c r="C3563" t="s">
        <v>19732</v>
      </c>
      <c r="D3563" t="s">
        <v>2280</v>
      </c>
      <c r="E3563" t="s">
        <v>2281</v>
      </c>
      <c r="G3563" t="s">
        <v>19732</v>
      </c>
      <c r="H3563" t="s">
        <v>19733</v>
      </c>
      <c r="J3563" t="s">
        <v>19734</v>
      </c>
      <c r="L3563" t="s">
        <v>84</v>
      </c>
      <c r="M3563" t="s">
        <v>75</v>
      </c>
      <c r="R3563" t="s">
        <v>2279</v>
      </c>
      <c r="W3563" t="s">
        <v>2282</v>
      </c>
      <c r="X3563" t="s">
        <v>2283</v>
      </c>
      <c r="Y3563" t="s">
        <v>2261</v>
      </c>
      <c r="Z3563" t="s">
        <v>77</v>
      </c>
      <c r="AA3563" t="str">
        <f>"12565"</f>
        <v>12565</v>
      </c>
      <c r="AB3563" t="s">
        <v>78</v>
      </c>
      <c r="AC3563" t="s">
        <v>79</v>
      </c>
      <c r="AD3563" t="s">
        <v>75</v>
      </c>
      <c r="AE3563" t="s">
        <v>80</v>
      </c>
      <c r="AG3563" t="s">
        <v>81</v>
      </c>
    </row>
    <row r="3564" spans="1:33" x14ac:dyDescent="0.25">
      <c r="A3564" t="str">
        <f>"1619051471"</f>
        <v>1619051471</v>
      </c>
      <c r="B3564" t="str">
        <f>"01160356"</f>
        <v>01160356</v>
      </c>
      <c r="C3564" t="s">
        <v>19735</v>
      </c>
      <c r="D3564" t="s">
        <v>2285</v>
      </c>
      <c r="E3564" t="s">
        <v>2286</v>
      </c>
      <c r="G3564" t="s">
        <v>19736</v>
      </c>
      <c r="H3564" t="s">
        <v>19737</v>
      </c>
      <c r="L3564" t="s">
        <v>74</v>
      </c>
      <c r="M3564" t="s">
        <v>75</v>
      </c>
      <c r="R3564" t="s">
        <v>2284</v>
      </c>
      <c r="W3564" t="s">
        <v>2286</v>
      </c>
      <c r="X3564" t="s">
        <v>2287</v>
      </c>
      <c r="Y3564" t="s">
        <v>1743</v>
      </c>
      <c r="Z3564" t="s">
        <v>77</v>
      </c>
      <c r="AA3564" t="str">
        <f>"12110"</f>
        <v>12110</v>
      </c>
      <c r="AB3564" t="s">
        <v>78</v>
      </c>
      <c r="AC3564" t="s">
        <v>79</v>
      </c>
      <c r="AD3564" t="s">
        <v>75</v>
      </c>
      <c r="AE3564" t="s">
        <v>80</v>
      </c>
      <c r="AG3564" t="s">
        <v>81</v>
      </c>
    </row>
    <row r="3565" spans="1:33" x14ac:dyDescent="0.25">
      <c r="A3565" t="str">
        <f>"1023384120"</f>
        <v>1023384120</v>
      </c>
      <c r="C3565" t="s">
        <v>13436</v>
      </c>
      <c r="G3565" t="s">
        <v>19738</v>
      </c>
      <c r="K3565" t="s">
        <v>99</v>
      </c>
      <c r="L3565" t="s">
        <v>102</v>
      </c>
      <c r="M3565" t="s">
        <v>75</v>
      </c>
      <c r="R3565" t="s">
        <v>19739</v>
      </c>
      <c r="S3565" t="s">
        <v>19740</v>
      </c>
      <c r="T3565" t="s">
        <v>19741</v>
      </c>
      <c r="U3565" t="s">
        <v>2395</v>
      </c>
      <c r="V3565" t="str">
        <f>"554163951"</f>
        <v>554163951</v>
      </c>
      <c r="AC3565" t="s">
        <v>79</v>
      </c>
      <c r="AD3565" t="s">
        <v>75</v>
      </c>
      <c r="AE3565" t="s">
        <v>103</v>
      </c>
      <c r="AG3565" t="s">
        <v>81</v>
      </c>
    </row>
    <row r="3566" spans="1:33" x14ac:dyDescent="0.25">
      <c r="A3566" t="str">
        <f>"1033126479"</f>
        <v>1033126479</v>
      </c>
      <c r="B3566" t="str">
        <f>"02035532"</f>
        <v>02035532</v>
      </c>
      <c r="C3566" t="s">
        <v>13436</v>
      </c>
      <c r="D3566" t="s">
        <v>19742</v>
      </c>
      <c r="E3566" t="s">
        <v>19743</v>
      </c>
      <c r="G3566" t="s">
        <v>19744</v>
      </c>
      <c r="L3566" t="s">
        <v>105</v>
      </c>
      <c r="M3566" t="s">
        <v>75</v>
      </c>
      <c r="R3566" t="s">
        <v>19745</v>
      </c>
      <c r="W3566" t="s">
        <v>19743</v>
      </c>
      <c r="X3566" t="s">
        <v>191</v>
      </c>
      <c r="Y3566" t="s">
        <v>97</v>
      </c>
      <c r="Z3566" t="s">
        <v>77</v>
      </c>
      <c r="AA3566" t="str">
        <f>"10019-1147"</f>
        <v>10019-1147</v>
      </c>
      <c r="AB3566" t="s">
        <v>125</v>
      </c>
      <c r="AC3566" t="s">
        <v>79</v>
      </c>
      <c r="AD3566" t="s">
        <v>75</v>
      </c>
      <c r="AE3566" t="s">
        <v>80</v>
      </c>
      <c r="AG3566" t="s">
        <v>81</v>
      </c>
    </row>
    <row r="3567" spans="1:33" x14ac:dyDescent="0.25">
      <c r="A3567" t="str">
        <f>"1033185418"</f>
        <v>1033185418</v>
      </c>
      <c r="B3567" t="str">
        <f>"02157362"</f>
        <v>02157362</v>
      </c>
      <c r="C3567" t="s">
        <v>13436</v>
      </c>
      <c r="D3567" t="s">
        <v>19746</v>
      </c>
      <c r="E3567" t="s">
        <v>19747</v>
      </c>
      <c r="G3567" t="s">
        <v>19748</v>
      </c>
      <c r="L3567" t="s">
        <v>74</v>
      </c>
      <c r="M3567" t="s">
        <v>85</v>
      </c>
      <c r="R3567" t="s">
        <v>19749</v>
      </c>
      <c r="W3567" t="s">
        <v>19747</v>
      </c>
      <c r="X3567" t="s">
        <v>19750</v>
      </c>
      <c r="Y3567" t="s">
        <v>97</v>
      </c>
      <c r="Z3567" t="s">
        <v>77</v>
      </c>
      <c r="AA3567" t="str">
        <f>"10029-6542"</f>
        <v>10029-6542</v>
      </c>
      <c r="AB3567" t="s">
        <v>78</v>
      </c>
      <c r="AC3567" t="s">
        <v>79</v>
      </c>
      <c r="AD3567" t="s">
        <v>75</v>
      </c>
      <c r="AE3567" t="s">
        <v>80</v>
      </c>
      <c r="AG3567" t="s">
        <v>81</v>
      </c>
    </row>
    <row r="3568" spans="1:33" x14ac:dyDescent="0.25">
      <c r="A3568" t="str">
        <f>"1033273669"</f>
        <v>1033273669</v>
      </c>
      <c r="B3568" t="str">
        <f>"01074982"</f>
        <v>01074982</v>
      </c>
      <c r="C3568" t="s">
        <v>13436</v>
      </c>
      <c r="D3568" t="s">
        <v>19751</v>
      </c>
      <c r="E3568" t="s">
        <v>19752</v>
      </c>
      <c r="G3568" t="s">
        <v>19753</v>
      </c>
      <c r="L3568" t="s">
        <v>74</v>
      </c>
      <c r="M3568" t="s">
        <v>75</v>
      </c>
      <c r="R3568" t="s">
        <v>19754</v>
      </c>
      <c r="W3568" t="s">
        <v>19752</v>
      </c>
      <c r="X3568" t="s">
        <v>19755</v>
      </c>
      <c r="Y3568" t="s">
        <v>124</v>
      </c>
      <c r="Z3568" t="s">
        <v>77</v>
      </c>
      <c r="AA3568" t="str">
        <f>"14625-2404"</f>
        <v>14625-2404</v>
      </c>
      <c r="AB3568" t="s">
        <v>78</v>
      </c>
      <c r="AC3568" t="s">
        <v>79</v>
      </c>
      <c r="AD3568" t="s">
        <v>75</v>
      </c>
      <c r="AE3568" t="s">
        <v>80</v>
      </c>
      <c r="AG3568" t="s">
        <v>81</v>
      </c>
    </row>
    <row r="3569" spans="1:33" x14ac:dyDescent="0.25">
      <c r="A3569" t="str">
        <f>"1033314570"</f>
        <v>1033314570</v>
      </c>
      <c r="B3569" t="str">
        <f>"02903542"</f>
        <v>02903542</v>
      </c>
      <c r="C3569" t="s">
        <v>13436</v>
      </c>
      <c r="D3569" t="s">
        <v>19756</v>
      </c>
      <c r="E3569" t="s">
        <v>19757</v>
      </c>
      <c r="G3569" t="s">
        <v>19758</v>
      </c>
      <c r="L3569" t="s">
        <v>94</v>
      </c>
      <c r="M3569" t="s">
        <v>85</v>
      </c>
      <c r="R3569" t="s">
        <v>19759</v>
      </c>
      <c r="W3569" t="s">
        <v>19759</v>
      </c>
      <c r="X3569" t="s">
        <v>1849</v>
      </c>
      <c r="Y3569" t="s">
        <v>124</v>
      </c>
      <c r="Z3569" t="s">
        <v>77</v>
      </c>
      <c r="AA3569" t="str">
        <f>"14621-3001"</f>
        <v>14621-3001</v>
      </c>
      <c r="AB3569" t="s">
        <v>78</v>
      </c>
      <c r="AC3569" t="s">
        <v>79</v>
      </c>
      <c r="AD3569" t="s">
        <v>75</v>
      </c>
      <c r="AE3569" t="s">
        <v>80</v>
      </c>
      <c r="AG3569" t="s">
        <v>81</v>
      </c>
    </row>
    <row r="3570" spans="1:33" x14ac:dyDescent="0.25">
      <c r="A3570" t="str">
        <f>"1386834083"</f>
        <v>1386834083</v>
      </c>
      <c r="B3570" t="str">
        <f>"01841363"</f>
        <v>01841363</v>
      </c>
      <c r="C3570" t="s">
        <v>19760</v>
      </c>
      <c r="D3570" t="s">
        <v>19761</v>
      </c>
      <c r="E3570" t="s">
        <v>19762</v>
      </c>
      <c r="H3570" t="s">
        <v>19763</v>
      </c>
      <c r="J3570" t="s">
        <v>19764</v>
      </c>
      <c r="L3570" t="s">
        <v>105</v>
      </c>
      <c r="M3570" t="s">
        <v>75</v>
      </c>
      <c r="R3570" t="s">
        <v>19765</v>
      </c>
      <c r="W3570" t="s">
        <v>19766</v>
      </c>
      <c r="X3570" t="s">
        <v>19767</v>
      </c>
      <c r="Y3570" t="s">
        <v>87</v>
      </c>
      <c r="Z3570" t="s">
        <v>77</v>
      </c>
      <c r="AA3570" t="str">
        <f>"11203-2823"</f>
        <v>11203-2823</v>
      </c>
      <c r="AB3570" t="s">
        <v>78</v>
      </c>
      <c r="AC3570" t="s">
        <v>79</v>
      </c>
      <c r="AD3570" t="s">
        <v>75</v>
      </c>
      <c r="AE3570" t="s">
        <v>80</v>
      </c>
      <c r="AG3570" t="s">
        <v>81</v>
      </c>
    </row>
    <row r="3571" spans="1:33" x14ac:dyDescent="0.25">
      <c r="A3571" t="str">
        <f>"1861563009"</f>
        <v>1861563009</v>
      </c>
      <c r="B3571" t="str">
        <f>"02164643"</f>
        <v>02164643</v>
      </c>
      <c r="C3571" t="s">
        <v>19768</v>
      </c>
      <c r="D3571" t="s">
        <v>19769</v>
      </c>
      <c r="E3571" t="s">
        <v>19770</v>
      </c>
      <c r="H3571" t="s">
        <v>17064</v>
      </c>
      <c r="J3571" t="s">
        <v>19771</v>
      </c>
      <c r="L3571" t="s">
        <v>74</v>
      </c>
      <c r="M3571" t="s">
        <v>75</v>
      </c>
      <c r="R3571" t="s">
        <v>19772</v>
      </c>
      <c r="W3571" t="s">
        <v>19770</v>
      </c>
      <c r="Y3571" t="s">
        <v>179</v>
      </c>
      <c r="Z3571" t="s">
        <v>77</v>
      </c>
      <c r="AA3571" t="str">
        <f>"11550-4627"</f>
        <v>11550-4627</v>
      </c>
      <c r="AB3571" t="s">
        <v>78</v>
      </c>
      <c r="AC3571" t="s">
        <v>79</v>
      </c>
      <c r="AD3571" t="s">
        <v>75</v>
      </c>
      <c r="AE3571" t="s">
        <v>80</v>
      </c>
      <c r="AG3571" t="s">
        <v>81</v>
      </c>
    </row>
    <row r="3572" spans="1:33" x14ac:dyDescent="0.25">
      <c r="A3572" t="str">
        <f>"1295862258"</f>
        <v>1295862258</v>
      </c>
      <c r="B3572" t="str">
        <f>"03400117"</f>
        <v>03400117</v>
      </c>
      <c r="C3572" t="s">
        <v>19773</v>
      </c>
      <c r="D3572" t="s">
        <v>2296</v>
      </c>
      <c r="E3572" t="s">
        <v>2297</v>
      </c>
      <c r="G3572" t="s">
        <v>19773</v>
      </c>
      <c r="H3572" t="s">
        <v>19774</v>
      </c>
      <c r="L3572" t="s">
        <v>74</v>
      </c>
      <c r="M3572" t="s">
        <v>75</v>
      </c>
      <c r="R3572" t="s">
        <v>2295</v>
      </c>
      <c r="W3572" t="s">
        <v>2297</v>
      </c>
      <c r="X3572" t="s">
        <v>2298</v>
      </c>
      <c r="Y3572" t="s">
        <v>1764</v>
      </c>
      <c r="Z3572" t="s">
        <v>77</v>
      </c>
      <c r="AA3572" t="str">
        <f>"12184-0788"</f>
        <v>12184-0788</v>
      </c>
      <c r="AB3572" t="s">
        <v>82</v>
      </c>
      <c r="AC3572" t="s">
        <v>79</v>
      </c>
      <c r="AD3572" t="s">
        <v>75</v>
      </c>
      <c r="AE3572" t="s">
        <v>80</v>
      </c>
      <c r="AG3572" t="s">
        <v>81</v>
      </c>
    </row>
    <row r="3573" spans="1:33" x14ac:dyDescent="0.25">
      <c r="A3573" t="str">
        <f>"1942382213"</f>
        <v>1942382213</v>
      </c>
      <c r="B3573" t="str">
        <f>"01699994"</f>
        <v>01699994</v>
      </c>
      <c r="C3573" t="s">
        <v>19775</v>
      </c>
      <c r="D3573" t="s">
        <v>2300</v>
      </c>
      <c r="E3573" t="s">
        <v>2301</v>
      </c>
      <c r="G3573" t="s">
        <v>19775</v>
      </c>
      <c r="H3573" t="s">
        <v>19776</v>
      </c>
      <c r="L3573" t="s">
        <v>105</v>
      </c>
      <c r="M3573" t="s">
        <v>75</v>
      </c>
      <c r="R3573" t="s">
        <v>2299</v>
      </c>
      <c r="W3573" t="s">
        <v>2302</v>
      </c>
      <c r="X3573" t="s">
        <v>2303</v>
      </c>
      <c r="Y3573" t="s">
        <v>1769</v>
      </c>
      <c r="Z3573" t="s">
        <v>77</v>
      </c>
      <c r="AA3573" t="str">
        <f>"12309-3923"</f>
        <v>12309-3923</v>
      </c>
      <c r="AB3573" t="s">
        <v>78</v>
      </c>
      <c r="AC3573" t="s">
        <v>79</v>
      </c>
      <c r="AD3573" t="s">
        <v>75</v>
      </c>
      <c r="AE3573" t="s">
        <v>80</v>
      </c>
      <c r="AG3573" t="s">
        <v>81</v>
      </c>
    </row>
    <row r="3574" spans="1:33" x14ac:dyDescent="0.25">
      <c r="A3574" t="str">
        <f>"1922237163"</f>
        <v>1922237163</v>
      </c>
      <c r="B3574" t="str">
        <f>"03685334"</f>
        <v>03685334</v>
      </c>
      <c r="C3574" t="s">
        <v>19777</v>
      </c>
      <c r="D3574" t="s">
        <v>2555</v>
      </c>
      <c r="E3574" t="s">
        <v>2556</v>
      </c>
      <c r="G3574" t="s">
        <v>19775</v>
      </c>
      <c r="H3574" t="s">
        <v>19778</v>
      </c>
      <c r="L3574" t="s">
        <v>74</v>
      </c>
      <c r="M3574" t="s">
        <v>75</v>
      </c>
      <c r="R3574" t="s">
        <v>2554</v>
      </c>
      <c r="W3574" t="s">
        <v>2556</v>
      </c>
      <c r="X3574" t="s">
        <v>1771</v>
      </c>
      <c r="Y3574" t="s">
        <v>1772</v>
      </c>
      <c r="Z3574" t="s">
        <v>77</v>
      </c>
      <c r="AA3574" t="str">
        <f>"12010-1054"</f>
        <v>12010-1054</v>
      </c>
      <c r="AB3574" t="s">
        <v>78</v>
      </c>
      <c r="AC3574" t="s">
        <v>79</v>
      </c>
      <c r="AD3574" t="s">
        <v>75</v>
      </c>
      <c r="AE3574" t="s">
        <v>80</v>
      </c>
      <c r="AG3574" t="s">
        <v>81</v>
      </c>
    </row>
    <row r="3575" spans="1:33" x14ac:dyDescent="0.25">
      <c r="A3575" t="str">
        <f>"1710055108"</f>
        <v>1710055108</v>
      </c>
      <c r="B3575" t="str">
        <f>"03415932"</f>
        <v>03415932</v>
      </c>
      <c r="C3575" t="s">
        <v>19779</v>
      </c>
      <c r="D3575" t="s">
        <v>2305</v>
      </c>
      <c r="E3575" t="s">
        <v>2306</v>
      </c>
      <c r="G3575" t="s">
        <v>19780</v>
      </c>
      <c r="H3575" t="s">
        <v>19781</v>
      </c>
      <c r="L3575" t="s">
        <v>105</v>
      </c>
      <c r="M3575" t="s">
        <v>75</v>
      </c>
      <c r="R3575" t="s">
        <v>2304</v>
      </c>
      <c r="W3575" t="s">
        <v>2306</v>
      </c>
      <c r="X3575" t="s">
        <v>1815</v>
      </c>
      <c r="Y3575" t="s">
        <v>1764</v>
      </c>
      <c r="Z3575" t="s">
        <v>77</v>
      </c>
      <c r="AA3575" t="str">
        <f>"12184-2303"</f>
        <v>12184-2303</v>
      </c>
      <c r="AB3575" t="s">
        <v>125</v>
      </c>
      <c r="AC3575" t="s">
        <v>79</v>
      </c>
      <c r="AD3575" t="s">
        <v>75</v>
      </c>
      <c r="AE3575" t="s">
        <v>80</v>
      </c>
      <c r="AG3575" t="s">
        <v>81</v>
      </c>
    </row>
    <row r="3576" spans="1:33" x14ac:dyDescent="0.25">
      <c r="A3576" t="str">
        <f>"1629264924"</f>
        <v>1629264924</v>
      </c>
      <c r="B3576" t="str">
        <f>"02915502"</f>
        <v>02915502</v>
      </c>
      <c r="C3576" t="s">
        <v>19782</v>
      </c>
      <c r="D3576" t="s">
        <v>19783</v>
      </c>
      <c r="E3576" t="s">
        <v>19784</v>
      </c>
      <c r="G3576" t="s">
        <v>13504</v>
      </c>
      <c r="H3576" t="s">
        <v>13505</v>
      </c>
      <c r="J3576" t="s">
        <v>13506</v>
      </c>
      <c r="L3576" t="s">
        <v>83</v>
      </c>
      <c r="M3576" t="s">
        <v>75</v>
      </c>
      <c r="R3576" t="s">
        <v>19785</v>
      </c>
      <c r="W3576" t="s">
        <v>19784</v>
      </c>
      <c r="X3576" t="s">
        <v>323</v>
      </c>
      <c r="Y3576" t="s">
        <v>87</v>
      </c>
      <c r="Z3576" t="s">
        <v>77</v>
      </c>
      <c r="AA3576" t="str">
        <f>"11201-5509"</f>
        <v>11201-5509</v>
      </c>
      <c r="AB3576" t="s">
        <v>78</v>
      </c>
      <c r="AC3576" t="s">
        <v>79</v>
      </c>
      <c r="AD3576" t="s">
        <v>75</v>
      </c>
      <c r="AE3576" t="s">
        <v>80</v>
      </c>
      <c r="AG3576" t="s">
        <v>81</v>
      </c>
    </row>
    <row r="3577" spans="1:33" x14ac:dyDescent="0.25">
      <c r="A3577" t="str">
        <f>"1588825905"</f>
        <v>1588825905</v>
      </c>
      <c r="B3577" t="str">
        <f>"03025803"</f>
        <v>03025803</v>
      </c>
      <c r="C3577" t="s">
        <v>13436</v>
      </c>
      <c r="D3577" t="s">
        <v>19786</v>
      </c>
      <c r="E3577" t="s">
        <v>19787</v>
      </c>
      <c r="G3577" t="s">
        <v>19788</v>
      </c>
      <c r="L3577" t="s">
        <v>83</v>
      </c>
      <c r="M3577" t="s">
        <v>85</v>
      </c>
      <c r="R3577" t="s">
        <v>19789</v>
      </c>
      <c r="W3577" t="s">
        <v>19787</v>
      </c>
      <c r="X3577" t="s">
        <v>19790</v>
      </c>
      <c r="Y3577" t="s">
        <v>97</v>
      </c>
      <c r="Z3577" t="s">
        <v>77</v>
      </c>
      <c r="AA3577" t="str">
        <f>"10003-3881"</f>
        <v>10003-3881</v>
      </c>
      <c r="AB3577" t="s">
        <v>78</v>
      </c>
      <c r="AC3577" t="s">
        <v>79</v>
      </c>
      <c r="AD3577" t="s">
        <v>75</v>
      </c>
      <c r="AE3577" t="s">
        <v>80</v>
      </c>
      <c r="AG3577" t="s">
        <v>81</v>
      </c>
    </row>
    <row r="3578" spans="1:33" x14ac:dyDescent="0.25">
      <c r="A3578" t="str">
        <f>"1538574314"</f>
        <v>1538574314</v>
      </c>
      <c r="C3578" t="s">
        <v>13436</v>
      </c>
      <c r="K3578" t="s">
        <v>99</v>
      </c>
      <c r="L3578" t="s">
        <v>102</v>
      </c>
      <c r="M3578" t="s">
        <v>75</v>
      </c>
      <c r="R3578" t="s">
        <v>19791</v>
      </c>
      <c r="S3578" t="s">
        <v>19792</v>
      </c>
      <c r="T3578" t="s">
        <v>97</v>
      </c>
      <c r="U3578" t="s">
        <v>77</v>
      </c>
      <c r="V3578" t="str">
        <f>"100191147"</f>
        <v>100191147</v>
      </c>
      <c r="AC3578" t="s">
        <v>79</v>
      </c>
      <c r="AD3578" t="s">
        <v>75</v>
      </c>
      <c r="AE3578" t="s">
        <v>103</v>
      </c>
      <c r="AG3578" t="s">
        <v>81</v>
      </c>
    </row>
    <row r="3579" spans="1:33" x14ac:dyDescent="0.25">
      <c r="A3579" t="str">
        <f>"1538576277"</f>
        <v>1538576277</v>
      </c>
      <c r="C3579" t="s">
        <v>13436</v>
      </c>
      <c r="K3579" t="s">
        <v>99</v>
      </c>
      <c r="L3579" t="s">
        <v>102</v>
      </c>
      <c r="M3579" t="s">
        <v>75</v>
      </c>
      <c r="R3579" t="s">
        <v>19793</v>
      </c>
      <c r="S3579" t="s">
        <v>6041</v>
      </c>
      <c r="T3579" t="s">
        <v>97</v>
      </c>
      <c r="U3579" t="s">
        <v>77</v>
      </c>
      <c r="V3579" t="str">
        <f>"100297219"</f>
        <v>100297219</v>
      </c>
      <c r="AC3579" t="s">
        <v>79</v>
      </c>
      <c r="AD3579" t="s">
        <v>75</v>
      </c>
      <c r="AE3579" t="s">
        <v>103</v>
      </c>
      <c r="AG3579" t="s">
        <v>81</v>
      </c>
    </row>
    <row r="3580" spans="1:33" x14ac:dyDescent="0.25">
      <c r="A3580" t="str">
        <f>"1538586730"</f>
        <v>1538586730</v>
      </c>
      <c r="C3580" t="s">
        <v>13436</v>
      </c>
      <c r="K3580" t="s">
        <v>99</v>
      </c>
      <c r="L3580" t="s">
        <v>102</v>
      </c>
      <c r="M3580" t="s">
        <v>75</v>
      </c>
      <c r="R3580" t="s">
        <v>19794</v>
      </c>
      <c r="S3580" t="s">
        <v>19795</v>
      </c>
      <c r="T3580" t="s">
        <v>19796</v>
      </c>
      <c r="U3580" t="s">
        <v>285</v>
      </c>
      <c r="V3580" t="str">
        <f>"601932251"</f>
        <v>601932251</v>
      </c>
      <c r="AC3580" t="s">
        <v>79</v>
      </c>
      <c r="AD3580" t="s">
        <v>75</v>
      </c>
      <c r="AE3580" t="s">
        <v>103</v>
      </c>
      <c r="AG3580" t="s">
        <v>81</v>
      </c>
    </row>
    <row r="3581" spans="1:33" x14ac:dyDescent="0.25">
      <c r="A3581" t="str">
        <f>"1538586763"</f>
        <v>1538586763</v>
      </c>
      <c r="C3581" t="s">
        <v>13436</v>
      </c>
      <c r="K3581" t="s">
        <v>99</v>
      </c>
      <c r="L3581" t="s">
        <v>102</v>
      </c>
      <c r="M3581" t="s">
        <v>75</v>
      </c>
      <c r="R3581" t="s">
        <v>19797</v>
      </c>
      <c r="S3581" t="s">
        <v>5050</v>
      </c>
      <c r="T3581" t="s">
        <v>97</v>
      </c>
      <c r="U3581" t="s">
        <v>77</v>
      </c>
      <c r="V3581" t="str">
        <f>"100296504"</f>
        <v>100296504</v>
      </c>
      <c r="AC3581" t="s">
        <v>79</v>
      </c>
      <c r="AD3581" t="s">
        <v>75</v>
      </c>
      <c r="AE3581" t="s">
        <v>103</v>
      </c>
      <c r="AG3581" t="s">
        <v>81</v>
      </c>
    </row>
    <row r="3582" spans="1:33" x14ac:dyDescent="0.25">
      <c r="A3582" t="str">
        <f>"1538587571"</f>
        <v>1538587571</v>
      </c>
      <c r="C3582" t="s">
        <v>13436</v>
      </c>
      <c r="K3582" t="s">
        <v>99</v>
      </c>
      <c r="L3582" t="s">
        <v>102</v>
      </c>
      <c r="M3582" t="s">
        <v>75</v>
      </c>
      <c r="R3582" t="s">
        <v>19798</v>
      </c>
      <c r="S3582" t="s">
        <v>191</v>
      </c>
      <c r="T3582" t="s">
        <v>97</v>
      </c>
      <c r="U3582" t="s">
        <v>77</v>
      </c>
      <c r="V3582" t="str">
        <f>"100191147"</f>
        <v>100191147</v>
      </c>
      <c r="AC3582" t="s">
        <v>79</v>
      </c>
      <c r="AD3582" t="s">
        <v>75</v>
      </c>
      <c r="AE3582" t="s">
        <v>103</v>
      </c>
      <c r="AG3582" t="s">
        <v>81</v>
      </c>
    </row>
    <row r="3583" spans="1:33" x14ac:dyDescent="0.25">
      <c r="A3583" t="str">
        <f>"1538587605"</f>
        <v>1538587605</v>
      </c>
      <c r="C3583" t="s">
        <v>13436</v>
      </c>
      <c r="K3583" t="s">
        <v>99</v>
      </c>
      <c r="L3583" t="s">
        <v>102</v>
      </c>
      <c r="M3583" t="s">
        <v>75</v>
      </c>
      <c r="R3583" t="s">
        <v>19799</v>
      </c>
      <c r="S3583" t="s">
        <v>19800</v>
      </c>
      <c r="T3583" t="s">
        <v>312</v>
      </c>
      <c r="U3583" t="s">
        <v>77</v>
      </c>
      <c r="V3583" t="str">
        <f>"113856814"</f>
        <v>113856814</v>
      </c>
      <c r="AC3583" t="s">
        <v>79</v>
      </c>
      <c r="AD3583" t="s">
        <v>75</v>
      </c>
      <c r="AE3583" t="s">
        <v>103</v>
      </c>
      <c r="AG3583" t="s">
        <v>81</v>
      </c>
    </row>
    <row r="3584" spans="1:33" x14ac:dyDescent="0.25">
      <c r="A3584" t="str">
        <f>"1538590088"</f>
        <v>1538590088</v>
      </c>
      <c r="C3584" t="s">
        <v>13436</v>
      </c>
      <c r="K3584" t="s">
        <v>99</v>
      </c>
      <c r="L3584" t="s">
        <v>102</v>
      </c>
      <c r="M3584" t="s">
        <v>75</v>
      </c>
      <c r="R3584" t="s">
        <v>19801</v>
      </c>
      <c r="S3584" t="s">
        <v>19802</v>
      </c>
      <c r="T3584" t="s">
        <v>131</v>
      </c>
      <c r="U3584" t="s">
        <v>77</v>
      </c>
      <c r="V3584" t="str">
        <f>"104611138"</f>
        <v>104611138</v>
      </c>
      <c r="AC3584" t="s">
        <v>79</v>
      </c>
      <c r="AD3584" t="s">
        <v>75</v>
      </c>
      <c r="AE3584" t="s">
        <v>103</v>
      </c>
      <c r="AG3584" t="s">
        <v>81</v>
      </c>
    </row>
    <row r="3585" spans="1:33" x14ac:dyDescent="0.25">
      <c r="A3585" t="str">
        <f>"1033238670"</f>
        <v>1033238670</v>
      </c>
      <c r="B3585" t="str">
        <f>"02873316"</f>
        <v>02873316</v>
      </c>
      <c r="C3585" t="s">
        <v>13436</v>
      </c>
      <c r="D3585" t="s">
        <v>19803</v>
      </c>
      <c r="E3585" t="s">
        <v>19804</v>
      </c>
      <c r="L3585" t="s">
        <v>83</v>
      </c>
      <c r="M3585" t="s">
        <v>85</v>
      </c>
      <c r="R3585" t="s">
        <v>19805</v>
      </c>
      <c r="W3585" t="s">
        <v>19804</v>
      </c>
      <c r="X3585" t="s">
        <v>19806</v>
      </c>
      <c r="Y3585" t="s">
        <v>2604</v>
      </c>
      <c r="Z3585" t="s">
        <v>77</v>
      </c>
      <c r="AA3585" t="str">
        <f>"10901-4869"</f>
        <v>10901-4869</v>
      </c>
      <c r="AB3585" t="s">
        <v>78</v>
      </c>
      <c r="AC3585" t="s">
        <v>79</v>
      </c>
      <c r="AD3585" t="s">
        <v>75</v>
      </c>
      <c r="AE3585" t="s">
        <v>80</v>
      </c>
      <c r="AG3585" t="s">
        <v>81</v>
      </c>
    </row>
    <row r="3586" spans="1:33" x14ac:dyDescent="0.25">
      <c r="A3586" t="str">
        <f>"1033344239"</f>
        <v>1033344239</v>
      </c>
      <c r="B3586" t="str">
        <f>"03681252"</f>
        <v>03681252</v>
      </c>
      <c r="C3586" t="s">
        <v>13436</v>
      </c>
      <c r="D3586" t="s">
        <v>19807</v>
      </c>
      <c r="E3586" t="s">
        <v>19808</v>
      </c>
      <c r="L3586" t="s">
        <v>74</v>
      </c>
      <c r="M3586" t="s">
        <v>75</v>
      </c>
      <c r="R3586" t="s">
        <v>19809</v>
      </c>
      <c r="W3586" t="s">
        <v>19808</v>
      </c>
      <c r="X3586" t="s">
        <v>19810</v>
      </c>
      <c r="Y3586" t="s">
        <v>97</v>
      </c>
      <c r="Z3586" t="s">
        <v>77</v>
      </c>
      <c r="AA3586" t="str">
        <f>"10003-3314"</f>
        <v>10003-3314</v>
      </c>
      <c r="AB3586" t="s">
        <v>78</v>
      </c>
      <c r="AC3586" t="s">
        <v>79</v>
      </c>
      <c r="AD3586" t="s">
        <v>75</v>
      </c>
      <c r="AE3586" t="s">
        <v>80</v>
      </c>
      <c r="AG3586" t="s">
        <v>81</v>
      </c>
    </row>
    <row r="3587" spans="1:33" x14ac:dyDescent="0.25">
      <c r="A3587" t="str">
        <f>"1932173549"</f>
        <v>1932173549</v>
      </c>
      <c r="B3587" t="str">
        <f>"01725680"</f>
        <v>01725680</v>
      </c>
      <c r="C3587" t="s">
        <v>13436</v>
      </c>
      <c r="D3587" t="s">
        <v>19811</v>
      </c>
      <c r="E3587" t="s">
        <v>19812</v>
      </c>
      <c r="G3587" t="s">
        <v>19813</v>
      </c>
      <c r="L3587" t="s">
        <v>83</v>
      </c>
      <c r="M3587" t="s">
        <v>85</v>
      </c>
      <c r="R3587" t="s">
        <v>19814</v>
      </c>
      <c r="W3587" t="s">
        <v>19815</v>
      </c>
      <c r="X3587" t="s">
        <v>5016</v>
      </c>
      <c r="Y3587" t="s">
        <v>97</v>
      </c>
      <c r="Z3587" t="s">
        <v>77</v>
      </c>
      <c r="AA3587" t="str">
        <f>"10025-3923"</f>
        <v>10025-3923</v>
      </c>
      <c r="AB3587" t="s">
        <v>78</v>
      </c>
      <c r="AC3587" t="s">
        <v>79</v>
      </c>
      <c r="AD3587" t="s">
        <v>75</v>
      </c>
      <c r="AE3587" t="s">
        <v>80</v>
      </c>
      <c r="AG3587" t="s">
        <v>81</v>
      </c>
    </row>
    <row r="3588" spans="1:33" x14ac:dyDescent="0.25">
      <c r="A3588" t="str">
        <f>"1932260643"</f>
        <v>1932260643</v>
      </c>
      <c r="B3588" t="str">
        <f>"00830222"</f>
        <v>00830222</v>
      </c>
      <c r="C3588" t="s">
        <v>13436</v>
      </c>
      <c r="D3588" t="s">
        <v>19816</v>
      </c>
      <c r="E3588" t="s">
        <v>19817</v>
      </c>
      <c r="G3588" t="s">
        <v>19818</v>
      </c>
      <c r="L3588" t="s">
        <v>74</v>
      </c>
      <c r="M3588" t="s">
        <v>85</v>
      </c>
      <c r="R3588" t="s">
        <v>19819</v>
      </c>
      <c r="W3588" t="s">
        <v>19817</v>
      </c>
      <c r="X3588" t="s">
        <v>19820</v>
      </c>
      <c r="Y3588" t="s">
        <v>97</v>
      </c>
      <c r="Z3588" t="s">
        <v>77</v>
      </c>
      <c r="AA3588" t="str">
        <f>"10009-8201"</f>
        <v>10009-8201</v>
      </c>
      <c r="AB3588" t="s">
        <v>78</v>
      </c>
      <c r="AC3588" t="s">
        <v>79</v>
      </c>
      <c r="AD3588" t="s">
        <v>75</v>
      </c>
      <c r="AE3588" t="s">
        <v>80</v>
      </c>
      <c r="AG3588" t="s">
        <v>81</v>
      </c>
    </row>
    <row r="3589" spans="1:33" x14ac:dyDescent="0.25">
      <c r="A3589" t="str">
        <f>"1548469778"</f>
        <v>1548469778</v>
      </c>
      <c r="B3589" t="str">
        <f>"02978476"</f>
        <v>02978476</v>
      </c>
      <c r="C3589" t="s">
        <v>13436</v>
      </c>
      <c r="D3589" t="s">
        <v>716</v>
      </c>
      <c r="E3589" t="s">
        <v>717</v>
      </c>
      <c r="G3589" t="s">
        <v>19821</v>
      </c>
      <c r="L3589" t="s">
        <v>83</v>
      </c>
      <c r="M3589" t="s">
        <v>85</v>
      </c>
      <c r="R3589" t="s">
        <v>717</v>
      </c>
      <c r="W3589" t="s">
        <v>718</v>
      </c>
      <c r="X3589" t="s">
        <v>719</v>
      </c>
      <c r="Y3589" t="s">
        <v>97</v>
      </c>
      <c r="Z3589" t="s">
        <v>77</v>
      </c>
      <c r="AA3589" t="str">
        <f>"10003"</f>
        <v>10003</v>
      </c>
      <c r="AB3589" t="s">
        <v>78</v>
      </c>
      <c r="AC3589" t="s">
        <v>79</v>
      </c>
      <c r="AD3589" t="s">
        <v>75</v>
      </c>
      <c r="AE3589" t="s">
        <v>80</v>
      </c>
      <c r="AG3589" t="s">
        <v>81</v>
      </c>
    </row>
    <row r="3590" spans="1:33" x14ac:dyDescent="0.25">
      <c r="A3590" t="str">
        <f>"1093733438"</f>
        <v>1093733438</v>
      </c>
      <c r="B3590" t="str">
        <f>"02374321"</f>
        <v>02374321</v>
      </c>
      <c r="C3590" t="s">
        <v>13436</v>
      </c>
      <c r="D3590" t="s">
        <v>19822</v>
      </c>
      <c r="E3590" t="s">
        <v>19823</v>
      </c>
      <c r="G3590" t="s">
        <v>19824</v>
      </c>
      <c r="L3590" t="s">
        <v>94</v>
      </c>
      <c r="M3590" t="s">
        <v>85</v>
      </c>
      <c r="R3590" t="s">
        <v>19823</v>
      </c>
      <c r="W3590" t="s">
        <v>19823</v>
      </c>
      <c r="X3590" t="s">
        <v>11176</v>
      </c>
      <c r="Y3590" t="s">
        <v>97</v>
      </c>
      <c r="Z3590" t="s">
        <v>77</v>
      </c>
      <c r="AA3590" t="str">
        <f>"10029-6542"</f>
        <v>10029-6542</v>
      </c>
      <c r="AB3590" t="s">
        <v>78</v>
      </c>
      <c r="AC3590" t="s">
        <v>79</v>
      </c>
      <c r="AD3590" t="s">
        <v>75</v>
      </c>
      <c r="AE3590" t="s">
        <v>80</v>
      </c>
      <c r="AG3590" t="s">
        <v>81</v>
      </c>
    </row>
    <row r="3591" spans="1:33" x14ac:dyDescent="0.25">
      <c r="A3591" t="str">
        <f>"1477605731"</f>
        <v>1477605731</v>
      </c>
      <c r="B3591" t="str">
        <f>"01878133"</f>
        <v>01878133</v>
      </c>
      <c r="C3591" t="s">
        <v>13436</v>
      </c>
      <c r="D3591" t="s">
        <v>19825</v>
      </c>
      <c r="E3591" t="s">
        <v>19826</v>
      </c>
      <c r="G3591" t="s">
        <v>19827</v>
      </c>
      <c r="L3591" t="s">
        <v>83</v>
      </c>
      <c r="M3591" t="s">
        <v>75</v>
      </c>
      <c r="R3591" t="s">
        <v>19828</v>
      </c>
      <c r="W3591" t="s">
        <v>19826</v>
      </c>
      <c r="X3591" t="s">
        <v>3553</v>
      </c>
      <c r="Y3591" t="s">
        <v>97</v>
      </c>
      <c r="Z3591" t="s">
        <v>77</v>
      </c>
      <c r="AA3591" t="str">
        <f>"10003-3851"</f>
        <v>10003-3851</v>
      </c>
      <c r="AB3591" t="s">
        <v>78</v>
      </c>
      <c r="AC3591" t="s">
        <v>79</v>
      </c>
      <c r="AD3591" t="s">
        <v>75</v>
      </c>
      <c r="AE3591" t="s">
        <v>80</v>
      </c>
      <c r="AG3591" t="s">
        <v>81</v>
      </c>
    </row>
    <row r="3592" spans="1:33" x14ac:dyDescent="0.25">
      <c r="A3592" t="str">
        <f>"1477757052"</f>
        <v>1477757052</v>
      </c>
      <c r="B3592" t="str">
        <f>"03500910"</f>
        <v>03500910</v>
      </c>
      <c r="C3592" t="s">
        <v>13436</v>
      </c>
      <c r="D3592" t="s">
        <v>19829</v>
      </c>
      <c r="E3592" t="s">
        <v>19830</v>
      </c>
      <c r="G3592" t="s">
        <v>19831</v>
      </c>
      <c r="L3592" t="s">
        <v>94</v>
      </c>
      <c r="M3592" t="s">
        <v>85</v>
      </c>
      <c r="R3592" t="s">
        <v>19832</v>
      </c>
      <c r="W3592" t="s">
        <v>19833</v>
      </c>
      <c r="X3592" t="s">
        <v>329</v>
      </c>
      <c r="Y3592" t="s">
        <v>97</v>
      </c>
      <c r="Z3592" t="s">
        <v>77</v>
      </c>
      <c r="AA3592" t="str">
        <f>"10029-6504"</f>
        <v>10029-6504</v>
      </c>
      <c r="AB3592" t="s">
        <v>78</v>
      </c>
      <c r="AC3592" t="s">
        <v>79</v>
      </c>
      <c r="AD3592" t="s">
        <v>75</v>
      </c>
      <c r="AE3592" t="s">
        <v>80</v>
      </c>
      <c r="AG3592" t="s">
        <v>81</v>
      </c>
    </row>
    <row r="3593" spans="1:33" x14ac:dyDescent="0.25">
      <c r="A3593" t="str">
        <f>"1477829802"</f>
        <v>1477829802</v>
      </c>
      <c r="B3593" t="str">
        <f>"04270357"</f>
        <v>04270357</v>
      </c>
      <c r="C3593" t="s">
        <v>13436</v>
      </c>
      <c r="D3593" t="s">
        <v>19834</v>
      </c>
      <c r="E3593" t="s">
        <v>19835</v>
      </c>
      <c r="G3593" t="s">
        <v>19836</v>
      </c>
      <c r="L3593" t="s">
        <v>74</v>
      </c>
      <c r="M3593" t="s">
        <v>75</v>
      </c>
      <c r="R3593" t="s">
        <v>19837</v>
      </c>
      <c r="W3593" t="s">
        <v>19838</v>
      </c>
      <c r="X3593" t="s">
        <v>329</v>
      </c>
      <c r="Y3593" t="s">
        <v>97</v>
      </c>
      <c r="Z3593" t="s">
        <v>77</v>
      </c>
      <c r="AA3593" t="str">
        <f>"10029-6504"</f>
        <v>10029-6504</v>
      </c>
      <c r="AB3593" t="s">
        <v>78</v>
      </c>
      <c r="AC3593" t="s">
        <v>79</v>
      </c>
      <c r="AD3593" t="s">
        <v>75</v>
      </c>
      <c r="AE3593" t="s">
        <v>80</v>
      </c>
      <c r="AG3593" t="s">
        <v>81</v>
      </c>
    </row>
    <row r="3594" spans="1:33" x14ac:dyDescent="0.25">
      <c r="A3594" t="str">
        <f>"1477855997"</f>
        <v>1477855997</v>
      </c>
      <c r="B3594" t="str">
        <f>"04031229"</f>
        <v>04031229</v>
      </c>
      <c r="C3594" t="s">
        <v>13436</v>
      </c>
      <c r="D3594" t="s">
        <v>19839</v>
      </c>
      <c r="E3594" t="s">
        <v>19840</v>
      </c>
      <c r="G3594" t="s">
        <v>19841</v>
      </c>
      <c r="L3594" t="s">
        <v>74</v>
      </c>
      <c r="M3594" t="s">
        <v>75</v>
      </c>
      <c r="R3594" t="s">
        <v>19842</v>
      </c>
      <c r="W3594" t="s">
        <v>19843</v>
      </c>
      <c r="X3594" t="s">
        <v>11195</v>
      </c>
      <c r="Y3594" t="s">
        <v>97</v>
      </c>
      <c r="Z3594" t="s">
        <v>77</v>
      </c>
      <c r="AA3594" t="str">
        <f>"10029-6030"</f>
        <v>10029-6030</v>
      </c>
      <c r="AB3594" t="s">
        <v>78</v>
      </c>
      <c r="AC3594" t="s">
        <v>79</v>
      </c>
      <c r="AD3594" t="s">
        <v>75</v>
      </c>
      <c r="AE3594" t="s">
        <v>80</v>
      </c>
      <c r="AG3594" t="s">
        <v>81</v>
      </c>
    </row>
    <row r="3595" spans="1:33" x14ac:dyDescent="0.25">
      <c r="A3595" t="str">
        <f>"1295823474"</f>
        <v>1295823474</v>
      </c>
      <c r="B3595" t="str">
        <f>"02799360"</f>
        <v>02799360</v>
      </c>
      <c r="C3595" t="s">
        <v>13436</v>
      </c>
      <c r="D3595" t="s">
        <v>19844</v>
      </c>
      <c r="E3595" t="s">
        <v>19845</v>
      </c>
      <c r="G3595" t="s">
        <v>19846</v>
      </c>
      <c r="L3595" t="s">
        <v>83</v>
      </c>
      <c r="M3595" t="s">
        <v>85</v>
      </c>
      <c r="R3595" t="s">
        <v>19847</v>
      </c>
      <c r="W3595" t="s">
        <v>19845</v>
      </c>
      <c r="X3595" t="s">
        <v>19848</v>
      </c>
      <c r="Y3595" t="s">
        <v>182</v>
      </c>
      <c r="Z3595" t="s">
        <v>77</v>
      </c>
      <c r="AA3595" t="str">
        <f>"11501-4077"</f>
        <v>11501-4077</v>
      </c>
      <c r="AB3595" t="s">
        <v>78</v>
      </c>
      <c r="AC3595" t="s">
        <v>79</v>
      </c>
      <c r="AD3595" t="s">
        <v>75</v>
      </c>
      <c r="AE3595" t="s">
        <v>80</v>
      </c>
      <c r="AG3595" t="s">
        <v>81</v>
      </c>
    </row>
    <row r="3596" spans="1:33" x14ac:dyDescent="0.25">
      <c r="A3596" t="str">
        <f>"1295935930"</f>
        <v>1295935930</v>
      </c>
      <c r="B3596" t="str">
        <f>"02925015"</f>
        <v>02925015</v>
      </c>
      <c r="C3596" t="s">
        <v>13436</v>
      </c>
      <c r="D3596" t="s">
        <v>19849</v>
      </c>
      <c r="E3596" t="s">
        <v>19850</v>
      </c>
      <c r="G3596" t="s">
        <v>19851</v>
      </c>
      <c r="L3596" t="s">
        <v>83</v>
      </c>
      <c r="M3596" t="s">
        <v>85</v>
      </c>
      <c r="R3596" t="s">
        <v>19852</v>
      </c>
      <c r="W3596" t="s">
        <v>19853</v>
      </c>
      <c r="X3596" t="s">
        <v>1076</v>
      </c>
      <c r="Y3596" t="s">
        <v>97</v>
      </c>
      <c r="Z3596" t="s">
        <v>77</v>
      </c>
      <c r="AA3596" t="str">
        <f>"10025-1737"</f>
        <v>10025-1737</v>
      </c>
      <c r="AB3596" t="s">
        <v>78</v>
      </c>
      <c r="AC3596" t="s">
        <v>79</v>
      </c>
      <c r="AD3596" t="s">
        <v>75</v>
      </c>
      <c r="AE3596" t="s">
        <v>80</v>
      </c>
      <c r="AG3596" t="s">
        <v>81</v>
      </c>
    </row>
    <row r="3597" spans="1:33" x14ac:dyDescent="0.25">
      <c r="A3597" t="str">
        <f>"1306002795"</f>
        <v>1306002795</v>
      </c>
      <c r="B3597" t="str">
        <f>"04278786"</f>
        <v>04278786</v>
      </c>
      <c r="C3597" t="s">
        <v>13436</v>
      </c>
      <c r="D3597" t="s">
        <v>19854</v>
      </c>
      <c r="E3597" t="s">
        <v>19855</v>
      </c>
      <c r="G3597" t="s">
        <v>19856</v>
      </c>
      <c r="L3597" t="s">
        <v>74</v>
      </c>
      <c r="M3597" t="s">
        <v>85</v>
      </c>
      <c r="R3597" t="s">
        <v>19857</v>
      </c>
      <c r="W3597" t="s">
        <v>19855</v>
      </c>
      <c r="X3597" t="s">
        <v>204</v>
      </c>
      <c r="Y3597" t="s">
        <v>97</v>
      </c>
      <c r="Z3597" t="s">
        <v>77</v>
      </c>
      <c r="AA3597" t="str">
        <f>"10065-4870"</f>
        <v>10065-4870</v>
      </c>
      <c r="AB3597" t="s">
        <v>78</v>
      </c>
      <c r="AC3597" t="s">
        <v>79</v>
      </c>
      <c r="AD3597" t="s">
        <v>75</v>
      </c>
      <c r="AE3597" t="s">
        <v>80</v>
      </c>
      <c r="AG3597" t="s">
        <v>81</v>
      </c>
    </row>
    <row r="3598" spans="1:33" x14ac:dyDescent="0.25">
      <c r="A3598" t="str">
        <f>"1508027715"</f>
        <v>1508027715</v>
      </c>
      <c r="B3598" t="str">
        <f>"03240264"</f>
        <v>03240264</v>
      </c>
      <c r="C3598" t="s">
        <v>13436</v>
      </c>
      <c r="D3598" t="s">
        <v>19858</v>
      </c>
      <c r="E3598" t="s">
        <v>19859</v>
      </c>
      <c r="G3598" t="s">
        <v>19860</v>
      </c>
      <c r="L3598" t="s">
        <v>105</v>
      </c>
      <c r="M3598" t="s">
        <v>85</v>
      </c>
      <c r="R3598" t="s">
        <v>19861</v>
      </c>
      <c r="W3598" t="s">
        <v>19862</v>
      </c>
      <c r="X3598" t="s">
        <v>329</v>
      </c>
      <c r="Y3598" t="s">
        <v>97</v>
      </c>
      <c r="Z3598" t="s">
        <v>77</v>
      </c>
      <c r="AA3598" t="str">
        <f>"10029-6500"</f>
        <v>10029-6500</v>
      </c>
      <c r="AB3598" t="s">
        <v>78</v>
      </c>
      <c r="AC3598" t="s">
        <v>79</v>
      </c>
      <c r="AD3598" t="s">
        <v>75</v>
      </c>
      <c r="AE3598" t="s">
        <v>80</v>
      </c>
      <c r="AG3598" t="s">
        <v>81</v>
      </c>
    </row>
    <row r="3599" spans="1:33" x14ac:dyDescent="0.25">
      <c r="A3599" t="str">
        <f>"1508028796"</f>
        <v>1508028796</v>
      </c>
      <c r="B3599" t="str">
        <f>"03015390"</f>
        <v>03015390</v>
      </c>
      <c r="C3599" t="s">
        <v>13436</v>
      </c>
      <c r="D3599" t="s">
        <v>19863</v>
      </c>
      <c r="E3599" t="s">
        <v>19864</v>
      </c>
      <c r="G3599" t="s">
        <v>19865</v>
      </c>
      <c r="L3599" t="s">
        <v>94</v>
      </c>
      <c r="M3599" t="s">
        <v>85</v>
      </c>
      <c r="R3599" t="s">
        <v>19866</v>
      </c>
      <c r="W3599" t="s">
        <v>19867</v>
      </c>
      <c r="X3599" t="s">
        <v>130</v>
      </c>
      <c r="Y3599" t="s">
        <v>131</v>
      </c>
      <c r="Z3599" t="s">
        <v>77</v>
      </c>
      <c r="AA3599" t="str">
        <f>"10461-1138"</f>
        <v>10461-1138</v>
      </c>
      <c r="AB3599" t="s">
        <v>78</v>
      </c>
      <c r="AC3599" t="s">
        <v>79</v>
      </c>
      <c r="AD3599" t="s">
        <v>75</v>
      </c>
      <c r="AE3599" t="s">
        <v>80</v>
      </c>
      <c r="AG3599" t="s">
        <v>81</v>
      </c>
    </row>
    <row r="3600" spans="1:33" x14ac:dyDescent="0.25">
      <c r="A3600" t="str">
        <f>"1508920877"</f>
        <v>1508920877</v>
      </c>
      <c r="B3600" t="str">
        <f>"00187068"</f>
        <v>00187068</v>
      </c>
      <c r="C3600" t="s">
        <v>13436</v>
      </c>
      <c r="D3600" t="s">
        <v>19868</v>
      </c>
      <c r="E3600" t="s">
        <v>19869</v>
      </c>
      <c r="G3600" t="s">
        <v>19870</v>
      </c>
      <c r="L3600" t="s">
        <v>105</v>
      </c>
      <c r="M3600" t="s">
        <v>75</v>
      </c>
      <c r="R3600" t="s">
        <v>5124</v>
      </c>
      <c r="W3600" t="s">
        <v>19869</v>
      </c>
      <c r="X3600" t="s">
        <v>19871</v>
      </c>
      <c r="Y3600" t="s">
        <v>97</v>
      </c>
      <c r="Z3600" t="s">
        <v>77</v>
      </c>
      <c r="AA3600" t="str">
        <f>"10024-6264"</f>
        <v>10024-6264</v>
      </c>
      <c r="AB3600" t="s">
        <v>78</v>
      </c>
      <c r="AC3600" t="s">
        <v>79</v>
      </c>
      <c r="AD3600" t="s">
        <v>75</v>
      </c>
      <c r="AE3600" t="s">
        <v>80</v>
      </c>
      <c r="AG3600" t="s">
        <v>81</v>
      </c>
    </row>
    <row r="3601" spans="1:33" x14ac:dyDescent="0.25">
      <c r="A3601" t="str">
        <f>"1477732691"</f>
        <v>1477732691</v>
      </c>
      <c r="B3601" t="str">
        <f>"03030908"</f>
        <v>03030908</v>
      </c>
      <c r="C3601" t="s">
        <v>19872</v>
      </c>
      <c r="D3601" t="s">
        <v>3952</v>
      </c>
      <c r="E3601" t="s">
        <v>3953</v>
      </c>
      <c r="G3601" t="s">
        <v>19873</v>
      </c>
      <c r="H3601" t="s">
        <v>3634</v>
      </c>
      <c r="J3601" t="s">
        <v>19874</v>
      </c>
      <c r="L3601" t="s">
        <v>94</v>
      </c>
      <c r="M3601" t="s">
        <v>75</v>
      </c>
      <c r="R3601" t="s">
        <v>3954</v>
      </c>
      <c r="W3601" t="s">
        <v>3953</v>
      </c>
      <c r="X3601" t="s">
        <v>200</v>
      </c>
      <c r="Y3601" t="s">
        <v>97</v>
      </c>
      <c r="Z3601" t="s">
        <v>77</v>
      </c>
      <c r="AA3601" t="str">
        <f>"10032-3720"</f>
        <v>10032-3720</v>
      </c>
      <c r="AB3601" t="s">
        <v>78</v>
      </c>
      <c r="AC3601" t="s">
        <v>79</v>
      </c>
      <c r="AD3601" t="s">
        <v>75</v>
      </c>
      <c r="AE3601" t="s">
        <v>80</v>
      </c>
      <c r="AG3601" t="s">
        <v>81</v>
      </c>
    </row>
    <row r="3602" spans="1:33" x14ac:dyDescent="0.25">
      <c r="A3602" t="str">
        <f>"1649599028"</f>
        <v>1649599028</v>
      </c>
      <c r="B3602" t="str">
        <f>"03305644"</f>
        <v>03305644</v>
      </c>
      <c r="C3602" t="s">
        <v>19875</v>
      </c>
      <c r="D3602" t="s">
        <v>3955</v>
      </c>
      <c r="E3602" t="s">
        <v>3956</v>
      </c>
      <c r="G3602" t="s">
        <v>19876</v>
      </c>
      <c r="H3602" t="s">
        <v>3629</v>
      </c>
      <c r="J3602" t="s">
        <v>19877</v>
      </c>
      <c r="L3602" t="s">
        <v>83</v>
      </c>
      <c r="M3602" t="s">
        <v>75</v>
      </c>
      <c r="R3602" t="s">
        <v>3957</v>
      </c>
      <c r="W3602" t="s">
        <v>3956</v>
      </c>
      <c r="X3602" t="s">
        <v>258</v>
      </c>
      <c r="Y3602" t="s">
        <v>131</v>
      </c>
      <c r="Z3602" t="s">
        <v>77</v>
      </c>
      <c r="AA3602" t="str">
        <f>"10467-2401"</f>
        <v>10467-2401</v>
      </c>
      <c r="AB3602" t="s">
        <v>78</v>
      </c>
      <c r="AC3602" t="s">
        <v>79</v>
      </c>
      <c r="AD3602" t="s">
        <v>75</v>
      </c>
      <c r="AE3602" t="s">
        <v>80</v>
      </c>
      <c r="AG3602" t="s">
        <v>81</v>
      </c>
    </row>
    <row r="3603" spans="1:33" x14ac:dyDescent="0.25">
      <c r="A3603" t="str">
        <f>"1902939432"</f>
        <v>1902939432</v>
      </c>
      <c r="B3603" t="str">
        <f>"02212586"</f>
        <v>02212586</v>
      </c>
      <c r="C3603" t="s">
        <v>19878</v>
      </c>
      <c r="D3603" t="s">
        <v>3961</v>
      </c>
      <c r="E3603" t="s">
        <v>3962</v>
      </c>
      <c r="G3603" t="s">
        <v>19873</v>
      </c>
      <c r="H3603" t="s">
        <v>3634</v>
      </c>
      <c r="J3603" t="s">
        <v>19874</v>
      </c>
      <c r="L3603" t="s">
        <v>94</v>
      </c>
      <c r="M3603" t="s">
        <v>75</v>
      </c>
      <c r="R3603" t="s">
        <v>3963</v>
      </c>
      <c r="W3603" t="s">
        <v>3964</v>
      </c>
      <c r="X3603" t="s">
        <v>200</v>
      </c>
      <c r="Y3603" t="s">
        <v>97</v>
      </c>
      <c r="Z3603" t="s">
        <v>77</v>
      </c>
      <c r="AA3603" t="str">
        <f>"10032-3720"</f>
        <v>10032-3720</v>
      </c>
      <c r="AB3603" t="s">
        <v>78</v>
      </c>
      <c r="AC3603" t="s">
        <v>79</v>
      </c>
      <c r="AD3603" t="s">
        <v>75</v>
      </c>
      <c r="AE3603" t="s">
        <v>80</v>
      </c>
      <c r="AG3603" t="s">
        <v>81</v>
      </c>
    </row>
    <row r="3604" spans="1:33" x14ac:dyDescent="0.25">
      <c r="A3604" t="str">
        <f>"1437128808"</f>
        <v>1437128808</v>
      </c>
      <c r="B3604" t="str">
        <f>"02010548"</f>
        <v>02010548</v>
      </c>
      <c r="C3604" t="s">
        <v>19879</v>
      </c>
      <c r="D3604" t="s">
        <v>3965</v>
      </c>
      <c r="E3604" t="s">
        <v>3966</v>
      </c>
      <c r="L3604" t="s">
        <v>74</v>
      </c>
      <c r="M3604" t="s">
        <v>75</v>
      </c>
      <c r="R3604" t="s">
        <v>3967</v>
      </c>
      <c r="W3604" t="s">
        <v>3967</v>
      </c>
      <c r="X3604" t="s">
        <v>3968</v>
      </c>
      <c r="Y3604" t="s">
        <v>97</v>
      </c>
      <c r="Z3604" t="s">
        <v>77</v>
      </c>
      <c r="AA3604" t="str">
        <f>"10007-3782"</f>
        <v>10007-3782</v>
      </c>
      <c r="AB3604" t="s">
        <v>108</v>
      </c>
      <c r="AC3604" t="s">
        <v>79</v>
      </c>
      <c r="AD3604" t="s">
        <v>75</v>
      </c>
      <c r="AE3604" t="s">
        <v>80</v>
      </c>
      <c r="AG3604" t="s">
        <v>81</v>
      </c>
    </row>
    <row r="3605" spans="1:33" x14ac:dyDescent="0.25">
      <c r="A3605" t="str">
        <f>"1568662450"</f>
        <v>1568662450</v>
      </c>
      <c r="B3605" t="str">
        <f>"02905833"</f>
        <v>02905833</v>
      </c>
      <c r="C3605" t="s">
        <v>13436</v>
      </c>
      <c r="D3605" t="s">
        <v>19880</v>
      </c>
      <c r="E3605" t="s">
        <v>19881</v>
      </c>
      <c r="G3605" t="s">
        <v>19882</v>
      </c>
      <c r="L3605" t="s">
        <v>74</v>
      </c>
      <c r="M3605" t="s">
        <v>85</v>
      </c>
      <c r="R3605" t="s">
        <v>19883</v>
      </c>
      <c r="W3605" t="s">
        <v>19884</v>
      </c>
      <c r="X3605" t="s">
        <v>18869</v>
      </c>
      <c r="Y3605" t="s">
        <v>97</v>
      </c>
      <c r="Z3605" t="s">
        <v>77</v>
      </c>
      <c r="AA3605" t="str">
        <f>"10019-8022"</f>
        <v>10019-8022</v>
      </c>
      <c r="AB3605" t="s">
        <v>78</v>
      </c>
      <c r="AC3605" t="s">
        <v>79</v>
      </c>
      <c r="AD3605" t="s">
        <v>75</v>
      </c>
      <c r="AE3605" t="s">
        <v>80</v>
      </c>
      <c r="AG3605" t="s">
        <v>81</v>
      </c>
    </row>
    <row r="3606" spans="1:33" x14ac:dyDescent="0.25">
      <c r="A3606" t="str">
        <f>"1578553707"</f>
        <v>1578553707</v>
      </c>
      <c r="B3606" t="str">
        <f>"02094613"</f>
        <v>02094613</v>
      </c>
      <c r="C3606" t="s">
        <v>13436</v>
      </c>
      <c r="D3606" t="s">
        <v>19885</v>
      </c>
      <c r="E3606" t="s">
        <v>19886</v>
      </c>
      <c r="G3606" t="s">
        <v>19887</v>
      </c>
      <c r="L3606" t="s">
        <v>84</v>
      </c>
      <c r="M3606" t="s">
        <v>85</v>
      </c>
      <c r="R3606" t="s">
        <v>19888</v>
      </c>
      <c r="W3606" t="s">
        <v>19886</v>
      </c>
      <c r="X3606" t="s">
        <v>14588</v>
      </c>
      <c r="Y3606" t="s">
        <v>97</v>
      </c>
      <c r="Z3606" t="s">
        <v>77</v>
      </c>
      <c r="AA3606" t="str">
        <f>"10003-3314"</f>
        <v>10003-3314</v>
      </c>
      <c r="AB3606" t="s">
        <v>78</v>
      </c>
      <c r="AC3606" t="s">
        <v>79</v>
      </c>
      <c r="AD3606" t="s">
        <v>75</v>
      </c>
      <c r="AE3606" t="s">
        <v>80</v>
      </c>
      <c r="AG3606" t="s">
        <v>81</v>
      </c>
    </row>
    <row r="3607" spans="1:33" x14ac:dyDescent="0.25">
      <c r="A3607" t="str">
        <f>"1639183205"</f>
        <v>1639183205</v>
      </c>
      <c r="B3607" t="str">
        <f>"02501100"</f>
        <v>02501100</v>
      </c>
      <c r="C3607" t="s">
        <v>13436</v>
      </c>
      <c r="D3607" t="s">
        <v>19889</v>
      </c>
      <c r="E3607" t="s">
        <v>19890</v>
      </c>
      <c r="G3607" t="s">
        <v>19891</v>
      </c>
      <c r="L3607" t="s">
        <v>83</v>
      </c>
      <c r="M3607" t="s">
        <v>85</v>
      </c>
      <c r="R3607" t="s">
        <v>19892</v>
      </c>
      <c r="W3607" t="s">
        <v>19890</v>
      </c>
      <c r="X3607" t="s">
        <v>19893</v>
      </c>
      <c r="Y3607" t="s">
        <v>97</v>
      </c>
      <c r="Z3607" t="s">
        <v>77</v>
      </c>
      <c r="AA3607" t="str">
        <f>"10003"</f>
        <v>10003</v>
      </c>
      <c r="AB3607" t="s">
        <v>78</v>
      </c>
      <c r="AC3607" t="s">
        <v>79</v>
      </c>
      <c r="AD3607" t="s">
        <v>75</v>
      </c>
      <c r="AE3607" t="s">
        <v>80</v>
      </c>
      <c r="AG3607" t="s">
        <v>81</v>
      </c>
    </row>
    <row r="3608" spans="1:33" x14ac:dyDescent="0.25">
      <c r="A3608" t="str">
        <f>"1154373298"</f>
        <v>1154373298</v>
      </c>
      <c r="C3608" t="s">
        <v>13436</v>
      </c>
      <c r="G3608" t="s">
        <v>19894</v>
      </c>
      <c r="K3608" t="s">
        <v>99</v>
      </c>
      <c r="L3608" t="s">
        <v>102</v>
      </c>
      <c r="M3608" t="s">
        <v>75</v>
      </c>
      <c r="R3608" t="s">
        <v>19895</v>
      </c>
      <c r="S3608" t="s">
        <v>19896</v>
      </c>
      <c r="T3608" t="s">
        <v>5171</v>
      </c>
      <c r="U3608" t="s">
        <v>77</v>
      </c>
      <c r="V3608" t="str">
        <f>"105731354"</f>
        <v>105731354</v>
      </c>
      <c r="AC3608" t="s">
        <v>79</v>
      </c>
      <c r="AD3608" t="s">
        <v>75</v>
      </c>
      <c r="AE3608" t="s">
        <v>103</v>
      </c>
      <c r="AG3608" t="s">
        <v>81</v>
      </c>
    </row>
    <row r="3609" spans="1:33" x14ac:dyDescent="0.25">
      <c r="A3609" t="str">
        <f>"1598718298"</f>
        <v>1598718298</v>
      </c>
      <c r="B3609" t="str">
        <f>"00657378"</f>
        <v>00657378</v>
      </c>
      <c r="C3609" t="s">
        <v>13436</v>
      </c>
      <c r="D3609" t="s">
        <v>19897</v>
      </c>
      <c r="E3609" t="s">
        <v>19898</v>
      </c>
      <c r="G3609" t="s">
        <v>19899</v>
      </c>
      <c r="L3609" t="s">
        <v>83</v>
      </c>
      <c r="M3609" t="s">
        <v>85</v>
      </c>
      <c r="R3609" t="s">
        <v>19900</v>
      </c>
      <c r="W3609" t="s">
        <v>19898</v>
      </c>
      <c r="X3609" t="s">
        <v>1076</v>
      </c>
      <c r="Y3609" t="s">
        <v>97</v>
      </c>
      <c r="Z3609" t="s">
        <v>77</v>
      </c>
      <c r="AA3609" t="str">
        <f>"10025-1737"</f>
        <v>10025-1737</v>
      </c>
      <c r="AB3609" t="s">
        <v>78</v>
      </c>
      <c r="AC3609" t="s">
        <v>79</v>
      </c>
      <c r="AD3609" t="s">
        <v>75</v>
      </c>
      <c r="AE3609" t="s">
        <v>80</v>
      </c>
      <c r="AG3609" t="s">
        <v>81</v>
      </c>
    </row>
    <row r="3610" spans="1:33" x14ac:dyDescent="0.25">
      <c r="A3610" t="str">
        <f>"1598738056"</f>
        <v>1598738056</v>
      </c>
      <c r="B3610" t="str">
        <f>"01839725"</f>
        <v>01839725</v>
      </c>
      <c r="C3610" t="s">
        <v>13436</v>
      </c>
      <c r="D3610" t="s">
        <v>19901</v>
      </c>
      <c r="E3610" t="s">
        <v>19902</v>
      </c>
      <c r="G3610" t="s">
        <v>19903</v>
      </c>
      <c r="L3610" t="s">
        <v>83</v>
      </c>
      <c r="M3610" t="s">
        <v>85</v>
      </c>
      <c r="R3610" t="s">
        <v>19904</v>
      </c>
      <c r="W3610" t="s">
        <v>19902</v>
      </c>
      <c r="X3610" t="s">
        <v>19905</v>
      </c>
      <c r="Y3610" t="s">
        <v>97</v>
      </c>
      <c r="Z3610" t="s">
        <v>77</v>
      </c>
      <c r="AA3610" t="str">
        <f>"10075-0277"</f>
        <v>10075-0277</v>
      </c>
      <c r="AB3610" t="s">
        <v>78</v>
      </c>
      <c r="AC3610" t="s">
        <v>79</v>
      </c>
      <c r="AD3610" t="s">
        <v>75</v>
      </c>
      <c r="AE3610" t="s">
        <v>80</v>
      </c>
      <c r="AG3610" t="s">
        <v>81</v>
      </c>
    </row>
    <row r="3611" spans="1:33" x14ac:dyDescent="0.25">
      <c r="A3611" t="str">
        <f>"1598805095"</f>
        <v>1598805095</v>
      </c>
      <c r="B3611" t="str">
        <f>"01902616"</f>
        <v>01902616</v>
      </c>
      <c r="C3611" t="s">
        <v>13436</v>
      </c>
      <c r="D3611" t="s">
        <v>19906</v>
      </c>
      <c r="E3611" t="s">
        <v>19907</v>
      </c>
      <c r="G3611" t="s">
        <v>19908</v>
      </c>
      <c r="L3611" t="s">
        <v>83</v>
      </c>
      <c r="M3611" t="s">
        <v>85</v>
      </c>
      <c r="R3611" t="s">
        <v>19907</v>
      </c>
      <c r="W3611" t="s">
        <v>19907</v>
      </c>
      <c r="X3611" t="s">
        <v>19909</v>
      </c>
      <c r="Y3611" t="s">
        <v>97</v>
      </c>
      <c r="Z3611" t="s">
        <v>77</v>
      </c>
      <c r="AA3611" t="str">
        <f>"10032-3725"</f>
        <v>10032-3725</v>
      </c>
      <c r="AB3611" t="s">
        <v>78</v>
      </c>
      <c r="AC3611" t="s">
        <v>79</v>
      </c>
      <c r="AD3611" t="s">
        <v>75</v>
      </c>
      <c r="AE3611" t="s">
        <v>80</v>
      </c>
      <c r="AG3611" t="s">
        <v>81</v>
      </c>
    </row>
    <row r="3612" spans="1:33" x14ac:dyDescent="0.25">
      <c r="A3612" t="str">
        <f>"1609090349"</f>
        <v>1609090349</v>
      </c>
      <c r="B3612" t="str">
        <f>"03737919"</f>
        <v>03737919</v>
      </c>
      <c r="C3612" t="s">
        <v>13436</v>
      </c>
      <c r="D3612" t="s">
        <v>19910</v>
      </c>
      <c r="E3612" t="s">
        <v>19911</v>
      </c>
      <c r="G3612" t="s">
        <v>19912</v>
      </c>
      <c r="L3612" t="s">
        <v>74</v>
      </c>
      <c r="M3612" t="s">
        <v>85</v>
      </c>
      <c r="R3612" t="s">
        <v>19913</v>
      </c>
      <c r="W3612" t="s">
        <v>19911</v>
      </c>
      <c r="X3612" t="s">
        <v>19914</v>
      </c>
      <c r="Y3612" t="s">
        <v>97</v>
      </c>
      <c r="Z3612" t="s">
        <v>77</v>
      </c>
      <c r="AA3612" t="str">
        <f>"10010-3101"</f>
        <v>10010-3101</v>
      </c>
      <c r="AB3612" t="s">
        <v>78</v>
      </c>
      <c r="AC3612" t="s">
        <v>79</v>
      </c>
      <c r="AD3612" t="s">
        <v>75</v>
      </c>
      <c r="AE3612" t="s">
        <v>80</v>
      </c>
      <c r="AG3612" t="s">
        <v>81</v>
      </c>
    </row>
    <row r="3613" spans="1:33" x14ac:dyDescent="0.25">
      <c r="A3613" t="str">
        <f>"1760423321"</f>
        <v>1760423321</v>
      </c>
      <c r="B3613" t="str">
        <f>"01147864"</f>
        <v>01147864</v>
      </c>
      <c r="C3613" t="s">
        <v>19915</v>
      </c>
      <c r="D3613" t="s">
        <v>5724</v>
      </c>
      <c r="E3613" t="s">
        <v>5725</v>
      </c>
      <c r="G3613" t="s">
        <v>9477</v>
      </c>
      <c r="H3613" t="s">
        <v>4867</v>
      </c>
      <c r="I3613">
        <v>135</v>
      </c>
      <c r="J3613" t="s">
        <v>5634</v>
      </c>
      <c r="L3613" t="s">
        <v>74</v>
      </c>
      <c r="M3613" t="s">
        <v>75</v>
      </c>
      <c r="R3613" t="s">
        <v>5726</v>
      </c>
      <c r="W3613" t="s">
        <v>5725</v>
      </c>
      <c r="X3613" t="s">
        <v>5727</v>
      </c>
      <c r="Y3613" t="s">
        <v>3642</v>
      </c>
      <c r="Z3613" t="s">
        <v>77</v>
      </c>
      <c r="AA3613" t="str">
        <f>"11552-3505"</f>
        <v>11552-3505</v>
      </c>
      <c r="AB3613" t="s">
        <v>108</v>
      </c>
      <c r="AC3613" t="s">
        <v>79</v>
      </c>
      <c r="AD3613" t="s">
        <v>75</v>
      </c>
      <c r="AE3613" t="s">
        <v>80</v>
      </c>
      <c r="AG3613" t="s">
        <v>81</v>
      </c>
    </row>
    <row r="3614" spans="1:33" x14ac:dyDescent="0.25">
      <c r="A3614" t="str">
        <f>"1912103227"</f>
        <v>1912103227</v>
      </c>
      <c r="B3614" t="str">
        <f>"01518390"</f>
        <v>01518390</v>
      </c>
      <c r="C3614" t="s">
        <v>19916</v>
      </c>
      <c r="D3614" t="s">
        <v>5774</v>
      </c>
      <c r="E3614" t="s">
        <v>5775</v>
      </c>
      <c r="G3614" t="s">
        <v>9477</v>
      </c>
      <c r="H3614" t="s">
        <v>4867</v>
      </c>
      <c r="I3614">
        <v>135</v>
      </c>
      <c r="J3614" t="s">
        <v>5634</v>
      </c>
      <c r="L3614" t="s">
        <v>84</v>
      </c>
      <c r="M3614" t="s">
        <v>85</v>
      </c>
      <c r="R3614" t="s">
        <v>5776</v>
      </c>
      <c r="W3614" t="s">
        <v>5775</v>
      </c>
      <c r="X3614" t="s">
        <v>258</v>
      </c>
      <c r="Y3614" t="s">
        <v>131</v>
      </c>
      <c r="Z3614" t="s">
        <v>77</v>
      </c>
      <c r="AA3614" t="str">
        <f>"10467-2401"</f>
        <v>10467-2401</v>
      </c>
      <c r="AB3614" t="s">
        <v>78</v>
      </c>
      <c r="AC3614" t="s">
        <v>79</v>
      </c>
      <c r="AD3614" t="s">
        <v>75</v>
      </c>
      <c r="AE3614" t="s">
        <v>80</v>
      </c>
      <c r="AG3614" t="s">
        <v>81</v>
      </c>
    </row>
    <row r="3615" spans="1:33" x14ac:dyDescent="0.25">
      <c r="A3615" t="str">
        <f>"1912101833"</f>
        <v>1912101833</v>
      </c>
      <c r="B3615" t="str">
        <f>"03931880"</f>
        <v>03931880</v>
      </c>
      <c r="C3615" t="s">
        <v>19917</v>
      </c>
      <c r="D3615" t="s">
        <v>2246</v>
      </c>
      <c r="E3615" t="s">
        <v>2247</v>
      </c>
      <c r="G3615" t="s">
        <v>9477</v>
      </c>
      <c r="H3615" t="s">
        <v>4867</v>
      </c>
      <c r="I3615">
        <v>135</v>
      </c>
      <c r="J3615" t="s">
        <v>5634</v>
      </c>
      <c r="L3615" t="s">
        <v>102</v>
      </c>
      <c r="M3615" t="s">
        <v>75</v>
      </c>
      <c r="R3615" t="s">
        <v>2245</v>
      </c>
      <c r="W3615" t="s">
        <v>2247</v>
      </c>
      <c r="X3615" t="s">
        <v>2248</v>
      </c>
      <c r="Y3615" t="s">
        <v>97</v>
      </c>
      <c r="Z3615" t="s">
        <v>77</v>
      </c>
      <c r="AA3615" t="str">
        <f>"10119-0206"</f>
        <v>10119-0206</v>
      </c>
      <c r="AB3615" t="s">
        <v>78</v>
      </c>
      <c r="AC3615" t="s">
        <v>79</v>
      </c>
      <c r="AD3615" t="s">
        <v>75</v>
      </c>
      <c r="AE3615" t="s">
        <v>80</v>
      </c>
      <c r="AG3615" t="s">
        <v>81</v>
      </c>
    </row>
    <row r="3616" spans="1:33" x14ac:dyDescent="0.25">
      <c r="A3616" t="str">
        <f>"1205035383"</f>
        <v>1205035383</v>
      </c>
      <c r="B3616" t="str">
        <f>"03026813"</f>
        <v>03026813</v>
      </c>
      <c r="C3616" t="s">
        <v>19918</v>
      </c>
      <c r="D3616" t="s">
        <v>1906</v>
      </c>
      <c r="E3616" t="s">
        <v>1907</v>
      </c>
      <c r="G3616" t="s">
        <v>9477</v>
      </c>
      <c r="H3616" t="s">
        <v>4867</v>
      </c>
      <c r="I3616">
        <v>135</v>
      </c>
      <c r="J3616" t="s">
        <v>5634</v>
      </c>
      <c r="L3616" t="s">
        <v>105</v>
      </c>
      <c r="M3616" t="s">
        <v>75</v>
      </c>
      <c r="R3616" t="s">
        <v>1905</v>
      </c>
      <c r="W3616" t="s">
        <v>1907</v>
      </c>
      <c r="X3616" t="s">
        <v>1908</v>
      </c>
      <c r="Y3616" t="s">
        <v>214</v>
      </c>
      <c r="Z3616" t="s">
        <v>77</v>
      </c>
      <c r="AA3616" t="str">
        <f>"11801-3508"</f>
        <v>11801-3508</v>
      </c>
      <c r="AB3616" t="s">
        <v>78</v>
      </c>
      <c r="AC3616" t="s">
        <v>79</v>
      </c>
      <c r="AD3616" t="s">
        <v>75</v>
      </c>
      <c r="AE3616" t="s">
        <v>80</v>
      </c>
      <c r="AG3616" t="s">
        <v>81</v>
      </c>
    </row>
    <row r="3617" spans="1:33" x14ac:dyDescent="0.25">
      <c r="A3617" t="str">
        <f>"1053563361"</f>
        <v>1053563361</v>
      </c>
      <c r="B3617" t="str">
        <f>"03403725"</f>
        <v>03403725</v>
      </c>
      <c r="C3617" t="s">
        <v>19919</v>
      </c>
      <c r="D3617" t="s">
        <v>1188</v>
      </c>
      <c r="E3617" t="s">
        <v>1189</v>
      </c>
      <c r="G3617" t="s">
        <v>9477</v>
      </c>
      <c r="H3617" t="s">
        <v>4867</v>
      </c>
      <c r="I3617">
        <v>135</v>
      </c>
      <c r="J3617" t="s">
        <v>5634</v>
      </c>
      <c r="L3617" t="s">
        <v>105</v>
      </c>
      <c r="M3617" t="s">
        <v>85</v>
      </c>
      <c r="R3617" t="s">
        <v>1190</v>
      </c>
      <c r="W3617" t="s">
        <v>1191</v>
      </c>
      <c r="X3617" t="s">
        <v>1192</v>
      </c>
      <c r="Y3617" t="s">
        <v>131</v>
      </c>
      <c r="Z3617" t="s">
        <v>77</v>
      </c>
      <c r="AA3617" t="str">
        <f>"10473-2519"</f>
        <v>10473-2519</v>
      </c>
      <c r="AB3617" t="s">
        <v>78</v>
      </c>
      <c r="AC3617" t="s">
        <v>79</v>
      </c>
      <c r="AD3617" t="s">
        <v>75</v>
      </c>
      <c r="AE3617" t="s">
        <v>80</v>
      </c>
      <c r="AG3617" t="s">
        <v>81</v>
      </c>
    </row>
    <row r="3618" spans="1:33" x14ac:dyDescent="0.25">
      <c r="A3618" t="str">
        <f>"1659567352"</f>
        <v>1659567352</v>
      </c>
      <c r="B3618" t="str">
        <f>"03132730"</f>
        <v>03132730</v>
      </c>
      <c r="C3618" t="s">
        <v>13436</v>
      </c>
      <c r="D3618" t="s">
        <v>19920</v>
      </c>
      <c r="E3618" t="s">
        <v>19921</v>
      </c>
      <c r="G3618" t="s">
        <v>19922</v>
      </c>
      <c r="L3618" t="s">
        <v>83</v>
      </c>
      <c r="M3618" t="s">
        <v>85</v>
      </c>
      <c r="R3618" t="s">
        <v>19923</v>
      </c>
      <c r="W3618" t="s">
        <v>19921</v>
      </c>
      <c r="X3618" t="s">
        <v>181</v>
      </c>
      <c r="Y3618" t="s">
        <v>97</v>
      </c>
      <c r="Z3618" t="s">
        <v>77</v>
      </c>
      <c r="AA3618" t="str">
        <f>"10025-1716"</f>
        <v>10025-1716</v>
      </c>
      <c r="AB3618" t="s">
        <v>78</v>
      </c>
      <c r="AC3618" t="s">
        <v>79</v>
      </c>
      <c r="AD3618" t="s">
        <v>75</v>
      </c>
      <c r="AE3618" t="s">
        <v>80</v>
      </c>
      <c r="AG3618" t="s">
        <v>81</v>
      </c>
    </row>
    <row r="3619" spans="1:33" x14ac:dyDescent="0.25">
      <c r="A3619" t="str">
        <f>"1669411633"</f>
        <v>1669411633</v>
      </c>
      <c r="B3619" t="str">
        <f>"02172172"</f>
        <v>02172172</v>
      </c>
      <c r="C3619" t="s">
        <v>13436</v>
      </c>
      <c r="D3619" t="s">
        <v>19924</v>
      </c>
      <c r="E3619" t="s">
        <v>19925</v>
      </c>
      <c r="G3619" t="s">
        <v>19926</v>
      </c>
      <c r="L3619" t="s">
        <v>83</v>
      </c>
      <c r="M3619" t="s">
        <v>85</v>
      </c>
      <c r="R3619" t="s">
        <v>19927</v>
      </c>
      <c r="W3619" t="s">
        <v>19928</v>
      </c>
      <c r="Y3619" t="s">
        <v>97</v>
      </c>
      <c r="Z3619" t="s">
        <v>77</v>
      </c>
      <c r="AA3619" t="str">
        <f>"10019-1147"</f>
        <v>10019-1147</v>
      </c>
      <c r="AB3619" t="s">
        <v>78</v>
      </c>
      <c r="AC3619" t="s">
        <v>79</v>
      </c>
      <c r="AD3619" t="s">
        <v>75</v>
      </c>
      <c r="AE3619" t="s">
        <v>80</v>
      </c>
      <c r="AG3619" t="s">
        <v>81</v>
      </c>
    </row>
    <row r="3620" spans="1:33" x14ac:dyDescent="0.25">
      <c r="A3620" t="str">
        <f>"1669433264"</f>
        <v>1669433264</v>
      </c>
      <c r="B3620" t="str">
        <f>"01150476"</f>
        <v>01150476</v>
      </c>
      <c r="C3620" t="s">
        <v>13436</v>
      </c>
      <c r="D3620" t="s">
        <v>19929</v>
      </c>
      <c r="E3620" t="s">
        <v>19930</v>
      </c>
      <c r="G3620" t="s">
        <v>19931</v>
      </c>
      <c r="L3620" t="s">
        <v>74</v>
      </c>
      <c r="M3620" t="s">
        <v>85</v>
      </c>
      <c r="R3620" t="s">
        <v>19932</v>
      </c>
      <c r="W3620" t="s">
        <v>19933</v>
      </c>
      <c r="X3620" t="s">
        <v>19934</v>
      </c>
      <c r="Y3620" t="s">
        <v>97</v>
      </c>
      <c r="Z3620" t="s">
        <v>77</v>
      </c>
      <c r="AA3620" t="str">
        <f>"10019-3234"</f>
        <v>10019-3234</v>
      </c>
      <c r="AB3620" t="s">
        <v>78</v>
      </c>
      <c r="AC3620" t="s">
        <v>79</v>
      </c>
      <c r="AD3620" t="s">
        <v>75</v>
      </c>
      <c r="AE3620" t="s">
        <v>80</v>
      </c>
      <c r="AG3620" t="s">
        <v>81</v>
      </c>
    </row>
    <row r="3621" spans="1:33" x14ac:dyDescent="0.25">
      <c r="A3621" t="str">
        <f>"1669539128"</f>
        <v>1669539128</v>
      </c>
      <c r="C3621" t="s">
        <v>13436</v>
      </c>
      <c r="G3621" t="s">
        <v>19935</v>
      </c>
      <c r="K3621" t="s">
        <v>99</v>
      </c>
      <c r="L3621" t="s">
        <v>74</v>
      </c>
      <c r="M3621" t="s">
        <v>85</v>
      </c>
      <c r="R3621" t="s">
        <v>19936</v>
      </c>
      <c r="S3621" t="s">
        <v>19937</v>
      </c>
      <c r="T3621" t="s">
        <v>97</v>
      </c>
      <c r="U3621" t="s">
        <v>77</v>
      </c>
      <c r="V3621" t="str">
        <f>"100251716"</f>
        <v>100251716</v>
      </c>
      <c r="AC3621" t="s">
        <v>79</v>
      </c>
      <c r="AD3621" t="s">
        <v>75</v>
      </c>
      <c r="AE3621" t="s">
        <v>103</v>
      </c>
      <c r="AG3621" t="s">
        <v>81</v>
      </c>
    </row>
    <row r="3622" spans="1:33" x14ac:dyDescent="0.25">
      <c r="A3622" t="str">
        <f>"1669546297"</f>
        <v>1669546297</v>
      </c>
      <c r="B3622" t="str">
        <f>"01621310"</f>
        <v>01621310</v>
      </c>
      <c r="C3622" t="s">
        <v>13436</v>
      </c>
      <c r="D3622" t="s">
        <v>19938</v>
      </c>
      <c r="E3622" t="s">
        <v>19939</v>
      </c>
      <c r="G3622" t="s">
        <v>19940</v>
      </c>
      <c r="L3622" t="s">
        <v>83</v>
      </c>
      <c r="M3622" t="s">
        <v>85</v>
      </c>
      <c r="R3622" t="s">
        <v>19941</v>
      </c>
      <c r="W3622" t="s">
        <v>19939</v>
      </c>
      <c r="X3622" t="s">
        <v>181</v>
      </c>
      <c r="Y3622" t="s">
        <v>97</v>
      </c>
      <c r="Z3622" t="s">
        <v>77</v>
      </c>
      <c r="AA3622" t="str">
        <f>"10025-1716"</f>
        <v>10025-1716</v>
      </c>
      <c r="AB3622" t="s">
        <v>78</v>
      </c>
      <c r="AC3622" t="s">
        <v>79</v>
      </c>
      <c r="AD3622" t="s">
        <v>75</v>
      </c>
      <c r="AE3622" t="s">
        <v>80</v>
      </c>
      <c r="AG3622" t="s">
        <v>81</v>
      </c>
    </row>
    <row r="3623" spans="1:33" x14ac:dyDescent="0.25">
      <c r="A3623" t="str">
        <f>"1669589990"</f>
        <v>1669589990</v>
      </c>
      <c r="B3623" t="str">
        <f>"03471212"</f>
        <v>03471212</v>
      </c>
      <c r="C3623" t="s">
        <v>13436</v>
      </c>
      <c r="D3623" t="s">
        <v>19942</v>
      </c>
      <c r="E3623" t="s">
        <v>19943</v>
      </c>
      <c r="G3623" t="s">
        <v>19944</v>
      </c>
      <c r="L3623" t="s">
        <v>105</v>
      </c>
      <c r="M3623" t="s">
        <v>85</v>
      </c>
      <c r="R3623" t="s">
        <v>19945</v>
      </c>
      <c r="W3623" t="s">
        <v>19943</v>
      </c>
      <c r="X3623" t="s">
        <v>19946</v>
      </c>
      <c r="Y3623" t="s">
        <v>97</v>
      </c>
      <c r="Z3623" t="s">
        <v>77</v>
      </c>
      <c r="AA3623" t="str">
        <f>"10025-0000"</f>
        <v>10025-0000</v>
      </c>
      <c r="AB3623" t="s">
        <v>78</v>
      </c>
      <c r="AC3623" t="s">
        <v>79</v>
      </c>
      <c r="AD3623" t="s">
        <v>75</v>
      </c>
      <c r="AE3623" t="s">
        <v>80</v>
      </c>
      <c r="AG3623" t="s">
        <v>81</v>
      </c>
    </row>
    <row r="3624" spans="1:33" x14ac:dyDescent="0.25">
      <c r="A3624" t="str">
        <f>"1679554554"</f>
        <v>1679554554</v>
      </c>
      <c r="B3624" t="str">
        <f>"01780501"</f>
        <v>01780501</v>
      </c>
      <c r="C3624" t="s">
        <v>13436</v>
      </c>
      <c r="D3624" t="s">
        <v>19947</v>
      </c>
      <c r="E3624" t="s">
        <v>19948</v>
      </c>
      <c r="G3624" t="s">
        <v>19949</v>
      </c>
      <c r="L3624" t="s">
        <v>84</v>
      </c>
      <c r="M3624" t="s">
        <v>85</v>
      </c>
      <c r="R3624" t="s">
        <v>19950</v>
      </c>
      <c r="W3624" t="s">
        <v>19948</v>
      </c>
      <c r="X3624" t="s">
        <v>329</v>
      </c>
      <c r="Y3624" t="s">
        <v>97</v>
      </c>
      <c r="Z3624" t="s">
        <v>77</v>
      </c>
      <c r="AA3624" t="str">
        <f>"10029-6500"</f>
        <v>10029-6500</v>
      </c>
      <c r="AB3624" t="s">
        <v>78</v>
      </c>
      <c r="AC3624" t="s">
        <v>79</v>
      </c>
      <c r="AD3624" t="s">
        <v>75</v>
      </c>
      <c r="AE3624" t="s">
        <v>80</v>
      </c>
      <c r="AG3624" t="s">
        <v>81</v>
      </c>
    </row>
    <row r="3625" spans="1:33" x14ac:dyDescent="0.25">
      <c r="A3625" t="str">
        <f>"1164524740"</f>
        <v>1164524740</v>
      </c>
      <c r="B3625" t="str">
        <f>"00202259"</f>
        <v>00202259</v>
      </c>
      <c r="C3625" t="s">
        <v>19951</v>
      </c>
      <c r="D3625" t="s">
        <v>19952</v>
      </c>
      <c r="E3625" t="s">
        <v>19953</v>
      </c>
      <c r="G3625" t="s">
        <v>13504</v>
      </c>
      <c r="H3625" t="s">
        <v>13505</v>
      </c>
      <c r="J3625" t="s">
        <v>13506</v>
      </c>
      <c r="L3625" t="s">
        <v>84</v>
      </c>
      <c r="M3625" t="s">
        <v>75</v>
      </c>
      <c r="R3625" t="s">
        <v>19954</v>
      </c>
      <c r="W3625" t="s">
        <v>19955</v>
      </c>
      <c r="X3625" t="s">
        <v>19956</v>
      </c>
      <c r="Y3625" t="s">
        <v>87</v>
      </c>
      <c r="Z3625" t="s">
        <v>77</v>
      </c>
      <c r="AA3625" t="str">
        <f>"11223-3519"</f>
        <v>11223-3519</v>
      </c>
      <c r="AB3625" t="s">
        <v>78</v>
      </c>
      <c r="AC3625" t="s">
        <v>79</v>
      </c>
      <c r="AD3625" t="s">
        <v>75</v>
      </c>
      <c r="AE3625" t="s">
        <v>80</v>
      </c>
      <c r="AG3625" t="s">
        <v>81</v>
      </c>
    </row>
    <row r="3626" spans="1:33" x14ac:dyDescent="0.25">
      <c r="C3626" t="s">
        <v>19957</v>
      </c>
      <c r="G3626" t="s">
        <v>19957</v>
      </c>
      <c r="H3626" t="s">
        <v>19958</v>
      </c>
      <c r="K3626" t="s">
        <v>99</v>
      </c>
      <c r="L3626" t="s">
        <v>100</v>
      </c>
      <c r="M3626" t="s">
        <v>75</v>
      </c>
      <c r="N3626" t="s">
        <v>19959</v>
      </c>
      <c r="O3626" t="s">
        <v>19960</v>
      </c>
      <c r="P3626" t="s">
        <v>77</v>
      </c>
      <c r="Q3626" t="str">
        <f>"11598"</f>
        <v>11598</v>
      </c>
      <c r="AC3626" t="s">
        <v>79</v>
      </c>
      <c r="AD3626" t="s">
        <v>75</v>
      </c>
      <c r="AE3626" t="s">
        <v>101</v>
      </c>
      <c r="AG3626" t="s">
        <v>81</v>
      </c>
    </row>
    <row r="3627" spans="1:33" x14ac:dyDescent="0.25">
      <c r="A3627" t="str">
        <f>"1053624007"</f>
        <v>1053624007</v>
      </c>
      <c r="B3627" t="str">
        <f>"03721166"</f>
        <v>03721166</v>
      </c>
      <c r="C3627" t="s">
        <v>19961</v>
      </c>
      <c r="D3627" t="s">
        <v>1988</v>
      </c>
      <c r="E3627" t="s">
        <v>1989</v>
      </c>
      <c r="G3627" t="s">
        <v>19961</v>
      </c>
      <c r="H3627" t="s">
        <v>19962</v>
      </c>
      <c r="L3627" t="s">
        <v>74</v>
      </c>
      <c r="M3627" t="s">
        <v>75</v>
      </c>
      <c r="R3627" t="s">
        <v>1987</v>
      </c>
      <c r="W3627" t="s">
        <v>1990</v>
      </c>
      <c r="X3627" t="s">
        <v>1991</v>
      </c>
      <c r="Y3627" t="s">
        <v>97</v>
      </c>
      <c r="Z3627" t="s">
        <v>77</v>
      </c>
      <c r="AA3627" t="str">
        <f>"10035-1612"</f>
        <v>10035-1612</v>
      </c>
      <c r="AB3627" t="s">
        <v>108</v>
      </c>
      <c r="AC3627" t="s">
        <v>79</v>
      </c>
      <c r="AD3627" t="s">
        <v>75</v>
      </c>
      <c r="AE3627" t="s">
        <v>80</v>
      </c>
      <c r="AG3627" t="s">
        <v>81</v>
      </c>
    </row>
    <row r="3628" spans="1:33" x14ac:dyDescent="0.25">
      <c r="A3628" t="str">
        <f>"1578600664"</f>
        <v>1578600664</v>
      </c>
      <c r="B3628" t="str">
        <f>"00723524"</f>
        <v>00723524</v>
      </c>
      <c r="C3628" t="s">
        <v>19963</v>
      </c>
      <c r="D3628" t="s">
        <v>2000</v>
      </c>
      <c r="E3628" t="s">
        <v>2001</v>
      </c>
      <c r="G3628" t="s">
        <v>19963</v>
      </c>
      <c r="H3628" t="s">
        <v>19964</v>
      </c>
      <c r="L3628" t="s">
        <v>83</v>
      </c>
      <c r="M3628" t="s">
        <v>75</v>
      </c>
      <c r="R3628" t="s">
        <v>1999</v>
      </c>
      <c r="W3628" t="s">
        <v>2001</v>
      </c>
      <c r="X3628" t="s">
        <v>2002</v>
      </c>
      <c r="Y3628" t="s">
        <v>317</v>
      </c>
      <c r="Z3628" t="s">
        <v>77</v>
      </c>
      <c r="AA3628" t="str">
        <f>"11553-2035"</f>
        <v>11553-2035</v>
      </c>
      <c r="AB3628" t="s">
        <v>128</v>
      </c>
      <c r="AC3628" t="s">
        <v>79</v>
      </c>
      <c r="AD3628" t="s">
        <v>75</v>
      </c>
      <c r="AE3628" t="s">
        <v>80</v>
      </c>
      <c r="AG3628" t="s">
        <v>81</v>
      </c>
    </row>
    <row r="3629" spans="1:33" x14ac:dyDescent="0.25">
      <c r="A3629" t="str">
        <f>"1154351823"</f>
        <v>1154351823</v>
      </c>
      <c r="B3629" t="str">
        <f>"02772190"</f>
        <v>02772190</v>
      </c>
      <c r="C3629" t="s">
        <v>19965</v>
      </c>
      <c r="D3629" t="s">
        <v>2004</v>
      </c>
      <c r="E3629" t="s">
        <v>2005</v>
      </c>
      <c r="G3629" t="s">
        <v>19965</v>
      </c>
      <c r="H3629" t="s">
        <v>19286</v>
      </c>
      <c r="L3629" t="s">
        <v>84</v>
      </c>
      <c r="M3629" t="s">
        <v>75</v>
      </c>
      <c r="R3629" t="s">
        <v>2003</v>
      </c>
      <c r="W3629" t="s">
        <v>2006</v>
      </c>
      <c r="X3629" t="s">
        <v>2007</v>
      </c>
      <c r="Y3629" t="s">
        <v>2008</v>
      </c>
      <c r="Z3629" t="s">
        <v>77</v>
      </c>
      <c r="AA3629" t="str">
        <f>"14420-1229"</f>
        <v>14420-1229</v>
      </c>
      <c r="AB3629" t="s">
        <v>78</v>
      </c>
      <c r="AC3629" t="s">
        <v>79</v>
      </c>
      <c r="AD3629" t="s">
        <v>75</v>
      </c>
      <c r="AE3629" t="s">
        <v>80</v>
      </c>
      <c r="AG3629" t="s">
        <v>81</v>
      </c>
    </row>
    <row r="3630" spans="1:33" x14ac:dyDescent="0.25">
      <c r="A3630" t="str">
        <f>"1932134970"</f>
        <v>1932134970</v>
      </c>
      <c r="B3630" t="str">
        <f>"02811838"</f>
        <v>02811838</v>
      </c>
      <c r="C3630" t="s">
        <v>19966</v>
      </c>
      <c r="D3630" t="s">
        <v>19967</v>
      </c>
      <c r="E3630" t="s">
        <v>19968</v>
      </c>
      <c r="G3630" t="s">
        <v>13504</v>
      </c>
      <c r="H3630" t="s">
        <v>13505</v>
      </c>
      <c r="J3630" t="s">
        <v>13506</v>
      </c>
      <c r="L3630" t="s">
        <v>83</v>
      </c>
      <c r="M3630" t="s">
        <v>85</v>
      </c>
      <c r="R3630" t="s">
        <v>19969</v>
      </c>
      <c r="W3630" t="s">
        <v>19968</v>
      </c>
      <c r="X3630" t="s">
        <v>202</v>
      </c>
      <c r="Y3630" t="s">
        <v>87</v>
      </c>
      <c r="Z3630" t="s">
        <v>77</v>
      </c>
      <c r="AA3630" t="str">
        <f>"11201-5425"</f>
        <v>11201-5425</v>
      </c>
      <c r="AB3630" t="s">
        <v>78</v>
      </c>
      <c r="AC3630" t="s">
        <v>79</v>
      </c>
      <c r="AD3630" t="s">
        <v>75</v>
      </c>
      <c r="AE3630" t="s">
        <v>80</v>
      </c>
      <c r="AG3630" t="s">
        <v>81</v>
      </c>
    </row>
    <row r="3631" spans="1:33" x14ac:dyDescent="0.25">
      <c r="A3631" t="str">
        <f>"1689679631"</f>
        <v>1689679631</v>
      </c>
      <c r="B3631" t="str">
        <f>"02647987"</f>
        <v>02647987</v>
      </c>
      <c r="C3631" t="s">
        <v>19970</v>
      </c>
      <c r="D3631" t="s">
        <v>19971</v>
      </c>
      <c r="E3631" t="s">
        <v>19972</v>
      </c>
      <c r="G3631" t="s">
        <v>13504</v>
      </c>
      <c r="H3631" t="s">
        <v>13505</v>
      </c>
      <c r="J3631" t="s">
        <v>13506</v>
      </c>
      <c r="L3631" t="s">
        <v>83</v>
      </c>
      <c r="M3631" t="s">
        <v>75</v>
      </c>
      <c r="R3631" t="s">
        <v>19973</v>
      </c>
      <c r="W3631" t="s">
        <v>19972</v>
      </c>
      <c r="X3631" t="s">
        <v>1771</v>
      </c>
      <c r="Y3631" t="s">
        <v>1772</v>
      </c>
      <c r="Z3631" t="s">
        <v>77</v>
      </c>
      <c r="AA3631" t="str">
        <f>"12010-1054"</f>
        <v>12010-1054</v>
      </c>
      <c r="AB3631" t="s">
        <v>78</v>
      </c>
      <c r="AC3631" t="s">
        <v>79</v>
      </c>
      <c r="AD3631" t="s">
        <v>75</v>
      </c>
      <c r="AE3631" t="s">
        <v>80</v>
      </c>
      <c r="AG3631" t="s">
        <v>81</v>
      </c>
    </row>
    <row r="3632" spans="1:33" x14ac:dyDescent="0.25">
      <c r="A3632" t="str">
        <f>"1114981370"</f>
        <v>1114981370</v>
      </c>
      <c r="B3632" t="str">
        <f>"01673638"</f>
        <v>01673638</v>
      </c>
      <c r="C3632" t="s">
        <v>13436</v>
      </c>
      <c r="D3632" t="s">
        <v>19974</v>
      </c>
      <c r="E3632" t="s">
        <v>19975</v>
      </c>
      <c r="G3632" t="s">
        <v>19976</v>
      </c>
      <c r="L3632" t="s">
        <v>83</v>
      </c>
      <c r="M3632" t="s">
        <v>85</v>
      </c>
      <c r="R3632" t="s">
        <v>19977</v>
      </c>
      <c r="W3632" t="s">
        <v>19975</v>
      </c>
      <c r="X3632" t="s">
        <v>191</v>
      </c>
      <c r="Y3632" t="s">
        <v>97</v>
      </c>
      <c r="Z3632" t="s">
        <v>77</v>
      </c>
      <c r="AA3632" t="str">
        <f>"10019-1147"</f>
        <v>10019-1147</v>
      </c>
      <c r="AB3632" t="s">
        <v>78</v>
      </c>
      <c r="AC3632" t="s">
        <v>79</v>
      </c>
      <c r="AD3632" t="s">
        <v>75</v>
      </c>
      <c r="AE3632" t="s">
        <v>80</v>
      </c>
      <c r="AG3632" t="s">
        <v>81</v>
      </c>
    </row>
    <row r="3633" spans="1:33" x14ac:dyDescent="0.25">
      <c r="A3633" t="str">
        <f>"1124019336"</f>
        <v>1124019336</v>
      </c>
      <c r="B3633" t="str">
        <f>"01155480"</f>
        <v>01155480</v>
      </c>
      <c r="C3633" t="s">
        <v>13436</v>
      </c>
      <c r="D3633" t="s">
        <v>19978</v>
      </c>
      <c r="E3633" t="s">
        <v>19979</v>
      </c>
      <c r="G3633" t="s">
        <v>19980</v>
      </c>
      <c r="L3633" t="s">
        <v>74</v>
      </c>
      <c r="M3633" t="s">
        <v>85</v>
      </c>
      <c r="R3633" t="s">
        <v>19981</v>
      </c>
      <c r="W3633" t="s">
        <v>19979</v>
      </c>
      <c r="X3633" t="s">
        <v>1734</v>
      </c>
      <c r="Y3633" t="s">
        <v>97</v>
      </c>
      <c r="Z3633" t="s">
        <v>77</v>
      </c>
      <c r="AA3633" t="str">
        <f>"10032-3726"</f>
        <v>10032-3726</v>
      </c>
      <c r="AB3633" t="s">
        <v>78</v>
      </c>
      <c r="AC3633" t="s">
        <v>79</v>
      </c>
      <c r="AD3633" t="s">
        <v>75</v>
      </c>
      <c r="AE3633" t="s">
        <v>80</v>
      </c>
      <c r="AG3633" t="s">
        <v>81</v>
      </c>
    </row>
    <row r="3634" spans="1:33" x14ac:dyDescent="0.25">
      <c r="A3634" t="str">
        <f>"1124140322"</f>
        <v>1124140322</v>
      </c>
      <c r="B3634" t="str">
        <f>"02348832"</f>
        <v>02348832</v>
      </c>
      <c r="C3634" t="s">
        <v>13436</v>
      </c>
      <c r="D3634" t="s">
        <v>19982</v>
      </c>
      <c r="E3634" t="s">
        <v>19983</v>
      </c>
      <c r="G3634" t="s">
        <v>19984</v>
      </c>
      <c r="L3634" t="s">
        <v>83</v>
      </c>
      <c r="M3634" t="s">
        <v>85</v>
      </c>
      <c r="R3634" t="s">
        <v>19985</v>
      </c>
      <c r="W3634" t="s">
        <v>19986</v>
      </c>
      <c r="X3634" t="s">
        <v>181</v>
      </c>
      <c r="Y3634" t="s">
        <v>97</v>
      </c>
      <c r="Z3634" t="s">
        <v>77</v>
      </c>
      <c r="AA3634" t="str">
        <f>"10025-1716"</f>
        <v>10025-1716</v>
      </c>
      <c r="AB3634" t="s">
        <v>78</v>
      </c>
      <c r="AC3634" t="s">
        <v>79</v>
      </c>
      <c r="AD3634" t="s">
        <v>75</v>
      </c>
      <c r="AE3634" t="s">
        <v>80</v>
      </c>
      <c r="AG3634" t="s">
        <v>81</v>
      </c>
    </row>
    <row r="3635" spans="1:33" x14ac:dyDescent="0.25">
      <c r="A3635" t="str">
        <f>"1134294606"</f>
        <v>1134294606</v>
      </c>
      <c r="B3635" t="str">
        <f>"01970658"</f>
        <v>01970658</v>
      </c>
      <c r="C3635" t="s">
        <v>13436</v>
      </c>
      <c r="D3635" t="s">
        <v>19987</v>
      </c>
      <c r="E3635" t="s">
        <v>19988</v>
      </c>
      <c r="G3635" t="s">
        <v>19989</v>
      </c>
      <c r="L3635" t="s">
        <v>74</v>
      </c>
      <c r="M3635" t="s">
        <v>85</v>
      </c>
      <c r="R3635" t="s">
        <v>19990</v>
      </c>
      <c r="W3635" t="s">
        <v>19988</v>
      </c>
      <c r="X3635" t="s">
        <v>19991</v>
      </c>
      <c r="Y3635" t="s">
        <v>97</v>
      </c>
      <c r="Z3635" t="s">
        <v>77</v>
      </c>
      <c r="AA3635" t="str">
        <f>"10003-3851"</f>
        <v>10003-3851</v>
      </c>
      <c r="AB3635" t="s">
        <v>78</v>
      </c>
      <c r="AC3635" t="s">
        <v>79</v>
      </c>
      <c r="AD3635" t="s">
        <v>75</v>
      </c>
      <c r="AE3635" t="s">
        <v>80</v>
      </c>
      <c r="AG3635" t="s">
        <v>81</v>
      </c>
    </row>
    <row r="3636" spans="1:33" x14ac:dyDescent="0.25">
      <c r="A3636" t="str">
        <f>"1639198294"</f>
        <v>1639198294</v>
      </c>
      <c r="B3636" t="str">
        <f>"02602413"</f>
        <v>02602413</v>
      </c>
      <c r="C3636" t="s">
        <v>13436</v>
      </c>
      <c r="D3636" t="s">
        <v>19992</v>
      </c>
      <c r="E3636" t="s">
        <v>19993</v>
      </c>
      <c r="G3636" t="s">
        <v>19994</v>
      </c>
      <c r="L3636" t="s">
        <v>83</v>
      </c>
      <c r="M3636" t="s">
        <v>85</v>
      </c>
      <c r="R3636" t="s">
        <v>19995</v>
      </c>
      <c r="W3636" t="s">
        <v>19993</v>
      </c>
      <c r="X3636" t="s">
        <v>4666</v>
      </c>
      <c r="Y3636" t="s">
        <v>97</v>
      </c>
      <c r="Z3636" t="s">
        <v>77</v>
      </c>
      <c r="AA3636" t="str">
        <f>"10019-1104"</f>
        <v>10019-1104</v>
      </c>
      <c r="AB3636" t="s">
        <v>78</v>
      </c>
      <c r="AC3636" t="s">
        <v>79</v>
      </c>
      <c r="AD3636" t="s">
        <v>75</v>
      </c>
      <c r="AE3636" t="s">
        <v>80</v>
      </c>
      <c r="AG3636" t="s">
        <v>81</v>
      </c>
    </row>
    <row r="3637" spans="1:33" x14ac:dyDescent="0.25">
      <c r="A3637" t="str">
        <f>"1639222623"</f>
        <v>1639222623</v>
      </c>
      <c r="B3637" t="str">
        <f>"01688426"</f>
        <v>01688426</v>
      </c>
      <c r="C3637" t="s">
        <v>13436</v>
      </c>
      <c r="D3637" t="s">
        <v>19996</v>
      </c>
      <c r="E3637" t="s">
        <v>19997</v>
      </c>
      <c r="G3637" t="s">
        <v>19998</v>
      </c>
      <c r="L3637" t="s">
        <v>105</v>
      </c>
      <c r="M3637" t="s">
        <v>85</v>
      </c>
      <c r="R3637" t="s">
        <v>19999</v>
      </c>
      <c r="W3637" t="s">
        <v>19997</v>
      </c>
      <c r="X3637" t="s">
        <v>16938</v>
      </c>
      <c r="Y3637" t="s">
        <v>97</v>
      </c>
      <c r="Z3637" t="s">
        <v>77</v>
      </c>
      <c r="AA3637" t="str">
        <f>"10025-1716"</f>
        <v>10025-1716</v>
      </c>
      <c r="AB3637" t="s">
        <v>78</v>
      </c>
      <c r="AC3637" t="s">
        <v>79</v>
      </c>
      <c r="AD3637" t="s">
        <v>75</v>
      </c>
      <c r="AE3637" t="s">
        <v>80</v>
      </c>
      <c r="AG3637" t="s">
        <v>81</v>
      </c>
    </row>
    <row r="3638" spans="1:33" x14ac:dyDescent="0.25">
      <c r="A3638" t="str">
        <f>"1639377732"</f>
        <v>1639377732</v>
      </c>
      <c r="B3638" t="str">
        <f>"03033676"</f>
        <v>03033676</v>
      </c>
      <c r="C3638" t="s">
        <v>13436</v>
      </c>
      <c r="D3638" t="s">
        <v>20000</v>
      </c>
      <c r="E3638" t="s">
        <v>20001</v>
      </c>
      <c r="G3638" t="s">
        <v>20002</v>
      </c>
      <c r="L3638" t="s">
        <v>84</v>
      </c>
      <c r="M3638" t="s">
        <v>85</v>
      </c>
      <c r="R3638" t="s">
        <v>20003</v>
      </c>
      <c r="W3638" t="s">
        <v>20001</v>
      </c>
      <c r="X3638" t="s">
        <v>181</v>
      </c>
      <c r="Y3638" t="s">
        <v>97</v>
      </c>
      <c r="Z3638" t="s">
        <v>77</v>
      </c>
      <c r="AA3638" t="str">
        <f>"10025-1716"</f>
        <v>10025-1716</v>
      </c>
      <c r="AB3638" t="s">
        <v>78</v>
      </c>
      <c r="AC3638" t="s">
        <v>79</v>
      </c>
      <c r="AD3638" t="s">
        <v>75</v>
      </c>
      <c r="AE3638" t="s">
        <v>80</v>
      </c>
      <c r="AG3638" t="s">
        <v>81</v>
      </c>
    </row>
    <row r="3639" spans="1:33" x14ac:dyDescent="0.25">
      <c r="A3639" t="str">
        <f>"1649208513"</f>
        <v>1649208513</v>
      </c>
      <c r="B3639" t="str">
        <f>"02697914"</f>
        <v>02697914</v>
      </c>
      <c r="C3639" t="s">
        <v>13436</v>
      </c>
      <c r="D3639" t="s">
        <v>20004</v>
      </c>
      <c r="E3639" t="s">
        <v>20005</v>
      </c>
      <c r="G3639" t="s">
        <v>20006</v>
      </c>
      <c r="L3639" t="s">
        <v>83</v>
      </c>
      <c r="M3639" t="s">
        <v>85</v>
      </c>
      <c r="R3639" t="s">
        <v>20007</v>
      </c>
      <c r="W3639" t="s">
        <v>20005</v>
      </c>
      <c r="X3639" t="s">
        <v>191</v>
      </c>
      <c r="Y3639" t="s">
        <v>97</v>
      </c>
      <c r="Z3639" t="s">
        <v>77</v>
      </c>
      <c r="AA3639" t="str">
        <f>"10019-1147"</f>
        <v>10019-1147</v>
      </c>
      <c r="AB3639" t="s">
        <v>78</v>
      </c>
      <c r="AC3639" t="s">
        <v>79</v>
      </c>
      <c r="AD3639" t="s">
        <v>75</v>
      </c>
      <c r="AE3639" t="s">
        <v>80</v>
      </c>
      <c r="AG3639" t="s">
        <v>81</v>
      </c>
    </row>
    <row r="3640" spans="1:33" x14ac:dyDescent="0.25">
      <c r="A3640" t="str">
        <f>"1649251794"</f>
        <v>1649251794</v>
      </c>
      <c r="B3640" t="str">
        <f>"02566365"</f>
        <v>02566365</v>
      </c>
      <c r="C3640" t="s">
        <v>13436</v>
      </c>
      <c r="D3640" t="s">
        <v>20008</v>
      </c>
      <c r="E3640" t="s">
        <v>20009</v>
      </c>
      <c r="G3640" t="s">
        <v>20010</v>
      </c>
      <c r="L3640" t="s">
        <v>83</v>
      </c>
      <c r="M3640" t="s">
        <v>85</v>
      </c>
      <c r="R3640" t="s">
        <v>20011</v>
      </c>
      <c r="W3640" t="s">
        <v>20009</v>
      </c>
      <c r="X3640" t="s">
        <v>20012</v>
      </c>
      <c r="Y3640" t="s">
        <v>97</v>
      </c>
      <c r="Z3640" t="s">
        <v>77</v>
      </c>
      <c r="AA3640" t="str">
        <f>"10003"</f>
        <v>10003</v>
      </c>
      <c r="AB3640" t="s">
        <v>78</v>
      </c>
      <c r="AC3640" t="s">
        <v>79</v>
      </c>
      <c r="AD3640" t="s">
        <v>75</v>
      </c>
      <c r="AE3640" t="s">
        <v>80</v>
      </c>
      <c r="AG3640" t="s">
        <v>81</v>
      </c>
    </row>
    <row r="3641" spans="1:33" x14ac:dyDescent="0.25">
      <c r="A3641" t="str">
        <f>"1649253675"</f>
        <v>1649253675</v>
      </c>
      <c r="B3641" t="str">
        <f>"01825350"</f>
        <v>01825350</v>
      </c>
      <c r="C3641" t="s">
        <v>13436</v>
      </c>
      <c r="D3641" t="s">
        <v>20013</v>
      </c>
      <c r="E3641" t="s">
        <v>20014</v>
      </c>
      <c r="G3641" t="s">
        <v>20015</v>
      </c>
      <c r="L3641" t="s">
        <v>83</v>
      </c>
      <c r="M3641" t="s">
        <v>85</v>
      </c>
      <c r="R3641" t="s">
        <v>20016</v>
      </c>
      <c r="W3641" t="s">
        <v>20014</v>
      </c>
      <c r="X3641" t="s">
        <v>20017</v>
      </c>
      <c r="Y3641" t="s">
        <v>97</v>
      </c>
      <c r="Z3641" t="s">
        <v>77</v>
      </c>
      <c r="AA3641" t="str">
        <f>"10001-7920"</f>
        <v>10001-7920</v>
      </c>
      <c r="AB3641" t="s">
        <v>78</v>
      </c>
      <c r="AC3641" t="s">
        <v>79</v>
      </c>
      <c r="AD3641" t="s">
        <v>75</v>
      </c>
      <c r="AE3641" t="s">
        <v>80</v>
      </c>
      <c r="AG3641" t="s">
        <v>81</v>
      </c>
    </row>
    <row r="3642" spans="1:33" x14ac:dyDescent="0.25">
      <c r="A3642" t="str">
        <f>"1861476954"</f>
        <v>1861476954</v>
      </c>
      <c r="B3642" t="str">
        <f>"01780758"</f>
        <v>01780758</v>
      </c>
      <c r="C3642" t="s">
        <v>13436</v>
      </c>
      <c r="D3642" t="s">
        <v>20018</v>
      </c>
      <c r="E3642" t="s">
        <v>20019</v>
      </c>
      <c r="G3642" t="s">
        <v>20020</v>
      </c>
      <c r="L3642" t="s">
        <v>74</v>
      </c>
      <c r="M3642" t="s">
        <v>85</v>
      </c>
      <c r="R3642" t="s">
        <v>1821</v>
      </c>
      <c r="W3642" t="s">
        <v>20019</v>
      </c>
      <c r="X3642" t="s">
        <v>20021</v>
      </c>
      <c r="Y3642" t="s">
        <v>97</v>
      </c>
      <c r="Z3642" t="s">
        <v>77</v>
      </c>
      <c r="AA3642" t="str">
        <f>"10003"</f>
        <v>10003</v>
      </c>
      <c r="AB3642" t="s">
        <v>78</v>
      </c>
      <c r="AC3642" t="s">
        <v>79</v>
      </c>
      <c r="AD3642" t="s">
        <v>75</v>
      </c>
      <c r="AE3642" t="s">
        <v>80</v>
      </c>
      <c r="AG3642" t="s">
        <v>81</v>
      </c>
    </row>
    <row r="3643" spans="1:33" x14ac:dyDescent="0.25">
      <c r="A3643" t="str">
        <f>"1861493405"</f>
        <v>1861493405</v>
      </c>
      <c r="B3643" t="str">
        <f>"01749279"</f>
        <v>01749279</v>
      </c>
      <c r="C3643" t="s">
        <v>13436</v>
      </c>
      <c r="D3643" t="s">
        <v>20022</v>
      </c>
      <c r="E3643" t="s">
        <v>20023</v>
      </c>
      <c r="G3643" t="s">
        <v>20024</v>
      </c>
      <c r="L3643" t="s">
        <v>83</v>
      </c>
      <c r="M3643" t="s">
        <v>85</v>
      </c>
      <c r="R3643" t="s">
        <v>20025</v>
      </c>
      <c r="W3643" t="s">
        <v>20023</v>
      </c>
      <c r="X3643" t="s">
        <v>191</v>
      </c>
      <c r="Y3643" t="s">
        <v>97</v>
      </c>
      <c r="Z3643" t="s">
        <v>77</v>
      </c>
      <c r="AA3643" t="str">
        <f>"10019-1147"</f>
        <v>10019-1147</v>
      </c>
      <c r="AB3643" t="s">
        <v>78</v>
      </c>
      <c r="AC3643" t="s">
        <v>79</v>
      </c>
      <c r="AD3643" t="s">
        <v>75</v>
      </c>
      <c r="AE3643" t="s">
        <v>80</v>
      </c>
      <c r="AG3643" t="s">
        <v>81</v>
      </c>
    </row>
    <row r="3644" spans="1:33" x14ac:dyDescent="0.25">
      <c r="A3644" t="str">
        <f>"1861545329"</f>
        <v>1861545329</v>
      </c>
      <c r="B3644" t="str">
        <f>"02207165"</f>
        <v>02207165</v>
      </c>
      <c r="C3644" t="s">
        <v>13436</v>
      </c>
      <c r="D3644" t="s">
        <v>20026</v>
      </c>
      <c r="E3644" t="s">
        <v>20027</v>
      </c>
      <c r="G3644" t="s">
        <v>20028</v>
      </c>
      <c r="L3644" t="s">
        <v>102</v>
      </c>
      <c r="M3644" t="s">
        <v>85</v>
      </c>
      <c r="R3644" t="s">
        <v>20027</v>
      </c>
      <c r="W3644" t="s">
        <v>20027</v>
      </c>
      <c r="X3644" t="s">
        <v>20029</v>
      </c>
      <c r="Y3644" t="s">
        <v>97</v>
      </c>
      <c r="Z3644" t="s">
        <v>77</v>
      </c>
      <c r="AA3644" t="str">
        <f>"10003-4602"</f>
        <v>10003-4602</v>
      </c>
      <c r="AB3644" t="s">
        <v>78</v>
      </c>
      <c r="AC3644" t="s">
        <v>79</v>
      </c>
      <c r="AD3644" t="s">
        <v>75</v>
      </c>
      <c r="AE3644" t="s">
        <v>80</v>
      </c>
      <c r="AG3644" t="s">
        <v>81</v>
      </c>
    </row>
    <row r="3645" spans="1:33" x14ac:dyDescent="0.25">
      <c r="A3645" t="str">
        <f>"1861563496"</f>
        <v>1861563496</v>
      </c>
      <c r="B3645" t="str">
        <f>"01798058"</f>
        <v>01798058</v>
      </c>
      <c r="C3645" t="s">
        <v>13436</v>
      </c>
      <c r="D3645" t="s">
        <v>20030</v>
      </c>
      <c r="E3645" t="s">
        <v>20031</v>
      </c>
      <c r="G3645" t="s">
        <v>20032</v>
      </c>
      <c r="L3645" t="s">
        <v>105</v>
      </c>
      <c r="M3645" t="s">
        <v>85</v>
      </c>
      <c r="R3645" t="s">
        <v>20033</v>
      </c>
      <c r="W3645" t="s">
        <v>20031</v>
      </c>
      <c r="X3645" t="s">
        <v>14871</v>
      </c>
      <c r="Y3645" t="s">
        <v>97</v>
      </c>
      <c r="Z3645" t="s">
        <v>77</v>
      </c>
      <c r="AA3645" t="str">
        <f>"10003"</f>
        <v>10003</v>
      </c>
      <c r="AB3645" t="s">
        <v>78</v>
      </c>
      <c r="AC3645" t="s">
        <v>79</v>
      </c>
      <c r="AD3645" t="s">
        <v>75</v>
      </c>
      <c r="AE3645" t="s">
        <v>80</v>
      </c>
      <c r="AG3645" t="s">
        <v>81</v>
      </c>
    </row>
    <row r="3646" spans="1:33" x14ac:dyDescent="0.25">
      <c r="A3646" t="str">
        <f>"1861565434"</f>
        <v>1861565434</v>
      </c>
      <c r="B3646" t="str">
        <f>"02007885"</f>
        <v>02007885</v>
      </c>
      <c r="C3646" t="s">
        <v>13436</v>
      </c>
      <c r="D3646" t="s">
        <v>20034</v>
      </c>
      <c r="E3646" t="s">
        <v>20035</v>
      </c>
      <c r="G3646" t="s">
        <v>20036</v>
      </c>
      <c r="L3646" t="s">
        <v>83</v>
      </c>
      <c r="M3646" t="s">
        <v>85</v>
      </c>
      <c r="R3646" t="s">
        <v>20037</v>
      </c>
      <c r="W3646" t="s">
        <v>20035</v>
      </c>
      <c r="X3646" t="s">
        <v>20038</v>
      </c>
      <c r="Y3646" t="s">
        <v>209</v>
      </c>
      <c r="Z3646" t="s">
        <v>77</v>
      </c>
      <c r="AA3646" t="str">
        <f>"11794-0001"</f>
        <v>11794-0001</v>
      </c>
      <c r="AB3646" t="s">
        <v>78</v>
      </c>
      <c r="AC3646" t="s">
        <v>79</v>
      </c>
      <c r="AD3646" t="s">
        <v>75</v>
      </c>
      <c r="AE3646" t="s">
        <v>80</v>
      </c>
      <c r="AG3646" t="s">
        <v>81</v>
      </c>
    </row>
    <row r="3647" spans="1:33" x14ac:dyDescent="0.25">
      <c r="A3647" t="str">
        <f>"1861725376"</f>
        <v>1861725376</v>
      </c>
      <c r="B3647" t="str">
        <f>"03993244"</f>
        <v>03993244</v>
      </c>
      <c r="C3647" t="s">
        <v>13436</v>
      </c>
      <c r="D3647" t="s">
        <v>20039</v>
      </c>
      <c r="E3647" t="s">
        <v>20040</v>
      </c>
      <c r="G3647" t="s">
        <v>20041</v>
      </c>
      <c r="L3647" t="s">
        <v>74</v>
      </c>
      <c r="M3647" t="s">
        <v>85</v>
      </c>
      <c r="R3647" t="s">
        <v>20042</v>
      </c>
      <c r="W3647" t="s">
        <v>20040</v>
      </c>
      <c r="X3647" t="s">
        <v>20043</v>
      </c>
      <c r="Y3647" t="s">
        <v>97</v>
      </c>
      <c r="Z3647" t="s">
        <v>77</v>
      </c>
      <c r="AA3647" t="str">
        <f>"10016-6402"</f>
        <v>10016-6402</v>
      </c>
      <c r="AB3647" t="s">
        <v>78</v>
      </c>
      <c r="AC3647" t="s">
        <v>79</v>
      </c>
      <c r="AD3647" t="s">
        <v>75</v>
      </c>
      <c r="AE3647" t="s">
        <v>80</v>
      </c>
      <c r="AG3647" t="s">
        <v>81</v>
      </c>
    </row>
    <row r="3648" spans="1:33" x14ac:dyDescent="0.25">
      <c r="A3648" t="str">
        <f>"1871514661"</f>
        <v>1871514661</v>
      </c>
      <c r="B3648" t="str">
        <f>"02802344"</f>
        <v>02802344</v>
      </c>
      <c r="C3648" t="s">
        <v>13436</v>
      </c>
      <c r="D3648" t="s">
        <v>20044</v>
      </c>
      <c r="E3648" t="s">
        <v>20045</v>
      </c>
      <c r="G3648" t="s">
        <v>20046</v>
      </c>
      <c r="L3648" t="s">
        <v>83</v>
      </c>
      <c r="M3648" t="s">
        <v>85</v>
      </c>
      <c r="R3648" t="s">
        <v>20047</v>
      </c>
      <c r="W3648" t="s">
        <v>20048</v>
      </c>
      <c r="X3648" t="s">
        <v>191</v>
      </c>
      <c r="Y3648" t="s">
        <v>97</v>
      </c>
      <c r="Z3648" t="s">
        <v>77</v>
      </c>
      <c r="AA3648" t="str">
        <f>"10019-1147"</f>
        <v>10019-1147</v>
      </c>
      <c r="AB3648" t="s">
        <v>78</v>
      </c>
      <c r="AC3648" t="s">
        <v>79</v>
      </c>
      <c r="AD3648" t="s">
        <v>75</v>
      </c>
      <c r="AE3648" t="s">
        <v>80</v>
      </c>
      <c r="AG3648" t="s">
        <v>81</v>
      </c>
    </row>
    <row r="3649" spans="1:33" x14ac:dyDescent="0.25">
      <c r="A3649" t="str">
        <f>"1710074802"</f>
        <v>1710074802</v>
      </c>
      <c r="B3649" t="str">
        <f>"01589766"</f>
        <v>01589766</v>
      </c>
      <c r="C3649" t="s">
        <v>20049</v>
      </c>
      <c r="D3649" t="s">
        <v>20050</v>
      </c>
      <c r="E3649" t="s">
        <v>20051</v>
      </c>
      <c r="G3649" t="s">
        <v>13504</v>
      </c>
      <c r="H3649" t="s">
        <v>13505</v>
      </c>
      <c r="J3649" t="s">
        <v>13506</v>
      </c>
      <c r="L3649" t="s">
        <v>74</v>
      </c>
      <c r="M3649" t="s">
        <v>75</v>
      </c>
      <c r="R3649" t="s">
        <v>20052</v>
      </c>
      <c r="W3649" t="s">
        <v>20051</v>
      </c>
      <c r="X3649" t="s">
        <v>204</v>
      </c>
      <c r="Y3649" t="s">
        <v>97</v>
      </c>
      <c r="Z3649" t="s">
        <v>77</v>
      </c>
      <c r="AA3649" t="str">
        <f>"10065-4870"</f>
        <v>10065-4870</v>
      </c>
      <c r="AB3649" t="s">
        <v>78</v>
      </c>
      <c r="AC3649" t="s">
        <v>79</v>
      </c>
      <c r="AD3649" t="s">
        <v>75</v>
      </c>
      <c r="AE3649" t="s">
        <v>80</v>
      </c>
      <c r="AG3649" t="s">
        <v>81</v>
      </c>
    </row>
    <row r="3650" spans="1:33" x14ac:dyDescent="0.25">
      <c r="A3650" t="str">
        <f>"1437167590"</f>
        <v>1437167590</v>
      </c>
      <c r="B3650" t="str">
        <f>"01153222"</f>
        <v>01153222</v>
      </c>
      <c r="C3650" t="s">
        <v>20053</v>
      </c>
      <c r="D3650" t="s">
        <v>20054</v>
      </c>
      <c r="E3650" t="s">
        <v>20055</v>
      </c>
      <c r="G3650" t="s">
        <v>13504</v>
      </c>
      <c r="H3650" t="s">
        <v>13505</v>
      </c>
      <c r="J3650" t="s">
        <v>13506</v>
      </c>
      <c r="L3650" t="s">
        <v>74</v>
      </c>
      <c r="M3650" t="s">
        <v>75</v>
      </c>
      <c r="R3650" t="s">
        <v>20056</v>
      </c>
      <c r="W3650" t="s">
        <v>20055</v>
      </c>
      <c r="X3650" t="s">
        <v>202</v>
      </c>
      <c r="Y3650" t="s">
        <v>87</v>
      </c>
      <c r="Z3650" t="s">
        <v>77</v>
      </c>
      <c r="AA3650" t="str">
        <f>"11201-5493"</f>
        <v>11201-5493</v>
      </c>
      <c r="AB3650" t="s">
        <v>78</v>
      </c>
      <c r="AC3650" t="s">
        <v>79</v>
      </c>
      <c r="AD3650" t="s">
        <v>75</v>
      </c>
      <c r="AE3650" t="s">
        <v>80</v>
      </c>
      <c r="AG3650" t="s">
        <v>81</v>
      </c>
    </row>
    <row r="3651" spans="1:33" x14ac:dyDescent="0.25">
      <c r="A3651" t="str">
        <f>"1912906009"</f>
        <v>1912906009</v>
      </c>
      <c r="B3651" t="str">
        <f>"01725662"</f>
        <v>01725662</v>
      </c>
      <c r="C3651" t="s">
        <v>13436</v>
      </c>
      <c r="D3651" t="s">
        <v>20057</v>
      </c>
      <c r="E3651" t="s">
        <v>20058</v>
      </c>
      <c r="G3651" t="s">
        <v>20059</v>
      </c>
      <c r="L3651" t="s">
        <v>83</v>
      </c>
      <c r="M3651" t="s">
        <v>85</v>
      </c>
      <c r="R3651" t="s">
        <v>20060</v>
      </c>
      <c r="W3651" t="s">
        <v>20058</v>
      </c>
      <c r="X3651" t="s">
        <v>20061</v>
      </c>
      <c r="Y3651" t="s">
        <v>97</v>
      </c>
      <c r="Z3651" t="s">
        <v>77</v>
      </c>
      <c r="AA3651" t="str">
        <f>"10003-3105"</f>
        <v>10003-3105</v>
      </c>
      <c r="AB3651" t="s">
        <v>78</v>
      </c>
      <c r="AC3651" t="s">
        <v>79</v>
      </c>
      <c r="AD3651" t="s">
        <v>75</v>
      </c>
      <c r="AE3651" t="s">
        <v>80</v>
      </c>
      <c r="AG3651" t="s">
        <v>81</v>
      </c>
    </row>
    <row r="3652" spans="1:33" x14ac:dyDescent="0.25">
      <c r="A3652" t="str">
        <f>"1912906025"</f>
        <v>1912906025</v>
      </c>
      <c r="B3652" t="str">
        <f>"02441078"</f>
        <v>02441078</v>
      </c>
      <c r="C3652" t="s">
        <v>13436</v>
      </c>
      <c r="D3652" t="s">
        <v>20062</v>
      </c>
      <c r="E3652" t="s">
        <v>20063</v>
      </c>
      <c r="G3652" t="s">
        <v>20064</v>
      </c>
      <c r="L3652" t="s">
        <v>83</v>
      </c>
      <c r="M3652" t="s">
        <v>85</v>
      </c>
      <c r="R3652" t="s">
        <v>20063</v>
      </c>
      <c r="W3652" t="s">
        <v>20063</v>
      </c>
      <c r="X3652" t="s">
        <v>20063</v>
      </c>
      <c r="Y3652" t="s">
        <v>97</v>
      </c>
      <c r="Z3652" t="s">
        <v>77</v>
      </c>
      <c r="AA3652" t="str">
        <f>"10003"</f>
        <v>10003</v>
      </c>
      <c r="AB3652" t="s">
        <v>78</v>
      </c>
      <c r="AC3652" t="s">
        <v>79</v>
      </c>
      <c r="AD3652" t="s">
        <v>75</v>
      </c>
      <c r="AE3652" t="s">
        <v>80</v>
      </c>
      <c r="AG3652" t="s">
        <v>81</v>
      </c>
    </row>
    <row r="3653" spans="1:33" x14ac:dyDescent="0.25">
      <c r="A3653" t="str">
        <f>"1912909300"</f>
        <v>1912909300</v>
      </c>
      <c r="B3653" t="str">
        <f>"02623169"</f>
        <v>02623169</v>
      </c>
      <c r="C3653" t="s">
        <v>13436</v>
      </c>
      <c r="D3653" t="s">
        <v>20065</v>
      </c>
      <c r="E3653" t="s">
        <v>20066</v>
      </c>
      <c r="G3653" t="s">
        <v>20067</v>
      </c>
      <c r="L3653" t="s">
        <v>105</v>
      </c>
      <c r="M3653" t="s">
        <v>85</v>
      </c>
      <c r="R3653" t="s">
        <v>20068</v>
      </c>
      <c r="W3653" t="s">
        <v>20066</v>
      </c>
      <c r="X3653" t="s">
        <v>3553</v>
      </c>
      <c r="Y3653" t="s">
        <v>97</v>
      </c>
      <c r="Z3653" t="s">
        <v>77</v>
      </c>
      <c r="AA3653" t="str">
        <f>"10003-3851"</f>
        <v>10003-3851</v>
      </c>
      <c r="AB3653" t="s">
        <v>78</v>
      </c>
      <c r="AC3653" t="s">
        <v>79</v>
      </c>
      <c r="AD3653" t="s">
        <v>75</v>
      </c>
      <c r="AE3653" t="s">
        <v>80</v>
      </c>
      <c r="AG3653" t="s">
        <v>81</v>
      </c>
    </row>
    <row r="3654" spans="1:33" x14ac:dyDescent="0.25">
      <c r="A3654" t="str">
        <f>"1912917816"</f>
        <v>1912917816</v>
      </c>
      <c r="B3654" t="str">
        <f>"02674028"</f>
        <v>02674028</v>
      </c>
      <c r="C3654" t="s">
        <v>13436</v>
      </c>
      <c r="D3654" t="s">
        <v>20069</v>
      </c>
      <c r="E3654" t="s">
        <v>20070</v>
      </c>
      <c r="G3654" t="s">
        <v>20071</v>
      </c>
      <c r="L3654" t="s">
        <v>84</v>
      </c>
      <c r="M3654" t="s">
        <v>85</v>
      </c>
      <c r="R3654" t="s">
        <v>20072</v>
      </c>
      <c r="W3654" t="s">
        <v>20070</v>
      </c>
      <c r="X3654" t="s">
        <v>20073</v>
      </c>
      <c r="Y3654" t="s">
        <v>97</v>
      </c>
      <c r="Z3654" t="s">
        <v>77</v>
      </c>
      <c r="AA3654" t="str">
        <f>"10019-1147"</f>
        <v>10019-1147</v>
      </c>
      <c r="AB3654" t="s">
        <v>78</v>
      </c>
      <c r="AC3654" t="s">
        <v>79</v>
      </c>
      <c r="AD3654" t="s">
        <v>75</v>
      </c>
      <c r="AE3654" t="s">
        <v>80</v>
      </c>
      <c r="AG3654" t="s">
        <v>81</v>
      </c>
    </row>
    <row r="3655" spans="1:33" x14ac:dyDescent="0.25">
      <c r="A3655" t="str">
        <f>"1912982380"</f>
        <v>1912982380</v>
      </c>
      <c r="B3655" t="str">
        <f>"01557982"</f>
        <v>01557982</v>
      </c>
      <c r="C3655" t="s">
        <v>13436</v>
      </c>
      <c r="D3655" t="s">
        <v>20074</v>
      </c>
      <c r="E3655" t="s">
        <v>20075</v>
      </c>
      <c r="G3655" t="s">
        <v>20076</v>
      </c>
      <c r="L3655" t="s">
        <v>83</v>
      </c>
      <c r="M3655" t="s">
        <v>85</v>
      </c>
      <c r="R3655" t="s">
        <v>20077</v>
      </c>
      <c r="W3655" t="s">
        <v>20078</v>
      </c>
      <c r="X3655" t="s">
        <v>3553</v>
      </c>
      <c r="Y3655" t="s">
        <v>97</v>
      </c>
      <c r="Z3655" t="s">
        <v>77</v>
      </c>
      <c r="AA3655" t="str">
        <f>"10003-3851"</f>
        <v>10003-3851</v>
      </c>
      <c r="AB3655" t="s">
        <v>78</v>
      </c>
      <c r="AC3655" t="s">
        <v>79</v>
      </c>
      <c r="AD3655" t="s">
        <v>75</v>
      </c>
      <c r="AE3655" t="s">
        <v>80</v>
      </c>
      <c r="AG3655" t="s">
        <v>81</v>
      </c>
    </row>
    <row r="3656" spans="1:33" x14ac:dyDescent="0.25">
      <c r="A3656" t="str">
        <f>"1912991456"</f>
        <v>1912991456</v>
      </c>
      <c r="B3656" t="str">
        <f>"02374523"</f>
        <v>02374523</v>
      </c>
      <c r="C3656" t="s">
        <v>13436</v>
      </c>
      <c r="D3656" t="s">
        <v>20079</v>
      </c>
      <c r="E3656" t="s">
        <v>20080</v>
      </c>
      <c r="G3656" t="s">
        <v>20081</v>
      </c>
      <c r="L3656" t="s">
        <v>105</v>
      </c>
      <c r="M3656" t="s">
        <v>85</v>
      </c>
      <c r="R3656" t="s">
        <v>20082</v>
      </c>
      <c r="W3656" t="s">
        <v>20080</v>
      </c>
      <c r="X3656" t="s">
        <v>5911</v>
      </c>
      <c r="Y3656" t="s">
        <v>97</v>
      </c>
      <c r="Z3656" t="s">
        <v>77</v>
      </c>
      <c r="AA3656" t="str">
        <f>"10025-1737"</f>
        <v>10025-1737</v>
      </c>
      <c r="AB3656" t="s">
        <v>78</v>
      </c>
      <c r="AC3656" t="s">
        <v>79</v>
      </c>
      <c r="AD3656" t="s">
        <v>75</v>
      </c>
      <c r="AE3656" t="s">
        <v>80</v>
      </c>
      <c r="AG3656" t="s">
        <v>81</v>
      </c>
    </row>
    <row r="3657" spans="1:33" x14ac:dyDescent="0.25">
      <c r="A3657" t="str">
        <f>"1912996224"</f>
        <v>1912996224</v>
      </c>
      <c r="B3657" t="str">
        <f>"01536098"</f>
        <v>01536098</v>
      </c>
      <c r="C3657" t="s">
        <v>13436</v>
      </c>
      <c r="D3657" t="s">
        <v>20083</v>
      </c>
      <c r="E3657" t="s">
        <v>20084</v>
      </c>
      <c r="G3657" t="s">
        <v>20085</v>
      </c>
      <c r="L3657" t="s">
        <v>84</v>
      </c>
      <c r="M3657" t="s">
        <v>85</v>
      </c>
      <c r="R3657" t="s">
        <v>20086</v>
      </c>
      <c r="W3657" t="s">
        <v>20084</v>
      </c>
      <c r="X3657" t="s">
        <v>2587</v>
      </c>
      <c r="Y3657" t="s">
        <v>97</v>
      </c>
      <c r="Z3657" t="s">
        <v>77</v>
      </c>
      <c r="AA3657" t="str">
        <f>"10003-3314"</f>
        <v>10003-3314</v>
      </c>
      <c r="AB3657" t="s">
        <v>78</v>
      </c>
      <c r="AC3657" t="s">
        <v>79</v>
      </c>
      <c r="AD3657" t="s">
        <v>75</v>
      </c>
      <c r="AE3657" t="s">
        <v>80</v>
      </c>
      <c r="AG3657" t="s">
        <v>81</v>
      </c>
    </row>
    <row r="3658" spans="1:33" x14ac:dyDescent="0.25">
      <c r="A3658" t="str">
        <f>"1255657037"</f>
        <v>1255657037</v>
      </c>
      <c r="C3658" t="s">
        <v>13436</v>
      </c>
      <c r="G3658" t="s">
        <v>20087</v>
      </c>
      <c r="K3658" t="s">
        <v>99</v>
      </c>
      <c r="L3658" t="s">
        <v>74</v>
      </c>
      <c r="M3658" t="s">
        <v>75</v>
      </c>
      <c r="R3658" t="s">
        <v>20088</v>
      </c>
      <c r="S3658" t="s">
        <v>20089</v>
      </c>
      <c r="T3658" t="s">
        <v>87</v>
      </c>
      <c r="U3658" t="s">
        <v>77</v>
      </c>
      <c r="V3658" t="str">
        <f>"112283919"</f>
        <v>112283919</v>
      </c>
      <c r="AC3658" t="s">
        <v>79</v>
      </c>
      <c r="AD3658" t="s">
        <v>75</v>
      </c>
      <c r="AE3658" t="s">
        <v>103</v>
      </c>
      <c r="AG3658" t="s">
        <v>81</v>
      </c>
    </row>
    <row r="3659" spans="1:33" x14ac:dyDescent="0.25">
      <c r="A3659" t="str">
        <f>"1396999017"</f>
        <v>1396999017</v>
      </c>
      <c r="C3659" t="s">
        <v>13436</v>
      </c>
      <c r="G3659" t="s">
        <v>20090</v>
      </c>
      <c r="K3659" t="s">
        <v>99</v>
      </c>
      <c r="L3659" t="s">
        <v>102</v>
      </c>
      <c r="M3659" t="s">
        <v>75</v>
      </c>
      <c r="R3659" t="s">
        <v>20091</v>
      </c>
      <c r="S3659" t="s">
        <v>19905</v>
      </c>
      <c r="T3659" t="s">
        <v>97</v>
      </c>
      <c r="U3659" t="s">
        <v>77</v>
      </c>
      <c r="V3659" t="str">
        <f>"100750277"</f>
        <v>100750277</v>
      </c>
      <c r="AC3659" t="s">
        <v>79</v>
      </c>
      <c r="AD3659" t="s">
        <v>75</v>
      </c>
      <c r="AE3659" t="s">
        <v>103</v>
      </c>
      <c r="AG3659" t="s">
        <v>81</v>
      </c>
    </row>
    <row r="3660" spans="1:33" x14ac:dyDescent="0.25">
      <c r="A3660" t="str">
        <f>"1407122450"</f>
        <v>1407122450</v>
      </c>
      <c r="B3660" t="str">
        <f>"04624044"</f>
        <v>04624044</v>
      </c>
      <c r="C3660" t="s">
        <v>13436</v>
      </c>
      <c r="D3660" t="s">
        <v>20092</v>
      </c>
      <c r="E3660" t="s">
        <v>20093</v>
      </c>
      <c r="G3660" t="s">
        <v>20094</v>
      </c>
      <c r="L3660" t="s">
        <v>102</v>
      </c>
      <c r="M3660" t="s">
        <v>75</v>
      </c>
      <c r="R3660" t="s">
        <v>20095</v>
      </c>
      <c r="W3660" t="s">
        <v>20093</v>
      </c>
      <c r="AB3660" t="s">
        <v>78</v>
      </c>
      <c r="AC3660" t="s">
        <v>79</v>
      </c>
      <c r="AD3660" t="s">
        <v>75</v>
      </c>
      <c r="AE3660" t="s">
        <v>80</v>
      </c>
      <c r="AG3660" t="s">
        <v>81</v>
      </c>
    </row>
    <row r="3661" spans="1:33" x14ac:dyDescent="0.25">
      <c r="A3661" t="str">
        <f>"1407155286"</f>
        <v>1407155286</v>
      </c>
      <c r="B3661" t="str">
        <f>"03919500"</f>
        <v>03919500</v>
      </c>
      <c r="C3661" t="s">
        <v>13436</v>
      </c>
      <c r="D3661" t="s">
        <v>20096</v>
      </c>
      <c r="E3661" t="s">
        <v>20097</v>
      </c>
      <c r="G3661" t="s">
        <v>20098</v>
      </c>
      <c r="L3661" t="s">
        <v>74</v>
      </c>
      <c r="M3661" t="s">
        <v>75</v>
      </c>
      <c r="R3661" t="s">
        <v>20097</v>
      </c>
      <c r="W3661" t="s">
        <v>20099</v>
      </c>
      <c r="X3661" t="s">
        <v>329</v>
      </c>
      <c r="Y3661" t="s">
        <v>97</v>
      </c>
      <c r="Z3661" t="s">
        <v>77</v>
      </c>
      <c r="AA3661" t="str">
        <f>"10029-6504"</f>
        <v>10029-6504</v>
      </c>
      <c r="AB3661" t="s">
        <v>78</v>
      </c>
      <c r="AC3661" t="s">
        <v>79</v>
      </c>
      <c r="AD3661" t="s">
        <v>75</v>
      </c>
      <c r="AE3661" t="s">
        <v>80</v>
      </c>
      <c r="AG3661" t="s">
        <v>81</v>
      </c>
    </row>
    <row r="3662" spans="1:33" x14ac:dyDescent="0.25">
      <c r="A3662" t="str">
        <f>"1407821127"</f>
        <v>1407821127</v>
      </c>
      <c r="B3662" t="str">
        <f>"02860539"</f>
        <v>02860539</v>
      </c>
      <c r="C3662" t="s">
        <v>13436</v>
      </c>
      <c r="D3662" t="s">
        <v>20100</v>
      </c>
      <c r="E3662" t="s">
        <v>20101</v>
      </c>
      <c r="G3662" t="s">
        <v>20102</v>
      </c>
      <c r="L3662" t="s">
        <v>105</v>
      </c>
      <c r="M3662" t="s">
        <v>85</v>
      </c>
      <c r="R3662" t="s">
        <v>20103</v>
      </c>
      <c r="W3662" t="s">
        <v>20101</v>
      </c>
      <c r="X3662" t="s">
        <v>329</v>
      </c>
      <c r="Y3662" t="s">
        <v>97</v>
      </c>
      <c r="Z3662" t="s">
        <v>77</v>
      </c>
      <c r="AA3662" t="str">
        <f>"10029-6500"</f>
        <v>10029-6500</v>
      </c>
      <c r="AB3662" t="s">
        <v>78</v>
      </c>
      <c r="AC3662" t="s">
        <v>79</v>
      </c>
      <c r="AD3662" t="s">
        <v>75</v>
      </c>
      <c r="AE3662" t="s">
        <v>80</v>
      </c>
      <c r="AG3662" t="s">
        <v>81</v>
      </c>
    </row>
    <row r="3663" spans="1:33" x14ac:dyDescent="0.25">
      <c r="A3663" t="str">
        <f>"1407838550"</f>
        <v>1407838550</v>
      </c>
      <c r="B3663" t="str">
        <f>"03735233"</f>
        <v>03735233</v>
      </c>
      <c r="C3663" t="s">
        <v>13436</v>
      </c>
      <c r="D3663" t="s">
        <v>20104</v>
      </c>
      <c r="E3663" t="s">
        <v>20105</v>
      </c>
      <c r="G3663" t="s">
        <v>20106</v>
      </c>
      <c r="L3663" t="s">
        <v>74</v>
      </c>
      <c r="M3663" t="s">
        <v>85</v>
      </c>
      <c r="R3663" t="s">
        <v>20107</v>
      </c>
      <c r="W3663" t="s">
        <v>20108</v>
      </c>
      <c r="X3663" t="s">
        <v>10363</v>
      </c>
      <c r="Y3663" t="s">
        <v>97</v>
      </c>
      <c r="Z3663" t="s">
        <v>77</v>
      </c>
      <c r="AA3663" t="str">
        <f>"10029-6508"</f>
        <v>10029-6508</v>
      </c>
      <c r="AB3663" t="s">
        <v>78</v>
      </c>
      <c r="AC3663" t="s">
        <v>79</v>
      </c>
      <c r="AD3663" t="s">
        <v>75</v>
      </c>
      <c r="AE3663" t="s">
        <v>80</v>
      </c>
      <c r="AG3663" t="s">
        <v>81</v>
      </c>
    </row>
    <row r="3664" spans="1:33" x14ac:dyDescent="0.25">
      <c r="A3664" t="str">
        <f>"1407880495"</f>
        <v>1407880495</v>
      </c>
      <c r="B3664" t="str">
        <f>"01804911"</f>
        <v>01804911</v>
      </c>
      <c r="C3664" t="s">
        <v>13436</v>
      </c>
      <c r="D3664" t="s">
        <v>20109</v>
      </c>
      <c r="E3664" t="s">
        <v>20110</v>
      </c>
      <c r="G3664" t="s">
        <v>20111</v>
      </c>
      <c r="L3664" t="s">
        <v>105</v>
      </c>
      <c r="M3664" t="s">
        <v>75</v>
      </c>
      <c r="R3664" t="s">
        <v>20112</v>
      </c>
      <c r="W3664" t="s">
        <v>20113</v>
      </c>
      <c r="X3664" t="s">
        <v>9058</v>
      </c>
      <c r="Y3664" t="s">
        <v>97</v>
      </c>
      <c r="Z3664" t="s">
        <v>77</v>
      </c>
      <c r="AA3664" t="str">
        <f>"10025-3533"</f>
        <v>10025-3533</v>
      </c>
      <c r="AB3664" t="s">
        <v>125</v>
      </c>
      <c r="AC3664" t="s">
        <v>79</v>
      </c>
      <c r="AD3664" t="s">
        <v>75</v>
      </c>
      <c r="AE3664" t="s">
        <v>80</v>
      </c>
      <c r="AG3664" t="s">
        <v>81</v>
      </c>
    </row>
    <row r="3665" spans="1:33" x14ac:dyDescent="0.25">
      <c r="A3665" t="str">
        <f>"1417299801"</f>
        <v>1417299801</v>
      </c>
      <c r="C3665" t="s">
        <v>13436</v>
      </c>
      <c r="G3665" t="s">
        <v>20114</v>
      </c>
      <c r="K3665" t="s">
        <v>99</v>
      </c>
      <c r="L3665" t="s">
        <v>102</v>
      </c>
      <c r="M3665" t="s">
        <v>75</v>
      </c>
      <c r="R3665" t="s">
        <v>20115</v>
      </c>
      <c r="S3665" t="s">
        <v>329</v>
      </c>
      <c r="T3665" t="s">
        <v>97</v>
      </c>
      <c r="U3665" t="s">
        <v>77</v>
      </c>
      <c r="V3665" t="str">
        <f>"100296500"</f>
        <v>100296500</v>
      </c>
      <c r="AC3665" t="s">
        <v>79</v>
      </c>
      <c r="AD3665" t="s">
        <v>75</v>
      </c>
      <c r="AE3665" t="s">
        <v>103</v>
      </c>
      <c r="AG3665" t="s">
        <v>81</v>
      </c>
    </row>
    <row r="3666" spans="1:33" x14ac:dyDescent="0.25">
      <c r="A3666" t="str">
        <f>"1417991027"</f>
        <v>1417991027</v>
      </c>
      <c r="B3666" t="str">
        <f>"01694691"</f>
        <v>01694691</v>
      </c>
      <c r="C3666" t="s">
        <v>13436</v>
      </c>
      <c r="D3666" t="s">
        <v>20116</v>
      </c>
      <c r="E3666" t="s">
        <v>20117</v>
      </c>
      <c r="G3666" t="s">
        <v>20118</v>
      </c>
      <c r="L3666" t="s">
        <v>105</v>
      </c>
      <c r="M3666" t="s">
        <v>85</v>
      </c>
      <c r="R3666" t="s">
        <v>20119</v>
      </c>
      <c r="W3666" t="s">
        <v>20117</v>
      </c>
      <c r="X3666" t="s">
        <v>5661</v>
      </c>
      <c r="Y3666" t="s">
        <v>97</v>
      </c>
      <c r="Z3666" t="s">
        <v>77</v>
      </c>
      <c r="AA3666" t="str">
        <f>"10029-6500"</f>
        <v>10029-6500</v>
      </c>
      <c r="AB3666" t="s">
        <v>78</v>
      </c>
      <c r="AC3666" t="s">
        <v>79</v>
      </c>
      <c r="AD3666" t="s">
        <v>75</v>
      </c>
      <c r="AE3666" t="s">
        <v>80</v>
      </c>
      <c r="AG3666" t="s">
        <v>81</v>
      </c>
    </row>
    <row r="3667" spans="1:33" x14ac:dyDescent="0.25">
      <c r="A3667" t="str">
        <f>"1427024702"</f>
        <v>1427024702</v>
      </c>
      <c r="B3667" t="str">
        <f>"02516250"</f>
        <v>02516250</v>
      </c>
      <c r="C3667" t="s">
        <v>13436</v>
      </c>
      <c r="D3667" t="s">
        <v>20120</v>
      </c>
      <c r="E3667" t="s">
        <v>20121</v>
      </c>
      <c r="G3667" t="s">
        <v>20122</v>
      </c>
      <c r="L3667" t="s">
        <v>83</v>
      </c>
      <c r="M3667" t="s">
        <v>85</v>
      </c>
      <c r="R3667" t="s">
        <v>20123</v>
      </c>
      <c r="W3667" t="s">
        <v>20121</v>
      </c>
      <c r="X3667" t="s">
        <v>20124</v>
      </c>
      <c r="Y3667" t="s">
        <v>97</v>
      </c>
      <c r="Z3667" t="s">
        <v>77</v>
      </c>
      <c r="AA3667" t="str">
        <f>"10029-6542"</f>
        <v>10029-6542</v>
      </c>
      <c r="AB3667" t="s">
        <v>78</v>
      </c>
      <c r="AC3667" t="s">
        <v>79</v>
      </c>
      <c r="AD3667" t="s">
        <v>75</v>
      </c>
      <c r="AE3667" t="s">
        <v>80</v>
      </c>
      <c r="AG3667" t="s">
        <v>81</v>
      </c>
    </row>
    <row r="3668" spans="1:33" x14ac:dyDescent="0.25">
      <c r="A3668" t="str">
        <f>"1427123975"</f>
        <v>1427123975</v>
      </c>
      <c r="B3668" t="str">
        <f>"02072315"</f>
        <v>02072315</v>
      </c>
      <c r="C3668" t="s">
        <v>13436</v>
      </c>
      <c r="D3668" t="s">
        <v>20125</v>
      </c>
      <c r="E3668" t="s">
        <v>20126</v>
      </c>
      <c r="G3668" t="s">
        <v>20127</v>
      </c>
      <c r="L3668" t="s">
        <v>74</v>
      </c>
      <c r="M3668" t="s">
        <v>85</v>
      </c>
      <c r="R3668" t="s">
        <v>20128</v>
      </c>
      <c r="W3668" t="s">
        <v>20126</v>
      </c>
      <c r="X3668" t="s">
        <v>20129</v>
      </c>
      <c r="Y3668" t="s">
        <v>87</v>
      </c>
      <c r="Z3668" t="s">
        <v>77</v>
      </c>
      <c r="AA3668" t="str">
        <f>"11229-1406"</f>
        <v>11229-1406</v>
      </c>
      <c r="AB3668" t="s">
        <v>82</v>
      </c>
      <c r="AC3668" t="s">
        <v>79</v>
      </c>
      <c r="AD3668" t="s">
        <v>75</v>
      </c>
      <c r="AE3668" t="s">
        <v>80</v>
      </c>
      <c r="AG3668" t="s">
        <v>81</v>
      </c>
    </row>
    <row r="3669" spans="1:33" x14ac:dyDescent="0.25">
      <c r="A3669" t="str">
        <f>"1427216944"</f>
        <v>1427216944</v>
      </c>
      <c r="B3669" t="str">
        <f>"03459923"</f>
        <v>03459923</v>
      </c>
      <c r="C3669" t="s">
        <v>13436</v>
      </c>
      <c r="D3669" t="s">
        <v>20130</v>
      </c>
      <c r="E3669" t="s">
        <v>20131</v>
      </c>
      <c r="G3669" t="s">
        <v>20132</v>
      </c>
      <c r="L3669" t="s">
        <v>74</v>
      </c>
      <c r="M3669" t="s">
        <v>85</v>
      </c>
      <c r="R3669" t="s">
        <v>20133</v>
      </c>
      <c r="W3669" t="s">
        <v>20131</v>
      </c>
      <c r="X3669" t="s">
        <v>3784</v>
      </c>
      <c r="Y3669" t="s">
        <v>97</v>
      </c>
      <c r="Z3669" t="s">
        <v>77</v>
      </c>
      <c r="AA3669" t="str">
        <f>"10029-6500"</f>
        <v>10029-6500</v>
      </c>
      <c r="AB3669" t="s">
        <v>78</v>
      </c>
      <c r="AC3669" t="s">
        <v>79</v>
      </c>
      <c r="AD3669" t="s">
        <v>75</v>
      </c>
      <c r="AE3669" t="s">
        <v>80</v>
      </c>
      <c r="AG3669" t="s">
        <v>81</v>
      </c>
    </row>
    <row r="3670" spans="1:33" x14ac:dyDescent="0.25">
      <c r="A3670" t="str">
        <f>"1437179827"</f>
        <v>1437179827</v>
      </c>
      <c r="B3670" t="str">
        <f>"02419661"</f>
        <v>02419661</v>
      </c>
      <c r="C3670" t="s">
        <v>13436</v>
      </c>
      <c r="D3670" t="s">
        <v>20134</v>
      </c>
      <c r="E3670" t="s">
        <v>20135</v>
      </c>
      <c r="G3670" t="s">
        <v>20136</v>
      </c>
      <c r="L3670" t="s">
        <v>102</v>
      </c>
      <c r="M3670" t="s">
        <v>75</v>
      </c>
      <c r="R3670" t="s">
        <v>20137</v>
      </c>
      <c r="W3670" t="s">
        <v>20135</v>
      </c>
      <c r="X3670" t="s">
        <v>20138</v>
      </c>
      <c r="Y3670" t="s">
        <v>97</v>
      </c>
      <c r="Z3670" t="s">
        <v>77</v>
      </c>
      <c r="AA3670" t="str">
        <f>"10019"</f>
        <v>10019</v>
      </c>
      <c r="AB3670" t="s">
        <v>125</v>
      </c>
      <c r="AC3670" t="s">
        <v>79</v>
      </c>
      <c r="AD3670" t="s">
        <v>75</v>
      </c>
      <c r="AE3670" t="s">
        <v>80</v>
      </c>
      <c r="AG3670" t="s">
        <v>81</v>
      </c>
    </row>
    <row r="3671" spans="1:33" x14ac:dyDescent="0.25">
      <c r="A3671" t="str">
        <f>"1205856754"</f>
        <v>1205856754</v>
      </c>
      <c r="B3671" t="str">
        <f>"00232733"</f>
        <v>00232733</v>
      </c>
      <c r="C3671" t="s">
        <v>13436</v>
      </c>
      <c r="D3671" t="s">
        <v>20139</v>
      </c>
      <c r="E3671" t="s">
        <v>20140</v>
      </c>
      <c r="G3671" t="s">
        <v>20141</v>
      </c>
      <c r="L3671" t="s">
        <v>84</v>
      </c>
      <c r="M3671" t="s">
        <v>85</v>
      </c>
      <c r="R3671" t="s">
        <v>20142</v>
      </c>
      <c r="W3671" t="s">
        <v>20140</v>
      </c>
      <c r="X3671" t="s">
        <v>20143</v>
      </c>
      <c r="Y3671" t="s">
        <v>97</v>
      </c>
      <c r="Z3671" t="s">
        <v>77</v>
      </c>
      <c r="AA3671" t="str">
        <f>"10003-0000"</f>
        <v>10003-0000</v>
      </c>
      <c r="AB3671" t="s">
        <v>78</v>
      </c>
      <c r="AC3671" t="s">
        <v>79</v>
      </c>
      <c r="AD3671" t="s">
        <v>75</v>
      </c>
      <c r="AE3671" t="s">
        <v>80</v>
      </c>
      <c r="AG3671" t="s">
        <v>81</v>
      </c>
    </row>
    <row r="3672" spans="1:33" x14ac:dyDescent="0.25">
      <c r="A3672" t="str">
        <f>"1437208147"</f>
        <v>1437208147</v>
      </c>
      <c r="B3672" t="str">
        <f>"03052797"</f>
        <v>03052797</v>
      </c>
      <c r="C3672" t="s">
        <v>13436</v>
      </c>
      <c r="D3672" t="s">
        <v>20144</v>
      </c>
      <c r="E3672" t="s">
        <v>20145</v>
      </c>
      <c r="G3672" t="s">
        <v>20146</v>
      </c>
      <c r="L3672" t="s">
        <v>94</v>
      </c>
      <c r="M3672" t="s">
        <v>85</v>
      </c>
      <c r="R3672" t="s">
        <v>20147</v>
      </c>
      <c r="W3672" t="s">
        <v>20147</v>
      </c>
      <c r="X3672" t="s">
        <v>20073</v>
      </c>
      <c r="Y3672" t="s">
        <v>97</v>
      </c>
      <c r="Z3672" t="s">
        <v>77</v>
      </c>
      <c r="AA3672" t="str">
        <f>"10019-1147"</f>
        <v>10019-1147</v>
      </c>
      <c r="AB3672" t="s">
        <v>78</v>
      </c>
      <c r="AC3672" t="s">
        <v>79</v>
      </c>
      <c r="AD3672" t="s">
        <v>75</v>
      </c>
      <c r="AE3672" t="s">
        <v>80</v>
      </c>
      <c r="AG3672" t="s">
        <v>81</v>
      </c>
    </row>
    <row r="3673" spans="1:33" x14ac:dyDescent="0.25">
      <c r="A3673" t="str">
        <f>"1437267507"</f>
        <v>1437267507</v>
      </c>
      <c r="B3673" t="str">
        <f>"04295158"</f>
        <v>04295158</v>
      </c>
      <c r="C3673" t="s">
        <v>13436</v>
      </c>
      <c r="D3673" t="s">
        <v>20148</v>
      </c>
      <c r="E3673" t="s">
        <v>20149</v>
      </c>
      <c r="G3673" t="s">
        <v>20150</v>
      </c>
      <c r="L3673" t="s">
        <v>74</v>
      </c>
      <c r="M3673" t="s">
        <v>85</v>
      </c>
      <c r="R3673" t="s">
        <v>20151</v>
      </c>
      <c r="W3673" t="s">
        <v>20152</v>
      </c>
      <c r="X3673" t="s">
        <v>8978</v>
      </c>
      <c r="Y3673" t="s">
        <v>155</v>
      </c>
      <c r="Z3673" t="s">
        <v>77</v>
      </c>
      <c r="AA3673" t="str">
        <f>"10301-3627"</f>
        <v>10301-3627</v>
      </c>
      <c r="AB3673" t="s">
        <v>78</v>
      </c>
      <c r="AC3673" t="s">
        <v>79</v>
      </c>
      <c r="AD3673" t="s">
        <v>75</v>
      </c>
      <c r="AE3673" t="s">
        <v>80</v>
      </c>
      <c r="AG3673" t="s">
        <v>81</v>
      </c>
    </row>
    <row r="3674" spans="1:33" x14ac:dyDescent="0.25">
      <c r="A3674" t="str">
        <f>"1437301645"</f>
        <v>1437301645</v>
      </c>
      <c r="B3674" t="str">
        <f>"03133406"</f>
        <v>03133406</v>
      </c>
      <c r="C3674" t="s">
        <v>13436</v>
      </c>
      <c r="D3674" t="s">
        <v>20153</v>
      </c>
      <c r="E3674" t="s">
        <v>20154</v>
      </c>
      <c r="G3674" t="s">
        <v>20155</v>
      </c>
      <c r="L3674" t="s">
        <v>74</v>
      </c>
      <c r="M3674" t="s">
        <v>85</v>
      </c>
      <c r="R3674" t="s">
        <v>20154</v>
      </c>
      <c r="W3674" t="s">
        <v>20154</v>
      </c>
      <c r="X3674" t="s">
        <v>1076</v>
      </c>
      <c r="Y3674" t="s">
        <v>97</v>
      </c>
      <c r="Z3674" t="s">
        <v>77</v>
      </c>
      <c r="AA3674" t="str">
        <f>"10025-1737"</f>
        <v>10025-1737</v>
      </c>
      <c r="AB3674" t="s">
        <v>78</v>
      </c>
      <c r="AC3674" t="s">
        <v>79</v>
      </c>
      <c r="AD3674" t="s">
        <v>75</v>
      </c>
      <c r="AE3674" t="s">
        <v>80</v>
      </c>
      <c r="AG3674" t="s">
        <v>81</v>
      </c>
    </row>
    <row r="3675" spans="1:33" x14ac:dyDescent="0.25">
      <c r="A3675" t="str">
        <f>"1447218193"</f>
        <v>1447218193</v>
      </c>
      <c r="B3675" t="str">
        <f>"02187951"</f>
        <v>02187951</v>
      </c>
      <c r="C3675" t="s">
        <v>13436</v>
      </c>
      <c r="D3675" t="s">
        <v>20156</v>
      </c>
      <c r="E3675" t="s">
        <v>20157</v>
      </c>
      <c r="G3675" t="s">
        <v>20158</v>
      </c>
      <c r="L3675" t="s">
        <v>83</v>
      </c>
      <c r="M3675" t="s">
        <v>85</v>
      </c>
      <c r="R3675" t="s">
        <v>20159</v>
      </c>
      <c r="W3675" t="s">
        <v>20157</v>
      </c>
      <c r="X3675" t="s">
        <v>16363</v>
      </c>
      <c r="Y3675" t="s">
        <v>97</v>
      </c>
      <c r="Z3675" t="s">
        <v>77</v>
      </c>
      <c r="AA3675" t="str">
        <f>"10011-2301"</f>
        <v>10011-2301</v>
      </c>
      <c r="AB3675" t="s">
        <v>78</v>
      </c>
      <c r="AC3675" t="s">
        <v>79</v>
      </c>
      <c r="AD3675" t="s">
        <v>75</v>
      </c>
      <c r="AE3675" t="s">
        <v>80</v>
      </c>
      <c r="AG3675" t="s">
        <v>81</v>
      </c>
    </row>
    <row r="3676" spans="1:33" x14ac:dyDescent="0.25">
      <c r="A3676" t="str">
        <f>"1447220736"</f>
        <v>1447220736</v>
      </c>
      <c r="B3676" t="str">
        <f>"00806551"</f>
        <v>00806551</v>
      </c>
      <c r="C3676" t="s">
        <v>13436</v>
      </c>
      <c r="D3676" t="s">
        <v>20160</v>
      </c>
      <c r="E3676" t="s">
        <v>20161</v>
      </c>
      <c r="G3676" t="s">
        <v>20162</v>
      </c>
      <c r="L3676" t="s">
        <v>84</v>
      </c>
      <c r="M3676" t="s">
        <v>85</v>
      </c>
      <c r="R3676" t="s">
        <v>20163</v>
      </c>
      <c r="W3676" t="s">
        <v>20161</v>
      </c>
      <c r="X3676" t="s">
        <v>2587</v>
      </c>
      <c r="Y3676" t="s">
        <v>97</v>
      </c>
      <c r="Z3676" t="s">
        <v>77</v>
      </c>
      <c r="AA3676" t="str">
        <f>"10003-3314"</f>
        <v>10003-3314</v>
      </c>
      <c r="AB3676" t="s">
        <v>78</v>
      </c>
      <c r="AC3676" t="s">
        <v>79</v>
      </c>
      <c r="AD3676" t="s">
        <v>75</v>
      </c>
      <c r="AE3676" t="s">
        <v>80</v>
      </c>
      <c r="AG3676" t="s">
        <v>81</v>
      </c>
    </row>
    <row r="3677" spans="1:33" x14ac:dyDescent="0.25">
      <c r="A3677" t="str">
        <f>"1447248786"</f>
        <v>1447248786</v>
      </c>
      <c r="B3677" t="str">
        <f>"02148974"</f>
        <v>02148974</v>
      </c>
      <c r="C3677" t="s">
        <v>13436</v>
      </c>
      <c r="D3677" t="s">
        <v>20164</v>
      </c>
      <c r="E3677" t="s">
        <v>20165</v>
      </c>
      <c r="G3677" t="s">
        <v>20166</v>
      </c>
      <c r="L3677" t="s">
        <v>84</v>
      </c>
      <c r="M3677" t="s">
        <v>85</v>
      </c>
      <c r="R3677" t="s">
        <v>20167</v>
      </c>
      <c r="W3677" t="s">
        <v>20165</v>
      </c>
      <c r="X3677" t="s">
        <v>20168</v>
      </c>
      <c r="Y3677" t="s">
        <v>97</v>
      </c>
      <c r="Z3677" t="s">
        <v>77</v>
      </c>
      <c r="AA3677" t="str">
        <f>"10029-5208"</f>
        <v>10029-5208</v>
      </c>
      <c r="AB3677" t="s">
        <v>78</v>
      </c>
      <c r="AC3677" t="s">
        <v>79</v>
      </c>
      <c r="AD3677" t="s">
        <v>75</v>
      </c>
      <c r="AE3677" t="s">
        <v>80</v>
      </c>
      <c r="AG3677" t="s">
        <v>81</v>
      </c>
    </row>
    <row r="3678" spans="1:33" x14ac:dyDescent="0.25">
      <c r="A3678" t="str">
        <f>"1154458040"</f>
        <v>1154458040</v>
      </c>
      <c r="B3678" t="str">
        <f>"02863101"</f>
        <v>02863101</v>
      </c>
      <c r="C3678" t="s">
        <v>13436</v>
      </c>
      <c r="D3678" t="s">
        <v>20169</v>
      </c>
      <c r="E3678" t="s">
        <v>20170</v>
      </c>
      <c r="G3678" t="s">
        <v>20171</v>
      </c>
      <c r="L3678" t="s">
        <v>83</v>
      </c>
      <c r="M3678" t="s">
        <v>85</v>
      </c>
      <c r="R3678" t="s">
        <v>20170</v>
      </c>
      <c r="W3678" t="s">
        <v>20172</v>
      </c>
      <c r="X3678" t="s">
        <v>329</v>
      </c>
      <c r="Y3678" t="s">
        <v>97</v>
      </c>
      <c r="Z3678" t="s">
        <v>77</v>
      </c>
      <c r="AA3678" t="str">
        <f>"10029-6504"</f>
        <v>10029-6504</v>
      </c>
      <c r="AB3678" t="s">
        <v>78</v>
      </c>
      <c r="AC3678" t="s">
        <v>79</v>
      </c>
      <c r="AD3678" t="s">
        <v>75</v>
      </c>
      <c r="AE3678" t="s">
        <v>80</v>
      </c>
      <c r="AG3678" t="s">
        <v>81</v>
      </c>
    </row>
    <row r="3679" spans="1:33" x14ac:dyDescent="0.25">
      <c r="A3679" t="str">
        <f>"1093138000"</f>
        <v>1093138000</v>
      </c>
      <c r="B3679" t="str">
        <f>"04612066"</f>
        <v>04612066</v>
      </c>
      <c r="C3679" t="s">
        <v>13436</v>
      </c>
      <c r="D3679" t="s">
        <v>20173</v>
      </c>
      <c r="E3679" t="s">
        <v>20174</v>
      </c>
      <c r="G3679" t="s">
        <v>20175</v>
      </c>
      <c r="L3679" t="s">
        <v>102</v>
      </c>
      <c r="M3679" t="s">
        <v>85</v>
      </c>
      <c r="R3679" t="s">
        <v>20174</v>
      </c>
      <c r="W3679" t="s">
        <v>20174</v>
      </c>
      <c r="AB3679" t="s">
        <v>78</v>
      </c>
      <c r="AC3679" t="s">
        <v>79</v>
      </c>
      <c r="AD3679" t="s">
        <v>75</v>
      </c>
      <c r="AE3679" t="s">
        <v>80</v>
      </c>
      <c r="AG3679" t="s">
        <v>81</v>
      </c>
    </row>
    <row r="3680" spans="1:33" x14ac:dyDescent="0.25">
      <c r="A3680" t="str">
        <f>"1093813255"</f>
        <v>1093813255</v>
      </c>
      <c r="B3680" t="str">
        <f>"02426671"</f>
        <v>02426671</v>
      </c>
      <c r="C3680" t="s">
        <v>13436</v>
      </c>
      <c r="D3680" t="s">
        <v>20176</v>
      </c>
      <c r="E3680" t="s">
        <v>20177</v>
      </c>
      <c r="G3680" t="s">
        <v>20178</v>
      </c>
      <c r="L3680" t="s">
        <v>74</v>
      </c>
      <c r="M3680" t="s">
        <v>85</v>
      </c>
      <c r="R3680" t="s">
        <v>20179</v>
      </c>
      <c r="W3680" t="s">
        <v>20180</v>
      </c>
      <c r="X3680" t="s">
        <v>232</v>
      </c>
      <c r="Y3680" t="s">
        <v>233</v>
      </c>
      <c r="Z3680" t="s">
        <v>77</v>
      </c>
      <c r="AA3680" t="str">
        <f>"12401-4626"</f>
        <v>12401-4626</v>
      </c>
      <c r="AB3680" t="s">
        <v>78</v>
      </c>
      <c r="AC3680" t="s">
        <v>79</v>
      </c>
      <c r="AD3680" t="s">
        <v>75</v>
      </c>
      <c r="AE3680" t="s">
        <v>80</v>
      </c>
      <c r="AG3680" t="s">
        <v>81</v>
      </c>
    </row>
    <row r="3681" spans="1:33" x14ac:dyDescent="0.25">
      <c r="A3681" t="str">
        <f>"1851316533"</f>
        <v>1851316533</v>
      </c>
      <c r="B3681" t="str">
        <f>"03519353"</f>
        <v>03519353</v>
      </c>
      <c r="C3681" t="s">
        <v>20181</v>
      </c>
      <c r="D3681" t="s">
        <v>20182</v>
      </c>
      <c r="E3681" t="s">
        <v>20183</v>
      </c>
      <c r="G3681" t="s">
        <v>7218</v>
      </c>
      <c r="H3681" t="s">
        <v>6801</v>
      </c>
      <c r="I3681">
        <v>6136</v>
      </c>
      <c r="J3681" t="s">
        <v>7219</v>
      </c>
      <c r="L3681" t="s">
        <v>74</v>
      </c>
      <c r="M3681" t="s">
        <v>75</v>
      </c>
      <c r="R3681" t="s">
        <v>20184</v>
      </c>
      <c r="W3681" t="s">
        <v>20183</v>
      </c>
      <c r="X3681" t="s">
        <v>9151</v>
      </c>
      <c r="Y3681" t="s">
        <v>97</v>
      </c>
      <c r="Z3681" t="s">
        <v>77</v>
      </c>
      <c r="AA3681" t="str">
        <f>"10001-2320"</f>
        <v>10001-2320</v>
      </c>
      <c r="AB3681" t="s">
        <v>113</v>
      </c>
      <c r="AC3681" t="s">
        <v>79</v>
      </c>
      <c r="AD3681" t="s">
        <v>75</v>
      </c>
      <c r="AE3681" t="s">
        <v>80</v>
      </c>
      <c r="AG3681" t="s">
        <v>81</v>
      </c>
    </row>
    <row r="3682" spans="1:33" x14ac:dyDescent="0.25">
      <c r="A3682" t="str">
        <f>"1588659783"</f>
        <v>1588659783</v>
      </c>
      <c r="B3682" t="str">
        <f>"02198745"</f>
        <v>02198745</v>
      </c>
      <c r="C3682" t="s">
        <v>7612</v>
      </c>
      <c r="D3682" t="s">
        <v>20185</v>
      </c>
      <c r="E3682" t="s">
        <v>20186</v>
      </c>
      <c r="G3682" t="s">
        <v>6818</v>
      </c>
      <c r="H3682" t="s">
        <v>3150</v>
      </c>
      <c r="I3682">
        <v>3118</v>
      </c>
      <c r="J3682" t="s">
        <v>7613</v>
      </c>
      <c r="L3682" t="s">
        <v>84</v>
      </c>
      <c r="M3682" t="s">
        <v>75</v>
      </c>
      <c r="R3682" t="s">
        <v>20187</v>
      </c>
      <c r="W3682" t="s">
        <v>20187</v>
      </c>
      <c r="X3682" t="s">
        <v>20188</v>
      </c>
      <c r="Y3682" t="s">
        <v>131</v>
      </c>
      <c r="Z3682" t="s">
        <v>77</v>
      </c>
      <c r="AA3682" t="str">
        <f>"10468-1333"</f>
        <v>10468-1333</v>
      </c>
      <c r="AB3682" t="s">
        <v>78</v>
      </c>
      <c r="AC3682" t="s">
        <v>79</v>
      </c>
      <c r="AD3682" t="s">
        <v>75</v>
      </c>
      <c r="AE3682" t="s">
        <v>80</v>
      </c>
      <c r="AG3682" t="s">
        <v>81</v>
      </c>
    </row>
    <row r="3683" spans="1:33" x14ac:dyDescent="0.25">
      <c r="A3683" t="str">
        <f>"1831156710"</f>
        <v>1831156710</v>
      </c>
      <c r="B3683" t="str">
        <f>"01389931"</f>
        <v>01389931</v>
      </c>
      <c r="C3683" t="s">
        <v>20189</v>
      </c>
      <c r="D3683" t="s">
        <v>20190</v>
      </c>
      <c r="E3683" t="s">
        <v>20191</v>
      </c>
      <c r="G3683" t="s">
        <v>20192</v>
      </c>
      <c r="H3683" t="s">
        <v>3150</v>
      </c>
      <c r="I3683">
        <v>3118</v>
      </c>
      <c r="J3683" t="s">
        <v>20193</v>
      </c>
      <c r="L3683" t="s">
        <v>105</v>
      </c>
      <c r="M3683" t="s">
        <v>75</v>
      </c>
      <c r="R3683" t="s">
        <v>20194</v>
      </c>
      <c r="W3683" t="s">
        <v>20191</v>
      </c>
      <c r="X3683" t="s">
        <v>4491</v>
      </c>
      <c r="Y3683" t="s">
        <v>2122</v>
      </c>
      <c r="Z3683" t="s">
        <v>77</v>
      </c>
      <c r="AA3683" t="str">
        <f>"12742"</f>
        <v>12742</v>
      </c>
      <c r="AB3683" t="s">
        <v>78</v>
      </c>
      <c r="AC3683" t="s">
        <v>79</v>
      </c>
      <c r="AD3683" t="s">
        <v>75</v>
      </c>
      <c r="AE3683" t="s">
        <v>80</v>
      </c>
      <c r="AG3683" t="s">
        <v>81</v>
      </c>
    </row>
    <row r="3684" spans="1:33" x14ac:dyDescent="0.25">
      <c r="C3684" t="s">
        <v>20195</v>
      </c>
      <c r="G3684" t="s">
        <v>20196</v>
      </c>
      <c r="H3684" t="s">
        <v>20197</v>
      </c>
      <c r="I3684">
        <v>3118</v>
      </c>
      <c r="J3684" t="s">
        <v>20198</v>
      </c>
      <c r="K3684" t="s">
        <v>99</v>
      </c>
      <c r="L3684" t="s">
        <v>100</v>
      </c>
      <c r="M3684" t="s">
        <v>75</v>
      </c>
      <c r="N3684" t="s">
        <v>6398</v>
      </c>
      <c r="O3684" t="s">
        <v>5150</v>
      </c>
      <c r="P3684" t="s">
        <v>77</v>
      </c>
      <c r="Q3684" t="str">
        <f>"10533"</f>
        <v>10533</v>
      </c>
      <c r="AC3684" t="s">
        <v>79</v>
      </c>
      <c r="AD3684" t="s">
        <v>75</v>
      </c>
      <c r="AE3684" t="s">
        <v>101</v>
      </c>
      <c r="AG3684" t="s">
        <v>81</v>
      </c>
    </row>
    <row r="3685" spans="1:33" x14ac:dyDescent="0.25">
      <c r="A3685" t="str">
        <f>"1225125305"</f>
        <v>1225125305</v>
      </c>
      <c r="B3685" t="str">
        <f>"02748323"</f>
        <v>02748323</v>
      </c>
      <c r="C3685" t="s">
        <v>6413</v>
      </c>
      <c r="D3685" t="s">
        <v>5463</v>
      </c>
      <c r="E3685" t="s">
        <v>5464</v>
      </c>
      <c r="G3685" t="s">
        <v>6414</v>
      </c>
      <c r="H3685" t="s">
        <v>3150</v>
      </c>
      <c r="I3685">
        <v>3118</v>
      </c>
      <c r="J3685" t="s">
        <v>6415</v>
      </c>
      <c r="L3685" t="s">
        <v>105</v>
      </c>
      <c r="M3685" t="s">
        <v>75</v>
      </c>
      <c r="R3685" t="s">
        <v>5464</v>
      </c>
      <c r="W3685" t="s">
        <v>5464</v>
      </c>
      <c r="X3685" t="s">
        <v>4751</v>
      </c>
      <c r="Y3685" t="s">
        <v>1798</v>
      </c>
      <c r="Z3685" t="s">
        <v>77</v>
      </c>
      <c r="AA3685" t="str">
        <f>"10573-4674"</f>
        <v>10573-4674</v>
      </c>
      <c r="AB3685" t="s">
        <v>78</v>
      </c>
      <c r="AC3685" t="s">
        <v>79</v>
      </c>
      <c r="AD3685" t="s">
        <v>75</v>
      </c>
      <c r="AE3685" t="s">
        <v>80</v>
      </c>
      <c r="AG3685" t="s">
        <v>81</v>
      </c>
    </row>
    <row r="3686" spans="1:33" x14ac:dyDescent="0.25">
      <c r="A3686" t="str">
        <f>"1447209135"</f>
        <v>1447209135</v>
      </c>
      <c r="B3686" t="str">
        <f>"03736936"</f>
        <v>03736936</v>
      </c>
      <c r="C3686" t="s">
        <v>20199</v>
      </c>
      <c r="D3686" t="s">
        <v>20200</v>
      </c>
      <c r="E3686" t="s">
        <v>20201</v>
      </c>
      <c r="L3686" t="s">
        <v>105</v>
      </c>
      <c r="M3686" t="s">
        <v>75</v>
      </c>
      <c r="R3686" t="s">
        <v>20202</v>
      </c>
      <c r="W3686" t="s">
        <v>20201</v>
      </c>
      <c r="X3686" t="s">
        <v>20203</v>
      </c>
      <c r="Y3686" t="s">
        <v>97</v>
      </c>
      <c r="Z3686" t="s">
        <v>77</v>
      </c>
      <c r="AA3686" t="str">
        <f>"10026-1904"</f>
        <v>10026-1904</v>
      </c>
      <c r="AB3686" t="s">
        <v>78</v>
      </c>
      <c r="AC3686" t="s">
        <v>79</v>
      </c>
      <c r="AD3686" t="s">
        <v>75</v>
      </c>
      <c r="AE3686" t="s">
        <v>80</v>
      </c>
      <c r="AG3686" t="s">
        <v>81</v>
      </c>
    </row>
    <row r="3687" spans="1:33" x14ac:dyDescent="0.25">
      <c r="A3687" t="str">
        <f>"1265596142"</f>
        <v>1265596142</v>
      </c>
      <c r="B3687" t="str">
        <f>"01811494"</f>
        <v>01811494</v>
      </c>
      <c r="C3687" t="s">
        <v>20204</v>
      </c>
      <c r="D3687" t="s">
        <v>20205</v>
      </c>
      <c r="E3687" t="s">
        <v>20206</v>
      </c>
      <c r="L3687" t="s">
        <v>74</v>
      </c>
      <c r="M3687" t="s">
        <v>85</v>
      </c>
      <c r="R3687" t="s">
        <v>20207</v>
      </c>
      <c r="W3687" t="s">
        <v>20206</v>
      </c>
      <c r="X3687" t="s">
        <v>20208</v>
      </c>
      <c r="Y3687" t="s">
        <v>97</v>
      </c>
      <c r="Z3687" t="s">
        <v>77</v>
      </c>
      <c r="AA3687" t="str">
        <f>"10034-0001"</f>
        <v>10034-0001</v>
      </c>
      <c r="AB3687" t="s">
        <v>78</v>
      </c>
      <c r="AC3687" t="s">
        <v>79</v>
      </c>
      <c r="AD3687" t="s">
        <v>75</v>
      </c>
      <c r="AE3687" t="s">
        <v>80</v>
      </c>
      <c r="AG3687" t="s">
        <v>81</v>
      </c>
    </row>
    <row r="3688" spans="1:33" x14ac:dyDescent="0.25">
      <c r="A3688" t="str">
        <f>"1174512586"</f>
        <v>1174512586</v>
      </c>
      <c r="B3688" t="str">
        <f>"01591597"</f>
        <v>01591597</v>
      </c>
      <c r="C3688" t="s">
        <v>13436</v>
      </c>
      <c r="D3688" t="s">
        <v>20209</v>
      </c>
      <c r="E3688" t="s">
        <v>20210</v>
      </c>
      <c r="G3688" t="s">
        <v>20211</v>
      </c>
      <c r="L3688" t="s">
        <v>84</v>
      </c>
      <c r="M3688" t="s">
        <v>85</v>
      </c>
      <c r="R3688" t="s">
        <v>20212</v>
      </c>
      <c r="W3688" t="s">
        <v>20210</v>
      </c>
      <c r="X3688" t="s">
        <v>14588</v>
      </c>
      <c r="Y3688" t="s">
        <v>97</v>
      </c>
      <c r="Z3688" t="s">
        <v>77</v>
      </c>
      <c r="AA3688" t="str">
        <f>"10003-3314"</f>
        <v>10003-3314</v>
      </c>
      <c r="AB3688" t="s">
        <v>78</v>
      </c>
      <c r="AC3688" t="s">
        <v>79</v>
      </c>
      <c r="AD3688" t="s">
        <v>75</v>
      </c>
      <c r="AE3688" t="s">
        <v>80</v>
      </c>
      <c r="AG3688" t="s">
        <v>81</v>
      </c>
    </row>
    <row r="3689" spans="1:33" x14ac:dyDescent="0.25">
      <c r="A3689" t="str">
        <f>"1144322819"</f>
        <v>1144322819</v>
      </c>
      <c r="B3689" t="str">
        <f>"00809623"</f>
        <v>00809623</v>
      </c>
      <c r="C3689" t="s">
        <v>13436</v>
      </c>
      <c r="D3689" t="s">
        <v>20213</v>
      </c>
      <c r="E3689" t="s">
        <v>20214</v>
      </c>
      <c r="G3689" t="s">
        <v>20215</v>
      </c>
      <c r="L3689" t="s">
        <v>83</v>
      </c>
      <c r="M3689" t="s">
        <v>85</v>
      </c>
      <c r="R3689" t="s">
        <v>20216</v>
      </c>
      <c r="W3689" t="s">
        <v>20214</v>
      </c>
      <c r="X3689" t="s">
        <v>20217</v>
      </c>
      <c r="Y3689" t="s">
        <v>97</v>
      </c>
      <c r="Z3689" t="s">
        <v>77</v>
      </c>
      <c r="AA3689" t="str">
        <f>"10014-4778"</f>
        <v>10014-4778</v>
      </c>
      <c r="AB3689" t="s">
        <v>78</v>
      </c>
      <c r="AC3689" t="s">
        <v>79</v>
      </c>
      <c r="AD3689" t="s">
        <v>75</v>
      </c>
      <c r="AE3689" t="s">
        <v>80</v>
      </c>
      <c r="AG3689" t="s">
        <v>81</v>
      </c>
    </row>
    <row r="3690" spans="1:33" x14ac:dyDescent="0.25">
      <c r="A3690" t="str">
        <f>"1164450557"</f>
        <v>1164450557</v>
      </c>
      <c r="B3690" t="str">
        <f>"01492002"</f>
        <v>01492002</v>
      </c>
      <c r="C3690" t="s">
        <v>13436</v>
      </c>
      <c r="D3690" t="s">
        <v>20218</v>
      </c>
      <c r="E3690" t="s">
        <v>20219</v>
      </c>
      <c r="G3690" t="s">
        <v>20220</v>
      </c>
      <c r="L3690" t="s">
        <v>105</v>
      </c>
      <c r="M3690" t="s">
        <v>85</v>
      </c>
      <c r="R3690" t="s">
        <v>20221</v>
      </c>
      <c r="W3690" t="s">
        <v>20219</v>
      </c>
      <c r="X3690" t="s">
        <v>20222</v>
      </c>
      <c r="Y3690" t="s">
        <v>97</v>
      </c>
      <c r="Z3690" t="s">
        <v>77</v>
      </c>
      <c r="AA3690" t="str">
        <f>"10011-3302"</f>
        <v>10011-3302</v>
      </c>
      <c r="AB3690" t="s">
        <v>78</v>
      </c>
      <c r="AC3690" t="s">
        <v>79</v>
      </c>
      <c r="AD3690" t="s">
        <v>75</v>
      </c>
      <c r="AE3690" t="s">
        <v>80</v>
      </c>
      <c r="AG3690" t="s">
        <v>81</v>
      </c>
    </row>
    <row r="3691" spans="1:33" x14ac:dyDescent="0.25">
      <c r="A3691" t="str">
        <f>"1104836352"</f>
        <v>1104836352</v>
      </c>
      <c r="B3691" t="str">
        <f>"01273990"</f>
        <v>01273990</v>
      </c>
      <c r="C3691" t="s">
        <v>20223</v>
      </c>
      <c r="D3691" t="s">
        <v>20224</v>
      </c>
      <c r="E3691" t="s">
        <v>20225</v>
      </c>
      <c r="G3691" t="s">
        <v>13504</v>
      </c>
      <c r="H3691" t="s">
        <v>13505</v>
      </c>
      <c r="J3691" t="s">
        <v>13506</v>
      </c>
      <c r="L3691" t="s">
        <v>83</v>
      </c>
      <c r="M3691" t="s">
        <v>75</v>
      </c>
      <c r="R3691" t="s">
        <v>20226</v>
      </c>
      <c r="W3691" t="s">
        <v>20225</v>
      </c>
      <c r="X3691" t="s">
        <v>20227</v>
      </c>
      <c r="Y3691" t="s">
        <v>87</v>
      </c>
      <c r="Z3691" t="s">
        <v>77</v>
      </c>
      <c r="AA3691" t="str">
        <f>"11201-5425"</f>
        <v>11201-5425</v>
      </c>
      <c r="AB3691" t="s">
        <v>78</v>
      </c>
      <c r="AC3691" t="s">
        <v>79</v>
      </c>
      <c r="AD3691" t="s">
        <v>75</v>
      </c>
      <c r="AE3691" t="s">
        <v>80</v>
      </c>
      <c r="AG3691" t="s">
        <v>81</v>
      </c>
    </row>
    <row r="3692" spans="1:33" x14ac:dyDescent="0.25">
      <c r="A3692" t="str">
        <f>"1023089372"</f>
        <v>1023089372</v>
      </c>
      <c r="B3692" t="str">
        <f>"01200619"</f>
        <v>01200619</v>
      </c>
      <c r="C3692" t="s">
        <v>20228</v>
      </c>
      <c r="D3692" t="s">
        <v>644</v>
      </c>
      <c r="E3692" t="s">
        <v>645</v>
      </c>
      <c r="G3692" t="s">
        <v>13504</v>
      </c>
      <c r="H3692" t="s">
        <v>13505</v>
      </c>
      <c r="J3692" t="s">
        <v>13506</v>
      </c>
      <c r="L3692" t="s">
        <v>84</v>
      </c>
      <c r="M3692" t="s">
        <v>85</v>
      </c>
      <c r="R3692" t="s">
        <v>643</v>
      </c>
      <c r="W3692" t="s">
        <v>645</v>
      </c>
      <c r="X3692" t="s">
        <v>646</v>
      </c>
      <c r="Y3692" t="s">
        <v>87</v>
      </c>
      <c r="Z3692" t="s">
        <v>77</v>
      </c>
      <c r="AA3692" t="str">
        <f>"11201-5493"</f>
        <v>11201-5493</v>
      </c>
      <c r="AB3692" t="s">
        <v>78</v>
      </c>
      <c r="AC3692" t="s">
        <v>79</v>
      </c>
      <c r="AD3692" t="s">
        <v>75</v>
      </c>
      <c r="AE3692" t="s">
        <v>80</v>
      </c>
      <c r="AG3692" t="s">
        <v>81</v>
      </c>
    </row>
    <row r="3693" spans="1:33" x14ac:dyDescent="0.25">
      <c r="A3693" t="str">
        <f>"1124013784"</f>
        <v>1124013784</v>
      </c>
      <c r="B3693" t="str">
        <f>"01574987"</f>
        <v>01574987</v>
      </c>
      <c r="C3693" t="s">
        <v>20229</v>
      </c>
      <c r="D3693" t="s">
        <v>20230</v>
      </c>
      <c r="E3693" t="s">
        <v>20231</v>
      </c>
      <c r="G3693" t="s">
        <v>13504</v>
      </c>
      <c r="H3693" t="s">
        <v>13505</v>
      </c>
      <c r="J3693" t="s">
        <v>13506</v>
      </c>
      <c r="L3693" t="s">
        <v>74</v>
      </c>
      <c r="M3693" t="s">
        <v>85</v>
      </c>
      <c r="R3693" t="s">
        <v>20232</v>
      </c>
      <c r="W3693" t="s">
        <v>20231</v>
      </c>
      <c r="Y3693" t="s">
        <v>97</v>
      </c>
      <c r="Z3693" t="s">
        <v>77</v>
      </c>
      <c r="AA3693" t="str">
        <f>"10011-8305"</f>
        <v>10011-8305</v>
      </c>
      <c r="AB3693" t="s">
        <v>78</v>
      </c>
      <c r="AC3693" t="s">
        <v>79</v>
      </c>
      <c r="AD3693" t="s">
        <v>75</v>
      </c>
      <c r="AE3693" t="s">
        <v>80</v>
      </c>
      <c r="AG3693" t="s">
        <v>81</v>
      </c>
    </row>
    <row r="3694" spans="1:33" x14ac:dyDescent="0.25">
      <c r="A3694" t="str">
        <f>"1417372244"</f>
        <v>1417372244</v>
      </c>
      <c r="C3694" t="s">
        <v>20233</v>
      </c>
      <c r="K3694" t="s">
        <v>99</v>
      </c>
      <c r="L3694" t="s">
        <v>102</v>
      </c>
      <c r="M3694" t="s">
        <v>75</v>
      </c>
      <c r="R3694" t="s">
        <v>3726</v>
      </c>
      <c r="S3694" t="s">
        <v>3054</v>
      </c>
      <c r="T3694" t="s">
        <v>97</v>
      </c>
      <c r="U3694" t="s">
        <v>77</v>
      </c>
      <c r="V3694" t="str">
        <f>"100187200"</f>
        <v>100187200</v>
      </c>
      <c r="AC3694" t="s">
        <v>79</v>
      </c>
      <c r="AD3694" t="s">
        <v>75</v>
      </c>
      <c r="AE3694" t="s">
        <v>103</v>
      </c>
      <c r="AG3694" t="s">
        <v>81</v>
      </c>
    </row>
    <row r="3695" spans="1:33" x14ac:dyDescent="0.25">
      <c r="A3695" t="str">
        <f>"1891122412"</f>
        <v>1891122412</v>
      </c>
      <c r="C3695" t="s">
        <v>20234</v>
      </c>
      <c r="K3695" t="s">
        <v>99</v>
      </c>
      <c r="L3695" t="s">
        <v>102</v>
      </c>
      <c r="M3695" t="s">
        <v>75</v>
      </c>
      <c r="R3695" t="s">
        <v>2995</v>
      </c>
      <c r="S3695" t="s">
        <v>2996</v>
      </c>
      <c r="T3695" t="s">
        <v>97</v>
      </c>
      <c r="U3695" t="s">
        <v>77</v>
      </c>
      <c r="V3695" t="str">
        <f>"100187215"</f>
        <v>100187215</v>
      </c>
      <c r="AC3695" t="s">
        <v>79</v>
      </c>
      <c r="AD3695" t="s">
        <v>75</v>
      </c>
      <c r="AE3695" t="s">
        <v>103</v>
      </c>
      <c r="AG3695" t="s">
        <v>81</v>
      </c>
    </row>
    <row r="3696" spans="1:33" x14ac:dyDescent="0.25">
      <c r="A3696" t="str">
        <f>"1144549460"</f>
        <v>1144549460</v>
      </c>
      <c r="C3696" t="s">
        <v>20235</v>
      </c>
      <c r="K3696" t="s">
        <v>99</v>
      </c>
      <c r="L3696" t="s">
        <v>102</v>
      </c>
      <c r="M3696" t="s">
        <v>75</v>
      </c>
      <c r="R3696" t="s">
        <v>2923</v>
      </c>
      <c r="S3696" t="s">
        <v>2924</v>
      </c>
      <c r="T3696" t="s">
        <v>131</v>
      </c>
      <c r="U3696" t="s">
        <v>77</v>
      </c>
      <c r="V3696" t="str">
        <f>"10458"</f>
        <v>10458</v>
      </c>
      <c r="AC3696" t="s">
        <v>79</v>
      </c>
      <c r="AD3696" t="s">
        <v>75</v>
      </c>
      <c r="AE3696" t="s">
        <v>103</v>
      </c>
      <c r="AG3696" t="s">
        <v>81</v>
      </c>
    </row>
    <row r="3697" spans="1:33" x14ac:dyDescent="0.25">
      <c r="A3697" t="str">
        <f>"1558782607"</f>
        <v>1558782607</v>
      </c>
      <c r="C3697" t="s">
        <v>20236</v>
      </c>
      <c r="K3697" t="s">
        <v>99</v>
      </c>
      <c r="L3697" t="s">
        <v>102</v>
      </c>
      <c r="M3697" t="s">
        <v>75</v>
      </c>
      <c r="R3697" t="s">
        <v>3622</v>
      </c>
      <c r="S3697" t="s">
        <v>3623</v>
      </c>
      <c r="T3697" t="s">
        <v>131</v>
      </c>
      <c r="U3697" t="s">
        <v>77</v>
      </c>
      <c r="V3697" t="str">
        <f>"104685101"</f>
        <v>104685101</v>
      </c>
      <c r="AC3697" t="s">
        <v>79</v>
      </c>
      <c r="AD3697" t="s">
        <v>75</v>
      </c>
      <c r="AE3697" t="s">
        <v>103</v>
      </c>
      <c r="AG3697" t="s">
        <v>81</v>
      </c>
    </row>
    <row r="3698" spans="1:33" x14ac:dyDescent="0.25">
      <c r="A3698" t="str">
        <f>"1548362106"</f>
        <v>1548362106</v>
      </c>
      <c r="B3698" t="str">
        <f>"02825592"</f>
        <v>02825592</v>
      </c>
      <c r="C3698" t="s">
        <v>20237</v>
      </c>
      <c r="D3698" t="s">
        <v>2184</v>
      </c>
      <c r="E3698" t="s">
        <v>2185</v>
      </c>
      <c r="H3698" t="s">
        <v>2558</v>
      </c>
      <c r="J3698" t="s">
        <v>20238</v>
      </c>
      <c r="L3698" t="s">
        <v>74</v>
      </c>
      <c r="M3698" t="s">
        <v>85</v>
      </c>
      <c r="R3698" t="s">
        <v>2183</v>
      </c>
      <c r="W3698" t="s">
        <v>2185</v>
      </c>
      <c r="X3698" t="s">
        <v>2186</v>
      </c>
      <c r="Y3698" t="s">
        <v>2187</v>
      </c>
      <c r="Z3698" t="s">
        <v>77</v>
      </c>
      <c r="AA3698" t="str">
        <f>"10520-1343"</f>
        <v>10520-1343</v>
      </c>
      <c r="AB3698" t="s">
        <v>78</v>
      </c>
      <c r="AC3698" t="s">
        <v>79</v>
      </c>
      <c r="AD3698" t="s">
        <v>75</v>
      </c>
      <c r="AE3698" t="s">
        <v>80</v>
      </c>
      <c r="AG3698" t="s">
        <v>81</v>
      </c>
    </row>
    <row r="3699" spans="1:33" x14ac:dyDescent="0.25">
      <c r="A3699" t="str">
        <f>"1477580058"</f>
        <v>1477580058</v>
      </c>
      <c r="B3699" t="str">
        <f>"01801298"</f>
        <v>01801298</v>
      </c>
      <c r="C3699" t="s">
        <v>20239</v>
      </c>
      <c r="D3699" t="s">
        <v>2189</v>
      </c>
      <c r="E3699" t="s">
        <v>2190</v>
      </c>
      <c r="H3699" t="s">
        <v>2558</v>
      </c>
      <c r="J3699" t="s">
        <v>20240</v>
      </c>
      <c r="L3699" t="s">
        <v>83</v>
      </c>
      <c r="M3699" t="s">
        <v>85</v>
      </c>
      <c r="R3699" t="s">
        <v>2188</v>
      </c>
      <c r="W3699" t="s">
        <v>2191</v>
      </c>
      <c r="X3699" t="s">
        <v>2192</v>
      </c>
      <c r="Y3699" t="s">
        <v>131</v>
      </c>
      <c r="Z3699" t="s">
        <v>77</v>
      </c>
      <c r="AA3699" t="str">
        <f>"10469-3134"</f>
        <v>10469-3134</v>
      </c>
      <c r="AB3699" t="s">
        <v>78</v>
      </c>
      <c r="AC3699" t="s">
        <v>79</v>
      </c>
      <c r="AD3699" t="s">
        <v>75</v>
      </c>
      <c r="AE3699" t="s">
        <v>80</v>
      </c>
      <c r="AG3699" t="s">
        <v>81</v>
      </c>
    </row>
    <row r="3700" spans="1:33" x14ac:dyDescent="0.25">
      <c r="A3700" t="str">
        <f>"1841285137"</f>
        <v>1841285137</v>
      </c>
      <c r="B3700" t="str">
        <f>"01246033"</f>
        <v>01246033</v>
      </c>
      <c r="C3700" t="s">
        <v>20241</v>
      </c>
      <c r="D3700" t="s">
        <v>2194</v>
      </c>
      <c r="E3700" t="s">
        <v>2195</v>
      </c>
      <c r="H3700" t="s">
        <v>19635</v>
      </c>
      <c r="J3700" t="s">
        <v>20242</v>
      </c>
      <c r="L3700" t="s">
        <v>84</v>
      </c>
      <c r="M3700" t="s">
        <v>85</v>
      </c>
      <c r="R3700" t="s">
        <v>2193</v>
      </c>
      <c r="W3700" t="s">
        <v>2195</v>
      </c>
      <c r="X3700" t="s">
        <v>602</v>
      </c>
      <c r="Y3700" t="s">
        <v>97</v>
      </c>
      <c r="Z3700" t="s">
        <v>77</v>
      </c>
      <c r="AA3700" t="str">
        <f>"10038-2612"</f>
        <v>10038-2612</v>
      </c>
      <c r="AB3700" t="s">
        <v>78</v>
      </c>
      <c r="AC3700" t="s">
        <v>79</v>
      </c>
      <c r="AD3700" t="s">
        <v>75</v>
      </c>
      <c r="AE3700" t="s">
        <v>80</v>
      </c>
      <c r="AG3700" t="s">
        <v>81</v>
      </c>
    </row>
    <row r="3701" spans="1:33" x14ac:dyDescent="0.25">
      <c r="A3701" t="str">
        <f>"1548256183"</f>
        <v>1548256183</v>
      </c>
      <c r="B3701" t="str">
        <f>"01085556"</f>
        <v>01085556</v>
      </c>
      <c r="C3701" t="s">
        <v>20243</v>
      </c>
      <c r="D3701" t="s">
        <v>2197</v>
      </c>
      <c r="E3701" t="s">
        <v>2198</v>
      </c>
      <c r="H3701" t="s">
        <v>16088</v>
      </c>
      <c r="J3701" t="s">
        <v>20244</v>
      </c>
      <c r="L3701" t="s">
        <v>84</v>
      </c>
      <c r="M3701" t="s">
        <v>75</v>
      </c>
      <c r="R3701" t="s">
        <v>2196</v>
      </c>
      <c r="W3701" t="s">
        <v>2196</v>
      </c>
      <c r="X3701" t="s">
        <v>2199</v>
      </c>
      <c r="Y3701" t="s">
        <v>131</v>
      </c>
      <c r="Z3701" t="s">
        <v>77</v>
      </c>
      <c r="AA3701" t="str">
        <f>"10461-5201"</f>
        <v>10461-5201</v>
      </c>
      <c r="AB3701" t="s">
        <v>78</v>
      </c>
      <c r="AC3701" t="s">
        <v>79</v>
      </c>
      <c r="AD3701" t="s">
        <v>75</v>
      </c>
      <c r="AE3701" t="s">
        <v>80</v>
      </c>
      <c r="AG3701" t="s">
        <v>81</v>
      </c>
    </row>
    <row r="3702" spans="1:33" x14ac:dyDescent="0.25">
      <c r="A3702" t="str">
        <f>"1215296769"</f>
        <v>1215296769</v>
      </c>
      <c r="C3702" t="s">
        <v>20245</v>
      </c>
      <c r="G3702" t="s">
        <v>13432</v>
      </c>
      <c r="H3702" t="s">
        <v>13433</v>
      </c>
      <c r="J3702" t="s">
        <v>13434</v>
      </c>
      <c r="K3702" t="s">
        <v>99</v>
      </c>
      <c r="L3702" t="s">
        <v>74</v>
      </c>
      <c r="M3702" t="s">
        <v>75</v>
      </c>
      <c r="AC3702" t="s">
        <v>79</v>
      </c>
      <c r="AD3702" t="s">
        <v>75</v>
      </c>
      <c r="AE3702" t="s">
        <v>103</v>
      </c>
      <c r="AG3702" t="s">
        <v>81</v>
      </c>
    </row>
    <row r="3703" spans="1:33" x14ac:dyDescent="0.25">
      <c r="A3703" t="str">
        <f>"1790107662"</f>
        <v>1790107662</v>
      </c>
      <c r="C3703" t="s">
        <v>20246</v>
      </c>
      <c r="G3703" t="s">
        <v>13432</v>
      </c>
      <c r="H3703" t="s">
        <v>13433</v>
      </c>
      <c r="J3703" t="s">
        <v>13434</v>
      </c>
      <c r="K3703" t="s">
        <v>99</v>
      </c>
      <c r="L3703" t="s">
        <v>102</v>
      </c>
      <c r="M3703" t="s">
        <v>75</v>
      </c>
      <c r="R3703" t="s">
        <v>20247</v>
      </c>
      <c r="S3703" t="s">
        <v>16293</v>
      </c>
      <c r="T3703" t="s">
        <v>97</v>
      </c>
      <c r="U3703" t="s">
        <v>77</v>
      </c>
      <c r="V3703" t="str">
        <f>"100112019"</f>
        <v>100112019</v>
      </c>
      <c r="AC3703" t="s">
        <v>79</v>
      </c>
      <c r="AD3703" t="s">
        <v>75</v>
      </c>
      <c r="AE3703" t="s">
        <v>103</v>
      </c>
      <c r="AG3703" t="s">
        <v>81</v>
      </c>
    </row>
    <row r="3704" spans="1:33" x14ac:dyDescent="0.25">
      <c r="A3704" t="str">
        <f>"1508022716"</f>
        <v>1508022716</v>
      </c>
      <c r="B3704" t="str">
        <f>"03132309"</f>
        <v>03132309</v>
      </c>
      <c r="C3704" t="s">
        <v>13436</v>
      </c>
      <c r="D3704" t="s">
        <v>20248</v>
      </c>
      <c r="E3704" t="s">
        <v>20249</v>
      </c>
      <c r="G3704" t="s">
        <v>20250</v>
      </c>
      <c r="L3704" t="s">
        <v>74</v>
      </c>
      <c r="M3704" t="s">
        <v>75</v>
      </c>
      <c r="R3704" t="s">
        <v>20249</v>
      </c>
      <c r="W3704" t="s">
        <v>20251</v>
      </c>
      <c r="X3704" t="s">
        <v>3553</v>
      </c>
      <c r="Y3704" t="s">
        <v>97</v>
      </c>
      <c r="Z3704" t="s">
        <v>77</v>
      </c>
      <c r="AA3704" t="str">
        <f>"10003-3851"</f>
        <v>10003-3851</v>
      </c>
      <c r="AB3704" t="s">
        <v>78</v>
      </c>
      <c r="AC3704" t="s">
        <v>79</v>
      </c>
      <c r="AD3704" t="s">
        <v>75</v>
      </c>
      <c r="AE3704" t="s">
        <v>80</v>
      </c>
      <c r="AG3704" t="s">
        <v>81</v>
      </c>
    </row>
    <row r="3705" spans="1:33" x14ac:dyDescent="0.25">
      <c r="A3705" t="str">
        <f>"1508088659"</f>
        <v>1508088659</v>
      </c>
      <c r="B3705" t="str">
        <f>"02887149"</f>
        <v>02887149</v>
      </c>
      <c r="C3705" t="s">
        <v>13436</v>
      </c>
      <c r="D3705" t="s">
        <v>20252</v>
      </c>
      <c r="E3705" t="s">
        <v>20253</v>
      </c>
      <c r="G3705" t="s">
        <v>20254</v>
      </c>
      <c r="L3705" t="s">
        <v>74</v>
      </c>
      <c r="M3705" t="s">
        <v>75</v>
      </c>
      <c r="R3705" t="s">
        <v>20255</v>
      </c>
      <c r="W3705" t="s">
        <v>20253</v>
      </c>
      <c r="X3705" t="s">
        <v>253</v>
      </c>
      <c r="Y3705" t="s">
        <v>131</v>
      </c>
      <c r="Z3705" t="s">
        <v>77</v>
      </c>
      <c r="AA3705" t="str">
        <f>"10466-2604"</f>
        <v>10466-2604</v>
      </c>
      <c r="AB3705" t="s">
        <v>78</v>
      </c>
      <c r="AC3705" t="s">
        <v>79</v>
      </c>
      <c r="AD3705" t="s">
        <v>75</v>
      </c>
      <c r="AE3705" t="s">
        <v>80</v>
      </c>
      <c r="AG3705" t="s">
        <v>81</v>
      </c>
    </row>
    <row r="3706" spans="1:33" x14ac:dyDescent="0.25">
      <c r="A3706" t="str">
        <f>"1174889208"</f>
        <v>1174889208</v>
      </c>
      <c r="B3706" t="str">
        <f>"04360541"</f>
        <v>04360541</v>
      </c>
      <c r="C3706" t="s">
        <v>13436</v>
      </c>
      <c r="D3706" t="s">
        <v>20256</v>
      </c>
      <c r="E3706" t="s">
        <v>20257</v>
      </c>
      <c r="L3706" t="s">
        <v>74</v>
      </c>
      <c r="M3706" t="s">
        <v>75</v>
      </c>
      <c r="R3706" t="s">
        <v>20258</v>
      </c>
      <c r="W3706" t="s">
        <v>20257</v>
      </c>
      <c r="X3706" t="s">
        <v>6696</v>
      </c>
      <c r="Y3706" t="s">
        <v>97</v>
      </c>
      <c r="Z3706" t="s">
        <v>77</v>
      </c>
      <c r="AA3706" t="str">
        <f>"10003-0000"</f>
        <v>10003-0000</v>
      </c>
      <c r="AB3706" t="s">
        <v>78</v>
      </c>
      <c r="AC3706" t="s">
        <v>79</v>
      </c>
      <c r="AD3706" t="s">
        <v>75</v>
      </c>
      <c r="AE3706" t="s">
        <v>80</v>
      </c>
      <c r="AG3706" t="s">
        <v>81</v>
      </c>
    </row>
    <row r="3707" spans="1:33" x14ac:dyDescent="0.25">
      <c r="A3707" t="str">
        <f>"1811226004"</f>
        <v>1811226004</v>
      </c>
      <c r="C3707" t="s">
        <v>20259</v>
      </c>
      <c r="K3707" t="s">
        <v>99</v>
      </c>
      <c r="L3707" t="s">
        <v>102</v>
      </c>
      <c r="M3707" t="s">
        <v>75</v>
      </c>
      <c r="R3707" t="s">
        <v>3727</v>
      </c>
      <c r="S3707" t="s">
        <v>2996</v>
      </c>
      <c r="T3707" t="s">
        <v>97</v>
      </c>
      <c r="U3707" t="s">
        <v>77</v>
      </c>
      <c r="V3707" t="str">
        <f>"100187215"</f>
        <v>100187215</v>
      </c>
      <c r="AC3707" t="s">
        <v>79</v>
      </c>
      <c r="AD3707" t="s">
        <v>75</v>
      </c>
      <c r="AE3707" t="s">
        <v>103</v>
      </c>
      <c r="AG3707" t="s">
        <v>81</v>
      </c>
    </row>
    <row r="3708" spans="1:33" x14ac:dyDescent="0.25">
      <c r="A3708" t="str">
        <f>"1073944237"</f>
        <v>1073944237</v>
      </c>
      <c r="C3708" t="s">
        <v>20260</v>
      </c>
      <c r="K3708" t="s">
        <v>99</v>
      </c>
      <c r="L3708" t="s">
        <v>74</v>
      </c>
      <c r="M3708" t="s">
        <v>75</v>
      </c>
      <c r="R3708" t="s">
        <v>3072</v>
      </c>
      <c r="S3708" t="s">
        <v>3054</v>
      </c>
      <c r="T3708" t="s">
        <v>97</v>
      </c>
      <c r="U3708" t="s">
        <v>77</v>
      </c>
      <c r="V3708" t="str">
        <f>"100187215"</f>
        <v>100187215</v>
      </c>
      <c r="AC3708" t="s">
        <v>79</v>
      </c>
      <c r="AD3708" t="s">
        <v>75</v>
      </c>
      <c r="AE3708" t="s">
        <v>103</v>
      </c>
      <c r="AG3708" t="s">
        <v>81</v>
      </c>
    </row>
    <row r="3709" spans="1:33" x14ac:dyDescent="0.25">
      <c r="A3709" t="str">
        <f>"1295836146"</f>
        <v>1295836146</v>
      </c>
      <c r="B3709" t="str">
        <f>"02640682"</f>
        <v>02640682</v>
      </c>
      <c r="C3709" t="s">
        <v>20261</v>
      </c>
      <c r="D3709" t="s">
        <v>2146</v>
      </c>
      <c r="E3709" t="s">
        <v>2147</v>
      </c>
      <c r="G3709" t="s">
        <v>20261</v>
      </c>
      <c r="H3709" t="s">
        <v>20262</v>
      </c>
      <c r="L3709" t="s">
        <v>83</v>
      </c>
      <c r="M3709" t="s">
        <v>75</v>
      </c>
      <c r="R3709" t="s">
        <v>2145</v>
      </c>
      <c r="W3709" t="s">
        <v>2147</v>
      </c>
      <c r="X3709" t="s">
        <v>2148</v>
      </c>
      <c r="Y3709" t="s">
        <v>87</v>
      </c>
      <c r="Z3709" t="s">
        <v>77</v>
      </c>
      <c r="AA3709" t="str">
        <f>"11204-4045"</f>
        <v>11204-4045</v>
      </c>
      <c r="AB3709" t="s">
        <v>78</v>
      </c>
      <c r="AC3709" t="s">
        <v>79</v>
      </c>
      <c r="AD3709" t="s">
        <v>75</v>
      </c>
      <c r="AE3709" t="s">
        <v>80</v>
      </c>
      <c r="AG3709" t="s">
        <v>81</v>
      </c>
    </row>
    <row r="3710" spans="1:33" x14ac:dyDescent="0.25">
      <c r="A3710" t="str">
        <f>"1487975330"</f>
        <v>1487975330</v>
      </c>
      <c r="B3710" t="str">
        <f>"03587015"</f>
        <v>03587015</v>
      </c>
      <c r="C3710" t="s">
        <v>13436</v>
      </c>
      <c r="D3710" t="s">
        <v>20263</v>
      </c>
      <c r="E3710" t="s">
        <v>20264</v>
      </c>
      <c r="G3710" t="s">
        <v>20265</v>
      </c>
      <c r="L3710" t="s">
        <v>74</v>
      </c>
      <c r="M3710" t="s">
        <v>85</v>
      </c>
      <c r="R3710" t="s">
        <v>20264</v>
      </c>
      <c r="W3710" t="s">
        <v>20264</v>
      </c>
      <c r="X3710" t="s">
        <v>181</v>
      </c>
      <c r="Y3710" t="s">
        <v>97</v>
      </c>
      <c r="Z3710" t="s">
        <v>77</v>
      </c>
      <c r="AA3710" t="str">
        <f>"10025-1716"</f>
        <v>10025-1716</v>
      </c>
      <c r="AB3710" t="s">
        <v>78</v>
      </c>
      <c r="AC3710" t="s">
        <v>79</v>
      </c>
      <c r="AD3710" t="s">
        <v>75</v>
      </c>
      <c r="AE3710" t="s">
        <v>80</v>
      </c>
      <c r="AG3710" t="s">
        <v>81</v>
      </c>
    </row>
    <row r="3711" spans="1:33" x14ac:dyDescent="0.25">
      <c r="A3711" t="str">
        <f>"1487984621"</f>
        <v>1487984621</v>
      </c>
      <c r="C3711" t="s">
        <v>13436</v>
      </c>
      <c r="G3711" t="s">
        <v>20266</v>
      </c>
      <c r="K3711" t="s">
        <v>99</v>
      </c>
      <c r="L3711" t="s">
        <v>102</v>
      </c>
      <c r="M3711" t="s">
        <v>85</v>
      </c>
      <c r="R3711" t="s">
        <v>20267</v>
      </c>
      <c r="S3711" t="s">
        <v>20268</v>
      </c>
      <c r="T3711" t="s">
        <v>87</v>
      </c>
      <c r="U3711" t="s">
        <v>77</v>
      </c>
      <c r="V3711" t="str">
        <f>"112125629"</f>
        <v>112125629</v>
      </c>
      <c r="AC3711" t="s">
        <v>79</v>
      </c>
      <c r="AD3711" t="s">
        <v>75</v>
      </c>
      <c r="AE3711" t="s">
        <v>103</v>
      </c>
      <c r="AG3711" t="s">
        <v>81</v>
      </c>
    </row>
    <row r="3712" spans="1:33" x14ac:dyDescent="0.25">
      <c r="A3712" t="str">
        <f>"1497071732"</f>
        <v>1497071732</v>
      </c>
      <c r="B3712" t="str">
        <f>"03949768"</f>
        <v>03949768</v>
      </c>
      <c r="C3712" t="s">
        <v>13436</v>
      </c>
      <c r="D3712" t="s">
        <v>20269</v>
      </c>
      <c r="E3712" t="s">
        <v>20270</v>
      </c>
      <c r="G3712" t="s">
        <v>20271</v>
      </c>
      <c r="L3712" t="s">
        <v>83</v>
      </c>
      <c r="M3712" t="s">
        <v>85</v>
      </c>
      <c r="R3712" t="s">
        <v>20270</v>
      </c>
      <c r="W3712" t="s">
        <v>20270</v>
      </c>
      <c r="X3712" t="s">
        <v>5585</v>
      </c>
      <c r="Y3712" t="s">
        <v>97</v>
      </c>
      <c r="Z3712" t="s">
        <v>77</v>
      </c>
      <c r="AA3712" t="str">
        <f>"10003-0000"</f>
        <v>10003-0000</v>
      </c>
      <c r="AB3712" t="s">
        <v>78</v>
      </c>
      <c r="AC3712" t="s">
        <v>79</v>
      </c>
      <c r="AD3712" t="s">
        <v>75</v>
      </c>
      <c r="AE3712" t="s">
        <v>80</v>
      </c>
      <c r="AG3712" t="s">
        <v>81</v>
      </c>
    </row>
    <row r="3713" spans="1:33" x14ac:dyDescent="0.25">
      <c r="A3713" t="str">
        <f>"1508090150"</f>
        <v>1508090150</v>
      </c>
      <c r="B3713" t="str">
        <f>"03911699"</f>
        <v>03911699</v>
      </c>
      <c r="C3713" t="s">
        <v>13436</v>
      </c>
      <c r="D3713" t="s">
        <v>20272</v>
      </c>
      <c r="E3713" t="s">
        <v>20273</v>
      </c>
      <c r="G3713" t="s">
        <v>20274</v>
      </c>
      <c r="L3713" t="s">
        <v>74</v>
      </c>
      <c r="M3713" t="s">
        <v>85</v>
      </c>
      <c r="R3713" t="s">
        <v>20275</v>
      </c>
      <c r="W3713" t="s">
        <v>20273</v>
      </c>
      <c r="X3713" t="s">
        <v>181</v>
      </c>
      <c r="Y3713" t="s">
        <v>97</v>
      </c>
      <c r="Z3713" t="s">
        <v>77</v>
      </c>
      <c r="AA3713" t="str">
        <f>"10025-1716"</f>
        <v>10025-1716</v>
      </c>
      <c r="AB3713" t="s">
        <v>78</v>
      </c>
      <c r="AC3713" t="s">
        <v>79</v>
      </c>
      <c r="AD3713" t="s">
        <v>75</v>
      </c>
      <c r="AE3713" t="s">
        <v>80</v>
      </c>
      <c r="AG3713" t="s">
        <v>81</v>
      </c>
    </row>
    <row r="3714" spans="1:33" x14ac:dyDescent="0.25">
      <c r="A3714" t="str">
        <f>"1508827353"</f>
        <v>1508827353</v>
      </c>
      <c r="B3714" t="str">
        <f>"02589522"</f>
        <v>02589522</v>
      </c>
      <c r="C3714" t="s">
        <v>13436</v>
      </c>
      <c r="D3714" t="s">
        <v>20276</v>
      </c>
      <c r="E3714" t="s">
        <v>20277</v>
      </c>
      <c r="G3714" t="s">
        <v>20278</v>
      </c>
      <c r="L3714" t="s">
        <v>74</v>
      </c>
      <c r="M3714" t="s">
        <v>85</v>
      </c>
      <c r="R3714" t="s">
        <v>20279</v>
      </c>
      <c r="W3714" t="s">
        <v>20277</v>
      </c>
      <c r="X3714" t="s">
        <v>20280</v>
      </c>
      <c r="Y3714" t="s">
        <v>91</v>
      </c>
      <c r="Z3714" t="s">
        <v>77</v>
      </c>
      <c r="AA3714" t="str">
        <f>"11373-1329"</f>
        <v>11373-1329</v>
      </c>
      <c r="AB3714" t="s">
        <v>78</v>
      </c>
      <c r="AC3714" t="s">
        <v>79</v>
      </c>
      <c r="AD3714" t="s">
        <v>75</v>
      </c>
      <c r="AE3714" t="s">
        <v>80</v>
      </c>
      <c r="AG3714" t="s">
        <v>81</v>
      </c>
    </row>
    <row r="3715" spans="1:33" x14ac:dyDescent="0.25">
      <c r="A3715" t="str">
        <f>"1518129402"</f>
        <v>1518129402</v>
      </c>
      <c r="B3715" t="str">
        <f>"03859661"</f>
        <v>03859661</v>
      </c>
      <c r="C3715" t="s">
        <v>13436</v>
      </c>
      <c r="D3715" t="s">
        <v>20281</v>
      </c>
      <c r="E3715" t="s">
        <v>20282</v>
      </c>
      <c r="G3715" t="s">
        <v>20283</v>
      </c>
      <c r="L3715" t="s">
        <v>74</v>
      </c>
      <c r="M3715" t="s">
        <v>85</v>
      </c>
      <c r="R3715" t="s">
        <v>20284</v>
      </c>
      <c r="W3715" t="s">
        <v>20282</v>
      </c>
      <c r="X3715" t="s">
        <v>5307</v>
      </c>
      <c r="Y3715" t="s">
        <v>97</v>
      </c>
      <c r="Z3715" t="s">
        <v>77</v>
      </c>
      <c r="AA3715" t="str">
        <f>"10003-0000"</f>
        <v>10003-0000</v>
      </c>
      <c r="AB3715" t="s">
        <v>78</v>
      </c>
      <c r="AC3715" t="s">
        <v>79</v>
      </c>
      <c r="AD3715" t="s">
        <v>75</v>
      </c>
      <c r="AE3715" t="s">
        <v>80</v>
      </c>
      <c r="AG3715" t="s">
        <v>81</v>
      </c>
    </row>
    <row r="3716" spans="1:33" x14ac:dyDescent="0.25">
      <c r="A3716" t="str">
        <f>"1609869569"</f>
        <v>1609869569</v>
      </c>
      <c r="B3716" t="str">
        <f>"01197451"</f>
        <v>01197451</v>
      </c>
      <c r="C3716" t="s">
        <v>13436</v>
      </c>
      <c r="D3716" t="s">
        <v>20285</v>
      </c>
      <c r="E3716" t="s">
        <v>20286</v>
      </c>
      <c r="G3716" t="s">
        <v>20287</v>
      </c>
      <c r="L3716" t="s">
        <v>83</v>
      </c>
      <c r="M3716" t="s">
        <v>85</v>
      </c>
      <c r="R3716" t="s">
        <v>20288</v>
      </c>
      <c r="W3716" t="s">
        <v>20286</v>
      </c>
      <c r="X3716" t="s">
        <v>4640</v>
      </c>
      <c r="Y3716" t="s">
        <v>97</v>
      </c>
      <c r="Z3716" t="s">
        <v>77</v>
      </c>
      <c r="AA3716" t="str">
        <f>"10019-8022"</f>
        <v>10019-8022</v>
      </c>
      <c r="AB3716" t="s">
        <v>78</v>
      </c>
      <c r="AC3716" t="s">
        <v>79</v>
      </c>
      <c r="AD3716" t="s">
        <v>75</v>
      </c>
      <c r="AE3716" t="s">
        <v>80</v>
      </c>
      <c r="AG3716" t="s">
        <v>81</v>
      </c>
    </row>
    <row r="3717" spans="1:33" x14ac:dyDescent="0.25">
      <c r="A3717" t="str">
        <f>"1609949247"</f>
        <v>1609949247</v>
      </c>
      <c r="B3717" t="str">
        <f>"01706885"</f>
        <v>01706885</v>
      </c>
      <c r="C3717" t="s">
        <v>13436</v>
      </c>
      <c r="D3717" t="s">
        <v>20289</v>
      </c>
      <c r="E3717" t="s">
        <v>20290</v>
      </c>
      <c r="G3717" t="s">
        <v>20291</v>
      </c>
      <c r="L3717" t="s">
        <v>83</v>
      </c>
      <c r="M3717" t="s">
        <v>85</v>
      </c>
      <c r="R3717" t="s">
        <v>20292</v>
      </c>
      <c r="W3717" t="s">
        <v>20290</v>
      </c>
      <c r="X3717" t="s">
        <v>181</v>
      </c>
      <c r="Y3717" t="s">
        <v>97</v>
      </c>
      <c r="Z3717" t="s">
        <v>77</v>
      </c>
      <c r="AA3717" t="str">
        <f>"10025-1716"</f>
        <v>10025-1716</v>
      </c>
      <c r="AB3717" t="s">
        <v>78</v>
      </c>
      <c r="AC3717" t="s">
        <v>79</v>
      </c>
      <c r="AD3717" t="s">
        <v>75</v>
      </c>
      <c r="AE3717" t="s">
        <v>80</v>
      </c>
      <c r="AG3717" t="s">
        <v>81</v>
      </c>
    </row>
    <row r="3718" spans="1:33" x14ac:dyDescent="0.25">
      <c r="A3718" t="str">
        <f>"1619026572"</f>
        <v>1619026572</v>
      </c>
      <c r="B3718" t="str">
        <f>"02840040"</f>
        <v>02840040</v>
      </c>
      <c r="C3718" t="s">
        <v>13436</v>
      </c>
      <c r="D3718" t="s">
        <v>20293</v>
      </c>
      <c r="E3718" t="s">
        <v>20294</v>
      </c>
      <c r="G3718" t="s">
        <v>20295</v>
      </c>
      <c r="L3718" t="s">
        <v>84</v>
      </c>
      <c r="M3718" t="s">
        <v>85</v>
      </c>
      <c r="R3718" t="s">
        <v>20296</v>
      </c>
      <c r="W3718" t="s">
        <v>20294</v>
      </c>
      <c r="X3718" t="s">
        <v>648</v>
      </c>
      <c r="Y3718" t="s">
        <v>97</v>
      </c>
      <c r="Z3718" t="s">
        <v>77</v>
      </c>
      <c r="AA3718" t="str">
        <f>"10037-1802"</f>
        <v>10037-1802</v>
      </c>
      <c r="AB3718" t="s">
        <v>78</v>
      </c>
      <c r="AC3718" t="s">
        <v>79</v>
      </c>
      <c r="AD3718" t="s">
        <v>75</v>
      </c>
      <c r="AE3718" t="s">
        <v>80</v>
      </c>
      <c r="AG3718" t="s">
        <v>81</v>
      </c>
    </row>
    <row r="3719" spans="1:33" x14ac:dyDescent="0.25">
      <c r="A3719" t="str">
        <f>"1619049780"</f>
        <v>1619049780</v>
      </c>
      <c r="B3719" t="str">
        <f>"02847450"</f>
        <v>02847450</v>
      </c>
      <c r="C3719" t="s">
        <v>13436</v>
      </c>
      <c r="D3719" t="s">
        <v>20297</v>
      </c>
      <c r="E3719" t="s">
        <v>20298</v>
      </c>
      <c r="G3719" t="s">
        <v>20299</v>
      </c>
      <c r="L3719" t="s">
        <v>83</v>
      </c>
      <c r="M3719" t="s">
        <v>85</v>
      </c>
      <c r="R3719" t="s">
        <v>20300</v>
      </c>
      <c r="W3719" t="s">
        <v>20301</v>
      </c>
      <c r="X3719" t="s">
        <v>12648</v>
      </c>
      <c r="Y3719" t="s">
        <v>97</v>
      </c>
      <c r="Z3719" t="s">
        <v>77</v>
      </c>
      <c r="AA3719" t="str">
        <f>"10003"</f>
        <v>10003</v>
      </c>
      <c r="AB3719" t="s">
        <v>78</v>
      </c>
      <c r="AC3719" t="s">
        <v>79</v>
      </c>
      <c r="AD3719" t="s">
        <v>75</v>
      </c>
      <c r="AE3719" t="s">
        <v>80</v>
      </c>
      <c r="AG3719" t="s">
        <v>81</v>
      </c>
    </row>
    <row r="3720" spans="1:33" x14ac:dyDescent="0.25">
      <c r="A3720" t="str">
        <f>"1619079290"</f>
        <v>1619079290</v>
      </c>
      <c r="B3720" t="str">
        <f>"01425667"</f>
        <v>01425667</v>
      </c>
      <c r="C3720" t="s">
        <v>13436</v>
      </c>
      <c r="D3720" t="s">
        <v>20302</v>
      </c>
      <c r="E3720" t="s">
        <v>20303</v>
      </c>
      <c r="G3720" t="s">
        <v>20304</v>
      </c>
      <c r="L3720" t="s">
        <v>83</v>
      </c>
      <c r="M3720" t="s">
        <v>85</v>
      </c>
      <c r="R3720" t="s">
        <v>20305</v>
      </c>
      <c r="W3720" t="s">
        <v>20303</v>
      </c>
      <c r="X3720" t="s">
        <v>3446</v>
      </c>
      <c r="Y3720" t="s">
        <v>97</v>
      </c>
      <c r="Z3720" t="s">
        <v>77</v>
      </c>
      <c r="AA3720" t="str">
        <f>"10065-8183"</f>
        <v>10065-8183</v>
      </c>
      <c r="AB3720" t="s">
        <v>78</v>
      </c>
      <c r="AC3720" t="s">
        <v>79</v>
      </c>
      <c r="AD3720" t="s">
        <v>75</v>
      </c>
      <c r="AE3720" t="s">
        <v>80</v>
      </c>
      <c r="AG3720" t="s">
        <v>81</v>
      </c>
    </row>
    <row r="3721" spans="1:33" x14ac:dyDescent="0.25">
      <c r="A3721" t="str">
        <f>"1619095759"</f>
        <v>1619095759</v>
      </c>
      <c r="B3721" t="str">
        <f>"03052559"</f>
        <v>03052559</v>
      </c>
      <c r="C3721" t="s">
        <v>13436</v>
      </c>
      <c r="D3721" t="s">
        <v>20306</v>
      </c>
      <c r="E3721" t="s">
        <v>20307</v>
      </c>
      <c r="G3721" t="s">
        <v>20308</v>
      </c>
      <c r="L3721" t="s">
        <v>105</v>
      </c>
      <c r="M3721" t="s">
        <v>85</v>
      </c>
      <c r="R3721" t="s">
        <v>20309</v>
      </c>
      <c r="W3721" t="s">
        <v>20307</v>
      </c>
      <c r="X3721" t="s">
        <v>181</v>
      </c>
      <c r="Y3721" t="s">
        <v>97</v>
      </c>
      <c r="Z3721" t="s">
        <v>77</v>
      </c>
      <c r="AA3721" t="str">
        <f>"10025-1716"</f>
        <v>10025-1716</v>
      </c>
      <c r="AB3721" t="s">
        <v>78</v>
      </c>
      <c r="AC3721" t="s">
        <v>79</v>
      </c>
      <c r="AD3721" t="s">
        <v>75</v>
      </c>
      <c r="AE3721" t="s">
        <v>80</v>
      </c>
      <c r="AG3721" t="s">
        <v>81</v>
      </c>
    </row>
    <row r="3722" spans="1:33" x14ac:dyDescent="0.25">
      <c r="A3722" t="str">
        <f>"1619934072"</f>
        <v>1619934072</v>
      </c>
      <c r="B3722" t="str">
        <f>"02404406"</f>
        <v>02404406</v>
      </c>
      <c r="C3722" t="s">
        <v>13436</v>
      </c>
      <c r="D3722" t="s">
        <v>20310</v>
      </c>
      <c r="E3722" t="s">
        <v>20311</v>
      </c>
      <c r="G3722" t="s">
        <v>20312</v>
      </c>
      <c r="L3722" t="s">
        <v>74</v>
      </c>
      <c r="M3722" t="s">
        <v>85</v>
      </c>
      <c r="R3722" t="s">
        <v>20313</v>
      </c>
      <c r="W3722" t="s">
        <v>20311</v>
      </c>
      <c r="X3722" t="s">
        <v>3553</v>
      </c>
      <c r="Y3722" t="s">
        <v>97</v>
      </c>
      <c r="Z3722" t="s">
        <v>77</v>
      </c>
      <c r="AA3722" t="str">
        <f>"10003-3851"</f>
        <v>10003-3851</v>
      </c>
      <c r="AB3722" t="s">
        <v>78</v>
      </c>
      <c r="AC3722" t="s">
        <v>79</v>
      </c>
      <c r="AD3722" t="s">
        <v>75</v>
      </c>
      <c r="AE3722" t="s">
        <v>80</v>
      </c>
      <c r="AG3722" t="s">
        <v>81</v>
      </c>
    </row>
    <row r="3723" spans="1:33" x14ac:dyDescent="0.25">
      <c r="A3723" t="str">
        <f>"1619943248"</f>
        <v>1619943248</v>
      </c>
      <c r="B3723" t="str">
        <f>"02457454"</f>
        <v>02457454</v>
      </c>
      <c r="C3723" t="s">
        <v>13436</v>
      </c>
      <c r="D3723" t="s">
        <v>20314</v>
      </c>
      <c r="E3723" t="s">
        <v>20315</v>
      </c>
      <c r="G3723" t="s">
        <v>20316</v>
      </c>
      <c r="L3723" t="s">
        <v>83</v>
      </c>
      <c r="M3723" t="s">
        <v>85</v>
      </c>
      <c r="R3723" t="s">
        <v>20315</v>
      </c>
      <c r="W3723" t="s">
        <v>20315</v>
      </c>
      <c r="X3723" t="s">
        <v>20315</v>
      </c>
      <c r="Y3723" t="s">
        <v>97</v>
      </c>
      <c r="Z3723" t="s">
        <v>77</v>
      </c>
      <c r="AA3723" t="str">
        <f>"10029"</f>
        <v>10029</v>
      </c>
      <c r="AB3723" t="s">
        <v>78</v>
      </c>
      <c r="AC3723" t="s">
        <v>79</v>
      </c>
      <c r="AD3723" t="s">
        <v>75</v>
      </c>
      <c r="AE3723" t="s">
        <v>80</v>
      </c>
      <c r="AG3723" t="s">
        <v>81</v>
      </c>
    </row>
    <row r="3724" spans="1:33" x14ac:dyDescent="0.25">
      <c r="A3724" t="str">
        <f>"1447249016"</f>
        <v>1447249016</v>
      </c>
      <c r="B3724" t="str">
        <f>"02350530"</f>
        <v>02350530</v>
      </c>
      <c r="C3724" t="s">
        <v>13436</v>
      </c>
      <c r="D3724" t="s">
        <v>20317</v>
      </c>
      <c r="E3724" t="s">
        <v>20318</v>
      </c>
      <c r="G3724" t="s">
        <v>20319</v>
      </c>
      <c r="L3724" t="s">
        <v>84</v>
      </c>
      <c r="M3724" t="s">
        <v>85</v>
      </c>
      <c r="R3724" t="s">
        <v>20320</v>
      </c>
      <c r="W3724" t="s">
        <v>20318</v>
      </c>
      <c r="X3724" t="s">
        <v>14588</v>
      </c>
      <c r="Y3724" t="s">
        <v>97</v>
      </c>
      <c r="Z3724" t="s">
        <v>77</v>
      </c>
      <c r="AA3724" t="str">
        <f>"10003-3314"</f>
        <v>10003-3314</v>
      </c>
      <c r="AB3724" t="s">
        <v>78</v>
      </c>
      <c r="AC3724" t="s">
        <v>79</v>
      </c>
      <c r="AD3724" t="s">
        <v>75</v>
      </c>
      <c r="AE3724" t="s">
        <v>80</v>
      </c>
      <c r="AG3724" t="s">
        <v>81</v>
      </c>
    </row>
    <row r="3725" spans="1:33" x14ac:dyDescent="0.25">
      <c r="A3725" t="str">
        <f>"1447285184"</f>
        <v>1447285184</v>
      </c>
      <c r="B3725" t="str">
        <f>"02132901"</f>
        <v>02132901</v>
      </c>
      <c r="C3725" t="s">
        <v>13436</v>
      </c>
      <c r="D3725" t="s">
        <v>20321</v>
      </c>
      <c r="E3725" t="s">
        <v>20322</v>
      </c>
      <c r="G3725" t="s">
        <v>20323</v>
      </c>
      <c r="L3725" t="s">
        <v>74</v>
      </c>
      <c r="M3725" t="s">
        <v>85</v>
      </c>
      <c r="R3725" t="s">
        <v>20324</v>
      </c>
      <c r="W3725" t="s">
        <v>20322</v>
      </c>
      <c r="X3725" t="s">
        <v>20325</v>
      </c>
      <c r="Y3725" t="s">
        <v>97</v>
      </c>
      <c r="Z3725" t="s">
        <v>77</v>
      </c>
      <c r="AA3725" t="str">
        <f>"10032-0001"</f>
        <v>10032-0001</v>
      </c>
      <c r="AB3725" t="s">
        <v>78</v>
      </c>
      <c r="AC3725" t="s">
        <v>79</v>
      </c>
      <c r="AD3725" t="s">
        <v>75</v>
      </c>
      <c r="AE3725" t="s">
        <v>80</v>
      </c>
      <c r="AG3725" t="s">
        <v>81</v>
      </c>
    </row>
    <row r="3726" spans="1:33" x14ac:dyDescent="0.25">
      <c r="A3726" t="str">
        <f>"1710921911"</f>
        <v>1710921911</v>
      </c>
      <c r="B3726" t="str">
        <f>"03375748"</f>
        <v>03375748</v>
      </c>
      <c r="C3726" t="s">
        <v>13436</v>
      </c>
      <c r="D3726" t="s">
        <v>20326</v>
      </c>
      <c r="E3726" t="s">
        <v>20327</v>
      </c>
      <c r="G3726" t="s">
        <v>20328</v>
      </c>
      <c r="L3726" t="s">
        <v>74</v>
      </c>
      <c r="M3726" t="s">
        <v>85</v>
      </c>
      <c r="R3726" t="s">
        <v>20329</v>
      </c>
      <c r="W3726" t="s">
        <v>20327</v>
      </c>
      <c r="X3726" t="s">
        <v>3553</v>
      </c>
      <c r="Y3726" t="s">
        <v>97</v>
      </c>
      <c r="Z3726" t="s">
        <v>77</v>
      </c>
      <c r="AA3726" t="str">
        <f>"10003-3851"</f>
        <v>10003-3851</v>
      </c>
      <c r="AB3726" t="s">
        <v>78</v>
      </c>
      <c r="AC3726" t="s">
        <v>79</v>
      </c>
      <c r="AD3726" t="s">
        <v>75</v>
      </c>
      <c r="AE3726" t="s">
        <v>80</v>
      </c>
      <c r="AG3726" t="s">
        <v>81</v>
      </c>
    </row>
    <row r="3727" spans="1:33" x14ac:dyDescent="0.25">
      <c r="A3727" t="str">
        <f>"1710934187"</f>
        <v>1710934187</v>
      </c>
      <c r="B3727" t="str">
        <f>"03130958"</f>
        <v>03130958</v>
      </c>
      <c r="C3727" t="s">
        <v>13436</v>
      </c>
      <c r="D3727" t="s">
        <v>20330</v>
      </c>
      <c r="E3727" t="s">
        <v>20331</v>
      </c>
      <c r="G3727" t="s">
        <v>20332</v>
      </c>
      <c r="L3727" t="s">
        <v>83</v>
      </c>
      <c r="M3727" t="s">
        <v>85</v>
      </c>
      <c r="R3727" t="s">
        <v>20333</v>
      </c>
      <c r="W3727" t="s">
        <v>20334</v>
      </c>
      <c r="X3727" t="s">
        <v>20335</v>
      </c>
      <c r="Y3727" t="s">
        <v>97</v>
      </c>
      <c r="Z3727" t="s">
        <v>77</v>
      </c>
      <c r="AA3727" t="str">
        <f>"10003-2666"</f>
        <v>10003-2666</v>
      </c>
      <c r="AB3727" t="s">
        <v>78</v>
      </c>
      <c r="AC3727" t="s">
        <v>79</v>
      </c>
      <c r="AD3727" t="s">
        <v>75</v>
      </c>
      <c r="AE3727" t="s">
        <v>80</v>
      </c>
      <c r="AG3727" t="s">
        <v>81</v>
      </c>
    </row>
    <row r="3728" spans="1:33" x14ac:dyDescent="0.25">
      <c r="A3728" t="str">
        <f>"1710951694"</f>
        <v>1710951694</v>
      </c>
      <c r="B3728" t="str">
        <f>"01050435"</f>
        <v>01050435</v>
      </c>
      <c r="C3728" t="s">
        <v>13436</v>
      </c>
      <c r="D3728" t="s">
        <v>20336</v>
      </c>
      <c r="E3728" t="s">
        <v>20337</v>
      </c>
      <c r="G3728" t="s">
        <v>20338</v>
      </c>
      <c r="L3728" t="s">
        <v>94</v>
      </c>
      <c r="M3728" t="s">
        <v>85</v>
      </c>
      <c r="R3728" t="s">
        <v>20339</v>
      </c>
      <c r="W3728" t="s">
        <v>20337</v>
      </c>
      <c r="X3728" t="s">
        <v>20340</v>
      </c>
      <c r="Y3728" t="s">
        <v>97</v>
      </c>
      <c r="Z3728" t="s">
        <v>77</v>
      </c>
      <c r="AA3728" t="str">
        <f>"10016-8318"</f>
        <v>10016-8318</v>
      </c>
      <c r="AB3728" t="s">
        <v>78</v>
      </c>
      <c r="AC3728" t="s">
        <v>79</v>
      </c>
      <c r="AD3728" t="s">
        <v>75</v>
      </c>
      <c r="AE3728" t="s">
        <v>80</v>
      </c>
      <c r="AG3728" t="s">
        <v>81</v>
      </c>
    </row>
    <row r="3729" spans="1:33" x14ac:dyDescent="0.25">
      <c r="A3729" t="str">
        <f>"1386859221"</f>
        <v>1386859221</v>
      </c>
      <c r="B3729" t="str">
        <f>"00568878"</f>
        <v>00568878</v>
      </c>
      <c r="C3729" t="s">
        <v>20341</v>
      </c>
      <c r="D3729" t="s">
        <v>2234</v>
      </c>
      <c r="E3729" t="s">
        <v>2235</v>
      </c>
      <c r="H3729" t="s">
        <v>20342</v>
      </c>
      <c r="J3729" t="s">
        <v>20343</v>
      </c>
      <c r="L3729" t="s">
        <v>74</v>
      </c>
      <c r="M3729" t="s">
        <v>75</v>
      </c>
      <c r="R3729" t="s">
        <v>2233</v>
      </c>
      <c r="W3729" t="s">
        <v>2236</v>
      </c>
      <c r="X3729" t="s">
        <v>2237</v>
      </c>
      <c r="Y3729" t="s">
        <v>441</v>
      </c>
      <c r="Z3729" t="s">
        <v>77</v>
      </c>
      <c r="AA3729" t="str">
        <f>"10538-0000"</f>
        <v>10538-0000</v>
      </c>
      <c r="AB3729" t="s">
        <v>82</v>
      </c>
      <c r="AC3729" t="s">
        <v>79</v>
      </c>
      <c r="AD3729" t="s">
        <v>75</v>
      </c>
      <c r="AE3729" t="s">
        <v>80</v>
      </c>
      <c r="AG3729" t="s">
        <v>81</v>
      </c>
    </row>
    <row r="3730" spans="1:33" x14ac:dyDescent="0.25">
      <c r="A3730" t="str">
        <f>"1861460818"</f>
        <v>1861460818</v>
      </c>
      <c r="B3730" t="str">
        <f>"02729615"</f>
        <v>02729615</v>
      </c>
      <c r="C3730" t="s">
        <v>20344</v>
      </c>
      <c r="D3730" t="s">
        <v>986</v>
      </c>
      <c r="E3730" t="s">
        <v>987</v>
      </c>
      <c r="H3730" t="s">
        <v>639</v>
      </c>
      <c r="J3730" t="s">
        <v>20345</v>
      </c>
      <c r="L3730" t="s">
        <v>74</v>
      </c>
      <c r="M3730" t="s">
        <v>85</v>
      </c>
      <c r="R3730" t="s">
        <v>985</v>
      </c>
      <c r="W3730" t="s">
        <v>987</v>
      </c>
      <c r="X3730" t="s">
        <v>638</v>
      </c>
      <c r="Y3730" t="s">
        <v>131</v>
      </c>
      <c r="Z3730" t="s">
        <v>77</v>
      </c>
      <c r="AA3730" t="str">
        <f>"10453-4303"</f>
        <v>10453-4303</v>
      </c>
      <c r="AB3730" t="s">
        <v>78</v>
      </c>
      <c r="AC3730" t="s">
        <v>79</v>
      </c>
      <c r="AD3730" t="s">
        <v>75</v>
      </c>
      <c r="AE3730" t="s">
        <v>80</v>
      </c>
      <c r="AG3730" t="s">
        <v>81</v>
      </c>
    </row>
    <row r="3731" spans="1:33" x14ac:dyDescent="0.25">
      <c r="A3731" t="str">
        <f>"1902035272"</f>
        <v>1902035272</v>
      </c>
      <c r="B3731" t="str">
        <f>"04180618"</f>
        <v>04180618</v>
      </c>
      <c r="C3731" t="s">
        <v>20346</v>
      </c>
      <c r="D3731" t="s">
        <v>20347</v>
      </c>
      <c r="E3731" t="s">
        <v>20348</v>
      </c>
      <c r="G3731" t="s">
        <v>13515</v>
      </c>
      <c r="H3731" t="s">
        <v>498</v>
      </c>
      <c r="J3731" t="s">
        <v>13516</v>
      </c>
      <c r="L3731" t="s">
        <v>105</v>
      </c>
      <c r="M3731" t="s">
        <v>75</v>
      </c>
      <c r="R3731" t="s">
        <v>20349</v>
      </c>
      <c r="W3731" t="s">
        <v>20348</v>
      </c>
      <c r="X3731" t="s">
        <v>187</v>
      </c>
      <c r="Y3731" t="s">
        <v>161</v>
      </c>
      <c r="Z3731" t="s">
        <v>77</v>
      </c>
      <c r="AA3731" t="str">
        <f>"11040-1402"</f>
        <v>11040-1402</v>
      </c>
      <c r="AB3731" t="s">
        <v>78</v>
      </c>
      <c r="AC3731" t="s">
        <v>79</v>
      </c>
      <c r="AD3731" t="s">
        <v>75</v>
      </c>
      <c r="AE3731" t="s">
        <v>80</v>
      </c>
      <c r="AG3731" t="s">
        <v>81</v>
      </c>
    </row>
    <row r="3732" spans="1:33" x14ac:dyDescent="0.25">
      <c r="A3732" t="str">
        <f>"1396802815"</f>
        <v>1396802815</v>
      </c>
      <c r="C3732" t="s">
        <v>20350</v>
      </c>
      <c r="G3732" t="s">
        <v>13515</v>
      </c>
      <c r="H3732" t="s">
        <v>498</v>
      </c>
      <c r="J3732" t="s">
        <v>13516</v>
      </c>
      <c r="K3732" t="s">
        <v>99</v>
      </c>
      <c r="L3732" t="s">
        <v>74</v>
      </c>
      <c r="M3732" t="s">
        <v>75</v>
      </c>
      <c r="S3732" t="s">
        <v>17552</v>
      </c>
      <c r="T3732" t="s">
        <v>286</v>
      </c>
      <c r="U3732" t="s">
        <v>77</v>
      </c>
      <c r="V3732" t="str">
        <f>"11420"</f>
        <v>11420</v>
      </c>
      <c r="AC3732" t="s">
        <v>79</v>
      </c>
      <c r="AD3732" t="s">
        <v>75</v>
      </c>
      <c r="AE3732" t="s">
        <v>103</v>
      </c>
      <c r="AG3732" t="s">
        <v>81</v>
      </c>
    </row>
    <row r="3733" spans="1:33" x14ac:dyDescent="0.25">
      <c r="A3733" t="str">
        <f>"1154406841"</f>
        <v>1154406841</v>
      </c>
      <c r="B3733" t="str">
        <f>"00980841"</f>
        <v>00980841</v>
      </c>
      <c r="C3733" t="s">
        <v>20351</v>
      </c>
      <c r="D3733" t="s">
        <v>20352</v>
      </c>
      <c r="E3733" t="s">
        <v>20353</v>
      </c>
      <c r="G3733" t="s">
        <v>13515</v>
      </c>
      <c r="H3733" t="s">
        <v>498</v>
      </c>
      <c r="J3733" t="s">
        <v>13516</v>
      </c>
      <c r="L3733" t="s">
        <v>105</v>
      </c>
      <c r="M3733" t="s">
        <v>75</v>
      </c>
      <c r="R3733" t="s">
        <v>20354</v>
      </c>
      <c r="W3733" t="s">
        <v>20353</v>
      </c>
      <c r="X3733" t="s">
        <v>20355</v>
      </c>
      <c r="Y3733" t="s">
        <v>1960</v>
      </c>
      <c r="Z3733" t="s">
        <v>77</v>
      </c>
      <c r="AA3733" t="str">
        <f>"11598-2709"</f>
        <v>11598-2709</v>
      </c>
      <c r="AB3733" t="s">
        <v>78</v>
      </c>
      <c r="AC3733" t="s">
        <v>79</v>
      </c>
      <c r="AD3733" t="s">
        <v>75</v>
      </c>
      <c r="AE3733" t="s">
        <v>80</v>
      </c>
      <c r="AG3733" t="s">
        <v>81</v>
      </c>
    </row>
    <row r="3734" spans="1:33" x14ac:dyDescent="0.25">
      <c r="A3734" t="str">
        <f>"1336192228"</f>
        <v>1336192228</v>
      </c>
      <c r="B3734" t="str">
        <f>"01428308"</f>
        <v>01428308</v>
      </c>
      <c r="C3734" t="s">
        <v>20356</v>
      </c>
      <c r="D3734" t="s">
        <v>20357</v>
      </c>
      <c r="E3734" t="s">
        <v>20358</v>
      </c>
      <c r="G3734" t="s">
        <v>13504</v>
      </c>
      <c r="H3734" t="s">
        <v>13505</v>
      </c>
      <c r="J3734" t="s">
        <v>13506</v>
      </c>
      <c r="L3734" t="s">
        <v>74</v>
      </c>
      <c r="M3734" t="s">
        <v>75</v>
      </c>
      <c r="R3734" t="s">
        <v>20359</v>
      </c>
      <c r="W3734" t="s">
        <v>20358</v>
      </c>
      <c r="X3734" t="s">
        <v>20360</v>
      </c>
      <c r="Y3734" t="s">
        <v>87</v>
      </c>
      <c r="Z3734" t="s">
        <v>77</v>
      </c>
      <c r="AA3734" t="str">
        <f>"11212-4751"</f>
        <v>11212-4751</v>
      </c>
      <c r="AB3734" t="s">
        <v>78</v>
      </c>
      <c r="AC3734" t="s">
        <v>79</v>
      </c>
      <c r="AD3734" t="s">
        <v>75</v>
      </c>
      <c r="AE3734" t="s">
        <v>80</v>
      </c>
      <c r="AG3734" t="s">
        <v>81</v>
      </c>
    </row>
    <row r="3735" spans="1:33" x14ac:dyDescent="0.25">
      <c r="A3735" t="str">
        <f>"1891758660"</f>
        <v>1891758660</v>
      </c>
      <c r="B3735" t="str">
        <f>"01723844"</f>
        <v>01723844</v>
      </c>
      <c r="C3735" t="s">
        <v>20361</v>
      </c>
      <c r="D3735" t="s">
        <v>20362</v>
      </c>
      <c r="E3735" t="s">
        <v>20363</v>
      </c>
      <c r="G3735" t="s">
        <v>13504</v>
      </c>
      <c r="H3735" t="s">
        <v>13505</v>
      </c>
      <c r="J3735" t="s">
        <v>13506</v>
      </c>
      <c r="L3735" t="s">
        <v>83</v>
      </c>
      <c r="M3735" t="s">
        <v>75</v>
      </c>
      <c r="R3735" t="s">
        <v>20364</v>
      </c>
      <c r="W3735" t="s">
        <v>20363</v>
      </c>
      <c r="X3735" t="s">
        <v>20365</v>
      </c>
      <c r="Y3735" t="s">
        <v>20366</v>
      </c>
      <c r="Z3735" t="s">
        <v>77</v>
      </c>
      <c r="AA3735" t="str">
        <f>"11753-1142"</f>
        <v>11753-1142</v>
      </c>
      <c r="AB3735" t="s">
        <v>78</v>
      </c>
      <c r="AC3735" t="s">
        <v>79</v>
      </c>
      <c r="AD3735" t="s">
        <v>75</v>
      </c>
      <c r="AE3735" t="s">
        <v>80</v>
      </c>
      <c r="AG3735" t="s">
        <v>81</v>
      </c>
    </row>
    <row r="3736" spans="1:33" x14ac:dyDescent="0.25">
      <c r="A3736" t="str">
        <f>"1215933528"</f>
        <v>1215933528</v>
      </c>
      <c r="B3736" t="str">
        <f>"01455994"</f>
        <v>01455994</v>
      </c>
      <c r="C3736" t="s">
        <v>20367</v>
      </c>
      <c r="D3736" t="s">
        <v>20368</v>
      </c>
      <c r="E3736" t="s">
        <v>20369</v>
      </c>
      <c r="G3736" t="s">
        <v>13504</v>
      </c>
      <c r="H3736" t="s">
        <v>13505</v>
      </c>
      <c r="J3736" t="s">
        <v>13506</v>
      </c>
      <c r="L3736" t="s">
        <v>83</v>
      </c>
      <c r="M3736" t="s">
        <v>75</v>
      </c>
      <c r="R3736" t="s">
        <v>20370</v>
      </c>
      <c r="W3736" t="s">
        <v>20371</v>
      </c>
      <c r="X3736" t="s">
        <v>187</v>
      </c>
      <c r="Y3736" t="s">
        <v>161</v>
      </c>
      <c r="Z3736" t="s">
        <v>77</v>
      </c>
      <c r="AA3736" t="str">
        <f>"11040-1402"</f>
        <v>11040-1402</v>
      </c>
      <c r="AB3736" t="s">
        <v>78</v>
      </c>
      <c r="AC3736" t="s">
        <v>79</v>
      </c>
      <c r="AD3736" t="s">
        <v>75</v>
      </c>
      <c r="AE3736" t="s">
        <v>80</v>
      </c>
      <c r="AG3736" t="s">
        <v>81</v>
      </c>
    </row>
    <row r="3737" spans="1:33" x14ac:dyDescent="0.25">
      <c r="A3737" t="str">
        <f>"1780803478"</f>
        <v>1780803478</v>
      </c>
      <c r="B3737" t="str">
        <f>"00885263"</f>
        <v>00885263</v>
      </c>
      <c r="C3737" t="s">
        <v>20372</v>
      </c>
      <c r="D3737" t="s">
        <v>3201</v>
      </c>
      <c r="E3737" t="s">
        <v>3202</v>
      </c>
      <c r="G3737" t="s">
        <v>19413</v>
      </c>
      <c r="H3737" t="s">
        <v>1084</v>
      </c>
      <c r="I3737">
        <v>160</v>
      </c>
      <c r="J3737" t="s">
        <v>2757</v>
      </c>
      <c r="L3737" t="s">
        <v>105</v>
      </c>
      <c r="M3737" t="s">
        <v>85</v>
      </c>
      <c r="R3737" t="s">
        <v>3203</v>
      </c>
      <c r="W3737" t="s">
        <v>3203</v>
      </c>
      <c r="X3737" t="s">
        <v>1671</v>
      </c>
      <c r="Y3737" t="s">
        <v>97</v>
      </c>
      <c r="Z3737" t="s">
        <v>77</v>
      </c>
      <c r="AA3737" t="str">
        <f>"10031-4611"</f>
        <v>10031-4611</v>
      </c>
      <c r="AB3737" t="s">
        <v>78</v>
      </c>
      <c r="AC3737" t="s">
        <v>79</v>
      </c>
      <c r="AD3737" t="s">
        <v>75</v>
      </c>
      <c r="AE3737" t="s">
        <v>80</v>
      </c>
      <c r="AG3737" t="s">
        <v>81</v>
      </c>
    </row>
    <row r="3738" spans="1:33" x14ac:dyDescent="0.25">
      <c r="A3738" t="str">
        <f>"1912122318"</f>
        <v>1912122318</v>
      </c>
      <c r="B3738" t="str">
        <f>"02774418"</f>
        <v>02774418</v>
      </c>
      <c r="C3738" t="s">
        <v>20373</v>
      </c>
      <c r="D3738" t="s">
        <v>20374</v>
      </c>
      <c r="E3738" t="s">
        <v>20375</v>
      </c>
      <c r="G3738" t="s">
        <v>17133</v>
      </c>
      <c r="H3738" t="s">
        <v>17233</v>
      </c>
      <c r="I3738">
        <v>7720</v>
      </c>
      <c r="J3738" t="s">
        <v>3397</v>
      </c>
      <c r="L3738" t="s">
        <v>83</v>
      </c>
      <c r="M3738" t="s">
        <v>75</v>
      </c>
      <c r="R3738" t="s">
        <v>20376</v>
      </c>
      <c r="W3738" t="s">
        <v>20375</v>
      </c>
      <c r="X3738" t="s">
        <v>20377</v>
      </c>
      <c r="Y3738" t="s">
        <v>97</v>
      </c>
      <c r="Z3738" t="s">
        <v>77</v>
      </c>
      <c r="AA3738" t="str">
        <f>"10003-0000"</f>
        <v>10003-0000</v>
      </c>
      <c r="AB3738" t="s">
        <v>78</v>
      </c>
      <c r="AC3738" t="s">
        <v>79</v>
      </c>
      <c r="AD3738" t="s">
        <v>75</v>
      </c>
      <c r="AE3738" t="s">
        <v>80</v>
      </c>
      <c r="AG3738" t="s">
        <v>81</v>
      </c>
    </row>
    <row r="3739" spans="1:33" x14ac:dyDescent="0.25">
      <c r="A3739" t="str">
        <f>"1649273194"</f>
        <v>1649273194</v>
      </c>
      <c r="B3739" t="str">
        <f>"00225654"</f>
        <v>00225654</v>
      </c>
      <c r="C3739" t="s">
        <v>20378</v>
      </c>
      <c r="D3739" t="s">
        <v>20379</v>
      </c>
      <c r="E3739" t="s">
        <v>20380</v>
      </c>
      <c r="G3739" t="s">
        <v>20378</v>
      </c>
      <c r="H3739" t="s">
        <v>20381</v>
      </c>
      <c r="L3739" t="s">
        <v>84</v>
      </c>
      <c r="M3739" t="s">
        <v>75</v>
      </c>
      <c r="R3739" t="s">
        <v>20382</v>
      </c>
      <c r="W3739" t="s">
        <v>20380</v>
      </c>
      <c r="X3739" t="s">
        <v>20383</v>
      </c>
      <c r="Y3739" t="s">
        <v>87</v>
      </c>
      <c r="Z3739" t="s">
        <v>77</v>
      </c>
      <c r="AA3739" t="str">
        <f>"11218-6032"</f>
        <v>11218-6032</v>
      </c>
      <c r="AB3739" t="s">
        <v>78</v>
      </c>
      <c r="AC3739" t="s">
        <v>79</v>
      </c>
      <c r="AD3739" t="s">
        <v>75</v>
      </c>
      <c r="AE3739" t="s">
        <v>80</v>
      </c>
      <c r="AG3739" t="s">
        <v>81</v>
      </c>
    </row>
    <row r="3740" spans="1:33" x14ac:dyDescent="0.25">
      <c r="A3740" t="str">
        <f>"1235106527"</f>
        <v>1235106527</v>
      </c>
      <c r="B3740" t="str">
        <f>"02578081"</f>
        <v>02578081</v>
      </c>
      <c r="C3740" t="s">
        <v>20384</v>
      </c>
      <c r="D3740" t="s">
        <v>1903</v>
      </c>
      <c r="E3740" t="s">
        <v>1904</v>
      </c>
      <c r="G3740" t="s">
        <v>20384</v>
      </c>
      <c r="H3740" t="s">
        <v>20385</v>
      </c>
      <c r="L3740" t="s">
        <v>84</v>
      </c>
      <c r="M3740" t="s">
        <v>85</v>
      </c>
      <c r="R3740" t="s">
        <v>1902</v>
      </c>
      <c r="W3740" t="s">
        <v>1904</v>
      </c>
      <c r="X3740" t="s">
        <v>318</v>
      </c>
      <c r="Y3740" t="s">
        <v>131</v>
      </c>
      <c r="Z3740" t="s">
        <v>77</v>
      </c>
      <c r="AA3740" t="str">
        <f>"10457-7606"</f>
        <v>10457-7606</v>
      </c>
      <c r="AB3740" t="s">
        <v>78</v>
      </c>
      <c r="AC3740" t="s">
        <v>79</v>
      </c>
      <c r="AD3740" t="s">
        <v>75</v>
      </c>
      <c r="AE3740" t="s">
        <v>80</v>
      </c>
      <c r="AG3740" t="s">
        <v>81</v>
      </c>
    </row>
    <row r="3741" spans="1:33" x14ac:dyDescent="0.25">
      <c r="A3741" t="str">
        <f>"1770858136"</f>
        <v>1770858136</v>
      </c>
      <c r="B3741" t="str">
        <f>"04251598"</f>
        <v>04251598</v>
      </c>
      <c r="C3741" t="s">
        <v>13436</v>
      </c>
      <c r="D3741" t="s">
        <v>20386</v>
      </c>
      <c r="E3741" t="s">
        <v>20387</v>
      </c>
      <c r="G3741" t="s">
        <v>20388</v>
      </c>
      <c r="L3741" t="s">
        <v>74</v>
      </c>
      <c r="M3741" t="s">
        <v>75</v>
      </c>
      <c r="R3741" t="s">
        <v>20389</v>
      </c>
      <c r="W3741" t="s">
        <v>20390</v>
      </c>
      <c r="X3741" t="s">
        <v>19509</v>
      </c>
      <c r="Y3741" t="s">
        <v>161</v>
      </c>
      <c r="Z3741" t="s">
        <v>77</v>
      </c>
      <c r="AA3741" t="str">
        <f>"11040-1402"</f>
        <v>11040-1402</v>
      </c>
      <c r="AB3741" t="s">
        <v>78</v>
      </c>
      <c r="AC3741" t="s">
        <v>79</v>
      </c>
      <c r="AD3741" t="s">
        <v>75</v>
      </c>
      <c r="AE3741" t="s">
        <v>80</v>
      </c>
      <c r="AG3741" t="s">
        <v>81</v>
      </c>
    </row>
    <row r="3742" spans="1:33" x14ac:dyDescent="0.25">
      <c r="A3742" t="str">
        <f>"1770858862"</f>
        <v>1770858862</v>
      </c>
      <c r="C3742" t="s">
        <v>13436</v>
      </c>
      <c r="G3742" t="s">
        <v>20391</v>
      </c>
      <c r="K3742" t="s">
        <v>99</v>
      </c>
      <c r="L3742" t="s">
        <v>102</v>
      </c>
      <c r="M3742" t="s">
        <v>75</v>
      </c>
      <c r="R3742" t="s">
        <v>20392</v>
      </c>
      <c r="S3742" t="s">
        <v>20393</v>
      </c>
      <c r="T3742" t="s">
        <v>97</v>
      </c>
      <c r="U3742" t="s">
        <v>77</v>
      </c>
      <c r="V3742" t="str">
        <f>"100295204"</f>
        <v>100295204</v>
      </c>
      <c r="AC3742" t="s">
        <v>79</v>
      </c>
      <c r="AD3742" t="s">
        <v>75</v>
      </c>
      <c r="AE3742" t="s">
        <v>103</v>
      </c>
      <c r="AG3742" t="s">
        <v>81</v>
      </c>
    </row>
    <row r="3743" spans="1:33" x14ac:dyDescent="0.25">
      <c r="A3743" t="str">
        <f>"1922186204"</f>
        <v>1922186204</v>
      </c>
      <c r="B3743" t="str">
        <f>"01356885"</f>
        <v>01356885</v>
      </c>
      <c r="C3743" t="s">
        <v>13436</v>
      </c>
      <c r="D3743" t="s">
        <v>20394</v>
      </c>
      <c r="E3743" t="s">
        <v>20395</v>
      </c>
      <c r="G3743" t="s">
        <v>20396</v>
      </c>
      <c r="L3743" t="s">
        <v>94</v>
      </c>
      <c r="M3743" t="s">
        <v>85</v>
      </c>
      <c r="R3743" t="s">
        <v>20397</v>
      </c>
      <c r="W3743" t="s">
        <v>20395</v>
      </c>
      <c r="X3743" t="s">
        <v>1807</v>
      </c>
      <c r="Y3743" t="s">
        <v>198</v>
      </c>
      <c r="Z3743" t="s">
        <v>77</v>
      </c>
      <c r="AA3743" t="str">
        <f>"11542-2529"</f>
        <v>11542-2529</v>
      </c>
      <c r="AB3743" t="s">
        <v>78</v>
      </c>
      <c r="AC3743" t="s">
        <v>79</v>
      </c>
      <c r="AD3743" t="s">
        <v>75</v>
      </c>
      <c r="AE3743" t="s">
        <v>80</v>
      </c>
      <c r="AG3743" t="s">
        <v>81</v>
      </c>
    </row>
    <row r="3744" spans="1:33" x14ac:dyDescent="0.25">
      <c r="A3744" t="str">
        <f>"1083608186"</f>
        <v>1083608186</v>
      </c>
      <c r="B3744" t="str">
        <f>"00509086"</f>
        <v>00509086</v>
      </c>
      <c r="C3744" t="s">
        <v>13436</v>
      </c>
      <c r="D3744" t="s">
        <v>5362</v>
      </c>
      <c r="E3744" t="s">
        <v>5363</v>
      </c>
      <c r="G3744" t="s">
        <v>20398</v>
      </c>
      <c r="L3744" t="s">
        <v>83</v>
      </c>
      <c r="M3744" t="s">
        <v>85</v>
      </c>
      <c r="R3744" t="s">
        <v>5364</v>
      </c>
      <c r="W3744" t="s">
        <v>5363</v>
      </c>
      <c r="X3744" t="s">
        <v>242</v>
      </c>
      <c r="Y3744" t="s">
        <v>97</v>
      </c>
      <c r="Z3744" t="s">
        <v>77</v>
      </c>
      <c r="AA3744" t="str">
        <f>"10075-0306"</f>
        <v>10075-0306</v>
      </c>
      <c r="AB3744" t="s">
        <v>78</v>
      </c>
      <c r="AC3744" t="s">
        <v>79</v>
      </c>
      <c r="AD3744" t="s">
        <v>75</v>
      </c>
      <c r="AE3744" t="s">
        <v>80</v>
      </c>
      <c r="AG3744" t="s">
        <v>81</v>
      </c>
    </row>
    <row r="3745" spans="1:33" x14ac:dyDescent="0.25">
      <c r="A3745" t="str">
        <f>"1184726853"</f>
        <v>1184726853</v>
      </c>
      <c r="B3745" t="str">
        <f>"01666260"</f>
        <v>01666260</v>
      </c>
      <c r="C3745" t="s">
        <v>13436</v>
      </c>
      <c r="D3745" t="s">
        <v>20399</v>
      </c>
      <c r="E3745" t="s">
        <v>20400</v>
      </c>
      <c r="G3745" t="s">
        <v>20401</v>
      </c>
      <c r="L3745" t="s">
        <v>83</v>
      </c>
      <c r="M3745" t="s">
        <v>85</v>
      </c>
      <c r="R3745" t="s">
        <v>20402</v>
      </c>
      <c r="W3745" t="s">
        <v>20400</v>
      </c>
      <c r="X3745" t="s">
        <v>20403</v>
      </c>
      <c r="Y3745" t="s">
        <v>236</v>
      </c>
      <c r="Z3745" t="s">
        <v>77</v>
      </c>
      <c r="AA3745" t="str">
        <f>"11106-2406"</f>
        <v>11106-2406</v>
      </c>
      <c r="AB3745" t="s">
        <v>78</v>
      </c>
      <c r="AC3745" t="s">
        <v>79</v>
      </c>
      <c r="AD3745" t="s">
        <v>75</v>
      </c>
      <c r="AE3745" t="s">
        <v>80</v>
      </c>
      <c r="AG3745" t="s">
        <v>81</v>
      </c>
    </row>
    <row r="3746" spans="1:33" x14ac:dyDescent="0.25">
      <c r="A3746" t="str">
        <f>"1205839917"</f>
        <v>1205839917</v>
      </c>
      <c r="B3746" t="str">
        <f>"01093232"</f>
        <v>01093232</v>
      </c>
      <c r="C3746" t="s">
        <v>13436</v>
      </c>
      <c r="D3746" t="s">
        <v>20404</v>
      </c>
      <c r="E3746" t="s">
        <v>20405</v>
      </c>
      <c r="G3746" t="s">
        <v>20406</v>
      </c>
      <c r="L3746" t="s">
        <v>83</v>
      </c>
      <c r="M3746" t="s">
        <v>85</v>
      </c>
      <c r="R3746" t="s">
        <v>20407</v>
      </c>
      <c r="W3746" t="s">
        <v>20405</v>
      </c>
      <c r="X3746" t="s">
        <v>20408</v>
      </c>
      <c r="Y3746" t="s">
        <v>97</v>
      </c>
      <c r="Z3746" t="s">
        <v>77</v>
      </c>
      <c r="AA3746" t="str">
        <f>"10019-1512"</f>
        <v>10019-1512</v>
      </c>
      <c r="AB3746" t="s">
        <v>78</v>
      </c>
      <c r="AC3746" t="s">
        <v>79</v>
      </c>
      <c r="AD3746" t="s">
        <v>75</v>
      </c>
      <c r="AE3746" t="s">
        <v>80</v>
      </c>
      <c r="AG3746" t="s">
        <v>81</v>
      </c>
    </row>
    <row r="3747" spans="1:33" x14ac:dyDescent="0.25">
      <c r="A3747" t="str">
        <f>"1205988706"</f>
        <v>1205988706</v>
      </c>
      <c r="B3747" t="str">
        <f>"01016444"</f>
        <v>01016444</v>
      </c>
      <c r="C3747" t="s">
        <v>13436</v>
      </c>
      <c r="D3747" t="s">
        <v>20409</v>
      </c>
      <c r="E3747" t="s">
        <v>20410</v>
      </c>
      <c r="G3747" t="s">
        <v>20411</v>
      </c>
      <c r="L3747" t="s">
        <v>83</v>
      </c>
      <c r="M3747" t="s">
        <v>85</v>
      </c>
      <c r="R3747" t="s">
        <v>20412</v>
      </c>
      <c r="W3747" t="s">
        <v>20410</v>
      </c>
      <c r="X3747" t="s">
        <v>3553</v>
      </c>
      <c r="Y3747" t="s">
        <v>97</v>
      </c>
      <c r="Z3747" t="s">
        <v>77</v>
      </c>
      <c r="AA3747" t="str">
        <f>"10003-3851"</f>
        <v>10003-3851</v>
      </c>
      <c r="AB3747" t="s">
        <v>78</v>
      </c>
      <c r="AC3747" t="s">
        <v>79</v>
      </c>
      <c r="AD3747" t="s">
        <v>75</v>
      </c>
      <c r="AE3747" t="s">
        <v>80</v>
      </c>
      <c r="AG3747" t="s">
        <v>81</v>
      </c>
    </row>
    <row r="3748" spans="1:33" x14ac:dyDescent="0.25">
      <c r="A3748" t="str">
        <f>"1215050273"</f>
        <v>1215050273</v>
      </c>
      <c r="B3748" t="str">
        <f>"00164952"</f>
        <v>00164952</v>
      </c>
      <c r="C3748" t="s">
        <v>13436</v>
      </c>
      <c r="D3748" t="s">
        <v>20413</v>
      </c>
      <c r="E3748" t="s">
        <v>20414</v>
      </c>
      <c r="G3748" t="s">
        <v>20415</v>
      </c>
      <c r="L3748" t="s">
        <v>102</v>
      </c>
      <c r="M3748" t="s">
        <v>85</v>
      </c>
      <c r="R3748" t="s">
        <v>20416</v>
      </c>
      <c r="W3748" t="s">
        <v>20414</v>
      </c>
      <c r="X3748" t="s">
        <v>20417</v>
      </c>
      <c r="Y3748" t="s">
        <v>288</v>
      </c>
      <c r="Z3748" t="s">
        <v>77</v>
      </c>
      <c r="AA3748" t="str">
        <f>"11520-2220"</f>
        <v>11520-2220</v>
      </c>
      <c r="AB3748" t="s">
        <v>78</v>
      </c>
      <c r="AC3748" t="s">
        <v>79</v>
      </c>
      <c r="AD3748" t="s">
        <v>75</v>
      </c>
      <c r="AE3748" t="s">
        <v>80</v>
      </c>
      <c r="AG3748" t="s">
        <v>81</v>
      </c>
    </row>
    <row r="3749" spans="1:33" x14ac:dyDescent="0.25">
      <c r="A3749" t="str">
        <f>"1215980859"</f>
        <v>1215980859</v>
      </c>
      <c r="B3749" t="str">
        <f>"00779699"</f>
        <v>00779699</v>
      </c>
      <c r="C3749" t="s">
        <v>13436</v>
      </c>
      <c r="D3749" t="s">
        <v>20418</v>
      </c>
      <c r="E3749" t="s">
        <v>20419</v>
      </c>
      <c r="G3749" t="s">
        <v>20420</v>
      </c>
      <c r="L3749" t="s">
        <v>74</v>
      </c>
      <c r="M3749" t="s">
        <v>85</v>
      </c>
      <c r="R3749" t="s">
        <v>20421</v>
      </c>
      <c r="W3749" t="s">
        <v>20419</v>
      </c>
      <c r="X3749" t="s">
        <v>14618</v>
      </c>
      <c r="Y3749" t="s">
        <v>97</v>
      </c>
      <c r="Z3749" t="s">
        <v>77</v>
      </c>
      <c r="AA3749" t="str">
        <f>"10023-7902"</f>
        <v>10023-7902</v>
      </c>
      <c r="AB3749" t="s">
        <v>78</v>
      </c>
      <c r="AC3749" t="s">
        <v>79</v>
      </c>
      <c r="AD3749" t="s">
        <v>75</v>
      </c>
      <c r="AE3749" t="s">
        <v>80</v>
      </c>
      <c r="AG3749" t="s">
        <v>81</v>
      </c>
    </row>
    <row r="3750" spans="1:33" x14ac:dyDescent="0.25">
      <c r="A3750" t="str">
        <f>"1225233760"</f>
        <v>1225233760</v>
      </c>
      <c r="C3750" t="s">
        <v>13436</v>
      </c>
      <c r="G3750" t="s">
        <v>20422</v>
      </c>
      <c r="K3750" t="s">
        <v>99</v>
      </c>
      <c r="L3750" t="s">
        <v>102</v>
      </c>
      <c r="M3750" t="s">
        <v>85</v>
      </c>
      <c r="R3750" t="s">
        <v>20423</v>
      </c>
      <c r="S3750" t="s">
        <v>20424</v>
      </c>
      <c r="T3750" t="s">
        <v>20425</v>
      </c>
      <c r="U3750" t="s">
        <v>4460</v>
      </c>
      <c r="V3750" t="str">
        <f>"871095857"</f>
        <v>871095857</v>
      </c>
      <c r="AC3750" t="s">
        <v>79</v>
      </c>
      <c r="AD3750" t="s">
        <v>75</v>
      </c>
      <c r="AE3750" t="s">
        <v>103</v>
      </c>
      <c r="AG3750" t="s">
        <v>81</v>
      </c>
    </row>
    <row r="3751" spans="1:33" x14ac:dyDescent="0.25">
      <c r="A3751" t="str">
        <f>"1235129339"</f>
        <v>1235129339</v>
      </c>
      <c r="B3751" t="str">
        <f>"01998407"</f>
        <v>01998407</v>
      </c>
      <c r="C3751" t="s">
        <v>13436</v>
      </c>
      <c r="D3751" t="s">
        <v>20426</v>
      </c>
      <c r="E3751" t="s">
        <v>20427</v>
      </c>
      <c r="G3751" t="s">
        <v>20428</v>
      </c>
      <c r="L3751" t="s">
        <v>84</v>
      </c>
      <c r="M3751" t="s">
        <v>85</v>
      </c>
      <c r="R3751" t="s">
        <v>20429</v>
      </c>
      <c r="W3751" t="s">
        <v>20427</v>
      </c>
      <c r="X3751" t="s">
        <v>14588</v>
      </c>
      <c r="Y3751" t="s">
        <v>97</v>
      </c>
      <c r="Z3751" t="s">
        <v>77</v>
      </c>
      <c r="AA3751" t="str">
        <f>"10003-3314"</f>
        <v>10003-3314</v>
      </c>
      <c r="AB3751" t="s">
        <v>78</v>
      </c>
      <c r="AC3751" t="s">
        <v>79</v>
      </c>
      <c r="AD3751" t="s">
        <v>75</v>
      </c>
      <c r="AE3751" t="s">
        <v>80</v>
      </c>
      <c r="AG3751" t="s">
        <v>81</v>
      </c>
    </row>
    <row r="3752" spans="1:33" x14ac:dyDescent="0.25">
      <c r="A3752" t="str">
        <f>"1235192683"</f>
        <v>1235192683</v>
      </c>
      <c r="B3752" t="str">
        <f>"00847145"</f>
        <v>00847145</v>
      </c>
      <c r="C3752" t="s">
        <v>13436</v>
      </c>
      <c r="D3752" t="s">
        <v>2583</v>
      </c>
      <c r="E3752" t="s">
        <v>2584</v>
      </c>
      <c r="G3752" t="s">
        <v>20430</v>
      </c>
      <c r="L3752" t="s">
        <v>74</v>
      </c>
      <c r="M3752" t="s">
        <v>85</v>
      </c>
      <c r="R3752" t="s">
        <v>2585</v>
      </c>
      <c r="W3752" t="s">
        <v>2584</v>
      </c>
      <c r="X3752" t="s">
        <v>2586</v>
      </c>
      <c r="Y3752" t="s">
        <v>131</v>
      </c>
      <c r="Z3752" t="s">
        <v>77</v>
      </c>
      <c r="AA3752" t="str">
        <f>"10467-2490"</f>
        <v>10467-2490</v>
      </c>
      <c r="AB3752" t="s">
        <v>78</v>
      </c>
      <c r="AC3752" t="s">
        <v>79</v>
      </c>
      <c r="AD3752" t="s">
        <v>75</v>
      </c>
      <c r="AE3752" t="s">
        <v>80</v>
      </c>
      <c r="AG3752" t="s">
        <v>81</v>
      </c>
    </row>
    <row r="3753" spans="1:33" x14ac:dyDescent="0.25">
      <c r="A3753" t="str">
        <f>"1235289950"</f>
        <v>1235289950</v>
      </c>
      <c r="B3753" t="str">
        <f>"00715682"</f>
        <v>00715682</v>
      </c>
      <c r="C3753" t="s">
        <v>13436</v>
      </c>
      <c r="D3753" t="s">
        <v>20431</v>
      </c>
      <c r="E3753" t="s">
        <v>20432</v>
      </c>
      <c r="G3753" t="s">
        <v>20433</v>
      </c>
      <c r="L3753" t="s">
        <v>83</v>
      </c>
      <c r="M3753" t="s">
        <v>85</v>
      </c>
      <c r="R3753" t="s">
        <v>20434</v>
      </c>
      <c r="W3753" t="s">
        <v>20432</v>
      </c>
      <c r="X3753" t="s">
        <v>20435</v>
      </c>
      <c r="Y3753" t="s">
        <v>97</v>
      </c>
      <c r="Z3753" t="s">
        <v>77</v>
      </c>
      <c r="AA3753" t="str">
        <f>"10019"</f>
        <v>10019</v>
      </c>
      <c r="AB3753" t="s">
        <v>78</v>
      </c>
      <c r="AC3753" t="s">
        <v>79</v>
      </c>
      <c r="AD3753" t="s">
        <v>75</v>
      </c>
      <c r="AE3753" t="s">
        <v>80</v>
      </c>
      <c r="AG3753" t="s">
        <v>81</v>
      </c>
    </row>
    <row r="3754" spans="1:33" x14ac:dyDescent="0.25">
      <c r="A3754" t="str">
        <f>"1245330885"</f>
        <v>1245330885</v>
      </c>
      <c r="B3754" t="str">
        <f>"02555411"</f>
        <v>02555411</v>
      </c>
      <c r="C3754" t="s">
        <v>13436</v>
      </c>
      <c r="D3754" t="s">
        <v>20436</v>
      </c>
      <c r="E3754" t="s">
        <v>20437</v>
      </c>
      <c r="G3754" t="s">
        <v>20438</v>
      </c>
      <c r="L3754" t="s">
        <v>83</v>
      </c>
      <c r="M3754" t="s">
        <v>85</v>
      </c>
      <c r="R3754" t="s">
        <v>20439</v>
      </c>
      <c r="W3754" t="s">
        <v>20437</v>
      </c>
      <c r="X3754" t="s">
        <v>20440</v>
      </c>
      <c r="Y3754" t="s">
        <v>97</v>
      </c>
      <c r="Z3754" t="s">
        <v>77</v>
      </c>
      <c r="AA3754" t="str">
        <f>"10019-1145"</f>
        <v>10019-1145</v>
      </c>
      <c r="AB3754" t="s">
        <v>78</v>
      </c>
      <c r="AC3754" t="s">
        <v>79</v>
      </c>
      <c r="AD3754" t="s">
        <v>75</v>
      </c>
      <c r="AE3754" t="s">
        <v>80</v>
      </c>
      <c r="AG3754" t="s">
        <v>81</v>
      </c>
    </row>
    <row r="3755" spans="1:33" x14ac:dyDescent="0.25">
      <c r="A3755" t="str">
        <f>"1275514317"</f>
        <v>1275514317</v>
      </c>
      <c r="B3755" t="str">
        <f>"01600435"</f>
        <v>01600435</v>
      </c>
      <c r="C3755" t="s">
        <v>13436</v>
      </c>
      <c r="D3755" t="s">
        <v>20441</v>
      </c>
      <c r="E3755" t="s">
        <v>20442</v>
      </c>
      <c r="G3755" t="s">
        <v>20443</v>
      </c>
      <c r="L3755" t="s">
        <v>84</v>
      </c>
      <c r="M3755" t="s">
        <v>85</v>
      </c>
      <c r="R3755" t="s">
        <v>20444</v>
      </c>
      <c r="W3755" t="s">
        <v>20442</v>
      </c>
      <c r="X3755" t="s">
        <v>3553</v>
      </c>
      <c r="Y3755" t="s">
        <v>97</v>
      </c>
      <c r="Z3755" t="s">
        <v>77</v>
      </c>
      <c r="AA3755" t="str">
        <f>"10003-3851"</f>
        <v>10003-3851</v>
      </c>
      <c r="AB3755" t="s">
        <v>78</v>
      </c>
      <c r="AC3755" t="s">
        <v>79</v>
      </c>
      <c r="AD3755" t="s">
        <v>75</v>
      </c>
      <c r="AE3755" t="s">
        <v>80</v>
      </c>
      <c r="AG3755" t="s">
        <v>81</v>
      </c>
    </row>
    <row r="3756" spans="1:33" x14ac:dyDescent="0.25">
      <c r="A3756" t="str">
        <f>"1427223494"</f>
        <v>1427223494</v>
      </c>
      <c r="B3756" t="str">
        <f>"03464720"</f>
        <v>03464720</v>
      </c>
      <c r="C3756" t="s">
        <v>20445</v>
      </c>
      <c r="D3756" t="s">
        <v>1937</v>
      </c>
      <c r="E3756" t="s">
        <v>1938</v>
      </c>
      <c r="G3756" t="s">
        <v>20445</v>
      </c>
      <c r="H3756" t="s">
        <v>19336</v>
      </c>
      <c r="L3756" t="s">
        <v>74</v>
      </c>
      <c r="M3756" t="s">
        <v>75</v>
      </c>
      <c r="R3756" t="s">
        <v>1936</v>
      </c>
      <c r="W3756" t="s">
        <v>1938</v>
      </c>
      <c r="X3756" t="s">
        <v>1939</v>
      </c>
      <c r="Y3756" t="s">
        <v>1935</v>
      </c>
      <c r="Z3756" t="s">
        <v>77</v>
      </c>
      <c r="AA3756" t="str">
        <f>"11779-7640"</f>
        <v>11779-7640</v>
      </c>
      <c r="AB3756" t="s">
        <v>78</v>
      </c>
      <c r="AC3756" t="s">
        <v>79</v>
      </c>
      <c r="AD3756" t="s">
        <v>75</v>
      </c>
      <c r="AE3756" t="s">
        <v>80</v>
      </c>
      <c r="AG3756" t="s">
        <v>81</v>
      </c>
    </row>
    <row r="3757" spans="1:33" x14ac:dyDescent="0.25">
      <c r="A3757" t="str">
        <f>"1821350786"</f>
        <v>1821350786</v>
      </c>
      <c r="B3757" t="str">
        <f>"03532469"</f>
        <v>03532469</v>
      </c>
      <c r="C3757" t="s">
        <v>20446</v>
      </c>
      <c r="D3757" t="s">
        <v>1941</v>
      </c>
      <c r="E3757" t="s">
        <v>1940</v>
      </c>
      <c r="G3757" t="s">
        <v>20446</v>
      </c>
      <c r="H3757" t="s">
        <v>19336</v>
      </c>
      <c r="L3757" t="s">
        <v>74</v>
      </c>
      <c r="M3757" t="s">
        <v>75</v>
      </c>
      <c r="R3757" t="s">
        <v>1940</v>
      </c>
      <c r="W3757" t="s">
        <v>1940</v>
      </c>
      <c r="X3757" t="s">
        <v>1934</v>
      </c>
      <c r="Y3757" t="s">
        <v>1935</v>
      </c>
      <c r="Z3757" t="s">
        <v>77</v>
      </c>
      <c r="AA3757" t="str">
        <f>"11779-7613"</f>
        <v>11779-7613</v>
      </c>
      <c r="AB3757" t="s">
        <v>78</v>
      </c>
      <c r="AC3757" t="s">
        <v>79</v>
      </c>
      <c r="AD3757" t="s">
        <v>75</v>
      </c>
      <c r="AE3757" t="s">
        <v>80</v>
      </c>
      <c r="AG3757" t="s">
        <v>81</v>
      </c>
    </row>
    <row r="3758" spans="1:33" x14ac:dyDescent="0.25">
      <c r="A3758" t="str">
        <f>"1770615486"</f>
        <v>1770615486</v>
      </c>
      <c r="B3758" t="str">
        <f>"02662297"</f>
        <v>02662297</v>
      </c>
      <c r="C3758" t="s">
        <v>20447</v>
      </c>
      <c r="D3758" t="s">
        <v>1943</v>
      </c>
      <c r="E3758" t="s">
        <v>1944</v>
      </c>
      <c r="G3758" t="s">
        <v>20447</v>
      </c>
      <c r="H3758" t="s">
        <v>19336</v>
      </c>
      <c r="L3758" t="s">
        <v>74</v>
      </c>
      <c r="M3758" t="s">
        <v>75</v>
      </c>
      <c r="R3758" t="s">
        <v>1942</v>
      </c>
      <c r="W3758" t="s">
        <v>1944</v>
      </c>
      <c r="X3758" t="s">
        <v>1945</v>
      </c>
      <c r="Y3758" t="s">
        <v>1946</v>
      </c>
      <c r="Z3758" t="s">
        <v>77</v>
      </c>
      <c r="AA3758" t="str">
        <f>"11776-3078"</f>
        <v>11776-3078</v>
      </c>
      <c r="AB3758" t="s">
        <v>78</v>
      </c>
      <c r="AC3758" t="s">
        <v>79</v>
      </c>
      <c r="AD3758" t="s">
        <v>75</v>
      </c>
      <c r="AE3758" t="s">
        <v>80</v>
      </c>
      <c r="AG3758" t="s">
        <v>81</v>
      </c>
    </row>
    <row r="3759" spans="1:33" x14ac:dyDescent="0.25">
      <c r="A3759" t="str">
        <f>"1366486441"</f>
        <v>1366486441</v>
      </c>
      <c r="B3759" t="str">
        <f>"02317893"</f>
        <v>02317893</v>
      </c>
      <c r="C3759" t="s">
        <v>13436</v>
      </c>
      <c r="D3759" t="s">
        <v>20448</v>
      </c>
      <c r="E3759" t="s">
        <v>20449</v>
      </c>
      <c r="G3759" t="s">
        <v>20450</v>
      </c>
      <c r="L3759" t="s">
        <v>83</v>
      </c>
      <c r="M3759" t="s">
        <v>85</v>
      </c>
      <c r="R3759" t="s">
        <v>20451</v>
      </c>
      <c r="W3759" t="s">
        <v>20449</v>
      </c>
      <c r="X3759" t="s">
        <v>20452</v>
      </c>
      <c r="Y3759" t="s">
        <v>97</v>
      </c>
      <c r="Z3759" t="s">
        <v>77</v>
      </c>
      <c r="AA3759" t="str">
        <f>"10011-7902"</f>
        <v>10011-7902</v>
      </c>
      <c r="AB3759" t="s">
        <v>78</v>
      </c>
      <c r="AC3759" t="s">
        <v>79</v>
      </c>
      <c r="AD3759" t="s">
        <v>75</v>
      </c>
      <c r="AE3759" t="s">
        <v>80</v>
      </c>
      <c r="AG3759" t="s">
        <v>81</v>
      </c>
    </row>
    <row r="3760" spans="1:33" x14ac:dyDescent="0.25">
      <c r="A3760" t="str">
        <f>"1386878577"</f>
        <v>1386878577</v>
      </c>
      <c r="B3760" t="str">
        <f>"03653789"</f>
        <v>03653789</v>
      </c>
      <c r="C3760" t="s">
        <v>13436</v>
      </c>
      <c r="D3760" t="s">
        <v>20453</v>
      </c>
      <c r="E3760" t="s">
        <v>20454</v>
      </c>
      <c r="G3760" t="s">
        <v>20455</v>
      </c>
      <c r="L3760" t="s">
        <v>83</v>
      </c>
      <c r="M3760" t="s">
        <v>85</v>
      </c>
      <c r="R3760" t="s">
        <v>20456</v>
      </c>
      <c r="W3760" t="s">
        <v>20454</v>
      </c>
      <c r="X3760" t="s">
        <v>15724</v>
      </c>
      <c r="Y3760" t="s">
        <v>97</v>
      </c>
      <c r="Z3760" t="s">
        <v>77</v>
      </c>
      <c r="AA3760" t="str">
        <f>"10011-2202"</f>
        <v>10011-2202</v>
      </c>
      <c r="AB3760" t="s">
        <v>78</v>
      </c>
      <c r="AC3760" t="s">
        <v>79</v>
      </c>
      <c r="AD3760" t="s">
        <v>75</v>
      </c>
      <c r="AE3760" t="s">
        <v>80</v>
      </c>
      <c r="AG3760" t="s">
        <v>81</v>
      </c>
    </row>
    <row r="3761" spans="1:33" x14ac:dyDescent="0.25">
      <c r="A3761" t="str">
        <f>"1386894509"</f>
        <v>1386894509</v>
      </c>
      <c r="B3761" t="str">
        <f>"03718572"</f>
        <v>03718572</v>
      </c>
      <c r="C3761" t="s">
        <v>13436</v>
      </c>
      <c r="D3761" t="s">
        <v>20457</v>
      </c>
      <c r="E3761" t="s">
        <v>20458</v>
      </c>
      <c r="G3761" t="s">
        <v>20459</v>
      </c>
      <c r="L3761" t="s">
        <v>74</v>
      </c>
      <c r="M3761" t="s">
        <v>85</v>
      </c>
      <c r="R3761" t="s">
        <v>20460</v>
      </c>
      <c r="W3761" t="s">
        <v>20458</v>
      </c>
      <c r="X3761" t="s">
        <v>181</v>
      </c>
      <c r="Y3761" t="s">
        <v>97</v>
      </c>
      <c r="Z3761" t="s">
        <v>77</v>
      </c>
      <c r="AA3761" t="str">
        <f>"10025-1716"</f>
        <v>10025-1716</v>
      </c>
      <c r="AB3761" t="s">
        <v>78</v>
      </c>
      <c r="AC3761" t="s">
        <v>79</v>
      </c>
      <c r="AD3761" t="s">
        <v>75</v>
      </c>
      <c r="AE3761" t="s">
        <v>80</v>
      </c>
      <c r="AG3761" t="s">
        <v>81</v>
      </c>
    </row>
    <row r="3762" spans="1:33" x14ac:dyDescent="0.25">
      <c r="A3762" t="str">
        <f>"1386918282"</f>
        <v>1386918282</v>
      </c>
      <c r="B3762" t="str">
        <f>"04062722"</f>
        <v>04062722</v>
      </c>
      <c r="C3762" t="s">
        <v>13436</v>
      </c>
      <c r="D3762" t="s">
        <v>20461</v>
      </c>
      <c r="E3762" t="s">
        <v>20462</v>
      </c>
      <c r="G3762" t="s">
        <v>20463</v>
      </c>
      <c r="L3762" t="s">
        <v>102</v>
      </c>
      <c r="M3762" t="s">
        <v>85</v>
      </c>
      <c r="R3762" t="s">
        <v>20462</v>
      </c>
      <c r="W3762" t="s">
        <v>20462</v>
      </c>
      <c r="X3762" t="s">
        <v>4627</v>
      </c>
      <c r="Y3762" t="s">
        <v>198</v>
      </c>
      <c r="Z3762" t="s">
        <v>77</v>
      </c>
      <c r="AA3762" t="str">
        <f>"11542-2254"</f>
        <v>11542-2254</v>
      </c>
      <c r="AB3762" t="s">
        <v>78</v>
      </c>
      <c r="AC3762" t="s">
        <v>79</v>
      </c>
      <c r="AD3762" t="s">
        <v>75</v>
      </c>
      <c r="AE3762" t="s">
        <v>80</v>
      </c>
      <c r="AG3762" t="s">
        <v>81</v>
      </c>
    </row>
    <row r="3763" spans="1:33" x14ac:dyDescent="0.25">
      <c r="A3763" t="str">
        <f>"1386925931"</f>
        <v>1386925931</v>
      </c>
      <c r="B3763" t="str">
        <f>"03405992"</f>
        <v>03405992</v>
      </c>
      <c r="C3763" t="s">
        <v>13436</v>
      </c>
      <c r="D3763" t="s">
        <v>20464</v>
      </c>
      <c r="E3763" t="s">
        <v>20465</v>
      </c>
      <c r="G3763" t="s">
        <v>20466</v>
      </c>
      <c r="L3763" t="s">
        <v>74</v>
      </c>
      <c r="M3763" t="s">
        <v>85</v>
      </c>
      <c r="R3763" t="s">
        <v>20467</v>
      </c>
      <c r="W3763" t="s">
        <v>20465</v>
      </c>
      <c r="X3763" t="s">
        <v>20468</v>
      </c>
      <c r="Y3763" t="s">
        <v>97</v>
      </c>
      <c r="Z3763" t="s">
        <v>77</v>
      </c>
      <c r="AA3763" t="str">
        <f>"10025-1737"</f>
        <v>10025-1737</v>
      </c>
      <c r="AB3763" t="s">
        <v>78</v>
      </c>
      <c r="AC3763" t="s">
        <v>79</v>
      </c>
      <c r="AD3763" t="s">
        <v>75</v>
      </c>
      <c r="AE3763" t="s">
        <v>80</v>
      </c>
      <c r="AG3763" t="s">
        <v>81</v>
      </c>
    </row>
    <row r="3764" spans="1:33" x14ac:dyDescent="0.25">
      <c r="A3764" t="str">
        <f>"1396168043"</f>
        <v>1396168043</v>
      </c>
      <c r="C3764" t="s">
        <v>13436</v>
      </c>
      <c r="G3764" t="s">
        <v>20469</v>
      </c>
      <c r="K3764" t="s">
        <v>99</v>
      </c>
      <c r="L3764" t="s">
        <v>102</v>
      </c>
      <c r="M3764" t="s">
        <v>85</v>
      </c>
      <c r="R3764" t="s">
        <v>20470</v>
      </c>
      <c r="S3764" t="s">
        <v>843</v>
      </c>
      <c r="T3764" t="s">
        <v>97</v>
      </c>
      <c r="U3764" t="s">
        <v>77</v>
      </c>
      <c r="V3764" t="str">
        <f>"100166402"</f>
        <v>100166402</v>
      </c>
      <c r="AC3764" t="s">
        <v>79</v>
      </c>
      <c r="AD3764" t="s">
        <v>75</v>
      </c>
      <c r="AE3764" t="s">
        <v>103</v>
      </c>
      <c r="AG3764" t="s">
        <v>81</v>
      </c>
    </row>
    <row r="3765" spans="1:33" x14ac:dyDescent="0.25">
      <c r="A3765" t="str">
        <f>"1396169181"</f>
        <v>1396169181</v>
      </c>
      <c r="C3765" t="s">
        <v>13436</v>
      </c>
      <c r="G3765" t="s">
        <v>20471</v>
      </c>
      <c r="K3765" t="s">
        <v>99</v>
      </c>
      <c r="L3765" t="s">
        <v>74</v>
      </c>
      <c r="M3765" t="s">
        <v>85</v>
      </c>
      <c r="R3765" t="s">
        <v>20472</v>
      </c>
      <c r="S3765" t="s">
        <v>20473</v>
      </c>
      <c r="T3765" t="s">
        <v>20474</v>
      </c>
      <c r="U3765" t="s">
        <v>77</v>
      </c>
      <c r="V3765" t="str">
        <f>"117101825"</f>
        <v>117101825</v>
      </c>
      <c r="AC3765" t="s">
        <v>79</v>
      </c>
      <c r="AD3765" t="s">
        <v>75</v>
      </c>
      <c r="AE3765" t="s">
        <v>103</v>
      </c>
      <c r="AG3765" t="s">
        <v>81</v>
      </c>
    </row>
    <row r="3766" spans="1:33" x14ac:dyDescent="0.25">
      <c r="A3766" t="str">
        <f>"1396846929"</f>
        <v>1396846929</v>
      </c>
      <c r="B3766" t="str">
        <f>"03616864"</f>
        <v>03616864</v>
      </c>
      <c r="C3766" t="s">
        <v>13436</v>
      </c>
      <c r="D3766" t="s">
        <v>20475</v>
      </c>
      <c r="E3766" t="s">
        <v>20476</v>
      </c>
      <c r="G3766" t="s">
        <v>20477</v>
      </c>
      <c r="L3766" t="s">
        <v>83</v>
      </c>
      <c r="M3766" t="s">
        <v>85</v>
      </c>
      <c r="R3766" t="s">
        <v>20478</v>
      </c>
      <c r="W3766" t="s">
        <v>20476</v>
      </c>
      <c r="X3766" t="s">
        <v>181</v>
      </c>
      <c r="Y3766" t="s">
        <v>97</v>
      </c>
      <c r="Z3766" t="s">
        <v>77</v>
      </c>
      <c r="AA3766" t="str">
        <f>"10025-1716"</f>
        <v>10025-1716</v>
      </c>
      <c r="AB3766" t="s">
        <v>78</v>
      </c>
      <c r="AC3766" t="s">
        <v>79</v>
      </c>
      <c r="AD3766" t="s">
        <v>75</v>
      </c>
      <c r="AE3766" t="s">
        <v>80</v>
      </c>
      <c r="AG3766" t="s">
        <v>81</v>
      </c>
    </row>
    <row r="3767" spans="1:33" x14ac:dyDescent="0.25">
      <c r="A3767" t="str">
        <f>"1407808876"</f>
        <v>1407808876</v>
      </c>
      <c r="B3767" t="str">
        <f>"02744952"</f>
        <v>02744952</v>
      </c>
      <c r="C3767" t="s">
        <v>13436</v>
      </c>
      <c r="D3767" t="s">
        <v>20479</v>
      </c>
      <c r="E3767" t="s">
        <v>20480</v>
      </c>
      <c r="G3767" t="s">
        <v>20481</v>
      </c>
      <c r="L3767" t="s">
        <v>74</v>
      </c>
      <c r="M3767" t="s">
        <v>85</v>
      </c>
      <c r="R3767" t="s">
        <v>20482</v>
      </c>
      <c r="W3767" t="s">
        <v>20480</v>
      </c>
      <c r="X3767" t="s">
        <v>2608</v>
      </c>
      <c r="Y3767" t="s">
        <v>97</v>
      </c>
      <c r="Z3767" t="s">
        <v>77</v>
      </c>
      <c r="AA3767" t="str">
        <f>"10003-4201"</f>
        <v>10003-4201</v>
      </c>
      <c r="AB3767" t="s">
        <v>78</v>
      </c>
      <c r="AC3767" t="s">
        <v>79</v>
      </c>
      <c r="AD3767" t="s">
        <v>75</v>
      </c>
      <c r="AE3767" t="s">
        <v>80</v>
      </c>
      <c r="AG3767" t="s">
        <v>81</v>
      </c>
    </row>
    <row r="3768" spans="1:33" x14ac:dyDescent="0.25">
      <c r="A3768" t="str">
        <f>"1407810260"</f>
        <v>1407810260</v>
      </c>
      <c r="B3768" t="str">
        <f>"03554863"</f>
        <v>03554863</v>
      </c>
      <c r="C3768" t="s">
        <v>13436</v>
      </c>
      <c r="D3768" t="s">
        <v>20483</v>
      </c>
      <c r="E3768" t="s">
        <v>20484</v>
      </c>
      <c r="G3768" t="s">
        <v>20485</v>
      </c>
      <c r="L3768" t="s">
        <v>105</v>
      </c>
      <c r="M3768" t="s">
        <v>85</v>
      </c>
      <c r="R3768" t="s">
        <v>20486</v>
      </c>
      <c r="W3768" t="s">
        <v>20484</v>
      </c>
      <c r="X3768" t="s">
        <v>5911</v>
      </c>
      <c r="Y3768" t="s">
        <v>97</v>
      </c>
      <c r="Z3768" t="s">
        <v>77</v>
      </c>
      <c r="AA3768" t="str">
        <f>"10025-1737"</f>
        <v>10025-1737</v>
      </c>
      <c r="AB3768" t="s">
        <v>78</v>
      </c>
      <c r="AC3768" t="s">
        <v>79</v>
      </c>
      <c r="AD3768" t="s">
        <v>75</v>
      </c>
      <c r="AE3768" t="s">
        <v>80</v>
      </c>
      <c r="AG3768" t="s">
        <v>81</v>
      </c>
    </row>
    <row r="3769" spans="1:33" x14ac:dyDescent="0.25">
      <c r="A3769" t="str">
        <f>"1407883192"</f>
        <v>1407883192</v>
      </c>
      <c r="B3769" t="str">
        <f>"02086244"</f>
        <v>02086244</v>
      </c>
      <c r="C3769" t="s">
        <v>13436</v>
      </c>
      <c r="D3769" t="s">
        <v>20487</v>
      </c>
      <c r="E3769" t="s">
        <v>20488</v>
      </c>
      <c r="G3769" t="s">
        <v>20489</v>
      </c>
      <c r="L3769" t="s">
        <v>83</v>
      </c>
      <c r="M3769" t="s">
        <v>85</v>
      </c>
      <c r="R3769" t="s">
        <v>20490</v>
      </c>
      <c r="W3769" t="s">
        <v>20488</v>
      </c>
      <c r="X3769" t="s">
        <v>20491</v>
      </c>
      <c r="Y3769" t="s">
        <v>97</v>
      </c>
      <c r="Z3769" t="s">
        <v>77</v>
      </c>
      <c r="AA3769" t="str">
        <f>"10003-4201"</f>
        <v>10003-4201</v>
      </c>
      <c r="AB3769" t="s">
        <v>78</v>
      </c>
      <c r="AC3769" t="s">
        <v>79</v>
      </c>
      <c r="AD3769" t="s">
        <v>75</v>
      </c>
      <c r="AE3769" t="s">
        <v>80</v>
      </c>
      <c r="AG3769" t="s">
        <v>81</v>
      </c>
    </row>
    <row r="3770" spans="1:33" x14ac:dyDescent="0.25">
      <c r="A3770" t="str">
        <f>"1669897435"</f>
        <v>1669897435</v>
      </c>
      <c r="B3770" t="str">
        <f>"03813449"</f>
        <v>03813449</v>
      </c>
      <c r="C3770" t="s">
        <v>20492</v>
      </c>
      <c r="D3770" t="s">
        <v>20493</v>
      </c>
      <c r="E3770" t="s">
        <v>20494</v>
      </c>
      <c r="G3770" t="s">
        <v>13504</v>
      </c>
      <c r="H3770" t="s">
        <v>13505</v>
      </c>
      <c r="J3770" t="s">
        <v>13506</v>
      </c>
      <c r="L3770" t="s">
        <v>74</v>
      </c>
      <c r="M3770" t="s">
        <v>75</v>
      </c>
      <c r="R3770" t="s">
        <v>20495</v>
      </c>
      <c r="W3770" t="s">
        <v>20494</v>
      </c>
      <c r="X3770" t="s">
        <v>202</v>
      </c>
      <c r="Y3770" t="s">
        <v>87</v>
      </c>
      <c r="Z3770" t="s">
        <v>77</v>
      </c>
      <c r="AA3770" t="str">
        <f>"11201-5425"</f>
        <v>11201-5425</v>
      </c>
      <c r="AB3770" t="s">
        <v>78</v>
      </c>
      <c r="AC3770" t="s">
        <v>79</v>
      </c>
      <c r="AD3770" t="s">
        <v>75</v>
      </c>
      <c r="AE3770" t="s">
        <v>80</v>
      </c>
      <c r="AG3770" t="s">
        <v>81</v>
      </c>
    </row>
    <row r="3771" spans="1:33" x14ac:dyDescent="0.25">
      <c r="A3771" t="str">
        <f>"1992935100"</f>
        <v>1992935100</v>
      </c>
      <c r="B3771" t="str">
        <f>"03813421"</f>
        <v>03813421</v>
      </c>
      <c r="C3771" t="s">
        <v>20496</v>
      </c>
      <c r="D3771" t="s">
        <v>20497</v>
      </c>
      <c r="E3771" t="s">
        <v>20498</v>
      </c>
      <c r="G3771" t="s">
        <v>13504</v>
      </c>
      <c r="H3771" t="s">
        <v>13505</v>
      </c>
      <c r="J3771" t="s">
        <v>13506</v>
      </c>
      <c r="L3771" t="s">
        <v>74</v>
      </c>
      <c r="M3771" t="s">
        <v>75</v>
      </c>
      <c r="R3771" t="s">
        <v>20499</v>
      </c>
      <c r="W3771" t="s">
        <v>20498</v>
      </c>
      <c r="X3771" t="s">
        <v>202</v>
      </c>
      <c r="Y3771" t="s">
        <v>87</v>
      </c>
      <c r="Z3771" t="s">
        <v>77</v>
      </c>
      <c r="AA3771" t="str">
        <f>"11201-5425"</f>
        <v>11201-5425</v>
      </c>
      <c r="AB3771" t="s">
        <v>78</v>
      </c>
      <c r="AC3771" t="s">
        <v>79</v>
      </c>
      <c r="AD3771" t="s">
        <v>75</v>
      </c>
      <c r="AE3771" t="s">
        <v>80</v>
      </c>
      <c r="AG3771" t="s">
        <v>81</v>
      </c>
    </row>
    <row r="3772" spans="1:33" x14ac:dyDescent="0.25">
      <c r="A3772" t="str">
        <f>"1376526145"</f>
        <v>1376526145</v>
      </c>
      <c r="B3772" t="str">
        <f>"02195893"</f>
        <v>02195893</v>
      </c>
      <c r="C3772" t="s">
        <v>20500</v>
      </c>
      <c r="D3772" t="s">
        <v>20501</v>
      </c>
      <c r="E3772" t="s">
        <v>20502</v>
      </c>
      <c r="G3772" t="s">
        <v>13504</v>
      </c>
      <c r="H3772" t="s">
        <v>13505</v>
      </c>
      <c r="J3772" t="s">
        <v>13506</v>
      </c>
      <c r="L3772" t="s">
        <v>83</v>
      </c>
      <c r="M3772" t="s">
        <v>75</v>
      </c>
      <c r="R3772" t="s">
        <v>20503</v>
      </c>
      <c r="W3772" t="s">
        <v>20502</v>
      </c>
      <c r="X3772" t="s">
        <v>20504</v>
      </c>
      <c r="Y3772" t="s">
        <v>87</v>
      </c>
      <c r="Z3772" t="s">
        <v>77</v>
      </c>
      <c r="AA3772" t="str">
        <f>"11229-4322"</f>
        <v>11229-4322</v>
      </c>
      <c r="AB3772" t="s">
        <v>128</v>
      </c>
      <c r="AC3772" t="s">
        <v>79</v>
      </c>
      <c r="AD3772" t="s">
        <v>75</v>
      </c>
      <c r="AE3772" t="s">
        <v>80</v>
      </c>
      <c r="AG3772" t="s">
        <v>81</v>
      </c>
    </row>
    <row r="3773" spans="1:33" x14ac:dyDescent="0.25">
      <c r="A3773" t="str">
        <f>"1922080027"</f>
        <v>1922080027</v>
      </c>
      <c r="B3773" t="str">
        <f>"01987351"</f>
        <v>01987351</v>
      </c>
      <c r="C3773" t="s">
        <v>20505</v>
      </c>
      <c r="D3773" t="s">
        <v>20506</v>
      </c>
      <c r="E3773" t="s">
        <v>20507</v>
      </c>
      <c r="G3773" t="s">
        <v>13504</v>
      </c>
      <c r="H3773" t="s">
        <v>13505</v>
      </c>
      <c r="J3773" t="s">
        <v>13506</v>
      </c>
      <c r="L3773" t="s">
        <v>74</v>
      </c>
      <c r="M3773" t="s">
        <v>75</v>
      </c>
      <c r="R3773" t="s">
        <v>20508</v>
      </c>
      <c r="W3773" t="s">
        <v>20507</v>
      </c>
      <c r="X3773" t="s">
        <v>20509</v>
      </c>
      <c r="Y3773" t="s">
        <v>87</v>
      </c>
      <c r="Z3773" t="s">
        <v>77</v>
      </c>
      <c r="AA3773" t="str">
        <f>"11229-4256"</f>
        <v>11229-4256</v>
      </c>
      <c r="AB3773" t="s">
        <v>128</v>
      </c>
      <c r="AC3773" t="s">
        <v>79</v>
      </c>
      <c r="AD3773" t="s">
        <v>75</v>
      </c>
      <c r="AE3773" t="s">
        <v>80</v>
      </c>
      <c r="AG3773" t="s">
        <v>81</v>
      </c>
    </row>
    <row r="3774" spans="1:33" x14ac:dyDescent="0.25">
      <c r="A3774" t="str">
        <f>"1205902210"</f>
        <v>1205902210</v>
      </c>
      <c r="B3774" t="str">
        <f>"00148196"</f>
        <v>00148196</v>
      </c>
      <c r="C3774" t="s">
        <v>20510</v>
      </c>
      <c r="D3774" t="s">
        <v>20511</v>
      </c>
      <c r="E3774" t="s">
        <v>20512</v>
      </c>
      <c r="G3774" t="s">
        <v>20510</v>
      </c>
      <c r="H3774" t="s">
        <v>20513</v>
      </c>
      <c r="J3774" t="s">
        <v>20514</v>
      </c>
      <c r="L3774" t="s">
        <v>83</v>
      </c>
      <c r="M3774" t="s">
        <v>75</v>
      </c>
      <c r="R3774" t="s">
        <v>20515</v>
      </c>
      <c r="W3774" t="s">
        <v>20516</v>
      </c>
      <c r="X3774" t="s">
        <v>20517</v>
      </c>
      <c r="Y3774" t="s">
        <v>97</v>
      </c>
      <c r="Z3774" t="s">
        <v>77</v>
      </c>
      <c r="AA3774" t="str">
        <f>"10001-5189"</f>
        <v>10001-5189</v>
      </c>
      <c r="AB3774" t="s">
        <v>78</v>
      </c>
      <c r="AC3774" t="s">
        <v>79</v>
      </c>
      <c r="AD3774" t="s">
        <v>75</v>
      </c>
      <c r="AE3774" t="s">
        <v>80</v>
      </c>
      <c r="AG3774" t="s">
        <v>81</v>
      </c>
    </row>
    <row r="3775" spans="1:33" x14ac:dyDescent="0.25">
      <c r="A3775" t="str">
        <f>"1104840503"</f>
        <v>1104840503</v>
      </c>
      <c r="B3775" t="str">
        <f>"02184178"</f>
        <v>02184178</v>
      </c>
      <c r="C3775" t="s">
        <v>20518</v>
      </c>
      <c r="D3775" t="s">
        <v>20519</v>
      </c>
      <c r="E3775" t="s">
        <v>20520</v>
      </c>
      <c r="G3775" t="s">
        <v>20518</v>
      </c>
      <c r="H3775" t="s">
        <v>20521</v>
      </c>
      <c r="J3775" t="s">
        <v>20522</v>
      </c>
      <c r="L3775" t="s">
        <v>83</v>
      </c>
      <c r="M3775" t="s">
        <v>75</v>
      </c>
      <c r="R3775" t="s">
        <v>20523</v>
      </c>
      <c r="W3775" t="s">
        <v>20520</v>
      </c>
      <c r="X3775" t="s">
        <v>20524</v>
      </c>
      <c r="Y3775" t="s">
        <v>97</v>
      </c>
      <c r="Z3775" t="s">
        <v>77</v>
      </c>
      <c r="AA3775" t="str">
        <f>"10011-9180"</f>
        <v>10011-9180</v>
      </c>
      <c r="AB3775" t="s">
        <v>78</v>
      </c>
      <c r="AC3775" t="s">
        <v>79</v>
      </c>
      <c r="AD3775" t="s">
        <v>75</v>
      </c>
      <c r="AE3775" t="s">
        <v>80</v>
      </c>
      <c r="AG3775" t="s">
        <v>81</v>
      </c>
    </row>
    <row r="3776" spans="1:33" x14ac:dyDescent="0.25">
      <c r="A3776" t="str">
        <f>"1437269024"</f>
        <v>1437269024</v>
      </c>
      <c r="B3776" t="str">
        <f>"03031005"</f>
        <v>03031005</v>
      </c>
      <c r="C3776" t="s">
        <v>20525</v>
      </c>
      <c r="D3776" t="s">
        <v>20526</v>
      </c>
      <c r="E3776" t="s">
        <v>20527</v>
      </c>
      <c r="G3776" t="s">
        <v>20525</v>
      </c>
      <c r="H3776" t="s">
        <v>18201</v>
      </c>
      <c r="J3776" t="s">
        <v>20528</v>
      </c>
      <c r="L3776" t="s">
        <v>74</v>
      </c>
      <c r="M3776" t="s">
        <v>75</v>
      </c>
      <c r="R3776" t="s">
        <v>20529</v>
      </c>
      <c r="W3776" t="s">
        <v>20530</v>
      </c>
      <c r="X3776" t="s">
        <v>20531</v>
      </c>
      <c r="Y3776" t="s">
        <v>131</v>
      </c>
      <c r="Z3776" t="s">
        <v>77</v>
      </c>
      <c r="AA3776" t="str">
        <f>"10467-2404"</f>
        <v>10467-2404</v>
      </c>
      <c r="AB3776" t="s">
        <v>78</v>
      </c>
      <c r="AC3776" t="s">
        <v>79</v>
      </c>
      <c r="AD3776" t="s">
        <v>75</v>
      </c>
      <c r="AE3776" t="s">
        <v>80</v>
      </c>
      <c r="AG3776" t="s">
        <v>81</v>
      </c>
    </row>
    <row r="3777" spans="1:33" x14ac:dyDescent="0.25">
      <c r="A3777" t="str">
        <f>"1942414206"</f>
        <v>1942414206</v>
      </c>
      <c r="B3777" t="str">
        <f>"02679087"</f>
        <v>02679087</v>
      </c>
      <c r="C3777" t="s">
        <v>20532</v>
      </c>
      <c r="D3777" t="s">
        <v>20533</v>
      </c>
      <c r="E3777" t="s">
        <v>20534</v>
      </c>
      <c r="G3777" t="s">
        <v>20532</v>
      </c>
      <c r="H3777" t="s">
        <v>18201</v>
      </c>
      <c r="J3777" t="s">
        <v>20535</v>
      </c>
      <c r="L3777" t="s">
        <v>83</v>
      </c>
      <c r="M3777" t="s">
        <v>75</v>
      </c>
      <c r="R3777" t="s">
        <v>20536</v>
      </c>
      <c r="W3777" t="s">
        <v>20534</v>
      </c>
      <c r="X3777" t="s">
        <v>181</v>
      </c>
      <c r="Y3777" t="s">
        <v>97</v>
      </c>
      <c r="Z3777" t="s">
        <v>77</v>
      </c>
      <c r="AA3777" t="str">
        <f>"10025-1716"</f>
        <v>10025-1716</v>
      </c>
      <c r="AB3777" t="s">
        <v>78</v>
      </c>
      <c r="AC3777" t="s">
        <v>79</v>
      </c>
      <c r="AD3777" t="s">
        <v>75</v>
      </c>
      <c r="AE3777" t="s">
        <v>80</v>
      </c>
      <c r="AG3777" t="s">
        <v>81</v>
      </c>
    </row>
    <row r="3778" spans="1:33" x14ac:dyDescent="0.25">
      <c r="A3778" t="str">
        <f>"1649230160"</f>
        <v>1649230160</v>
      </c>
      <c r="B3778" t="str">
        <f>"03292082"</f>
        <v>03292082</v>
      </c>
      <c r="C3778" t="s">
        <v>19779</v>
      </c>
      <c r="D3778" t="s">
        <v>2308</v>
      </c>
      <c r="E3778" t="s">
        <v>2309</v>
      </c>
      <c r="G3778" t="s">
        <v>20537</v>
      </c>
      <c r="H3778" t="s">
        <v>19781</v>
      </c>
      <c r="L3778" t="s">
        <v>105</v>
      </c>
      <c r="M3778" t="s">
        <v>75</v>
      </c>
      <c r="R3778" t="s">
        <v>2307</v>
      </c>
      <c r="W3778" t="s">
        <v>2310</v>
      </c>
      <c r="X3778" t="s">
        <v>2311</v>
      </c>
      <c r="Y3778" t="s">
        <v>1752</v>
      </c>
      <c r="Z3778" t="s">
        <v>77</v>
      </c>
      <c r="AA3778" t="str">
        <f>"12541-0095"</f>
        <v>12541-0095</v>
      </c>
      <c r="AB3778" t="s">
        <v>125</v>
      </c>
      <c r="AC3778" t="s">
        <v>79</v>
      </c>
      <c r="AD3778" t="s">
        <v>75</v>
      </c>
      <c r="AE3778" t="s">
        <v>80</v>
      </c>
      <c r="AG3778" t="s">
        <v>81</v>
      </c>
    </row>
    <row r="3779" spans="1:33" x14ac:dyDescent="0.25">
      <c r="A3779" t="str">
        <f>"1619950136"</f>
        <v>1619950136</v>
      </c>
      <c r="B3779" t="str">
        <f>"02684706"</f>
        <v>02684706</v>
      </c>
      <c r="C3779" t="s">
        <v>13436</v>
      </c>
      <c r="D3779" t="s">
        <v>20538</v>
      </c>
      <c r="E3779" t="s">
        <v>20539</v>
      </c>
      <c r="G3779" t="s">
        <v>19542</v>
      </c>
      <c r="L3779" t="s">
        <v>83</v>
      </c>
      <c r="M3779" t="s">
        <v>85</v>
      </c>
      <c r="R3779" t="s">
        <v>5029</v>
      </c>
      <c r="W3779" t="s">
        <v>20539</v>
      </c>
      <c r="X3779" t="s">
        <v>191</v>
      </c>
      <c r="Y3779" t="s">
        <v>97</v>
      </c>
      <c r="Z3779" t="s">
        <v>77</v>
      </c>
      <c r="AA3779" t="str">
        <f>"10019-1147"</f>
        <v>10019-1147</v>
      </c>
      <c r="AB3779" t="s">
        <v>78</v>
      </c>
      <c r="AC3779" t="s">
        <v>79</v>
      </c>
      <c r="AD3779" t="s">
        <v>75</v>
      </c>
      <c r="AE3779" t="s">
        <v>80</v>
      </c>
      <c r="AG3779" t="s">
        <v>81</v>
      </c>
    </row>
    <row r="3780" spans="1:33" x14ac:dyDescent="0.25">
      <c r="A3780" t="str">
        <f>"1629012174"</f>
        <v>1629012174</v>
      </c>
      <c r="B3780" t="str">
        <f>"01676553"</f>
        <v>01676553</v>
      </c>
      <c r="C3780" t="s">
        <v>13436</v>
      </c>
      <c r="D3780" t="s">
        <v>20540</v>
      </c>
      <c r="E3780" t="s">
        <v>20541</v>
      </c>
      <c r="G3780" t="s">
        <v>20542</v>
      </c>
      <c r="L3780" t="s">
        <v>83</v>
      </c>
      <c r="M3780" t="s">
        <v>85</v>
      </c>
      <c r="R3780" t="s">
        <v>20543</v>
      </c>
      <c r="W3780" t="s">
        <v>20541</v>
      </c>
      <c r="X3780" t="s">
        <v>20544</v>
      </c>
      <c r="Y3780" t="s">
        <v>97</v>
      </c>
      <c r="Z3780" t="s">
        <v>77</v>
      </c>
      <c r="AA3780" t="str">
        <f>"10034-1159"</f>
        <v>10034-1159</v>
      </c>
      <c r="AB3780" t="s">
        <v>78</v>
      </c>
      <c r="AC3780" t="s">
        <v>79</v>
      </c>
      <c r="AD3780" t="s">
        <v>75</v>
      </c>
      <c r="AE3780" t="s">
        <v>80</v>
      </c>
      <c r="AG3780" t="s">
        <v>81</v>
      </c>
    </row>
    <row r="3781" spans="1:33" x14ac:dyDescent="0.25">
      <c r="A3781" t="str">
        <f>"1629059753"</f>
        <v>1629059753</v>
      </c>
      <c r="B3781" t="str">
        <f>"02356976"</f>
        <v>02356976</v>
      </c>
      <c r="C3781" t="s">
        <v>13436</v>
      </c>
      <c r="D3781" t="s">
        <v>20545</v>
      </c>
      <c r="E3781" t="s">
        <v>20546</v>
      </c>
      <c r="G3781" t="s">
        <v>20547</v>
      </c>
      <c r="L3781" t="s">
        <v>83</v>
      </c>
      <c r="M3781" t="s">
        <v>85</v>
      </c>
      <c r="R3781" t="s">
        <v>20548</v>
      </c>
      <c r="W3781" t="s">
        <v>20546</v>
      </c>
      <c r="X3781" t="s">
        <v>14807</v>
      </c>
      <c r="Y3781" t="s">
        <v>97</v>
      </c>
      <c r="Z3781" t="s">
        <v>77</v>
      </c>
      <c r="AA3781" t="str">
        <f>"10128-7603"</f>
        <v>10128-7603</v>
      </c>
      <c r="AB3781" t="s">
        <v>78</v>
      </c>
      <c r="AC3781" t="s">
        <v>79</v>
      </c>
      <c r="AD3781" t="s">
        <v>75</v>
      </c>
      <c r="AE3781" t="s">
        <v>80</v>
      </c>
      <c r="AG3781" t="s">
        <v>81</v>
      </c>
    </row>
    <row r="3782" spans="1:33" x14ac:dyDescent="0.25">
      <c r="A3782" t="str">
        <f>"1104260355"</f>
        <v>1104260355</v>
      </c>
      <c r="B3782" t="str">
        <f>"03798565"</f>
        <v>03798565</v>
      </c>
      <c r="C3782" t="s">
        <v>20549</v>
      </c>
      <c r="D3782" t="s">
        <v>2212</v>
      </c>
      <c r="E3782" t="s">
        <v>2211</v>
      </c>
      <c r="H3782" t="s">
        <v>16088</v>
      </c>
      <c r="J3782" t="s">
        <v>20550</v>
      </c>
      <c r="L3782" t="s">
        <v>74</v>
      </c>
      <c r="M3782" t="s">
        <v>75</v>
      </c>
      <c r="R3782" t="s">
        <v>2211</v>
      </c>
      <c r="W3782" t="s">
        <v>2211</v>
      </c>
      <c r="X3782" t="s">
        <v>2199</v>
      </c>
      <c r="Y3782" t="s">
        <v>131</v>
      </c>
      <c r="Z3782" t="s">
        <v>77</v>
      </c>
      <c r="AA3782" t="str">
        <f>"10461-5201"</f>
        <v>10461-5201</v>
      </c>
      <c r="AB3782" t="s">
        <v>78</v>
      </c>
      <c r="AC3782" t="s">
        <v>79</v>
      </c>
      <c r="AD3782" t="s">
        <v>75</v>
      </c>
      <c r="AE3782" t="s">
        <v>80</v>
      </c>
      <c r="AG3782" t="s">
        <v>81</v>
      </c>
    </row>
    <row r="3783" spans="1:33" x14ac:dyDescent="0.25">
      <c r="A3783" t="str">
        <f>"1215051594"</f>
        <v>1215051594</v>
      </c>
      <c r="B3783" t="str">
        <f>"02573531"</f>
        <v>02573531</v>
      </c>
      <c r="C3783" t="s">
        <v>20551</v>
      </c>
      <c r="D3783" t="s">
        <v>2214</v>
      </c>
      <c r="E3783" t="s">
        <v>2215</v>
      </c>
      <c r="H3783" t="s">
        <v>20552</v>
      </c>
      <c r="J3783" t="s">
        <v>20553</v>
      </c>
      <c r="L3783" t="s">
        <v>102</v>
      </c>
      <c r="M3783" t="s">
        <v>75</v>
      </c>
      <c r="R3783" t="s">
        <v>2213</v>
      </c>
      <c r="W3783" t="s">
        <v>2215</v>
      </c>
      <c r="X3783" t="s">
        <v>823</v>
      </c>
      <c r="Y3783" t="s">
        <v>131</v>
      </c>
      <c r="Z3783" t="s">
        <v>77</v>
      </c>
      <c r="AA3783" t="str">
        <f>"10467-2401"</f>
        <v>10467-2401</v>
      </c>
      <c r="AB3783" t="s">
        <v>78</v>
      </c>
      <c r="AC3783" t="s">
        <v>79</v>
      </c>
      <c r="AD3783" t="s">
        <v>75</v>
      </c>
      <c r="AE3783" t="s">
        <v>80</v>
      </c>
      <c r="AG3783" t="s">
        <v>81</v>
      </c>
    </row>
    <row r="3784" spans="1:33" x14ac:dyDescent="0.25">
      <c r="A3784" t="str">
        <f>"1114182441"</f>
        <v>1114182441</v>
      </c>
      <c r="B3784" t="str">
        <f>"03407256"</f>
        <v>03407256</v>
      </c>
      <c r="C3784" t="s">
        <v>20554</v>
      </c>
      <c r="D3784" t="s">
        <v>1287</v>
      </c>
      <c r="E3784" t="s">
        <v>1288</v>
      </c>
      <c r="H3784" t="s">
        <v>20555</v>
      </c>
      <c r="J3784" t="s">
        <v>20556</v>
      </c>
      <c r="L3784" t="s">
        <v>84</v>
      </c>
      <c r="M3784" t="s">
        <v>85</v>
      </c>
      <c r="R3784" t="s">
        <v>1286</v>
      </c>
      <c r="W3784" t="s">
        <v>1289</v>
      </c>
      <c r="X3784" t="s">
        <v>638</v>
      </c>
      <c r="Y3784" t="s">
        <v>131</v>
      </c>
      <c r="Z3784" t="s">
        <v>77</v>
      </c>
      <c r="AA3784" t="str">
        <f>"10453-4303"</f>
        <v>10453-4303</v>
      </c>
      <c r="AB3784" t="s">
        <v>78</v>
      </c>
      <c r="AC3784" t="s">
        <v>79</v>
      </c>
      <c r="AD3784" t="s">
        <v>75</v>
      </c>
      <c r="AE3784" t="s">
        <v>80</v>
      </c>
      <c r="AG3784" t="s">
        <v>81</v>
      </c>
    </row>
    <row r="3785" spans="1:33" x14ac:dyDescent="0.25">
      <c r="A3785" t="str">
        <f>"1386892305"</f>
        <v>1386892305</v>
      </c>
      <c r="C3785" t="s">
        <v>13436</v>
      </c>
      <c r="G3785" t="s">
        <v>20557</v>
      </c>
      <c r="K3785" t="s">
        <v>99</v>
      </c>
      <c r="L3785" t="s">
        <v>102</v>
      </c>
      <c r="M3785" t="s">
        <v>85</v>
      </c>
      <c r="R3785" t="s">
        <v>20558</v>
      </c>
      <c r="S3785" t="s">
        <v>20559</v>
      </c>
      <c r="T3785" t="s">
        <v>97</v>
      </c>
      <c r="U3785" t="s">
        <v>77</v>
      </c>
      <c r="V3785" t="str">
        <f>"100251716"</f>
        <v>100251716</v>
      </c>
      <c r="AC3785" t="s">
        <v>79</v>
      </c>
      <c r="AD3785" t="s">
        <v>75</v>
      </c>
      <c r="AE3785" t="s">
        <v>103</v>
      </c>
      <c r="AG3785" t="s">
        <v>81</v>
      </c>
    </row>
    <row r="3786" spans="1:33" x14ac:dyDescent="0.25">
      <c r="A3786" t="str">
        <f>"1396720256"</f>
        <v>1396720256</v>
      </c>
      <c r="B3786" t="str">
        <f>"01250040"</f>
        <v>01250040</v>
      </c>
      <c r="C3786" t="s">
        <v>13436</v>
      </c>
      <c r="D3786" t="s">
        <v>20560</v>
      </c>
      <c r="E3786" t="s">
        <v>20561</v>
      </c>
      <c r="G3786" t="s">
        <v>20562</v>
      </c>
      <c r="L3786" t="s">
        <v>83</v>
      </c>
      <c r="M3786" t="s">
        <v>85</v>
      </c>
      <c r="R3786" t="s">
        <v>20563</v>
      </c>
      <c r="W3786" t="s">
        <v>20561</v>
      </c>
      <c r="X3786" t="s">
        <v>20564</v>
      </c>
      <c r="Y3786" t="s">
        <v>91</v>
      </c>
      <c r="Z3786" t="s">
        <v>77</v>
      </c>
      <c r="AA3786" t="str">
        <f>"11373-1927"</f>
        <v>11373-1927</v>
      </c>
      <c r="AB3786" t="s">
        <v>78</v>
      </c>
      <c r="AC3786" t="s">
        <v>79</v>
      </c>
      <c r="AD3786" t="s">
        <v>75</v>
      </c>
      <c r="AE3786" t="s">
        <v>80</v>
      </c>
      <c r="AG3786" t="s">
        <v>81</v>
      </c>
    </row>
    <row r="3787" spans="1:33" x14ac:dyDescent="0.25">
      <c r="A3787" t="str">
        <f>"1396726717"</f>
        <v>1396726717</v>
      </c>
      <c r="B3787" t="str">
        <f>"01516861"</f>
        <v>01516861</v>
      </c>
      <c r="C3787" t="s">
        <v>13436</v>
      </c>
      <c r="D3787" t="s">
        <v>20565</v>
      </c>
      <c r="E3787" t="s">
        <v>20566</v>
      </c>
      <c r="G3787" t="s">
        <v>20567</v>
      </c>
      <c r="L3787" t="s">
        <v>83</v>
      </c>
      <c r="M3787" t="s">
        <v>85</v>
      </c>
      <c r="R3787" t="s">
        <v>20568</v>
      </c>
      <c r="W3787" t="s">
        <v>20566</v>
      </c>
      <c r="X3787" t="s">
        <v>3553</v>
      </c>
      <c r="Y3787" t="s">
        <v>97</v>
      </c>
      <c r="Z3787" t="s">
        <v>77</v>
      </c>
      <c r="AA3787" t="str">
        <f>"10003-3851"</f>
        <v>10003-3851</v>
      </c>
      <c r="AB3787" t="s">
        <v>78</v>
      </c>
      <c r="AC3787" t="s">
        <v>79</v>
      </c>
      <c r="AD3787" t="s">
        <v>75</v>
      </c>
      <c r="AE3787" t="s">
        <v>80</v>
      </c>
      <c r="AG3787" t="s">
        <v>81</v>
      </c>
    </row>
    <row r="3788" spans="1:33" x14ac:dyDescent="0.25">
      <c r="A3788" t="str">
        <f>"1396738332"</f>
        <v>1396738332</v>
      </c>
      <c r="B3788" t="str">
        <f>"02134072"</f>
        <v>02134072</v>
      </c>
      <c r="C3788" t="s">
        <v>13436</v>
      </c>
      <c r="D3788" t="s">
        <v>20569</v>
      </c>
      <c r="E3788" t="s">
        <v>20570</v>
      </c>
      <c r="G3788" t="s">
        <v>20571</v>
      </c>
      <c r="L3788" t="s">
        <v>74</v>
      </c>
      <c r="M3788" t="s">
        <v>85</v>
      </c>
      <c r="R3788" t="s">
        <v>20572</v>
      </c>
      <c r="W3788" t="s">
        <v>20570</v>
      </c>
      <c r="X3788" t="s">
        <v>737</v>
      </c>
      <c r="Y3788" t="s">
        <v>97</v>
      </c>
      <c r="Z3788" t="s">
        <v>77</v>
      </c>
      <c r="AA3788" t="str">
        <f>"10025-1716"</f>
        <v>10025-1716</v>
      </c>
      <c r="AB3788" t="s">
        <v>78</v>
      </c>
      <c r="AC3788" t="s">
        <v>79</v>
      </c>
      <c r="AD3788" t="s">
        <v>75</v>
      </c>
      <c r="AE3788" t="s">
        <v>80</v>
      </c>
      <c r="AG3788" t="s">
        <v>81</v>
      </c>
    </row>
    <row r="3789" spans="1:33" x14ac:dyDescent="0.25">
      <c r="A3789" t="str">
        <f>"1184968935"</f>
        <v>1184968935</v>
      </c>
      <c r="C3789" t="s">
        <v>20573</v>
      </c>
      <c r="K3789" t="s">
        <v>99</v>
      </c>
      <c r="L3789" t="s">
        <v>74</v>
      </c>
      <c r="M3789" t="s">
        <v>75</v>
      </c>
      <c r="R3789" t="s">
        <v>2993</v>
      </c>
      <c r="S3789" t="s">
        <v>2994</v>
      </c>
      <c r="T3789" t="s">
        <v>87</v>
      </c>
      <c r="U3789" t="s">
        <v>77</v>
      </c>
      <c r="V3789" t="str">
        <f>"112014333"</f>
        <v>112014333</v>
      </c>
      <c r="AC3789" t="s">
        <v>79</v>
      </c>
      <c r="AD3789" t="s">
        <v>75</v>
      </c>
      <c r="AE3789" t="s">
        <v>103</v>
      </c>
      <c r="AG3789" t="s">
        <v>81</v>
      </c>
    </row>
    <row r="3790" spans="1:33" x14ac:dyDescent="0.25">
      <c r="C3790" t="s">
        <v>20574</v>
      </c>
      <c r="K3790" t="s">
        <v>99</v>
      </c>
      <c r="L3790" t="s">
        <v>100</v>
      </c>
      <c r="M3790" t="s">
        <v>75</v>
      </c>
      <c r="N3790" t="s">
        <v>20575</v>
      </c>
      <c r="O3790" t="s">
        <v>431</v>
      </c>
      <c r="P3790" t="s">
        <v>77</v>
      </c>
      <c r="Q3790" t="str">
        <f>"11201"</f>
        <v>11201</v>
      </c>
      <c r="AC3790" t="s">
        <v>79</v>
      </c>
      <c r="AD3790" t="s">
        <v>75</v>
      </c>
      <c r="AE3790" t="s">
        <v>101</v>
      </c>
      <c r="AG3790" t="s">
        <v>81</v>
      </c>
    </row>
    <row r="3791" spans="1:33" x14ac:dyDescent="0.25">
      <c r="A3791" t="str">
        <f>"1518041474"</f>
        <v>1518041474</v>
      </c>
      <c r="B3791" t="str">
        <f>"00223047"</f>
        <v>00223047</v>
      </c>
      <c r="C3791" t="s">
        <v>13436</v>
      </c>
      <c r="D3791" t="s">
        <v>20576</v>
      </c>
      <c r="E3791" t="s">
        <v>20577</v>
      </c>
      <c r="G3791" t="s">
        <v>20578</v>
      </c>
      <c r="L3791" t="s">
        <v>102</v>
      </c>
      <c r="M3791" t="s">
        <v>85</v>
      </c>
      <c r="R3791" t="s">
        <v>20579</v>
      </c>
      <c r="W3791" t="s">
        <v>20577</v>
      </c>
      <c r="X3791" t="s">
        <v>14807</v>
      </c>
      <c r="Y3791" t="s">
        <v>97</v>
      </c>
      <c r="Z3791" t="s">
        <v>77</v>
      </c>
      <c r="AA3791" t="str">
        <f>"10128-7603"</f>
        <v>10128-7603</v>
      </c>
      <c r="AB3791" t="s">
        <v>78</v>
      </c>
      <c r="AC3791" t="s">
        <v>79</v>
      </c>
      <c r="AD3791" t="s">
        <v>75</v>
      </c>
      <c r="AE3791" t="s">
        <v>80</v>
      </c>
      <c r="AG3791" t="s">
        <v>81</v>
      </c>
    </row>
    <row r="3792" spans="1:33" x14ac:dyDescent="0.25">
      <c r="A3792" t="str">
        <f>"1518058916"</f>
        <v>1518058916</v>
      </c>
      <c r="C3792" t="s">
        <v>13436</v>
      </c>
      <c r="G3792" t="s">
        <v>20580</v>
      </c>
      <c r="K3792" t="s">
        <v>99</v>
      </c>
      <c r="L3792" t="s">
        <v>102</v>
      </c>
      <c r="M3792" t="s">
        <v>85</v>
      </c>
      <c r="R3792" t="s">
        <v>20581</v>
      </c>
      <c r="S3792" t="s">
        <v>20582</v>
      </c>
      <c r="T3792" t="s">
        <v>97</v>
      </c>
      <c r="U3792" t="s">
        <v>77</v>
      </c>
      <c r="V3792" t="str">
        <f>"100237033"</f>
        <v>100237033</v>
      </c>
      <c r="AC3792" t="s">
        <v>79</v>
      </c>
      <c r="AD3792" t="s">
        <v>75</v>
      </c>
      <c r="AE3792" t="s">
        <v>103</v>
      </c>
      <c r="AG3792" t="s">
        <v>81</v>
      </c>
    </row>
    <row r="3793" spans="1:33" x14ac:dyDescent="0.25">
      <c r="A3793" t="str">
        <f>"1720209521"</f>
        <v>1720209521</v>
      </c>
      <c r="B3793" t="str">
        <f>"00825810"</f>
        <v>00825810</v>
      </c>
      <c r="C3793" t="s">
        <v>20583</v>
      </c>
      <c r="D3793" t="s">
        <v>20584</v>
      </c>
      <c r="E3793" t="s">
        <v>20585</v>
      </c>
      <c r="G3793" t="s">
        <v>13504</v>
      </c>
      <c r="H3793" t="s">
        <v>13505</v>
      </c>
      <c r="J3793" t="s">
        <v>13506</v>
      </c>
      <c r="L3793" t="s">
        <v>83</v>
      </c>
      <c r="M3793" t="s">
        <v>75</v>
      </c>
      <c r="R3793" t="s">
        <v>20586</v>
      </c>
      <c r="W3793" t="s">
        <v>20587</v>
      </c>
      <c r="X3793" t="s">
        <v>3706</v>
      </c>
      <c r="Y3793" t="s">
        <v>171</v>
      </c>
      <c r="Z3793" t="s">
        <v>77</v>
      </c>
      <c r="AA3793" t="str">
        <f>"11434-2616"</f>
        <v>11434-2616</v>
      </c>
      <c r="AB3793" t="s">
        <v>78</v>
      </c>
      <c r="AC3793" t="s">
        <v>79</v>
      </c>
      <c r="AD3793" t="s">
        <v>75</v>
      </c>
      <c r="AE3793" t="s">
        <v>80</v>
      </c>
      <c r="AG3793" t="s">
        <v>81</v>
      </c>
    </row>
    <row r="3794" spans="1:33" x14ac:dyDescent="0.25">
      <c r="A3794" t="str">
        <f>"1023035466"</f>
        <v>1023035466</v>
      </c>
      <c r="B3794" t="str">
        <f>"02134467"</f>
        <v>02134467</v>
      </c>
      <c r="C3794" t="s">
        <v>20588</v>
      </c>
      <c r="D3794" t="s">
        <v>20589</v>
      </c>
      <c r="E3794" t="s">
        <v>20590</v>
      </c>
      <c r="G3794" t="s">
        <v>13504</v>
      </c>
      <c r="H3794" t="s">
        <v>13505</v>
      </c>
      <c r="J3794" t="s">
        <v>13506</v>
      </c>
      <c r="L3794" t="s">
        <v>84</v>
      </c>
      <c r="M3794" t="s">
        <v>85</v>
      </c>
      <c r="R3794" t="s">
        <v>20591</v>
      </c>
      <c r="W3794" t="s">
        <v>20590</v>
      </c>
      <c r="X3794" t="s">
        <v>1834</v>
      </c>
      <c r="Y3794" t="s">
        <v>194</v>
      </c>
      <c r="Z3794" t="s">
        <v>77</v>
      </c>
      <c r="AA3794" t="str">
        <f>"11378-1825"</f>
        <v>11378-1825</v>
      </c>
      <c r="AB3794" t="s">
        <v>78</v>
      </c>
      <c r="AC3794" t="s">
        <v>79</v>
      </c>
      <c r="AD3794" t="s">
        <v>75</v>
      </c>
      <c r="AE3794" t="s">
        <v>80</v>
      </c>
      <c r="AG3794" t="s">
        <v>81</v>
      </c>
    </row>
    <row r="3795" spans="1:33" x14ac:dyDescent="0.25">
      <c r="A3795" t="str">
        <f>"1326146010"</f>
        <v>1326146010</v>
      </c>
      <c r="B3795" t="str">
        <f>"02096606"</f>
        <v>02096606</v>
      </c>
      <c r="C3795" t="s">
        <v>20592</v>
      </c>
      <c r="D3795" t="s">
        <v>20593</v>
      </c>
      <c r="E3795" t="s">
        <v>20594</v>
      </c>
      <c r="G3795" t="s">
        <v>13504</v>
      </c>
      <c r="H3795" t="s">
        <v>13505</v>
      </c>
      <c r="J3795" t="s">
        <v>13506</v>
      </c>
      <c r="L3795" t="s">
        <v>84</v>
      </c>
      <c r="M3795" t="s">
        <v>85</v>
      </c>
      <c r="R3795" t="s">
        <v>20595</v>
      </c>
      <c r="W3795" t="s">
        <v>20594</v>
      </c>
      <c r="X3795" t="s">
        <v>4531</v>
      </c>
      <c r="Y3795" t="s">
        <v>87</v>
      </c>
      <c r="Z3795" t="s">
        <v>77</v>
      </c>
      <c r="AA3795" t="str">
        <f>"11213-2421"</f>
        <v>11213-2421</v>
      </c>
      <c r="AB3795" t="s">
        <v>78</v>
      </c>
      <c r="AC3795" t="s">
        <v>79</v>
      </c>
      <c r="AD3795" t="s">
        <v>75</v>
      </c>
      <c r="AE3795" t="s">
        <v>80</v>
      </c>
      <c r="AG3795" t="s">
        <v>81</v>
      </c>
    </row>
    <row r="3796" spans="1:33" x14ac:dyDescent="0.25">
      <c r="A3796" t="str">
        <f>"1083660237"</f>
        <v>1083660237</v>
      </c>
      <c r="B3796" t="str">
        <f>"02501302"</f>
        <v>02501302</v>
      </c>
      <c r="C3796" t="s">
        <v>20596</v>
      </c>
      <c r="D3796" t="s">
        <v>20597</v>
      </c>
      <c r="E3796" t="s">
        <v>20598</v>
      </c>
      <c r="G3796" t="s">
        <v>13504</v>
      </c>
      <c r="H3796" t="s">
        <v>13505</v>
      </c>
      <c r="J3796" t="s">
        <v>13506</v>
      </c>
      <c r="L3796" t="s">
        <v>83</v>
      </c>
      <c r="M3796" t="s">
        <v>75</v>
      </c>
      <c r="R3796" t="s">
        <v>20599</v>
      </c>
      <c r="W3796" t="s">
        <v>20598</v>
      </c>
      <c r="X3796" t="s">
        <v>20600</v>
      </c>
      <c r="Y3796" t="s">
        <v>89</v>
      </c>
      <c r="Z3796" t="s">
        <v>77</v>
      </c>
      <c r="AA3796" t="str">
        <f>"13905-4246"</f>
        <v>13905-4246</v>
      </c>
      <c r="AB3796" t="s">
        <v>78</v>
      </c>
      <c r="AC3796" t="s">
        <v>79</v>
      </c>
      <c r="AD3796" t="s">
        <v>75</v>
      </c>
      <c r="AE3796" t="s">
        <v>80</v>
      </c>
      <c r="AG3796" t="s">
        <v>81</v>
      </c>
    </row>
    <row r="3797" spans="1:33" x14ac:dyDescent="0.25">
      <c r="A3797" t="str">
        <f>"1093781726"</f>
        <v>1093781726</v>
      </c>
      <c r="B3797" t="str">
        <f>"01769488"</f>
        <v>01769488</v>
      </c>
      <c r="C3797" t="s">
        <v>13436</v>
      </c>
      <c r="D3797" t="s">
        <v>20601</v>
      </c>
      <c r="E3797" t="s">
        <v>20602</v>
      </c>
      <c r="G3797" t="s">
        <v>20603</v>
      </c>
      <c r="L3797" t="s">
        <v>74</v>
      </c>
      <c r="M3797" t="s">
        <v>75</v>
      </c>
      <c r="R3797" t="s">
        <v>20604</v>
      </c>
      <c r="W3797" t="s">
        <v>20602</v>
      </c>
      <c r="X3797" t="s">
        <v>14871</v>
      </c>
      <c r="Y3797" t="s">
        <v>97</v>
      </c>
      <c r="Z3797" t="s">
        <v>77</v>
      </c>
      <c r="AA3797" t="str">
        <f>"10003"</f>
        <v>10003</v>
      </c>
      <c r="AB3797" t="s">
        <v>78</v>
      </c>
      <c r="AC3797" t="s">
        <v>79</v>
      </c>
      <c r="AD3797" t="s">
        <v>75</v>
      </c>
      <c r="AE3797" t="s">
        <v>80</v>
      </c>
      <c r="AG3797" t="s">
        <v>81</v>
      </c>
    </row>
    <row r="3798" spans="1:33" x14ac:dyDescent="0.25">
      <c r="A3798" t="str">
        <f>"1700167665"</f>
        <v>1700167665</v>
      </c>
      <c r="C3798" t="s">
        <v>20605</v>
      </c>
      <c r="G3798" t="s">
        <v>20605</v>
      </c>
      <c r="H3798" t="s">
        <v>18201</v>
      </c>
      <c r="K3798" t="s">
        <v>99</v>
      </c>
      <c r="L3798" t="s">
        <v>102</v>
      </c>
      <c r="M3798" t="s">
        <v>75</v>
      </c>
      <c r="R3798" t="s">
        <v>20606</v>
      </c>
      <c r="S3798" t="s">
        <v>2742</v>
      </c>
      <c r="T3798" t="s">
        <v>97</v>
      </c>
      <c r="U3798" t="s">
        <v>77</v>
      </c>
      <c r="V3798" t="str">
        <f>"100242298"</f>
        <v>100242298</v>
      </c>
      <c r="AC3798" t="s">
        <v>79</v>
      </c>
      <c r="AD3798" t="s">
        <v>75</v>
      </c>
      <c r="AE3798" t="s">
        <v>103</v>
      </c>
      <c r="AG3798" t="s">
        <v>81</v>
      </c>
    </row>
    <row r="3799" spans="1:33" x14ac:dyDescent="0.25">
      <c r="A3799" t="str">
        <f>"1902095649"</f>
        <v>1902095649</v>
      </c>
      <c r="B3799" t="str">
        <f>"03050951"</f>
        <v>03050951</v>
      </c>
      <c r="C3799" t="s">
        <v>20607</v>
      </c>
      <c r="D3799" t="s">
        <v>20608</v>
      </c>
      <c r="E3799" t="s">
        <v>20609</v>
      </c>
      <c r="G3799" t="s">
        <v>20607</v>
      </c>
      <c r="H3799" t="s">
        <v>20610</v>
      </c>
      <c r="L3799" t="s">
        <v>94</v>
      </c>
      <c r="M3799" t="s">
        <v>85</v>
      </c>
      <c r="R3799" t="s">
        <v>20611</v>
      </c>
      <c r="W3799" t="s">
        <v>20612</v>
      </c>
      <c r="X3799" t="s">
        <v>272</v>
      </c>
      <c r="Y3799" t="s">
        <v>97</v>
      </c>
      <c r="Z3799" t="s">
        <v>77</v>
      </c>
      <c r="AA3799" t="str">
        <f>"10029-6501"</f>
        <v>10029-6501</v>
      </c>
      <c r="AB3799" t="s">
        <v>78</v>
      </c>
      <c r="AC3799" t="s">
        <v>79</v>
      </c>
      <c r="AD3799" t="s">
        <v>75</v>
      </c>
      <c r="AE3799" t="s">
        <v>80</v>
      </c>
      <c r="AG3799" t="s">
        <v>81</v>
      </c>
    </row>
    <row r="3800" spans="1:33" x14ac:dyDescent="0.25">
      <c r="A3800" t="str">
        <f>"1619152725"</f>
        <v>1619152725</v>
      </c>
      <c r="B3800" t="str">
        <f>"03339580"</f>
        <v>03339580</v>
      </c>
      <c r="C3800" t="s">
        <v>20613</v>
      </c>
      <c r="D3800" t="s">
        <v>20614</v>
      </c>
      <c r="E3800" t="s">
        <v>20615</v>
      </c>
      <c r="G3800" t="s">
        <v>20613</v>
      </c>
      <c r="H3800" t="s">
        <v>18201</v>
      </c>
      <c r="L3800" t="s">
        <v>74</v>
      </c>
      <c r="M3800" t="s">
        <v>75</v>
      </c>
      <c r="R3800" t="s">
        <v>20616</v>
      </c>
      <c r="W3800" t="s">
        <v>20615</v>
      </c>
      <c r="X3800" t="s">
        <v>4562</v>
      </c>
      <c r="Y3800" t="s">
        <v>97</v>
      </c>
      <c r="Z3800" t="s">
        <v>77</v>
      </c>
      <c r="AA3800" t="str">
        <f>"10065-4870"</f>
        <v>10065-4870</v>
      </c>
      <c r="AB3800" t="s">
        <v>78</v>
      </c>
      <c r="AC3800" t="s">
        <v>79</v>
      </c>
      <c r="AD3800" t="s">
        <v>75</v>
      </c>
      <c r="AE3800" t="s">
        <v>80</v>
      </c>
      <c r="AG3800" t="s">
        <v>81</v>
      </c>
    </row>
    <row r="3801" spans="1:33" x14ac:dyDescent="0.25">
      <c r="A3801" t="str">
        <f>"1093840944"</f>
        <v>1093840944</v>
      </c>
      <c r="B3801" t="str">
        <f>"03338185"</f>
        <v>03338185</v>
      </c>
      <c r="C3801" t="s">
        <v>13436</v>
      </c>
      <c r="D3801" t="s">
        <v>20617</v>
      </c>
      <c r="E3801" t="s">
        <v>20618</v>
      </c>
      <c r="G3801" t="s">
        <v>20619</v>
      </c>
      <c r="L3801" t="s">
        <v>83</v>
      </c>
      <c r="M3801" t="s">
        <v>85</v>
      </c>
      <c r="R3801" t="s">
        <v>20618</v>
      </c>
      <c r="W3801" t="s">
        <v>20620</v>
      </c>
      <c r="X3801" t="s">
        <v>20621</v>
      </c>
      <c r="Y3801" t="s">
        <v>3361</v>
      </c>
      <c r="Z3801" t="s">
        <v>1842</v>
      </c>
      <c r="AA3801" t="str">
        <f>"06477-3504"</f>
        <v>06477-3504</v>
      </c>
      <c r="AB3801" t="s">
        <v>78</v>
      </c>
      <c r="AC3801" t="s">
        <v>79</v>
      </c>
      <c r="AD3801" t="s">
        <v>75</v>
      </c>
      <c r="AE3801" t="s">
        <v>80</v>
      </c>
      <c r="AG3801" t="s">
        <v>81</v>
      </c>
    </row>
    <row r="3802" spans="1:33" x14ac:dyDescent="0.25">
      <c r="A3802" t="str">
        <f>"1093841058"</f>
        <v>1093841058</v>
      </c>
      <c r="B3802" t="str">
        <f>"02267307"</f>
        <v>02267307</v>
      </c>
      <c r="C3802" t="s">
        <v>13436</v>
      </c>
      <c r="D3802" t="s">
        <v>20622</v>
      </c>
      <c r="E3802" t="s">
        <v>20623</v>
      </c>
      <c r="G3802" t="s">
        <v>20624</v>
      </c>
      <c r="L3802" t="s">
        <v>105</v>
      </c>
      <c r="M3802" t="s">
        <v>85</v>
      </c>
      <c r="R3802" t="s">
        <v>20623</v>
      </c>
      <c r="W3802" t="s">
        <v>20625</v>
      </c>
      <c r="X3802" t="s">
        <v>263</v>
      </c>
      <c r="Y3802" t="s">
        <v>97</v>
      </c>
      <c r="Z3802" t="s">
        <v>77</v>
      </c>
      <c r="AA3802" t="str">
        <f>"10011-8202"</f>
        <v>10011-8202</v>
      </c>
      <c r="AB3802" t="s">
        <v>78</v>
      </c>
      <c r="AC3802" t="s">
        <v>79</v>
      </c>
      <c r="AD3802" t="s">
        <v>75</v>
      </c>
      <c r="AE3802" t="s">
        <v>80</v>
      </c>
      <c r="AG3802" t="s">
        <v>81</v>
      </c>
    </row>
    <row r="3803" spans="1:33" x14ac:dyDescent="0.25">
      <c r="A3803" t="str">
        <f>"1114184215"</f>
        <v>1114184215</v>
      </c>
      <c r="B3803" t="str">
        <f>"02981726"</f>
        <v>02981726</v>
      </c>
      <c r="C3803" t="s">
        <v>13436</v>
      </c>
      <c r="D3803" t="s">
        <v>20626</v>
      </c>
      <c r="E3803" t="s">
        <v>20627</v>
      </c>
      <c r="G3803" t="s">
        <v>20628</v>
      </c>
      <c r="L3803" t="s">
        <v>83</v>
      </c>
      <c r="M3803" t="s">
        <v>85</v>
      </c>
      <c r="R3803" t="s">
        <v>20629</v>
      </c>
      <c r="W3803" t="s">
        <v>20627</v>
      </c>
      <c r="X3803" t="s">
        <v>191</v>
      </c>
      <c r="Y3803" t="s">
        <v>97</v>
      </c>
      <c r="Z3803" t="s">
        <v>77</v>
      </c>
      <c r="AA3803" t="str">
        <f>"10019-1147"</f>
        <v>10019-1147</v>
      </c>
      <c r="AB3803" t="s">
        <v>78</v>
      </c>
      <c r="AC3803" t="s">
        <v>79</v>
      </c>
      <c r="AD3803" t="s">
        <v>75</v>
      </c>
      <c r="AE3803" t="s">
        <v>80</v>
      </c>
      <c r="AG3803" t="s">
        <v>81</v>
      </c>
    </row>
    <row r="3804" spans="1:33" x14ac:dyDescent="0.25">
      <c r="A3804" t="str">
        <f>"1114187028"</f>
        <v>1114187028</v>
      </c>
      <c r="B3804" t="str">
        <f>"03545902"</f>
        <v>03545902</v>
      </c>
      <c r="C3804" t="s">
        <v>13436</v>
      </c>
      <c r="D3804" t="s">
        <v>20630</v>
      </c>
      <c r="E3804" t="s">
        <v>20631</v>
      </c>
      <c r="G3804" t="s">
        <v>20632</v>
      </c>
      <c r="L3804" t="s">
        <v>83</v>
      </c>
      <c r="M3804" t="s">
        <v>85</v>
      </c>
      <c r="R3804" t="s">
        <v>20633</v>
      </c>
      <c r="W3804" t="s">
        <v>20631</v>
      </c>
      <c r="X3804" t="s">
        <v>20634</v>
      </c>
      <c r="Y3804" t="s">
        <v>97</v>
      </c>
      <c r="Z3804" t="s">
        <v>77</v>
      </c>
      <c r="AA3804" t="str">
        <f>"10003"</f>
        <v>10003</v>
      </c>
      <c r="AB3804" t="s">
        <v>78</v>
      </c>
      <c r="AC3804" t="s">
        <v>79</v>
      </c>
      <c r="AD3804" t="s">
        <v>75</v>
      </c>
      <c r="AE3804" t="s">
        <v>80</v>
      </c>
      <c r="AG3804" t="s">
        <v>81</v>
      </c>
    </row>
    <row r="3805" spans="1:33" x14ac:dyDescent="0.25">
      <c r="A3805" t="str">
        <f>"1114231826"</f>
        <v>1114231826</v>
      </c>
      <c r="B3805" t="str">
        <f>"03573911"</f>
        <v>03573911</v>
      </c>
      <c r="C3805" t="s">
        <v>13436</v>
      </c>
      <c r="D3805" t="s">
        <v>20635</v>
      </c>
      <c r="E3805" t="s">
        <v>20636</v>
      </c>
      <c r="G3805" t="s">
        <v>20637</v>
      </c>
      <c r="L3805" t="s">
        <v>105</v>
      </c>
      <c r="M3805" t="s">
        <v>85</v>
      </c>
      <c r="R3805" t="s">
        <v>20638</v>
      </c>
      <c r="W3805" t="s">
        <v>20636</v>
      </c>
      <c r="X3805" t="s">
        <v>181</v>
      </c>
      <c r="Y3805" t="s">
        <v>97</v>
      </c>
      <c r="Z3805" t="s">
        <v>77</v>
      </c>
      <c r="AA3805" t="str">
        <f>"10025-1716"</f>
        <v>10025-1716</v>
      </c>
      <c r="AB3805" t="s">
        <v>78</v>
      </c>
      <c r="AC3805" t="s">
        <v>79</v>
      </c>
      <c r="AD3805" t="s">
        <v>75</v>
      </c>
      <c r="AE3805" t="s">
        <v>80</v>
      </c>
      <c r="AG3805" t="s">
        <v>81</v>
      </c>
    </row>
    <row r="3806" spans="1:33" x14ac:dyDescent="0.25">
      <c r="A3806" t="str">
        <f>"1366766776"</f>
        <v>1366766776</v>
      </c>
      <c r="C3806" t="s">
        <v>20639</v>
      </c>
      <c r="G3806" t="s">
        <v>7218</v>
      </c>
      <c r="H3806" t="s">
        <v>6801</v>
      </c>
      <c r="I3806">
        <v>6136</v>
      </c>
      <c r="J3806" t="s">
        <v>7219</v>
      </c>
      <c r="K3806" t="s">
        <v>99</v>
      </c>
      <c r="L3806" t="s">
        <v>102</v>
      </c>
      <c r="M3806" t="s">
        <v>75</v>
      </c>
      <c r="R3806" t="s">
        <v>20640</v>
      </c>
      <c r="S3806" t="s">
        <v>20641</v>
      </c>
      <c r="T3806" t="s">
        <v>254</v>
      </c>
      <c r="U3806" t="s">
        <v>77</v>
      </c>
      <c r="V3806" t="str">
        <f>"113744965"</f>
        <v>113744965</v>
      </c>
      <c r="AC3806" t="s">
        <v>79</v>
      </c>
      <c r="AD3806" t="s">
        <v>75</v>
      </c>
      <c r="AE3806" t="s">
        <v>103</v>
      </c>
      <c r="AG3806" t="s">
        <v>81</v>
      </c>
    </row>
    <row r="3807" spans="1:33" x14ac:dyDescent="0.25">
      <c r="A3807" t="str">
        <f>"1366592859"</f>
        <v>1366592859</v>
      </c>
      <c r="B3807" t="str">
        <f>"02574490"</f>
        <v>02574490</v>
      </c>
      <c r="C3807" t="s">
        <v>13436</v>
      </c>
      <c r="D3807" t="s">
        <v>20642</v>
      </c>
      <c r="E3807" t="s">
        <v>20643</v>
      </c>
      <c r="G3807" t="s">
        <v>20644</v>
      </c>
      <c r="L3807" t="s">
        <v>83</v>
      </c>
      <c r="M3807" t="s">
        <v>85</v>
      </c>
      <c r="R3807" t="s">
        <v>20645</v>
      </c>
      <c r="W3807" t="s">
        <v>20643</v>
      </c>
      <c r="X3807" t="s">
        <v>3553</v>
      </c>
      <c r="Y3807" t="s">
        <v>97</v>
      </c>
      <c r="Z3807" t="s">
        <v>77</v>
      </c>
      <c r="AA3807" t="str">
        <f>"10003-3851"</f>
        <v>10003-3851</v>
      </c>
      <c r="AB3807" t="s">
        <v>78</v>
      </c>
      <c r="AC3807" t="s">
        <v>79</v>
      </c>
      <c r="AD3807" t="s">
        <v>75</v>
      </c>
      <c r="AE3807" t="s">
        <v>80</v>
      </c>
      <c r="AG3807" t="s">
        <v>81</v>
      </c>
    </row>
    <row r="3808" spans="1:33" x14ac:dyDescent="0.25">
      <c r="A3808" t="str">
        <f>"1376504100"</f>
        <v>1376504100</v>
      </c>
      <c r="B3808" t="str">
        <f>"02572347"</f>
        <v>02572347</v>
      </c>
      <c r="C3808" t="s">
        <v>13436</v>
      </c>
      <c r="D3808" t="s">
        <v>20646</v>
      </c>
      <c r="E3808" t="s">
        <v>20647</v>
      </c>
      <c r="G3808" t="s">
        <v>20648</v>
      </c>
      <c r="L3808" t="s">
        <v>84</v>
      </c>
      <c r="M3808" t="s">
        <v>85</v>
      </c>
      <c r="R3808" t="s">
        <v>20649</v>
      </c>
      <c r="W3808" t="s">
        <v>20647</v>
      </c>
      <c r="X3808" t="s">
        <v>6051</v>
      </c>
      <c r="Y3808" t="s">
        <v>87</v>
      </c>
      <c r="Z3808" t="s">
        <v>77</v>
      </c>
      <c r="AA3808" t="str">
        <f>"11201-6004"</f>
        <v>11201-6004</v>
      </c>
      <c r="AB3808" t="s">
        <v>78</v>
      </c>
      <c r="AC3808" t="s">
        <v>79</v>
      </c>
      <c r="AD3808" t="s">
        <v>75</v>
      </c>
      <c r="AE3808" t="s">
        <v>80</v>
      </c>
      <c r="AG3808" t="s">
        <v>81</v>
      </c>
    </row>
    <row r="3809" spans="1:33" x14ac:dyDescent="0.25">
      <c r="A3809" t="str">
        <f>"1376524405"</f>
        <v>1376524405</v>
      </c>
      <c r="B3809" t="str">
        <f>"02020473"</f>
        <v>02020473</v>
      </c>
      <c r="C3809" t="s">
        <v>13436</v>
      </c>
      <c r="D3809" t="s">
        <v>20650</v>
      </c>
      <c r="E3809" t="s">
        <v>20651</v>
      </c>
      <c r="G3809" t="s">
        <v>20652</v>
      </c>
      <c r="L3809" t="s">
        <v>74</v>
      </c>
      <c r="M3809" t="s">
        <v>85</v>
      </c>
      <c r="R3809" t="s">
        <v>20653</v>
      </c>
      <c r="W3809" t="s">
        <v>20651</v>
      </c>
      <c r="X3809" t="s">
        <v>3553</v>
      </c>
      <c r="Y3809" t="s">
        <v>97</v>
      </c>
      <c r="Z3809" t="s">
        <v>77</v>
      </c>
      <c r="AA3809" t="str">
        <f>"10003-3851"</f>
        <v>10003-3851</v>
      </c>
      <c r="AB3809" t="s">
        <v>78</v>
      </c>
      <c r="AC3809" t="s">
        <v>79</v>
      </c>
      <c r="AD3809" t="s">
        <v>75</v>
      </c>
      <c r="AE3809" t="s">
        <v>80</v>
      </c>
      <c r="AG3809" t="s">
        <v>81</v>
      </c>
    </row>
    <row r="3810" spans="1:33" x14ac:dyDescent="0.25">
      <c r="A3810" t="str">
        <f>"1376524413"</f>
        <v>1376524413</v>
      </c>
      <c r="B3810" t="str">
        <f>"01179217"</f>
        <v>01179217</v>
      </c>
      <c r="C3810" t="s">
        <v>13436</v>
      </c>
      <c r="D3810" t="s">
        <v>20654</v>
      </c>
      <c r="E3810" t="s">
        <v>20655</v>
      </c>
      <c r="G3810" t="s">
        <v>20656</v>
      </c>
      <c r="L3810" t="s">
        <v>74</v>
      </c>
      <c r="M3810" t="s">
        <v>85</v>
      </c>
      <c r="R3810" t="s">
        <v>20657</v>
      </c>
      <c r="W3810" t="s">
        <v>20655</v>
      </c>
      <c r="X3810" t="s">
        <v>20658</v>
      </c>
      <c r="Y3810" t="s">
        <v>131</v>
      </c>
      <c r="Z3810" t="s">
        <v>77</v>
      </c>
      <c r="AA3810" t="str">
        <f>"10467-2401"</f>
        <v>10467-2401</v>
      </c>
      <c r="AB3810" t="s">
        <v>78</v>
      </c>
      <c r="AC3810" t="s">
        <v>79</v>
      </c>
      <c r="AD3810" t="s">
        <v>75</v>
      </c>
      <c r="AE3810" t="s">
        <v>80</v>
      </c>
      <c r="AG3810" t="s">
        <v>81</v>
      </c>
    </row>
    <row r="3811" spans="1:33" x14ac:dyDescent="0.25">
      <c r="A3811" t="str">
        <f>"1376565762"</f>
        <v>1376565762</v>
      </c>
      <c r="B3811" t="str">
        <f>"01055834"</f>
        <v>01055834</v>
      </c>
      <c r="C3811" t="s">
        <v>13436</v>
      </c>
      <c r="D3811" t="s">
        <v>20659</v>
      </c>
      <c r="E3811" t="s">
        <v>20660</v>
      </c>
      <c r="G3811" t="s">
        <v>20661</v>
      </c>
      <c r="L3811" t="s">
        <v>74</v>
      </c>
      <c r="M3811" t="s">
        <v>85</v>
      </c>
      <c r="R3811" t="s">
        <v>20662</v>
      </c>
      <c r="W3811" t="s">
        <v>20663</v>
      </c>
      <c r="X3811" t="s">
        <v>181</v>
      </c>
      <c r="Y3811" t="s">
        <v>97</v>
      </c>
      <c r="Z3811" t="s">
        <v>77</v>
      </c>
      <c r="AA3811" t="str">
        <f>"10025-1716"</f>
        <v>10025-1716</v>
      </c>
      <c r="AB3811" t="s">
        <v>93</v>
      </c>
      <c r="AC3811" t="s">
        <v>79</v>
      </c>
      <c r="AD3811" t="s">
        <v>75</v>
      </c>
      <c r="AE3811" t="s">
        <v>80</v>
      </c>
      <c r="AG3811" t="s">
        <v>81</v>
      </c>
    </row>
    <row r="3812" spans="1:33" x14ac:dyDescent="0.25">
      <c r="A3812" t="str">
        <f>"1376590513"</f>
        <v>1376590513</v>
      </c>
      <c r="B3812" t="str">
        <f>"01047938"</f>
        <v>01047938</v>
      </c>
      <c r="C3812" t="s">
        <v>13436</v>
      </c>
      <c r="D3812" t="s">
        <v>20664</v>
      </c>
      <c r="E3812" t="s">
        <v>20665</v>
      </c>
      <c r="G3812" t="s">
        <v>20666</v>
      </c>
      <c r="L3812" t="s">
        <v>83</v>
      </c>
      <c r="M3812" t="s">
        <v>85</v>
      </c>
      <c r="R3812" t="s">
        <v>20667</v>
      </c>
      <c r="W3812" t="s">
        <v>20665</v>
      </c>
      <c r="X3812" t="s">
        <v>20668</v>
      </c>
      <c r="Y3812" t="s">
        <v>97</v>
      </c>
      <c r="Z3812" t="s">
        <v>77</v>
      </c>
      <c r="AA3812" t="str">
        <f>"10003-3851"</f>
        <v>10003-3851</v>
      </c>
      <c r="AB3812" t="s">
        <v>78</v>
      </c>
      <c r="AC3812" t="s">
        <v>79</v>
      </c>
      <c r="AD3812" t="s">
        <v>75</v>
      </c>
      <c r="AE3812" t="s">
        <v>80</v>
      </c>
      <c r="AG3812" t="s">
        <v>81</v>
      </c>
    </row>
    <row r="3813" spans="1:33" x14ac:dyDescent="0.25">
      <c r="A3813" t="str">
        <f>"1376610337"</f>
        <v>1376610337</v>
      </c>
      <c r="B3813" t="str">
        <f>"01773202"</f>
        <v>01773202</v>
      </c>
      <c r="C3813" t="s">
        <v>13436</v>
      </c>
      <c r="D3813" t="s">
        <v>20669</v>
      </c>
      <c r="E3813" t="s">
        <v>20670</v>
      </c>
      <c r="G3813" t="s">
        <v>20671</v>
      </c>
      <c r="L3813" t="s">
        <v>102</v>
      </c>
      <c r="M3813" t="s">
        <v>85</v>
      </c>
      <c r="R3813" t="s">
        <v>20672</v>
      </c>
      <c r="W3813" t="s">
        <v>20670</v>
      </c>
      <c r="X3813" t="s">
        <v>5307</v>
      </c>
      <c r="Y3813" t="s">
        <v>97</v>
      </c>
      <c r="Z3813" t="s">
        <v>77</v>
      </c>
      <c r="AA3813" t="str">
        <f>"10003"</f>
        <v>10003</v>
      </c>
      <c r="AB3813" t="s">
        <v>78</v>
      </c>
      <c r="AC3813" t="s">
        <v>79</v>
      </c>
      <c r="AD3813" t="s">
        <v>75</v>
      </c>
      <c r="AE3813" t="s">
        <v>80</v>
      </c>
      <c r="AG3813" t="s">
        <v>81</v>
      </c>
    </row>
    <row r="3814" spans="1:33" x14ac:dyDescent="0.25">
      <c r="A3814" t="str">
        <f>"1154610962"</f>
        <v>1154610962</v>
      </c>
      <c r="B3814" t="str">
        <f>"03972658"</f>
        <v>03972658</v>
      </c>
      <c r="C3814" t="s">
        <v>13436</v>
      </c>
      <c r="D3814" t="s">
        <v>20673</v>
      </c>
      <c r="E3814" t="s">
        <v>20674</v>
      </c>
      <c r="G3814" t="s">
        <v>20675</v>
      </c>
      <c r="L3814" t="s">
        <v>74</v>
      </c>
      <c r="M3814" t="s">
        <v>75</v>
      </c>
      <c r="R3814" t="s">
        <v>20676</v>
      </c>
      <c r="W3814" t="s">
        <v>20677</v>
      </c>
      <c r="X3814" t="s">
        <v>329</v>
      </c>
      <c r="Y3814" t="s">
        <v>97</v>
      </c>
      <c r="Z3814" t="s">
        <v>77</v>
      </c>
      <c r="AA3814" t="str">
        <f>"10029-6504"</f>
        <v>10029-6504</v>
      </c>
      <c r="AB3814" t="s">
        <v>78</v>
      </c>
      <c r="AC3814" t="s">
        <v>79</v>
      </c>
      <c r="AD3814" t="s">
        <v>75</v>
      </c>
      <c r="AE3814" t="s">
        <v>80</v>
      </c>
      <c r="AG3814" t="s">
        <v>81</v>
      </c>
    </row>
    <row r="3815" spans="1:33" x14ac:dyDescent="0.25">
      <c r="A3815" t="str">
        <f>"1164628079"</f>
        <v>1164628079</v>
      </c>
      <c r="B3815" t="str">
        <f>"02899003"</f>
        <v>02899003</v>
      </c>
      <c r="C3815" t="s">
        <v>13436</v>
      </c>
      <c r="D3815" t="s">
        <v>20678</v>
      </c>
      <c r="E3815" t="s">
        <v>20679</v>
      </c>
      <c r="G3815" t="s">
        <v>20680</v>
      </c>
      <c r="L3815" t="s">
        <v>94</v>
      </c>
      <c r="M3815" t="s">
        <v>85</v>
      </c>
      <c r="R3815" t="s">
        <v>20681</v>
      </c>
      <c r="W3815" t="s">
        <v>20679</v>
      </c>
      <c r="X3815" t="s">
        <v>329</v>
      </c>
      <c r="Y3815" t="s">
        <v>97</v>
      </c>
      <c r="Z3815" t="s">
        <v>77</v>
      </c>
      <c r="AA3815" t="str">
        <f>"10029-6504"</f>
        <v>10029-6504</v>
      </c>
      <c r="AB3815" t="s">
        <v>78</v>
      </c>
      <c r="AC3815" t="s">
        <v>79</v>
      </c>
      <c r="AD3815" t="s">
        <v>75</v>
      </c>
      <c r="AE3815" t="s">
        <v>80</v>
      </c>
      <c r="AG3815" t="s">
        <v>81</v>
      </c>
    </row>
    <row r="3816" spans="1:33" x14ac:dyDescent="0.25">
      <c r="A3816" t="str">
        <f>"1164652079"</f>
        <v>1164652079</v>
      </c>
      <c r="B3816" t="str">
        <f>"03156681"</f>
        <v>03156681</v>
      </c>
      <c r="C3816" t="s">
        <v>13436</v>
      </c>
      <c r="D3816" t="s">
        <v>20682</v>
      </c>
      <c r="E3816" t="s">
        <v>20683</v>
      </c>
      <c r="G3816" t="s">
        <v>20684</v>
      </c>
      <c r="L3816" t="s">
        <v>84</v>
      </c>
      <c r="M3816" t="s">
        <v>85</v>
      </c>
      <c r="R3816" t="s">
        <v>20685</v>
      </c>
      <c r="W3816" t="s">
        <v>20686</v>
      </c>
      <c r="X3816" t="s">
        <v>20687</v>
      </c>
      <c r="Y3816" t="s">
        <v>97</v>
      </c>
      <c r="Z3816" t="s">
        <v>77</v>
      </c>
      <c r="AA3816" t="str">
        <f>"10029-6500"</f>
        <v>10029-6500</v>
      </c>
      <c r="AB3816" t="s">
        <v>78</v>
      </c>
      <c r="AC3816" t="s">
        <v>79</v>
      </c>
      <c r="AD3816" t="s">
        <v>75</v>
      </c>
      <c r="AE3816" t="s">
        <v>80</v>
      </c>
      <c r="AG3816" t="s">
        <v>81</v>
      </c>
    </row>
    <row r="3817" spans="1:33" x14ac:dyDescent="0.25">
      <c r="A3817" t="str">
        <f>"1205857885"</f>
        <v>1205857885</v>
      </c>
      <c r="B3817" t="str">
        <f>"00987811"</f>
        <v>00987811</v>
      </c>
      <c r="C3817" t="s">
        <v>13436</v>
      </c>
      <c r="D3817" t="s">
        <v>20688</v>
      </c>
      <c r="E3817" t="s">
        <v>20689</v>
      </c>
      <c r="G3817" t="s">
        <v>20690</v>
      </c>
      <c r="L3817" t="s">
        <v>84</v>
      </c>
      <c r="M3817" t="s">
        <v>75</v>
      </c>
      <c r="R3817" t="s">
        <v>20691</v>
      </c>
      <c r="W3817" t="s">
        <v>20689</v>
      </c>
      <c r="X3817" t="s">
        <v>318</v>
      </c>
      <c r="Y3817" t="s">
        <v>131</v>
      </c>
      <c r="Z3817" t="s">
        <v>77</v>
      </c>
      <c r="AA3817" t="str">
        <f>"10457-7606"</f>
        <v>10457-7606</v>
      </c>
      <c r="AB3817" t="s">
        <v>78</v>
      </c>
      <c r="AC3817" t="s">
        <v>79</v>
      </c>
      <c r="AD3817" t="s">
        <v>75</v>
      </c>
      <c r="AE3817" t="s">
        <v>80</v>
      </c>
      <c r="AG3817" t="s">
        <v>81</v>
      </c>
    </row>
    <row r="3818" spans="1:33" x14ac:dyDescent="0.25">
      <c r="A3818" t="str">
        <f>"1205870425"</f>
        <v>1205870425</v>
      </c>
      <c r="B3818" t="str">
        <f>"02691376"</f>
        <v>02691376</v>
      </c>
      <c r="C3818" t="s">
        <v>13436</v>
      </c>
      <c r="D3818" t="s">
        <v>20692</v>
      </c>
      <c r="E3818" t="s">
        <v>20693</v>
      </c>
      <c r="G3818" t="s">
        <v>20694</v>
      </c>
      <c r="L3818" t="s">
        <v>105</v>
      </c>
      <c r="M3818" t="s">
        <v>85</v>
      </c>
      <c r="R3818" t="s">
        <v>20695</v>
      </c>
      <c r="W3818" t="s">
        <v>20693</v>
      </c>
      <c r="X3818" t="s">
        <v>329</v>
      </c>
      <c r="Y3818" t="s">
        <v>97</v>
      </c>
      <c r="Z3818" t="s">
        <v>77</v>
      </c>
      <c r="AA3818" t="str">
        <f>"10029-6500"</f>
        <v>10029-6500</v>
      </c>
      <c r="AB3818" t="s">
        <v>78</v>
      </c>
      <c r="AC3818" t="s">
        <v>79</v>
      </c>
      <c r="AD3818" t="s">
        <v>75</v>
      </c>
      <c r="AE3818" t="s">
        <v>80</v>
      </c>
      <c r="AG3818" t="s">
        <v>81</v>
      </c>
    </row>
    <row r="3819" spans="1:33" x14ac:dyDescent="0.25">
      <c r="A3819" t="str">
        <f>"1205930443"</f>
        <v>1205930443</v>
      </c>
      <c r="B3819" t="str">
        <f>"02448795"</f>
        <v>02448795</v>
      </c>
      <c r="C3819" t="s">
        <v>13436</v>
      </c>
      <c r="D3819" t="s">
        <v>20696</v>
      </c>
      <c r="E3819" t="s">
        <v>5415</v>
      </c>
      <c r="G3819" t="s">
        <v>20697</v>
      </c>
      <c r="L3819" t="s">
        <v>74</v>
      </c>
      <c r="M3819" t="s">
        <v>75</v>
      </c>
      <c r="R3819" t="s">
        <v>20698</v>
      </c>
      <c r="W3819" t="s">
        <v>5415</v>
      </c>
      <c r="X3819" t="s">
        <v>5415</v>
      </c>
      <c r="Y3819" t="s">
        <v>97</v>
      </c>
      <c r="Z3819" t="s">
        <v>77</v>
      </c>
      <c r="AA3819" t="str">
        <f>"10003-3532"</f>
        <v>10003-3532</v>
      </c>
      <c r="AB3819" t="s">
        <v>125</v>
      </c>
      <c r="AC3819" t="s">
        <v>79</v>
      </c>
      <c r="AD3819" t="s">
        <v>75</v>
      </c>
      <c r="AE3819" t="s">
        <v>80</v>
      </c>
      <c r="AG3819" t="s">
        <v>81</v>
      </c>
    </row>
    <row r="3820" spans="1:33" x14ac:dyDescent="0.25">
      <c r="A3820" t="str">
        <f>"1205975406"</f>
        <v>1205975406</v>
      </c>
      <c r="B3820" t="str">
        <f>"01837874"</f>
        <v>01837874</v>
      </c>
      <c r="C3820" t="s">
        <v>13436</v>
      </c>
      <c r="D3820" t="s">
        <v>20699</v>
      </c>
      <c r="E3820" t="s">
        <v>4499</v>
      </c>
      <c r="G3820" t="s">
        <v>20700</v>
      </c>
      <c r="L3820" t="s">
        <v>102</v>
      </c>
      <c r="M3820" t="s">
        <v>75</v>
      </c>
      <c r="R3820" t="s">
        <v>4574</v>
      </c>
      <c r="W3820" t="s">
        <v>4499</v>
      </c>
      <c r="X3820" t="s">
        <v>20701</v>
      </c>
      <c r="Y3820" t="s">
        <v>87</v>
      </c>
      <c r="Z3820" t="s">
        <v>77</v>
      </c>
      <c r="AA3820" t="str">
        <f>"11230"</f>
        <v>11230</v>
      </c>
      <c r="AB3820" t="s">
        <v>78</v>
      </c>
      <c r="AC3820" t="s">
        <v>79</v>
      </c>
      <c r="AD3820" t="s">
        <v>75</v>
      </c>
      <c r="AE3820" t="s">
        <v>80</v>
      </c>
      <c r="AG3820" t="s">
        <v>81</v>
      </c>
    </row>
    <row r="3821" spans="1:33" x14ac:dyDescent="0.25">
      <c r="A3821" t="str">
        <f>"1720059975"</f>
        <v>1720059975</v>
      </c>
      <c r="B3821" t="str">
        <f>"00439083"</f>
        <v>00439083</v>
      </c>
      <c r="C3821" t="s">
        <v>20702</v>
      </c>
      <c r="D3821" t="s">
        <v>20703</v>
      </c>
      <c r="E3821" t="s">
        <v>20704</v>
      </c>
      <c r="G3821" t="s">
        <v>17133</v>
      </c>
      <c r="H3821" t="s">
        <v>3396</v>
      </c>
      <c r="J3821" t="s">
        <v>17134</v>
      </c>
      <c r="L3821" t="s">
        <v>94</v>
      </c>
      <c r="M3821" t="s">
        <v>75</v>
      </c>
      <c r="R3821" t="s">
        <v>20705</v>
      </c>
      <c r="W3821" t="s">
        <v>20704</v>
      </c>
      <c r="X3821" t="s">
        <v>4044</v>
      </c>
      <c r="Y3821" t="s">
        <v>87</v>
      </c>
      <c r="Z3821" t="s">
        <v>77</v>
      </c>
      <c r="AA3821" t="str">
        <f>"11224-3632"</f>
        <v>11224-3632</v>
      </c>
      <c r="AB3821" t="s">
        <v>78</v>
      </c>
      <c r="AC3821" t="s">
        <v>79</v>
      </c>
      <c r="AD3821" t="s">
        <v>75</v>
      </c>
      <c r="AE3821" t="s">
        <v>80</v>
      </c>
      <c r="AG3821" t="s">
        <v>81</v>
      </c>
    </row>
    <row r="3822" spans="1:33" x14ac:dyDescent="0.25">
      <c r="A3822" t="str">
        <f>"1932538030"</f>
        <v>1932538030</v>
      </c>
      <c r="C3822" t="s">
        <v>20706</v>
      </c>
      <c r="G3822" t="s">
        <v>13432</v>
      </c>
      <c r="H3822" t="s">
        <v>13433</v>
      </c>
      <c r="J3822" t="s">
        <v>13434</v>
      </c>
      <c r="K3822" t="s">
        <v>99</v>
      </c>
      <c r="L3822" t="s">
        <v>102</v>
      </c>
      <c r="M3822" t="s">
        <v>75</v>
      </c>
      <c r="R3822" t="s">
        <v>20707</v>
      </c>
      <c r="S3822" t="s">
        <v>4780</v>
      </c>
      <c r="T3822" t="s">
        <v>97</v>
      </c>
      <c r="U3822" t="s">
        <v>77</v>
      </c>
      <c r="V3822" t="str">
        <f>"100112019"</f>
        <v>100112019</v>
      </c>
      <c r="AC3822" t="s">
        <v>79</v>
      </c>
      <c r="AD3822" t="s">
        <v>75</v>
      </c>
      <c r="AE3822" t="s">
        <v>103</v>
      </c>
      <c r="AG3822" t="s">
        <v>81</v>
      </c>
    </row>
    <row r="3823" spans="1:33" x14ac:dyDescent="0.25">
      <c r="A3823" t="str">
        <f>"1699103895"</f>
        <v>1699103895</v>
      </c>
      <c r="C3823" t="s">
        <v>20708</v>
      </c>
      <c r="G3823" t="s">
        <v>13432</v>
      </c>
      <c r="H3823" t="s">
        <v>13433</v>
      </c>
      <c r="J3823" t="s">
        <v>13434</v>
      </c>
      <c r="K3823" t="s">
        <v>99</v>
      </c>
      <c r="L3823" t="s">
        <v>102</v>
      </c>
      <c r="M3823" t="s">
        <v>75</v>
      </c>
      <c r="R3823" t="s">
        <v>20709</v>
      </c>
      <c r="S3823" t="s">
        <v>17502</v>
      </c>
      <c r="T3823" t="s">
        <v>97</v>
      </c>
      <c r="U3823" t="s">
        <v>77</v>
      </c>
      <c r="V3823" t="str">
        <f>"100112019"</f>
        <v>100112019</v>
      </c>
      <c r="AC3823" t="s">
        <v>79</v>
      </c>
      <c r="AD3823" t="s">
        <v>75</v>
      </c>
      <c r="AE3823" t="s">
        <v>103</v>
      </c>
      <c r="AG3823" t="s">
        <v>81</v>
      </c>
    </row>
    <row r="3824" spans="1:33" x14ac:dyDescent="0.25">
      <c r="A3824" t="str">
        <f>"1942622618"</f>
        <v>1942622618</v>
      </c>
      <c r="C3824" t="s">
        <v>20710</v>
      </c>
      <c r="G3824" t="s">
        <v>13432</v>
      </c>
      <c r="H3824" t="s">
        <v>13433</v>
      </c>
      <c r="J3824" t="s">
        <v>13434</v>
      </c>
      <c r="K3824" t="s">
        <v>99</v>
      </c>
      <c r="L3824" t="s">
        <v>74</v>
      </c>
      <c r="M3824" t="s">
        <v>75</v>
      </c>
      <c r="R3824" t="s">
        <v>20711</v>
      </c>
      <c r="S3824" t="s">
        <v>5322</v>
      </c>
      <c r="T3824" t="s">
        <v>97</v>
      </c>
      <c r="U3824" t="s">
        <v>77</v>
      </c>
      <c r="V3824" t="str">
        <f>"100112019"</f>
        <v>100112019</v>
      </c>
      <c r="AC3824" t="s">
        <v>79</v>
      </c>
      <c r="AD3824" t="s">
        <v>75</v>
      </c>
      <c r="AE3824" t="s">
        <v>103</v>
      </c>
      <c r="AG3824" t="s">
        <v>81</v>
      </c>
    </row>
    <row r="3825" spans="1:33" x14ac:dyDescent="0.25">
      <c r="A3825" t="str">
        <f>"1568736163"</f>
        <v>1568736163</v>
      </c>
      <c r="C3825" t="s">
        <v>13432</v>
      </c>
      <c r="G3825" t="s">
        <v>13432</v>
      </c>
      <c r="H3825" t="s">
        <v>13433</v>
      </c>
      <c r="J3825" t="s">
        <v>13434</v>
      </c>
      <c r="K3825" t="s">
        <v>99</v>
      </c>
      <c r="L3825" t="s">
        <v>74</v>
      </c>
      <c r="M3825" t="s">
        <v>75</v>
      </c>
      <c r="R3825" t="s">
        <v>20712</v>
      </c>
      <c r="S3825" t="s">
        <v>3076</v>
      </c>
      <c r="T3825" t="s">
        <v>97</v>
      </c>
      <c r="U3825" t="s">
        <v>77</v>
      </c>
      <c r="V3825" t="str">
        <f>"100143518"</f>
        <v>100143518</v>
      </c>
      <c r="AC3825" t="s">
        <v>79</v>
      </c>
      <c r="AD3825" t="s">
        <v>75</v>
      </c>
      <c r="AE3825" t="s">
        <v>103</v>
      </c>
      <c r="AG3825" t="s">
        <v>81</v>
      </c>
    </row>
    <row r="3826" spans="1:33" x14ac:dyDescent="0.25">
      <c r="A3826" t="str">
        <f>"1518291699"</f>
        <v>1518291699</v>
      </c>
      <c r="B3826" t="str">
        <f>"03493038"</f>
        <v>03493038</v>
      </c>
      <c r="C3826" t="s">
        <v>20713</v>
      </c>
      <c r="D3826" t="s">
        <v>20714</v>
      </c>
      <c r="E3826" t="s">
        <v>20715</v>
      </c>
      <c r="G3826" t="s">
        <v>13432</v>
      </c>
      <c r="H3826" t="s">
        <v>13433</v>
      </c>
      <c r="J3826" t="s">
        <v>13434</v>
      </c>
      <c r="L3826" t="s">
        <v>105</v>
      </c>
      <c r="M3826" t="s">
        <v>75</v>
      </c>
      <c r="R3826" t="s">
        <v>20716</v>
      </c>
      <c r="W3826" t="s">
        <v>20715</v>
      </c>
      <c r="X3826" t="s">
        <v>13435</v>
      </c>
      <c r="Y3826" t="s">
        <v>97</v>
      </c>
      <c r="Z3826" t="s">
        <v>77</v>
      </c>
      <c r="AA3826" t="str">
        <f>"10027"</f>
        <v>10027</v>
      </c>
      <c r="AB3826" t="s">
        <v>113</v>
      </c>
      <c r="AC3826" t="s">
        <v>79</v>
      </c>
      <c r="AD3826" t="s">
        <v>75</v>
      </c>
      <c r="AE3826" t="s">
        <v>80</v>
      </c>
      <c r="AG3826" t="s">
        <v>81</v>
      </c>
    </row>
    <row r="3827" spans="1:33" x14ac:dyDescent="0.25">
      <c r="A3827" t="str">
        <f>"1356779979"</f>
        <v>1356779979</v>
      </c>
      <c r="C3827" t="s">
        <v>20717</v>
      </c>
      <c r="G3827" t="s">
        <v>13432</v>
      </c>
      <c r="H3827" t="s">
        <v>13433</v>
      </c>
      <c r="J3827" t="s">
        <v>13434</v>
      </c>
      <c r="K3827" t="s">
        <v>99</v>
      </c>
      <c r="L3827" t="s">
        <v>102</v>
      </c>
      <c r="M3827" t="s">
        <v>75</v>
      </c>
      <c r="R3827" t="s">
        <v>20718</v>
      </c>
      <c r="S3827" t="s">
        <v>20719</v>
      </c>
      <c r="T3827" t="s">
        <v>87</v>
      </c>
      <c r="U3827" t="s">
        <v>77</v>
      </c>
      <c r="V3827" t="str">
        <f>"112156517"</f>
        <v>112156517</v>
      </c>
      <c r="AC3827" t="s">
        <v>79</v>
      </c>
      <c r="AD3827" t="s">
        <v>75</v>
      </c>
      <c r="AE3827" t="s">
        <v>103</v>
      </c>
      <c r="AG3827" t="s">
        <v>81</v>
      </c>
    </row>
    <row r="3828" spans="1:33" x14ac:dyDescent="0.25">
      <c r="A3828" t="str">
        <f>"1265867071"</f>
        <v>1265867071</v>
      </c>
      <c r="C3828" t="s">
        <v>20720</v>
      </c>
      <c r="G3828" t="s">
        <v>13432</v>
      </c>
      <c r="H3828" t="s">
        <v>13433</v>
      </c>
      <c r="J3828" t="s">
        <v>13434</v>
      </c>
      <c r="K3828" t="s">
        <v>99</v>
      </c>
      <c r="L3828" t="s">
        <v>74</v>
      </c>
      <c r="M3828" t="s">
        <v>75</v>
      </c>
      <c r="R3828" t="s">
        <v>20721</v>
      </c>
      <c r="S3828" t="s">
        <v>5322</v>
      </c>
      <c r="T3828" t="s">
        <v>97</v>
      </c>
      <c r="U3828" t="s">
        <v>77</v>
      </c>
      <c r="V3828" t="str">
        <f>"100112019"</f>
        <v>100112019</v>
      </c>
      <c r="AC3828" t="s">
        <v>79</v>
      </c>
      <c r="AD3828" t="s">
        <v>75</v>
      </c>
      <c r="AE3828" t="s">
        <v>103</v>
      </c>
      <c r="AG3828" t="s">
        <v>81</v>
      </c>
    </row>
    <row r="3829" spans="1:33" x14ac:dyDescent="0.25">
      <c r="A3829" t="str">
        <f>"1912005810"</f>
        <v>1912005810</v>
      </c>
      <c r="B3829" t="str">
        <f>"02324514"</f>
        <v>02324514</v>
      </c>
      <c r="C3829" t="s">
        <v>20722</v>
      </c>
      <c r="D3829" t="s">
        <v>2289</v>
      </c>
      <c r="E3829" t="s">
        <v>2288</v>
      </c>
      <c r="G3829" t="s">
        <v>20722</v>
      </c>
      <c r="H3829" t="s">
        <v>20723</v>
      </c>
      <c r="L3829" t="s">
        <v>83</v>
      </c>
      <c r="M3829" t="s">
        <v>85</v>
      </c>
      <c r="R3829" t="s">
        <v>2288</v>
      </c>
      <c r="W3829" t="s">
        <v>2288</v>
      </c>
      <c r="X3829" t="s">
        <v>2290</v>
      </c>
      <c r="Y3829" t="s">
        <v>1172</v>
      </c>
      <c r="Z3829" t="s">
        <v>77</v>
      </c>
      <c r="AA3829" t="str">
        <f>"12534-2602"</f>
        <v>12534-2602</v>
      </c>
      <c r="AB3829" t="s">
        <v>78</v>
      </c>
      <c r="AC3829" t="s">
        <v>79</v>
      </c>
      <c r="AD3829" t="s">
        <v>75</v>
      </c>
      <c r="AE3829" t="s">
        <v>80</v>
      </c>
      <c r="AG3829" t="s">
        <v>81</v>
      </c>
    </row>
    <row r="3830" spans="1:33" x14ac:dyDescent="0.25">
      <c r="A3830" t="str">
        <f>"1124085402"</f>
        <v>1124085402</v>
      </c>
      <c r="B3830" t="str">
        <f>"00558961"</f>
        <v>00558961</v>
      </c>
      <c r="C3830" t="s">
        <v>20724</v>
      </c>
      <c r="D3830" t="s">
        <v>2292</v>
      </c>
      <c r="E3830" t="s">
        <v>2293</v>
      </c>
      <c r="G3830" t="s">
        <v>20724</v>
      </c>
      <c r="H3830" t="s">
        <v>20725</v>
      </c>
      <c r="L3830" t="s">
        <v>74</v>
      </c>
      <c r="M3830" t="s">
        <v>75</v>
      </c>
      <c r="R3830" t="s">
        <v>2291</v>
      </c>
      <c r="W3830" t="s">
        <v>2293</v>
      </c>
      <c r="X3830" t="s">
        <v>2294</v>
      </c>
      <c r="Y3830" t="s">
        <v>95</v>
      </c>
      <c r="Z3830" t="s">
        <v>77</v>
      </c>
      <c r="AA3830" t="str">
        <f>"12205-4045"</f>
        <v>12205-4045</v>
      </c>
      <c r="AB3830" t="s">
        <v>128</v>
      </c>
      <c r="AC3830" t="s">
        <v>79</v>
      </c>
      <c r="AD3830" t="s">
        <v>75</v>
      </c>
      <c r="AE3830" t="s">
        <v>80</v>
      </c>
      <c r="AG3830" t="s">
        <v>81</v>
      </c>
    </row>
    <row r="3831" spans="1:33" x14ac:dyDescent="0.25">
      <c r="A3831" t="str">
        <f>"1841253267"</f>
        <v>1841253267</v>
      </c>
      <c r="B3831" t="str">
        <f>"01617692"</f>
        <v>01617692</v>
      </c>
      <c r="C3831" t="s">
        <v>20726</v>
      </c>
      <c r="D3831" t="s">
        <v>20727</v>
      </c>
      <c r="E3831" t="s">
        <v>20728</v>
      </c>
      <c r="G3831" t="s">
        <v>13504</v>
      </c>
      <c r="H3831" t="s">
        <v>13505</v>
      </c>
      <c r="J3831" t="s">
        <v>13506</v>
      </c>
      <c r="L3831" t="s">
        <v>84</v>
      </c>
      <c r="M3831" t="s">
        <v>85</v>
      </c>
      <c r="R3831" t="s">
        <v>20729</v>
      </c>
      <c r="W3831" t="s">
        <v>20730</v>
      </c>
      <c r="X3831" t="s">
        <v>20731</v>
      </c>
      <c r="Y3831" t="s">
        <v>97</v>
      </c>
      <c r="Z3831" t="s">
        <v>77</v>
      </c>
      <c r="AA3831" t="str">
        <f>"10013-4517"</f>
        <v>10013-4517</v>
      </c>
      <c r="AB3831" t="s">
        <v>78</v>
      </c>
      <c r="AC3831" t="s">
        <v>79</v>
      </c>
      <c r="AD3831" t="s">
        <v>75</v>
      </c>
      <c r="AE3831" t="s">
        <v>80</v>
      </c>
      <c r="AG3831" t="s">
        <v>81</v>
      </c>
    </row>
    <row r="3832" spans="1:33" x14ac:dyDescent="0.25">
      <c r="A3832" t="str">
        <f>"1114937968"</f>
        <v>1114937968</v>
      </c>
      <c r="B3832" t="str">
        <f>"01517697"</f>
        <v>01517697</v>
      </c>
      <c r="C3832" t="s">
        <v>20732</v>
      </c>
      <c r="D3832" t="s">
        <v>20733</v>
      </c>
      <c r="E3832" t="s">
        <v>20734</v>
      </c>
      <c r="G3832" t="s">
        <v>13504</v>
      </c>
      <c r="H3832" t="s">
        <v>13505</v>
      </c>
      <c r="J3832" t="s">
        <v>13506</v>
      </c>
      <c r="L3832" t="s">
        <v>84</v>
      </c>
      <c r="M3832" t="s">
        <v>75</v>
      </c>
      <c r="R3832" t="s">
        <v>20735</v>
      </c>
      <c r="W3832" t="s">
        <v>20734</v>
      </c>
      <c r="X3832" t="s">
        <v>20736</v>
      </c>
      <c r="Y3832" t="s">
        <v>317</v>
      </c>
      <c r="Z3832" t="s">
        <v>77</v>
      </c>
      <c r="AA3832" t="str">
        <f>"11553-3235"</f>
        <v>11553-3235</v>
      </c>
      <c r="AB3832" t="s">
        <v>78</v>
      </c>
      <c r="AC3832" t="s">
        <v>79</v>
      </c>
      <c r="AD3832" t="s">
        <v>75</v>
      </c>
      <c r="AE3832" t="s">
        <v>80</v>
      </c>
      <c r="AG3832" t="s">
        <v>81</v>
      </c>
    </row>
    <row r="3833" spans="1:33" x14ac:dyDescent="0.25">
      <c r="A3833" t="str">
        <f>"1861566457"</f>
        <v>1861566457</v>
      </c>
      <c r="B3833" t="str">
        <f>"01920167"</f>
        <v>01920167</v>
      </c>
      <c r="C3833" t="s">
        <v>20737</v>
      </c>
      <c r="D3833" t="s">
        <v>20738</v>
      </c>
      <c r="E3833" t="s">
        <v>20739</v>
      </c>
      <c r="G3833" t="s">
        <v>20737</v>
      </c>
      <c r="H3833" t="s">
        <v>20740</v>
      </c>
      <c r="J3833" t="s">
        <v>20741</v>
      </c>
      <c r="L3833" t="s">
        <v>105</v>
      </c>
      <c r="M3833" t="s">
        <v>85</v>
      </c>
      <c r="R3833" t="s">
        <v>20742</v>
      </c>
      <c r="W3833" t="s">
        <v>20739</v>
      </c>
      <c r="X3833" t="s">
        <v>16626</v>
      </c>
      <c r="Y3833" t="s">
        <v>97</v>
      </c>
      <c r="Z3833" t="s">
        <v>77</v>
      </c>
      <c r="AA3833" t="str">
        <f>"10021-4707"</f>
        <v>10021-4707</v>
      </c>
      <c r="AB3833" t="s">
        <v>78</v>
      </c>
      <c r="AC3833" t="s">
        <v>79</v>
      </c>
      <c r="AD3833" t="s">
        <v>75</v>
      </c>
      <c r="AE3833" t="s">
        <v>80</v>
      </c>
      <c r="AG3833" t="s">
        <v>81</v>
      </c>
    </row>
    <row r="3834" spans="1:33" x14ac:dyDescent="0.25">
      <c r="A3834" t="str">
        <f>"1487884979"</f>
        <v>1487884979</v>
      </c>
      <c r="C3834" t="s">
        <v>20743</v>
      </c>
      <c r="G3834" t="s">
        <v>13504</v>
      </c>
      <c r="H3834" t="s">
        <v>13505</v>
      </c>
      <c r="J3834" t="s">
        <v>13506</v>
      </c>
      <c r="K3834" t="s">
        <v>99</v>
      </c>
      <c r="L3834" t="s">
        <v>74</v>
      </c>
      <c r="M3834" t="s">
        <v>75</v>
      </c>
      <c r="R3834" t="s">
        <v>20744</v>
      </c>
      <c r="S3834" t="s">
        <v>20745</v>
      </c>
      <c r="T3834" t="s">
        <v>161</v>
      </c>
      <c r="U3834" t="s">
        <v>77</v>
      </c>
      <c r="V3834" t="str">
        <f>"110401402"</f>
        <v>110401402</v>
      </c>
      <c r="AC3834" t="s">
        <v>79</v>
      </c>
      <c r="AD3834" t="s">
        <v>75</v>
      </c>
      <c r="AE3834" t="s">
        <v>103</v>
      </c>
      <c r="AG3834" t="s">
        <v>81</v>
      </c>
    </row>
    <row r="3835" spans="1:33" x14ac:dyDescent="0.25">
      <c r="A3835" t="str">
        <f>"1679817118"</f>
        <v>1679817118</v>
      </c>
      <c r="B3835" t="str">
        <f>"03835632"</f>
        <v>03835632</v>
      </c>
      <c r="C3835" t="s">
        <v>20746</v>
      </c>
      <c r="D3835" t="s">
        <v>20747</v>
      </c>
      <c r="E3835" t="s">
        <v>20748</v>
      </c>
      <c r="G3835" t="s">
        <v>13504</v>
      </c>
      <c r="H3835" t="s">
        <v>13505</v>
      </c>
      <c r="J3835" t="s">
        <v>13506</v>
      </c>
      <c r="L3835" t="s">
        <v>94</v>
      </c>
      <c r="M3835" t="s">
        <v>75</v>
      </c>
      <c r="R3835" t="s">
        <v>20749</v>
      </c>
      <c r="W3835" t="s">
        <v>20748</v>
      </c>
      <c r="X3835" t="s">
        <v>202</v>
      </c>
      <c r="Y3835" t="s">
        <v>87</v>
      </c>
      <c r="Z3835" t="s">
        <v>77</v>
      </c>
      <c r="AA3835" t="str">
        <f>"11201-5425"</f>
        <v>11201-5425</v>
      </c>
      <c r="AB3835" t="s">
        <v>78</v>
      </c>
      <c r="AC3835" t="s">
        <v>79</v>
      </c>
      <c r="AD3835" t="s">
        <v>75</v>
      </c>
      <c r="AE3835" t="s">
        <v>80</v>
      </c>
      <c r="AG3835" t="s">
        <v>81</v>
      </c>
    </row>
    <row r="3836" spans="1:33" x14ac:dyDescent="0.25">
      <c r="A3836" t="str">
        <f>"1942466685"</f>
        <v>1942466685</v>
      </c>
      <c r="B3836" t="str">
        <f>"02209878"</f>
        <v>02209878</v>
      </c>
      <c r="C3836" t="s">
        <v>20750</v>
      </c>
      <c r="D3836" t="s">
        <v>20751</v>
      </c>
      <c r="E3836" t="s">
        <v>20752</v>
      </c>
      <c r="G3836" t="s">
        <v>20750</v>
      </c>
      <c r="H3836" t="s">
        <v>20753</v>
      </c>
      <c r="J3836" t="s">
        <v>20754</v>
      </c>
      <c r="L3836" t="s">
        <v>74</v>
      </c>
      <c r="M3836" t="s">
        <v>75</v>
      </c>
      <c r="R3836" t="s">
        <v>20755</v>
      </c>
      <c r="W3836" t="s">
        <v>20756</v>
      </c>
      <c r="X3836" t="s">
        <v>20757</v>
      </c>
      <c r="Y3836" t="s">
        <v>97</v>
      </c>
      <c r="Z3836" t="s">
        <v>77</v>
      </c>
      <c r="AA3836" t="str">
        <f>"10022-1208"</f>
        <v>10022-1208</v>
      </c>
      <c r="AB3836" t="s">
        <v>78</v>
      </c>
      <c r="AC3836" t="s">
        <v>79</v>
      </c>
      <c r="AD3836" t="s">
        <v>75</v>
      </c>
      <c r="AE3836" t="s">
        <v>80</v>
      </c>
      <c r="AG3836" t="s">
        <v>81</v>
      </c>
    </row>
    <row r="3837" spans="1:33" x14ac:dyDescent="0.25">
      <c r="A3837" t="str">
        <f>"1679750905"</f>
        <v>1679750905</v>
      </c>
      <c r="B3837" t="str">
        <f>"01814144"</f>
        <v>01814144</v>
      </c>
      <c r="C3837" t="s">
        <v>20758</v>
      </c>
      <c r="D3837" t="s">
        <v>20759</v>
      </c>
      <c r="E3837" t="s">
        <v>20760</v>
      </c>
      <c r="G3837" t="s">
        <v>20758</v>
      </c>
      <c r="H3837" t="s">
        <v>20761</v>
      </c>
      <c r="J3837" t="s">
        <v>20762</v>
      </c>
      <c r="L3837" t="s">
        <v>74</v>
      </c>
      <c r="M3837" t="s">
        <v>75</v>
      </c>
      <c r="R3837" t="s">
        <v>20763</v>
      </c>
      <c r="W3837" t="s">
        <v>20760</v>
      </c>
      <c r="X3837" t="s">
        <v>20764</v>
      </c>
      <c r="Y3837" t="s">
        <v>97</v>
      </c>
      <c r="Z3837" t="s">
        <v>77</v>
      </c>
      <c r="AA3837" t="str">
        <f>"10024-6265"</f>
        <v>10024-6265</v>
      </c>
      <c r="AB3837" t="s">
        <v>78</v>
      </c>
      <c r="AC3837" t="s">
        <v>79</v>
      </c>
      <c r="AD3837" t="s">
        <v>75</v>
      </c>
      <c r="AE3837" t="s">
        <v>80</v>
      </c>
      <c r="AG3837" t="s">
        <v>81</v>
      </c>
    </row>
    <row r="3838" spans="1:33" x14ac:dyDescent="0.25">
      <c r="A3838" t="str">
        <f>"1538255120"</f>
        <v>1538255120</v>
      </c>
      <c r="B3838" t="str">
        <f>"00839230"</f>
        <v>00839230</v>
      </c>
      <c r="C3838" t="s">
        <v>20765</v>
      </c>
      <c r="D3838" t="s">
        <v>3408</v>
      </c>
      <c r="E3838" t="s">
        <v>3409</v>
      </c>
      <c r="G3838" t="s">
        <v>19413</v>
      </c>
      <c r="H3838" t="s">
        <v>1084</v>
      </c>
      <c r="I3838">
        <v>160</v>
      </c>
      <c r="J3838" t="s">
        <v>2757</v>
      </c>
      <c r="L3838" t="s">
        <v>84</v>
      </c>
      <c r="M3838" t="s">
        <v>85</v>
      </c>
      <c r="R3838" t="s">
        <v>3410</v>
      </c>
      <c r="W3838" t="s">
        <v>3411</v>
      </c>
      <c r="X3838" t="s">
        <v>3412</v>
      </c>
      <c r="Y3838" t="s">
        <v>97</v>
      </c>
      <c r="Z3838" t="s">
        <v>77</v>
      </c>
      <c r="AA3838" t="str">
        <f>"10037"</f>
        <v>10037</v>
      </c>
      <c r="AB3838" t="s">
        <v>78</v>
      </c>
      <c r="AC3838" t="s">
        <v>79</v>
      </c>
      <c r="AD3838" t="s">
        <v>75</v>
      </c>
      <c r="AE3838" t="s">
        <v>80</v>
      </c>
      <c r="AG3838" t="s">
        <v>81</v>
      </c>
    </row>
    <row r="3839" spans="1:33" x14ac:dyDescent="0.25">
      <c r="A3839" t="str">
        <f>"1306006903"</f>
        <v>1306006903</v>
      </c>
      <c r="B3839" t="str">
        <f>"03175308"</f>
        <v>03175308</v>
      </c>
      <c r="C3839" t="s">
        <v>13436</v>
      </c>
      <c r="D3839" t="s">
        <v>20766</v>
      </c>
      <c r="E3839" t="s">
        <v>20767</v>
      </c>
      <c r="G3839" t="s">
        <v>20768</v>
      </c>
      <c r="L3839" t="s">
        <v>74</v>
      </c>
      <c r="M3839" t="s">
        <v>85</v>
      </c>
      <c r="R3839" t="s">
        <v>20769</v>
      </c>
      <c r="W3839" t="s">
        <v>20767</v>
      </c>
      <c r="X3839" t="s">
        <v>20770</v>
      </c>
      <c r="Y3839" t="s">
        <v>97</v>
      </c>
      <c r="Z3839" t="s">
        <v>77</v>
      </c>
      <c r="AA3839" t="str">
        <f>"10011-8202"</f>
        <v>10011-8202</v>
      </c>
      <c r="AB3839" t="s">
        <v>78</v>
      </c>
      <c r="AC3839" t="s">
        <v>79</v>
      </c>
      <c r="AD3839" t="s">
        <v>75</v>
      </c>
      <c r="AE3839" t="s">
        <v>80</v>
      </c>
      <c r="AG3839" t="s">
        <v>81</v>
      </c>
    </row>
    <row r="3840" spans="1:33" x14ac:dyDescent="0.25">
      <c r="A3840" t="str">
        <f>"1134284581"</f>
        <v>1134284581</v>
      </c>
      <c r="B3840" t="str">
        <f>"01925768"</f>
        <v>01925768</v>
      </c>
      <c r="C3840" t="s">
        <v>20771</v>
      </c>
      <c r="D3840" t="s">
        <v>20772</v>
      </c>
      <c r="E3840" t="s">
        <v>20773</v>
      </c>
      <c r="G3840" t="s">
        <v>13504</v>
      </c>
      <c r="H3840" t="s">
        <v>13505</v>
      </c>
      <c r="J3840" t="s">
        <v>13506</v>
      </c>
      <c r="L3840" t="s">
        <v>84</v>
      </c>
      <c r="M3840" t="s">
        <v>75</v>
      </c>
      <c r="R3840" t="s">
        <v>20774</v>
      </c>
      <c r="W3840" t="s">
        <v>20773</v>
      </c>
      <c r="X3840" t="s">
        <v>201</v>
      </c>
      <c r="Y3840" t="s">
        <v>87</v>
      </c>
      <c r="Z3840" t="s">
        <v>77</v>
      </c>
      <c r="AA3840" t="str">
        <f>"11237-4006"</f>
        <v>11237-4006</v>
      </c>
      <c r="AB3840" t="s">
        <v>78</v>
      </c>
      <c r="AC3840" t="s">
        <v>79</v>
      </c>
      <c r="AD3840" t="s">
        <v>75</v>
      </c>
      <c r="AE3840" t="s">
        <v>80</v>
      </c>
      <c r="AG3840" t="s">
        <v>81</v>
      </c>
    </row>
    <row r="3841" spans="1:33" x14ac:dyDescent="0.25">
      <c r="A3841" t="str">
        <f>"1770711301"</f>
        <v>1770711301</v>
      </c>
      <c r="B3841" t="str">
        <f>"04098940"</f>
        <v>04098940</v>
      </c>
      <c r="C3841" t="s">
        <v>20775</v>
      </c>
      <c r="D3841" t="s">
        <v>20776</v>
      </c>
      <c r="E3841" t="s">
        <v>20777</v>
      </c>
      <c r="G3841" t="s">
        <v>13504</v>
      </c>
      <c r="H3841" t="s">
        <v>13505</v>
      </c>
      <c r="J3841" t="s">
        <v>13506</v>
      </c>
      <c r="L3841" t="s">
        <v>37</v>
      </c>
      <c r="M3841" t="s">
        <v>75</v>
      </c>
      <c r="R3841" t="s">
        <v>20778</v>
      </c>
      <c r="W3841" t="s">
        <v>20777</v>
      </c>
      <c r="X3841" t="s">
        <v>20779</v>
      </c>
      <c r="Y3841" t="s">
        <v>97</v>
      </c>
      <c r="Z3841" t="s">
        <v>77</v>
      </c>
      <c r="AA3841" t="str">
        <f>"10023-6055"</f>
        <v>10023-6055</v>
      </c>
      <c r="AB3841" t="s">
        <v>127</v>
      </c>
      <c r="AC3841" t="s">
        <v>79</v>
      </c>
      <c r="AD3841" t="s">
        <v>75</v>
      </c>
      <c r="AE3841" t="s">
        <v>80</v>
      </c>
      <c r="AG3841" t="s">
        <v>81</v>
      </c>
    </row>
    <row r="3842" spans="1:33" x14ac:dyDescent="0.25">
      <c r="A3842" t="str">
        <f>"1962560615"</f>
        <v>1962560615</v>
      </c>
      <c r="B3842" t="str">
        <f>"01352170"</f>
        <v>01352170</v>
      </c>
      <c r="C3842" t="s">
        <v>20780</v>
      </c>
      <c r="D3842" t="s">
        <v>20781</v>
      </c>
      <c r="E3842" t="s">
        <v>20782</v>
      </c>
      <c r="G3842" t="s">
        <v>13504</v>
      </c>
      <c r="H3842" t="s">
        <v>13505</v>
      </c>
      <c r="J3842" t="s">
        <v>13506</v>
      </c>
      <c r="L3842" t="s">
        <v>84</v>
      </c>
      <c r="M3842" t="s">
        <v>85</v>
      </c>
      <c r="R3842" t="s">
        <v>20783</v>
      </c>
      <c r="W3842" t="s">
        <v>20782</v>
      </c>
      <c r="X3842" t="s">
        <v>20784</v>
      </c>
      <c r="Y3842" t="s">
        <v>87</v>
      </c>
      <c r="Z3842" t="s">
        <v>77</v>
      </c>
      <c r="AA3842" t="str">
        <f>"11207-7412"</f>
        <v>11207-7412</v>
      </c>
      <c r="AB3842" t="s">
        <v>78</v>
      </c>
      <c r="AC3842" t="s">
        <v>79</v>
      </c>
      <c r="AD3842" t="s">
        <v>75</v>
      </c>
      <c r="AE3842" t="s">
        <v>80</v>
      </c>
      <c r="AG3842" t="s">
        <v>81</v>
      </c>
    </row>
    <row r="3843" spans="1:33" x14ac:dyDescent="0.25">
      <c r="A3843" t="str">
        <f>"1649271057"</f>
        <v>1649271057</v>
      </c>
      <c r="B3843" t="str">
        <f>"01042066"</f>
        <v>01042066</v>
      </c>
      <c r="C3843" t="s">
        <v>13436</v>
      </c>
      <c r="D3843" t="s">
        <v>20785</v>
      </c>
      <c r="E3843" t="s">
        <v>20786</v>
      </c>
      <c r="G3843" t="s">
        <v>20787</v>
      </c>
      <c r="L3843" t="s">
        <v>83</v>
      </c>
      <c r="M3843" t="s">
        <v>85</v>
      </c>
      <c r="R3843" t="s">
        <v>20788</v>
      </c>
      <c r="W3843" t="s">
        <v>20786</v>
      </c>
      <c r="X3843" t="s">
        <v>253</v>
      </c>
      <c r="Y3843" t="s">
        <v>131</v>
      </c>
      <c r="Z3843" t="s">
        <v>77</v>
      </c>
      <c r="AA3843" t="str">
        <f>"10466-2604"</f>
        <v>10466-2604</v>
      </c>
      <c r="AB3843" t="s">
        <v>78</v>
      </c>
      <c r="AC3843" t="s">
        <v>79</v>
      </c>
      <c r="AD3843" t="s">
        <v>75</v>
      </c>
      <c r="AE3843" t="s">
        <v>80</v>
      </c>
      <c r="AG3843" t="s">
        <v>81</v>
      </c>
    </row>
    <row r="3844" spans="1:33" x14ac:dyDescent="0.25">
      <c r="A3844" t="str">
        <f>"1649279662"</f>
        <v>1649279662</v>
      </c>
      <c r="B3844" t="str">
        <f>"02441110"</f>
        <v>02441110</v>
      </c>
      <c r="C3844" t="s">
        <v>13436</v>
      </c>
      <c r="D3844" t="s">
        <v>20789</v>
      </c>
      <c r="E3844" t="s">
        <v>20790</v>
      </c>
      <c r="G3844" t="s">
        <v>20791</v>
      </c>
      <c r="L3844" t="s">
        <v>83</v>
      </c>
      <c r="M3844" t="s">
        <v>85</v>
      </c>
      <c r="R3844" t="s">
        <v>20790</v>
      </c>
      <c r="W3844" t="s">
        <v>20790</v>
      </c>
      <c r="X3844" t="s">
        <v>442</v>
      </c>
      <c r="Y3844" t="s">
        <v>97</v>
      </c>
      <c r="Z3844" t="s">
        <v>77</v>
      </c>
      <c r="AA3844" t="str">
        <f>"10065-6007"</f>
        <v>10065-6007</v>
      </c>
      <c r="AB3844" t="s">
        <v>78</v>
      </c>
      <c r="AC3844" t="s">
        <v>79</v>
      </c>
      <c r="AD3844" t="s">
        <v>75</v>
      </c>
      <c r="AE3844" t="s">
        <v>80</v>
      </c>
      <c r="AG3844" t="s">
        <v>81</v>
      </c>
    </row>
    <row r="3845" spans="1:33" x14ac:dyDescent="0.25">
      <c r="A3845" t="str">
        <f>"1649299975"</f>
        <v>1649299975</v>
      </c>
      <c r="B3845" t="str">
        <f>"01925837"</f>
        <v>01925837</v>
      </c>
      <c r="C3845" t="s">
        <v>13436</v>
      </c>
      <c r="D3845" t="s">
        <v>20792</v>
      </c>
      <c r="E3845" t="s">
        <v>20793</v>
      </c>
      <c r="G3845" t="s">
        <v>20794</v>
      </c>
      <c r="L3845" t="s">
        <v>84</v>
      </c>
      <c r="M3845" t="s">
        <v>85</v>
      </c>
      <c r="R3845" t="s">
        <v>20795</v>
      </c>
      <c r="W3845" t="s">
        <v>20793</v>
      </c>
      <c r="X3845" t="s">
        <v>20796</v>
      </c>
      <c r="Y3845" t="s">
        <v>97</v>
      </c>
      <c r="Z3845" t="s">
        <v>77</v>
      </c>
      <c r="AA3845" t="str">
        <f>"10019-1147"</f>
        <v>10019-1147</v>
      </c>
      <c r="AB3845" t="s">
        <v>78</v>
      </c>
      <c r="AC3845" t="s">
        <v>79</v>
      </c>
      <c r="AD3845" t="s">
        <v>75</v>
      </c>
      <c r="AE3845" t="s">
        <v>80</v>
      </c>
      <c r="AG3845" t="s">
        <v>81</v>
      </c>
    </row>
    <row r="3846" spans="1:33" x14ac:dyDescent="0.25">
      <c r="A3846" t="str">
        <f>"1649307273"</f>
        <v>1649307273</v>
      </c>
      <c r="B3846" t="str">
        <f>"01921659"</f>
        <v>01921659</v>
      </c>
      <c r="C3846" t="s">
        <v>13436</v>
      </c>
      <c r="D3846" t="s">
        <v>20797</v>
      </c>
      <c r="E3846" t="s">
        <v>20798</v>
      </c>
      <c r="G3846" t="s">
        <v>20799</v>
      </c>
      <c r="L3846" t="s">
        <v>74</v>
      </c>
      <c r="M3846" t="s">
        <v>85</v>
      </c>
      <c r="R3846" t="s">
        <v>20800</v>
      </c>
      <c r="W3846" t="s">
        <v>20801</v>
      </c>
      <c r="X3846" t="s">
        <v>20802</v>
      </c>
      <c r="Y3846" t="s">
        <v>97</v>
      </c>
      <c r="Z3846" t="s">
        <v>77</v>
      </c>
      <c r="AA3846" t="str">
        <f>"10003-3804"</f>
        <v>10003-3804</v>
      </c>
      <c r="AB3846" t="s">
        <v>78</v>
      </c>
      <c r="AC3846" t="s">
        <v>79</v>
      </c>
      <c r="AD3846" t="s">
        <v>75</v>
      </c>
      <c r="AE3846" t="s">
        <v>80</v>
      </c>
      <c r="AG3846" t="s">
        <v>81</v>
      </c>
    </row>
    <row r="3847" spans="1:33" x14ac:dyDescent="0.25">
      <c r="A3847" t="str">
        <f>"1649323924"</f>
        <v>1649323924</v>
      </c>
      <c r="B3847" t="str">
        <f>"00772101"</f>
        <v>00772101</v>
      </c>
      <c r="C3847" t="s">
        <v>13436</v>
      </c>
      <c r="D3847" t="s">
        <v>20803</v>
      </c>
      <c r="E3847" t="s">
        <v>20804</v>
      </c>
      <c r="G3847" t="s">
        <v>20805</v>
      </c>
      <c r="L3847" t="s">
        <v>83</v>
      </c>
      <c r="M3847" t="s">
        <v>85</v>
      </c>
      <c r="R3847" t="s">
        <v>20806</v>
      </c>
      <c r="W3847" t="s">
        <v>20804</v>
      </c>
      <c r="X3847" t="s">
        <v>20807</v>
      </c>
      <c r="Y3847" t="s">
        <v>97</v>
      </c>
      <c r="Z3847" t="s">
        <v>77</v>
      </c>
      <c r="AA3847" t="str">
        <f>"10075-0142"</f>
        <v>10075-0142</v>
      </c>
      <c r="AB3847" t="s">
        <v>78</v>
      </c>
      <c r="AC3847" t="s">
        <v>79</v>
      </c>
      <c r="AD3847" t="s">
        <v>75</v>
      </c>
      <c r="AE3847" t="s">
        <v>80</v>
      </c>
      <c r="AG3847" t="s">
        <v>81</v>
      </c>
    </row>
    <row r="3848" spans="1:33" x14ac:dyDescent="0.25">
      <c r="A3848" t="str">
        <f>"1649377326"</f>
        <v>1649377326</v>
      </c>
      <c r="B3848" t="str">
        <f>"00591433"</f>
        <v>00591433</v>
      </c>
      <c r="C3848" t="s">
        <v>13436</v>
      </c>
      <c r="D3848" t="s">
        <v>20808</v>
      </c>
      <c r="E3848" t="s">
        <v>20809</v>
      </c>
      <c r="G3848" t="s">
        <v>20810</v>
      </c>
      <c r="L3848" t="s">
        <v>83</v>
      </c>
      <c r="M3848" t="s">
        <v>85</v>
      </c>
      <c r="R3848" t="s">
        <v>20811</v>
      </c>
      <c r="W3848" t="s">
        <v>20809</v>
      </c>
      <c r="X3848" t="s">
        <v>20812</v>
      </c>
      <c r="Y3848" t="s">
        <v>97</v>
      </c>
      <c r="Z3848" t="s">
        <v>77</v>
      </c>
      <c r="AA3848" t="str">
        <f>"10128-6849"</f>
        <v>10128-6849</v>
      </c>
      <c r="AB3848" t="s">
        <v>78</v>
      </c>
      <c r="AC3848" t="s">
        <v>79</v>
      </c>
      <c r="AD3848" t="s">
        <v>75</v>
      </c>
      <c r="AE3848" t="s">
        <v>80</v>
      </c>
      <c r="AG3848" t="s">
        <v>81</v>
      </c>
    </row>
    <row r="3849" spans="1:33" x14ac:dyDescent="0.25">
      <c r="A3849" t="str">
        <f>"1649377698"</f>
        <v>1649377698</v>
      </c>
      <c r="B3849" t="str">
        <f>"02816388"</f>
        <v>02816388</v>
      </c>
      <c r="C3849" t="s">
        <v>13436</v>
      </c>
      <c r="D3849" t="s">
        <v>20813</v>
      </c>
      <c r="E3849" t="s">
        <v>20814</v>
      </c>
      <c r="G3849" t="s">
        <v>20815</v>
      </c>
      <c r="L3849" t="s">
        <v>83</v>
      </c>
      <c r="M3849" t="s">
        <v>85</v>
      </c>
      <c r="R3849" t="s">
        <v>20816</v>
      </c>
      <c r="W3849" t="s">
        <v>20814</v>
      </c>
      <c r="X3849" t="s">
        <v>318</v>
      </c>
      <c r="Y3849" t="s">
        <v>131</v>
      </c>
      <c r="Z3849" t="s">
        <v>77</v>
      </c>
      <c r="AA3849" t="str">
        <f>"10457-7606"</f>
        <v>10457-7606</v>
      </c>
      <c r="AB3849" t="s">
        <v>78</v>
      </c>
      <c r="AC3849" t="s">
        <v>79</v>
      </c>
      <c r="AD3849" t="s">
        <v>75</v>
      </c>
      <c r="AE3849" t="s">
        <v>80</v>
      </c>
      <c r="AG3849" t="s">
        <v>81</v>
      </c>
    </row>
    <row r="3850" spans="1:33" x14ac:dyDescent="0.25">
      <c r="A3850" t="str">
        <f>"1093948978"</f>
        <v>1093948978</v>
      </c>
      <c r="B3850" t="str">
        <f>"03288795"</f>
        <v>03288795</v>
      </c>
      <c r="C3850" t="s">
        <v>13436</v>
      </c>
      <c r="D3850" t="s">
        <v>20817</v>
      </c>
      <c r="E3850" t="s">
        <v>20818</v>
      </c>
      <c r="G3850" t="s">
        <v>20819</v>
      </c>
      <c r="L3850" t="s">
        <v>74</v>
      </c>
      <c r="M3850" t="s">
        <v>85</v>
      </c>
      <c r="R3850" t="s">
        <v>20820</v>
      </c>
      <c r="W3850" t="s">
        <v>20818</v>
      </c>
      <c r="X3850" t="s">
        <v>329</v>
      </c>
      <c r="Y3850" t="s">
        <v>97</v>
      </c>
      <c r="Z3850" t="s">
        <v>77</v>
      </c>
      <c r="AA3850" t="str">
        <f>"10029-6500"</f>
        <v>10029-6500</v>
      </c>
      <c r="AB3850" t="s">
        <v>78</v>
      </c>
      <c r="AC3850" t="s">
        <v>79</v>
      </c>
      <c r="AD3850" t="s">
        <v>75</v>
      </c>
      <c r="AE3850" t="s">
        <v>80</v>
      </c>
      <c r="AG3850" t="s">
        <v>81</v>
      </c>
    </row>
    <row r="3851" spans="1:33" x14ac:dyDescent="0.25">
      <c r="A3851" t="str">
        <f>"1104129816"</f>
        <v>1104129816</v>
      </c>
      <c r="C3851" t="s">
        <v>13436</v>
      </c>
      <c r="G3851" t="s">
        <v>20821</v>
      </c>
      <c r="K3851" t="s">
        <v>99</v>
      </c>
      <c r="L3851" t="s">
        <v>102</v>
      </c>
      <c r="M3851" t="s">
        <v>75</v>
      </c>
      <c r="R3851" t="s">
        <v>20822</v>
      </c>
      <c r="S3851" t="s">
        <v>20823</v>
      </c>
      <c r="T3851" t="s">
        <v>97</v>
      </c>
      <c r="U3851" t="s">
        <v>77</v>
      </c>
      <c r="V3851" t="str">
        <f>"100191412"</f>
        <v>100191412</v>
      </c>
      <c r="AC3851" t="s">
        <v>79</v>
      </c>
      <c r="AD3851" t="s">
        <v>75</v>
      </c>
      <c r="AE3851" t="s">
        <v>103</v>
      </c>
      <c r="AG3851" t="s">
        <v>81</v>
      </c>
    </row>
    <row r="3852" spans="1:33" x14ac:dyDescent="0.25">
      <c r="A3852" t="str">
        <f>"1104130483"</f>
        <v>1104130483</v>
      </c>
      <c r="B3852" t="str">
        <f>"03624471"</f>
        <v>03624471</v>
      </c>
      <c r="C3852" t="s">
        <v>13436</v>
      </c>
      <c r="D3852" t="s">
        <v>20824</v>
      </c>
      <c r="E3852" t="s">
        <v>20825</v>
      </c>
      <c r="G3852" t="s">
        <v>20826</v>
      </c>
      <c r="L3852" t="s">
        <v>94</v>
      </c>
      <c r="M3852" t="s">
        <v>75</v>
      </c>
      <c r="R3852" t="s">
        <v>20827</v>
      </c>
      <c r="W3852" t="s">
        <v>20825</v>
      </c>
      <c r="X3852" t="s">
        <v>20828</v>
      </c>
      <c r="Y3852" t="s">
        <v>97</v>
      </c>
      <c r="Z3852" t="s">
        <v>77</v>
      </c>
      <c r="AA3852" t="str">
        <f>"10128-5604"</f>
        <v>10128-5604</v>
      </c>
      <c r="AB3852" t="s">
        <v>78</v>
      </c>
      <c r="AC3852" t="s">
        <v>79</v>
      </c>
      <c r="AD3852" t="s">
        <v>75</v>
      </c>
      <c r="AE3852" t="s">
        <v>80</v>
      </c>
      <c r="AG3852" t="s">
        <v>81</v>
      </c>
    </row>
    <row r="3853" spans="1:33" x14ac:dyDescent="0.25">
      <c r="A3853" t="str">
        <f>"1104140151"</f>
        <v>1104140151</v>
      </c>
      <c r="B3853" t="str">
        <f>"03782047"</f>
        <v>03782047</v>
      </c>
      <c r="C3853" t="s">
        <v>13436</v>
      </c>
      <c r="D3853" t="s">
        <v>20829</v>
      </c>
      <c r="E3853" t="s">
        <v>20830</v>
      </c>
      <c r="G3853" t="s">
        <v>20831</v>
      </c>
      <c r="L3853" t="s">
        <v>74</v>
      </c>
      <c r="M3853" t="s">
        <v>75</v>
      </c>
      <c r="R3853" t="s">
        <v>20832</v>
      </c>
      <c r="W3853" t="s">
        <v>20833</v>
      </c>
      <c r="X3853" t="s">
        <v>329</v>
      </c>
      <c r="Y3853" t="s">
        <v>97</v>
      </c>
      <c r="Z3853" t="s">
        <v>77</v>
      </c>
      <c r="AA3853" t="str">
        <f>"10029-6504"</f>
        <v>10029-6504</v>
      </c>
      <c r="AB3853" t="s">
        <v>78</v>
      </c>
      <c r="AC3853" t="s">
        <v>79</v>
      </c>
      <c r="AD3853" t="s">
        <v>75</v>
      </c>
      <c r="AE3853" t="s">
        <v>80</v>
      </c>
      <c r="AG3853" t="s">
        <v>81</v>
      </c>
    </row>
    <row r="3854" spans="1:33" x14ac:dyDescent="0.25">
      <c r="A3854" t="str">
        <f>"1104997642"</f>
        <v>1104997642</v>
      </c>
      <c r="B3854" t="str">
        <f>"01937599"</f>
        <v>01937599</v>
      </c>
      <c r="C3854" t="s">
        <v>13436</v>
      </c>
      <c r="D3854" t="s">
        <v>20834</v>
      </c>
      <c r="E3854" t="s">
        <v>20835</v>
      </c>
      <c r="G3854" t="s">
        <v>20836</v>
      </c>
      <c r="L3854" t="s">
        <v>74</v>
      </c>
      <c r="M3854" t="s">
        <v>75</v>
      </c>
      <c r="R3854" t="s">
        <v>20835</v>
      </c>
      <c r="W3854" t="s">
        <v>20837</v>
      </c>
      <c r="X3854" t="s">
        <v>20838</v>
      </c>
      <c r="Y3854" t="s">
        <v>97</v>
      </c>
      <c r="Z3854" t="s">
        <v>77</v>
      </c>
      <c r="AA3854" t="str">
        <f>"10003-4201"</f>
        <v>10003-4201</v>
      </c>
      <c r="AB3854" t="s">
        <v>78</v>
      </c>
      <c r="AC3854" t="s">
        <v>79</v>
      </c>
      <c r="AD3854" t="s">
        <v>75</v>
      </c>
      <c r="AE3854" t="s">
        <v>80</v>
      </c>
      <c r="AG3854" t="s">
        <v>81</v>
      </c>
    </row>
    <row r="3855" spans="1:33" x14ac:dyDescent="0.25">
      <c r="A3855" t="str">
        <f>"1114007135"</f>
        <v>1114007135</v>
      </c>
      <c r="B3855" t="str">
        <f>"01011072"</f>
        <v>01011072</v>
      </c>
      <c r="C3855" t="s">
        <v>13436</v>
      </c>
      <c r="D3855" t="s">
        <v>20839</v>
      </c>
      <c r="E3855" t="s">
        <v>20840</v>
      </c>
      <c r="G3855" t="s">
        <v>20841</v>
      </c>
      <c r="L3855" t="s">
        <v>83</v>
      </c>
      <c r="M3855" t="s">
        <v>75</v>
      </c>
      <c r="R3855" t="s">
        <v>20842</v>
      </c>
      <c r="W3855" t="s">
        <v>20840</v>
      </c>
      <c r="X3855" t="s">
        <v>20843</v>
      </c>
      <c r="Y3855" t="s">
        <v>87</v>
      </c>
      <c r="Z3855" t="s">
        <v>77</v>
      </c>
      <c r="AA3855" t="str">
        <f>"11226-4307"</f>
        <v>11226-4307</v>
      </c>
      <c r="AB3855" t="s">
        <v>78</v>
      </c>
      <c r="AC3855" t="s">
        <v>79</v>
      </c>
      <c r="AD3855" t="s">
        <v>75</v>
      </c>
      <c r="AE3855" t="s">
        <v>80</v>
      </c>
      <c r="AG3855" t="s">
        <v>81</v>
      </c>
    </row>
    <row r="3856" spans="1:33" x14ac:dyDescent="0.25">
      <c r="A3856" t="str">
        <f>"1114048279"</f>
        <v>1114048279</v>
      </c>
      <c r="B3856" t="str">
        <f>"03366052"</f>
        <v>03366052</v>
      </c>
      <c r="C3856" t="s">
        <v>13436</v>
      </c>
      <c r="D3856" t="s">
        <v>20844</v>
      </c>
      <c r="E3856" t="s">
        <v>20845</v>
      </c>
      <c r="G3856" t="s">
        <v>20846</v>
      </c>
      <c r="L3856" t="s">
        <v>83</v>
      </c>
      <c r="M3856" t="s">
        <v>85</v>
      </c>
      <c r="R3856" t="s">
        <v>20845</v>
      </c>
      <c r="W3856" t="s">
        <v>20847</v>
      </c>
      <c r="X3856" t="s">
        <v>272</v>
      </c>
      <c r="Y3856" t="s">
        <v>97</v>
      </c>
      <c r="Z3856" t="s">
        <v>77</v>
      </c>
      <c r="AA3856" t="str">
        <f>"10029-6501"</f>
        <v>10029-6501</v>
      </c>
      <c r="AB3856" t="s">
        <v>78</v>
      </c>
      <c r="AC3856" t="s">
        <v>79</v>
      </c>
      <c r="AD3856" t="s">
        <v>75</v>
      </c>
      <c r="AE3856" t="s">
        <v>80</v>
      </c>
      <c r="AG3856" t="s">
        <v>81</v>
      </c>
    </row>
    <row r="3857" spans="1:33" x14ac:dyDescent="0.25">
      <c r="A3857" t="str">
        <f>"1114292455"</f>
        <v>1114292455</v>
      </c>
      <c r="C3857" t="s">
        <v>13436</v>
      </c>
      <c r="G3857" t="s">
        <v>20848</v>
      </c>
      <c r="K3857" t="s">
        <v>99</v>
      </c>
      <c r="L3857" t="s">
        <v>102</v>
      </c>
      <c r="M3857" t="s">
        <v>75</v>
      </c>
      <c r="R3857" t="s">
        <v>20849</v>
      </c>
      <c r="S3857" t="s">
        <v>20850</v>
      </c>
      <c r="T3857" t="s">
        <v>20851</v>
      </c>
      <c r="U3857" t="s">
        <v>1842</v>
      </c>
      <c r="V3857" t="str">
        <f>"068803817"</f>
        <v>068803817</v>
      </c>
      <c r="AC3857" t="s">
        <v>79</v>
      </c>
      <c r="AD3857" t="s">
        <v>75</v>
      </c>
      <c r="AE3857" t="s">
        <v>103</v>
      </c>
      <c r="AG3857" t="s">
        <v>81</v>
      </c>
    </row>
    <row r="3858" spans="1:33" x14ac:dyDescent="0.25">
      <c r="A3858" t="str">
        <f>"1124188230"</f>
        <v>1124188230</v>
      </c>
      <c r="B3858" t="str">
        <f>"03632551"</f>
        <v>03632551</v>
      </c>
      <c r="C3858" t="s">
        <v>13436</v>
      </c>
      <c r="D3858" t="s">
        <v>20852</v>
      </c>
      <c r="E3858" t="s">
        <v>20853</v>
      </c>
      <c r="G3858" t="s">
        <v>20854</v>
      </c>
      <c r="L3858" t="s">
        <v>83</v>
      </c>
      <c r="M3858" t="s">
        <v>75</v>
      </c>
      <c r="R3858" t="s">
        <v>20855</v>
      </c>
      <c r="W3858" t="s">
        <v>20853</v>
      </c>
      <c r="X3858" t="s">
        <v>15292</v>
      </c>
      <c r="Y3858" t="s">
        <v>97</v>
      </c>
      <c r="Z3858" t="s">
        <v>77</v>
      </c>
      <c r="AA3858" t="str">
        <f>"10025-1737"</f>
        <v>10025-1737</v>
      </c>
      <c r="AB3858" t="s">
        <v>78</v>
      </c>
      <c r="AC3858" t="s">
        <v>79</v>
      </c>
      <c r="AD3858" t="s">
        <v>75</v>
      </c>
      <c r="AE3858" t="s">
        <v>80</v>
      </c>
      <c r="AG3858" t="s">
        <v>81</v>
      </c>
    </row>
    <row r="3859" spans="1:33" x14ac:dyDescent="0.25">
      <c r="A3859" t="str">
        <f>"1063524353"</f>
        <v>1063524353</v>
      </c>
      <c r="B3859" t="str">
        <f>"00979075"</f>
        <v>00979075</v>
      </c>
      <c r="C3859" t="s">
        <v>20856</v>
      </c>
      <c r="D3859" t="s">
        <v>20857</v>
      </c>
      <c r="E3859" t="s">
        <v>20858</v>
      </c>
      <c r="G3859" t="s">
        <v>13504</v>
      </c>
      <c r="H3859" t="s">
        <v>13505</v>
      </c>
      <c r="J3859" t="s">
        <v>13506</v>
      </c>
      <c r="L3859" t="s">
        <v>83</v>
      </c>
      <c r="M3859" t="s">
        <v>75</v>
      </c>
      <c r="R3859" t="s">
        <v>20859</v>
      </c>
      <c r="W3859" t="s">
        <v>20860</v>
      </c>
      <c r="X3859" t="s">
        <v>20861</v>
      </c>
      <c r="Y3859" t="s">
        <v>155</v>
      </c>
      <c r="Z3859" t="s">
        <v>77</v>
      </c>
      <c r="AA3859" t="str">
        <f>"10310-1699"</f>
        <v>10310-1699</v>
      </c>
      <c r="AB3859" t="s">
        <v>78</v>
      </c>
      <c r="AC3859" t="s">
        <v>79</v>
      </c>
      <c r="AD3859" t="s">
        <v>75</v>
      </c>
      <c r="AE3859" t="s">
        <v>80</v>
      </c>
      <c r="AG3859" t="s">
        <v>81</v>
      </c>
    </row>
    <row r="3860" spans="1:33" x14ac:dyDescent="0.25">
      <c r="A3860" t="str">
        <f>"1548355720"</f>
        <v>1548355720</v>
      </c>
      <c r="B3860" t="str">
        <f>"00889565"</f>
        <v>00889565</v>
      </c>
      <c r="C3860" t="s">
        <v>20862</v>
      </c>
      <c r="D3860" t="s">
        <v>20863</v>
      </c>
      <c r="E3860" t="s">
        <v>20864</v>
      </c>
      <c r="G3860" t="s">
        <v>13504</v>
      </c>
      <c r="H3860" t="s">
        <v>13505</v>
      </c>
      <c r="J3860" t="s">
        <v>13506</v>
      </c>
      <c r="L3860" t="s">
        <v>84</v>
      </c>
      <c r="M3860" t="s">
        <v>75</v>
      </c>
      <c r="R3860" t="s">
        <v>20865</v>
      </c>
      <c r="W3860" t="s">
        <v>20864</v>
      </c>
      <c r="X3860" t="s">
        <v>20866</v>
      </c>
      <c r="Y3860" t="s">
        <v>87</v>
      </c>
      <c r="Z3860" t="s">
        <v>77</v>
      </c>
      <c r="AA3860" t="str">
        <f>"11215-1909"</f>
        <v>11215-1909</v>
      </c>
      <c r="AB3860" t="s">
        <v>78</v>
      </c>
      <c r="AC3860" t="s">
        <v>79</v>
      </c>
      <c r="AD3860" t="s">
        <v>75</v>
      </c>
      <c r="AE3860" t="s">
        <v>80</v>
      </c>
      <c r="AG3860" t="s">
        <v>81</v>
      </c>
    </row>
    <row r="3861" spans="1:33" x14ac:dyDescent="0.25">
      <c r="A3861" t="str">
        <f>"1295733715"</f>
        <v>1295733715</v>
      </c>
      <c r="B3861" t="str">
        <f>"01585693"</f>
        <v>01585693</v>
      </c>
      <c r="C3861" t="s">
        <v>13436</v>
      </c>
      <c r="D3861" t="s">
        <v>20867</v>
      </c>
      <c r="E3861" t="s">
        <v>20868</v>
      </c>
      <c r="G3861" t="s">
        <v>20869</v>
      </c>
      <c r="L3861" t="s">
        <v>105</v>
      </c>
      <c r="M3861" t="s">
        <v>85</v>
      </c>
      <c r="R3861" t="s">
        <v>20870</v>
      </c>
      <c r="W3861" t="s">
        <v>20868</v>
      </c>
      <c r="X3861" t="s">
        <v>20871</v>
      </c>
      <c r="Y3861" t="s">
        <v>97</v>
      </c>
      <c r="Z3861" t="s">
        <v>77</v>
      </c>
      <c r="AA3861" t="str">
        <f>"10016-8173"</f>
        <v>10016-8173</v>
      </c>
      <c r="AB3861" t="s">
        <v>78</v>
      </c>
      <c r="AC3861" t="s">
        <v>79</v>
      </c>
      <c r="AD3861" t="s">
        <v>75</v>
      </c>
      <c r="AE3861" t="s">
        <v>80</v>
      </c>
      <c r="AG3861" t="s">
        <v>81</v>
      </c>
    </row>
    <row r="3862" spans="1:33" x14ac:dyDescent="0.25">
      <c r="A3862" t="str">
        <f>"1295760247"</f>
        <v>1295760247</v>
      </c>
      <c r="B3862" t="str">
        <f>"02625607"</f>
        <v>02625607</v>
      </c>
      <c r="C3862" t="s">
        <v>13436</v>
      </c>
      <c r="D3862" t="s">
        <v>20872</v>
      </c>
      <c r="E3862" t="s">
        <v>20873</v>
      </c>
      <c r="L3862" t="s">
        <v>105</v>
      </c>
      <c r="M3862" t="s">
        <v>85</v>
      </c>
      <c r="R3862" t="s">
        <v>20874</v>
      </c>
      <c r="W3862" t="s">
        <v>20873</v>
      </c>
      <c r="X3862" t="s">
        <v>4550</v>
      </c>
      <c r="Y3862" t="s">
        <v>97</v>
      </c>
      <c r="Z3862" t="s">
        <v>77</v>
      </c>
      <c r="AA3862" t="str">
        <f>"10019-1147"</f>
        <v>10019-1147</v>
      </c>
      <c r="AB3862" t="s">
        <v>78</v>
      </c>
      <c r="AC3862" t="s">
        <v>79</v>
      </c>
      <c r="AD3862" t="s">
        <v>75</v>
      </c>
      <c r="AE3862" t="s">
        <v>80</v>
      </c>
      <c r="AG3862" t="s">
        <v>81</v>
      </c>
    </row>
    <row r="3863" spans="1:33" x14ac:dyDescent="0.25">
      <c r="A3863" t="str">
        <f>"1609111400"</f>
        <v>1609111400</v>
      </c>
      <c r="B3863" t="str">
        <f>"03838740"</f>
        <v>03838740</v>
      </c>
      <c r="C3863" t="s">
        <v>20875</v>
      </c>
      <c r="D3863" t="s">
        <v>2142</v>
      </c>
      <c r="E3863" t="s">
        <v>2143</v>
      </c>
      <c r="G3863" t="s">
        <v>20875</v>
      </c>
      <c r="H3863" t="s">
        <v>20876</v>
      </c>
      <c r="L3863" t="s">
        <v>74</v>
      </c>
      <c r="M3863" t="s">
        <v>75</v>
      </c>
      <c r="R3863" t="s">
        <v>2141</v>
      </c>
      <c r="W3863" t="s">
        <v>2143</v>
      </c>
      <c r="X3863" t="s">
        <v>2144</v>
      </c>
      <c r="Y3863" t="s">
        <v>87</v>
      </c>
      <c r="Z3863" t="s">
        <v>77</v>
      </c>
      <c r="AA3863" t="str">
        <f>"11235-6762"</f>
        <v>11235-6762</v>
      </c>
      <c r="AB3863" t="s">
        <v>78</v>
      </c>
      <c r="AC3863" t="s">
        <v>79</v>
      </c>
      <c r="AD3863" t="s">
        <v>75</v>
      </c>
      <c r="AE3863" t="s">
        <v>80</v>
      </c>
      <c r="AG3863" t="s">
        <v>81</v>
      </c>
    </row>
    <row r="3864" spans="1:33" x14ac:dyDescent="0.25">
      <c r="A3864" t="str">
        <f>"1104919323"</f>
        <v>1104919323</v>
      </c>
      <c r="B3864" t="str">
        <f>"02760534"</f>
        <v>02760534</v>
      </c>
      <c r="C3864" t="s">
        <v>20877</v>
      </c>
      <c r="D3864" t="s">
        <v>20878</v>
      </c>
      <c r="E3864" t="s">
        <v>20879</v>
      </c>
      <c r="G3864" t="s">
        <v>13504</v>
      </c>
      <c r="H3864" t="s">
        <v>13505</v>
      </c>
      <c r="J3864" t="s">
        <v>13506</v>
      </c>
      <c r="L3864" t="s">
        <v>84</v>
      </c>
      <c r="M3864" t="s">
        <v>85</v>
      </c>
      <c r="R3864" t="s">
        <v>20880</v>
      </c>
      <c r="W3864" t="s">
        <v>20879</v>
      </c>
      <c r="X3864" t="s">
        <v>159</v>
      </c>
      <c r="Y3864" t="s">
        <v>160</v>
      </c>
      <c r="Z3864" t="s">
        <v>77</v>
      </c>
      <c r="AA3864" t="str">
        <f>"11030-3816"</f>
        <v>11030-3816</v>
      </c>
      <c r="AB3864" t="s">
        <v>78</v>
      </c>
      <c r="AC3864" t="s">
        <v>79</v>
      </c>
      <c r="AD3864" t="s">
        <v>75</v>
      </c>
      <c r="AE3864" t="s">
        <v>80</v>
      </c>
      <c r="AG3864" t="s">
        <v>81</v>
      </c>
    </row>
    <row r="3865" spans="1:33" x14ac:dyDescent="0.25">
      <c r="A3865" t="str">
        <f>"1518033943"</f>
        <v>1518033943</v>
      </c>
      <c r="B3865" t="str">
        <f>"01050004"</f>
        <v>01050004</v>
      </c>
      <c r="C3865" t="s">
        <v>20881</v>
      </c>
      <c r="D3865" t="s">
        <v>20882</v>
      </c>
      <c r="E3865" t="s">
        <v>20883</v>
      </c>
      <c r="G3865" t="s">
        <v>13504</v>
      </c>
      <c r="H3865" t="s">
        <v>13505</v>
      </c>
      <c r="J3865" t="s">
        <v>13506</v>
      </c>
      <c r="L3865" t="s">
        <v>84</v>
      </c>
      <c r="M3865" t="s">
        <v>85</v>
      </c>
      <c r="R3865" t="s">
        <v>20884</v>
      </c>
      <c r="W3865" t="s">
        <v>20883</v>
      </c>
      <c r="X3865" t="s">
        <v>20885</v>
      </c>
      <c r="Y3865" t="s">
        <v>87</v>
      </c>
      <c r="Z3865" t="s">
        <v>77</v>
      </c>
      <c r="AA3865" t="str">
        <f>"11222-5915"</f>
        <v>11222-5915</v>
      </c>
      <c r="AB3865" t="s">
        <v>78</v>
      </c>
      <c r="AC3865" t="s">
        <v>79</v>
      </c>
      <c r="AD3865" t="s">
        <v>75</v>
      </c>
      <c r="AE3865" t="s">
        <v>80</v>
      </c>
      <c r="AG3865" t="s">
        <v>81</v>
      </c>
    </row>
    <row r="3866" spans="1:33" x14ac:dyDescent="0.25">
      <c r="A3866" t="str">
        <f>"1982986659"</f>
        <v>1982986659</v>
      </c>
      <c r="B3866" t="str">
        <f>"03392358"</f>
        <v>03392358</v>
      </c>
      <c r="C3866" t="s">
        <v>20886</v>
      </c>
      <c r="D3866" t="s">
        <v>20887</v>
      </c>
      <c r="E3866" t="s">
        <v>20888</v>
      </c>
      <c r="G3866" t="s">
        <v>13504</v>
      </c>
      <c r="H3866" t="s">
        <v>13505</v>
      </c>
      <c r="J3866" t="s">
        <v>13506</v>
      </c>
      <c r="L3866" t="s">
        <v>84</v>
      </c>
      <c r="M3866" t="s">
        <v>75</v>
      </c>
      <c r="R3866" t="s">
        <v>20889</v>
      </c>
      <c r="W3866" t="s">
        <v>20888</v>
      </c>
      <c r="X3866" t="s">
        <v>13507</v>
      </c>
      <c r="Y3866" t="s">
        <v>87</v>
      </c>
      <c r="Z3866" t="s">
        <v>77</v>
      </c>
      <c r="AA3866" t="str">
        <f>"11201-3204"</f>
        <v>11201-3204</v>
      </c>
      <c r="AB3866" t="s">
        <v>78</v>
      </c>
      <c r="AC3866" t="s">
        <v>79</v>
      </c>
      <c r="AD3866" t="s">
        <v>75</v>
      </c>
      <c r="AE3866" t="s">
        <v>80</v>
      </c>
      <c r="AG3866" t="s">
        <v>81</v>
      </c>
    </row>
    <row r="3867" spans="1:33" x14ac:dyDescent="0.25">
      <c r="A3867" t="str">
        <f>"1427203835"</f>
        <v>1427203835</v>
      </c>
      <c r="C3867" t="s">
        <v>20890</v>
      </c>
      <c r="G3867" t="s">
        <v>13504</v>
      </c>
      <c r="H3867" t="s">
        <v>13505</v>
      </c>
      <c r="J3867" t="s">
        <v>13506</v>
      </c>
      <c r="K3867" t="s">
        <v>99</v>
      </c>
      <c r="L3867" t="s">
        <v>102</v>
      </c>
      <c r="M3867" t="s">
        <v>75</v>
      </c>
      <c r="R3867" t="s">
        <v>20891</v>
      </c>
      <c r="S3867" t="s">
        <v>20892</v>
      </c>
      <c r="T3867" t="s">
        <v>87</v>
      </c>
      <c r="U3867" t="s">
        <v>77</v>
      </c>
      <c r="V3867" t="str">
        <f>"11215"</f>
        <v>11215</v>
      </c>
      <c r="AC3867" t="s">
        <v>79</v>
      </c>
      <c r="AD3867" t="s">
        <v>75</v>
      </c>
      <c r="AE3867" t="s">
        <v>103</v>
      </c>
      <c r="AG3867" t="s">
        <v>81</v>
      </c>
    </row>
    <row r="3868" spans="1:33" x14ac:dyDescent="0.25">
      <c r="A3868" t="str">
        <f>"1306074430"</f>
        <v>1306074430</v>
      </c>
      <c r="B3868" t="str">
        <f>"03988263"</f>
        <v>03988263</v>
      </c>
      <c r="C3868" t="s">
        <v>20893</v>
      </c>
      <c r="D3868" t="s">
        <v>20894</v>
      </c>
      <c r="E3868" t="s">
        <v>20895</v>
      </c>
      <c r="G3868" t="s">
        <v>13504</v>
      </c>
      <c r="H3868" t="s">
        <v>13505</v>
      </c>
      <c r="J3868" t="s">
        <v>13506</v>
      </c>
      <c r="L3868" t="s">
        <v>74</v>
      </c>
      <c r="M3868" t="s">
        <v>75</v>
      </c>
      <c r="R3868" t="s">
        <v>20895</v>
      </c>
      <c r="W3868" t="s">
        <v>20895</v>
      </c>
      <c r="X3868" t="s">
        <v>202</v>
      </c>
      <c r="Y3868" t="s">
        <v>87</v>
      </c>
      <c r="Z3868" t="s">
        <v>77</v>
      </c>
      <c r="AA3868" t="str">
        <f>"11201-5425"</f>
        <v>11201-5425</v>
      </c>
      <c r="AB3868" t="s">
        <v>78</v>
      </c>
      <c r="AC3868" t="s">
        <v>79</v>
      </c>
      <c r="AD3868" t="s">
        <v>75</v>
      </c>
      <c r="AE3868" t="s">
        <v>80</v>
      </c>
      <c r="AG3868" t="s">
        <v>81</v>
      </c>
    </row>
    <row r="3869" spans="1:33" x14ac:dyDescent="0.25">
      <c r="A3869" t="str">
        <f>"1104084862"</f>
        <v>1104084862</v>
      </c>
      <c r="B3869" t="str">
        <f>"03965588"</f>
        <v>03965588</v>
      </c>
      <c r="C3869" t="s">
        <v>20896</v>
      </c>
      <c r="D3869" t="s">
        <v>20897</v>
      </c>
      <c r="E3869" t="s">
        <v>20898</v>
      </c>
      <c r="G3869" t="s">
        <v>13504</v>
      </c>
      <c r="H3869" t="s">
        <v>13505</v>
      </c>
      <c r="J3869" t="s">
        <v>13506</v>
      </c>
      <c r="L3869" t="s">
        <v>83</v>
      </c>
      <c r="M3869" t="s">
        <v>75</v>
      </c>
      <c r="R3869" t="s">
        <v>20899</v>
      </c>
      <c r="W3869" t="s">
        <v>20900</v>
      </c>
      <c r="X3869" t="s">
        <v>20901</v>
      </c>
      <c r="Y3869" t="s">
        <v>97</v>
      </c>
      <c r="Z3869" t="s">
        <v>77</v>
      </c>
      <c r="AA3869" t="str">
        <f>"10036-6801"</f>
        <v>10036-6801</v>
      </c>
      <c r="AB3869" t="s">
        <v>78</v>
      </c>
      <c r="AC3869" t="s">
        <v>79</v>
      </c>
      <c r="AD3869" t="s">
        <v>75</v>
      </c>
      <c r="AE3869" t="s">
        <v>80</v>
      </c>
      <c r="AG3869" t="s">
        <v>81</v>
      </c>
    </row>
    <row r="3870" spans="1:33" x14ac:dyDescent="0.25">
      <c r="A3870" t="str">
        <f>"1447270079"</f>
        <v>1447270079</v>
      </c>
      <c r="B3870" t="str">
        <f>"02862417"</f>
        <v>02862417</v>
      </c>
      <c r="C3870" t="s">
        <v>20902</v>
      </c>
      <c r="D3870" t="s">
        <v>5962</v>
      </c>
      <c r="E3870" t="s">
        <v>5963</v>
      </c>
      <c r="G3870" t="s">
        <v>9477</v>
      </c>
      <c r="H3870" t="s">
        <v>4867</v>
      </c>
      <c r="I3870">
        <v>135</v>
      </c>
      <c r="J3870" t="s">
        <v>5634</v>
      </c>
      <c r="L3870" t="s">
        <v>83</v>
      </c>
      <c r="M3870" t="s">
        <v>75</v>
      </c>
      <c r="R3870" t="s">
        <v>5964</v>
      </c>
      <c r="W3870" t="s">
        <v>5965</v>
      </c>
      <c r="X3870" t="s">
        <v>5966</v>
      </c>
      <c r="Y3870" t="s">
        <v>180</v>
      </c>
      <c r="Z3870" t="s">
        <v>77</v>
      </c>
      <c r="AA3870" t="str">
        <f>"10701-1310"</f>
        <v>10701-1310</v>
      </c>
      <c r="AB3870" t="s">
        <v>78</v>
      </c>
      <c r="AC3870" t="s">
        <v>79</v>
      </c>
      <c r="AD3870" t="s">
        <v>75</v>
      </c>
      <c r="AE3870" t="s">
        <v>80</v>
      </c>
      <c r="AG3870" t="s">
        <v>81</v>
      </c>
    </row>
    <row r="3871" spans="1:33" x14ac:dyDescent="0.25">
      <c r="A3871" t="str">
        <f>"1548202484"</f>
        <v>1548202484</v>
      </c>
      <c r="B3871" t="str">
        <f>"01035056"</f>
        <v>01035056</v>
      </c>
      <c r="C3871" t="s">
        <v>20903</v>
      </c>
      <c r="D3871" t="s">
        <v>5972</v>
      </c>
      <c r="E3871" t="s">
        <v>5973</v>
      </c>
      <c r="G3871" t="s">
        <v>9477</v>
      </c>
      <c r="H3871" t="s">
        <v>4867</v>
      </c>
      <c r="I3871">
        <v>135</v>
      </c>
      <c r="J3871" t="s">
        <v>5634</v>
      </c>
      <c r="L3871" t="s">
        <v>83</v>
      </c>
      <c r="M3871" t="s">
        <v>75</v>
      </c>
      <c r="R3871" t="s">
        <v>5974</v>
      </c>
      <c r="W3871" t="s">
        <v>5973</v>
      </c>
      <c r="X3871" t="s">
        <v>5772</v>
      </c>
      <c r="Y3871" t="s">
        <v>180</v>
      </c>
      <c r="Z3871" t="s">
        <v>77</v>
      </c>
      <c r="AA3871" t="str">
        <f>"10701-1318"</f>
        <v>10701-1318</v>
      </c>
      <c r="AB3871" t="s">
        <v>78</v>
      </c>
      <c r="AC3871" t="s">
        <v>79</v>
      </c>
      <c r="AD3871" t="s">
        <v>75</v>
      </c>
      <c r="AE3871" t="s">
        <v>80</v>
      </c>
      <c r="AG3871" t="s">
        <v>81</v>
      </c>
    </row>
    <row r="3872" spans="1:33" x14ac:dyDescent="0.25">
      <c r="A3872" t="str">
        <f>"1366409229"</f>
        <v>1366409229</v>
      </c>
      <c r="B3872" t="str">
        <f>"03031394"</f>
        <v>03031394</v>
      </c>
      <c r="C3872" t="s">
        <v>20904</v>
      </c>
      <c r="D3872" t="s">
        <v>5954</v>
      </c>
      <c r="E3872" t="s">
        <v>5955</v>
      </c>
      <c r="G3872" t="s">
        <v>9477</v>
      </c>
      <c r="H3872" t="s">
        <v>4867</v>
      </c>
      <c r="I3872">
        <v>135</v>
      </c>
      <c r="J3872" t="s">
        <v>5634</v>
      </c>
      <c r="L3872" t="s">
        <v>83</v>
      </c>
      <c r="M3872" t="s">
        <v>85</v>
      </c>
      <c r="R3872" t="s">
        <v>5956</v>
      </c>
      <c r="W3872" t="s">
        <v>5955</v>
      </c>
      <c r="X3872" t="s">
        <v>5957</v>
      </c>
      <c r="Y3872" t="s">
        <v>180</v>
      </c>
      <c r="Z3872" t="s">
        <v>77</v>
      </c>
      <c r="AA3872" t="str">
        <f>"10701-1311"</f>
        <v>10701-1311</v>
      </c>
      <c r="AB3872" t="s">
        <v>78</v>
      </c>
      <c r="AC3872" t="s">
        <v>79</v>
      </c>
      <c r="AD3872" t="s">
        <v>75</v>
      </c>
      <c r="AE3872" t="s">
        <v>80</v>
      </c>
      <c r="AG3872" t="s">
        <v>81</v>
      </c>
    </row>
    <row r="3873" spans="1:33" x14ac:dyDescent="0.25">
      <c r="A3873" t="str">
        <f>"1578542296"</f>
        <v>1578542296</v>
      </c>
      <c r="B3873" t="str">
        <f>"00279676"</f>
        <v>00279676</v>
      </c>
      <c r="C3873" t="s">
        <v>20905</v>
      </c>
      <c r="D3873" t="s">
        <v>5980</v>
      </c>
      <c r="E3873" t="s">
        <v>5981</v>
      </c>
      <c r="G3873" t="s">
        <v>9477</v>
      </c>
      <c r="H3873" t="s">
        <v>4867</v>
      </c>
      <c r="I3873">
        <v>135</v>
      </c>
      <c r="J3873" t="s">
        <v>5634</v>
      </c>
      <c r="L3873" t="s">
        <v>83</v>
      </c>
      <c r="M3873" t="s">
        <v>85</v>
      </c>
      <c r="R3873" t="s">
        <v>5982</v>
      </c>
      <c r="W3873" t="s">
        <v>5983</v>
      </c>
      <c r="X3873" t="s">
        <v>5984</v>
      </c>
      <c r="Y3873" t="s">
        <v>131</v>
      </c>
      <c r="Z3873" t="s">
        <v>77</v>
      </c>
      <c r="AA3873" t="str">
        <f>"10467"</f>
        <v>10467</v>
      </c>
      <c r="AB3873" t="s">
        <v>78</v>
      </c>
      <c r="AC3873" t="s">
        <v>79</v>
      </c>
      <c r="AD3873" t="s">
        <v>75</v>
      </c>
      <c r="AE3873" t="s">
        <v>80</v>
      </c>
      <c r="AG3873" t="s">
        <v>81</v>
      </c>
    </row>
    <row r="3874" spans="1:33" x14ac:dyDescent="0.25">
      <c r="A3874" t="str">
        <f>"1376619064"</f>
        <v>1376619064</v>
      </c>
      <c r="B3874" t="str">
        <f>"02221534"</f>
        <v>02221534</v>
      </c>
      <c r="C3874" t="s">
        <v>13436</v>
      </c>
      <c r="D3874" t="s">
        <v>20906</v>
      </c>
      <c r="E3874" t="s">
        <v>20907</v>
      </c>
      <c r="G3874" t="s">
        <v>20908</v>
      </c>
      <c r="L3874" t="s">
        <v>84</v>
      </c>
      <c r="M3874" t="s">
        <v>85</v>
      </c>
      <c r="R3874" t="s">
        <v>20909</v>
      </c>
      <c r="W3874" t="s">
        <v>20907</v>
      </c>
      <c r="X3874" t="s">
        <v>20910</v>
      </c>
      <c r="Y3874" t="s">
        <v>97</v>
      </c>
      <c r="Z3874" t="s">
        <v>77</v>
      </c>
      <c r="AA3874" t="str">
        <f>"10019-1147"</f>
        <v>10019-1147</v>
      </c>
      <c r="AB3874" t="s">
        <v>78</v>
      </c>
      <c r="AC3874" t="s">
        <v>79</v>
      </c>
      <c r="AD3874" t="s">
        <v>75</v>
      </c>
      <c r="AE3874" t="s">
        <v>80</v>
      </c>
      <c r="AG3874" t="s">
        <v>81</v>
      </c>
    </row>
    <row r="3875" spans="1:33" x14ac:dyDescent="0.25">
      <c r="A3875" t="str">
        <f>"1184889099"</f>
        <v>1184889099</v>
      </c>
      <c r="B3875" t="str">
        <f>"02804240"</f>
        <v>02804240</v>
      </c>
      <c r="C3875" t="s">
        <v>13436</v>
      </c>
      <c r="D3875" t="s">
        <v>20911</v>
      </c>
      <c r="E3875" t="s">
        <v>20912</v>
      </c>
      <c r="G3875" t="s">
        <v>20913</v>
      </c>
      <c r="L3875" t="s">
        <v>74</v>
      </c>
      <c r="M3875" t="s">
        <v>85</v>
      </c>
      <c r="R3875" t="s">
        <v>20914</v>
      </c>
      <c r="W3875" t="s">
        <v>20915</v>
      </c>
      <c r="X3875" t="s">
        <v>20916</v>
      </c>
      <c r="Y3875" t="s">
        <v>1047</v>
      </c>
      <c r="Z3875" t="s">
        <v>77</v>
      </c>
      <c r="AA3875" t="str">
        <f>"10510-2096"</f>
        <v>10510-2096</v>
      </c>
      <c r="AB3875" t="s">
        <v>82</v>
      </c>
      <c r="AC3875" t="s">
        <v>79</v>
      </c>
      <c r="AD3875" t="s">
        <v>75</v>
      </c>
      <c r="AE3875" t="s">
        <v>80</v>
      </c>
      <c r="AG3875" t="s">
        <v>81</v>
      </c>
    </row>
    <row r="3876" spans="1:33" x14ac:dyDescent="0.25">
      <c r="A3876" t="str">
        <f>"1194021808"</f>
        <v>1194021808</v>
      </c>
      <c r="B3876" t="str">
        <f>"03758821"</f>
        <v>03758821</v>
      </c>
      <c r="C3876" t="s">
        <v>13436</v>
      </c>
      <c r="D3876" t="s">
        <v>20917</v>
      </c>
      <c r="E3876" t="s">
        <v>20918</v>
      </c>
      <c r="G3876" t="s">
        <v>20919</v>
      </c>
      <c r="L3876" t="s">
        <v>74</v>
      </c>
      <c r="M3876" t="s">
        <v>85</v>
      </c>
      <c r="R3876" t="s">
        <v>20918</v>
      </c>
      <c r="W3876" t="s">
        <v>20918</v>
      </c>
      <c r="X3876" t="s">
        <v>191</v>
      </c>
      <c r="Y3876" t="s">
        <v>97</v>
      </c>
      <c r="Z3876" t="s">
        <v>77</v>
      </c>
      <c r="AA3876" t="str">
        <f>"10019-1147"</f>
        <v>10019-1147</v>
      </c>
      <c r="AB3876" t="s">
        <v>78</v>
      </c>
      <c r="AC3876" t="s">
        <v>79</v>
      </c>
      <c r="AD3876" t="s">
        <v>75</v>
      </c>
      <c r="AE3876" t="s">
        <v>80</v>
      </c>
      <c r="AG3876" t="s">
        <v>81</v>
      </c>
    </row>
    <row r="3877" spans="1:33" x14ac:dyDescent="0.25">
      <c r="A3877" t="str">
        <f>"1407906233"</f>
        <v>1407906233</v>
      </c>
      <c r="B3877" t="str">
        <f>"02866306"</f>
        <v>02866306</v>
      </c>
      <c r="C3877" t="s">
        <v>13436</v>
      </c>
      <c r="D3877" t="s">
        <v>1359</v>
      </c>
      <c r="E3877" t="s">
        <v>1360</v>
      </c>
      <c r="G3877" t="s">
        <v>20920</v>
      </c>
      <c r="L3877" t="s">
        <v>143</v>
      </c>
      <c r="M3877" t="s">
        <v>85</v>
      </c>
      <c r="R3877" t="s">
        <v>1361</v>
      </c>
      <c r="W3877" t="s">
        <v>1362</v>
      </c>
      <c r="X3877" t="s">
        <v>181</v>
      </c>
      <c r="Y3877" t="s">
        <v>97</v>
      </c>
      <c r="Z3877" t="s">
        <v>77</v>
      </c>
      <c r="AA3877" t="str">
        <f>"10025-1716"</f>
        <v>10025-1716</v>
      </c>
      <c r="AB3877" t="s">
        <v>78</v>
      </c>
      <c r="AC3877" t="s">
        <v>79</v>
      </c>
      <c r="AD3877" t="s">
        <v>75</v>
      </c>
      <c r="AE3877" t="s">
        <v>80</v>
      </c>
      <c r="AG3877" t="s">
        <v>81</v>
      </c>
    </row>
    <row r="3878" spans="1:33" x14ac:dyDescent="0.25">
      <c r="A3878" t="str">
        <f>"1407920747"</f>
        <v>1407920747</v>
      </c>
      <c r="B3878" t="str">
        <f>"02431950"</f>
        <v>02431950</v>
      </c>
      <c r="C3878" t="s">
        <v>13436</v>
      </c>
      <c r="D3878" t="s">
        <v>20921</v>
      </c>
      <c r="E3878" t="s">
        <v>20922</v>
      </c>
      <c r="G3878" t="s">
        <v>20923</v>
      </c>
      <c r="L3878" t="s">
        <v>105</v>
      </c>
      <c r="M3878" t="s">
        <v>85</v>
      </c>
      <c r="R3878" t="s">
        <v>20924</v>
      </c>
      <c r="W3878" t="s">
        <v>20925</v>
      </c>
      <c r="X3878" t="s">
        <v>186</v>
      </c>
      <c r="Y3878" t="s">
        <v>97</v>
      </c>
      <c r="Z3878" t="s">
        <v>77</v>
      </c>
      <c r="AA3878" t="str">
        <f>"10029-7404"</f>
        <v>10029-7404</v>
      </c>
      <c r="AB3878" t="s">
        <v>78</v>
      </c>
      <c r="AC3878" t="s">
        <v>79</v>
      </c>
      <c r="AD3878" t="s">
        <v>75</v>
      </c>
      <c r="AE3878" t="s">
        <v>80</v>
      </c>
      <c r="AG3878" t="s">
        <v>81</v>
      </c>
    </row>
    <row r="3879" spans="1:33" x14ac:dyDescent="0.25">
      <c r="A3879" t="str">
        <f>"1417015835"</f>
        <v>1417015835</v>
      </c>
      <c r="C3879" t="s">
        <v>13436</v>
      </c>
      <c r="G3879" t="s">
        <v>20926</v>
      </c>
      <c r="K3879" t="s">
        <v>99</v>
      </c>
      <c r="L3879" t="s">
        <v>102</v>
      </c>
      <c r="M3879" t="s">
        <v>85</v>
      </c>
      <c r="R3879" t="s">
        <v>20927</v>
      </c>
      <c r="S3879" t="s">
        <v>20928</v>
      </c>
      <c r="T3879" t="s">
        <v>97</v>
      </c>
      <c r="U3879" t="s">
        <v>77</v>
      </c>
      <c r="V3879" t="str">
        <f>"100251716"</f>
        <v>100251716</v>
      </c>
      <c r="AC3879" t="s">
        <v>79</v>
      </c>
      <c r="AD3879" t="s">
        <v>75</v>
      </c>
      <c r="AE3879" t="s">
        <v>103</v>
      </c>
      <c r="AG3879" t="s">
        <v>81</v>
      </c>
    </row>
    <row r="3880" spans="1:33" x14ac:dyDescent="0.25">
      <c r="A3880" t="str">
        <f>"1417128802"</f>
        <v>1417128802</v>
      </c>
      <c r="B3880" t="str">
        <f>"02569588"</f>
        <v>02569588</v>
      </c>
      <c r="C3880" t="s">
        <v>13436</v>
      </c>
      <c r="D3880" t="s">
        <v>20929</v>
      </c>
      <c r="E3880" t="s">
        <v>20930</v>
      </c>
      <c r="G3880" t="s">
        <v>20931</v>
      </c>
      <c r="L3880" t="s">
        <v>83</v>
      </c>
      <c r="M3880" t="s">
        <v>85</v>
      </c>
      <c r="R3880" t="s">
        <v>20932</v>
      </c>
      <c r="W3880" t="s">
        <v>20930</v>
      </c>
      <c r="X3880" t="s">
        <v>264</v>
      </c>
      <c r="Y3880" t="s">
        <v>131</v>
      </c>
      <c r="Z3880" t="s">
        <v>77</v>
      </c>
      <c r="AA3880" t="str">
        <f>"10461-1197"</f>
        <v>10461-1197</v>
      </c>
      <c r="AB3880" t="s">
        <v>78</v>
      </c>
      <c r="AC3880" t="s">
        <v>79</v>
      </c>
      <c r="AD3880" t="s">
        <v>75</v>
      </c>
      <c r="AE3880" t="s">
        <v>80</v>
      </c>
      <c r="AG3880" t="s">
        <v>81</v>
      </c>
    </row>
    <row r="3881" spans="1:33" x14ac:dyDescent="0.25">
      <c r="A3881" t="str">
        <f>"1417181975"</f>
        <v>1417181975</v>
      </c>
      <c r="B3881" t="str">
        <f>"03349924"</f>
        <v>03349924</v>
      </c>
      <c r="C3881" t="s">
        <v>13436</v>
      </c>
      <c r="D3881" t="s">
        <v>20933</v>
      </c>
      <c r="E3881" t="s">
        <v>20934</v>
      </c>
      <c r="G3881" t="s">
        <v>20935</v>
      </c>
      <c r="L3881" t="s">
        <v>74</v>
      </c>
      <c r="M3881" t="s">
        <v>85</v>
      </c>
      <c r="R3881" t="s">
        <v>20936</v>
      </c>
      <c r="W3881" t="s">
        <v>20934</v>
      </c>
      <c r="X3881" t="s">
        <v>20937</v>
      </c>
      <c r="Y3881" t="s">
        <v>97</v>
      </c>
      <c r="Z3881" t="s">
        <v>77</v>
      </c>
      <c r="AA3881" t="str">
        <f>"10019-8022"</f>
        <v>10019-8022</v>
      </c>
      <c r="AB3881" t="s">
        <v>78</v>
      </c>
      <c r="AC3881" t="s">
        <v>79</v>
      </c>
      <c r="AD3881" t="s">
        <v>75</v>
      </c>
      <c r="AE3881" t="s">
        <v>80</v>
      </c>
      <c r="AG3881" t="s">
        <v>81</v>
      </c>
    </row>
    <row r="3882" spans="1:33" x14ac:dyDescent="0.25">
      <c r="A3882" t="str">
        <f>"1417913609"</f>
        <v>1417913609</v>
      </c>
      <c r="B3882" t="str">
        <f>"03198941"</f>
        <v>03198941</v>
      </c>
      <c r="C3882" t="s">
        <v>13436</v>
      </c>
      <c r="D3882" t="s">
        <v>20938</v>
      </c>
      <c r="E3882" t="s">
        <v>20939</v>
      </c>
      <c r="G3882" t="s">
        <v>20940</v>
      </c>
      <c r="L3882" t="s">
        <v>83</v>
      </c>
      <c r="M3882" t="s">
        <v>85</v>
      </c>
      <c r="R3882" t="s">
        <v>20941</v>
      </c>
      <c r="W3882" t="s">
        <v>20939</v>
      </c>
      <c r="X3882" t="s">
        <v>2587</v>
      </c>
      <c r="Y3882" t="s">
        <v>97</v>
      </c>
      <c r="Z3882" t="s">
        <v>77</v>
      </c>
      <c r="AA3882" t="str">
        <f>"10003-3314"</f>
        <v>10003-3314</v>
      </c>
      <c r="AB3882" t="s">
        <v>78</v>
      </c>
      <c r="AC3882" t="s">
        <v>79</v>
      </c>
      <c r="AD3882" t="s">
        <v>75</v>
      </c>
      <c r="AE3882" t="s">
        <v>80</v>
      </c>
      <c r="AG3882" t="s">
        <v>81</v>
      </c>
    </row>
    <row r="3883" spans="1:33" x14ac:dyDescent="0.25">
      <c r="A3883" t="str">
        <f>"1417932880"</f>
        <v>1417932880</v>
      </c>
      <c r="B3883" t="str">
        <f>"01506812"</f>
        <v>01506812</v>
      </c>
      <c r="C3883" t="s">
        <v>13436</v>
      </c>
      <c r="D3883" t="s">
        <v>20942</v>
      </c>
      <c r="E3883" t="s">
        <v>20943</v>
      </c>
      <c r="G3883" t="s">
        <v>20944</v>
      </c>
      <c r="L3883" t="s">
        <v>74</v>
      </c>
      <c r="M3883" t="s">
        <v>85</v>
      </c>
      <c r="R3883" t="s">
        <v>20945</v>
      </c>
      <c r="W3883" t="s">
        <v>20943</v>
      </c>
      <c r="X3883" t="s">
        <v>20946</v>
      </c>
      <c r="Y3883" t="s">
        <v>131</v>
      </c>
      <c r="Z3883" t="s">
        <v>77</v>
      </c>
      <c r="AA3883" t="str">
        <f>"10467-2401"</f>
        <v>10467-2401</v>
      </c>
      <c r="AB3883" t="s">
        <v>78</v>
      </c>
      <c r="AC3883" t="s">
        <v>79</v>
      </c>
      <c r="AD3883" t="s">
        <v>75</v>
      </c>
      <c r="AE3883" t="s">
        <v>80</v>
      </c>
      <c r="AG3883" t="s">
        <v>81</v>
      </c>
    </row>
    <row r="3884" spans="1:33" x14ac:dyDescent="0.25">
      <c r="A3884" t="str">
        <f>"1417940305"</f>
        <v>1417940305</v>
      </c>
      <c r="B3884" t="str">
        <f>"02184247"</f>
        <v>02184247</v>
      </c>
      <c r="C3884" t="s">
        <v>13436</v>
      </c>
      <c r="D3884" t="s">
        <v>20947</v>
      </c>
      <c r="E3884" t="s">
        <v>20948</v>
      </c>
      <c r="G3884" t="s">
        <v>20949</v>
      </c>
      <c r="L3884" t="s">
        <v>94</v>
      </c>
      <c r="M3884" t="s">
        <v>85</v>
      </c>
      <c r="R3884" t="s">
        <v>20950</v>
      </c>
      <c r="W3884" t="s">
        <v>20948</v>
      </c>
      <c r="X3884" t="s">
        <v>5667</v>
      </c>
      <c r="Y3884" t="s">
        <v>97</v>
      </c>
      <c r="Z3884" t="s">
        <v>77</v>
      </c>
      <c r="AA3884" t="str">
        <f>"10025-1716"</f>
        <v>10025-1716</v>
      </c>
      <c r="AB3884" t="s">
        <v>78</v>
      </c>
      <c r="AC3884" t="s">
        <v>79</v>
      </c>
      <c r="AD3884" t="s">
        <v>75</v>
      </c>
      <c r="AE3884" t="s">
        <v>80</v>
      </c>
      <c r="AG3884" t="s">
        <v>81</v>
      </c>
    </row>
    <row r="3885" spans="1:33" x14ac:dyDescent="0.25">
      <c r="A3885" t="str">
        <f>"1417946286"</f>
        <v>1417946286</v>
      </c>
      <c r="B3885" t="str">
        <f>"01523564"</f>
        <v>01523564</v>
      </c>
      <c r="C3885" t="s">
        <v>13436</v>
      </c>
      <c r="D3885" t="s">
        <v>20951</v>
      </c>
      <c r="E3885" t="s">
        <v>20952</v>
      </c>
      <c r="G3885" t="s">
        <v>20953</v>
      </c>
      <c r="L3885" t="s">
        <v>83</v>
      </c>
      <c r="M3885" t="s">
        <v>85</v>
      </c>
      <c r="R3885" t="s">
        <v>20954</v>
      </c>
      <c r="W3885" t="s">
        <v>20952</v>
      </c>
      <c r="X3885" t="s">
        <v>4640</v>
      </c>
      <c r="Y3885" t="s">
        <v>97</v>
      </c>
      <c r="Z3885" t="s">
        <v>77</v>
      </c>
      <c r="AA3885" t="str">
        <f>"10019-8022"</f>
        <v>10019-8022</v>
      </c>
      <c r="AB3885" t="s">
        <v>78</v>
      </c>
      <c r="AC3885" t="s">
        <v>79</v>
      </c>
      <c r="AD3885" t="s">
        <v>75</v>
      </c>
      <c r="AE3885" t="s">
        <v>80</v>
      </c>
      <c r="AG3885" t="s">
        <v>81</v>
      </c>
    </row>
    <row r="3886" spans="1:33" x14ac:dyDescent="0.25">
      <c r="A3886" t="str">
        <f>"1609993641"</f>
        <v>1609993641</v>
      </c>
      <c r="B3886" t="str">
        <f>"01102923"</f>
        <v>01102923</v>
      </c>
      <c r="C3886" t="s">
        <v>20955</v>
      </c>
      <c r="D3886" t="s">
        <v>20956</v>
      </c>
      <c r="E3886" t="s">
        <v>20957</v>
      </c>
      <c r="G3886" t="s">
        <v>13504</v>
      </c>
      <c r="H3886" t="s">
        <v>13505</v>
      </c>
      <c r="J3886" t="s">
        <v>13506</v>
      </c>
      <c r="L3886" t="s">
        <v>83</v>
      </c>
      <c r="M3886" t="s">
        <v>85</v>
      </c>
      <c r="R3886" t="s">
        <v>20958</v>
      </c>
      <c r="W3886" t="s">
        <v>20957</v>
      </c>
      <c r="X3886" t="s">
        <v>20959</v>
      </c>
      <c r="Y3886" t="s">
        <v>97</v>
      </c>
      <c r="Z3886" t="s">
        <v>77</v>
      </c>
      <c r="AA3886" t="str">
        <f>"10021-4872"</f>
        <v>10021-4872</v>
      </c>
      <c r="AB3886" t="s">
        <v>78</v>
      </c>
      <c r="AC3886" t="s">
        <v>79</v>
      </c>
      <c r="AD3886" t="s">
        <v>75</v>
      </c>
      <c r="AE3886" t="s">
        <v>80</v>
      </c>
      <c r="AG3886" t="s">
        <v>81</v>
      </c>
    </row>
    <row r="3887" spans="1:33" x14ac:dyDescent="0.25">
      <c r="A3887" t="str">
        <f>"1235118449"</f>
        <v>1235118449</v>
      </c>
      <c r="B3887" t="str">
        <f>"00182090"</f>
        <v>00182090</v>
      </c>
      <c r="C3887" t="s">
        <v>20960</v>
      </c>
      <c r="D3887" t="s">
        <v>20961</v>
      </c>
      <c r="E3887" t="s">
        <v>20962</v>
      </c>
      <c r="G3887" t="s">
        <v>13504</v>
      </c>
      <c r="H3887" t="s">
        <v>13505</v>
      </c>
      <c r="J3887" t="s">
        <v>13506</v>
      </c>
      <c r="L3887" t="s">
        <v>84</v>
      </c>
      <c r="M3887" t="s">
        <v>75</v>
      </c>
      <c r="W3887" t="s">
        <v>20962</v>
      </c>
      <c r="X3887" t="s">
        <v>20963</v>
      </c>
      <c r="Y3887" t="s">
        <v>87</v>
      </c>
      <c r="Z3887" t="s">
        <v>77</v>
      </c>
      <c r="AA3887" t="str">
        <f>"11213-5803"</f>
        <v>11213-5803</v>
      </c>
      <c r="AB3887" t="s">
        <v>78</v>
      </c>
      <c r="AC3887" t="s">
        <v>79</v>
      </c>
      <c r="AD3887" t="s">
        <v>75</v>
      </c>
      <c r="AE3887" t="s">
        <v>80</v>
      </c>
      <c r="AG3887" t="s">
        <v>81</v>
      </c>
    </row>
    <row r="3888" spans="1:33" x14ac:dyDescent="0.25">
      <c r="A3888" t="str">
        <f>"1366404352"</f>
        <v>1366404352</v>
      </c>
      <c r="B3888" t="str">
        <f>"00184267"</f>
        <v>00184267</v>
      </c>
      <c r="C3888" t="s">
        <v>20964</v>
      </c>
      <c r="D3888" t="s">
        <v>20965</v>
      </c>
      <c r="E3888" t="s">
        <v>20966</v>
      </c>
      <c r="G3888" t="s">
        <v>13504</v>
      </c>
      <c r="H3888" t="s">
        <v>13505</v>
      </c>
      <c r="J3888" t="s">
        <v>13506</v>
      </c>
      <c r="L3888" t="s">
        <v>83</v>
      </c>
      <c r="M3888" t="s">
        <v>85</v>
      </c>
      <c r="R3888" t="s">
        <v>1974</v>
      </c>
      <c r="W3888" t="s">
        <v>20966</v>
      </c>
      <c r="X3888" t="s">
        <v>20967</v>
      </c>
      <c r="Y3888" t="s">
        <v>87</v>
      </c>
      <c r="Z3888" t="s">
        <v>77</v>
      </c>
      <c r="AA3888" t="str">
        <f>"11201-6557"</f>
        <v>11201-6557</v>
      </c>
      <c r="AB3888" t="s">
        <v>78</v>
      </c>
      <c r="AC3888" t="s">
        <v>79</v>
      </c>
      <c r="AD3888" t="s">
        <v>75</v>
      </c>
      <c r="AE3888" t="s">
        <v>80</v>
      </c>
      <c r="AG3888" t="s">
        <v>81</v>
      </c>
    </row>
    <row r="3889" spans="1:33" x14ac:dyDescent="0.25">
      <c r="A3889" t="str">
        <f>"1073607040"</f>
        <v>1073607040</v>
      </c>
      <c r="B3889" t="str">
        <f>"00186301"</f>
        <v>00186301</v>
      </c>
      <c r="C3889" t="s">
        <v>20968</v>
      </c>
      <c r="D3889" t="s">
        <v>20969</v>
      </c>
      <c r="E3889" t="s">
        <v>20970</v>
      </c>
      <c r="G3889" t="s">
        <v>13504</v>
      </c>
      <c r="H3889" t="s">
        <v>13505</v>
      </c>
      <c r="J3889" t="s">
        <v>13506</v>
      </c>
      <c r="L3889" t="s">
        <v>105</v>
      </c>
      <c r="M3889" t="s">
        <v>75</v>
      </c>
      <c r="R3889" t="s">
        <v>20971</v>
      </c>
      <c r="W3889" t="s">
        <v>20970</v>
      </c>
      <c r="X3889" t="s">
        <v>20972</v>
      </c>
      <c r="Y3889" t="s">
        <v>87</v>
      </c>
      <c r="Z3889" t="s">
        <v>77</v>
      </c>
      <c r="AA3889" t="str">
        <f>"11201-4618"</f>
        <v>11201-4618</v>
      </c>
      <c r="AB3889" t="s">
        <v>78</v>
      </c>
      <c r="AC3889" t="s">
        <v>79</v>
      </c>
      <c r="AD3889" t="s">
        <v>75</v>
      </c>
      <c r="AE3889" t="s">
        <v>80</v>
      </c>
      <c r="AG3889" t="s">
        <v>81</v>
      </c>
    </row>
    <row r="3890" spans="1:33" x14ac:dyDescent="0.25">
      <c r="A3890" t="str">
        <f>"1659332419"</f>
        <v>1659332419</v>
      </c>
      <c r="B3890" t="str">
        <f>"00189588"</f>
        <v>00189588</v>
      </c>
      <c r="C3890" t="s">
        <v>20973</v>
      </c>
      <c r="D3890" t="s">
        <v>20974</v>
      </c>
      <c r="E3890" t="s">
        <v>20975</v>
      </c>
      <c r="G3890" t="s">
        <v>13504</v>
      </c>
      <c r="H3890" t="s">
        <v>13505</v>
      </c>
      <c r="J3890" t="s">
        <v>13506</v>
      </c>
      <c r="L3890" t="s">
        <v>83</v>
      </c>
      <c r="M3890" t="s">
        <v>85</v>
      </c>
      <c r="R3890" t="s">
        <v>20976</v>
      </c>
      <c r="W3890" t="s">
        <v>20977</v>
      </c>
      <c r="X3890" t="s">
        <v>20978</v>
      </c>
      <c r="Y3890" t="s">
        <v>87</v>
      </c>
      <c r="Z3890" t="s">
        <v>77</v>
      </c>
      <c r="AA3890" t="str">
        <f>"11201-5514"</f>
        <v>11201-5514</v>
      </c>
      <c r="AB3890" t="s">
        <v>78</v>
      </c>
      <c r="AC3890" t="s">
        <v>79</v>
      </c>
      <c r="AD3890" t="s">
        <v>75</v>
      </c>
      <c r="AE3890" t="s">
        <v>80</v>
      </c>
      <c r="AG3890" t="s">
        <v>81</v>
      </c>
    </row>
    <row r="3891" spans="1:33" x14ac:dyDescent="0.25">
      <c r="A3891" t="str">
        <f>"1649235516"</f>
        <v>1649235516</v>
      </c>
      <c r="B3891" t="str">
        <f>"02733168"</f>
        <v>02733168</v>
      </c>
      <c r="C3891" t="s">
        <v>20979</v>
      </c>
      <c r="D3891" t="s">
        <v>4366</v>
      </c>
      <c r="E3891" t="s">
        <v>4367</v>
      </c>
      <c r="G3891" t="s">
        <v>12446</v>
      </c>
      <c r="H3891" t="s">
        <v>797</v>
      </c>
      <c r="J3891" t="s">
        <v>3051</v>
      </c>
      <c r="L3891" t="s">
        <v>84</v>
      </c>
      <c r="M3891" t="s">
        <v>85</v>
      </c>
      <c r="R3891" t="s">
        <v>4368</v>
      </c>
      <c r="W3891" t="s">
        <v>4367</v>
      </c>
      <c r="X3891" t="s">
        <v>289</v>
      </c>
      <c r="Y3891" t="s">
        <v>283</v>
      </c>
      <c r="Z3891" t="s">
        <v>77</v>
      </c>
      <c r="AA3891" t="str">
        <f>"11418-2618"</f>
        <v>11418-2618</v>
      </c>
      <c r="AB3891" t="s">
        <v>78</v>
      </c>
      <c r="AC3891" t="s">
        <v>79</v>
      </c>
      <c r="AD3891" t="s">
        <v>75</v>
      </c>
      <c r="AE3891" t="s">
        <v>80</v>
      </c>
      <c r="AG3891" t="s">
        <v>81</v>
      </c>
    </row>
    <row r="3892" spans="1:33" x14ac:dyDescent="0.25">
      <c r="A3892" t="str">
        <f>"1205992328"</f>
        <v>1205992328</v>
      </c>
      <c r="B3892" t="str">
        <f>"02875872"</f>
        <v>02875872</v>
      </c>
      <c r="C3892" t="s">
        <v>13436</v>
      </c>
      <c r="D3892" t="s">
        <v>707</v>
      </c>
      <c r="E3892" t="s">
        <v>708</v>
      </c>
      <c r="G3892" t="s">
        <v>20980</v>
      </c>
      <c r="L3892" t="s">
        <v>83</v>
      </c>
      <c r="M3892" t="s">
        <v>85</v>
      </c>
      <c r="R3892" t="s">
        <v>708</v>
      </c>
      <c r="W3892" t="s">
        <v>709</v>
      </c>
      <c r="X3892" t="s">
        <v>710</v>
      </c>
      <c r="Y3892" t="s">
        <v>87</v>
      </c>
      <c r="Z3892" t="s">
        <v>77</v>
      </c>
      <c r="AA3892" t="str">
        <f>"11220-3254"</f>
        <v>11220-3254</v>
      </c>
      <c r="AB3892" t="s">
        <v>78</v>
      </c>
      <c r="AC3892" t="s">
        <v>79</v>
      </c>
      <c r="AD3892" t="s">
        <v>75</v>
      </c>
      <c r="AE3892" t="s">
        <v>80</v>
      </c>
      <c r="AG3892" t="s">
        <v>81</v>
      </c>
    </row>
    <row r="3893" spans="1:33" x14ac:dyDescent="0.25">
      <c r="A3893" t="str">
        <f>"1215075908"</f>
        <v>1215075908</v>
      </c>
      <c r="B3893" t="str">
        <f>"02338136"</f>
        <v>02338136</v>
      </c>
      <c r="C3893" t="s">
        <v>13436</v>
      </c>
      <c r="D3893" t="s">
        <v>20981</v>
      </c>
      <c r="E3893" t="s">
        <v>20982</v>
      </c>
      <c r="G3893" t="s">
        <v>20983</v>
      </c>
      <c r="L3893" t="s">
        <v>83</v>
      </c>
      <c r="M3893" t="s">
        <v>85</v>
      </c>
      <c r="R3893" t="s">
        <v>20984</v>
      </c>
      <c r="W3893" t="s">
        <v>20985</v>
      </c>
      <c r="X3893" t="s">
        <v>20986</v>
      </c>
      <c r="Y3893" t="s">
        <v>97</v>
      </c>
      <c r="Z3893" t="s">
        <v>77</v>
      </c>
      <c r="AA3893" t="str">
        <f>"10003-3314"</f>
        <v>10003-3314</v>
      </c>
      <c r="AB3893" t="s">
        <v>78</v>
      </c>
      <c r="AC3893" t="s">
        <v>79</v>
      </c>
      <c r="AD3893" t="s">
        <v>75</v>
      </c>
      <c r="AE3893" t="s">
        <v>80</v>
      </c>
      <c r="AG3893" t="s">
        <v>81</v>
      </c>
    </row>
    <row r="3894" spans="1:33" x14ac:dyDescent="0.25">
      <c r="A3894" t="str">
        <f>"1215097985"</f>
        <v>1215097985</v>
      </c>
      <c r="B3894" t="str">
        <f>"01638453"</f>
        <v>01638453</v>
      </c>
      <c r="C3894" t="s">
        <v>13436</v>
      </c>
      <c r="D3894" t="s">
        <v>20987</v>
      </c>
      <c r="E3894" t="s">
        <v>20988</v>
      </c>
      <c r="G3894" t="s">
        <v>20989</v>
      </c>
      <c r="L3894" t="s">
        <v>83</v>
      </c>
      <c r="M3894" t="s">
        <v>85</v>
      </c>
      <c r="R3894" t="s">
        <v>20990</v>
      </c>
      <c r="W3894" t="s">
        <v>20988</v>
      </c>
      <c r="X3894" t="s">
        <v>14871</v>
      </c>
      <c r="Y3894" t="s">
        <v>97</v>
      </c>
      <c r="Z3894" t="s">
        <v>77</v>
      </c>
      <c r="AA3894" t="str">
        <f>"10003"</f>
        <v>10003</v>
      </c>
      <c r="AB3894" t="s">
        <v>78</v>
      </c>
      <c r="AC3894" t="s">
        <v>79</v>
      </c>
      <c r="AD3894" t="s">
        <v>75</v>
      </c>
      <c r="AE3894" t="s">
        <v>80</v>
      </c>
      <c r="AG3894" t="s">
        <v>81</v>
      </c>
    </row>
    <row r="3895" spans="1:33" x14ac:dyDescent="0.25">
      <c r="A3895" t="str">
        <f>"1710146741"</f>
        <v>1710146741</v>
      </c>
      <c r="B3895" t="str">
        <f>"03398547"</f>
        <v>03398547</v>
      </c>
      <c r="C3895" t="s">
        <v>20991</v>
      </c>
      <c r="D3895" t="s">
        <v>20992</v>
      </c>
      <c r="E3895" t="s">
        <v>20993</v>
      </c>
      <c r="G3895" t="s">
        <v>20991</v>
      </c>
      <c r="H3895" t="s">
        <v>20994</v>
      </c>
      <c r="J3895" t="s">
        <v>20995</v>
      </c>
      <c r="L3895" t="s">
        <v>83</v>
      </c>
      <c r="M3895" t="s">
        <v>75</v>
      </c>
      <c r="R3895" t="s">
        <v>20996</v>
      </c>
      <c r="W3895" t="s">
        <v>20993</v>
      </c>
      <c r="X3895" t="s">
        <v>329</v>
      </c>
      <c r="Y3895" t="s">
        <v>97</v>
      </c>
      <c r="Z3895" t="s">
        <v>77</v>
      </c>
      <c r="AA3895" t="str">
        <f>"10029-6500"</f>
        <v>10029-6500</v>
      </c>
      <c r="AB3895" t="s">
        <v>78</v>
      </c>
      <c r="AC3895" t="s">
        <v>79</v>
      </c>
      <c r="AD3895" t="s">
        <v>75</v>
      </c>
      <c r="AE3895" t="s">
        <v>80</v>
      </c>
      <c r="AG3895" t="s">
        <v>81</v>
      </c>
    </row>
    <row r="3896" spans="1:33" x14ac:dyDescent="0.25">
      <c r="A3896" t="str">
        <f>"1427040286"</f>
        <v>1427040286</v>
      </c>
      <c r="B3896" t="str">
        <f>"00966192"</f>
        <v>00966192</v>
      </c>
      <c r="C3896" t="s">
        <v>20997</v>
      </c>
      <c r="D3896" t="s">
        <v>2550</v>
      </c>
      <c r="E3896" t="s">
        <v>2551</v>
      </c>
      <c r="G3896" t="s">
        <v>20997</v>
      </c>
      <c r="H3896" t="s">
        <v>20998</v>
      </c>
      <c r="J3896" t="s">
        <v>20999</v>
      </c>
      <c r="L3896" t="s">
        <v>105</v>
      </c>
      <c r="M3896" t="s">
        <v>75</v>
      </c>
      <c r="R3896" t="s">
        <v>2549</v>
      </c>
      <c r="W3896" t="s">
        <v>2551</v>
      </c>
      <c r="X3896" t="s">
        <v>2552</v>
      </c>
      <c r="Y3896" t="s">
        <v>131</v>
      </c>
      <c r="Z3896" t="s">
        <v>77</v>
      </c>
      <c r="AA3896" t="str">
        <f>"10461"</f>
        <v>10461</v>
      </c>
      <c r="AB3896" t="s">
        <v>78</v>
      </c>
      <c r="AC3896" t="s">
        <v>79</v>
      </c>
      <c r="AD3896" t="s">
        <v>75</v>
      </c>
      <c r="AE3896" t="s">
        <v>80</v>
      </c>
      <c r="AG3896" t="s">
        <v>81</v>
      </c>
    </row>
    <row r="3897" spans="1:33" x14ac:dyDescent="0.25">
      <c r="A3897" t="str">
        <f>"1083633788"</f>
        <v>1083633788</v>
      </c>
      <c r="B3897" t="str">
        <f>"01241785"</f>
        <v>01241785</v>
      </c>
      <c r="C3897" t="s">
        <v>21000</v>
      </c>
      <c r="D3897" t="s">
        <v>933</v>
      </c>
      <c r="E3897" t="s">
        <v>934</v>
      </c>
      <c r="G3897" t="s">
        <v>13504</v>
      </c>
      <c r="H3897" t="s">
        <v>13505</v>
      </c>
      <c r="J3897" t="s">
        <v>13506</v>
      </c>
      <c r="L3897" t="s">
        <v>84</v>
      </c>
      <c r="M3897" t="s">
        <v>85</v>
      </c>
      <c r="R3897" t="s">
        <v>932</v>
      </c>
      <c r="W3897" t="s">
        <v>934</v>
      </c>
      <c r="X3897" t="s">
        <v>202</v>
      </c>
      <c r="Y3897" t="s">
        <v>87</v>
      </c>
      <c r="Z3897" t="s">
        <v>77</v>
      </c>
      <c r="AA3897" t="str">
        <f>"11201-5425"</f>
        <v>11201-5425</v>
      </c>
      <c r="AB3897" t="s">
        <v>78</v>
      </c>
      <c r="AC3897" t="s">
        <v>79</v>
      </c>
      <c r="AD3897" t="s">
        <v>75</v>
      </c>
      <c r="AE3897" t="s">
        <v>80</v>
      </c>
      <c r="AG3897" t="s">
        <v>81</v>
      </c>
    </row>
    <row r="3898" spans="1:33" x14ac:dyDescent="0.25">
      <c r="A3898" t="str">
        <f>"1508939190"</f>
        <v>1508939190</v>
      </c>
      <c r="B3898" t="str">
        <f>"01252368"</f>
        <v>01252368</v>
      </c>
      <c r="C3898" t="s">
        <v>21001</v>
      </c>
      <c r="D3898" t="s">
        <v>21002</v>
      </c>
      <c r="E3898" t="s">
        <v>21003</v>
      </c>
      <c r="G3898" t="s">
        <v>13504</v>
      </c>
      <c r="H3898" t="s">
        <v>13505</v>
      </c>
      <c r="J3898" t="s">
        <v>13506</v>
      </c>
      <c r="L3898" t="s">
        <v>84</v>
      </c>
      <c r="M3898" t="s">
        <v>85</v>
      </c>
      <c r="R3898" t="s">
        <v>21004</v>
      </c>
      <c r="W3898" t="s">
        <v>21005</v>
      </c>
      <c r="X3898" t="s">
        <v>21006</v>
      </c>
      <c r="Y3898" t="s">
        <v>87</v>
      </c>
      <c r="Z3898" t="s">
        <v>77</v>
      </c>
      <c r="AA3898" t="str">
        <f>"11221-4742"</f>
        <v>11221-4742</v>
      </c>
      <c r="AB3898" t="s">
        <v>78</v>
      </c>
      <c r="AC3898" t="s">
        <v>79</v>
      </c>
      <c r="AD3898" t="s">
        <v>75</v>
      </c>
      <c r="AE3898" t="s">
        <v>80</v>
      </c>
      <c r="AG3898" t="s">
        <v>81</v>
      </c>
    </row>
    <row r="3899" spans="1:33" x14ac:dyDescent="0.25">
      <c r="A3899" t="str">
        <f>"1023071701"</f>
        <v>1023071701</v>
      </c>
      <c r="B3899" t="str">
        <f>"01512436"</f>
        <v>01512436</v>
      </c>
      <c r="C3899" t="s">
        <v>21007</v>
      </c>
      <c r="D3899" t="s">
        <v>21008</v>
      </c>
      <c r="E3899" t="s">
        <v>21009</v>
      </c>
      <c r="G3899" t="s">
        <v>13504</v>
      </c>
      <c r="H3899" t="s">
        <v>13505</v>
      </c>
      <c r="J3899" t="s">
        <v>13506</v>
      </c>
      <c r="L3899" t="s">
        <v>84</v>
      </c>
      <c r="M3899" t="s">
        <v>75</v>
      </c>
      <c r="R3899" t="s">
        <v>21010</v>
      </c>
      <c r="W3899" t="s">
        <v>21009</v>
      </c>
      <c r="X3899" t="s">
        <v>21011</v>
      </c>
      <c r="Y3899" t="s">
        <v>87</v>
      </c>
      <c r="Z3899" t="s">
        <v>77</v>
      </c>
      <c r="AA3899" t="str">
        <f>"11223-1931"</f>
        <v>11223-1931</v>
      </c>
      <c r="AB3899" t="s">
        <v>78</v>
      </c>
      <c r="AC3899" t="s">
        <v>79</v>
      </c>
      <c r="AD3899" t="s">
        <v>75</v>
      </c>
      <c r="AE3899" t="s">
        <v>80</v>
      </c>
      <c r="AG3899" t="s">
        <v>81</v>
      </c>
    </row>
    <row r="3900" spans="1:33" x14ac:dyDescent="0.25">
      <c r="A3900" t="str">
        <f>"1871699470"</f>
        <v>1871699470</v>
      </c>
      <c r="B3900" t="str">
        <f>"01381108"</f>
        <v>01381108</v>
      </c>
      <c r="C3900" t="s">
        <v>21012</v>
      </c>
      <c r="D3900" t="s">
        <v>1298</v>
      </c>
      <c r="E3900" t="s">
        <v>1299</v>
      </c>
      <c r="G3900" t="s">
        <v>13504</v>
      </c>
      <c r="H3900" t="s">
        <v>13505</v>
      </c>
      <c r="J3900" t="s">
        <v>13506</v>
      </c>
      <c r="L3900" t="s">
        <v>84</v>
      </c>
      <c r="M3900" t="s">
        <v>85</v>
      </c>
      <c r="R3900" t="s">
        <v>1297</v>
      </c>
      <c r="W3900" t="s">
        <v>1299</v>
      </c>
      <c r="X3900" t="s">
        <v>1300</v>
      </c>
      <c r="Y3900" t="s">
        <v>286</v>
      </c>
      <c r="Z3900" t="s">
        <v>77</v>
      </c>
      <c r="AA3900" t="str">
        <f>"11417-1008"</f>
        <v>11417-1008</v>
      </c>
      <c r="AB3900" t="s">
        <v>78</v>
      </c>
      <c r="AC3900" t="s">
        <v>79</v>
      </c>
      <c r="AD3900" t="s">
        <v>75</v>
      </c>
      <c r="AE3900" t="s">
        <v>80</v>
      </c>
      <c r="AG3900" t="s">
        <v>81</v>
      </c>
    </row>
    <row r="3901" spans="1:33" x14ac:dyDescent="0.25">
      <c r="A3901" t="str">
        <f>"1699751347"</f>
        <v>1699751347</v>
      </c>
      <c r="B3901" t="str">
        <f>"01443636"</f>
        <v>01443636</v>
      </c>
      <c r="C3901" t="s">
        <v>21013</v>
      </c>
      <c r="D3901" t="s">
        <v>21014</v>
      </c>
      <c r="E3901" t="s">
        <v>21015</v>
      </c>
      <c r="G3901" t="s">
        <v>13504</v>
      </c>
      <c r="H3901" t="s">
        <v>13505</v>
      </c>
      <c r="J3901" t="s">
        <v>13506</v>
      </c>
      <c r="L3901" t="s">
        <v>84</v>
      </c>
      <c r="M3901" t="s">
        <v>75</v>
      </c>
      <c r="R3901" t="s">
        <v>21016</v>
      </c>
      <c r="W3901" t="s">
        <v>21015</v>
      </c>
      <c r="X3901" t="s">
        <v>201</v>
      </c>
      <c r="Y3901" t="s">
        <v>87</v>
      </c>
      <c r="Z3901" t="s">
        <v>77</v>
      </c>
      <c r="AA3901" t="str">
        <f>"11237-4006"</f>
        <v>11237-4006</v>
      </c>
      <c r="AB3901" t="s">
        <v>78</v>
      </c>
      <c r="AC3901" t="s">
        <v>79</v>
      </c>
      <c r="AD3901" t="s">
        <v>75</v>
      </c>
      <c r="AE3901" t="s">
        <v>80</v>
      </c>
      <c r="AG3901" t="s">
        <v>81</v>
      </c>
    </row>
    <row r="3902" spans="1:33" x14ac:dyDescent="0.25">
      <c r="A3902" t="str">
        <f>"1336272384"</f>
        <v>1336272384</v>
      </c>
      <c r="B3902" t="str">
        <f>"03343455"</f>
        <v>03343455</v>
      </c>
      <c r="C3902" t="s">
        <v>21017</v>
      </c>
      <c r="D3902" t="s">
        <v>21018</v>
      </c>
      <c r="E3902" t="s">
        <v>21019</v>
      </c>
      <c r="G3902" t="s">
        <v>13504</v>
      </c>
      <c r="H3902" t="s">
        <v>13505</v>
      </c>
      <c r="J3902" t="s">
        <v>13506</v>
      </c>
      <c r="L3902" t="s">
        <v>37</v>
      </c>
      <c r="M3902" t="s">
        <v>75</v>
      </c>
      <c r="R3902" t="s">
        <v>21020</v>
      </c>
      <c r="W3902" t="s">
        <v>21020</v>
      </c>
      <c r="X3902" t="s">
        <v>4407</v>
      </c>
      <c r="Y3902" t="s">
        <v>87</v>
      </c>
      <c r="Z3902" t="s">
        <v>77</v>
      </c>
      <c r="AA3902" t="str">
        <f>"11221-1402"</f>
        <v>11221-1402</v>
      </c>
      <c r="AB3902" t="s">
        <v>127</v>
      </c>
      <c r="AC3902" t="s">
        <v>79</v>
      </c>
      <c r="AD3902" t="s">
        <v>75</v>
      </c>
      <c r="AE3902" t="s">
        <v>80</v>
      </c>
      <c r="AG3902" t="s">
        <v>81</v>
      </c>
    </row>
    <row r="3903" spans="1:33" x14ac:dyDescent="0.25">
      <c r="A3903" t="str">
        <f>"1063467785"</f>
        <v>1063467785</v>
      </c>
      <c r="B3903" t="str">
        <f>"01609374"</f>
        <v>01609374</v>
      </c>
      <c r="C3903" t="s">
        <v>21021</v>
      </c>
      <c r="D3903" t="s">
        <v>21022</v>
      </c>
      <c r="E3903" t="s">
        <v>21023</v>
      </c>
      <c r="G3903" t="s">
        <v>13504</v>
      </c>
      <c r="H3903" t="s">
        <v>13505</v>
      </c>
      <c r="J3903" t="s">
        <v>13506</v>
      </c>
      <c r="L3903" t="s">
        <v>83</v>
      </c>
      <c r="M3903" t="s">
        <v>75</v>
      </c>
      <c r="R3903" t="s">
        <v>21024</v>
      </c>
      <c r="W3903" t="s">
        <v>21023</v>
      </c>
      <c r="X3903" t="s">
        <v>21025</v>
      </c>
      <c r="Y3903" t="s">
        <v>87</v>
      </c>
      <c r="Z3903" t="s">
        <v>77</v>
      </c>
      <c r="AA3903" t="str">
        <f>"11228-3232"</f>
        <v>11228-3232</v>
      </c>
      <c r="AB3903" t="s">
        <v>78</v>
      </c>
      <c r="AC3903" t="s">
        <v>79</v>
      </c>
      <c r="AD3903" t="s">
        <v>75</v>
      </c>
      <c r="AE3903" t="s">
        <v>80</v>
      </c>
      <c r="AG3903" t="s">
        <v>81</v>
      </c>
    </row>
    <row r="3904" spans="1:33" x14ac:dyDescent="0.25">
      <c r="A3904" t="str">
        <f>"1730291998"</f>
        <v>1730291998</v>
      </c>
      <c r="B3904" t="str">
        <f>"02813298"</f>
        <v>02813298</v>
      </c>
      <c r="C3904" t="s">
        <v>21026</v>
      </c>
      <c r="D3904" t="s">
        <v>21027</v>
      </c>
      <c r="E3904" t="s">
        <v>21028</v>
      </c>
      <c r="G3904" t="s">
        <v>13504</v>
      </c>
      <c r="H3904" t="s">
        <v>13505</v>
      </c>
      <c r="J3904" t="s">
        <v>13506</v>
      </c>
      <c r="L3904" t="s">
        <v>37</v>
      </c>
      <c r="M3904" t="s">
        <v>75</v>
      </c>
      <c r="R3904" t="s">
        <v>21028</v>
      </c>
      <c r="W3904" t="s">
        <v>21028</v>
      </c>
      <c r="X3904" t="s">
        <v>21029</v>
      </c>
      <c r="Y3904" t="s">
        <v>87</v>
      </c>
      <c r="Z3904" t="s">
        <v>77</v>
      </c>
      <c r="AA3904" t="str">
        <f>"11201-5465"</f>
        <v>11201-5465</v>
      </c>
      <c r="AB3904" t="s">
        <v>137</v>
      </c>
      <c r="AC3904" t="s">
        <v>79</v>
      </c>
      <c r="AD3904" t="s">
        <v>75</v>
      </c>
      <c r="AE3904" t="s">
        <v>80</v>
      </c>
      <c r="AG3904" t="s">
        <v>81</v>
      </c>
    </row>
    <row r="3905" spans="1:33" x14ac:dyDescent="0.25">
      <c r="A3905" t="str">
        <f>"1952373912"</f>
        <v>1952373912</v>
      </c>
      <c r="B3905" t="str">
        <f>"01541648"</f>
        <v>01541648</v>
      </c>
      <c r="C3905" t="s">
        <v>21030</v>
      </c>
      <c r="D3905" t="s">
        <v>21031</v>
      </c>
      <c r="E3905" t="s">
        <v>21032</v>
      </c>
      <c r="G3905" t="s">
        <v>13504</v>
      </c>
      <c r="H3905" t="s">
        <v>13505</v>
      </c>
      <c r="J3905" t="s">
        <v>13506</v>
      </c>
      <c r="L3905" t="s">
        <v>83</v>
      </c>
      <c r="M3905" t="s">
        <v>85</v>
      </c>
      <c r="R3905" t="s">
        <v>21033</v>
      </c>
      <c r="W3905" t="s">
        <v>21034</v>
      </c>
      <c r="X3905" t="s">
        <v>21035</v>
      </c>
      <c r="Y3905" t="s">
        <v>87</v>
      </c>
      <c r="Z3905" t="s">
        <v>77</v>
      </c>
      <c r="AA3905" t="str">
        <f>"11220-2559"</f>
        <v>11220-2559</v>
      </c>
      <c r="AB3905" t="s">
        <v>78</v>
      </c>
      <c r="AC3905" t="s">
        <v>79</v>
      </c>
      <c r="AD3905" t="s">
        <v>75</v>
      </c>
      <c r="AE3905" t="s">
        <v>80</v>
      </c>
      <c r="AG3905" t="s">
        <v>81</v>
      </c>
    </row>
    <row r="3906" spans="1:33" x14ac:dyDescent="0.25">
      <c r="A3906" t="str">
        <f>"1891757274"</f>
        <v>1891757274</v>
      </c>
      <c r="B3906" t="str">
        <f>"01487567"</f>
        <v>01487567</v>
      </c>
      <c r="C3906" t="s">
        <v>21036</v>
      </c>
      <c r="D3906" t="s">
        <v>21037</v>
      </c>
      <c r="E3906" t="s">
        <v>21038</v>
      </c>
      <c r="G3906" t="s">
        <v>13504</v>
      </c>
      <c r="H3906" t="s">
        <v>13505</v>
      </c>
      <c r="J3906" t="s">
        <v>13506</v>
      </c>
      <c r="L3906" t="s">
        <v>83</v>
      </c>
      <c r="M3906" t="s">
        <v>75</v>
      </c>
      <c r="R3906" t="s">
        <v>21039</v>
      </c>
      <c r="W3906" t="s">
        <v>21038</v>
      </c>
      <c r="X3906" t="s">
        <v>16959</v>
      </c>
      <c r="Y3906" t="s">
        <v>87</v>
      </c>
      <c r="Z3906" t="s">
        <v>77</v>
      </c>
      <c r="AA3906" t="str">
        <f>"11235-3994"</f>
        <v>11235-3994</v>
      </c>
      <c r="AB3906" t="s">
        <v>78</v>
      </c>
      <c r="AC3906" t="s">
        <v>79</v>
      </c>
      <c r="AD3906" t="s">
        <v>75</v>
      </c>
      <c r="AE3906" t="s">
        <v>80</v>
      </c>
      <c r="AG3906" t="s">
        <v>81</v>
      </c>
    </row>
    <row r="3907" spans="1:33" x14ac:dyDescent="0.25">
      <c r="A3907" t="str">
        <f>"1902854698"</f>
        <v>1902854698</v>
      </c>
      <c r="B3907" t="str">
        <f>"01439005"</f>
        <v>01439005</v>
      </c>
      <c r="C3907" t="s">
        <v>21040</v>
      </c>
      <c r="D3907" t="s">
        <v>21041</v>
      </c>
      <c r="E3907" t="s">
        <v>21042</v>
      </c>
      <c r="G3907" t="s">
        <v>13504</v>
      </c>
      <c r="H3907" t="s">
        <v>13505</v>
      </c>
      <c r="J3907" t="s">
        <v>13506</v>
      </c>
      <c r="L3907" t="s">
        <v>74</v>
      </c>
      <c r="M3907" t="s">
        <v>75</v>
      </c>
      <c r="R3907" t="s">
        <v>21043</v>
      </c>
      <c r="W3907" t="s">
        <v>21042</v>
      </c>
      <c r="X3907" t="s">
        <v>21044</v>
      </c>
      <c r="Y3907" t="s">
        <v>87</v>
      </c>
      <c r="Z3907" t="s">
        <v>77</v>
      </c>
      <c r="AA3907" t="str">
        <f>"11237-4006"</f>
        <v>11237-4006</v>
      </c>
      <c r="AB3907" t="s">
        <v>78</v>
      </c>
      <c r="AC3907" t="s">
        <v>79</v>
      </c>
      <c r="AD3907" t="s">
        <v>75</v>
      </c>
      <c r="AE3907" t="s">
        <v>80</v>
      </c>
      <c r="AG3907" t="s">
        <v>81</v>
      </c>
    </row>
    <row r="3908" spans="1:33" x14ac:dyDescent="0.25">
      <c r="A3908" t="str">
        <f>"1578564266"</f>
        <v>1578564266</v>
      </c>
      <c r="B3908" t="str">
        <f>"02103060"</f>
        <v>02103060</v>
      </c>
      <c r="C3908" t="s">
        <v>13436</v>
      </c>
      <c r="D3908" t="s">
        <v>21045</v>
      </c>
      <c r="E3908" t="s">
        <v>21046</v>
      </c>
      <c r="G3908" t="s">
        <v>21047</v>
      </c>
      <c r="L3908" t="s">
        <v>83</v>
      </c>
      <c r="M3908" t="s">
        <v>85</v>
      </c>
      <c r="R3908" t="s">
        <v>21048</v>
      </c>
      <c r="W3908" t="s">
        <v>21046</v>
      </c>
      <c r="X3908" t="s">
        <v>21049</v>
      </c>
      <c r="Y3908" t="s">
        <v>97</v>
      </c>
      <c r="Z3908" t="s">
        <v>77</v>
      </c>
      <c r="AA3908" t="str">
        <f>"10019-1104"</f>
        <v>10019-1104</v>
      </c>
      <c r="AB3908" t="s">
        <v>78</v>
      </c>
      <c r="AC3908" t="s">
        <v>79</v>
      </c>
      <c r="AD3908" t="s">
        <v>75</v>
      </c>
      <c r="AE3908" t="s">
        <v>80</v>
      </c>
      <c r="AG3908" t="s">
        <v>81</v>
      </c>
    </row>
    <row r="3909" spans="1:33" x14ac:dyDescent="0.25">
      <c r="A3909" t="str">
        <f>"1578564407"</f>
        <v>1578564407</v>
      </c>
      <c r="B3909" t="str">
        <f>"02469198"</f>
        <v>02469198</v>
      </c>
      <c r="C3909" t="s">
        <v>13436</v>
      </c>
      <c r="D3909" t="s">
        <v>21050</v>
      </c>
      <c r="E3909" t="s">
        <v>21051</v>
      </c>
      <c r="G3909" t="s">
        <v>21052</v>
      </c>
      <c r="L3909" t="s">
        <v>74</v>
      </c>
      <c r="M3909" t="s">
        <v>85</v>
      </c>
      <c r="R3909" t="s">
        <v>21053</v>
      </c>
      <c r="W3909" t="s">
        <v>21051</v>
      </c>
      <c r="X3909" t="s">
        <v>2587</v>
      </c>
      <c r="Y3909" t="s">
        <v>97</v>
      </c>
      <c r="Z3909" t="s">
        <v>77</v>
      </c>
      <c r="AA3909" t="str">
        <f>"10003-3314"</f>
        <v>10003-3314</v>
      </c>
      <c r="AB3909" t="s">
        <v>78</v>
      </c>
      <c r="AC3909" t="s">
        <v>79</v>
      </c>
      <c r="AD3909" t="s">
        <v>75</v>
      </c>
      <c r="AE3909" t="s">
        <v>80</v>
      </c>
      <c r="AG3909" t="s">
        <v>81</v>
      </c>
    </row>
    <row r="3910" spans="1:33" x14ac:dyDescent="0.25">
      <c r="A3910" t="str">
        <f>"1578594677"</f>
        <v>1578594677</v>
      </c>
      <c r="B3910" t="str">
        <f>"03080540"</f>
        <v>03080540</v>
      </c>
      <c r="C3910" t="s">
        <v>13436</v>
      </c>
      <c r="D3910" t="s">
        <v>21054</v>
      </c>
      <c r="E3910" t="s">
        <v>21055</v>
      </c>
      <c r="G3910" t="s">
        <v>21056</v>
      </c>
      <c r="L3910" t="s">
        <v>83</v>
      </c>
      <c r="M3910" t="s">
        <v>85</v>
      </c>
      <c r="R3910" t="s">
        <v>21057</v>
      </c>
      <c r="W3910" t="s">
        <v>21055</v>
      </c>
      <c r="X3910" t="s">
        <v>5858</v>
      </c>
      <c r="Y3910" t="s">
        <v>97</v>
      </c>
      <c r="Z3910" t="s">
        <v>77</v>
      </c>
      <c r="AA3910" t="str">
        <f>"10003-0000"</f>
        <v>10003-0000</v>
      </c>
      <c r="AB3910" t="s">
        <v>78</v>
      </c>
      <c r="AC3910" t="s">
        <v>79</v>
      </c>
      <c r="AD3910" t="s">
        <v>75</v>
      </c>
      <c r="AE3910" t="s">
        <v>80</v>
      </c>
      <c r="AG3910" t="s">
        <v>81</v>
      </c>
    </row>
    <row r="3911" spans="1:33" x14ac:dyDescent="0.25">
      <c r="A3911" t="str">
        <f>"1578614434"</f>
        <v>1578614434</v>
      </c>
      <c r="B3911" t="str">
        <f>"02888824"</f>
        <v>02888824</v>
      </c>
      <c r="C3911" t="s">
        <v>13436</v>
      </c>
      <c r="D3911" t="s">
        <v>21058</v>
      </c>
      <c r="E3911" t="s">
        <v>21059</v>
      </c>
      <c r="G3911" t="s">
        <v>21060</v>
      </c>
      <c r="L3911" t="s">
        <v>83</v>
      </c>
      <c r="M3911" t="s">
        <v>85</v>
      </c>
      <c r="R3911" t="s">
        <v>21061</v>
      </c>
      <c r="W3911" t="s">
        <v>21059</v>
      </c>
      <c r="X3911" t="s">
        <v>191</v>
      </c>
      <c r="Y3911" t="s">
        <v>97</v>
      </c>
      <c r="Z3911" t="s">
        <v>77</v>
      </c>
      <c r="AA3911" t="str">
        <f>"10019-1147"</f>
        <v>10019-1147</v>
      </c>
      <c r="AB3911" t="s">
        <v>78</v>
      </c>
      <c r="AC3911" t="s">
        <v>79</v>
      </c>
      <c r="AD3911" t="s">
        <v>75</v>
      </c>
      <c r="AE3911" t="s">
        <v>80</v>
      </c>
      <c r="AG3911" t="s">
        <v>81</v>
      </c>
    </row>
    <row r="3912" spans="1:33" x14ac:dyDescent="0.25">
      <c r="A3912" t="str">
        <f>"1578639043"</f>
        <v>1578639043</v>
      </c>
      <c r="B3912" t="str">
        <f>"02049127"</f>
        <v>02049127</v>
      </c>
      <c r="C3912" t="s">
        <v>13436</v>
      </c>
      <c r="D3912" t="s">
        <v>21062</v>
      </c>
      <c r="E3912" t="s">
        <v>21063</v>
      </c>
      <c r="G3912" t="s">
        <v>21064</v>
      </c>
      <c r="L3912" t="s">
        <v>83</v>
      </c>
      <c r="M3912" t="s">
        <v>85</v>
      </c>
      <c r="R3912" t="s">
        <v>21065</v>
      </c>
      <c r="W3912" t="s">
        <v>21066</v>
      </c>
      <c r="X3912" t="s">
        <v>191</v>
      </c>
      <c r="Y3912" t="s">
        <v>97</v>
      </c>
      <c r="Z3912" t="s">
        <v>77</v>
      </c>
      <c r="AA3912" t="str">
        <f>"10019-1147"</f>
        <v>10019-1147</v>
      </c>
      <c r="AB3912" t="s">
        <v>78</v>
      </c>
      <c r="AC3912" t="s">
        <v>79</v>
      </c>
      <c r="AD3912" t="s">
        <v>75</v>
      </c>
      <c r="AE3912" t="s">
        <v>80</v>
      </c>
      <c r="AG3912" t="s">
        <v>81</v>
      </c>
    </row>
    <row r="3913" spans="1:33" x14ac:dyDescent="0.25">
      <c r="A3913" t="str">
        <f>"1588646525"</f>
        <v>1588646525</v>
      </c>
      <c r="B3913" t="str">
        <f>"01640326"</f>
        <v>01640326</v>
      </c>
      <c r="C3913" t="s">
        <v>13436</v>
      </c>
      <c r="D3913" t="s">
        <v>21067</v>
      </c>
      <c r="E3913" t="s">
        <v>21068</v>
      </c>
      <c r="G3913" t="s">
        <v>21069</v>
      </c>
      <c r="L3913" t="s">
        <v>83</v>
      </c>
      <c r="M3913" t="s">
        <v>85</v>
      </c>
      <c r="R3913" t="s">
        <v>21070</v>
      </c>
      <c r="W3913" t="s">
        <v>21068</v>
      </c>
      <c r="X3913" t="s">
        <v>21071</v>
      </c>
      <c r="Y3913" t="s">
        <v>155</v>
      </c>
      <c r="Z3913" t="s">
        <v>77</v>
      </c>
      <c r="AA3913" t="str">
        <f>"10301-3914"</f>
        <v>10301-3914</v>
      </c>
      <c r="AB3913" t="s">
        <v>78</v>
      </c>
      <c r="AC3913" t="s">
        <v>79</v>
      </c>
      <c r="AD3913" t="s">
        <v>75</v>
      </c>
      <c r="AE3913" t="s">
        <v>80</v>
      </c>
      <c r="AG3913" t="s">
        <v>81</v>
      </c>
    </row>
    <row r="3914" spans="1:33" x14ac:dyDescent="0.25">
      <c r="A3914" t="str">
        <f>"1588728158"</f>
        <v>1588728158</v>
      </c>
      <c r="B3914" t="str">
        <f>"01888742"</f>
        <v>01888742</v>
      </c>
      <c r="C3914" t="s">
        <v>13436</v>
      </c>
      <c r="D3914" t="s">
        <v>21072</v>
      </c>
      <c r="E3914" t="s">
        <v>21073</v>
      </c>
      <c r="G3914" t="s">
        <v>21074</v>
      </c>
      <c r="L3914" t="s">
        <v>74</v>
      </c>
      <c r="M3914" t="s">
        <v>85</v>
      </c>
      <c r="R3914" t="s">
        <v>21075</v>
      </c>
      <c r="W3914" t="s">
        <v>21073</v>
      </c>
      <c r="X3914" t="s">
        <v>19934</v>
      </c>
      <c r="Y3914" t="s">
        <v>97</v>
      </c>
      <c r="Z3914" t="s">
        <v>77</v>
      </c>
      <c r="AA3914" t="str">
        <f>"10019-3211"</f>
        <v>10019-3211</v>
      </c>
      <c r="AB3914" t="s">
        <v>78</v>
      </c>
      <c r="AC3914" t="s">
        <v>79</v>
      </c>
      <c r="AD3914" t="s">
        <v>75</v>
      </c>
      <c r="AE3914" t="s">
        <v>80</v>
      </c>
      <c r="AG3914" t="s">
        <v>81</v>
      </c>
    </row>
    <row r="3915" spans="1:33" x14ac:dyDescent="0.25">
      <c r="A3915" t="str">
        <f>"1588737167"</f>
        <v>1588737167</v>
      </c>
      <c r="B3915" t="str">
        <f>"01712394"</f>
        <v>01712394</v>
      </c>
      <c r="C3915" t="s">
        <v>13436</v>
      </c>
      <c r="D3915" t="s">
        <v>21076</v>
      </c>
      <c r="E3915" t="s">
        <v>21077</v>
      </c>
      <c r="G3915" t="s">
        <v>21078</v>
      </c>
      <c r="L3915" t="s">
        <v>74</v>
      </c>
      <c r="M3915" t="s">
        <v>85</v>
      </c>
      <c r="R3915" t="s">
        <v>21079</v>
      </c>
      <c r="W3915" t="s">
        <v>21077</v>
      </c>
      <c r="X3915" t="s">
        <v>181</v>
      </c>
      <c r="Y3915" t="s">
        <v>97</v>
      </c>
      <c r="Z3915" t="s">
        <v>77</v>
      </c>
      <c r="AA3915" t="str">
        <f>"10025-1716"</f>
        <v>10025-1716</v>
      </c>
      <c r="AB3915" t="s">
        <v>78</v>
      </c>
      <c r="AC3915" t="s">
        <v>79</v>
      </c>
      <c r="AD3915" t="s">
        <v>75</v>
      </c>
      <c r="AE3915" t="s">
        <v>80</v>
      </c>
      <c r="AG3915" t="s">
        <v>81</v>
      </c>
    </row>
    <row r="3916" spans="1:33" x14ac:dyDescent="0.25">
      <c r="A3916" t="str">
        <f>"1144572843"</f>
        <v>1144572843</v>
      </c>
      <c r="C3916" t="s">
        <v>13436</v>
      </c>
      <c r="G3916" t="s">
        <v>21080</v>
      </c>
      <c r="K3916" t="s">
        <v>99</v>
      </c>
      <c r="L3916" t="s">
        <v>102</v>
      </c>
      <c r="M3916" t="s">
        <v>85</v>
      </c>
      <c r="R3916" t="s">
        <v>21081</v>
      </c>
      <c r="S3916" t="s">
        <v>21082</v>
      </c>
      <c r="T3916" t="s">
        <v>97</v>
      </c>
      <c r="U3916" t="s">
        <v>77</v>
      </c>
      <c r="V3916" t="str">
        <f>"100191147"</f>
        <v>100191147</v>
      </c>
      <c r="AC3916" t="s">
        <v>79</v>
      </c>
      <c r="AD3916" t="s">
        <v>75</v>
      </c>
      <c r="AE3916" t="s">
        <v>103</v>
      </c>
      <c r="AG3916" t="s">
        <v>81</v>
      </c>
    </row>
    <row r="3917" spans="1:33" x14ac:dyDescent="0.25">
      <c r="A3917" t="str">
        <f>"1154570018"</f>
        <v>1154570018</v>
      </c>
      <c r="B3917" t="str">
        <f>"03967659"</f>
        <v>03967659</v>
      </c>
      <c r="C3917" t="s">
        <v>13436</v>
      </c>
      <c r="D3917" t="s">
        <v>21083</v>
      </c>
      <c r="E3917" t="s">
        <v>21084</v>
      </c>
      <c r="G3917" t="s">
        <v>21085</v>
      </c>
      <c r="L3917" t="s">
        <v>74</v>
      </c>
      <c r="M3917" t="s">
        <v>85</v>
      </c>
      <c r="R3917" t="s">
        <v>21086</v>
      </c>
      <c r="W3917" t="s">
        <v>21084</v>
      </c>
      <c r="X3917" t="s">
        <v>21087</v>
      </c>
      <c r="Y3917" t="s">
        <v>97</v>
      </c>
      <c r="Z3917" t="s">
        <v>77</v>
      </c>
      <c r="AA3917" t="str">
        <f>"10011-5368"</f>
        <v>10011-5368</v>
      </c>
      <c r="AB3917" t="s">
        <v>78</v>
      </c>
      <c r="AC3917" t="s">
        <v>79</v>
      </c>
      <c r="AD3917" t="s">
        <v>75</v>
      </c>
      <c r="AE3917" t="s">
        <v>80</v>
      </c>
      <c r="AG3917" t="s">
        <v>81</v>
      </c>
    </row>
    <row r="3918" spans="1:33" x14ac:dyDescent="0.25">
      <c r="A3918" t="str">
        <f>"1154604221"</f>
        <v>1154604221</v>
      </c>
      <c r="C3918" t="s">
        <v>13436</v>
      </c>
      <c r="G3918" t="s">
        <v>21088</v>
      </c>
      <c r="K3918" t="s">
        <v>99</v>
      </c>
      <c r="L3918" t="s">
        <v>102</v>
      </c>
      <c r="M3918" t="s">
        <v>85</v>
      </c>
      <c r="R3918" t="s">
        <v>21089</v>
      </c>
      <c r="S3918" t="s">
        <v>21090</v>
      </c>
      <c r="T3918" t="s">
        <v>171</v>
      </c>
      <c r="U3918" t="s">
        <v>77</v>
      </c>
      <c r="V3918" t="str">
        <f>"114133601"</f>
        <v>114133601</v>
      </c>
      <c r="AC3918" t="s">
        <v>79</v>
      </c>
      <c r="AD3918" t="s">
        <v>75</v>
      </c>
      <c r="AE3918" t="s">
        <v>103</v>
      </c>
      <c r="AG3918" t="s">
        <v>81</v>
      </c>
    </row>
    <row r="3919" spans="1:33" x14ac:dyDescent="0.25">
      <c r="A3919" t="str">
        <f>"1154618262"</f>
        <v>1154618262</v>
      </c>
      <c r="B3919" t="str">
        <f>"03735944"</f>
        <v>03735944</v>
      </c>
      <c r="C3919" t="s">
        <v>13436</v>
      </c>
      <c r="D3919" t="s">
        <v>21091</v>
      </c>
      <c r="E3919" t="s">
        <v>21092</v>
      </c>
      <c r="G3919" t="s">
        <v>21093</v>
      </c>
      <c r="L3919" t="s">
        <v>74</v>
      </c>
      <c r="M3919" t="s">
        <v>85</v>
      </c>
      <c r="R3919" t="s">
        <v>21094</v>
      </c>
      <c r="W3919" t="s">
        <v>21092</v>
      </c>
      <c r="X3919" t="s">
        <v>181</v>
      </c>
      <c r="Y3919" t="s">
        <v>97</v>
      </c>
      <c r="Z3919" t="s">
        <v>77</v>
      </c>
      <c r="AA3919" t="str">
        <f>"10025-1716"</f>
        <v>10025-1716</v>
      </c>
      <c r="AB3919" t="s">
        <v>78</v>
      </c>
      <c r="AC3919" t="s">
        <v>79</v>
      </c>
      <c r="AD3919" t="s">
        <v>75</v>
      </c>
      <c r="AE3919" t="s">
        <v>80</v>
      </c>
      <c r="AG3919" t="s">
        <v>81</v>
      </c>
    </row>
    <row r="3920" spans="1:33" x14ac:dyDescent="0.25">
      <c r="A3920" t="str">
        <f>"1164672986"</f>
        <v>1164672986</v>
      </c>
      <c r="B3920" t="str">
        <f>"03385480"</f>
        <v>03385480</v>
      </c>
      <c r="C3920" t="s">
        <v>13436</v>
      </c>
      <c r="D3920" t="s">
        <v>21095</v>
      </c>
      <c r="E3920" t="s">
        <v>21096</v>
      </c>
      <c r="G3920" t="s">
        <v>21097</v>
      </c>
      <c r="L3920" t="s">
        <v>83</v>
      </c>
      <c r="M3920" t="s">
        <v>85</v>
      </c>
      <c r="R3920" t="s">
        <v>21098</v>
      </c>
      <c r="W3920" t="s">
        <v>21096</v>
      </c>
      <c r="X3920" t="s">
        <v>181</v>
      </c>
      <c r="Y3920" t="s">
        <v>97</v>
      </c>
      <c r="Z3920" t="s">
        <v>77</v>
      </c>
      <c r="AA3920" t="str">
        <f>"10025-1716"</f>
        <v>10025-1716</v>
      </c>
      <c r="AB3920" t="s">
        <v>78</v>
      </c>
      <c r="AC3920" t="s">
        <v>79</v>
      </c>
      <c r="AD3920" t="s">
        <v>75</v>
      </c>
      <c r="AE3920" t="s">
        <v>80</v>
      </c>
      <c r="AG3920" t="s">
        <v>81</v>
      </c>
    </row>
    <row r="3921" spans="1:33" x14ac:dyDescent="0.25">
      <c r="A3921" t="str">
        <f>"1164683165"</f>
        <v>1164683165</v>
      </c>
      <c r="B3921" t="str">
        <f>"03420582"</f>
        <v>03420582</v>
      </c>
      <c r="C3921" t="s">
        <v>13436</v>
      </c>
      <c r="D3921" t="s">
        <v>21099</v>
      </c>
      <c r="E3921" t="s">
        <v>21100</v>
      </c>
      <c r="G3921" t="s">
        <v>21101</v>
      </c>
      <c r="L3921" t="s">
        <v>74</v>
      </c>
      <c r="M3921" t="s">
        <v>85</v>
      </c>
      <c r="R3921" t="s">
        <v>21102</v>
      </c>
      <c r="W3921" t="s">
        <v>21100</v>
      </c>
      <c r="X3921" t="s">
        <v>181</v>
      </c>
      <c r="Y3921" t="s">
        <v>97</v>
      </c>
      <c r="Z3921" t="s">
        <v>77</v>
      </c>
      <c r="AA3921" t="str">
        <f>"10025-1716"</f>
        <v>10025-1716</v>
      </c>
      <c r="AB3921" t="s">
        <v>78</v>
      </c>
      <c r="AC3921" t="s">
        <v>79</v>
      </c>
      <c r="AD3921" t="s">
        <v>75</v>
      </c>
      <c r="AE3921" t="s">
        <v>80</v>
      </c>
      <c r="AG3921" t="s">
        <v>81</v>
      </c>
    </row>
    <row r="3922" spans="1:33" x14ac:dyDescent="0.25">
      <c r="A3922" t="str">
        <f>"1164695565"</f>
        <v>1164695565</v>
      </c>
      <c r="B3922" t="str">
        <f>"03518729"</f>
        <v>03518729</v>
      </c>
      <c r="C3922" t="s">
        <v>13436</v>
      </c>
      <c r="D3922" t="s">
        <v>21103</v>
      </c>
      <c r="E3922" t="s">
        <v>21104</v>
      </c>
      <c r="G3922" t="s">
        <v>21105</v>
      </c>
      <c r="L3922" t="s">
        <v>74</v>
      </c>
      <c r="M3922" t="s">
        <v>85</v>
      </c>
      <c r="R3922" t="s">
        <v>21106</v>
      </c>
      <c r="W3922" t="s">
        <v>21106</v>
      </c>
      <c r="X3922" t="s">
        <v>21107</v>
      </c>
      <c r="Y3922" t="s">
        <v>97</v>
      </c>
      <c r="Z3922" t="s">
        <v>77</v>
      </c>
      <c r="AA3922" t="str">
        <f>"10019-3271"</f>
        <v>10019-3271</v>
      </c>
      <c r="AB3922" t="s">
        <v>78</v>
      </c>
      <c r="AC3922" t="s">
        <v>79</v>
      </c>
      <c r="AD3922" t="s">
        <v>75</v>
      </c>
      <c r="AE3922" t="s">
        <v>80</v>
      </c>
      <c r="AG3922" t="s">
        <v>81</v>
      </c>
    </row>
    <row r="3923" spans="1:33" x14ac:dyDescent="0.25">
      <c r="A3923" t="str">
        <f>"1164724076"</f>
        <v>1164724076</v>
      </c>
      <c r="B3923" t="str">
        <f>"03421294"</f>
        <v>03421294</v>
      </c>
      <c r="C3923" t="s">
        <v>13436</v>
      </c>
      <c r="D3923" t="s">
        <v>21108</v>
      </c>
      <c r="E3923" t="s">
        <v>21109</v>
      </c>
      <c r="G3923" t="s">
        <v>21110</v>
      </c>
      <c r="L3923" t="s">
        <v>83</v>
      </c>
      <c r="M3923" t="s">
        <v>85</v>
      </c>
      <c r="R3923" t="s">
        <v>21111</v>
      </c>
      <c r="W3923" t="s">
        <v>21109</v>
      </c>
      <c r="X3923" t="s">
        <v>21112</v>
      </c>
      <c r="Y3923" t="s">
        <v>97</v>
      </c>
      <c r="Z3923" t="s">
        <v>77</v>
      </c>
      <c r="AA3923" t="str">
        <f>"10019-8022"</f>
        <v>10019-8022</v>
      </c>
      <c r="AB3923" t="s">
        <v>78</v>
      </c>
      <c r="AC3923" t="s">
        <v>79</v>
      </c>
      <c r="AD3923" t="s">
        <v>75</v>
      </c>
      <c r="AE3923" t="s">
        <v>80</v>
      </c>
      <c r="AG3923" t="s">
        <v>81</v>
      </c>
    </row>
    <row r="3924" spans="1:33" x14ac:dyDescent="0.25">
      <c r="A3924" t="str">
        <f>"1174765739"</f>
        <v>1174765739</v>
      </c>
      <c r="B3924" t="str">
        <f>"03687309"</f>
        <v>03687309</v>
      </c>
      <c r="C3924" t="s">
        <v>13436</v>
      </c>
      <c r="D3924" t="s">
        <v>21113</v>
      </c>
      <c r="E3924" t="s">
        <v>21114</v>
      </c>
      <c r="G3924" t="s">
        <v>21115</v>
      </c>
      <c r="L3924" t="s">
        <v>83</v>
      </c>
      <c r="M3924" t="s">
        <v>85</v>
      </c>
      <c r="R3924" t="s">
        <v>21116</v>
      </c>
      <c r="W3924" t="s">
        <v>21114</v>
      </c>
      <c r="X3924" t="s">
        <v>2587</v>
      </c>
      <c r="Y3924" t="s">
        <v>97</v>
      </c>
      <c r="Z3924" t="s">
        <v>77</v>
      </c>
      <c r="AA3924" t="str">
        <f>"10003-3314"</f>
        <v>10003-3314</v>
      </c>
      <c r="AB3924" t="s">
        <v>78</v>
      </c>
      <c r="AC3924" t="s">
        <v>79</v>
      </c>
      <c r="AD3924" t="s">
        <v>75</v>
      </c>
      <c r="AE3924" t="s">
        <v>80</v>
      </c>
      <c r="AG3924" t="s">
        <v>81</v>
      </c>
    </row>
    <row r="3925" spans="1:33" x14ac:dyDescent="0.25">
      <c r="A3925" t="str">
        <f>"1174783633"</f>
        <v>1174783633</v>
      </c>
      <c r="B3925" t="str">
        <f>"03569239"</f>
        <v>03569239</v>
      </c>
      <c r="C3925" t="s">
        <v>13436</v>
      </c>
      <c r="D3925" t="s">
        <v>21117</v>
      </c>
      <c r="E3925" t="s">
        <v>21118</v>
      </c>
      <c r="G3925" t="s">
        <v>21119</v>
      </c>
      <c r="L3925" t="s">
        <v>83</v>
      </c>
      <c r="M3925" t="s">
        <v>85</v>
      </c>
      <c r="R3925" t="s">
        <v>21120</v>
      </c>
      <c r="W3925" t="s">
        <v>21118</v>
      </c>
      <c r="X3925" t="s">
        <v>21121</v>
      </c>
      <c r="Y3925" t="s">
        <v>87</v>
      </c>
      <c r="Z3925" t="s">
        <v>77</v>
      </c>
      <c r="AA3925" t="str">
        <f>"11249-8663"</f>
        <v>11249-8663</v>
      </c>
      <c r="AB3925" t="s">
        <v>78</v>
      </c>
      <c r="AC3925" t="s">
        <v>79</v>
      </c>
      <c r="AD3925" t="s">
        <v>75</v>
      </c>
      <c r="AE3925" t="s">
        <v>80</v>
      </c>
      <c r="AG3925" t="s">
        <v>81</v>
      </c>
    </row>
    <row r="3926" spans="1:33" x14ac:dyDescent="0.25">
      <c r="A3926" t="str">
        <f>"1417049123"</f>
        <v>1417049123</v>
      </c>
      <c r="B3926" t="str">
        <f>"01897194"</f>
        <v>01897194</v>
      </c>
      <c r="C3926" t="s">
        <v>21122</v>
      </c>
      <c r="D3926" t="s">
        <v>2350</v>
      </c>
      <c r="E3926" t="s">
        <v>2351</v>
      </c>
      <c r="H3926" t="s">
        <v>21123</v>
      </c>
      <c r="J3926" t="s">
        <v>21124</v>
      </c>
      <c r="L3926" t="s">
        <v>83</v>
      </c>
      <c r="M3926" t="s">
        <v>75</v>
      </c>
      <c r="R3926" t="s">
        <v>2349</v>
      </c>
      <c r="W3926" t="s">
        <v>2351</v>
      </c>
      <c r="X3926" t="s">
        <v>2352</v>
      </c>
      <c r="Y3926" t="s">
        <v>155</v>
      </c>
      <c r="Z3926" t="s">
        <v>77</v>
      </c>
      <c r="AA3926" t="str">
        <f>"10308-2025"</f>
        <v>10308-2025</v>
      </c>
      <c r="AB3926" t="s">
        <v>78</v>
      </c>
      <c r="AC3926" t="s">
        <v>79</v>
      </c>
      <c r="AD3926" t="s">
        <v>75</v>
      </c>
      <c r="AE3926" t="s">
        <v>80</v>
      </c>
      <c r="AG3926" t="s">
        <v>81</v>
      </c>
    </row>
    <row r="3927" spans="1:33" x14ac:dyDescent="0.25">
      <c r="A3927" t="str">
        <f>"1588749980"</f>
        <v>1588749980</v>
      </c>
      <c r="B3927" t="str">
        <f>"00207736"</f>
        <v>00207736</v>
      </c>
      <c r="C3927" t="s">
        <v>21125</v>
      </c>
      <c r="D3927" t="s">
        <v>2354</v>
      </c>
      <c r="E3927" t="s">
        <v>2355</v>
      </c>
      <c r="H3927" t="s">
        <v>21126</v>
      </c>
      <c r="J3927" t="s">
        <v>21127</v>
      </c>
      <c r="L3927" t="s">
        <v>74</v>
      </c>
      <c r="M3927" t="s">
        <v>75</v>
      </c>
      <c r="R3927" t="s">
        <v>2353</v>
      </c>
      <c r="W3927" t="s">
        <v>2355</v>
      </c>
      <c r="Y3927" t="s">
        <v>97</v>
      </c>
      <c r="Z3927" t="s">
        <v>77</v>
      </c>
      <c r="AA3927" t="str">
        <f>"10019-6394"</f>
        <v>10019-6394</v>
      </c>
      <c r="AB3927" t="s">
        <v>78</v>
      </c>
      <c r="AC3927" t="s">
        <v>79</v>
      </c>
      <c r="AD3927" t="s">
        <v>75</v>
      </c>
      <c r="AE3927" t="s">
        <v>80</v>
      </c>
      <c r="AG3927" t="s">
        <v>81</v>
      </c>
    </row>
    <row r="3928" spans="1:33" x14ac:dyDescent="0.25">
      <c r="A3928" t="str">
        <f>"1871929240"</f>
        <v>1871929240</v>
      </c>
      <c r="C3928" t="s">
        <v>21128</v>
      </c>
      <c r="G3928" t="s">
        <v>13432</v>
      </c>
      <c r="H3928" t="s">
        <v>13433</v>
      </c>
      <c r="J3928" t="s">
        <v>13434</v>
      </c>
      <c r="K3928" t="s">
        <v>99</v>
      </c>
      <c r="L3928" t="s">
        <v>102</v>
      </c>
      <c r="M3928" t="s">
        <v>75</v>
      </c>
      <c r="R3928" t="s">
        <v>21129</v>
      </c>
      <c r="S3928" t="s">
        <v>3082</v>
      </c>
      <c r="T3928" t="s">
        <v>97</v>
      </c>
      <c r="U3928" t="s">
        <v>77</v>
      </c>
      <c r="V3928" t="str">
        <f>"100274990"</f>
        <v>100274990</v>
      </c>
      <c r="AC3928" t="s">
        <v>79</v>
      </c>
      <c r="AD3928" t="s">
        <v>75</v>
      </c>
      <c r="AE3928" t="s">
        <v>103</v>
      </c>
      <c r="AG3928" t="s">
        <v>81</v>
      </c>
    </row>
    <row r="3929" spans="1:33" x14ac:dyDescent="0.25">
      <c r="A3929" t="str">
        <f>"1619241924"</f>
        <v>1619241924</v>
      </c>
      <c r="B3929" t="str">
        <f>"03493065"</f>
        <v>03493065</v>
      </c>
      <c r="C3929" t="s">
        <v>21130</v>
      </c>
      <c r="D3929" t="s">
        <v>21131</v>
      </c>
      <c r="E3929" t="s">
        <v>21132</v>
      </c>
      <c r="G3929" t="s">
        <v>21133</v>
      </c>
      <c r="H3929" t="s">
        <v>21134</v>
      </c>
      <c r="J3929" t="s">
        <v>21135</v>
      </c>
      <c r="L3929" t="s">
        <v>74</v>
      </c>
      <c r="M3929" t="s">
        <v>75</v>
      </c>
      <c r="R3929" t="s">
        <v>21132</v>
      </c>
      <c r="W3929" t="s">
        <v>21132</v>
      </c>
      <c r="X3929" t="s">
        <v>13435</v>
      </c>
      <c r="Y3929" t="s">
        <v>97</v>
      </c>
      <c r="Z3929" t="s">
        <v>77</v>
      </c>
      <c r="AA3929" t="str">
        <f>"10027"</f>
        <v>10027</v>
      </c>
      <c r="AB3929" t="s">
        <v>113</v>
      </c>
      <c r="AC3929" t="s">
        <v>79</v>
      </c>
      <c r="AD3929" t="s">
        <v>75</v>
      </c>
      <c r="AE3929" t="s">
        <v>80</v>
      </c>
      <c r="AG3929" t="s">
        <v>81</v>
      </c>
    </row>
    <row r="3930" spans="1:33" x14ac:dyDescent="0.25">
      <c r="A3930" t="str">
        <f>"1891117156"</f>
        <v>1891117156</v>
      </c>
      <c r="C3930" t="s">
        <v>21133</v>
      </c>
      <c r="G3930" t="s">
        <v>21133</v>
      </c>
      <c r="H3930" t="s">
        <v>21134</v>
      </c>
      <c r="J3930" t="s">
        <v>21135</v>
      </c>
      <c r="K3930" t="s">
        <v>99</v>
      </c>
      <c r="L3930" t="s">
        <v>74</v>
      </c>
      <c r="M3930" t="s">
        <v>75</v>
      </c>
      <c r="R3930" t="s">
        <v>21136</v>
      </c>
      <c r="S3930" t="s">
        <v>16790</v>
      </c>
      <c r="T3930" t="s">
        <v>97</v>
      </c>
      <c r="U3930" t="s">
        <v>77</v>
      </c>
      <c r="V3930" t="str">
        <f>"100112019"</f>
        <v>100112019</v>
      </c>
      <c r="AC3930" t="s">
        <v>79</v>
      </c>
      <c r="AD3930" t="s">
        <v>75</v>
      </c>
      <c r="AE3930" t="s">
        <v>103</v>
      </c>
      <c r="AG3930" t="s">
        <v>81</v>
      </c>
    </row>
    <row r="3931" spans="1:33" x14ac:dyDescent="0.25">
      <c r="A3931" t="str">
        <f>"1255546362"</f>
        <v>1255546362</v>
      </c>
      <c r="B3931" t="str">
        <f>"00773955"</f>
        <v>00773955</v>
      </c>
      <c r="C3931" t="s">
        <v>21137</v>
      </c>
      <c r="D3931" t="s">
        <v>21138</v>
      </c>
      <c r="E3931" t="s">
        <v>21139</v>
      </c>
      <c r="H3931" t="s">
        <v>17088</v>
      </c>
      <c r="J3931" t="s">
        <v>21140</v>
      </c>
      <c r="L3931" t="s">
        <v>74</v>
      </c>
      <c r="M3931" t="s">
        <v>85</v>
      </c>
      <c r="R3931" t="s">
        <v>21141</v>
      </c>
      <c r="W3931" t="s">
        <v>21142</v>
      </c>
      <c r="X3931" t="s">
        <v>21143</v>
      </c>
      <c r="Y3931" t="s">
        <v>87</v>
      </c>
      <c r="Z3931" t="s">
        <v>77</v>
      </c>
      <c r="AA3931" t="str">
        <f>"11217-1103"</f>
        <v>11217-1103</v>
      </c>
      <c r="AB3931" t="s">
        <v>78</v>
      </c>
      <c r="AC3931" t="s">
        <v>79</v>
      </c>
      <c r="AD3931" t="s">
        <v>75</v>
      </c>
      <c r="AE3931" t="s">
        <v>80</v>
      </c>
      <c r="AG3931" t="s">
        <v>81</v>
      </c>
    </row>
    <row r="3932" spans="1:33" x14ac:dyDescent="0.25">
      <c r="A3932" t="str">
        <f>"1366630352"</f>
        <v>1366630352</v>
      </c>
      <c r="B3932" t="str">
        <f>"01841932"</f>
        <v>01841932</v>
      </c>
      <c r="C3932" t="s">
        <v>21144</v>
      </c>
      <c r="D3932" t="s">
        <v>21145</v>
      </c>
      <c r="E3932" t="s">
        <v>21146</v>
      </c>
      <c r="H3932" t="s">
        <v>17088</v>
      </c>
      <c r="J3932" t="s">
        <v>21147</v>
      </c>
      <c r="L3932" t="s">
        <v>102</v>
      </c>
      <c r="M3932" t="s">
        <v>75</v>
      </c>
      <c r="R3932" t="s">
        <v>21148</v>
      </c>
      <c r="W3932" t="s">
        <v>21146</v>
      </c>
      <c r="X3932" t="s">
        <v>675</v>
      </c>
      <c r="Y3932" t="s">
        <v>450</v>
      </c>
      <c r="Z3932" t="s">
        <v>77</v>
      </c>
      <c r="AA3932" t="str">
        <f>"11423-1221"</f>
        <v>11423-1221</v>
      </c>
      <c r="AB3932" t="s">
        <v>78</v>
      </c>
      <c r="AC3932" t="s">
        <v>79</v>
      </c>
      <c r="AD3932" t="s">
        <v>75</v>
      </c>
      <c r="AE3932" t="s">
        <v>80</v>
      </c>
      <c r="AG3932" t="s">
        <v>81</v>
      </c>
    </row>
    <row r="3933" spans="1:33" x14ac:dyDescent="0.25">
      <c r="A3933" t="str">
        <f>"1649425992"</f>
        <v>1649425992</v>
      </c>
      <c r="B3933" t="str">
        <f>"03097770"</f>
        <v>03097770</v>
      </c>
      <c r="C3933" t="s">
        <v>21149</v>
      </c>
      <c r="D3933" t="s">
        <v>2761</v>
      </c>
      <c r="E3933" t="s">
        <v>2762</v>
      </c>
      <c r="G3933" t="s">
        <v>19413</v>
      </c>
      <c r="H3933" t="s">
        <v>1084</v>
      </c>
      <c r="I3933">
        <v>160</v>
      </c>
      <c r="J3933" t="s">
        <v>2757</v>
      </c>
      <c r="L3933" t="s">
        <v>102</v>
      </c>
      <c r="M3933" t="s">
        <v>75</v>
      </c>
      <c r="R3933" t="s">
        <v>2763</v>
      </c>
      <c r="W3933" t="s">
        <v>2762</v>
      </c>
      <c r="X3933" t="s">
        <v>2764</v>
      </c>
      <c r="Y3933" t="s">
        <v>87</v>
      </c>
      <c r="Z3933" t="s">
        <v>77</v>
      </c>
      <c r="AA3933" t="str">
        <f>"11236-2330"</f>
        <v>11236-2330</v>
      </c>
      <c r="AB3933" t="s">
        <v>113</v>
      </c>
      <c r="AC3933" t="s">
        <v>79</v>
      </c>
      <c r="AD3933" t="s">
        <v>75</v>
      </c>
      <c r="AE3933" t="s">
        <v>80</v>
      </c>
      <c r="AG3933" t="s">
        <v>81</v>
      </c>
    </row>
    <row r="3934" spans="1:33" x14ac:dyDescent="0.25">
      <c r="A3934" t="str">
        <f>"1942559414"</f>
        <v>1942559414</v>
      </c>
      <c r="B3934" t="str">
        <f>"03708830"</f>
        <v>03708830</v>
      </c>
      <c r="C3934" t="s">
        <v>21150</v>
      </c>
      <c r="D3934" t="s">
        <v>2802</v>
      </c>
      <c r="E3934" t="s">
        <v>2803</v>
      </c>
      <c r="G3934" t="s">
        <v>19413</v>
      </c>
      <c r="H3934" t="s">
        <v>1084</v>
      </c>
      <c r="I3934">
        <v>160</v>
      </c>
      <c r="J3934" t="s">
        <v>2757</v>
      </c>
      <c r="L3934" t="s">
        <v>74</v>
      </c>
      <c r="M3934" t="s">
        <v>75</v>
      </c>
      <c r="R3934" t="s">
        <v>2804</v>
      </c>
      <c r="W3934" t="s">
        <v>2803</v>
      </c>
      <c r="X3934" t="s">
        <v>2805</v>
      </c>
      <c r="Y3934" t="s">
        <v>190</v>
      </c>
      <c r="Z3934" t="s">
        <v>77</v>
      </c>
      <c r="AA3934" t="str">
        <f>"11101-2213"</f>
        <v>11101-2213</v>
      </c>
      <c r="AB3934" t="s">
        <v>113</v>
      </c>
      <c r="AC3934" t="s">
        <v>79</v>
      </c>
      <c r="AD3934" t="s">
        <v>75</v>
      </c>
      <c r="AE3934" t="s">
        <v>80</v>
      </c>
      <c r="AG3934" t="s">
        <v>81</v>
      </c>
    </row>
    <row r="3935" spans="1:33" x14ac:dyDescent="0.25">
      <c r="A3935" t="str">
        <f>"1952442758"</f>
        <v>1952442758</v>
      </c>
      <c r="B3935" t="str">
        <f>"02415438"</f>
        <v>02415438</v>
      </c>
      <c r="C3935" t="s">
        <v>21151</v>
      </c>
      <c r="D3935" t="s">
        <v>1131</v>
      </c>
      <c r="E3935" t="s">
        <v>1132</v>
      </c>
      <c r="G3935" t="s">
        <v>19413</v>
      </c>
      <c r="H3935" t="s">
        <v>1084</v>
      </c>
      <c r="I3935">
        <v>160</v>
      </c>
      <c r="J3935" t="s">
        <v>2757</v>
      </c>
      <c r="L3935" t="s">
        <v>94</v>
      </c>
      <c r="M3935" t="s">
        <v>75</v>
      </c>
      <c r="R3935" t="s">
        <v>1130</v>
      </c>
      <c r="W3935" t="s">
        <v>1133</v>
      </c>
      <c r="X3935" t="s">
        <v>1134</v>
      </c>
      <c r="Y3935" t="s">
        <v>1135</v>
      </c>
      <c r="Z3935" t="s">
        <v>77</v>
      </c>
      <c r="AA3935" t="str">
        <f>"10709-4429"</f>
        <v>10709-4429</v>
      </c>
      <c r="AB3935" t="s">
        <v>78</v>
      </c>
      <c r="AC3935" t="s">
        <v>79</v>
      </c>
      <c r="AD3935" t="s">
        <v>75</v>
      </c>
      <c r="AE3935" t="s">
        <v>80</v>
      </c>
      <c r="AG3935" t="s">
        <v>81</v>
      </c>
    </row>
    <row r="3936" spans="1:33" x14ac:dyDescent="0.25">
      <c r="A3936" t="str">
        <f>"1134358609"</f>
        <v>1134358609</v>
      </c>
      <c r="B3936" t="str">
        <f>"02597377"</f>
        <v>02597377</v>
      </c>
      <c r="C3936" t="s">
        <v>13436</v>
      </c>
      <c r="D3936" t="s">
        <v>21152</v>
      </c>
      <c r="E3936" t="s">
        <v>21153</v>
      </c>
      <c r="G3936" t="s">
        <v>21154</v>
      </c>
      <c r="L3936" t="s">
        <v>84</v>
      </c>
      <c r="M3936" t="s">
        <v>85</v>
      </c>
      <c r="R3936" t="s">
        <v>21155</v>
      </c>
      <c r="W3936" t="s">
        <v>21156</v>
      </c>
      <c r="X3936" t="s">
        <v>21157</v>
      </c>
      <c r="Y3936" t="s">
        <v>97</v>
      </c>
      <c r="Z3936" t="s">
        <v>77</v>
      </c>
      <c r="AA3936" t="str">
        <f>"10019-4460"</f>
        <v>10019-4460</v>
      </c>
      <c r="AB3936" t="s">
        <v>78</v>
      </c>
      <c r="AC3936" t="s">
        <v>79</v>
      </c>
      <c r="AD3936" t="s">
        <v>75</v>
      </c>
      <c r="AE3936" t="s">
        <v>80</v>
      </c>
      <c r="AG3936" t="s">
        <v>81</v>
      </c>
    </row>
    <row r="3937" spans="1:33" x14ac:dyDescent="0.25">
      <c r="A3937" t="str">
        <f>"1134380116"</f>
        <v>1134380116</v>
      </c>
      <c r="B3937" t="str">
        <f>"03693881"</f>
        <v>03693881</v>
      </c>
      <c r="C3937" t="s">
        <v>13436</v>
      </c>
      <c r="D3937" t="s">
        <v>21158</v>
      </c>
      <c r="E3937" t="s">
        <v>21159</v>
      </c>
      <c r="G3937" t="s">
        <v>21160</v>
      </c>
      <c r="L3937" t="s">
        <v>105</v>
      </c>
      <c r="M3937" t="s">
        <v>85</v>
      </c>
      <c r="R3937" t="s">
        <v>21161</v>
      </c>
      <c r="W3937" t="s">
        <v>21159</v>
      </c>
      <c r="X3937" t="s">
        <v>21162</v>
      </c>
      <c r="Y3937" t="s">
        <v>97</v>
      </c>
      <c r="Z3937" t="s">
        <v>77</v>
      </c>
      <c r="AA3937" t="str">
        <f>"10019-0000"</f>
        <v>10019-0000</v>
      </c>
      <c r="AB3937" t="s">
        <v>78</v>
      </c>
      <c r="AC3937" t="s">
        <v>79</v>
      </c>
      <c r="AD3937" t="s">
        <v>75</v>
      </c>
      <c r="AE3937" t="s">
        <v>80</v>
      </c>
      <c r="AG3937" t="s">
        <v>81</v>
      </c>
    </row>
    <row r="3938" spans="1:33" x14ac:dyDescent="0.25">
      <c r="A3938" t="str">
        <f>"1134413552"</f>
        <v>1134413552</v>
      </c>
      <c r="B3938" t="str">
        <f>"03427965"</f>
        <v>03427965</v>
      </c>
      <c r="C3938" t="s">
        <v>13436</v>
      </c>
      <c r="D3938" t="s">
        <v>21163</v>
      </c>
      <c r="E3938" t="s">
        <v>21164</v>
      </c>
      <c r="G3938" t="s">
        <v>21165</v>
      </c>
      <c r="L3938" t="s">
        <v>83</v>
      </c>
      <c r="M3938" t="s">
        <v>85</v>
      </c>
      <c r="R3938" t="s">
        <v>21166</v>
      </c>
      <c r="W3938" t="s">
        <v>21167</v>
      </c>
      <c r="X3938" t="s">
        <v>181</v>
      </c>
      <c r="Y3938" t="s">
        <v>97</v>
      </c>
      <c r="Z3938" t="s">
        <v>77</v>
      </c>
      <c r="AA3938" t="str">
        <f>"10025-1716"</f>
        <v>10025-1716</v>
      </c>
      <c r="AB3938" t="s">
        <v>78</v>
      </c>
      <c r="AC3938" t="s">
        <v>79</v>
      </c>
      <c r="AD3938" t="s">
        <v>75</v>
      </c>
      <c r="AE3938" t="s">
        <v>80</v>
      </c>
      <c r="AG3938" t="s">
        <v>81</v>
      </c>
    </row>
    <row r="3939" spans="1:33" x14ac:dyDescent="0.25">
      <c r="A3939" t="str">
        <f>"1295726404"</f>
        <v>1295726404</v>
      </c>
      <c r="B3939" t="str">
        <f>"00759820"</f>
        <v>00759820</v>
      </c>
      <c r="C3939" t="s">
        <v>13436</v>
      </c>
      <c r="D3939" t="s">
        <v>21168</v>
      </c>
      <c r="E3939" t="s">
        <v>21169</v>
      </c>
      <c r="G3939" t="s">
        <v>21170</v>
      </c>
      <c r="L3939" t="s">
        <v>74</v>
      </c>
      <c r="M3939" t="s">
        <v>85</v>
      </c>
      <c r="R3939" t="s">
        <v>21171</v>
      </c>
      <c r="W3939" t="s">
        <v>21169</v>
      </c>
      <c r="X3939" t="s">
        <v>21172</v>
      </c>
      <c r="Y3939" t="s">
        <v>97</v>
      </c>
      <c r="Z3939" t="s">
        <v>77</v>
      </c>
      <c r="AA3939" t="str">
        <f>"10003-3314"</f>
        <v>10003-3314</v>
      </c>
      <c r="AB3939" t="s">
        <v>78</v>
      </c>
      <c r="AC3939" t="s">
        <v>79</v>
      </c>
      <c r="AD3939" t="s">
        <v>75</v>
      </c>
      <c r="AE3939" t="s">
        <v>80</v>
      </c>
      <c r="AG3939" t="s">
        <v>81</v>
      </c>
    </row>
    <row r="3940" spans="1:33" x14ac:dyDescent="0.25">
      <c r="A3940" t="str">
        <f>"1295726701"</f>
        <v>1295726701</v>
      </c>
      <c r="B3940" t="str">
        <f>"01793104"</f>
        <v>01793104</v>
      </c>
      <c r="C3940" t="s">
        <v>13436</v>
      </c>
      <c r="D3940" t="s">
        <v>21173</v>
      </c>
      <c r="E3940" t="s">
        <v>21174</v>
      </c>
      <c r="G3940" t="s">
        <v>21175</v>
      </c>
      <c r="L3940" t="s">
        <v>74</v>
      </c>
      <c r="M3940" t="s">
        <v>85</v>
      </c>
      <c r="R3940" t="s">
        <v>21176</v>
      </c>
      <c r="W3940" t="s">
        <v>21174</v>
      </c>
      <c r="X3940" t="s">
        <v>21177</v>
      </c>
      <c r="Y3940" t="s">
        <v>97</v>
      </c>
      <c r="Z3940" t="s">
        <v>77</v>
      </c>
      <c r="AA3940" t="str">
        <f>"10003-3314"</f>
        <v>10003-3314</v>
      </c>
      <c r="AB3940" t="s">
        <v>78</v>
      </c>
      <c r="AC3940" t="s">
        <v>79</v>
      </c>
      <c r="AD3940" t="s">
        <v>75</v>
      </c>
      <c r="AE3940" t="s">
        <v>80</v>
      </c>
      <c r="AG3940" t="s">
        <v>81</v>
      </c>
    </row>
    <row r="3941" spans="1:33" x14ac:dyDescent="0.25">
      <c r="A3941" t="str">
        <f>"1578557179"</f>
        <v>1578557179</v>
      </c>
      <c r="B3941" t="str">
        <f>"01756014"</f>
        <v>01756014</v>
      </c>
      <c r="C3941" t="s">
        <v>13436</v>
      </c>
      <c r="D3941" t="s">
        <v>21178</v>
      </c>
      <c r="E3941" t="s">
        <v>21179</v>
      </c>
      <c r="G3941" t="s">
        <v>21180</v>
      </c>
      <c r="L3941" t="s">
        <v>83</v>
      </c>
      <c r="M3941" t="s">
        <v>85</v>
      </c>
      <c r="R3941" t="s">
        <v>21181</v>
      </c>
      <c r="W3941" t="s">
        <v>21179</v>
      </c>
      <c r="X3941" t="s">
        <v>737</v>
      </c>
      <c r="Y3941" t="s">
        <v>97</v>
      </c>
      <c r="Z3941" t="s">
        <v>77</v>
      </c>
      <c r="AA3941" t="str">
        <f>"10019"</f>
        <v>10019</v>
      </c>
      <c r="AB3941" t="s">
        <v>78</v>
      </c>
      <c r="AC3941" t="s">
        <v>79</v>
      </c>
      <c r="AD3941" t="s">
        <v>75</v>
      </c>
      <c r="AE3941" t="s">
        <v>80</v>
      </c>
      <c r="AG3941" t="s">
        <v>81</v>
      </c>
    </row>
    <row r="3942" spans="1:33" x14ac:dyDescent="0.25">
      <c r="A3942" t="str">
        <f>"1578562575"</f>
        <v>1578562575</v>
      </c>
      <c r="B3942" t="str">
        <f>"02237281"</f>
        <v>02237281</v>
      </c>
      <c r="C3942" t="s">
        <v>13436</v>
      </c>
      <c r="D3942" t="s">
        <v>21182</v>
      </c>
      <c r="E3942" t="s">
        <v>21183</v>
      </c>
      <c r="G3942" t="s">
        <v>21184</v>
      </c>
      <c r="L3942" t="s">
        <v>83</v>
      </c>
      <c r="M3942" t="s">
        <v>85</v>
      </c>
      <c r="R3942" t="s">
        <v>21185</v>
      </c>
      <c r="W3942" t="s">
        <v>21183</v>
      </c>
      <c r="X3942" t="s">
        <v>21183</v>
      </c>
      <c r="Y3942" t="s">
        <v>131</v>
      </c>
      <c r="Z3942" t="s">
        <v>77</v>
      </c>
      <c r="AA3942" t="str">
        <f>"10467-2401"</f>
        <v>10467-2401</v>
      </c>
      <c r="AB3942" t="s">
        <v>78</v>
      </c>
      <c r="AC3942" t="s">
        <v>79</v>
      </c>
      <c r="AD3942" t="s">
        <v>75</v>
      </c>
      <c r="AE3942" t="s">
        <v>80</v>
      </c>
      <c r="AG3942" t="s">
        <v>81</v>
      </c>
    </row>
    <row r="3943" spans="1:33" x14ac:dyDescent="0.25">
      <c r="A3943" t="str">
        <f>"1306151063"</f>
        <v>1306151063</v>
      </c>
      <c r="B3943" t="str">
        <f>"03322025"</f>
        <v>03322025</v>
      </c>
      <c r="C3943" t="s">
        <v>21186</v>
      </c>
      <c r="D3943" t="s">
        <v>21187</v>
      </c>
      <c r="E3943" t="s">
        <v>21188</v>
      </c>
      <c r="G3943" t="s">
        <v>21186</v>
      </c>
      <c r="H3943" t="s">
        <v>21189</v>
      </c>
      <c r="J3943" t="s">
        <v>21190</v>
      </c>
      <c r="L3943" t="s">
        <v>105</v>
      </c>
      <c r="M3943" t="s">
        <v>75</v>
      </c>
      <c r="R3943" t="s">
        <v>21191</v>
      </c>
      <c r="W3943" t="s">
        <v>21188</v>
      </c>
      <c r="X3943" t="s">
        <v>15340</v>
      </c>
      <c r="Y3943" t="s">
        <v>97</v>
      </c>
      <c r="Z3943" t="s">
        <v>77</v>
      </c>
      <c r="AA3943" t="str">
        <f>"10027"</f>
        <v>10027</v>
      </c>
      <c r="AB3943" t="s">
        <v>113</v>
      </c>
      <c r="AC3943" t="s">
        <v>79</v>
      </c>
      <c r="AD3943" t="s">
        <v>75</v>
      </c>
      <c r="AE3943" t="s">
        <v>80</v>
      </c>
      <c r="AG3943" t="s">
        <v>81</v>
      </c>
    </row>
    <row r="3944" spans="1:33" x14ac:dyDescent="0.25">
      <c r="A3944" t="str">
        <f>"1437418365"</f>
        <v>1437418365</v>
      </c>
      <c r="C3944" t="s">
        <v>21192</v>
      </c>
      <c r="G3944" t="s">
        <v>15335</v>
      </c>
      <c r="H3944" t="s">
        <v>15338</v>
      </c>
      <c r="J3944" t="s">
        <v>15339</v>
      </c>
      <c r="K3944" t="s">
        <v>99</v>
      </c>
      <c r="L3944" t="s">
        <v>74</v>
      </c>
      <c r="M3944" t="s">
        <v>75</v>
      </c>
      <c r="R3944" t="s">
        <v>21193</v>
      </c>
      <c r="S3944" t="s">
        <v>21194</v>
      </c>
      <c r="T3944" t="s">
        <v>97</v>
      </c>
      <c r="U3944" t="s">
        <v>77</v>
      </c>
      <c r="V3944" t="str">
        <f>"100017405"</f>
        <v>100017405</v>
      </c>
      <c r="AC3944" t="s">
        <v>79</v>
      </c>
      <c r="AD3944" t="s">
        <v>75</v>
      </c>
      <c r="AE3944" t="s">
        <v>103</v>
      </c>
      <c r="AG3944" t="s">
        <v>81</v>
      </c>
    </row>
    <row r="3945" spans="1:33" x14ac:dyDescent="0.25">
      <c r="A3945" t="str">
        <f>"1154756427"</f>
        <v>1154756427</v>
      </c>
      <c r="C3945" t="s">
        <v>21195</v>
      </c>
      <c r="G3945" t="s">
        <v>15335</v>
      </c>
      <c r="H3945" t="s">
        <v>15338</v>
      </c>
      <c r="J3945" t="s">
        <v>15339</v>
      </c>
      <c r="K3945" t="s">
        <v>99</v>
      </c>
      <c r="L3945" t="s">
        <v>74</v>
      </c>
      <c r="M3945" t="s">
        <v>75</v>
      </c>
      <c r="R3945" t="s">
        <v>21196</v>
      </c>
      <c r="S3945" t="s">
        <v>21197</v>
      </c>
      <c r="T3945" t="s">
        <v>87</v>
      </c>
      <c r="U3945" t="s">
        <v>77</v>
      </c>
      <c r="V3945" t="str">
        <f>"11211"</f>
        <v>11211</v>
      </c>
      <c r="AC3945" t="s">
        <v>79</v>
      </c>
      <c r="AD3945" t="s">
        <v>75</v>
      </c>
      <c r="AE3945" t="s">
        <v>103</v>
      </c>
      <c r="AG3945" t="s">
        <v>81</v>
      </c>
    </row>
    <row r="3946" spans="1:33" x14ac:dyDescent="0.25">
      <c r="A3946" t="str">
        <f>"1568890101"</f>
        <v>1568890101</v>
      </c>
      <c r="C3946" t="s">
        <v>21198</v>
      </c>
      <c r="G3946" t="s">
        <v>15335</v>
      </c>
      <c r="H3946" t="s">
        <v>15338</v>
      </c>
      <c r="J3946" t="s">
        <v>15339</v>
      </c>
      <c r="K3946" t="s">
        <v>99</v>
      </c>
      <c r="L3946" t="s">
        <v>74</v>
      </c>
      <c r="M3946" t="s">
        <v>75</v>
      </c>
      <c r="R3946" t="s">
        <v>21199</v>
      </c>
      <c r="S3946" t="s">
        <v>4598</v>
      </c>
      <c r="T3946" t="s">
        <v>135</v>
      </c>
      <c r="U3946" t="s">
        <v>77</v>
      </c>
      <c r="V3946" t="str">
        <f>"142021804"</f>
        <v>142021804</v>
      </c>
      <c r="AC3946" t="s">
        <v>79</v>
      </c>
      <c r="AD3946" t="s">
        <v>75</v>
      </c>
      <c r="AE3946" t="s">
        <v>103</v>
      </c>
      <c r="AG3946" t="s">
        <v>81</v>
      </c>
    </row>
    <row r="3947" spans="1:33" x14ac:dyDescent="0.25">
      <c r="A3947" t="str">
        <f>"1033481726"</f>
        <v>1033481726</v>
      </c>
      <c r="B3947" t="str">
        <f>"03517333"</f>
        <v>03517333</v>
      </c>
      <c r="C3947" t="s">
        <v>21200</v>
      </c>
      <c r="D3947" t="s">
        <v>21201</v>
      </c>
      <c r="E3947" t="s">
        <v>21202</v>
      </c>
      <c r="G3947" t="s">
        <v>15335</v>
      </c>
      <c r="H3947" t="s">
        <v>15338</v>
      </c>
      <c r="J3947" t="s">
        <v>15339</v>
      </c>
      <c r="L3947" t="s">
        <v>74</v>
      </c>
      <c r="M3947" t="s">
        <v>75</v>
      </c>
      <c r="R3947" t="s">
        <v>21203</v>
      </c>
      <c r="W3947" t="s">
        <v>21202</v>
      </c>
      <c r="X3947" t="s">
        <v>13435</v>
      </c>
      <c r="Y3947" t="s">
        <v>97</v>
      </c>
      <c r="Z3947" t="s">
        <v>77</v>
      </c>
      <c r="AA3947" t="str">
        <f>"10027"</f>
        <v>10027</v>
      </c>
      <c r="AB3947" t="s">
        <v>113</v>
      </c>
      <c r="AC3947" t="s">
        <v>79</v>
      </c>
      <c r="AD3947" t="s">
        <v>75</v>
      </c>
      <c r="AE3947" t="s">
        <v>80</v>
      </c>
      <c r="AG3947" t="s">
        <v>81</v>
      </c>
    </row>
    <row r="3948" spans="1:33" x14ac:dyDescent="0.25">
      <c r="A3948" t="str">
        <f>"1205834140"</f>
        <v>1205834140</v>
      </c>
      <c r="B3948" t="str">
        <f>"01629372"</f>
        <v>01629372</v>
      </c>
      <c r="C3948" t="s">
        <v>13436</v>
      </c>
      <c r="D3948" t="s">
        <v>21204</v>
      </c>
      <c r="E3948" t="s">
        <v>21205</v>
      </c>
      <c r="G3948" t="s">
        <v>21206</v>
      </c>
      <c r="L3948" t="s">
        <v>83</v>
      </c>
      <c r="M3948" t="s">
        <v>85</v>
      </c>
      <c r="R3948" t="s">
        <v>21207</v>
      </c>
      <c r="W3948" t="s">
        <v>21205</v>
      </c>
      <c r="X3948" t="s">
        <v>21208</v>
      </c>
      <c r="Y3948" t="s">
        <v>87</v>
      </c>
      <c r="Z3948" t="s">
        <v>77</v>
      </c>
      <c r="AA3948" t="str">
        <f>"11219-2916"</f>
        <v>11219-2916</v>
      </c>
      <c r="AB3948" t="s">
        <v>78</v>
      </c>
      <c r="AC3948" t="s">
        <v>79</v>
      </c>
      <c r="AD3948" t="s">
        <v>75</v>
      </c>
      <c r="AE3948" t="s">
        <v>80</v>
      </c>
      <c r="AG3948" t="s">
        <v>81</v>
      </c>
    </row>
    <row r="3949" spans="1:33" x14ac:dyDescent="0.25">
      <c r="A3949" t="str">
        <f>"1205901261"</f>
        <v>1205901261</v>
      </c>
      <c r="B3949" t="str">
        <f>"00977817"</f>
        <v>00977817</v>
      </c>
      <c r="C3949" t="s">
        <v>13436</v>
      </c>
      <c r="D3949" t="s">
        <v>21209</v>
      </c>
      <c r="E3949" t="s">
        <v>21210</v>
      </c>
      <c r="G3949" t="s">
        <v>21211</v>
      </c>
      <c r="L3949" t="s">
        <v>74</v>
      </c>
      <c r="M3949" t="s">
        <v>85</v>
      </c>
      <c r="R3949" t="s">
        <v>21212</v>
      </c>
      <c r="W3949" t="s">
        <v>21213</v>
      </c>
      <c r="X3949" t="s">
        <v>5585</v>
      </c>
      <c r="Y3949" t="s">
        <v>97</v>
      </c>
      <c r="Z3949" t="s">
        <v>77</v>
      </c>
      <c r="AA3949" t="str">
        <f>"10003-0000"</f>
        <v>10003-0000</v>
      </c>
      <c r="AB3949" t="s">
        <v>78</v>
      </c>
      <c r="AC3949" t="s">
        <v>79</v>
      </c>
      <c r="AD3949" t="s">
        <v>75</v>
      </c>
      <c r="AE3949" t="s">
        <v>80</v>
      </c>
      <c r="AG3949" t="s">
        <v>81</v>
      </c>
    </row>
    <row r="3950" spans="1:33" x14ac:dyDescent="0.25">
      <c r="A3950" t="str">
        <f>"1205909371"</f>
        <v>1205909371</v>
      </c>
      <c r="B3950" t="str">
        <f>"01206826"</f>
        <v>01206826</v>
      </c>
      <c r="C3950" t="s">
        <v>13436</v>
      </c>
      <c r="D3950" t="s">
        <v>21214</v>
      </c>
      <c r="E3950" t="s">
        <v>21215</v>
      </c>
      <c r="G3950" t="s">
        <v>21216</v>
      </c>
      <c r="L3950" t="s">
        <v>105</v>
      </c>
      <c r="M3950" t="s">
        <v>85</v>
      </c>
      <c r="R3950" t="s">
        <v>21217</v>
      </c>
      <c r="W3950" t="s">
        <v>21215</v>
      </c>
      <c r="X3950" t="s">
        <v>21218</v>
      </c>
      <c r="Y3950" t="s">
        <v>97</v>
      </c>
      <c r="Z3950" t="s">
        <v>77</v>
      </c>
      <c r="AA3950" t="str">
        <f>"10003"</f>
        <v>10003</v>
      </c>
      <c r="AB3950" t="s">
        <v>78</v>
      </c>
      <c r="AC3950" t="s">
        <v>79</v>
      </c>
      <c r="AD3950" t="s">
        <v>75</v>
      </c>
      <c r="AE3950" t="s">
        <v>80</v>
      </c>
      <c r="AG3950" t="s">
        <v>81</v>
      </c>
    </row>
    <row r="3951" spans="1:33" x14ac:dyDescent="0.25">
      <c r="A3951" t="str">
        <f>"1205925203"</f>
        <v>1205925203</v>
      </c>
      <c r="B3951" t="str">
        <f>"01740812"</f>
        <v>01740812</v>
      </c>
      <c r="C3951" t="s">
        <v>13436</v>
      </c>
      <c r="D3951" t="s">
        <v>21219</v>
      </c>
      <c r="E3951" t="s">
        <v>21220</v>
      </c>
      <c r="G3951" t="s">
        <v>21221</v>
      </c>
      <c r="L3951" t="s">
        <v>74</v>
      </c>
      <c r="M3951" t="s">
        <v>85</v>
      </c>
      <c r="R3951" t="s">
        <v>21222</v>
      </c>
      <c r="W3951" t="s">
        <v>21220</v>
      </c>
      <c r="X3951" t="s">
        <v>21223</v>
      </c>
      <c r="Y3951" t="s">
        <v>87</v>
      </c>
      <c r="Z3951" t="s">
        <v>77</v>
      </c>
      <c r="AA3951" t="str">
        <f>"11234-2625"</f>
        <v>11234-2625</v>
      </c>
      <c r="AB3951" t="s">
        <v>78</v>
      </c>
      <c r="AC3951" t="s">
        <v>79</v>
      </c>
      <c r="AD3951" t="s">
        <v>75</v>
      </c>
      <c r="AE3951" t="s">
        <v>80</v>
      </c>
      <c r="AG3951" t="s">
        <v>81</v>
      </c>
    </row>
    <row r="3952" spans="1:33" x14ac:dyDescent="0.25">
      <c r="A3952" t="str">
        <f>"1205939519"</f>
        <v>1205939519</v>
      </c>
      <c r="B3952" t="str">
        <f>"01243892"</f>
        <v>01243892</v>
      </c>
      <c r="C3952" t="s">
        <v>13436</v>
      </c>
      <c r="D3952" t="s">
        <v>21224</v>
      </c>
      <c r="E3952" t="s">
        <v>21225</v>
      </c>
      <c r="G3952" t="s">
        <v>21226</v>
      </c>
      <c r="L3952" t="s">
        <v>74</v>
      </c>
      <c r="M3952" t="s">
        <v>85</v>
      </c>
      <c r="R3952" t="s">
        <v>21227</v>
      </c>
      <c r="W3952" t="s">
        <v>21225</v>
      </c>
      <c r="X3952" t="s">
        <v>14807</v>
      </c>
      <c r="Y3952" t="s">
        <v>97</v>
      </c>
      <c r="Z3952" t="s">
        <v>77</v>
      </c>
      <c r="AA3952" t="str">
        <f>"10128-7603"</f>
        <v>10128-7603</v>
      </c>
      <c r="AB3952" t="s">
        <v>78</v>
      </c>
      <c r="AC3952" t="s">
        <v>79</v>
      </c>
      <c r="AD3952" t="s">
        <v>75</v>
      </c>
      <c r="AE3952" t="s">
        <v>80</v>
      </c>
      <c r="AG3952" t="s">
        <v>81</v>
      </c>
    </row>
    <row r="3953" spans="1:33" x14ac:dyDescent="0.25">
      <c r="A3953" t="str">
        <f>"1205939881"</f>
        <v>1205939881</v>
      </c>
      <c r="B3953" t="str">
        <f>"00148256"</f>
        <v>00148256</v>
      </c>
      <c r="C3953" t="s">
        <v>13436</v>
      </c>
      <c r="D3953" t="s">
        <v>21228</v>
      </c>
      <c r="E3953" t="s">
        <v>21229</v>
      </c>
      <c r="G3953" t="s">
        <v>21230</v>
      </c>
      <c r="L3953" t="s">
        <v>74</v>
      </c>
      <c r="M3953" t="s">
        <v>85</v>
      </c>
      <c r="R3953" t="s">
        <v>21231</v>
      </c>
      <c r="W3953" t="s">
        <v>21229</v>
      </c>
      <c r="X3953" t="s">
        <v>1076</v>
      </c>
      <c r="Y3953" t="s">
        <v>97</v>
      </c>
      <c r="Z3953" t="s">
        <v>77</v>
      </c>
      <c r="AA3953" t="str">
        <f>"10025-1737"</f>
        <v>10025-1737</v>
      </c>
      <c r="AB3953" t="s">
        <v>78</v>
      </c>
      <c r="AC3953" t="s">
        <v>79</v>
      </c>
      <c r="AD3953" t="s">
        <v>75</v>
      </c>
      <c r="AE3953" t="s">
        <v>80</v>
      </c>
      <c r="AG3953" t="s">
        <v>81</v>
      </c>
    </row>
    <row r="3954" spans="1:33" x14ac:dyDescent="0.25">
      <c r="A3954" t="str">
        <f>"1205942786"</f>
        <v>1205942786</v>
      </c>
      <c r="B3954" t="str">
        <f>"00348398"</f>
        <v>00348398</v>
      </c>
      <c r="C3954" t="s">
        <v>13436</v>
      </c>
      <c r="D3954" t="s">
        <v>21232</v>
      </c>
      <c r="E3954" t="s">
        <v>21233</v>
      </c>
      <c r="G3954" t="s">
        <v>21234</v>
      </c>
      <c r="L3954" t="s">
        <v>83</v>
      </c>
      <c r="M3954" t="s">
        <v>85</v>
      </c>
      <c r="R3954" t="s">
        <v>21235</v>
      </c>
      <c r="W3954" t="s">
        <v>21233</v>
      </c>
      <c r="X3954" t="s">
        <v>21236</v>
      </c>
      <c r="Y3954" t="s">
        <v>97</v>
      </c>
      <c r="Z3954" t="s">
        <v>77</v>
      </c>
      <c r="AA3954" t="str">
        <f>"10016-8303"</f>
        <v>10016-8303</v>
      </c>
      <c r="AB3954" t="s">
        <v>78</v>
      </c>
      <c r="AC3954" t="s">
        <v>79</v>
      </c>
      <c r="AD3954" t="s">
        <v>75</v>
      </c>
      <c r="AE3954" t="s">
        <v>80</v>
      </c>
      <c r="AG3954" t="s">
        <v>81</v>
      </c>
    </row>
    <row r="3955" spans="1:33" x14ac:dyDescent="0.25">
      <c r="A3955" t="str">
        <f>"1215008420"</f>
        <v>1215008420</v>
      </c>
      <c r="B3955" t="str">
        <f>"02832135"</f>
        <v>02832135</v>
      </c>
      <c r="C3955" t="s">
        <v>13436</v>
      </c>
      <c r="D3955" t="s">
        <v>21237</v>
      </c>
      <c r="E3955" t="s">
        <v>21238</v>
      </c>
      <c r="G3955" t="s">
        <v>21239</v>
      </c>
      <c r="L3955" t="s">
        <v>83</v>
      </c>
      <c r="M3955" t="s">
        <v>85</v>
      </c>
      <c r="R3955" t="s">
        <v>21240</v>
      </c>
      <c r="W3955" t="s">
        <v>21238</v>
      </c>
      <c r="X3955" t="s">
        <v>1076</v>
      </c>
      <c r="Y3955" t="s">
        <v>97</v>
      </c>
      <c r="Z3955" t="s">
        <v>77</v>
      </c>
      <c r="AA3955" t="str">
        <f>"10025-1737"</f>
        <v>10025-1737</v>
      </c>
      <c r="AB3955" t="s">
        <v>78</v>
      </c>
      <c r="AC3955" t="s">
        <v>79</v>
      </c>
      <c r="AD3955" t="s">
        <v>75</v>
      </c>
      <c r="AE3955" t="s">
        <v>80</v>
      </c>
      <c r="AG3955" t="s">
        <v>81</v>
      </c>
    </row>
    <row r="3956" spans="1:33" x14ac:dyDescent="0.25">
      <c r="A3956" t="str">
        <f>"1215136866"</f>
        <v>1215136866</v>
      </c>
      <c r="B3956" t="str">
        <f>"03177800"</f>
        <v>03177800</v>
      </c>
      <c r="C3956" t="s">
        <v>13436</v>
      </c>
      <c r="D3956" t="s">
        <v>21241</v>
      </c>
      <c r="E3956" t="s">
        <v>21242</v>
      </c>
      <c r="G3956" t="s">
        <v>21243</v>
      </c>
      <c r="L3956" t="s">
        <v>74</v>
      </c>
      <c r="M3956" t="s">
        <v>85</v>
      </c>
      <c r="R3956" t="s">
        <v>21244</v>
      </c>
      <c r="W3956" t="s">
        <v>21242</v>
      </c>
      <c r="X3956" t="s">
        <v>21245</v>
      </c>
      <c r="Y3956" t="s">
        <v>97</v>
      </c>
      <c r="Z3956" t="s">
        <v>77</v>
      </c>
      <c r="AA3956" t="str">
        <f>"10019-8022"</f>
        <v>10019-8022</v>
      </c>
      <c r="AB3956" t="s">
        <v>78</v>
      </c>
      <c r="AC3956" t="s">
        <v>79</v>
      </c>
      <c r="AD3956" t="s">
        <v>75</v>
      </c>
      <c r="AE3956" t="s">
        <v>80</v>
      </c>
      <c r="AG3956" t="s">
        <v>81</v>
      </c>
    </row>
    <row r="3957" spans="1:33" x14ac:dyDescent="0.25">
      <c r="A3957" t="str">
        <f>"1417958109"</f>
        <v>1417958109</v>
      </c>
      <c r="B3957" t="str">
        <f>"02441358"</f>
        <v>02441358</v>
      </c>
      <c r="C3957" t="s">
        <v>13436</v>
      </c>
      <c r="D3957" t="s">
        <v>21246</v>
      </c>
      <c r="E3957" t="s">
        <v>21247</v>
      </c>
      <c r="G3957" t="s">
        <v>21248</v>
      </c>
      <c r="L3957" t="s">
        <v>83</v>
      </c>
      <c r="M3957" t="s">
        <v>85</v>
      </c>
      <c r="R3957" t="s">
        <v>21249</v>
      </c>
      <c r="W3957" t="s">
        <v>21247</v>
      </c>
      <c r="X3957" t="s">
        <v>21250</v>
      </c>
      <c r="Y3957" t="s">
        <v>97</v>
      </c>
      <c r="Z3957" t="s">
        <v>77</v>
      </c>
      <c r="AA3957" t="str">
        <f>"10019-1147"</f>
        <v>10019-1147</v>
      </c>
      <c r="AB3957" t="s">
        <v>78</v>
      </c>
      <c r="AC3957" t="s">
        <v>79</v>
      </c>
      <c r="AD3957" t="s">
        <v>75</v>
      </c>
      <c r="AE3957" t="s">
        <v>80</v>
      </c>
      <c r="AG3957" t="s">
        <v>81</v>
      </c>
    </row>
    <row r="3958" spans="1:33" x14ac:dyDescent="0.25">
      <c r="A3958" t="str">
        <f>"1184859290"</f>
        <v>1184859290</v>
      </c>
      <c r="B3958" t="str">
        <f>"03653803"</f>
        <v>03653803</v>
      </c>
      <c r="C3958" t="s">
        <v>13436</v>
      </c>
      <c r="D3958" t="s">
        <v>21251</v>
      </c>
      <c r="E3958" t="s">
        <v>21252</v>
      </c>
      <c r="G3958" t="s">
        <v>21253</v>
      </c>
      <c r="L3958" t="s">
        <v>105</v>
      </c>
      <c r="M3958" t="s">
        <v>85</v>
      </c>
      <c r="R3958" t="s">
        <v>21254</v>
      </c>
      <c r="W3958" t="s">
        <v>21252</v>
      </c>
      <c r="X3958" t="s">
        <v>21255</v>
      </c>
      <c r="Y3958" t="s">
        <v>97</v>
      </c>
      <c r="Z3958" t="s">
        <v>77</v>
      </c>
      <c r="AA3958" t="str">
        <f>"10003-0000"</f>
        <v>10003-0000</v>
      </c>
      <c r="AB3958" t="s">
        <v>78</v>
      </c>
      <c r="AC3958" t="s">
        <v>79</v>
      </c>
      <c r="AD3958" t="s">
        <v>75</v>
      </c>
      <c r="AE3958" t="s">
        <v>80</v>
      </c>
      <c r="AG3958" t="s">
        <v>81</v>
      </c>
    </row>
    <row r="3959" spans="1:33" x14ac:dyDescent="0.25">
      <c r="A3959" t="str">
        <f>"1184859332"</f>
        <v>1184859332</v>
      </c>
      <c r="B3959" t="str">
        <f>"03842968"</f>
        <v>03842968</v>
      </c>
      <c r="C3959" t="s">
        <v>13436</v>
      </c>
      <c r="D3959" t="s">
        <v>21256</v>
      </c>
      <c r="E3959" t="s">
        <v>21257</v>
      </c>
      <c r="G3959" t="s">
        <v>21258</v>
      </c>
      <c r="L3959" t="s">
        <v>83</v>
      </c>
      <c r="M3959" t="s">
        <v>85</v>
      </c>
      <c r="R3959" t="s">
        <v>21259</v>
      </c>
      <c r="W3959" t="s">
        <v>21257</v>
      </c>
      <c r="X3959" t="s">
        <v>181</v>
      </c>
      <c r="Y3959" t="s">
        <v>97</v>
      </c>
      <c r="Z3959" t="s">
        <v>77</v>
      </c>
      <c r="AA3959" t="str">
        <f>"10025-1716"</f>
        <v>10025-1716</v>
      </c>
      <c r="AB3959" t="s">
        <v>78</v>
      </c>
      <c r="AC3959" t="s">
        <v>79</v>
      </c>
      <c r="AD3959" t="s">
        <v>75</v>
      </c>
      <c r="AE3959" t="s">
        <v>80</v>
      </c>
      <c r="AG3959" t="s">
        <v>81</v>
      </c>
    </row>
    <row r="3960" spans="1:33" x14ac:dyDescent="0.25">
      <c r="A3960" t="str">
        <f>"1184867335"</f>
        <v>1184867335</v>
      </c>
      <c r="B3960" t="str">
        <f>"03873498"</f>
        <v>03873498</v>
      </c>
      <c r="C3960" t="s">
        <v>13436</v>
      </c>
      <c r="D3960" t="s">
        <v>21260</v>
      </c>
      <c r="E3960" t="s">
        <v>21261</v>
      </c>
      <c r="G3960" t="s">
        <v>21262</v>
      </c>
      <c r="L3960" t="s">
        <v>84</v>
      </c>
      <c r="M3960" t="s">
        <v>85</v>
      </c>
      <c r="R3960" t="s">
        <v>21263</v>
      </c>
      <c r="W3960" t="s">
        <v>21261</v>
      </c>
      <c r="X3960" t="s">
        <v>16235</v>
      </c>
      <c r="Y3960" t="s">
        <v>97</v>
      </c>
      <c r="Z3960" t="s">
        <v>77</v>
      </c>
      <c r="AA3960" t="str">
        <f>"10011-7201"</f>
        <v>10011-7201</v>
      </c>
      <c r="AB3960" t="s">
        <v>78</v>
      </c>
      <c r="AC3960" t="s">
        <v>79</v>
      </c>
      <c r="AD3960" t="s">
        <v>75</v>
      </c>
      <c r="AE3960" t="s">
        <v>80</v>
      </c>
      <c r="AG3960" t="s">
        <v>81</v>
      </c>
    </row>
    <row r="3961" spans="1:33" x14ac:dyDescent="0.25">
      <c r="A3961" t="str">
        <f>"1073883427"</f>
        <v>1073883427</v>
      </c>
      <c r="C3961" t="s">
        <v>21264</v>
      </c>
      <c r="G3961" t="s">
        <v>7218</v>
      </c>
      <c r="H3961" t="s">
        <v>6801</v>
      </c>
      <c r="I3961">
        <v>6136</v>
      </c>
      <c r="J3961" t="s">
        <v>7219</v>
      </c>
      <c r="K3961" t="s">
        <v>99</v>
      </c>
      <c r="L3961" t="s">
        <v>74</v>
      </c>
      <c r="M3961" t="s">
        <v>75</v>
      </c>
      <c r="R3961" t="s">
        <v>21265</v>
      </c>
      <c r="S3961" t="s">
        <v>21266</v>
      </c>
      <c r="T3961" t="s">
        <v>268</v>
      </c>
      <c r="U3961" t="s">
        <v>77</v>
      </c>
      <c r="V3961" t="str">
        <f>"113622423"</f>
        <v>113622423</v>
      </c>
      <c r="AC3961" t="s">
        <v>79</v>
      </c>
      <c r="AD3961" t="s">
        <v>75</v>
      </c>
      <c r="AE3961" t="s">
        <v>103</v>
      </c>
      <c r="AG3961" t="s">
        <v>81</v>
      </c>
    </row>
    <row r="3962" spans="1:33" x14ac:dyDescent="0.25">
      <c r="A3962" t="str">
        <f>"1104151018"</f>
        <v>1104151018</v>
      </c>
      <c r="C3962" t="s">
        <v>21267</v>
      </c>
      <c r="G3962" t="s">
        <v>7218</v>
      </c>
      <c r="H3962" t="s">
        <v>6801</v>
      </c>
      <c r="I3962">
        <v>6136</v>
      </c>
      <c r="J3962" t="s">
        <v>7219</v>
      </c>
      <c r="K3962" t="s">
        <v>99</v>
      </c>
      <c r="L3962" t="s">
        <v>74</v>
      </c>
      <c r="M3962" t="s">
        <v>75</v>
      </c>
      <c r="R3962" t="s">
        <v>21268</v>
      </c>
      <c r="S3962" t="s">
        <v>21269</v>
      </c>
      <c r="T3962" t="s">
        <v>97</v>
      </c>
      <c r="U3962" t="s">
        <v>77</v>
      </c>
      <c r="V3962" t="str">
        <f>"100371748"</f>
        <v>100371748</v>
      </c>
      <c r="AC3962" t="s">
        <v>79</v>
      </c>
      <c r="AD3962" t="s">
        <v>75</v>
      </c>
      <c r="AE3962" t="s">
        <v>103</v>
      </c>
      <c r="AG3962" t="s">
        <v>81</v>
      </c>
    </row>
    <row r="3963" spans="1:33" x14ac:dyDescent="0.25">
      <c r="A3963" t="str">
        <f>"1104233022"</f>
        <v>1104233022</v>
      </c>
      <c r="C3963" t="s">
        <v>21270</v>
      </c>
      <c r="G3963" t="s">
        <v>7218</v>
      </c>
      <c r="H3963" t="s">
        <v>6801</v>
      </c>
      <c r="I3963">
        <v>6136</v>
      </c>
      <c r="J3963" t="s">
        <v>7219</v>
      </c>
      <c r="K3963" t="s">
        <v>99</v>
      </c>
      <c r="L3963" t="s">
        <v>102</v>
      </c>
      <c r="M3963" t="s">
        <v>75</v>
      </c>
      <c r="R3963" t="s">
        <v>21271</v>
      </c>
      <c r="S3963" t="s">
        <v>14675</v>
      </c>
      <c r="T3963" t="s">
        <v>97</v>
      </c>
      <c r="U3963" t="s">
        <v>77</v>
      </c>
      <c r="V3963" t="str">
        <f>"10001"</f>
        <v>10001</v>
      </c>
      <c r="AC3963" t="s">
        <v>79</v>
      </c>
      <c r="AD3963" t="s">
        <v>75</v>
      </c>
      <c r="AE3963" t="s">
        <v>103</v>
      </c>
      <c r="AG3963" t="s">
        <v>81</v>
      </c>
    </row>
    <row r="3964" spans="1:33" x14ac:dyDescent="0.25">
      <c r="A3964" t="str">
        <f>"1497702245"</f>
        <v>1497702245</v>
      </c>
      <c r="B3964" t="str">
        <f>"01283994"</f>
        <v>01283994</v>
      </c>
      <c r="C3964" t="s">
        <v>13436</v>
      </c>
      <c r="D3964" t="s">
        <v>21272</v>
      </c>
      <c r="E3964" t="s">
        <v>21273</v>
      </c>
      <c r="G3964" t="s">
        <v>21274</v>
      </c>
      <c r="L3964" t="s">
        <v>105</v>
      </c>
      <c r="M3964" t="s">
        <v>85</v>
      </c>
      <c r="R3964" t="s">
        <v>21275</v>
      </c>
      <c r="W3964" t="s">
        <v>21273</v>
      </c>
      <c r="X3964" t="s">
        <v>21276</v>
      </c>
      <c r="Y3964" t="s">
        <v>97</v>
      </c>
      <c r="Z3964" t="s">
        <v>77</v>
      </c>
      <c r="AA3964" t="str">
        <f>"10011-7762"</f>
        <v>10011-7762</v>
      </c>
      <c r="AB3964" t="s">
        <v>78</v>
      </c>
      <c r="AC3964" t="s">
        <v>79</v>
      </c>
      <c r="AD3964" t="s">
        <v>75</v>
      </c>
      <c r="AE3964" t="s">
        <v>80</v>
      </c>
      <c r="AG3964" t="s">
        <v>81</v>
      </c>
    </row>
    <row r="3965" spans="1:33" x14ac:dyDescent="0.25">
      <c r="A3965" t="str">
        <f>"1497723845"</f>
        <v>1497723845</v>
      </c>
      <c r="B3965" t="str">
        <f>"01712138"</f>
        <v>01712138</v>
      </c>
      <c r="C3965" t="s">
        <v>13436</v>
      </c>
      <c r="D3965" t="s">
        <v>21277</v>
      </c>
      <c r="E3965" t="s">
        <v>21278</v>
      </c>
      <c r="G3965" t="s">
        <v>21279</v>
      </c>
      <c r="L3965" t="s">
        <v>74</v>
      </c>
      <c r="M3965" t="s">
        <v>75</v>
      </c>
      <c r="R3965" t="s">
        <v>21280</v>
      </c>
      <c r="W3965" t="s">
        <v>21278</v>
      </c>
      <c r="X3965" t="s">
        <v>21281</v>
      </c>
      <c r="Y3965" t="s">
        <v>97</v>
      </c>
      <c r="Z3965" t="s">
        <v>77</v>
      </c>
      <c r="AA3965" t="str">
        <f>"10021-4873"</f>
        <v>10021-4873</v>
      </c>
      <c r="AB3965" t="s">
        <v>78</v>
      </c>
      <c r="AC3965" t="s">
        <v>79</v>
      </c>
      <c r="AD3965" t="s">
        <v>75</v>
      </c>
      <c r="AE3965" t="s">
        <v>80</v>
      </c>
      <c r="AG3965" t="s">
        <v>81</v>
      </c>
    </row>
    <row r="3966" spans="1:33" x14ac:dyDescent="0.25">
      <c r="A3966" t="str">
        <f>"1518959725"</f>
        <v>1518959725</v>
      </c>
      <c r="B3966" t="str">
        <f>"01986823"</f>
        <v>01986823</v>
      </c>
      <c r="C3966" t="s">
        <v>21282</v>
      </c>
      <c r="D3966" t="s">
        <v>21283</v>
      </c>
      <c r="E3966" t="s">
        <v>21284</v>
      </c>
      <c r="G3966" t="s">
        <v>13504</v>
      </c>
      <c r="H3966" t="s">
        <v>13505</v>
      </c>
      <c r="J3966" t="s">
        <v>13506</v>
      </c>
      <c r="L3966" t="s">
        <v>74</v>
      </c>
      <c r="M3966" t="s">
        <v>75</v>
      </c>
      <c r="W3966" t="s">
        <v>21285</v>
      </c>
      <c r="X3966" t="s">
        <v>21286</v>
      </c>
      <c r="Y3966" t="s">
        <v>450</v>
      </c>
      <c r="Z3966" t="s">
        <v>77</v>
      </c>
      <c r="AA3966" t="str">
        <f>"11423-2516"</f>
        <v>11423-2516</v>
      </c>
      <c r="AB3966" t="s">
        <v>82</v>
      </c>
      <c r="AC3966" t="s">
        <v>79</v>
      </c>
      <c r="AD3966" t="s">
        <v>75</v>
      </c>
      <c r="AE3966" t="s">
        <v>80</v>
      </c>
      <c r="AG3966" t="s">
        <v>81</v>
      </c>
    </row>
    <row r="3967" spans="1:33" x14ac:dyDescent="0.25">
      <c r="A3967" t="str">
        <f>"1982730180"</f>
        <v>1982730180</v>
      </c>
      <c r="B3967" t="str">
        <f>"02856619"</f>
        <v>02856619</v>
      </c>
      <c r="C3967" t="s">
        <v>21287</v>
      </c>
      <c r="D3967" t="s">
        <v>21288</v>
      </c>
      <c r="E3967" t="s">
        <v>21289</v>
      </c>
      <c r="G3967" t="s">
        <v>13504</v>
      </c>
      <c r="H3967" t="s">
        <v>13505</v>
      </c>
      <c r="J3967" t="s">
        <v>13506</v>
      </c>
      <c r="L3967" t="s">
        <v>74</v>
      </c>
      <c r="M3967" t="s">
        <v>75</v>
      </c>
      <c r="R3967" t="s">
        <v>21290</v>
      </c>
      <c r="W3967" t="s">
        <v>21289</v>
      </c>
      <c r="X3967" t="s">
        <v>21291</v>
      </c>
      <c r="Y3967" t="s">
        <v>97</v>
      </c>
      <c r="Z3967" t="s">
        <v>77</v>
      </c>
      <c r="AA3967" t="str">
        <f>"10038"</f>
        <v>10038</v>
      </c>
      <c r="AB3967" t="s">
        <v>82</v>
      </c>
      <c r="AC3967" t="s">
        <v>79</v>
      </c>
      <c r="AD3967" t="s">
        <v>75</v>
      </c>
      <c r="AE3967" t="s">
        <v>80</v>
      </c>
      <c r="AG3967" t="s">
        <v>81</v>
      </c>
    </row>
    <row r="3968" spans="1:33" x14ac:dyDescent="0.25">
      <c r="A3968" t="str">
        <f>"1275704355"</f>
        <v>1275704355</v>
      </c>
      <c r="B3968" t="str">
        <f>"03085903"</f>
        <v>03085903</v>
      </c>
      <c r="C3968" t="s">
        <v>21292</v>
      </c>
      <c r="D3968" t="s">
        <v>21293</v>
      </c>
      <c r="E3968" t="s">
        <v>21294</v>
      </c>
      <c r="G3968" t="s">
        <v>13504</v>
      </c>
      <c r="H3968" t="s">
        <v>13505</v>
      </c>
      <c r="J3968" t="s">
        <v>13506</v>
      </c>
      <c r="L3968" t="s">
        <v>74</v>
      </c>
      <c r="M3968" t="s">
        <v>75</v>
      </c>
      <c r="R3968" t="s">
        <v>21295</v>
      </c>
      <c r="W3968" t="s">
        <v>21294</v>
      </c>
      <c r="X3968" t="s">
        <v>21296</v>
      </c>
      <c r="Y3968" t="s">
        <v>87</v>
      </c>
      <c r="Z3968" t="s">
        <v>77</v>
      </c>
      <c r="AA3968" t="str">
        <f>"11201-5401"</f>
        <v>11201-5401</v>
      </c>
      <c r="AB3968" t="s">
        <v>82</v>
      </c>
      <c r="AC3968" t="s">
        <v>79</v>
      </c>
      <c r="AD3968" t="s">
        <v>75</v>
      </c>
      <c r="AE3968" t="s">
        <v>80</v>
      </c>
      <c r="AG3968" t="s">
        <v>81</v>
      </c>
    </row>
    <row r="3969" spans="1:33" x14ac:dyDescent="0.25">
      <c r="A3969" t="str">
        <f>"1265564546"</f>
        <v>1265564546</v>
      </c>
      <c r="B3969" t="str">
        <f>"02666053"</f>
        <v>02666053</v>
      </c>
      <c r="C3969" t="s">
        <v>21297</v>
      </c>
      <c r="D3969" t="s">
        <v>21298</v>
      </c>
      <c r="E3969" t="s">
        <v>21299</v>
      </c>
      <c r="G3969" t="s">
        <v>13504</v>
      </c>
      <c r="H3969" t="s">
        <v>13505</v>
      </c>
      <c r="J3969" t="s">
        <v>13506</v>
      </c>
      <c r="L3969" t="s">
        <v>74</v>
      </c>
      <c r="M3969" t="s">
        <v>75</v>
      </c>
      <c r="R3969" t="s">
        <v>21300</v>
      </c>
      <c r="W3969" t="s">
        <v>21299</v>
      </c>
      <c r="X3969" t="s">
        <v>21301</v>
      </c>
      <c r="Y3969" t="s">
        <v>87</v>
      </c>
      <c r="Z3969" t="s">
        <v>77</v>
      </c>
      <c r="AA3969" t="str">
        <f>"11226-1192"</f>
        <v>11226-1192</v>
      </c>
      <c r="AB3969" t="s">
        <v>82</v>
      </c>
      <c r="AC3969" t="s">
        <v>79</v>
      </c>
      <c r="AD3969" t="s">
        <v>75</v>
      </c>
      <c r="AE3969" t="s">
        <v>80</v>
      </c>
      <c r="AG3969" t="s">
        <v>81</v>
      </c>
    </row>
    <row r="3970" spans="1:33" x14ac:dyDescent="0.25">
      <c r="A3970" t="str">
        <f>"1164562336"</f>
        <v>1164562336</v>
      </c>
      <c r="B3970" t="str">
        <f>"02955897"</f>
        <v>02955897</v>
      </c>
      <c r="C3970" t="s">
        <v>21302</v>
      </c>
      <c r="D3970" t="s">
        <v>21303</v>
      </c>
      <c r="E3970" t="s">
        <v>21304</v>
      </c>
      <c r="G3970" t="s">
        <v>13504</v>
      </c>
      <c r="H3970" t="s">
        <v>13505</v>
      </c>
      <c r="J3970" t="s">
        <v>13506</v>
      </c>
      <c r="L3970" t="s">
        <v>74</v>
      </c>
      <c r="M3970" t="s">
        <v>75</v>
      </c>
      <c r="R3970" t="s">
        <v>21304</v>
      </c>
      <c r="W3970" t="s">
        <v>21304</v>
      </c>
      <c r="X3970" t="s">
        <v>21296</v>
      </c>
      <c r="Y3970" t="s">
        <v>87</v>
      </c>
      <c r="Z3970" t="s">
        <v>77</v>
      </c>
      <c r="AA3970" t="str">
        <f>"11201-5401"</f>
        <v>11201-5401</v>
      </c>
      <c r="AB3970" t="s">
        <v>82</v>
      </c>
      <c r="AC3970" t="s">
        <v>79</v>
      </c>
      <c r="AD3970" t="s">
        <v>75</v>
      </c>
      <c r="AE3970" t="s">
        <v>80</v>
      </c>
      <c r="AG3970" t="s">
        <v>81</v>
      </c>
    </row>
    <row r="3971" spans="1:33" x14ac:dyDescent="0.25">
      <c r="A3971" t="str">
        <f>"1326201005"</f>
        <v>1326201005</v>
      </c>
      <c r="B3971" t="str">
        <f>"03569835"</f>
        <v>03569835</v>
      </c>
      <c r="C3971" t="s">
        <v>21305</v>
      </c>
      <c r="D3971" t="s">
        <v>4060</v>
      </c>
      <c r="E3971" t="s">
        <v>4061</v>
      </c>
      <c r="G3971" t="s">
        <v>13504</v>
      </c>
      <c r="H3971" t="s">
        <v>13505</v>
      </c>
      <c r="J3971" t="s">
        <v>13506</v>
      </c>
      <c r="L3971" t="s">
        <v>74</v>
      </c>
      <c r="M3971" t="s">
        <v>75</v>
      </c>
      <c r="R3971" t="s">
        <v>4062</v>
      </c>
      <c r="W3971" t="s">
        <v>4061</v>
      </c>
      <c r="X3971" t="s">
        <v>4063</v>
      </c>
      <c r="Y3971" t="s">
        <v>131</v>
      </c>
      <c r="Z3971" t="s">
        <v>77</v>
      </c>
      <c r="AA3971" t="str">
        <f>"10457-5221"</f>
        <v>10457-5221</v>
      </c>
      <c r="AB3971" t="s">
        <v>82</v>
      </c>
      <c r="AC3971" t="s">
        <v>79</v>
      </c>
      <c r="AD3971" t="s">
        <v>75</v>
      </c>
      <c r="AE3971" t="s">
        <v>80</v>
      </c>
      <c r="AG3971" t="s">
        <v>81</v>
      </c>
    </row>
    <row r="3972" spans="1:33" x14ac:dyDescent="0.25">
      <c r="A3972" t="str">
        <f>"1326378860"</f>
        <v>1326378860</v>
      </c>
      <c r="B3972" t="str">
        <f>"03362329"</f>
        <v>03362329</v>
      </c>
      <c r="C3972" t="s">
        <v>21306</v>
      </c>
      <c r="D3972" t="s">
        <v>21307</v>
      </c>
      <c r="E3972" t="s">
        <v>21308</v>
      </c>
      <c r="G3972" t="s">
        <v>13504</v>
      </c>
      <c r="H3972" t="s">
        <v>13505</v>
      </c>
      <c r="J3972" t="s">
        <v>13506</v>
      </c>
      <c r="L3972" t="s">
        <v>74</v>
      </c>
      <c r="M3972" t="s">
        <v>75</v>
      </c>
      <c r="R3972" t="s">
        <v>21309</v>
      </c>
      <c r="W3972" t="s">
        <v>21308</v>
      </c>
      <c r="X3972" t="s">
        <v>21310</v>
      </c>
      <c r="Y3972" t="s">
        <v>131</v>
      </c>
      <c r="Z3972" t="s">
        <v>77</v>
      </c>
      <c r="AA3972" t="str">
        <f>"10453-5707"</f>
        <v>10453-5707</v>
      </c>
      <c r="AB3972" t="s">
        <v>82</v>
      </c>
      <c r="AC3972" t="s">
        <v>79</v>
      </c>
      <c r="AD3972" t="s">
        <v>75</v>
      </c>
      <c r="AE3972" t="s">
        <v>80</v>
      </c>
      <c r="AG3972" t="s">
        <v>81</v>
      </c>
    </row>
    <row r="3973" spans="1:33" x14ac:dyDescent="0.25">
      <c r="A3973" t="str">
        <f>"1821439688"</f>
        <v>1821439688</v>
      </c>
      <c r="B3973" t="str">
        <f>"03818908"</f>
        <v>03818908</v>
      </c>
      <c r="C3973" t="s">
        <v>21311</v>
      </c>
      <c r="D3973" t="s">
        <v>21312</v>
      </c>
      <c r="E3973" t="s">
        <v>21313</v>
      </c>
      <c r="G3973" t="s">
        <v>13504</v>
      </c>
      <c r="H3973" t="s">
        <v>13505</v>
      </c>
      <c r="J3973" t="s">
        <v>13506</v>
      </c>
      <c r="L3973" t="s">
        <v>74</v>
      </c>
      <c r="M3973" t="s">
        <v>75</v>
      </c>
      <c r="R3973" t="s">
        <v>21314</v>
      </c>
      <c r="W3973" t="s">
        <v>21313</v>
      </c>
      <c r="X3973" t="s">
        <v>4782</v>
      </c>
      <c r="Y3973" t="s">
        <v>205</v>
      </c>
      <c r="Z3973" t="s">
        <v>77</v>
      </c>
      <c r="AA3973" t="str">
        <f>"10977-8914"</f>
        <v>10977-8914</v>
      </c>
      <c r="AB3973" t="s">
        <v>82</v>
      </c>
      <c r="AC3973" t="s">
        <v>79</v>
      </c>
      <c r="AD3973" t="s">
        <v>75</v>
      </c>
      <c r="AE3973" t="s">
        <v>80</v>
      </c>
      <c r="AG3973" t="s">
        <v>81</v>
      </c>
    </row>
    <row r="3974" spans="1:33" x14ac:dyDescent="0.25">
      <c r="A3974" t="str">
        <f>"1346484342"</f>
        <v>1346484342</v>
      </c>
      <c r="B3974" t="str">
        <f>"03920523"</f>
        <v>03920523</v>
      </c>
      <c r="C3974" t="s">
        <v>21315</v>
      </c>
      <c r="D3974" t="s">
        <v>21316</v>
      </c>
      <c r="E3974" t="s">
        <v>21317</v>
      </c>
      <c r="G3974" t="s">
        <v>13504</v>
      </c>
      <c r="H3974" t="s">
        <v>13505</v>
      </c>
      <c r="J3974" t="s">
        <v>13506</v>
      </c>
      <c r="L3974" t="s">
        <v>74</v>
      </c>
      <c r="M3974" t="s">
        <v>75</v>
      </c>
      <c r="R3974" t="s">
        <v>21318</v>
      </c>
      <c r="W3974" t="s">
        <v>21317</v>
      </c>
      <c r="X3974" t="s">
        <v>202</v>
      </c>
      <c r="Y3974" t="s">
        <v>87</v>
      </c>
      <c r="Z3974" t="s">
        <v>77</v>
      </c>
      <c r="AA3974" t="str">
        <f>"11201-5425"</f>
        <v>11201-5425</v>
      </c>
      <c r="AB3974" t="s">
        <v>82</v>
      </c>
      <c r="AC3974" t="s">
        <v>79</v>
      </c>
      <c r="AD3974" t="s">
        <v>75</v>
      </c>
      <c r="AE3974" t="s">
        <v>80</v>
      </c>
      <c r="AG3974" t="s">
        <v>81</v>
      </c>
    </row>
    <row r="3975" spans="1:33" x14ac:dyDescent="0.25">
      <c r="A3975" t="str">
        <f>"1326111691"</f>
        <v>1326111691</v>
      </c>
      <c r="B3975" t="str">
        <f>"00098691"</f>
        <v>00098691</v>
      </c>
      <c r="C3975" t="s">
        <v>21319</v>
      </c>
      <c r="D3975" t="s">
        <v>21320</v>
      </c>
      <c r="E3975" t="s">
        <v>21321</v>
      </c>
      <c r="G3975" t="s">
        <v>13504</v>
      </c>
      <c r="H3975" t="s">
        <v>13505</v>
      </c>
      <c r="J3975" t="s">
        <v>13506</v>
      </c>
      <c r="L3975" t="s">
        <v>84</v>
      </c>
      <c r="M3975" t="s">
        <v>75</v>
      </c>
      <c r="R3975" t="s">
        <v>21322</v>
      </c>
      <c r="W3975" t="s">
        <v>21321</v>
      </c>
      <c r="X3975" t="s">
        <v>21323</v>
      </c>
      <c r="Y3975" t="s">
        <v>152</v>
      </c>
      <c r="Z3975" t="s">
        <v>77</v>
      </c>
      <c r="AA3975" t="str">
        <f>"11375-4451"</f>
        <v>11375-4451</v>
      </c>
      <c r="AB3975" t="s">
        <v>78</v>
      </c>
      <c r="AC3975" t="s">
        <v>79</v>
      </c>
      <c r="AD3975" t="s">
        <v>75</v>
      </c>
      <c r="AE3975" t="s">
        <v>80</v>
      </c>
      <c r="AG3975" t="s">
        <v>81</v>
      </c>
    </row>
    <row r="3976" spans="1:33" x14ac:dyDescent="0.25">
      <c r="A3976" t="str">
        <f>"1982735759"</f>
        <v>1982735759</v>
      </c>
      <c r="B3976" t="str">
        <f>"00423309"</f>
        <v>00423309</v>
      </c>
      <c r="C3976" t="s">
        <v>21324</v>
      </c>
      <c r="D3976" t="s">
        <v>21325</v>
      </c>
      <c r="E3976" t="s">
        <v>21326</v>
      </c>
      <c r="G3976" t="s">
        <v>13504</v>
      </c>
      <c r="H3976" t="s">
        <v>13505</v>
      </c>
      <c r="J3976" t="s">
        <v>13506</v>
      </c>
      <c r="L3976" t="s">
        <v>74</v>
      </c>
      <c r="M3976" t="s">
        <v>75</v>
      </c>
      <c r="R3976" t="s">
        <v>21327</v>
      </c>
      <c r="W3976" t="s">
        <v>21326</v>
      </c>
      <c r="X3976" t="s">
        <v>21328</v>
      </c>
      <c r="Y3976" t="s">
        <v>87</v>
      </c>
      <c r="Z3976" t="s">
        <v>77</v>
      </c>
      <c r="AA3976" t="str">
        <f>"11225-1604"</f>
        <v>11225-1604</v>
      </c>
      <c r="AB3976" t="s">
        <v>78</v>
      </c>
      <c r="AC3976" t="s">
        <v>79</v>
      </c>
      <c r="AD3976" t="s">
        <v>75</v>
      </c>
      <c r="AE3976" t="s">
        <v>80</v>
      </c>
      <c r="AG3976" t="s">
        <v>81</v>
      </c>
    </row>
    <row r="3977" spans="1:33" x14ac:dyDescent="0.25">
      <c r="A3977" t="str">
        <f>"1043390131"</f>
        <v>1043390131</v>
      </c>
      <c r="B3977" t="str">
        <f>"01742525"</f>
        <v>01742525</v>
      </c>
      <c r="C3977" t="s">
        <v>21329</v>
      </c>
      <c r="D3977" t="s">
        <v>4792</v>
      </c>
      <c r="E3977" t="s">
        <v>4793</v>
      </c>
      <c r="G3977" t="s">
        <v>13504</v>
      </c>
      <c r="H3977" t="s">
        <v>13505</v>
      </c>
      <c r="J3977" t="s">
        <v>13506</v>
      </c>
      <c r="L3977" t="s">
        <v>83</v>
      </c>
      <c r="M3977" t="s">
        <v>75</v>
      </c>
      <c r="R3977" t="s">
        <v>4794</v>
      </c>
      <c r="W3977" t="s">
        <v>4793</v>
      </c>
      <c r="X3977" t="s">
        <v>4795</v>
      </c>
      <c r="Y3977" t="s">
        <v>1706</v>
      </c>
      <c r="Z3977" t="s">
        <v>77</v>
      </c>
      <c r="AA3977" t="str">
        <f>"10923-1409"</f>
        <v>10923-1409</v>
      </c>
      <c r="AB3977" t="s">
        <v>128</v>
      </c>
      <c r="AC3977" t="s">
        <v>79</v>
      </c>
      <c r="AD3977" t="s">
        <v>75</v>
      </c>
      <c r="AE3977" t="s">
        <v>80</v>
      </c>
      <c r="AG3977" t="s">
        <v>81</v>
      </c>
    </row>
    <row r="3978" spans="1:33" x14ac:dyDescent="0.25">
      <c r="A3978" t="str">
        <f>"1760440283"</f>
        <v>1760440283</v>
      </c>
      <c r="B3978" t="str">
        <f>"02128403"</f>
        <v>02128403</v>
      </c>
      <c r="C3978" t="s">
        <v>21330</v>
      </c>
      <c r="D3978" t="s">
        <v>21331</v>
      </c>
      <c r="E3978" t="s">
        <v>21332</v>
      </c>
      <c r="G3978" t="s">
        <v>13504</v>
      </c>
      <c r="H3978" t="s">
        <v>13505</v>
      </c>
      <c r="J3978" t="s">
        <v>13506</v>
      </c>
      <c r="L3978" t="s">
        <v>83</v>
      </c>
      <c r="M3978" t="s">
        <v>75</v>
      </c>
      <c r="R3978" t="s">
        <v>21333</v>
      </c>
      <c r="W3978" t="s">
        <v>21332</v>
      </c>
      <c r="X3978" t="s">
        <v>21334</v>
      </c>
      <c r="Y3978" t="s">
        <v>87</v>
      </c>
      <c r="Z3978" t="s">
        <v>77</v>
      </c>
      <c r="AA3978" t="str">
        <f>"11230-1726"</f>
        <v>11230-1726</v>
      </c>
      <c r="AB3978" t="s">
        <v>128</v>
      </c>
      <c r="AC3978" t="s">
        <v>79</v>
      </c>
      <c r="AD3978" t="s">
        <v>75</v>
      </c>
      <c r="AE3978" t="s">
        <v>80</v>
      </c>
      <c r="AG3978" t="s">
        <v>81</v>
      </c>
    </row>
    <row r="3979" spans="1:33" x14ac:dyDescent="0.25">
      <c r="A3979" t="str">
        <f>"1063435972"</f>
        <v>1063435972</v>
      </c>
      <c r="B3979" t="str">
        <f>"01948030"</f>
        <v>01948030</v>
      </c>
      <c r="C3979" t="s">
        <v>21335</v>
      </c>
      <c r="D3979" t="s">
        <v>21336</v>
      </c>
      <c r="E3979" t="s">
        <v>21337</v>
      </c>
      <c r="G3979" t="s">
        <v>13504</v>
      </c>
      <c r="H3979" t="s">
        <v>13505</v>
      </c>
      <c r="J3979" t="s">
        <v>13506</v>
      </c>
      <c r="L3979" t="s">
        <v>83</v>
      </c>
      <c r="M3979" t="s">
        <v>75</v>
      </c>
      <c r="R3979" t="s">
        <v>21338</v>
      </c>
      <c r="W3979" t="s">
        <v>21339</v>
      </c>
      <c r="X3979" t="s">
        <v>21340</v>
      </c>
      <c r="Y3979" t="s">
        <v>87</v>
      </c>
      <c r="Z3979" t="s">
        <v>77</v>
      </c>
      <c r="AA3979" t="str">
        <f>"11226-5406"</f>
        <v>11226-5406</v>
      </c>
      <c r="AB3979" t="s">
        <v>128</v>
      </c>
      <c r="AC3979" t="s">
        <v>79</v>
      </c>
      <c r="AD3979" t="s">
        <v>75</v>
      </c>
      <c r="AE3979" t="s">
        <v>80</v>
      </c>
      <c r="AG3979" t="s">
        <v>81</v>
      </c>
    </row>
    <row r="3980" spans="1:33" x14ac:dyDescent="0.25">
      <c r="C3980" t="s">
        <v>21341</v>
      </c>
      <c r="K3980" t="s">
        <v>99</v>
      </c>
      <c r="L3980" t="s">
        <v>100</v>
      </c>
      <c r="M3980" t="s">
        <v>75</v>
      </c>
      <c r="N3980" t="s">
        <v>20575</v>
      </c>
      <c r="O3980" t="s">
        <v>431</v>
      </c>
      <c r="P3980" t="s">
        <v>77</v>
      </c>
      <c r="Q3980" t="str">
        <f>"11201"</f>
        <v>11201</v>
      </c>
      <c r="AC3980" t="s">
        <v>79</v>
      </c>
      <c r="AD3980" t="s">
        <v>75</v>
      </c>
      <c r="AE3980" t="s">
        <v>101</v>
      </c>
      <c r="AG3980" t="s">
        <v>81</v>
      </c>
    </row>
    <row r="3981" spans="1:33" x14ac:dyDescent="0.25">
      <c r="C3981" t="s">
        <v>21342</v>
      </c>
      <c r="K3981" t="s">
        <v>99</v>
      </c>
      <c r="L3981" t="s">
        <v>100</v>
      </c>
      <c r="M3981" t="s">
        <v>75</v>
      </c>
      <c r="N3981" t="s">
        <v>20575</v>
      </c>
      <c r="O3981" t="s">
        <v>431</v>
      </c>
      <c r="P3981" t="s">
        <v>77</v>
      </c>
      <c r="Q3981" t="str">
        <f>"11201"</f>
        <v>11201</v>
      </c>
      <c r="AC3981" t="s">
        <v>79</v>
      </c>
      <c r="AD3981" t="s">
        <v>75</v>
      </c>
      <c r="AE3981" t="s">
        <v>101</v>
      </c>
      <c r="AG3981" t="s">
        <v>81</v>
      </c>
    </row>
    <row r="3982" spans="1:33" x14ac:dyDescent="0.25">
      <c r="A3982" t="str">
        <f>"1013151299"</f>
        <v>1013151299</v>
      </c>
      <c r="C3982" t="s">
        <v>21343</v>
      </c>
      <c r="G3982" t="s">
        <v>7218</v>
      </c>
      <c r="H3982" t="s">
        <v>6801</v>
      </c>
      <c r="I3982">
        <v>6136</v>
      </c>
      <c r="J3982" t="s">
        <v>7219</v>
      </c>
      <c r="K3982" t="s">
        <v>99</v>
      </c>
      <c r="L3982" t="s">
        <v>102</v>
      </c>
      <c r="M3982" t="s">
        <v>75</v>
      </c>
      <c r="R3982" t="s">
        <v>21344</v>
      </c>
      <c r="S3982" t="s">
        <v>21345</v>
      </c>
      <c r="T3982" t="s">
        <v>145</v>
      </c>
      <c r="U3982" t="s">
        <v>77</v>
      </c>
      <c r="V3982" t="str">
        <f>"11361"</f>
        <v>11361</v>
      </c>
      <c r="AC3982" t="s">
        <v>79</v>
      </c>
      <c r="AD3982" t="s">
        <v>75</v>
      </c>
      <c r="AE3982" t="s">
        <v>103</v>
      </c>
      <c r="AG3982" t="s">
        <v>81</v>
      </c>
    </row>
    <row r="3983" spans="1:33" x14ac:dyDescent="0.25">
      <c r="A3983" t="str">
        <f>"1013351709"</f>
        <v>1013351709</v>
      </c>
      <c r="C3983" t="s">
        <v>21346</v>
      </c>
      <c r="G3983" t="s">
        <v>7218</v>
      </c>
      <c r="H3983" t="s">
        <v>6801</v>
      </c>
      <c r="I3983">
        <v>6136</v>
      </c>
      <c r="J3983" t="s">
        <v>7219</v>
      </c>
      <c r="K3983" t="s">
        <v>99</v>
      </c>
      <c r="L3983" t="s">
        <v>74</v>
      </c>
      <c r="M3983" t="s">
        <v>75</v>
      </c>
      <c r="R3983" t="s">
        <v>21347</v>
      </c>
      <c r="S3983" t="s">
        <v>21348</v>
      </c>
      <c r="T3983" t="s">
        <v>87</v>
      </c>
      <c r="U3983" t="s">
        <v>77</v>
      </c>
      <c r="V3983" t="str">
        <f>"112041133"</f>
        <v>112041133</v>
      </c>
      <c r="AC3983" t="s">
        <v>79</v>
      </c>
      <c r="AD3983" t="s">
        <v>75</v>
      </c>
      <c r="AE3983" t="s">
        <v>103</v>
      </c>
      <c r="AG3983" t="s">
        <v>81</v>
      </c>
    </row>
    <row r="3984" spans="1:33" x14ac:dyDescent="0.25">
      <c r="A3984" t="str">
        <f>"1013932656"</f>
        <v>1013932656</v>
      </c>
      <c r="B3984" t="str">
        <f>"03531748"</f>
        <v>03531748</v>
      </c>
      <c r="C3984" t="s">
        <v>21349</v>
      </c>
      <c r="D3984" t="s">
        <v>21350</v>
      </c>
      <c r="E3984" t="s">
        <v>15251</v>
      </c>
      <c r="G3984" t="s">
        <v>7218</v>
      </c>
      <c r="H3984" t="s">
        <v>6801</v>
      </c>
      <c r="I3984">
        <v>6136</v>
      </c>
      <c r="J3984" t="s">
        <v>7219</v>
      </c>
      <c r="L3984" t="s">
        <v>74</v>
      </c>
      <c r="M3984" t="s">
        <v>75</v>
      </c>
      <c r="R3984" t="s">
        <v>15251</v>
      </c>
      <c r="W3984" t="s">
        <v>15251</v>
      </c>
      <c r="X3984" t="s">
        <v>9151</v>
      </c>
      <c r="Y3984" t="s">
        <v>97</v>
      </c>
      <c r="Z3984" t="s">
        <v>77</v>
      </c>
      <c r="AA3984" t="str">
        <f>"10001-2320"</f>
        <v>10001-2320</v>
      </c>
      <c r="AB3984" t="s">
        <v>125</v>
      </c>
      <c r="AC3984" t="s">
        <v>79</v>
      </c>
      <c r="AD3984" t="s">
        <v>75</v>
      </c>
      <c r="AE3984" t="s">
        <v>80</v>
      </c>
      <c r="AG3984" t="s">
        <v>81</v>
      </c>
    </row>
    <row r="3985" spans="1:33" x14ac:dyDescent="0.25">
      <c r="A3985" t="str">
        <f>"1023368461"</f>
        <v>1023368461</v>
      </c>
      <c r="C3985" t="s">
        <v>21351</v>
      </c>
      <c r="G3985" t="s">
        <v>7218</v>
      </c>
      <c r="H3985" t="s">
        <v>6801</v>
      </c>
      <c r="I3985">
        <v>6136</v>
      </c>
      <c r="J3985" t="s">
        <v>7219</v>
      </c>
      <c r="K3985" t="s">
        <v>99</v>
      </c>
      <c r="L3985" t="s">
        <v>102</v>
      </c>
      <c r="M3985" t="s">
        <v>75</v>
      </c>
      <c r="R3985" t="s">
        <v>21352</v>
      </c>
      <c r="S3985" t="s">
        <v>6229</v>
      </c>
      <c r="T3985" t="s">
        <v>97</v>
      </c>
      <c r="U3985" t="s">
        <v>77</v>
      </c>
      <c r="V3985" t="str">
        <f>"100012320"</f>
        <v>100012320</v>
      </c>
      <c r="AC3985" t="s">
        <v>79</v>
      </c>
      <c r="AD3985" t="s">
        <v>75</v>
      </c>
      <c r="AE3985" t="s">
        <v>103</v>
      </c>
      <c r="AG3985" t="s">
        <v>81</v>
      </c>
    </row>
    <row r="3986" spans="1:33" x14ac:dyDescent="0.25">
      <c r="A3986" t="str">
        <f>"1083893770"</f>
        <v>1083893770</v>
      </c>
      <c r="B3986" t="str">
        <f>"03284728"</f>
        <v>03284728</v>
      </c>
      <c r="C3986" t="s">
        <v>13436</v>
      </c>
      <c r="D3986" t="s">
        <v>21353</v>
      </c>
      <c r="E3986" t="s">
        <v>21354</v>
      </c>
      <c r="G3986" t="s">
        <v>21355</v>
      </c>
      <c r="L3986" t="s">
        <v>83</v>
      </c>
      <c r="M3986" t="s">
        <v>85</v>
      </c>
      <c r="R3986" t="s">
        <v>21356</v>
      </c>
      <c r="W3986" t="s">
        <v>21354</v>
      </c>
      <c r="X3986" t="s">
        <v>3392</v>
      </c>
      <c r="Y3986" t="s">
        <v>97</v>
      </c>
      <c r="Z3986" t="s">
        <v>77</v>
      </c>
      <c r="AA3986" t="str">
        <f>"10003-0000"</f>
        <v>10003-0000</v>
      </c>
      <c r="AB3986" t="s">
        <v>78</v>
      </c>
      <c r="AC3986" t="s">
        <v>79</v>
      </c>
      <c r="AD3986" t="s">
        <v>75</v>
      </c>
      <c r="AE3986" t="s">
        <v>80</v>
      </c>
      <c r="AG3986" t="s">
        <v>81</v>
      </c>
    </row>
    <row r="3987" spans="1:33" x14ac:dyDescent="0.25">
      <c r="A3987" t="str">
        <f>"1083897409"</f>
        <v>1083897409</v>
      </c>
      <c r="B3987" t="str">
        <f>"02969244"</f>
        <v>02969244</v>
      </c>
      <c r="C3987" t="s">
        <v>13436</v>
      </c>
      <c r="D3987" t="s">
        <v>21357</v>
      </c>
      <c r="E3987" t="s">
        <v>21358</v>
      </c>
      <c r="G3987" t="s">
        <v>21359</v>
      </c>
      <c r="L3987" t="s">
        <v>83</v>
      </c>
      <c r="M3987" t="s">
        <v>85</v>
      </c>
      <c r="R3987" t="s">
        <v>21360</v>
      </c>
      <c r="W3987" t="s">
        <v>21358</v>
      </c>
      <c r="X3987" t="s">
        <v>3553</v>
      </c>
      <c r="Y3987" t="s">
        <v>97</v>
      </c>
      <c r="Z3987" t="s">
        <v>77</v>
      </c>
      <c r="AA3987" t="str">
        <f>"10003-3851"</f>
        <v>10003-3851</v>
      </c>
      <c r="AB3987" t="s">
        <v>78</v>
      </c>
      <c r="AC3987" t="s">
        <v>79</v>
      </c>
      <c r="AD3987" t="s">
        <v>75</v>
      </c>
      <c r="AE3987" t="s">
        <v>80</v>
      </c>
      <c r="AG3987" t="s">
        <v>81</v>
      </c>
    </row>
    <row r="3988" spans="1:33" x14ac:dyDescent="0.25">
      <c r="A3988" t="str">
        <f>"1093721144"</f>
        <v>1093721144</v>
      </c>
      <c r="B3988" t="str">
        <f>"01833045"</f>
        <v>01833045</v>
      </c>
      <c r="C3988" t="s">
        <v>13436</v>
      </c>
      <c r="D3988" t="s">
        <v>21361</v>
      </c>
      <c r="E3988" t="s">
        <v>21362</v>
      </c>
      <c r="G3988" t="s">
        <v>21363</v>
      </c>
      <c r="L3988" t="s">
        <v>83</v>
      </c>
      <c r="M3988" t="s">
        <v>85</v>
      </c>
      <c r="R3988" t="s">
        <v>21362</v>
      </c>
      <c r="W3988" t="s">
        <v>21362</v>
      </c>
      <c r="X3988" t="s">
        <v>21364</v>
      </c>
      <c r="Y3988" t="s">
        <v>97</v>
      </c>
      <c r="Z3988" t="s">
        <v>77</v>
      </c>
      <c r="AA3988" t="str">
        <f>"10037-1802"</f>
        <v>10037-1802</v>
      </c>
      <c r="AB3988" t="s">
        <v>78</v>
      </c>
      <c r="AC3988" t="s">
        <v>79</v>
      </c>
      <c r="AD3988" t="s">
        <v>75</v>
      </c>
      <c r="AE3988" t="s">
        <v>80</v>
      </c>
      <c r="AG3988" t="s">
        <v>81</v>
      </c>
    </row>
    <row r="3989" spans="1:33" x14ac:dyDescent="0.25">
      <c r="A3989" t="str">
        <f>"1093811176"</f>
        <v>1093811176</v>
      </c>
      <c r="B3989" t="str">
        <f>"02902156"</f>
        <v>02902156</v>
      </c>
      <c r="C3989" t="s">
        <v>13436</v>
      </c>
      <c r="D3989" t="s">
        <v>21365</v>
      </c>
      <c r="E3989" t="s">
        <v>21366</v>
      </c>
      <c r="G3989" t="s">
        <v>21367</v>
      </c>
      <c r="L3989" t="s">
        <v>83</v>
      </c>
      <c r="M3989" t="s">
        <v>85</v>
      </c>
      <c r="R3989" t="s">
        <v>21368</v>
      </c>
      <c r="W3989" t="s">
        <v>21369</v>
      </c>
      <c r="X3989" t="s">
        <v>181</v>
      </c>
      <c r="Y3989" t="s">
        <v>97</v>
      </c>
      <c r="Z3989" t="s">
        <v>77</v>
      </c>
      <c r="AA3989" t="str">
        <f>"10025-1716"</f>
        <v>10025-1716</v>
      </c>
      <c r="AB3989" t="s">
        <v>78</v>
      </c>
      <c r="AC3989" t="s">
        <v>79</v>
      </c>
      <c r="AD3989" t="s">
        <v>75</v>
      </c>
      <c r="AE3989" t="s">
        <v>80</v>
      </c>
      <c r="AG3989" t="s">
        <v>81</v>
      </c>
    </row>
    <row r="3990" spans="1:33" x14ac:dyDescent="0.25">
      <c r="A3990" t="str">
        <f>"1093849184"</f>
        <v>1093849184</v>
      </c>
      <c r="B3990" t="str">
        <f>"02885858"</f>
        <v>02885858</v>
      </c>
      <c r="C3990" t="s">
        <v>13436</v>
      </c>
      <c r="D3990" t="s">
        <v>21370</v>
      </c>
      <c r="E3990" t="s">
        <v>21371</v>
      </c>
      <c r="G3990" t="s">
        <v>21372</v>
      </c>
      <c r="L3990" t="s">
        <v>74</v>
      </c>
      <c r="M3990" t="s">
        <v>85</v>
      </c>
      <c r="R3990" t="s">
        <v>21373</v>
      </c>
      <c r="W3990" t="s">
        <v>21371</v>
      </c>
      <c r="X3990" t="s">
        <v>2587</v>
      </c>
      <c r="Y3990" t="s">
        <v>97</v>
      </c>
      <c r="Z3990" t="s">
        <v>77</v>
      </c>
      <c r="AA3990" t="str">
        <f>"10003-3314"</f>
        <v>10003-3314</v>
      </c>
      <c r="AB3990" t="s">
        <v>78</v>
      </c>
      <c r="AC3990" t="s">
        <v>79</v>
      </c>
      <c r="AD3990" t="s">
        <v>75</v>
      </c>
      <c r="AE3990" t="s">
        <v>80</v>
      </c>
      <c r="AG3990" t="s">
        <v>81</v>
      </c>
    </row>
    <row r="3991" spans="1:33" x14ac:dyDescent="0.25">
      <c r="A3991" t="str">
        <f>"1093961716"</f>
        <v>1093961716</v>
      </c>
      <c r="B3991" t="str">
        <f>"03030944"</f>
        <v>03030944</v>
      </c>
      <c r="C3991" t="s">
        <v>13436</v>
      </c>
      <c r="D3991" t="s">
        <v>21374</v>
      </c>
      <c r="E3991" t="s">
        <v>21375</v>
      </c>
      <c r="G3991" t="s">
        <v>21376</v>
      </c>
      <c r="L3991" t="s">
        <v>74</v>
      </c>
      <c r="M3991" t="s">
        <v>85</v>
      </c>
      <c r="R3991" t="s">
        <v>21375</v>
      </c>
      <c r="W3991" t="s">
        <v>21377</v>
      </c>
      <c r="X3991" t="s">
        <v>3553</v>
      </c>
      <c r="Y3991" t="s">
        <v>97</v>
      </c>
      <c r="Z3991" t="s">
        <v>77</v>
      </c>
      <c r="AA3991" t="str">
        <f>"10003-3851"</f>
        <v>10003-3851</v>
      </c>
      <c r="AB3991" t="s">
        <v>78</v>
      </c>
      <c r="AC3991" t="s">
        <v>79</v>
      </c>
      <c r="AD3991" t="s">
        <v>75</v>
      </c>
      <c r="AE3991" t="s">
        <v>80</v>
      </c>
      <c r="AG3991" t="s">
        <v>81</v>
      </c>
    </row>
    <row r="3992" spans="1:33" x14ac:dyDescent="0.25">
      <c r="A3992" t="str">
        <f>"1093965741"</f>
        <v>1093965741</v>
      </c>
      <c r="B3992" t="str">
        <f>"03360212"</f>
        <v>03360212</v>
      </c>
      <c r="C3992" t="s">
        <v>13436</v>
      </c>
      <c r="D3992" t="s">
        <v>21378</v>
      </c>
      <c r="E3992" t="s">
        <v>21379</v>
      </c>
      <c r="G3992" t="s">
        <v>21380</v>
      </c>
      <c r="L3992" t="s">
        <v>74</v>
      </c>
      <c r="M3992" t="s">
        <v>85</v>
      </c>
      <c r="R3992" t="s">
        <v>21381</v>
      </c>
      <c r="W3992" t="s">
        <v>21379</v>
      </c>
      <c r="X3992" t="s">
        <v>18869</v>
      </c>
      <c r="Y3992" t="s">
        <v>97</v>
      </c>
      <c r="Z3992" t="s">
        <v>77</v>
      </c>
      <c r="AA3992" t="str">
        <f>"10019-8022"</f>
        <v>10019-8022</v>
      </c>
      <c r="AB3992" t="s">
        <v>78</v>
      </c>
      <c r="AC3992" t="s">
        <v>79</v>
      </c>
      <c r="AD3992" t="s">
        <v>75</v>
      </c>
      <c r="AE3992" t="s">
        <v>80</v>
      </c>
      <c r="AG3992" t="s">
        <v>81</v>
      </c>
    </row>
    <row r="3993" spans="1:33" x14ac:dyDescent="0.25">
      <c r="A3993" t="str">
        <f>"1093972028"</f>
        <v>1093972028</v>
      </c>
      <c r="B3993" t="str">
        <f>"03018691"</f>
        <v>03018691</v>
      </c>
      <c r="C3993" t="s">
        <v>13436</v>
      </c>
      <c r="D3993" t="s">
        <v>21382</v>
      </c>
      <c r="E3993" t="s">
        <v>21383</v>
      </c>
      <c r="G3993" t="s">
        <v>21384</v>
      </c>
      <c r="L3993" t="s">
        <v>83</v>
      </c>
      <c r="M3993" t="s">
        <v>85</v>
      </c>
      <c r="R3993" t="s">
        <v>21385</v>
      </c>
      <c r="W3993" t="s">
        <v>21383</v>
      </c>
      <c r="X3993" t="s">
        <v>191</v>
      </c>
      <c r="Y3993" t="s">
        <v>97</v>
      </c>
      <c r="Z3993" t="s">
        <v>77</v>
      </c>
      <c r="AA3993" t="str">
        <f>"10019-1147"</f>
        <v>10019-1147</v>
      </c>
      <c r="AB3993" t="s">
        <v>78</v>
      </c>
      <c r="AC3993" t="s">
        <v>79</v>
      </c>
      <c r="AD3993" t="s">
        <v>75</v>
      </c>
      <c r="AE3993" t="s">
        <v>80</v>
      </c>
      <c r="AG3993" t="s">
        <v>81</v>
      </c>
    </row>
    <row r="3994" spans="1:33" x14ac:dyDescent="0.25">
      <c r="A3994" t="str">
        <f>"1104083567"</f>
        <v>1104083567</v>
      </c>
      <c r="B3994" t="str">
        <f>"03415116"</f>
        <v>03415116</v>
      </c>
      <c r="C3994" t="s">
        <v>13436</v>
      </c>
      <c r="D3994" t="s">
        <v>21386</v>
      </c>
      <c r="E3994" t="s">
        <v>21387</v>
      </c>
      <c r="G3994" t="s">
        <v>21388</v>
      </c>
      <c r="L3994" t="s">
        <v>84</v>
      </c>
      <c r="M3994" t="s">
        <v>85</v>
      </c>
      <c r="R3994" t="s">
        <v>21389</v>
      </c>
      <c r="W3994" t="s">
        <v>21387</v>
      </c>
      <c r="X3994" t="s">
        <v>21390</v>
      </c>
      <c r="Y3994" t="s">
        <v>87</v>
      </c>
      <c r="Z3994" t="s">
        <v>77</v>
      </c>
      <c r="AA3994" t="str">
        <f>"11211"</f>
        <v>11211</v>
      </c>
      <c r="AB3994" t="s">
        <v>78</v>
      </c>
      <c r="AC3994" t="s">
        <v>79</v>
      </c>
      <c r="AD3994" t="s">
        <v>75</v>
      </c>
      <c r="AE3994" t="s">
        <v>80</v>
      </c>
      <c r="AG3994" t="s">
        <v>81</v>
      </c>
    </row>
    <row r="3995" spans="1:33" x14ac:dyDescent="0.25">
      <c r="A3995" t="str">
        <f>"1104808922"</f>
        <v>1104808922</v>
      </c>
      <c r="B3995" t="str">
        <f>"02152349"</f>
        <v>02152349</v>
      </c>
      <c r="C3995" t="s">
        <v>13436</v>
      </c>
      <c r="D3995" t="s">
        <v>21391</v>
      </c>
      <c r="E3995" t="s">
        <v>21392</v>
      </c>
      <c r="G3995" t="s">
        <v>21393</v>
      </c>
      <c r="L3995" t="s">
        <v>84</v>
      </c>
      <c r="M3995" t="s">
        <v>85</v>
      </c>
      <c r="R3995" t="s">
        <v>21394</v>
      </c>
      <c r="W3995" t="s">
        <v>21392</v>
      </c>
      <c r="X3995" t="s">
        <v>21395</v>
      </c>
      <c r="Y3995" t="s">
        <v>97</v>
      </c>
      <c r="Z3995" t="s">
        <v>77</v>
      </c>
      <c r="AA3995" t="str">
        <f>"10003-3897"</f>
        <v>10003-3897</v>
      </c>
      <c r="AB3995" t="s">
        <v>78</v>
      </c>
      <c r="AC3995" t="s">
        <v>79</v>
      </c>
      <c r="AD3995" t="s">
        <v>75</v>
      </c>
      <c r="AE3995" t="s">
        <v>80</v>
      </c>
      <c r="AG3995" t="s">
        <v>81</v>
      </c>
    </row>
    <row r="3996" spans="1:33" x14ac:dyDescent="0.25">
      <c r="A3996" t="str">
        <f>"1104827419"</f>
        <v>1104827419</v>
      </c>
      <c r="B3996" t="str">
        <f>"01811696"</f>
        <v>01811696</v>
      </c>
      <c r="C3996" t="s">
        <v>13436</v>
      </c>
      <c r="D3996" t="s">
        <v>21396</v>
      </c>
      <c r="E3996" t="s">
        <v>21397</v>
      </c>
      <c r="G3996" t="s">
        <v>21398</v>
      </c>
      <c r="L3996" t="s">
        <v>83</v>
      </c>
      <c r="M3996" t="s">
        <v>85</v>
      </c>
      <c r="R3996" t="s">
        <v>21399</v>
      </c>
      <c r="W3996" t="s">
        <v>21397</v>
      </c>
      <c r="X3996" t="s">
        <v>21400</v>
      </c>
      <c r="Y3996" t="s">
        <v>97</v>
      </c>
      <c r="Z3996" t="s">
        <v>77</v>
      </c>
      <c r="AA3996" t="str">
        <f>"10032-3720"</f>
        <v>10032-3720</v>
      </c>
      <c r="AB3996" t="s">
        <v>78</v>
      </c>
      <c r="AC3996" t="s">
        <v>79</v>
      </c>
      <c r="AD3996" t="s">
        <v>75</v>
      </c>
      <c r="AE3996" t="s">
        <v>80</v>
      </c>
      <c r="AG3996" t="s">
        <v>81</v>
      </c>
    </row>
    <row r="3997" spans="1:33" x14ac:dyDescent="0.25">
      <c r="A3997" t="str">
        <f>"1104827583"</f>
        <v>1104827583</v>
      </c>
      <c r="B3997" t="str">
        <f>"02364212"</f>
        <v>02364212</v>
      </c>
      <c r="C3997" t="s">
        <v>13436</v>
      </c>
      <c r="D3997" t="s">
        <v>21401</v>
      </c>
      <c r="E3997" t="s">
        <v>21402</v>
      </c>
      <c r="G3997" t="s">
        <v>21403</v>
      </c>
      <c r="L3997" t="s">
        <v>83</v>
      </c>
      <c r="M3997" t="s">
        <v>85</v>
      </c>
      <c r="R3997" t="s">
        <v>21404</v>
      </c>
      <c r="W3997" t="s">
        <v>21402</v>
      </c>
      <c r="X3997" t="s">
        <v>21405</v>
      </c>
      <c r="Y3997" t="s">
        <v>97</v>
      </c>
      <c r="Z3997" t="s">
        <v>77</v>
      </c>
      <c r="AA3997" t="str">
        <f>"10019-1104"</f>
        <v>10019-1104</v>
      </c>
      <c r="AB3997" t="s">
        <v>78</v>
      </c>
      <c r="AC3997" t="s">
        <v>79</v>
      </c>
      <c r="AD3997" t="s">
        <v>75</v>
      </c>
      <c r="AE3997" t="s">
        <v>80</v>
      </c>
      <c r="AG3997" t="s">
        <v>81</v>
      </c>
    </row>
    <row r="3998" spans="1:33" x14ac:dyDescent="0.25">
      <c r="A3998" t="str">
        <f>"1104913185"</f>
        <v>1104913185</v>
      </c>
      <c r="B3998" t="str">
        <f>"01634500"</f>
        <v>01634500</v>
      </c>
      <c r="C3998" t="s">
        <v>13436</v>
      </c>
      <c r="D3998" t="s">
        <v>21406</v>
      </c>
      <c r="E3998" t="s">
        <v>21407</v>
      </c>
      <c r="G3998" t="s">
        <v>21408</v>
      </c>
      <c r="L3998" t="s">
        <v>74</v>
      </c>
      <c r="M3998" t="s">
        <v>85</v>
      </c>
      <c r="R3998" t="s">
        <v>21409</v>
      </c>
      <c r="W3998" t="s">
        <v>21407</v>
      </c>
      <c r="X3998" t="s">
        <v>5799</v>
      </c>
      <c r="Y3998" t="s">
        <v>97</v>
      </c>
      <c r="Z3998" t="s">
        <v>77</v>
      </c>
      <c r="AA3998" t="str">
        <f>"10011-8271"</f>
        <v>10011-8271</v>
      </c>
      <c r="AB3998" t="s">
        <v>78</v>
      </c>
      <c r="AC3998" t="s">
        <v>79</v>
      </c>
      <c r="AD3998" t="s">
        <v>75</v>
      </c>
      <c r="AE3998" t="s">
        <v>80</v>
      </c>
      <c r="AG3998" t="s">
        <v>81</v>
      </c>
    </row>
    <row r="3999" spans="1:33" x14ac:dyDescent="0.25">
      <c r="A3999" t="str">
        <f>"1104991587"</f>
        <v>1104991587</v>
      </c>
      <c r="B3999" t="str">
        <f>"01689550"</f>
        <v>01689550</v>
      </c>
      <c r="C3999" t="s">
        <v>13436</v>
      </c>
      <c r="D3999" t="s">
        <v>21410</v>
      </c>
      <c r="E3999" t="s">
        <v>21411</v>
      </c>
      <c r="G3999" t="s">
        <v>21412</v>
      </c>
      <c r="L3999" t="s">
        <v>83</v>
      </c>
      <c r="M3999" t="s">
        <v>85</v>
      </c>
      <c r="R3999" t="s">
        <v>21413</v>
      </c>
      <c r="W3999" t="s">
        <v>21411</v>
      </c>
      <c r="X3999" t="s">
        <v>14820</v>
      </c>
      <c r="Y3999" t="s">
        <v>131</v>
      </c>
      <c r="Z3999" t="s">
        <v>77</v>
      </c>
      <c r="AA3999" t="str">
        <f>"10467-2401"</f>
        <v>10467-2401</v>
      </c>
      <c r="AB3999" t="s">
        <v>78</v>
      </c>
      <c r="AC3999" t="s">
        <v>79</v>
      </c>
      <c r="AD3999" t="s">
        <v>75</v>
      </c>
      <c r="AE3999" t="s">
        <v>80</v>
      </c>
      <c r="AG3999" t="s">
        <v>81</v>
      </c>
    </row>
    <row r="4000" spans="1:33" x14ac:dyDescent="0.25">
      <c r="A4000" t="str">
        <f>"1114023520"</f>
        <v>1114023520</v>
      </c>
      <c r="B4000" t="str">
        <f>"00250197"</f>
        <v>00250197</v>
      </c>
      <c r="C4000" t="s">
        <v>13436</v>
      </c>
      <c r="D4000" t="s">
        <v>21414</v>
      </c>
      <c r="E4000" t="s">
        <v>21415</v>
      </c>
      <c r="G4000" t="s">
        <v>21416</v>
      </c>
      <c r="L4000" t="s">
        <v>83</v>
      </c>
      <c r="M4000" t="s">
        <v>85</v>
      </c>
      <c r="R4000" t="s">
        <v>21417</v>
      </c>
      <c r="W4000" t="s">
        <v>21415</v>
      </c>
      <c r="X4000" t="s">
        <v>21418</v>
      </c>
      <c r="Y4000" t="s">
        <v>97</v>
      </c>
      <c r="Z4000" t="s">
        <v>77</v>
      </c>
      <c r="AA4000" t="str">
        <f>"10019-1104"</f>
        <v>10019-1104</v>
      </c>
      <c r="AB4000" t="s">
        <v>78</v>
      </c>
      <c r="AC4000" t="s">
        <v>79</v>
      </c>
      <c r="AD4000" t="s">
        <v>75</v>
      </c>
      <c r="AE4000" t="s">
        <v>80</v>
      </c>
      <c r="AG4000" t="s">
        <v>81</v>
      </c>
    </row>
    <row r="4001" spans="1:33" x14ac:dyDescent="0.25">
      <c r="A4001" t="str">
        <f>"1114048642"</f>
        <v>1114048642</v>
      </c>
      <c r="B4001" t="str">
        <f>"02912834"</f>
        <v>02912834</v>
      </c>
      <c r="C4001" t="s">
        <v>13436</v>
      </c>
      <c r="D4001" t="s">
        <v>21419</v>
      </c>
      <c r="E4001" t="s">
        <v>21420</v>
      </c>
      <c r="G4001" t="s">
        <v>21421</v>
      </c>
      <c r="L4001" t="s">
        <v>83</v>
      </c>
      <c r="M4001" t="s">
        <v>85</v>
      </c>
      <c r="R4001" t="s">
        <v>21422</v>
      </c>
      <c r="W4001" t="s">
        <v>21423</v>
      </c>
      <c r="X4001" t="s">
        <v>21424</v>
      </c>
      <c r="Y4001" t="s">
        <v>87</v>
      </c>
      <c r="Z4001" t="s">
        <v>77</v>
      </c>
      <c r="AA4001" t="str">
        <f>"11209-3957"</f>
        <v>11209-3957</v>
      </c>
      <c r="AB4001" t="s">
        <v>78</v>
      </c>
      <c r="AC4001" t="s">
        <v>79</v>
      </c>
      <c r="AD4001" t="s">
        <v>75</v>
      </c>
      <c r="AE4001" t="s">
        <v>80</v>
      </c>
      <c r="AG4001" t="s">
        <v>81</v>
      </c>
    </row>
    <row r="4002" spans="1:33" x14ac:dyDescent="0.25">
      <c r="A4002" t="str">
        <f>"1114081296"</f>
        <v>1114081296</v>
      </c>
      <c r="B4002" t="str">
        <f>"01948530"</f>
        <v>01948530</v>
      </c>
      <c r="C4002" t="s">
        <v>13436</v>
      </c>
      <c r="D4002" t="s">
        <v>21425</v>
      </c>
      <c r="E4002" t="s">
        <v>21426</v>
      </c>
      <c r="G4002" t="s">
        <v>21427</v>
      </c>
      <c r="L4002" t="s">
        <v>105</v>
      </c>
      <c r="M4002" t="s">
        <v>85</v>
      </c>
      <c r="R4002" t="s">
        <v>21428</v>
      </c>
      <c r="W4002" t="s">
        <v>21426</v>
      </c>
      <c r="X4002" t="s">
        <v>21429</v>
      </c>
      <c r="Y4002" t="s">
        <v>209</v>
      </c>
      <c r="Z4002" t="s">
        <v>77</v>
      </c>
      <c r="AA4002" t="str">
        <f>"11794-0001"</f>
        <v>11794-0001</v>
      </c>
      <c r="AB4002" t="s">
        <v>78</v>
      </c>
      <c r="AC4002" t="s">
        <v>79</v>
      </c>
      <c r="AD4002" t="s">
        <v>75</v>
      </c>
      <c r="AE4002" t="s">
        <v>80</v>
      </c>
      <c r="AG4002" t="s">
        <v>81</v>
      </c>
    </row>
    <row r="4003" spans="1:33" x14ac:dyDescent="0.25">
      <c r="C4003" t="s">
        <v>21430</v>
      </c>
      <c r="K4003" t="s">
        <v>99</v>
      </c>
      <c r="L4003" t="s">
        <v>100</v>
      </c>
      <c r="M4003" t="s">
        <v>75</v>
      </c>
      <c r="N4003" t="s">
        <v>15839</v>
      </c>
      <c r="O4003" t="s">
        <v>296</v>
      </c>
      <c r="P4003" t="s">
        <v>77</v>
      </c>
      <c r="Q4003" t="str">
        <f>"10458"</f>
        <v>10458</v>
      </c>
      <c r="AC4003" t="s">
        <v>79</v>
      </c>
      <c r="AD4003" t="s">
        <v>75</v>
      </c>
      <c r="AE4003" t="s">
        <v>101</v>
      </c>
      <c r="AG4003" t="s">
        <v>81</v>
      </c>
    </row>
    <row r="4004" spans="1:33" x14ac:dyDescent="0.25">
      <c r="C4004" t="s">
        <v>21431</v>
      </c>
      <c r="K4004" t="s">
        <v>99</v>
      </c>
      <c r="L4004" t="s">
        <v>100</v>
      </c>
      <c r="M4004" t="s">
        <v>75</v>
      </c>
      <c r="N4004" t="s">
        <v>15839</v>
      </c>
      <c r="O4004" t="s">
        <v>296</v>
      </c>
      <c r="P4004" t="s">
        <v>77</v>
      </c>
      <c r="Q4004" t="str">
        <f>"10458"</f>
        <v>10458</v>
      </c>
      <c r="AC4004" t="s">
        <v>79</v>
      </c>
      <c r="AD4004" t="s">
        <v>75</v>
      </c>
      <c r="AE4004" t="s">
        <v>101</v>
      </c>
      <c r="AG4004" t="s">
        <v>81</v>
      </c>
    </row>
    <row r="4005" spans="1:33" x14ac:dyDescent="0.25">
      <c r="C4005" t="s">
        <v>21432</v>
      </c>
      <c r="K4005" t="s">
        <v>99</v>
      </c>
      <c r="L4005" t="s">
        <v>100</v>
      </c>
      <c r="M4005" t="s">
        <v>75</v>
      </c>
      <c r="N4005" t="s">
        <v>15839</v>
      </c>
      <c r="O4005" t="s">
        <v>296</v>
      </c>
      <c r="P4005" t="s">
        <v>77</v>
      </c>
      <c r="Q4005" t="str">
        <f>"10458"</f>
        <v>10458</v>
      </c>
      <c r="AC4005" t="s">
        <v>79</v>
      </c>
      <c r="AD4005" t="s">
        <v>75</v>
      </c>
      <c r="AE4005" t="s">
        <v>101</v>
      </c>
      <c r="AG4005" t="s">
        <v>81</v>
      </c>
    </row>
    <row r="4006" spans="1:33" x14ac:dyDescent="0.25">
      <c r="A4006" t="str">
        <f>"1669781837"</f>
        <v>1669781837</v>
      </c>
      <c r="C4006" t="s">
        <v>21433</v>
      </c>
      <c r="K4006" t="s">
        <v>99</v>
      </c>
      <c r="L4006" t="s">
        <v>74</v>
      </c>
      <c r="M4006" t="s">
        <v>75</v>
      </c>
      <c r="R4006" t="s">
        <v>2887</v>
      </c>
      <c r="S4006" t="s">
        <v>2888</v>
      </c>
      <c r="T4006" t="s">
        <v>87</v>
      </c>
      <c r="U4006" t="s">
        <v>77</v>
      </c>
      <c r="V4006" t="str">
        <f>"11211"</f>
        <v>11211</v>
      </c>
      <c r="AC4006" t="s">
        <v>79</v>
      </c>
      <c r="AD4006" t="s">
        <v>75</v>
      </c>
      <c r="AE4006" t="s">
        <v>103</v>
      </c>
      <c r="AG4006" t="s">
        <v>81</v>
      </c>
    </row>
    <row r="4007" spans="1:33" x14ac:dyDescent="0.25">
      <c r="A4007" t="str">
        <f>"1912182619"</f>
        <v>1912182619</v>
      </c>
      <c r="B4007" t="str">
        <f>"02947524"</f>
        <v>02947524</v>
      </c>
      <c r="C4007" t="s">
        <v>21434</v>
      </c>
      <c r="D4007" t="s">
        <v>21435</v>
      </c>
      <c r="E4007" t="s">
        <v>21436</v>
      </c>
      <c r="G4007" t="s">
        <v>13504</v>
      </c>
      <c r="H4007" t="s">
        <v>13505</v>
      </c>
      <c r="J4007" t="s">
        <v>13506</v>
      </c>
      <c r="L4007" t="s">
        <v>83</v>
      </c>
      <c r="M4007" t="s">
        <v>75</v>
      </c>
      <c r="R4007" t="s">
        <v>21437</v>
      </c>
      <c r="W4007" t="s">
        <v>21436</v>
      </c>
      <c r="X4007" t="s">
        <v>21438</v>
      </c>
      <c r="Y4007" t="s">
        <v>152</v>
      </c>
      <c r="Z4007" t="s">
        <v>77</v>
      </c>
      <c r="AA4007" t="str">
        <f>"11375-1261"</f>
        <v>11375-1261</v>
      </c>
      <c r="AB4007" t="s">
        <v>78</v>
      </c>
      <c r="AC4007" t="s">
        <v>79</v>
      </c>
      <c r="AD4007" t="s">
        <v>75</v>
      </c>
      <c r="AE4007" t="s">
        <v>80</v>
      </c>
      <c r="AG4007" t="s">
        <v>81</v>
      </c>
    </row>
    <row r="4008" spans="1:33" x14ac:dyDescent="0.25">
      <c r="A4008" t="str">
        <f>"1023129384"</f>
        <v>1023129384</v>
      </c>
      <c r="B4008" t="str">
        <f>"02267949"</f>
        <v>02267949</v>
      </c>
      <c r="C4008" t="s">
        <v>21439</v>
      </c>
      <c r="D4008" t="s">
        <v>21440</v>
      </c>
      <c r="E4008" t="s">
        <v>21441</v>
      </c>
      <c r="G4008" t="s">
        <v>21439</v>
      </c>
      <c r="H4008" t="s">
        <v>18201</v>
      </c>
      <c r="L4008" t="s">
        <v>84</v>
      </c>
      <c r="M4008" t="s">
        <v>75</v>
      </c>
      <c r="R4008" t="s">
        <v>21442</v>
      </c>
      <c r="W4008" t="s">
        <v>21441</v>
      </c>
      <c r="X4008" t="s">
        <v>21443</v>
      </c>
      <c r="Y4008" t="s">
        <v>97</v>
      </c>
      <c r="Z4008" t="s">
        <v>77</v>
      </c>
      <c r="AA4008" t="str">
        <f>"10040-3802"</f>
        <v>10040-3802</v>
      </c>
      <c r="AB4008" t="s">
        <v>78</v>
      </c>
      <c r="AC4008" t="s">
        <v>79</v>
      </c>
      <c r="AD4008" t="s">
        <v>75</v>
      </c>
      <c r="AE4008" t="s">
        <v>80</v>
      </c>
      <c r="AG4008" t="s">
        <v>81</v>
      </c>
    </row>
    <row r="4009" spans="1:33" x14ac:dyDescent="0.25">
      <c r="A4009" t="str">
        <f>"1336373018"</f>
        <v>1336373018</v>
      </c>
      <c r="B4009" t="str">
        <f>"03103353"</f>
        <v>03103353</v>
      </c>
      <c r="C4009" t="s">
        <v>13436</v>
      </c>
      <c r="D4009" t="s">
        <v>21444</v>
      </c>
      <c r="E4009" t="s">
        <v>21445</v>
      </c>
      <c r="G4009" t="s">
        <v>21446</v>
      </c>
      <c r="L4009" t="s">
        <v>83</v>
      </c>
      <c r="M4009" t="s">
        <v>75</v>
      </c>
      <c r="R4009" t="s">
        <v>21447</v>
      </c>
      <c r="W4009" t="s">
        <v>21445</v>
      </c>
      <c r="X4009" t="s">
        <v>21448</v>
      </c>
      <c r="Y4009" t="s">
        <v>97</v>
      </c>
      <c r="Z4009" t="s">
        <v>77</v>
      </c>
      <c r="AA4009" t="str">
        <f>"10003-3314"</f>
        <v>10003-3314</v>
      </c>
      <c r="AB4009" t="s">
        <v>78</v>
      </c>
      <c r="AC4009" t="s">
        <v>79</v>
      </c>
      <c r="AD4009" t="s">
        <v>75</v>
      </c>
      <c r="AE4009" t="s">
        <v>80</v>
      </c>
      <c r="AG4009" t="s">
        <v>81</v>
      </c>
    </row>
    <row r="4010" spans="1:33" x14ac:dyDescent="0.25">
      <c r="A4010" t="str">
        <f>"1346222304"</f>
        <v>1346222304</v>
      </c>
      <c r="B4010" t="str">
        <f>"01420511"</f>
        <v>01420511</v>
      </c>
      <c r="C4010" t="s">
        <v>13436</v>
      </c>
      <c r="D4010" t="s">
        <v>21449</v>
      </c>
      <c r="E4010" t="s">
        <v>21450</v>
      </c>
      <c r="G4010" t="s">
        <v>21451</v>
      </c>
      <c r="L4010" t="s">
        <v>83</v>
      </c>
      <c r="M4010" t="s">
        <v>85</v>
      </c>
      <c r="R4010" t="s">
        <v>21452</v>
      </c>
      <c r="W4010" t="s">
        <v>21450</v>
      </c>
      <c r="X4010" t="s">
        <v>5585</v>
      </c>
      <c r="Y4010" t="s">
        <v>97</v>
      </c>
      <c r="Z4010" t="s">
        <v>77</v>
      </c>
      <c r="AA4010" t="str">
        <f>"10003-3314"</f>
        <v>10003-3314</v>
      </c>
      <c r="AB4010" t="s">
        <v>78</v>
      </c>
      <c r="AC4010" t="s">
        <v>79</v>
      </c>
      <c r="AD4010" t="s">
        <v>75</v>
      </c>
      <c r="AE4010" t="s">
        <v>80</v>
      </c>
      <c r="AG4010" t="s">
        <v>81</v>
      </c>
    </row>
    <row r="4011" spans="1:33" x14ac:dyDescent="0.25">
      <c r="A4011" t="str">
        <f>"1346224441"</f>
        <v>1346224441</v>
      </c>
      <c r="B4011" t="str">
        <f>"01230079"</f>
        <v>01230079</v>
      </c>
      <c r="C4011" t="s">
        <v>13436</v>
      </c>
      <c r="D4011" t="s">
        <v>21453</v>
      </c>
      <c r="E4011" t="s">
        <v>21454</v>
      </c>
      <c r="G4011" t="s">
        <v>21455</v>
      </c>
      <c r="L4011" t="s">
        <v>83</v>
      </c>
      <c r="M4011" t="s">
        <v>85</v>
      </c>
      <c r="R4011" t="s">
        <v>21456</v>
      </c>
      <c r="W4011" t="s">
        <v>21454</v>
      </c>
      <c r="X4011" t="s">
        <v>21457</v>
      </c>
      <c r="Y4011" t="s">
        <v>87</v>
      </c>
      <c r="Z4011" t="s">
        <v>77</v>
      </c>
      <c r="AA4011" t="str">
        <f>"11201-5514"</f>
        <v>11201-5514</v>
      </c>
      <c r="AB4011" t="s">
        <v>78</v>
      </c>
      <c r="AC4011" t="s">
        <v>79</v>
      </c>
      <c r="AD4011" t="s">
        <v>75</v>
      </c>
      <c r="AE4011" t="s">
        <v>80</v>
      </c>
      <c r="AG4011" t="s">
        <v>81</v>
      </c>
    </row>
    <row r="4012" spans="1:33" x14ac:dyDescent="0.25">
      <c r="A4012" t="str">
        <f>"1346229366"</f>
        <v>1346229366</v>
      </c>
      <c r="B4012" t="str">
        <f>"00716472"</f>
        <v>00716472</v>
      </c>
      <c r="C4012" t="s">
        <v>13436</v>
      </c>
      <c r="D4012" t="s">
        <v>21458</v>
      </c>
      <c r="E4012" t="s">
        <v>21459</v>
      </c>
      <c r="G4012" t="s">
        <v>21460</v>
      </c>
      <c r="L4012" t="s">
        <v>83</v>
      </c>
      <c r="M4012" t="s">
        <v>85</v>
      </c>
      <c r="R4012" t="s">
        <v>21461</v>
      </c>
      <c r="W4012" t="s">
        <v>21459</v>
      </c>
      <c r="X4012" t="s">
        <v>21462</v>
      </c>
      <c r="Y4012" t="s">
        <v>97</v>
      </c>
      <c r="Z4012" t="s">
        <v>77</v>
      </c>
      <c r="AA4012" t="str">
        <f>"10019-8022"</f>
        <v>10019-8022</v>
      </c>
      <c r="AB4012" t="s">
        <v>78</v>
      </c>
      <c r="AC4012" t="s">
        <v>79</v>
      </c>
      <c r="AD4012" t="s">
        <v>75</v>
      </c>
      <c r="AE4012" t="s">
        <v>80</v>
      </c>
      <c r="AG4012" t="s">
        <v>81</v>
      </c>
    </row>
    <row r="4013" spans="1:33" x14ac:dyDescent="0.25">
      <c r="A4013" t="str">
        <f>"1346233475"</f>
        <v>1346233475</v>
      </c>
      <c r="B4013" t="str">
        <f>"02575657"</f>
        <v>02575657</v>
      </c>
      <c r="C4013" t="s">
        <v>13436</v>
      </c>
      <c r="D4013" t="s">
        <v>21463</v>
      </c>
      <c r="E4013" t="s">
        <v>21464</v>
      </c>
      <c r="G4013" t="s">
        <v>21465</v>
      </c>
      <c r="L4013" t="s">
        <v>83</v>
      </c>
      <c r="M4013" t="s">
        <v>85</v>
      </c>
      <c r="R4013" t="s">
        <v>21466</v>
      </c>
      <c r="W4013" t="s">
        <v>21464</v>
      </c>
      <c r="X4013" t="s">
        <v>21467</v>
      </c>
      <c r="Y4013" t="s">
        <v>97</v>
      </c>
      <c r="Z4013" t="s">
        <v>77</v>
      </c>
      <c r="AA4013" t="str">
        <f>"10025-1737"</f>
        <v>10025-1737</v>
      </c>
      <c r="AB4013" t="s">
        <v>78</v>
      </c>
      <c r="AC4013" t="s">
        <v>79</v>
      </c>
      <c r="AD4013" t="s">
        <v>75</v>
      </c>
      <c r="AE4013" t="s">
        <v>80</v>
      </c>
      <c r="AG4013" t="s">
        <v>81</v>
      </c>
    </row>
    <row r="4014" spans="1:33" x14ac:dyDescent="0.25">
      <c r="A4014" t="str">
        <f>"1346236288"</f>
        <v>1346236288</v>
      </c>
      <c r="B4014" t="str">
        <f>"02368821"</f>
        <v>02368821</v>
      </c>
      <c r="C4014" t="s">
        <v>13436</v>
      </c>
      <c r="D4014" t="s">
        <v>21468</v>
      </c>
      <c r="E4014" t="s">
        <v>21469</v>
      </c>
      <c r="G4014" t="s">
        <v>21470</v>
      </c>
      <c r="L4014" t="s">
        <v>83</v>
      </c>
      <c r="M4014" t="s">
        <v>85</v>
      </c>
      <c r="R4014" t="s">
        <v>21471</v>
      </c>
      <c r="W4014" t="s">
        <v>21469</v>
      </c>
      <c r="X4014" t="s">
        <v>191</v>
      </c>
      <c r="Y4014" t="s">
        <v>97</v>
      </c>
      <c r="Z4014" t="s">
        <v>77</v>
      </c>
      <c r="AA4014" t="str">
        <f>"10019-1147"</f>
        <v>10019-1147</v>
      </c>
      <c r="AB4014" t="s">
        <v>78</v>
      </c>
      <c r="AC4014" t="s">
        <v>79</v>
      </c>
      <c r="AD4014" t="s">
        <v>75</v>
      </c>
      <c r="AE4014" t="s">
        <v>80</v>
      </c>
      <c r="AG4014" t="s">
        <v>81</v>
      </c>
    </row>
    <row r="4015" spans="1:33" x14ac:dyDescent="0.25">
      <c r="A4015" t="str">
        <f>"1346241858"</f>
        <v>1346241858</v>
      </c>
      <c r="B4015" t="str">
        <f>"01745275"</f>
        <v>01745275</v>
      </c>
      <c r="C4015" t="s">
        <v>13436</v>
      </c>
      <c r="D4015" t="s">
        <v>21472</v>
      </c>
      <c r="E4015" t="s">
        <v>21473</v>
      </c>
      <c r="G4015" t="s">
        <v>21474</v>
      </c>
      <c r="L4015" t="s">
        <v>83</v>
      </c>
      <c r="M4015" t="s">
        <v>85</v>
      </c>
      <c r="R4015" t="s">
        <v>21475</v>
      </c>
      <c r="W4015" t="s">
        <v>21473</v>
      </c>
      <c r="X4015" t="s">
        <v>191</v>
      </c>
      <c r="Y4015" t="s">
        <v>97</v>
      </c>
      <c r="Z4015" t="s">
        <v>77</v>
      </c>
      <c r="AA4015" t="str">
        <f>"10019-1147"</f>
        <v>10019-1147</v>
      </c>
      <c r="AB4015" t="s">
        <v>78</v>
      </c>
      <c r="AC4015" t="s">
        <v>79</v>
      </c>
      <c r="AD4015" t="s">
        <v>75</v>
      </c>
      <c r="AE4015" t="s">
        <v>80</v>
      </c>
      <c r="AG4015" t="s">
        <v>81</v>
      </c>
    </row>
    <row r="4016" spans="1:33" x14ac:dyDescent="0.25">
      <c r="A4016" t="str">
        <f>"1346260775"</f>
        <v>1346260775</v>
      </c>
      <c r="B4016" t="str">
        <f>"01907015"</f>
        <v>01907015</v>
      </c>
      <c r="C4016" t="s">
        <v>13436</v>
      </c>
      <c r="D4016" t="s">
        <v>21476</v>
      </c>
      <c r="E4016" t="s">
        <v>21477</v>
      </c>
      <c r="G4016" t="s">
        <v>21478</v>
      </c>
      <c r="L4016" t="s">
        <v>74</v>
      </c>
      <c r="M4016" t="s">
        <v>85</v>
      </c>
      <c r="R4016" t="s">
        <v>21479</v>
      </c>
      <c r="W4016" t="s">
        <v>21477</v>
      </c>
      <c r="X4016" t="s">
        <v>191</v>
      </c>
      <c r="Y4016" t="s">
        <v>97</v>
      </c>
      <c r="Z4016" t="s">
        <v>77</v>
      </c>
      <c r="AA4016" t="str">
        <f>"10019-1147"</f>
        <v>10019-1147</v>
      </c>
      <c r="AB4016" t="s">
        <v>78</v>
      </c>
      <c r="AC4016" t="s">
        <v>79</v>
      </c>
      <c r="AD4016" t="s">
        <v>75</v>
      </c>
      <c r="AE4016" t="s">
        <v>80</v>
      </c>
      <c r="AG4016" t="s">
        <v>81</v>
      </c>
    </row>
    <row r="4017" spans="1:33" x14ac:dyDescent="0.25">
      <c r="A4017" t="str">
        <f>"1346276326"</f>
        <v>1346276326</v>
      </c>
      <c r="B4017" t="str">
        <f>"03127259"</f>
        <v>03127259</v>
      </c>
      <c r="C4017" t="s">
        <v>13436</v>
      </c>
      <c r="D4017" t="s">
        <v>21480</v>
      </c>
      <c r="E4017" t="s">
        <v>21481</v>
      </c>
      <c r="G4017" t="s">
        <v>21482</v>
      </c>
      <c r="L4017" t="s">
        <v>83</v>
      </c>
      <c r="M4017" t="s">
        <v>85</v>
      </c>
      <c r="R4017" t="s">
        <v>21483</v>
      </c>
      <c r="W4017" t="s">
        <v>21484</v>
      </c>
      <c r="X4017" t="s">
        <v>2587</v>
      </c>
      <c r="Y4017" t="s">
        <v>97</v>
      </c>
      <c r="Z4017" t="s">
        <v>77</v>
      </c>
      <c r="AA4017" t="str">
        <f>"10003-3314"</f>
        <v>10003-3314</v>
      </c>
      <c r="AB4017" t="s">
        <v>78</v>
      </c>
      <c r="AC4017" t="s">
        <v>79</v>
      </c>
      <c r="AD4017" t="s">
        <v>75</v>
      </c>
      <c r="AE4017" t="s">
        <v>80</v>
      </c>
      <c r="AG4017" t="s">
        <v>81</v>
      </c>
    </row>
    <row r="4018" spans="1:33" x14ac:dyDescent="0.25">
      <c r="A4018" t="str">
        <f>"1346310489"</f>
        <v>1346310489</v>
      </c>
      <c r="B4018" t="str">
        <f>"02590563"</f>
        <v>02590563</v>
      </c>
      <c r="C4018" t="s">
        <v>13436</v>
      </c>
      <c r="D4018" t="s">
        <v>21485</v>
      </c>
      <c r="E4018" t="s">
        <v>21486</v>
      </c>
      <c r="G4018" t="s">
        <v>21487</v>
      </c>
      <c r="L4018" t="s">
        <v>94</v>
      </c>
      <c r="M4018" t="s">
        <v>85</v>
      </c>
      <c r="R4018" t="s">
        <v>21488</v>
      </c>
      <c r="W4018" t="s">
        <v>21486</v>
      </c>
      <c r="X4018" t="s">
        <v>244</v>
      </c>
      <c r="Y4018" t="s">
        <v>178</v>
      </c>
      <c r="Z4018" t="s">
        <v>77</v>
      </c>
      <c r="AA4018" t="str">
        <f>"11021-5310"</f>
        <v>11021-5310</v>
      </c>
      <c r="AB4018" t="s">
        <v>78</v>
      </c>
      <c r="AC4018" t="s">
        <v>79</v>
      </c>
      <c r="AD4018" t="s">
        <v>75</v>
      </c>
      <c r="AE4018" t="s">
        <v>80</v>
      </c>
      <c r="AG4018" t="s">
        <v>81</v>
      </c>
    </row>
    <row r="4019" spans="1:33" x14ac:dyDescent="0.25">
      <c r="A4019" t="str">
        <f>"1346314697"</f>
        <v>1346314697</v>
      </c>
      <c r="B4019" t="str">
        <f>"01720236"</f>
        <v>01720236</v>
      </c>
      <c r="C4019" t="s">
        <v>13436</v>
      </c>
      <c r="D4019" t="s">
        <v>21489</v>
      </c>
      <c r="E4019" t="s">
        <v>21490</v>
      </c>
      <c r="G4019" t="s">
        <v>21491</v>
      </c>
      <c r="L4019" t="s">
        <v>83</v>
      </c>
      <c r="M4019" t="s">
        <v>85</v>
      </c>
      <c r="R4019" t="s">
        <v>21492</v>
      </c>
      <c r="W4019" t="s">
        <v>21490</v>
      </c>
      <c r="X4019" t="s">
        <v>625</v>
      </c>
      <c r="Y4019" t="s">
        <v>131</v>
      </c>
      <c r="Z4019" t="s">
        <v>77</v>
      </c>
      <c r="AA4019" t="str">
        <f>"10457-7697"</f>
        <v>10457-7697</v>
      </c>
      <c r="AB4019" t="s">
        <v>78</v>
      </c>
      <c r="AC4019" t="s">
        <v>79</v>
      </c>
      <c r="AD4019" t="s">
        <v>75</v>
      </c>
      <c r="AE4019" t="s">
        <v>80</v>
      </c>
      <c r="AG4019" t="s">
        <v>81</v>
      </c>
    </row>
    <row r="4020" spans="1:33" x14ac:dyDescent="0.25">
      <c r="A4020" t="str">
        <f>"1346375284"</f>
        <v>1346375284</v>
      </c>
      <c r="B4020" t="str">
        <f>"00835378"</f>
        <v>00835378</v>
      </c>
      <c r="C4020" t="s">
        <v>13436</v>
      </c>
      <c r="D4020" t="s">
        <v>21493</v>
      </c>
      <c r="E4020" t="s">
        <v>21494</v>
      </c>
      <c r="G4020" t="s">
        <v>21495</v>
      </c>
      <c r="L4020" t="s">
        <v>94</v>
      </c>
      <c r="M4020" t="s">
        <v>85</v>
      </c>
      <c r="R4020" t="s">
        <v>21496</v>
      </c>
      <c r="W4020" t="s">
        <v>21494</v>
      </c>
      <c r="X4020" t="s">
        <v>1107</v>
      </c>
      <c r="Y4020" t="s">
        <v>97</v>
      </c>
      <c r="Z4020" t="s">
        <v>77</v>
      </c>
      <c r="AA4020" t="str">
        <f>"10011-4612"</f>
        <v>10011-4612</v>
      </c>
      <c r="AB4020" t="s">
        <v>78</v>
      </c>
      <c r="AC4020" t="s">
        <v>79</v>
      </c>
      <c r="AD4020" t="s">
        <v>75</v>
      </c>
      <c r="AE4020" t="s">
        <v>80</v>
      </c>
      <c r="AG4020" t="s">
        <v>81</v>
      </c>
    </row>
    <row r="4021" spans="1:33" x14ac:dyDescent="0.25">
      <c r="A4021" t="str">
        <f>"1346398690"</f>
        <v>1346398690</v>
      </c>
      <c r="B4021" t="str">
        <f>"03019330"</f>
        <v>03019330</v>
      </c>
      <c r="C4021" t="s">
        <v>13436</v>
      </c>
      <c r="D4021" t="s">
        <v>21497</v>
      </c>
      <c r="E4021" t="s">
        <v>21498</v>
      </c>
      <c r="G4021" t="s">
        <v>21499</v>
      </c>
      <c r="L4021" t="s">
        <v>83</v>
      </c>
      <c r="M4021" t="s">
        <v>85</v>
      </c>
      <c r="R4021" t="s">
        <v>21498</v>
      </c>
      <c r="W4021" t="s">
        <v>21500</v>
      </c>
      <c r="X4021" t="s">
        <v>306</v>
      </c>
      <c r="Y4021" t="s">
        <v>97</v>
      </c>
      <c r="Z4021" t="s">
        <v>77</v>
      </c>
      <c r="AA4021" t="str">
        <f>"10003-4201"</f>
        <v>10003-4201</v>
      </c>
      <c r="AB4021" t="s">
        <v>78</v>
      </c>
      <c r="AC4021" t="s">
        <v>79</v>
      </c>
      <c r="AD4021" t="s">
        <v>75</v>
      </c>
      <c r="AE4021" t="s">
        <v>80</v>
      </c>
      <c r="AG4021" t="s">
        <v>81</v>
      </c>
    </row>
    <row r="4022" spans="1:33" x14ac:dyDescent="0.25">
      <c r="A4022" t="str">
        <f>"1346435450"</f>
        <v>1346435450</v>
      </c>
      <c r="B4022" t="str">
        <f>"01202859"</f>
        <v>01202859</v>
      </c>
      <c r="C4022" t="s">
        <v>13436</v>
      </c>
      <c r="D4022" t="s">
        <v>21501</v>
      </c>
      <c r="E4022" t="s">
        <v>21502</v>
      </c>
      <c r="G4022" t="s">
        <v>21503</v>
      </c>
      <c r="L4022" t="s">
        <v>83</v>
      </c>
      <c r="M4022" t="s">
        <v>85</v>
      </c>
      <c r="R4022" t="s">
        <v>21504</v>
      </c>
      <c r="W4022" t="s">
        <v>21502</v>
      </c>
      <c r="X4022" t="s">
        <v>21505</v>
      </c>
      <c r="Y4022" t="s">
        <v>97</v>
      </c>
      <c r="Z4022" t="s">
        <v>77</v>
      </c>
      <c r="AA4022" t="str">
        <f>"10025-0000"</f>
        <v>10025-0000</v>
      </c>
      <c r="AB4022" t="s">
        <v>78</v>
      </c>
      <c r="AC4022" t="s">
        <v>79</v>
      </c>
      <c r="AD4022" t="s">
        <v>75</v>
      </c>
      <c r="AE4022" t="s">
        <v>80</v>
      </c>
      <c r="AG4022" t="s">
        <v>81</v>
      </c>
    </row>
    <row r="4023" spans="1:33" x14ac:dyDescent="0.25">
      <c r="A4023" t="str">
        <f>"1144417635"</f>
        <v>1144417635</v>
      </c>
      <c r="B4023" t="str">
        <f>"03033630"</f>
        <v>03033630</v>
      </c>
      <c r="C4023" t="s">
        <v>21506</v>
      </c>
      <c r="D4023" t="s">
        <v>21507</v>
      </c>
      <c r="E4023" t="s">
        <v>21508</v>
      </c>
      <c r="G4023" t="s">
        <v>21506</v>
      </c>
      <c r="H4023" t="s">
        <v>21509</v>
      </c>
      <c r="J4023" t="s">
        <v>21510</v>
      </c>
      <c r="L4023" t="s">
        <v>74</v>
      </c>
      <c r="M4023" t="s">
        <v>75</v>
      </c>
      <c r="R4023" t="s">
        <v>21511</v>
      </c>
      <c r="W4023" t="s">
        <v>21512</v>
      </c>
      <c r="X4023" t="s">
        <v>21513</v>
      </c>
      <c r="Y4023" t="s">
        <v>97</v>
      </c>
      <c r="Z4023" t="s">
        <v>77</v>
      </c>
      <c r="AA4023" t="str">
        <f>"10032-3729"</f>
        <v>10032-3729</v>
      </c>
      <c r="AB4023" t="s">
        <v>78</v>
      </c>
      <c r="AC4023" t="s">
        <v>79</v>
      </c>
      <c r="AD4023" t="s">
        <v>75</v>
      </c>
      <c r="AE4023" t="s">
        <v>80</v>
      </c>
      <c r="AG4023" t="s">
        <v>81</v>
      </c>
    </row>
    <row r="4024" spans="1:33" x14ac:dyDescent="0.25">
      <c r="A4024" t="str">
        <f>"1013970102"</f>
        <v>1013970102</v>
      </c>
      <c r="B4024" t="str">
        <f>"03546370"</f>
        <v>03546370</v>
      </c>
      <c r="C4024" t="s">
        <v>21514</v>
      </c>
      <c r="D4024" t="s">
        <v>915</v>
      </c>
      <c r="E4024" t="s">
        <v>916</v>
      </c>
      <c r="G4024" t="s">
        <v>13504</v>
      </c>
      <c r="H4024" t="s">
        <v>13505</v>
      </c>
      <c r="J4024" t="s">
        <v>13506</v>
      </c>
      <c r="L4024" t="s">
        <v>84</v>
      </c>
      <c r="M4024" t="s">
        <v>75</v>
      </c>
      <c r="R4024" t="s">
        <v>914</v>
      </c>
      <c r="W4024" t="s">
        <v>916</v>
      </c>
      <c r="X4024" t="s">
        <v>918</v>
      </c>
      <c r="Y4024" t="s">
        <v>227</v>
      </c>
      <c r="Z4024" t="s">
        <v>77</v>
      </c>
      <c r="AA4024" t="str">
        <f>"10512-1301"</f>
        <v>10512-1301</v>
      </c>
      <c r="AB4024" t="s">
        <v>78</v>
      </c>
      <c r="AC4024" t="s">
        <v>79</v>
      </c>
      <c r="AD4024" t="s">
        <v>75</v>
      </c>
      <c r="AE4024" t="s">
        <v>80</v>
      </c>
      <c r="AG4024" t="s">
        <v>81</v>
      </c>
    </row>
    <row r="4025" spans="1:33" x14ac:dyDescent="0.25">
      <c r="A4025" t="str">
        <f>"1679640650"</f>
        <v>1679640650</v>
      </c>
      <c r="B4025" t="str">
        <f>"00228735"</f>
        <v>00228735</v>
      </c>
      <c r="C4025" t="s">
        <v>21515</v>
      </c>
      <c r="D4025" t="s">
        <v>21516</v>
      </c>
      <c r="E4025" t="s">
        <v>21517</v>
      </c>
      <c r="G4025" t="s">
        <v>13504</v>
      </c>
      <c r="H4025" t="s">
        <v>13505</v>
      </c>
      <c r="J4025" t="s">
        <v>13506</v>
      </c>
      <c r="L4025" t="s">
        <v>84</v>
      </c>
      <c r="M4025" t="s">
        <v>85</v>
      </c>
      <c r="R4025" t="s">
        <v>21518</v>
      </c>
      <c r="W4025" t="s">
        <v>21517</v>
      </c>
      <c r="X4025" t="s">
        <v>21519</v>
      </c>
      <c r="Y4025" t="s">
        <v>87</v>
      </c>
      <c r="Z4025" t="s">
        <v>77</v>
      </c>
      <c r="AA4025" t="str">
        <f>"11236-3726"</f>
        <v>11236-3726</v>
      </c>
      <c r="AB4025" t="s">
        <v>78</v>
      </c>
      <c r="AC4025" t="s">
        <v>79</v>
      </c>
      <c r="AD4025" t="s">
        <v>75</v>
      </c>
      <c r="AE4025" t="s">
        <v>80</v>
      </c>
      <c r="AG4025" t="s">
        <v>81</v>
      </c>
    </row>
    <row r="4026" spans="1:33" x14ac:dyDescent="0.25">
      <c r="A4026" t="str">
        <f>"1275695298"</f>
        <v>1275695298</v>
      </c>
      <c r="B4026" t="str">
        <f>"00822019"</f>
        <v>00822019</v>
      </c>
      <c r="C4026" t="s">
        <v>21520</v>
      </c>
      <c r="D4026" t="s">
        <v>5643</v>
      </c>
      <c r="E4026" t="s">
        <v>5644</v>
      </c>
      <c r="G4026" t="s">
        <v>13504</v>
      </c>
      <c r="H4026" t="s">
        <v>13505</v>
      </c>
      <c r="J4026" t="s">
        <v>13506</v>
      </c>
      <c r="L4026" t="s">
        <v>83</v>
      </c>
      <c r="M4026" t="s">
        <v>85</v>
      </c>
      <c r="R4026" t="s">
        <v>5645</v>
      </c>
      <c r="W4026" t="s">
        <v>5644</v>
      </c>
      <c r="X4026" t="s">
        <v>258</v>
      </c>
      <c r="Y4026" t="s">
        <v>131</v>
      </c>
      <c r="Z4026" t="s">
        <v>77</v>
      </c>
      <c r="AA4026" t="str">
        <f>"10467-2401"</f>
        <v>10467-2401</v>
      </c>
      <c r="AB4026" t="s">
        <v>78</v>
      </c>
      <c r="AC4026" t="s">
        <v>79</v>
      </c>
      <c r="AD4026" t="s">
        <v>75</v>
      </c>
      <c r="AE4026" t="s">
        <v>80</v>
      </c>
      <c r="AG4026" t="s">
        <v>81</v>
      </c>
    </row>
    <row r="4027" spans="1:33" x14ac:dyDescent="0.25">
      <c r="A4027" t="str">
        <f>"1144336116"</f>
        <v>1144336116</v>
      </c>
      <c r="B4027" t="str">
        <f>"00350110"</f>
        <v>00350110</v>
      </c>
      <c r="C4027" t="s">
        <v>21521</v>
      </c>
      <c r="D4027" t="s">
        <v>21522</v>
      </c>
      <c r="E4027" t="s">
        <v>21523</v>
      </c>
      <c r="G4027" t="s">
        <v>13504</v>
      </c>
      <c r="H4027" t="s">
        <v>13505</v>
      </c>
      <c r="J4027" t="s">
        <v>13506</v>
      </c>
      <c r="L4027" t="s">
        <v>84</v>
      </c>
      <c r="M4027" t="s">
        <v>85</v>
      </c>
      <c r="R4027" t="s">
        <v>21524</v>
      </c>
      <c r="W4027" t="s">
        <v>21523</v>
      </c>
      <c r="X4027" t="s">
        <v>4552</v>
      </c>
      <c r="Y4027" t="s">
        <v>87</v>
      </c>
      <c r="Z4027" t="s">
        <v>77</v>
      </c>
      <c r="AA4027" t="str">
        <f>"11238-4266"</f>
        <v>11238-4266</v>
      </c>
      <c r="AB4027" t="s">
        <v>78</v>
      </c>
      <c r="AC4027" t="s">
        <v>79</v>
      </c>
      <c r="AD4027" t="s">
        <v>75</v>
      </c>
      <c r="AE4027" t="s">
        <v>80</v>
      </c>
      <c r="AG4027" t="s">
        <v>81</v>
      </c>
    </row>
    <row r="4028" spans="1:33" x14ac:dyDescent="0.25">
      <c r="A4028" t="str">
        <f>"1508898289"</f>
        <v>1508898289</v>
      </c>
      <c r="B4028" t="str">
        <f>"00900587"</f>
        <v>00900587</v>
      </c>
      <c r="C4028" t="s">
        <v>21525</v>
      </c>
      <c r="D4028" t="s">
        <v>1697</v>
      </c>
      <c r="E4028" t="s">
        <v>1698</v>
      </c>
      <c r="G4028" t="s">
        <v>13504</v>
      </c>
      <c r="H4028" t="s">
        <v>13505</v>
      </c>
      <c r="J4028" t="s">
        <v>13506</v>
      </c>
      <c r="L4028" t="s">
        <v>84</v>
      </c>
      <c r="M4028" t="s">
        <v>75</v>
      </c>
      <c r="R4028" t="s">
        <v>1696</v>
      </c>
      <c r="W4028" t="s">
        <v>1698</v>
      </c>
      <c r="X4028" t="s">
        <v>1699</v>
      </c>
      <c r="Y4028" t="s">
        <v>205</v>
      </c>
      <c r="Z4028" t="s">
        <v>77</v>
      </c>
      <c r="AA4028" t="str">
        <f>"10977-4350"</f>
        <v>10977-4350</v>
      </c>
      <c r="AB4028" t="s">
        <v>78</v>
      </c>
      <c r="AC4028" t="s">
        <v>79</v>
      </c>
      <c r="AD4028" t="s">
        <v>75</v>
      </c>
      <c r="AE4028" t="s">
        <v>80</v>
      </c>
      <c r="AG4028" t="s">
        <v>81</v>
      </c>
    </row>
    <row r="4029" spans="1:33" x14ac:dyDescent="0.25">
      <c r="A4029" t="str">
        <f>"1710915582"</f>
        <v>1710915582</v>
      </c>
      <c r="B4029" t="str">
        <f>"01839298"</f>
        <v>01839298</v>
      </c>
      <c r="C4029" t="s">
        <v>21526</v>
      </c>
      <c r="D4029" t="s">
        <v>21527</v>
      </c>
      <c r="E4029" t="s">
        <v>21528</v>
      </c>
      <c r="G4029" t="s">
        <v>13504</v>
      </c>
      <c r="H4029" t="s">
        <v>13505</v>
      </c>
      <c r="J4029" t="s">
        <v>13506</v>
      </c>
      <c r="L4029" t="s">
        <v>84</v>
      </c>
      <c r="M4029" t="s">
        <v>75</v>
      </c>
      <c r="R4029" t="s">
        <v>21529</v>
      </c>
      <c r="W4029" t="s">
        <v>21528</v>
      </c>
      <c r="X4029" t="s">
        <v>15526</v>
      </c>
      <c r="Y4029" t="s">
        <v>87</v>
      </c>
      <c r="Z4029" t="s">
        <v>77</v>
      </c>
      <c r="AA4029" t="str">
        <f>"11218-2710"</f>
        <v>11218-2710</v>
      </c>
      <c r="AB4029" t="s">
        <v>78</v>
      </c>
      <c r="AC4029" t="s">
        <v>79</v>
      </c>
      <c r="AD4029" t="s">
        <v>75</v>
      </c>
      <c r="AE4029" t="s">
        <v>80</v>
      </c>
      <c r="AG4029" t="s">
        <v>81</v>
      </c>
    </row>
    <row r="4030" spans="1:33" x14ac:dyDescent="0.25">
      <c r="A4030" t="str">
        <f>"1134182918"</f>
        <v>1134182918</v>
      </c>
      <c r="B4030" t="str">
        <f>"00953195"</f>
        <v>00953195</v>
      </c>
      <c r="C4030" t="s">
        <v>21530</v>
      </c>
      <c r="D4030" t="s">
        <v>21531</v>
      </c>
      <c r="E4030" t="s">
        <v>21532</v>
      </c>
      <c r="G4030" t="s">
        <v>13504</v>
      </c>
      <c r="H4030" t="s">
        <v>13505</v>
      </c>
      <c r="J4030" t="s">
        <v>13506</v>
      </c>
      <c r="L4030" t="s">
        <v>84</v>
      </c>
      <c r="M4030" t="s">
        <v>85</v>
      </c>
      <c r="R4030" t="s">
        <v>21533</v>
      </c>
      <c r="W4030" t="s">
        <v>21532</v>
      </c>
      <c r="X4030" t="s">
        <v>21534</v>
      </c>
      <c r="Y4030" t="s">
        <v>87</v>
      </c>
      <c r="Z4030" t="s">
        <v>77</v>
      </c>
      <c r="AA4030" t="str">
        <f>"11225-1604"</f>
        <v>11225-1604</v>
      </c>
      <c r="AB4030" t="s">
        <v>78</v>
      </c>
      <c r="AC4030" t="s">
        <v>79</v>
      </c>
      <c r="AD4030" t="s">
        <v>75</v>
      </c>
      <c r="AE4030" t="s">
        <v>80</v>
      </c>
      <c r="AG4030" t="s">
        <v>81</v>
      </c>
    </row>
    <row r="4031" spans="1:33" x14ac:dyDescent="0.25">
      <c r="A4031" t="str">
        <f>"1215195896"</f>
        <v>1215195896</v>
      </c>
      <c r="B4031" t="str">
        <f>"03031138"</f>
        <v>03031138</v>
      </c>
      <c r="C4031" t="s">
        <v>13436</v>
      </c>
      <c r="D4031" t="s">
        <v>21535</v>
      </c>
      <c r="E4031" t="s">
        <v>21536</v>
      </c>
      <c r="G4031" t="s">
        <v>21537</v>
      </c>
      <c r="L4031" t="s">
        <v>74</v>
      </c>
      <c r="M4031" t="s">
        <v>85</v>
      </c>
      <c r="R4031" t="s">
        <v>21538</v>
      </c>
      <c r="W4031" t="s">
        <v>21539</v>
      </c>
      <c r="X4031" t="s">
        <v>3553</v>
      </c>
      <c r="Y4031" t="s">
        <v>97</v>
      </c>
      <c r="Z4031" t="s">
        <v>77</v>
      </c>
      <c r="AA4031" t="str">
        <f>"10003-3851"</f>
        <v>10003-3851</v>
      </c>
      <c r="AB4031" t="s">
        <v>78</v>
      </c>
      <c r="AC4031" t="s">
        <v>79</v>
      </c>
      <c r="AD4031" t="s">
        <v>75</v>
      </c>
      <c r="AE4031" t="s">
        <v>80</v>
      </c>
      <c r="AG4031" t="s">
        <v>81</v>
      </c>
    </row>
    <row r="4032" spans="1:33" x14ac:dyDescent="0.25">
      <c r="A4032" t="str">
        <f>"1174809594"</f>
        <v>1174809594</v>
      </c>
      <c r="B4032" t="str">
        <f>"03879123"</f>
        <v>03879123</v>
      </c>
      <c r="C4032" t="s">
        <v>13436</v>
      </c>
      <c r="D4032" t="s">
        <v>4857</v>
      </c>
      <c r="E4032" t="s">
        <v>4858</v>
      </c>
      <c r="G4032" t="s">
        <v>21540</v>
      </c>
      <c r="L4032" t="s">
        <v>74</v>
      </c>
      <c r="M4032" t="s">
        <v>85</v>
      </c>
      <c r="R4032" t="s">
        <v>4859</v>
      </c>
      <c r="W4032" t="s">
        <v>4860</v>
      </c>
      <c r="X4032" t="s">
        <v>258</v>
      </c>
      <c r="Y4032" t="s">
        <v>131</v>
      </c>
      <c r="Z4032" t="s">
        <v>77</v>
      </c>
      <c r="AA4032" t="str">
        <f>"10467-2401"</f>
        <v>10467-2401</v>
      </c>
      <c r="AB4032" t="s">
        <v>78</v>
      </c>
      <c r="AC4032" t="s">
        <v>79</v>
      </c>
      <c r="AD4032" t="s">
        <v>75</v>
      </c>
      <c r="AE4032" t="s">
        <v>80</v>
      </c>
      <c r="AG4032" t="s">
        <v>81</v>
      </c>
    </row>
    <row r="4033" spans="1:33" x14ac:dyDescent="0.25">
      <c r="A4033" t="str">
        <f>"1174836811"</f>
        <v>1174836811</v>
      </c>
      <c r="B4033" t="str">
        <f>"03686913"</f>
        <v>03686913</v>
      </c>
      <c r="C4033" t="s">
        <v>13436</v>
      </c>
      <c r="D4033" t="s">
        <v>21541</v>
      </c>
      <c r="E4033" t="s">
        <v>21542</v>
      </c>
      <c r="G4033" t="s">
        <v>21543</v>
      </c>
      <c r="L4033" t="s">
        <v>143</v>
      </c>
      <c r="M4033" t="s">
        <v>85</v>
      </c>
      <c r="R4033" t="s">
        <v>21542</v>
      </c>
      <c r="W4033" t="s">
        <v>21542</v>
      </c>
      <c r="X4033" t="s">
        <v>181</v>
      </c>
      <c r="Y4033" t="s">
        <v>97</v>
      </c>
      <c r="Z4033" t="s">
        <v>77</v>
      </c>
      <c r="AA4033" t="str">
        <f>"10025-1716"</f>
        <v>10025-1716</v>
      </c>
      <c r="AB4033" t="s">
        <v>78</v>
      </c>
      <c r="AC4033" t="s">
        <v>79</v>
      </c>
      <c r="AD4033" t="s">
        <v>75</v>
      </c>
      <c r="AE4033" t="s">
        <v>80</v>
      </c>
      <c r="AG4033" t="s">
        <v>81</v>
      </c>
    </row>
    <row r="4034" spans="1:33" x14ac:dyDescent="0.25">
      <c r="A4034" t="str">
        <f>"1174964126"</f>
        <v>1174964126</v>
      </c>
      <c r="B4034" t="str">
        <f>"03924738"</f>
        <v>03924738</v>
      </c>
      <c r="C4034" t="s">
        <v>13436</v>
      </c>
      <c r="D4034" t="s">
        <v>21544</v>
      </c>
      <c r="E4034" t="s">
        <v>21545</v>
      </c>
      <c r="G4034" t="s">
        <v>21546</v>
      </c>
      <c r="L4034" t="s">
        <v>74</v>
      </c>
      <c r="M4034" t="s">
        <v>85</v>
      </c>
      <c r="R4034" t="s">
        <v>21547</v>
      </c>
      <c r="W4034" t="s">
        <v>21545</v>
      </c>
      <c r="X4034" t="s">
        <v>3433</v>
      </c>
      <c r="Y4034" t="s">
        <v>97</v>
      </c>
      <c r="Z4034" t="s">
        <v>77</v>
      </c>
      <c r="AA4034" t="str">
        <f>"10003-3805"</f>
        <v>10003-3805</v>
      </c>
      <c r="AB4034" t="s">
        <v>78</v>
      </c>
      <c r="AC4034" t="s">
        <v>79</v>
      </c>
      <c r="AD4034" t="s">
        <v>75</v>
      </c>
      <c r="AE4034" t="s">
        <v>80</v>
      </c>
      <c r="AG4034" t="s">
        <v>81</v>
      </c>
    </row>
    <row r="4035" spans="1:33" x14ac:dyDescent="0.25">
      <c r="A4035" t="str">
        <f>"1184787962"</f>
        <v>1184787962</v>
      </c>
      <c r="B4035" t="str">
        <f>"04556878"</f>
        <v>04556878</v>
      </c>
      <c r="C4035" t="s">
        <v>13436</v>
      </c>
      <c r="D4035" t="s">
        <v>21548</v>
      </c>
      <c r="E4035" t="s">
        <v>21549</v>
      </c>
      <c r="G4035" t="s">
        <v>21550</v>
      </c>
      <c r="L4035" t="s">
        <v>74</v>
      </c>
      <c r="M4035" t="s">
        <v>85</v>
      </c>
      <c r="R4035" t="s">
        <v>21549</v>
      </c>
      <c r="W4035" t="s">
        <v>21549</v>
      </c>
      <c r="AB4035" t="s">
        <v>114</v>
      </c>
      <c r="AC4035" t="s">
        <v>79</v>
      </c>
      <c r="AD4035" t="s">
        <v>75</v>
      </c>
      <c r="AE4035" t="s">
        <v>80</v>
      </c>
      <c r="AG4035" t="s">
        <v>81</v>
      </c>
    </row>
    <row r="4036" spans="1:33" x14ac:dyDescent="0.25">
      <c r="A4036" t="str">
        <f>"1659704336"</f>
        <v>1659704336</v>
      </c>
      <c r="C4036" t="s">
        <v>21551</v>
      </c>
      <c r="G4036" t="s">
        <v>7218</v>
      </c>
      <c r="H4036" t="s">
        <v>6801</v>
      </c>
      <c r="I4036">
        <v>6136</v>
      </c>
      <c r="J4036" t="s">
        <v>7219</v>
      </c>
      <c r="K4036" t="s">
        <v>99</v>
      </c>
      <c r="L4036" t="s">
        <v>102</v>
      </c>
      <c r="M4036" t="s">
        <v>75</v>
      </c>
      <c r="R4036" t="s">
        <v>21552</v>
      </c>
      <c r="S4036" t="s">
        <v>15477</v>
      </c>
      <c r="T4036" t="s">
        <v>97</v>
      </c>
      <c r="U4036" t="s">
        <v>77</v>
      </c>
      <c r="V4036" t="str">
        <f>"10001"</f>
        <v>10001</v>
      </c>
      <c r="AC4036" t="s">
        <v>79</v>
      </c>
      <c r="AD4036" t="s">
        <v>75</v>
      </c>
      <c r="AE4036" t="s">
        <v>103</v>
      </c>
      <c r="AG4036" t="s">
        <v>81</v>
      </c>
    </row>
    <row r="4037" spans="1:33" x14ac:dyDescent="0.25">
      <c r="A4037" t="str">
        <f>"1578513214"</f>
        <v>1578513214</v>
      </c>
      <c r="B4037" t="str">
        <f>"02589191"</f>
        <v>02589191</v>
      </c>
      <c r="C4037" t="s">
        <v>21553</v>
      </c>
      <c r="D4037" t="s">
        <v>2217</v>
      </c>
      <c r="E4037" t="s">
        <v>2218</v>
      </c>
      <c r="H4037" t="s">
        <v>21554</v>
      </c>
      <c r="J4037" t="s">
        <v>21555</v>
      </c>
      <c r="L4037" t="s">
        <v>83</v>
      </c>
      <c r="M4037" t="s">
        <v>75</v>
      </c>
      <c r="R4037" t="s">
        <v>2216</v>
      </c>
      <c r="W4037" t="s">
        <v>2216</v>
      </c>
      <c r="X4037" t="s">
        <v>162</v>
      </c>
      <c r="Y4037" t="s">
        <v>87</v>
      </c>
      <c r="Z4037" t="s">
        <v>77</v>
      </c>
      <c r="AA4037" t="str">
        <f>"11215-3609"</f>
        <v>11215-3609</v>
      </c>
      <c r="AB4037" t="s">
        <v>78</v>
      </c>
      <c r="AC4037" t="s">
        <v>79</v>
      </c>
      <c r="AD4037" t="s">
        <v>75</v>
      </c>
      <c r="AE4037" t="s">
        <v>80</v>
      </c>
      <c r="AG4037" t="s">
        <v>81</v>
      </c>
    </row>
    <row r="4038" spans="1:33" x14ac:dyDescent="0.25">
      <c r="A4038" t="str">
        <f>"1265771406"</f>
        <v>1265771406</v>
      </c>
      <c r="B4038" t="str">
        <f>"03934301"</f>
        <v>03934301</v>
      </c>
      <c r="C4038" t="s">
        <v>21556</v>
      </c>
      <c r="D4038" t="s">
        <v>2231</v>
      </c>
      <c r="E4038" t="s">
        <v>2232</v>
      </c>
      <c r="H4038" t="s">
        <v>21557</v>
      </c>
      <c r="J4038" t="s">
        <v>21558</v>
      </c>
      <c r="L4038" t="s">
        <v>102</v>
      </c>
      <c r="M4038" t="s">
        <v>75</v>
      </c>
      <c r="R4038" t="s">
        <v>2230</v>
      </c>
      <c r="W4038" t="s">
        <v>2232</v>
      </c>
      <c r="X4038" t="s">
        <v>2177</v>
      </c>
      <c r="Y4038" t="s">
        <v>97</v>
      </c>
      <c r="Z4038" t="s">
        <v>77</v>
      </c>
      <c r="AA4038" t="str">
        <f>"10119-0206"</f>
        <v>10119-0206</v>
      </c>
      <c r="AB4038" t="s">
        <v>78</v>
      </c>
      <c r="AC4038" t="s">
        <v>79</v>
      </c>
      <c r="AD4038" t="s">
        <v>75</v>
      </c>
      <c r="AE4038" t="s">
        <v>80</v>
      </c>
      <c r="AG4038" t="s">
        <v>81</v>
      </c>
    </row>
    <row r="4039" spans="1:33" x14ac:dyDescent="0.25">
      <c r="A4039" t="str">
        <f>"1801008099"</f>
        <v>1801008099</v>
      </c>
      <c r="B4039" t="str">
        <f>"02903359"</f>
        <v>02903359</v>
      </c>
      <c r="C4039" t="s">
        <v>21559</v>
      </c>
      <c r="D4039" t="s">
        <v>21560</v>
      </c>
      <c r="E4039" t="s">
        <v>21561</v>
      </c>
      <c r="G4039" t="s">
        <v>13504</v>
      </c>
      <c r="H4039" t="s">
        <v>13505</v>
      </c>
      <c r="J4039" t="s">
        <v>13506</v>
      </c>
      <c r="L4039" t="s">
        <v>84</v>
      </c>
      <c r="M4039" t="s">
        <v>85</v>
      </c>
      <c r="R4039" t="s">
        <v>21562</v>
      </c>
      <c r="W4039" t="s">
        <v>21563</v>
      </c>
      <c r="X4039" t="s">
        <v>202</v>
      </c>
      <c r="Y4039" t="s">
        <v>87</v>
      </c>
      <c r="Z4039" t="s">
        <v>77</v>
      </c>
      <c r="AA4039" t="str">
        <f>"11201-5425"</f>
        <v>11201-5425</v>
      </c>
      <c r="AB4039" t="s">
        <v>78</v>
      </c>
      <c r="AC4039" t="s">
        <v>79</v>
      </c>
      <c r="AD4039" t="s">
        <v>75</v>
      </c>
      <c r="AE4039" t="s">
        <v>80</v>
      </c>
      <c r="AG4039" t="s">
        <v>81</v>
      </c>
    </row>
    <row r="4040" spans="1:33" x14ac:dyDescent="0.25">
      <c r="A4040" t="str">
        <f>"1003198086"</f>
        <v>1003198086</v>
      </c>
      <c r="C4040" t="s">
        <v>13436</v>
      </c>
      <c r="K4040" t="s">
        <v>99</v>
      </c>
      <c r="L4040" t="s">
        <v>102</v>
      </c>
      <c r="M4040" t="s">
        <v>75</v>
      </c>
      <c r="R4040" t="s">
        <v>21564</v>
      </c>
      <c r="S4040" t="s">
        <v>21565</v>
      </c>
      <c r="T4040" t="s">
        <v>4487</v>
      </c>
      <c r="U4040" t="s">
        <v>351</v>
      </c>
      <c r="V4040" t="str">
        <f>"331361096"</f>
        <v>331361096</v>
      </c>
      <c r="AC4040" t="s">
        <v>79</v>
      </c>
      <c r="AD4040" t="s">
        <v>75</v>
      </c>
      <c r="AE4040" t="s">
        <v>103</v>
      </c>
      <c r="AG4040" t="s">
        <v>81</v>
      </c>
    </row>
    <row r="4041" spans="1:33" x14ac:dyDescent="0.25">
      <c r="A4041" t="str">
        <f>"1104182518"</f>
        <v>1104182518</v>
      </c>
      <c r="B4041" t="str">
        <f>"03652577"</f>
        <v>03652577</v>
      </c>
      <c r="C4041" t="s">
        <v>13436</v>
      </c>
      <c r="D4041" t="s">
        <v>21566</v>
      </c>
      <c r="E4041" t="s">
        <v>21567</v>
      </c>
      <c r="G4041" t="s">
        <v>21568</v>
      </c>
      <c r="L4041" t="s">
        <v>83</v>
      </c>
      <c r="M4041" t="s">
        <v>85</v>
      </c>
      <c r="R4041" t="s">
        <v>21569</v>
      </c>
      <c r="W4041" t="s">
        <v>21567</v>
      </c>
      <c r="X4041" t="s">
        <v>21570</v>
      </c>
      <c r="Y4041" t="s">
        <v>97</v>
      </c>
      <c r="Z4041" t="s">
        <v>77</v>
      </c>
      <c r="AA4041" t="str">
        <f>"10003-0000"</f>
        <v>10003-0000</v>
      </c>
      <c r="AB4041" t="s">
        <v>78</v>
      </c>
      <c r="AC4041" t="s">
        <v>79</v>
      </c>
      <c r="AD4041" t="s">
        <v>75</v>
      </c>
      <c r="AE4041" t="s">
        <v>80</v>
      </c>
      <c r="AG4041" t="s">
        <v>81</v>
      </c>
    </row>
    <row r="4042" spans="1:33" x14ac:dyDescent="0.25">
      <c r="C4042" t="s">
        <v>21571</v>
      </c>
      <c r="G4042" t="s">
        <v>21571</v>
      </c>
      <c r="H4042" t="s">
        <v>5283</v>
      </c>
      <c r="K4042" t="s">
        <v>206</v>
      </c>
      <c r="L4042" t="s">
        <v>100</v>
      </c>
      <c r="M4042" t="s">
        <v>75</v>
      </c>
      <c r="N4042" t="s">
        <v>21572</v>
      </c>
      <c r="O4042" t="s">
        <v>18281</v>
      </c>
      <c r="P4042" t="s">
        <v>77</v>
      </c>
      <c r="Q4042" t="str">
        <f>"11743"</f>
        <v>11743</v>
      </c>
      <c r="AC4042" t="s">
        <v>79</v>
      </c>
      <c r="AD4042" t="s">
        <v>75</v>
      </c>
      <c r="AE4042" t="s">
        <v>101</v>
      </c>
      <c r="AG4042" t="s">
        <v>81</v>
      </c>
    </row>
    <row r="4043" spans="1:33" x14ac:dyDescent="0.25">
      <c r="C4043" t="s">
        <v>21573</v>
      </c>
      <c r="G4043" t="s">
        <v>21573</v>
      </c>
      <c r="H4043" t="s">
        <v>5161</v>
      </c>
      <c r="K4043" t="s">
        <v>206</v>
      </c>
      <c r="L4043" t="s">
        <v>100</v>
      </c>
      <c r="M4043" t="s">
        <v>75</v>
      </c>
      <c r="N4043" t="s">
        <v>21574</v>
      </c>
      <c r="O4043" t="s">
        <v>18281</v>
      </c>
      <c r="P4043" t="s">
        <v>77</v>
      </c>
      <c r="Q4043" t="str">
        <f>"11743"</f>
        <v>11743</v>
      </c>
      <c r="AC4043" t="s">
        <v>79</v>
      </c>
      <c r="AD4043" t="s">
        <v>75</v>
      </c>
      <c r="AE4043" t="s">
        <v>101</v>
      </c>
      <c r="AG4043" t="s">
        <v>81</v>
      </c>
    </row>
    <row r="4044" spans="1:33" x14ac:dyDescent="0.25">
      <c r="C4044" t="s">
        <v>21575</v>
      </c>
      <c r="G4044" t="s">
        <v>21575</v>
      </c>
      <c r="H4044" t="s">
        <v>5163</v>
      </c>
      <c r="K4044" t="s">
        <v>206</v>
      </c>
      <c r="L4044" t="s">
        <v>100</v>
      </c>
      <c r="M4044" t="s">
        <v>75</v>
      </c>
      <c r="N4044" t="s">
        <v>21576</v>
      </c>
      <c r="O4044" t="s">
        <v>18281</v>
      </c>
      <c r="P4044" t="s">
        <v>77</v>
      </c>
      <c r="Q4044" t="str">
        <f>"11743"</f>
        <v>11743</v>
      </c>
      <c r="AC4044" t="s">
        <v>79</v>
      </c>
      <c r="AD4044" t="s">
        <v>75</v>
      </c>
      <c r="AE4044" t="s">
        <v>101</v>
      </c>
      <c r="AG4044" t="s">
        <v>81</v>
      </c>
    </row>
    <row r="4045" spans="1:33" x14ac:dyDescent="0.25">
      <c r="C4045" t="s">
        <v>21577</v>
      </c>
      <c r="G4045" t="s">
        <v>21577</v>
      </c>
      <c r="H4045" t="s">
        <v>4683</v>
      </c>
      <c r="K4045" t="s">
        <v>206</v>
      </c>
      <c r="L4045" t="s">
        <v>100</v>
      </c>
      <c r="M4045" t="s">
        <v>75</v>
      </c>
      <c r="N4045" t="s">
        <v>21578</v>
      </c>
      <c r="O4045" t="s">
        <v>18281</v>
      </c>
      <c r="P4045" t="s">
        <v>77</v>
      </c>
      <c r="Q4045" t="str">
        <f>"11743"</f>
        <v>11743</v>
      </c>
      <c r="AC4045" t="s">
        <v>79</v>
      </c>
      <c r="AD4045" t="s">
        <v>75</v>
      </c>
      <c r="AE4045" t="s">
        <v>101</v>
      </c>
      <c r="AG4045" t="s">
        <v>81</v>
      </c>
    </row>
    <row r="4046" spans="1:33" x14ac:dyDescent="0.25">
      <c r="C4046" t="s">
        <v>21579</v>
      </c>
      <c r="G4046" t="s">
        <v>21579</v>
      </c>
      <c r="H4046" t="s">
        <v>5132</v>
      </c>
      <c r="K4046" t="s">
        <v>99</v>
      </c>
      <c r="L4046" t="s">
        <v>100</v>
      </c>
      <c r="M4046" t="s">
        <v>75</v>
      </c>
      <c r="N4046" t="s">
        <v>21580</v>
      </c>
      <c r="O4046" t="s">
        <v>18281</v>
      </c>
      <c r="P4046" t="s">
        <v>77</v>
      </c>
      <c r="Q4046" t="str">
        <f>"11743"</f>
        <v>11743</v>
      </c>
      <c r="AC4046" t="s">
        <v>79</v>
      </c>
      <c r="AD4046" t="s">
        <v>75</v>
      </c>
      <c r="AE4046" t="s">
        <v>101</v>
      </c>
      <c r="AG4046" t="s">
        <v>81</v>
      </c>
    </row>
    <row r="4047" spans="1:33" x14ac:dyDescent="0.25">
      <c r="C4047" t="s">
        <v>21581</v>
      </c>
      <c r="G4047" t="s">
        <v>21581</v>
      </c>
      <c r="H4047" t="s">
        <v>4684</v>
      </c>
      <c r="K4047" t="s">
        <v>206</v>
      </c>
      <c r="L4047" t="s">
        <v>100</v>
      </c>
      <c r="M4047" t="s">
        <v>75</v>
      </c>
      <c r="N4047" t="s">
        <v>21582</v>
      </c>
      <c r="O4047" t="s">
        <v>21583</v>
      </c>
      <c r="P4047" t="s">
        <v>77</v>
      </c>
      <c r="Q4047" t="str">
        <f>"11554"</f>
        <v>11554</v>
      </c>
      <c r="AC4047" t="s">
        <v>79</v>
      </c>
      <c r="AD4047" t="s">
        <v>75</v>
      </c>
      <c r="AE4047" t="s">
        <v>101</v>
      </c>
      <c r="AG4047" t="s">
        <v>81</v>
      </c>
    </row>
    <row r="4048" spans="1:33" x14ac:dyDescent="0.25">
      <c r="C4048" t="s">
        <v>21584</v>
      </c>
      <c r="G4048" t="s">
        <v>21584</v>
      </c>
      <c r="H4048" t="s">
        <v>21585</v>
      </c>
      <c r="K4048" t="s">
        <v>206</v>
      </c>
      <c r="L4048" t="s">
        <v>100</v>
      </c>
      <c r="M4048" t="s">
        <v>75</v>
      </c>
      <c r="N4048" t="s">
        <v>21586</v>
      </c>
      <c r="O4048" t="s">
        <v>18281</v>
      </c>
      <c r="P4048" t="s">
        <v>77</v>
      </c>
      <c r="Q4048" t="str">
        <f>"11743"</f>
        <v>11743</v>
      </c>
      <c r="AC4048" t="s">
        <v>79</v>
      </c>
      <c r="AD4048" t="s">
        <v>75</v>
      </c>
      <c r="AE4048" t="s">
        <v>101</v>
      </c>
      <c r="AG4048" t="s">
        <v>81</v>
      </c>
    </row>
    <row r="4049" spans="1:33" x14ac:dyDescent="0.25">
      <c r="C4049" t="s">
        <v>21587</v>
      </c>
      <c r="G4049" t="s">
        <v>21587</v>
      </c>
      <c r="H4049" t="s">
        <v>5131</v>
      </c>
      <c r="K4049" t="s">
        <v>206</v>
      </c>
      <c r="L4049" t="s">
        <v>100</v>
      </c>
      <c r="M4049" t="s">
        <v>75</v>
      </c>
      <c r="N4049" t="s">
        <v>21588</v>
      </c>
      <c r="O4049" t="s">
        <v>18281</v>
      </c>
      <c r="P4049" t="s">
        <v>77</v>
      </c>
      <c r="Q4049" t="str">
        <f>"11743"</f>
        <v>11743</v>
      </c>
      <c r="AC4049" t="s">
        <v>79</v>
      </c>
      <c r="AD4049" t="s">
        <v>75</v>
      </c>
      <c r="AE4049" t="s">
        <v>101</v>
      </c>
      <c r="AG4049" t="s">
        <v>81</v>
      </c>
    </row>
    <row r="4050" spans="1:33" x14ac:dyDescent="0.25">
      <c r="C4050" t="s">
        <v>21589</v>
      </c>
      <c r="G4050" t="s">
        <v>21589</v>
      </c>
      <c r="H4050" t="s">
        <v>5133</v>
      </c>
      <c r="K4050" t="s">
        <v>206</v>
      </c>
      <c r="L4050" t="s">
        <v>100</v>
      </c>
      <c r="M4050" t="s">
        <v>75</v>
      </c>
      <c r="N4050" t="s">
        <v>21590</v>
      </c>
      <c r="O4050" t="s">
        <v>18281</v>
      </c>
      <c r="P4050" t="s">
        <v>77</v>
      </c>
      <c r="Q4050" t="str">
        <f>"11743"</f>
        <v>11743</v>
      </c>
      <c r="AC4050" t="s">
        <v>79</v>
      </c>
      <c r="AD4050" t="s">
        <v>75</v>
      </c>
      <c r="AE4050" t="s">
        <v>101</v>
      </c>
      <c r="AG4050" t="s">
        <v>81</v>
      </c>
    </row>
    <row r="4051" spans="1:33" x14ac:dyDescent="0.25">
      <c r="C4051" t="s">
        <v>21591</v>
      </c>
      <c r="G4051" t="s">
        <v>21591</v>
      </c>
      <c r="H4051" t="s">
        <v>21592</v>
      </c>
      <c r="K4051" t="s">
        <v>206</v>
      </c>
      <c r="L4051" t="s">
        <v>100</v>
      </c>
      <c r="M4051" t="s">
        <v>75</v>
      </c>
      <c r="N4051" t="s">
        <v>21593</v>
      </c>
      <c r="O4051" t="s">
        <v>18281</v>
      </c>
      <c r="P4051" t="s">
        <v>77</v>
      </c>
      <c r="Q4051" t="str">
        <f>"11743"</f>
        <v>11743</v>
      </c>
      <c r="AC4051" t="s">
        <v>79</v>
      </c>
      <c r="AD4051" t="s">
        <v>75</v>
      </c>
      <c r="AE4051" t="s">
        <v>101</v>
      </c>
      <c r="AG4051" t="s">
        <v>81</v>
      </c>
    </row>
    <row r="4052" spans="1:33" x14ac:dyDescent="0.25">
      <c r="C4052" t="s">
        <v>21594</v>
      </c>
      <c r="G4052" t="s">
        <v>21594</v>
      </c>
      <c r="H4052" t="s">
        <v>5129</v>
      </c>
      <c r="K4052" t="s">
        <v>206</v>
      </c>
      <c r="L4052" t="s">
        <v>100</v>
      </c>
      <c r="M4052" t="s">
        <v>75</v>
      </c>
      <c r="N4052" t="s">
        <v>21595</v>
      </c>
      <c r="O4052" t="s">
        <v>21596</v>
      </c>
      <c r="P4052" t="s">
        <v>77</v>
      </c>
      <c r="Q4052" t="str">
        <f>"11768"</f>
        <v>11768</v>
      </c>
      <c r="AC4052" t="s">
        <v>79</v>
      </c>
      <c r="AD4052" t="s">
        <v>75</v>
      </c>
      <c r="AE4052" t="s">
        <v>101</v>
      </c>
      <c r="AG4052" t="s">
        <v>81</v>
      </c>
    </row>
    <row r="4053" spans="1:33" x14ac:dyDescent="0.25">
      <c r="C4053" t="s">
        <v>21597</v>
      </c>
      <c r="G4053" t="s">
        <v>21597</v>
      </c>
      <c r="H4053" t="s">
        <v>5162</v>
      </c>
      <c r="K4053" t="s">
        <v>206</v>
      </c>
      <c r="L4053" t="s">
        <v>100</v>
      </c>
      <c r="M4053" t="s">
        <v>75</v>
      </c>
      <c r="N4053" t="s">
        <v>21598</v>
      </c>
      <c r="O4053" t="s">
        <v>21599</v>
      </c>
      <c r="P4053" t="s">
        <v>77</v>
      </c>
      <c r="Q4053" t="str">
        <f>"11777"</f>
        <v>11777</v>
      </c>
      <c r="AC4053" t="s">
        <v>79</v>
      </c>
      <c r="AD4053" t="s">
        <v>75</v>
      </c>
      <c r="AE4053" t="s">
        <v>101</v>
      </c>
      <c r="AG4053" t="s">
        <v>81</v>
      </c>
    </row>
    <row r="4054" spans="1:33" x14ac:dyDescent="0.25">
      <c r="A4054" t="str">
        <f>"1215997887"</f>
        <v>1215997887</v>
      </c>
      <c r="B4054" t="str">
        <f>"01342025"</f>
        <v>01342025</v>
      </c>
      <c r="C4054" t="s">
        <v>21600</v>
      </c>
      <c r="D4054" t="s">
        <v>2314</v>
      </c>
      <c r="E4054" t="s">
        <v>2315</v>
      </c>
      <c r="G4054" t="s">
        <v>21600</v>
      </c>
      <c r="H4054" t="s">
        <v>21601</v>
      </c>
      <c r="J4054" t="s">
        <v>21602</v>
      </c>
      <c r="L4054" t="s">
        <v>84</v>
      </c>
      <c r="M4054" t="s">
        <v>75</v>
      </c>
      <c r="R4054" t="s">
        <v>2313</v>
      </c>
      <c r="W4054" t="s">
        <v>2315</v>
      </c>
      <c r="X4054" t="s">
        <v>2316</v>
      </c>
      <c r="Y4054" t="s">
        <v>2317</v>
      </c>
      <c r="Z4054" t="s">
        <v>77</v>
      </c>
      <c r="AA4054" t="str">
        <f>"11757-2502"</f>
        <v>11757-2502</v>
      </c>
      <c r="AB4054" t="s">
        <v>78</v>
      </c>
      <c r="AC4054" t="s">
        <v>79</v>
      </c>
      <c r="AD4054" t="s">
        <v>75</v>
      </c>
      <c r="AE4054" t="s">
        <v>80</v>
      </c>
      <c r="AG4054" t="s">
        <v>81</v>
      </c>
    </row>
    <row r="4055" spans="1:33" x14ac:dyDescent="0.25">
      <c r="A4055" t="str">
        <f>"1629095138"</f>
        <v>1629095138</v>
      </c>
      <c r="B4055" t="str">
        <f>"00489996"</f>
        <v>00489996</v>
      </c>
      <c r="C4055" t="s">
        <v>21603</v>
      </c>
      <c r="D4055" t="s">
        <v>2320</v>
      </c>
      <c r="E4055" t="s">
        <v>2321</v>
      </c>
      <c r="G4055" t="s">
        <v>21603</v>
      </c>
      <c r="H4055" t="s">
        <v>21604</v>
      </c>
      <c r="L4055" t="s">
        <v>84</v>
      </c>
      <c r="M4055" t="s">
        <v>75</v>
      </c>
      <c r="R4055" t="s">
        <v>2319</v>
      </c>
      <c r="W4055" t="s">
        <v>2321</v>
      </c>
      <c r="X4055" t="s">
        <v>2322</v>
      </c>
      <c r="Y4055" t="s">
        <v>2317</v>
      </c>
      <c r="Z4055" t="s">
        <v>77</v>
      </c>
      <c r="AA4055" t="str">
        <f>"11757-3755"</f>
        <v>11757-3755</v>
      </c>
      <c r="AB4055" t="s">
        <v>78</v>
      </c>
      <c r="AC4055" t="s">
        <v>79</v>
      </c>
      <c r="AD4055" t="s">
        <v>75</v>
      </c>
      <c r="AE4055" t="s">
        <v>80</v>
      </c>
      <c r="AG4055" t="s">
        <v>81</v>
      </c>
    </row>
    <row r="4056" spans="1:33" x14ac:dyDescent="0.25">
      <c r="A4056" t="str">
        <f>"1275784670"</f>
        <v>1275784670</v>
      </c>
      <c r="B4056" t="str">
        <f>"03812186"</f>
        <v>03812186</v>
      </c>
      <c r="C4056" t="s">
        <v>21605</v>
      </c>
      <c r="D4056" t="s">
        <v>2324</v>
      </c>
      <c r="E4056" t="s">
        <v>2325</v>
      </c>
      <c r="G4056" t="s">
        <v>21605</v>
      </c>
      <c r="H4056" t="s">
        <v>21606</v>
      </c>
      <c r="L4056" t="s">
        <v>83</v>
      </c>
      <c r="M4056" t="s">
        <v>75</v>
      </c>
      <c r="R4056" t="s">
        <v>2323</v>
      </c>
      <c r="W4056" t="s">
        <v>2325</v>
      </c>
      <c r="X4056" t="s">
        <v>2326</v>
      </c>
      <c r="Y4056" t="s">
        <v>230</v>
      </c>
      <c r="Z4056" t="s">
        <v>77</v>
      </c>
      <c r="AA4056" t="str">
        <f>"11795-4908"</f>
        <v>11795-4908</v>
      </c>
      <c r="AB4056" t="s">
        <v>78</v>
      </c>
      <c r="AC4056" t="s">
        <v>79</v>
      </c>
      <c r="AD4056" t="s">
        <v>75</v>
      </c>
      <c r="AE4056" t="s">
        <v>80</v>
      </c>
      <c r="AG4056" t="s">
        <v>81</v>
      </c>
    </row>
    <row r="4057" spans="1:33" x14ac:dyDescent="0.25">
      <c r="A4057" t="str">
        <f>"1003089673"</f>
        <v>1003089673</v>
      </c>
      <c r="B4057" t="str">
        <f>"03111988"</f>
        <v>03111988</v>
      </c>
      <c r="C4057" t="s">
        <v>21607</v>
      </c>
      <c r="D4057" t="s">
        <v>2328</v>
      </c>
      <c r="E4057" t="s">
        <v>2329</v>
      </c>
      <c r="G4057" t="s">
        <v>21607</v>
      </c>
      <c r="H4057" t="s">
        <v>21608</v>
      </c>
      <c r="J4057" t="s">
        <v>21609</v>
      </c>
      <c r="L4057" t="s">
        <v>83</v>
      </c>
      <c r="M4057" t="s">
        <v>75</v>
      </c>
      <c r="R4057" t="s">
        <v>2327</v>
      </c>
      <c r="W4057" t="s">
        <v>2329</v>
      </c>
      <c r="X4057" t="s">
        <v>229</v>
      </c>
      <c r="Y4057" t="s">
        <v>230</v>
      </c>
      <c r="Z4057" t="s">
        <v>77</v>
      </c>
      <c r="AA4057" t="str">
        <f>"11795-4927"</f>
        <v>11795-4927</v>
      </c>
      <c r="AB4057" t="s">
        <v>78</v>
      </c>
      <c r="AC4057" t="s">
        <v>79</v>
      </c>
      <c r="AD4057" t="s">
        <v>75</v>
      </c>
      <c r="AE4057" t="s">
        <v>80</v>
      </c>
      <c r="AG4057" t="s">
        <v>81</v>
      </c>
    </row>
    <row r="4058" spans="1:33" x14ac:dyDescent="0.25">
      <c r="A4058" t="str">
        <f>"1386796092"</f>
        <v>1386796092</v>
      </c>
      <c r="B4058" t="str">
        <f>"00175640"</f>
        <v>00175640</v>
      </c>
      <c r="C4058" t="s">
        <v>21610</v>
      </c>
      <c r="D4058" t="s">
        <v>21611</v>
      </c>
      <c r="E4058" t="s">
        <v>21612</v>
      </c>
      <c r="G4058" t="s">
        <v>13504</v>
      </c>
      <c r="H4058" t="s">
        <v>13505</v>
      </c>
      <c r="J4058" t="s">
        <v>13506</v>
      </c>
      <c r="L4058" t="s">
        <v>83</v>
      </c>
      <c r="M4058" t="s">
        <v>85</v>
      </c>
      <c r="R4058" t="s">
        <v>21613</v>
      </c>
      <c r="W4058" t="s">
        <v>21614</v>
      </c>
      <c r="X4058" t="s">
        <v>1506</v>
      </c>
      <c r="Y4058" t="s">
        <v>87</v>
      </c>
      <c r="Z4058" t="s">
        <v>77</v>
      </c>
      <c r="AA4058" t="str">
        <f>"11201-5514"</f>
        <v>11201-5514</v>
      </c>
      <c r="AB4058" t="s">
        <v>78</v>
      </c>
      <c r="AC4058" t="s">
        <v>79</v>
      </c>
      <c r="AD4058" t="s">
        <v>75</v>
      </c>
      <c r="AE4058" t="s">
        <v>80</v>
      </c>
      <c r="AG4058" t="s">
        <v>81</v>
      </c>
    </row>
    <row r="4059" spans="1:33" x14ac:dyDescent="0.25">
      <c r="A4059" t="str">
        <f>"1508881178"</f>
        <v>1508881178</v>
      </c>
      <c r="B4059" t="str">
        <f>"03528609"</f>
        <v>03528609</v>
      </c>
      <c r="C4059" t="s">
        <v>21615</v>
      </c>
      <c r="D4059" t="s">
        <v>21616</v>
      </c>
      <c r="E4059" t="s">
        <v>21617</v>
      </c>
      <c r="G4059" t="s">
        <v>7218</v>
      </c>
      <c r="H4059" t="s">
        <v>6801</v>
      </c>
      <c r="I4059">
        <v>6136</v>
      </c>
      <c r="J4059" t="s">
        <v>7219</v>
      </c>
      <c r="L4059" t="s">
        <v>74</v>
      </c>
      <c r="M4059" t="s">
        <v>75</v>
      </c>
      <c r="R4059" t="s">
        <v>21617</v>
      </c>
      <c r="W4059" t="s">
        <v>21617</v>
      </c>
      <c r="X4059" t="s">
        <v>2997</v>
      </c>
      <c r="Y4059" t="s">
        <v>87</v>
      </c>
      <c r="Z4059" t="s">
        <v>77</v>
      </c>
      <c r="AA4059" t="str">
        <f>"11201-4333"</f>
        <v>11201-4333</v>
      </c>
      <c r="AB4059" t="s">
        <v>109</v>
      </c>
      <c r="AC4059" t="s">
        <v>79</v>
      </c>
      <c r="AD4059" t="s">
        <v>75</v>
      </c>
      <c r="AE4059" t="s">
        <v>80</v>
      </c>
      <c r="AG4059" t="s">
        <v>81</v>
      </c>
    </row>
    <row r="4060" spans="1:33" x14ac:dyDescent="0.25">
      <c r="A4060" t="str">
        <f>"1508921453"</f>
        <v>1508921453</v>
      </c>
      <c r="B4060" t="str">
        <f>"03532996"</f>
        <v>03532996</v>
      </c>
      <c r="C4060" t="s">
        <v>21618</v>
      </c>
      <c r="D4060" t="s">
        <v>21619</v>
      </c>
      <c r="E4060" t="s">
        <v>21620</v>
      </c>
      <c r="G4060" t="s">
        <v>7218</v>
      </c>
      <c r="H4060" t="s">
        <v>6801</v>
      </c>
      <c r="I4060">
        <v>6136</v>
      </c>
      <c r="J4060" t="s">
        <v>7219</v>
      </c>
      <c r="L4060" t="s">
        <v>74</v>
      </c>
      <c r="M4060" t="s">
        <v>75</v>
      </c>
      <c r="R4060" t="s">
        <v>21621</v>
      </c>
      <c r="W4060" t="s">
        <v>21621</v>
      </c>
      <c r="X4060" t="s">
        <v>9151</v>
      </c>
      <c r="Y4060" t="s">
        <v>97</v>
      </c>
      <c r="Z4060" t="s">
        <v>77</v>
      </c>
      <c r="AA4060" t="str">
        <f>"10001-2320"</f>
        <v>10001-2320</v>
      </c>
      <c r="AB4060" t="s">
        <v>440</v>
      </c>
      <c r="AC4060" t="s">
        <v>79</v>
      </c>
      <c r="AD4060" t="s">
        <v>75</v>
      </c>
      <c r="AE4060" t="s">
        <v>80</v>
      </c>
      <c r="AG4060" t="s">
        <v>81</v>
      </c>
    </row>
    <row r="4061" spans="1:33" x14ac:dyDescent="0.25">
      <c r="A4061" t="str">
        <f>"1518022995"</f>
        <v>1518022995</v>
      </c>
      <c r="B4061" t="str">
        <f>"03537588"</f>
        <v>03537588</v>
      </c>
      <c r="C4061" t="s">
        <v>21622</v>
      </c>
      <c r="D4061" t="s">
        <v>21623</v>
      </c>
      <c r="E4061" t="s">
        <v>21624</v>
      </c>
      <c r="G4061" t="s">
        <v>7218</v>
      </c>
      <c r="H4061" t="s">
        <v>6801</v>
      </c>
      <c r="I4061">
        <v>6136</v>
      </c>
      <c r="J4061" t="s">
        <v>7219</v>
      </c>
      <c r="L4061" t="s">
        <v>74</v>
      </c>
      <c r="M4061" t="s">
        <v>75</v>
      </c>
      <c r="R4061" t="s">
        <v>21624</v>
      </c>
      <c r="W4061" t="s">
        <v>21624</v>
      </c>
      <c r="X4061" t="s">
        <v>10704</v>
      </c>
      <c r="Y4061" t="s">
        <v>87</v>
      </c>
      <c r="Z4061" t="s">
        <v>77</v>
      </c>
      <c r="AA4061" t="str">
        <f>"11229-4004"</f>
        <v>11229-4004</v>
      </c>
      <c r="AB4061" t="s">
        <v>109</v>
      </c>
      <c r="AC4061" t="s">
        <v>79</v>
      </c>
      <c r="AD4061" t="s">
        <v>75</v>
      </c>
      <c r="AE4061" t="s">
        <v>80</v>
      </c>
      <c r="AG4061" t="s">
        <v>81</v>
      </c>
    </row>
    <row r="4062" spans="1:33" x14ac:dyDescent="0.25">
      <c r="A4062" t="str">
        <f>"1538173315"</f>
        <v>1538173315</v>
      </c>
      <c r="C4062" t="s">
        <v>21625</v>
      </c>
      <c r="G4062" t="s">
        <v>7218</v>
      </c>
      <c r="H4062" t="s">
        <v>6801</v>
      </c>
      <c r="I4062">
        <v>6136</v>
      </c>
      <c r="J4062" t="s">
        <v>7219</v>
      </c>
      <c r="K4062" t="s">
        <v>99</v>
      </c>
      <c r="L4062" t="s">
        <v>102</v>
      </c>
      <c r="M4062" t="s">
        <v>75</v>
      </c>
      <c r="R4062" t="s">
        <v>21626</v>
      </c>
      <c r="S4062" t="s">
        <v>8385</v>
      </c>
      <c r="T4062" t="s">
        <v>97</v>
      </c>
      <c r="U4062" t="s">
        <v>77</v>
      </c>
      <c r="V4062" t="str">
        <f>"100012320"</f>
        <v>100012320</v>
      </c>
      <c r="AC4062" t="s">
        <v>79</v>
      </c>
      <c r="AD4062" t="s">
        <v>75</v>
      </c>
      <c r="AE4062" t="s">
        <v>103</v>
      </c>
      <c r="AG4062" t="s">
        <v>81</v>
      </c>
    </row>
    <row r="4063" spans="1:33" x14ac:dyDescent="0.25">
      <c r="A4063" t="str">
        <f>"1538207683"</f>
        <v>1538207683</v>
      </c>
      <c r="C4063" t="s">
        <v>21627</v>
      </c>
      <c r="G4063" t="s">
        <v>7218</v>
      </c>
      <c r="H4063" t="s">
        <v>6801</v>
      </c>
      <c r="I4063">
        <v>6136</v>
      </c>
      <c r="J4063" t="s">
        <v>7219</v>
      </c>
      <c r="K4063" t="s">
        <v>99</v>
      </c>
      <c r="L4063" t="s">
        <v>74</v>
      </c>
      <c r="M4063" t="s">
        <v>75</v>
      </c>
      <c r="R4063" t="s">
        <v>21628</v>
      </c>
      <c r="S4063" t="s">
        <v>21629</v>
      </c>
      <c r="T4063" t="s">
        <v>308</v>
      </c>
      <c r="U4063" t="s">
        <v>77</v>
      </c>
      <c r="V4063" t="str">
        <f>"11368"</f>
        <v>11368</v>
      </c>
      <c r="AC4063" t="s">
        <v>79</v>
      </c>
      <c r="AD4063" t="s">
        <v>75</v>
      </c>
      <c r="AE4063" t="s">
        <v>103</v>
      </c>
      <c r="AG4063" t="s">
        <v>81</v>
      </c>
    </row>
    <row r="4064" spans="1:33" x14ac:dyDescent="0.25">
      <c r="A4064" t="str">
        <f>"1073788667"</f>
        <v>1073788667</v>
      </c>
      <c r="B4064" t="str">
        <f>"03338350"</f>
        <v>03338350</v>
      </c>
      <c r="C4064" t="s">
        <v>13436</v>
      </c>
      <c r="D4064" t="s">
        <v>21630</v>
      </c>
      <c r="E4064" t="s">
        <v>21631</v>
      </c>
      <c r="G4064" t="s">
        <v>21632</v>
      </c>
      <c r="L4064" t="s">
        <v>83</v>
      </c>
      <c r="M4064" t="s">
        <v>85</v>
      </c>
      <c r="R4064" t="s">
        <v>21633</v>
      </c>
      <c r="W4064" t="s">
        <v>21631</v>
      </c>
      <c r="X4064" t="s">
        <v>21634</v>
      </c>
      <c r="Y4064" t="s">
        <v>97</v>
      </c>
      <c r="Z4064" t="s">
        <v>77</v>
      </c>
      <c r="AA4064" t="str">
        <f>"10003-3314"</f>
        <v>10003-3314</v>
      </c>
      <c r="AB4064" t="s">
        <v>78</v>
      </c>
      <c r="AC4064" t="s">
        <v>79</v>
      </c>
      <c r="AD4064" t="s">
        <v>75</v>
      </c>
      <c r="AE4064" t="s">
        <v>80</v>
      </c>
      <c r="AG4064" t="s">
        <v>81</v>
      </c>
    </row>
    <row r="4065" spans="1:33" x14ac:dyDescent="0.25">
      <c r="A4065" t="str">
        <f>"1457772725"</f>
        <v>1457772725</v>
      </c>
      <c r="C4065" t="s">
        <v>21635</v>
      </c>
      <c r="G4065" t="s">
        <v>16280</v>
      </c>
      <c r="H4065" t="s">
        <v>16281</v>
      </c>
      <c r="J4065" t="s">
        <v>16282</v>
      </c>
      <c r="K4065" t="s">
        <v>99</v>
      </c>
      <c r="L4065" t="s">
        <v>102</v>
      </c>
      <c r="M4065" t="s">
        <v>75</v>
      </c>
      <c r="R4065" t="s">
        <v>21636</v>
      </c>
      <c r="S4065" t="s">
        <v>4780</v>
      </c>
      <c r="T4065" t="s">
        <v>97</v>
      </c>
      <c r="U4065" t="s">
        <v>77</v>
      </c>
      <c r="V4065" t="str">
        <f>"100112019"</f>
        <v>100112019</v>
      </c>
      <c r="AC4065" t="s">
        <v>79</v>
      </c>
      <c r="AD4065" t="s">
        <v>75</v>
      </c>
      <c r="AE4065" t="s">
        <v>103</v>
      </c>
      <c r="AG4065" t="s">
        <v>81</v>
      </c>
    </row>
    <row r="4066" spans="1:33" x14ac:dyDescent="0.25">
      <c r="A4066" t="str">
        <f>"1255754289"</f>
        <v>1255754289</v>
      </c>
      <c r="C4066" t="s">
        <v>21637</v>
      </c>
      <c r="G4066" t="s">
        <v>16280</v>
      </c>
      <c r="H4066" t="s">
        <v>16281</v>
      </c>
      <c r="J4066" t="s">
        <v>16282</v>
      </c>
      <c r="K4066" t="s">
        <v>99</v>
      </c>
      <c r="L4066" t="s">
        <v>102</v>
      </c>
      <c r="M4066" t="s">
        <v>75</v>
      </c>
      <c r="R4066" t="s">
        <v>21638</v>
      </c>
      <c r="S4066" t="s">
        <v>16790</v>
      </c>
      <c r="T4066" t="s">
        <v>97</v>
      </c>
      <c r="U4066" t="s">
        <v>77</v>
      </c>
      <c r="V4066" t="str">
        <f>"100112019"</f>
        <v>100112019</v>
      </c>
      <c r="AC4066" t="s">
        <v>79</v>
      </c>
      <c r="AD4066" t="s">
        <v>75</v>
      </c>
      <c r="AE4066" t="s">
        <v>103</v>
      </c>
      <c r="AG4066" t="s">
        <v>81</v>
      </c>
    </row>
    <row r="4067" spans="1:33" x14ac:dyDescent="0.25">
      <c r="A4067" t="str">
        <f>"1841621091"</f>
        <v>1841621091</v>
      </c>
      <c r="C4067" t="s">
        <v>21639</v>
      </c>
      <c r="G4067" t="s">
        <v>16280</v>
      </c>
      <c r="H4067" t="s">
        <v>16281</v>
      </c>
      <c r="J4067" t="s">
        <v>16282</v>
      </c>
      <c r="K4067" t="s">
        <v>99</v>
      </c>
      <c r="L4067" t="s">
        <v>102</v>
      </c>
      <c r="M4067" t="s">
        <v>75</v>
      </c>
      <c r="R4067" t="s">
        <v>21640</v>
      </c>
      <c r="S4067" t="s">
        <v>21641</v>
      </c>
      <c r="T4067" t="s">
        <v>335</v>
      </c>
      <c r="U4067" t="s">
        <v>77</v>
      </c>
      <c r="V4067" t="str">
        <f>"113858329"</f>
        <v>113858329</v>
      </c>
      <c r="AC4067" t="s">
        <v>79</v>
      </c>
      <c r="AD4067" t="s">
        <v>75</v>
      </c>
      <c r="AE4067" t="s">
        <v>103</v>
      </c>
      <c r="AG4067" t="s">
        <v>81</v>
      </c>
    </row>
    <row r="4068" spans="1:33" x14ac:dyDescent="0.25">
      <c r="A4068" t="str">
        <f>"1508287533"</f>
        <v>1508287533</v>
      </c>
      <c r="C4068" t="s">
        <v>21642</v>
      </c>
      <c r="G4068" t="s">
        <v>16280</v>
      </c>
      <c r="H4068" t="s">
        <v>16281</v>
      </c>
      <c r="J4068" t="s">
        <v>16282</v>
      </c>
      <c r="K4068" t="s">
        <v>99</v>
      </c>
      <c r="L4068" t="s">
        <v>102</v>
      </c>
      <c r="M4068" t="s">
        <v>75</v>
      </c>
      <c r="R4068" t="s">
        <v>21643</v>
      </c>
      <c r="S4068" t="s">
        <v>17502</v>
      </c>
      <c r="T4068" t="s">
        <v>97</v>
      </c>
      <c r="U4068" t="s">
        <v>77</v>
      </c>
      <c r="V4068" t="str">
        <f>"100112019"</f>
        <v>100112019</v>
      </c>
      <c r="AC4068" t="s">
        <v>79</v>
      </c>
      <c r="AD4068" t="s">
        <v>75</v>
      </c>
      <c r="AE4068" t="s">
        <v>103</v>
      </c>
      <c r="AG4068" t="s">
        <v>81</v>
      </c>
    </row>
    <row r="4069" spans="1:33" x14ac:dyDescent="0.25">
      <c r="A4069" t="str">
        <f>"1841621158"</f>
        <v>1841621158</v>
      </c>
      <c r="C4069" t="s">
        <v>21644</v>
      </c>
      <c r="G4069" t="s">
        <v>16280</v>
      </c>
      <c r="H4069" t="s">
        <v>16281</v>
      </c>
      <c r="J4069" t="s">
        <v>16282</v>
      </c>
      <c r="K4069" t="s">
        <v>99</v>
      </c>
      <c r="L4069" t="s">
        <v>102</v>
      </c>
      <c r="M4069" t="s">
        <v>75</v>
      </c>
      <c r="R4069" t="s">
        <v>21645</v>
      </c>
      <c r="S4069" t="s">
        <v>3076</v>
      </c>
      <c r="T4069" t="s">
        <v>97</v>
      </c>
      <c r="U4069" t="s">
        <v>77</v>
      </c>
      <c r="V4069" t="str">
        <f>"100143518"</f>
        <v>100143518</v>
      </c>
      <c r="AC4069" t="s">
        <v>79</v>
      </c>
      <c r="AD4069" t="s">
        <v>75</v>
      </c>
      <c r="AE4069" t="s">
        <v>103</v>
      </c>
      <c r="AG4069" t="s">
        <v>81</v>
      </c>
    </row>
    <row r="4070" spans="1:33" x14ac:dyDescent="0.25">
      <c r="A4070" t="str">
        <f>"1154744431"</f>
        <v>1154744431</v>
      </c>
      <c r="C4070" t="s">
        <v>21646</v>
      </c>
      <c r="G4070" t="s">
        <v>16280</v>
      </c>
      <c r="H4070" t="s">
        <v>16281</v>
      </c>
      <c r="J4070" t="s">
        <v>16282</v>
      </c>
      <c r="K4070" t="s">
        <v>99</v>
      </c>
      <c r="L4070" t="s">
        <v>102</v>
      </c>
      <c r="M4070" t="s">
        <v>75</v>
      </c>
      <c r="R4070" t="s">
        <v>21647</v>
      </c>
      <c r="S4070" t="s">
        <v>21648</v>
      </c>
      <c r="T4070" t="s">
        <v>87</v>
      </c>
      <c r="U4070" t="s">
        <v>77</v>
      </c>
      <c r="V4070" t="str">
        <f>"112114307"</f>
        <v>112114307</v>
      </c>
      <c r="AC4070" t="s">
        <v>79</v>
      </c>
      <c r="AD4070" t="s">
        <v>75</v>
      </c>
      <c r="AE4070" t="s">
        <v>103</v>
      </c>
      <c r="AG4070" t="s">
        <v>81</v>
      </c>
    </row>
    <row r="4071" spans="1:33" x14ac:dyDescent="0.25">
      <c r="A4071" t="str">
        <f>"1629490214"</f>
        <v>1629490214</v>
      </c>
      <c r="C4071" t="s">
        <v>21649</v>
      </c>
      <c r="G4071" t="s">
        <v>16280</v>
      </c>
      <c r="H4071" t="s">
        <v>16281</v>
      </c>
      <c r="J4071" t="s">
        <v>16282</v>
      </c>
      <c r="K4071" t="s">
        <v>99</v>
      </c>
      <c r="L4071" t="s">
        <v>102</v>
      </c>
      <c r="M4071" t="s">
        <v>75</v>
      </c>
      <c r="R4071" t="s">
        <v>21650</v>
      </c>
      <c r="S4071" t="s">
        <v>21651</v>
      </c>
      <c r="T4071" t="s">
        <v>97</v>
      </c>
      <c r="U4071" t="s">
        <v>77</v>
      </c>
      <c r="V4071" t="str">
        <f>"100112019"</f>
        <v>100112019</v>
      </c>
      <c r="AC4071" t="s">
        <v>79</v>
      </c>
      <c r="AD4071" t="s">
        <v>75</v>
      </c>
      <c r="AE4071" t="s">
        <v>103</v>
      </c>
      <c r="AG4071" t="s">
        <v>81</v>
      </c>
    </row>
    <row r="4072" spans="1:33" x14ac:dyDescent="0.25">
      <c r="A4072" t="str">
        <f>"1669894382"</f>
        <v>1669894382</v>
      </c>
      <c r="C4072" t="s">
        <v>21652</v>
      </c>
      <c r="G4072" t="s">
        <v>16280</v>
      </c>
      <c r="H4072" t="s">
        <v>16281</v>
      </c>
      <c r="J4072" t="s">
        <v>16282</v>
      </c>
      <c r="K4072" t="s">
        <v>99</v>
      </c>
      <c r="L4072" t="s">
        <v>102</v>
      </c>
      <c r="M4072" t="s">
        <v>75</v>
      </c>
      <c r="R4072" t="s">
        <v>21653</v>
      </c>
      <c r="S4072" t="s">
        <v>17502</v>
      </c>
      <c r="T4072" t="s">
        <v>97</v>
      </c>
      <c r="U4072" t="s">
        <v>77</v>
      </c>
      <c r="V4072" t="str">
        <f>"100112019"</f>
        <v>100112019</v>
      </c>
      <c r="AC4072" t="s">
        <v>79</v>
      </c>
      <c r="AD4072" t="s">
        <v>75</v>
      </c>
      <c r="AE4072" t="s">
        <v>103</v>
      </c>
      <c r="AG4072" t="s">
        <v>81</v>
      </c>
    </row>
    <row r="4073" spans="1:33" x14ac:dyDescent="0.25">
      <c r="A4073" t="str">
        <f>"1790107423"</f>
        <v>1790107423</v>
      </c>
      <c r="C4073" t="s">
        <v>21654</v>
      </c>
      <c r="G4073" t="s">
        <v>16280</v>
      </c>
      <c r="H4073" t="s">
        <v>16281</v>
      </c>
      <c r="J4073" t="s">
        <v>16282</v>
      </c>
      <c r="K4073" t="s">
        <v>99</v>
      </c>
      <c r="L4073" t="s">
        <v>102</v>
      </c>
      <c r="M4073" t="s">
        <v>75</v>
      </c>
      <c r="R4073" t="s">
        <v>21655</v>
      </c>
      <c r="S4073" t="s">
        <v>21656</v>
      </c>
      <c r="T4073" t="s">
        <v>97</v>
      </c>
      <c r="U4073" t="s">
        <v>77</v>
      </c>
      <c r="V4073" t="str">
        <f>"10016"</f>
        <v>10016</v>
      </c>
      <c r="AC4073" t="s">
        <v>79</v>
      </c>
      <c r="AD4073" t="s">
        <v>75</v>
      </c>
      <c r="AE4073" t="s">
        <v>103</v>
      </c>
      <c r="AG4073" t="s">
        <v>81</v>
      </c>
    </row>
    <row r="4074" spans="1:33" x14ac:dyDescent="0.25">
      <c r="A4074" t="str">
        <f>"1609290444"</f>
        <v>1609290444</v>
      </c>
      <c r="C4074" t="s">
        <v>21657</v>
      </c>
      <c r="G4074" t="s">
        <v>16280</v>
      </c>
      <c r="H4074" t="s">
        <v>16281</v>
      </c>
      <c r="J4074" t="s">
        <v>16282</v>
      </c>
      <c r="K4074" t="s">
        <v>99</v>
      </c>
      <c r="L4074" t="s">
        <v>102</v>
      </c>
      <c r="M4074" t="s">
        <v>75</v>
      </c>
      <c r="R4074" t="s">
        <v>21658</v>
      </c>
      <c r="S4074" t="s">
        <v>4780</v>
      </c>
      <c r="T4074" t="s">
        <v>97</v>
      </c>
      <c r="U4074" t="s">
        <v>77</v>
      </c>
      <c r="V4074" t="str">
        <f>"100112019"</f>
        <v>100112019</v>
      </c>
      <c r="AC4074" t="s">
        <v>79</v>
      </c>
      <c r="AD4074" t="s">
        <v>75</v>
      </c>
      <c r="AE4074" t="s">
        <v>103</v>
      </c>
      <c r="AG4074" t="s">
        <v>81</v>
      </c>
    </row>
    <row r="4075" spans="1:33" x14ac:dyDescent="0.25">
      <c r="A4075" t="str">
        <f>"1558785048"</f>
        <v>1558785048</v>
      </c>
      <c r="C4075" t="s">
        <v>21659</v>
      </c>
      <c r="G4075" t="s">
        <v>16280</v>
      </c>
      <c r="H4075" t="s">
        <v>16281</v>
      </c>
      <c r="J4075" t="s">
        <v>16282</v>
      </c>
      <c r="K4075" t="s">
        <v>99</v>
      </c>
      <c r="L4075" t="s">
        <v>102</v>
      </c>
      <c r="M4075" t="s">
        <v>75</v>
      </c>
      <c r="R4075" t="s">
        <v>21660</v>
      </c>
      <c r="S4075" t="s">
        <v>17502</v>
      </c>
      <c r="T4075" t="s">
        <v>97</v>
      </c>
      <c r="U4075" t="s">
        <v>77</v>
      </c>
      <c r="V4075" t="str">
        <f>"100112019"</f>
        <v>100112019</v>
      </c>
      <c r="AC4075" t="s">
        <v>79</v>
      </c>
      <c r="AD4075" t="s">
        <v>75</v>
      </c>
      <c r="AE4075" t="s">
        <v>103</v>
      </c>
      <c r="AG4075" t="s">
        <v>81</v>
      </c>
    </row>
    <row r="4076" spans="1:33" x14ac:dyDescent="0.25">
      <c r="A4076" t="str">
        <f>"1154743797"</f>
        <v>1154743797</v>
      </c>
      <c r="C4076" t="s">
        <v>21661</v>
      </c>
      <c r="G4076" t="s">
        <v>16280</v>
      </c>
      <c r="H4076" t="s">
        <v>16281</v>
      </c>
      <c r="J4076" t="s">
        <v>16282</v>
      </c>
      <c r="K4076" t="s">
        <v>99</v>
      </c>
      <c r="L4076" t="s">
        <v>102</v>
      </c>
      <c r="M4076" t="s">
        <v>75</v>
      </c>
      <c r="R4076" t="s">
        <v>21662</v>
      </c>
      <c r="S4076" t="s">
        <v>16293</v>
      </c>
      <c r="T4076" t="s">
        <v>77</v>
      </c>
      <c r="U4076" t="s">
        <v>77</v>
      </c>
      <c r="V4076" t="str">
        <f>"10011"</f>
        <v>10011</v>
      </c>
      <c r="AC4076" t="s">
        <v>79</v>
      </c>
      <c r="AD4076" t="s">
        <v>75</v>
      </c>
      <c r="AE4076" t="s">
        <v>103</v>
      </c>
      <c r="AG4076" t="s">
        <v>81</v>
      </c>
    </row>
    <row r="4077" spans="1:33" x14ac:dyDescent="0.25">
      <c r="A4077" t="str">
        <f>"1972877355"</f>
        <v>1972877355</v>
      </c>
      <c r="C4077" t="s">
        <v>21663</v>
      </c>
      <c r="G4077" t="s">
        <v>16280</v>
      </c>
      <c r="H4077" t="s">
        <v>16281</v>
      </c>
      <c r="J4077" t="s">
        <v>16282</v>
      </c>
      <c r="K4077" t="s">
        <v>99</v>
      </c>
      <c r="L4077" t="s">
        <v>102</v>
      </c>
      <c r="M4077" t="s">
        <v>75</v>
      </c>
      <c r="R4077" t="s">
        <v>21664</v>
      </c>
      <c r="S4077" t="s">
        <v>3076</v>
      </c>
      <c r="T4077" t="s">
        <v>97</v>
      </c>
      <c r="U4077" t="s">
        <v>77</v>
      </c>
      <c r="V4077" t="str">
        <f>"100143518"</f>
        <v>100143518</v>
      </c>
      <c r="AC4077" t="s">
        <v>79</v>
      </c>
      <c r="AD4077" t="s">
        <v>75</v>
      </c>
      <c r="AE4077" t="s">
        <v>103</v>
      </c>
      <c r="AG4077" t="s">
        <v>81</v>
      </c>
    </row>
    <row r="4078" spans="1:33" x14ac:dyDescent="0.25">
      <c r="A4078" t="str">
        <f>"1013339704"</f>
        <v>1013339704</v>
      </c>
      <c r="C4078" t="s">
        <v>21665</v>
      </c>
      <c r="G4078" t="s">
        <v>16280</v>
      </c>
      <c r="H4078" t="s">
        <v>16281</v>
      </c>
      <c r="J4078" t="s">
        <v>16282</v>
      </c>
      <c r="K4078" t="s">
        <v>99</v>
      </c>
      <c r="L4078" t="s">
        <v>102</v>
      </c>
      <c r="M4078" t="s">
        <v>75</v>
      </c>
      <c r="R4078" t="s">
        <v>21666</v>
      </c>
      <c r="S4078" t="s">
        <v>21667</v>
      </c>
      <c r="T4078" t="s">
        <v>97</v>
      </c>
      <c r="U4078" t="s">
        <v>77</v>
      </c>
      <c r="V4078" t="str">
        <f>"100112019"</f>
        <v>100112019</v>
      </c>
      <c r="AC4078" t="s">
        <v>79</v>
      </c>
      <c r="AD4078" t="s">
        <v>75</v>
      </c>
      <c r="AE4078" t="s">
        <v>103</v>
      </c>
      <c r="AG4078" t="s">
        <v>81</v>
      </c>
    </row>
    <row r="4079" spans="1:33" x14ac:dyDescent="0.25">
      <c r="A4079" t="str">
        <f>"1740602630"</f>
        <v>1740602630</v>
      </c>
      <c r="C4079" t="s">
        <v>21668</v>
      </c>
      <c r="G4079" t="s">
        <v>16280</v>
      </c>
      <c r="H4079" t="s">
        <v>16281</v>
      </c>
      <c r="J4079" t="s">
        <v>16282</v>
      </c>
      <c r="K4079" t="s">
        <v>99</v>
      </c>
      <c r="L4079" t="s">
        <v>102</v>
      </c>
      <c r="M4079" t="s">
        <v>75</v>
      </c>
      <c r="R4079" t="s">
        <v>21669</v>
      </c>
      <c r="S4079" t="s">
        <v>3076</v>
      </c>
      <c r="T4079" t="s">
        <v>97</v>
      </c>
      <c r="U4079" t="s">
        <v>77</v>
      </c>
      <c r="V4079" t="str">
        <f>"100143518"</f>
        <v>100143518</v>
      </c>
      <c r="AC4079" t="s">
        <v>79</v>
      </c>
      <c r="AD4079" t="s">
        <v>75</v>
      </c>
      <c r="AE4079" t="s">
        <v>103</v>
      </c>
      <c r="AG4079" t="s">
        <v>81</v>
      </c>
    </row>
    <row r="4080" spans="1:33" x14ac:dyDescent="0.25">
      <c r="A4080" t="str">
        <f>"1669894432"</f>
        <v>1669894432</v>
      </c>
      <c r="C4080" t="s">
        <v>21670</v>
      </c>
      <c r="G4080" t="s">
        <v>16280</v>
      </c>
      <c r="H4080" t="s">
        <v>16281</v>
      </c>
      <c r="J4080" t="s">
        <v>16282</v>
      </c>
      <c r="K4080" t="s">
        <v>99</v>
      </c>
      <c r="L4080" t="s">
        <v>102</v>
      </c>
      <c r="M4080" t="s">
        <v>75</v>
      </c>
      <c r="R4080" t="s">
        <v>21671</v>
      </c>
      <c r="S4080" t="s">
        <v>5322</v>
      </c>
      <c r="T4080" t="s">
        <v>97</v>
      </c>
      <c r="U4080" t="s">
        <v>77</v>
      </c>
      <c r="V4080" t="str">
        <f>"100112019"</f>
        <v>100112019</v>
      </c>
      <c r="AC4080" t="s">
        <v>79</v>
      </c>
      <c r="AD4080" t="s">
        <v>75</v>
      </c>
      <c r="AE4080" t="s">
        <v>103</v>
      </c>
      <c r="AG4080" t="s">
        <v>81</v>
      </c>
    </row>
    <row r="4081" spans="1:33" x14ac:dyDescent="0.25">
      <c r="A4081" t="str">
        <f>"1093137754"</f>
        <v>1093137754</v>
      </c>
      <c r="C4081" t="s">
        <v>21672</v>
      </c>
      <c r="G4081" t="s">
        <v>16280</v>
      </c>
      <c r="H4081" t="s">
        <v>16281</v>
      </c>
      <c r="J4081" t="s">
        <v>16282</v>
      </c>
      <c r="K4081" t="s">
        <v>99</v>
      </c>
      <c r="L4081" t="s">
        <v>102</v>
      </c>
      <c r="M4081" t="s">
        <v>75</v>
      </c>
      <c r="R4081" t="s">
        <v>21673</v>
      </c>
      <c r="S4081" t="s">
        <v>4780</v>
      </c>
      <c r="T4081" t="s">
        <v>97</v>
      </c>
      <c r="U4081" t="s">
        <v>77</v>
      </c>
      <c r="V4081" t="str">
        <f>"100112019"</f>
        <v>100112019</v>
      </c>
      <c r="AC4081" t="s">
        <v>79</v>
      </c>
      <c r="AD4081" t="s">
        <v>75</v>
      </c>
      <c r="AE4081" t="s">
        <v>103</v>
      </c>
      <c r="AG4081" t="s">
        <v>81</v>
      </c>
    </row>
    <row r="4082" spans="1:33" x14ac:dyDescent="0.25">
      <c r="A4082" t="str">
        <f>"1710904560"</f>
        <v>1710904560</v>
      </c>
      <c r="B4082" t="str">
        <f>"00815403"</f>
        <v>00815403</v>
      </c>
      <c r="C4082" t="s">
        <v>21674</v>
      </c>
      <c r="D4082" t="s">
        <v>21675</v>
      </c>
      <c r="E4082" t="s">
        <v>21676</v>
      </c>
      <c r="G4082" t="s">
        <v>13504</v>
      </c>
      <c r="H4082" t="s">
        <v>13505</v>
      </c>
      <c r="J4082" t="s">
        <v>13506</v>
      </c>
      <c r="L4082" t="s">
        <v>84</v>
      </c>
      <c r="M4082" t="s">
        <v>75</v>
      </c>
      <c r="R4082" t="s">
        <v>21677</v>
      </c>
      <c r="W4082" t="s">
        <v>21676</v>
      </c>
      <c r="X4082" t="s">
        <v>21678</v>
      </c>
      <c r="Y4082" t="s">
        <v>87</v>
      </c>
      <c r="Z4082" t="s">
        <v>77</v>
      </c>
      <c r="AA4082" t="str">
        <f>"11206-7404"</f>
        <v>11206-7404</v>
      </c>
      <c r="AB4082" t="s">
        <v>78</v>
      </c>
      <c r="AC4082" t="s">
        <v>79</v>
      </c>
      <c r="AD4082" t="s">
        <v>75</v>
      </c>
      <c r="AE4082" t="s">
        <v>80</v>
      </c>
      <c r="AG4082" t="s">
        <v>81</v>
      </c>
    </row>
    <row r="4083" spans="1:33" x14ac:dyDescent="0.25">
      <c r="A4083" t="str">
        <f>"1649369554"</f>
        <v>1649369554</v>
      </c>
      <c r="B4083" t="str">
        <f>"01062922"</f>
        <v>01062922</v>
      </c>
      <c r="C4083" t="s">
        <v>21679</v>
      </c>
      <c r="D4083" t="s">
        <v>21680</v>
      </c>
      <c r="E4083" t="s">
        <v>21681</v>
      </c>
      <c r="G4083" t="s">
        <v>13504</v>
      </c>
      <c r="H4083" t="s">
        <v>13505</v>
      </c>
      <c r="J4083" t="s">
        <v>13506</v>
      </c>
      <c r="L4083" t="s">
        <v>83</v>
      </c>
      <c r="M4083" t="s">
        <v>75</v>
      </c>
      <c r="R4083" t="s">
        <v>21682</v>
      </c>
      <c r="W4083" t="s">
        <v>21683</v>
      </c>
      <c r="X4083" t="s">
        <v>21684</v>
      </c>
      <c r="Y4083" t="s">
        <v>129</v>
      </c>
      <c r="Z4083" t="s">
        <v>77</v>
      </c>
      <c r="AA4083" t="str">
        <f>"11372-7901"</f>
        <v>11372-7901</v>
      </c>
      <c r="AB4083" t="s">
        <v>78</v>
      </c>
      <c r="AC4083" t="s">
        <v>79</v>
      </c>
      <c r="AD4083" t="s">
        <v>75</v>
      </c>
      <c r="AE4083" t="s">
        <v>80</v>
      </c>
      <c r="AG4083" t="s">
        <v>81</v>
      </c>
    </row>
    <row r="4084" spans="1:33" x14ac:dyDescent="0.25">
      <c r="A4084" t="str">
        <f>"1033227244"</f>
        <v>1033227244</v>
      </c>
      <c r="B4084" t="str">
        <f>"01723037"</f>
        <v>01723037</v>
      </c>
      <c r="C4084" t="s">
        <v>21685</v>
      </c>
      <c r="D4084" t="s">
        <v>21686</v>
      </c>
      <c r="E4084" t="s">
        <v>21687</v>
      </c>
      <c r="G4084" t="s">
        <v>13504</v>
      </c>
      <c r="H4084" t="s">
        <v>13505</v>
      </c>
      <c r="J4084" t="s">
        <v>13506</v>
      </c>
      <c r="L4084" t="s">
        <v>84</v>
      </c>
      <c r="M4084" t="s">
        <v>75</v>
      </c>
      <c r="R4084" t="s">
        <v>21688</v>
      </c>
      <c r="W4084" t="s">
        <v>21687</v>
      </c>
      <c r="X4084" t="s">
        <v>15526</v>
      </c>
      <c r="Y4084" t="s">
        <v>87</v>
      </c>
      <c r="Z4084" t="s">
        <v>77</v>
      </c>
      <c r="AA4084" t="str">
        <f>"11218-2710"</f>
        <v>11218-2710</v>
      </c>
      <c r="AB4084" t="s">
        <v>78</v>
      </c>
      <c r="AC4084" t="s">
        <v>79</v>
      </c>
      <c r="AD4084" t="s">
        <v>75</v>
      </c>
      <c r="AE4084" t="s">
        <v>80</v>
      </c>
      <c r="AG4084" t="s">
        <v>81</v>
      </c>
    </row>
    <row r="4085" spans="1:33" x14ac:dyDescent="0.25">
      <c r="A4085" t="str">
        <f>"1700819950"</f>
        <v>1700819950</v>
      </c>
      <c r="B4085" t="str">
        <f>"00859485"</f>
        <v>00859485</v>
      </c>
      <c r="C4085" t="s">
        <v>21689</v>
      </c>
      <c r="D4085" t="s">
        <v>21690</v>
      </c>
      <c r="E4085" t="s">
        <v>21691</v>
      </c>
      <c r="G4085" t="s">
        <v>13504</v>
      </c>
      <c r="H4085" t="s">
        <v>13505</v>
      </c>
      <c r="J4085" t="s">
        <v>13506</v>
      </c>
      <c r="L4085" t="s">
        <v>83</v>
      </c>
      <c r="M4085" t="s">
        <v>85</v>
      </c>
      <c r="R4085" t="s">
        <v>21692</v>
      </c>
      <c r="W4085" t="s">
        <v>21691</v>
      </c>
      <c r="X4085" t="s">
        <v>21693</v>
      </c>
      <c r="Y4085" t="s">
        <v>87</v>
      </c>
      <c r="Z4085" t="s">
        <v>77</v>
      </c>
      <c r="AA4085" t="str">
        <f>"11213-4108"</f>
        <v>11213-4108</v>
      </c>
      <c r="AB4085" t="s">
        <v>78</v>
      </c>
      <c r="AC4085" t="s">
        <v>79</v>
      </c>
      <c r="AD4085" t="s">
        <v>75</v>
      </c>
      <c r="AE4085" t="s">
        <v>80</v>
      </c>
      <c r="AG4085" t="s">
        <v>81</v>
      </c>
    </row>
    <row r="4086" spans="1:33" x14ac:dyDescent="0.25">
      <c r="A4086" t="str">
        <f>"1477578417"</f>
        <v>1477578417</v>
      </c>
      <c r="B4086" t="str">
        <f>"00895818"</f>
        <v>00895818</v>
      </c>
      <c r="C4086" t="s">
        <v>21694</v>
      </c>
      <c r="D4086" t="s">
        <v>21695</v>
      </c>
      <c r="E4086" t="s">
        <v>21696</v>
      </c>
      <c r="G4086" t="s">
        <v>13504</v>
      </c>
      <c r="H4086" t="s">
        <v>13505</v>
      </c>
      <c r="J4086" t="s">
        <v>13506</v>
      </c>
      <c r="L4086" t="s">
        <v>74</v>
      </c>
      <c r="M4086" t="s">
        <v>75</v>
      </c>
      <c r="R4086" t="s">
        <v>21697</v>
      </c>
      <c r="W4086" t="s">
        <v>21696</v>
      </c>
      <c r="X4086" t="s">
        <v>2226</v>
      </c>
      <c r="Y4086" t="s">
        <v>97</v>
      </c>
      <c r="Z4086" t="s">
        <v>77</v>
      </c>
      <c r="AA4086" t="str">
        <f>"10249"</f>
        <v>10249</v>
      </c>
      <c r="AB4086" t="s">
        <v>78</v>
      </c>
      <c r="AC4086" t="s">
        <v>79</v>
      </c>
      <c r="AD4086" t="s">
        <v>75</v>
      </c>
      <c r="AE4086" t="s">
        <v>80</v>
      </c>
      <c r="AG4086" t="s">
        <v>81</v>
      </c>
    </row>
    <row r="4087" spans="1:33" x14ac:dyDescent="0.25">
      <c r="A4087" t="str">
        <f>"1922098284"</f>
        <v>1922098284</v>
      </c>
      <c r="B4087" t="str">
        <f>"01228440"</f>
        <v>01228440</v>
      </c>
      <c r="C4087" t="s">
        <v>21698</v>
      </c>
      <c r="D4087" t="s">
        <v>21699</v>
      </c>
      <c r="E4087" t="s">
        <v>21700</v>
      </c>
      <c r="G4087" t="s">
        <v>13504</v>
      </c>
      <c r="H4087" t="s">
        <v>13505</v>
      </c>
      <c r="J4087" t="s">
        <v>13506</v>
      </c>
      <c r="L4087" t="s">
        <v>83</v>
      </c>
      <c r="M4087" t="s">
        <v>85</v>
      </c>
      <c r="R4087" t="s">
        <v>21701</v>
      </c>
      <c r="W4087" t="s">
        <v>21700</v>
      </c>
      <c r="Y4087" t="s">
        <v>87</v>
      </c>
      <c r="Z4087" t="s">
        <v>77</v>
      </c>
      <c r="AA4087" t="str">
        <f>"11201-5493"</f>
        <v>11201-5493</v>
      </c>
      <c r="AB4087" t="s">
        <v>78</v>
      </c>
      <c r="AC4087" t="s">
        <v>79</v>
      </c>
      <c r="AD4087" t="s">
        <v>75</v>
      </c>
      <c r="AE4087" t="s">
        <v>80</v>
      </c>
      <c r="AG4087" t="s">
        <v>81</v>
      </c>
    </row>
    <row r="4088" spans="1:33" x14ac:dyDescent="0.25">
      <c r="C4088" t="s">
        <v>21702</v>
      </c>
      <c r="G4088" t="s">
        <v>18361</v>
      </c>
      <c r="H4088" t="s">
        <v>3470</v>
      </c>
      <c r="I4088">
        <v>122</v>
      </c>
      <c r="J4088" t="s">
        <v>21703</v>
      </c>
      <c r="K4088" t="s">
        <v>99</v>
      </c>
      <c r="L4088" t="s">
        <v>100</v>
      </c>
      <c r="M4088" t="s">
        <v>75</v>
      </c>
      <c r="N4088" t="s">
        <v>21704</v>
      </c>
      <c r="O4088" t="s">
        <v>6410</v>
      </c>
      <c r="P4088" t="s">
        <v>77</v>
      </c>
      <c r="Q4088" t="str">
        <f>"10016"</f>
        <v>10016</v>
      </c>
      <c r="AC4088" t="s">
        <v>79</v>
      </c>
      <c r="AD4088" t="s">
        <v>75</v>
      </c>
      <c r="AE4088" t="s">
        <v>101</v>
      </c>
      <c r="AG4088" t="s">
        <v>81</v>
      </c>
    </row>
    <row r="4089" spans="1:33" x14ac:dyDescent="0.25">
      <c r="C4089" t="s">
        <v>21705</v>
      </c>
      <c r="G4089" t="s">
        <v>21702</v>
      </c>
      <c r="H4089" t="s">
        <v>3470</v>
      </c>
      <c r="I4089">
        <v>122</v>
      </c>
      <c r="J4089" t="s">
        <v>21703</v>
      </c>
      <c r="K4089" t="s">
        <v>99</v>
      </c>
      <c r="L4089" t="s">
        <v>100</v>
      </c>
      <c r="M4089" t="s">
        <v>75</v>
      </c>
      <c r="N4089" t="s">
        <v>21704</v>
      </c>
      <c r="O4089" t="s">
        <v>6410</v>
      </c>
      <c r="P4089" t="s">
        <v>77</v>
      </c>
      <c r="Q4089" t="str">
        <f>"10016"</f>
        <v>10016</v>
      </c>
      <c r="AC4089" t="s">
        <v>79</v>
      </c>
      <c r="AD4089" t="s">
        <v>75</v>
      </c>
      <c r="AE4089" t="s">
        <v>101</v>
      </c>
      <c r="AG4089" t="s">
        <v>81</v>
      </c>
    </row>
    <row r="4090" spans="1:33" x14ac:dyDescent="0.25">
      <c r="C4090" t="s">
        <v>21706</v>
      </c>
      <c r="G4090" t="s">
        <v>21702</v>
      </c>
      <c r="H4090" t="s">
        <v>3470</v>
      </c>
      <c r="I4090">
        <v>122</v>
      </c>
      <c r="J4090" t="s">
        <v>21703</v>
      </c>
      <c r="K4090" t="s">
        <v>99</v>
      </c>
      <c r="L4090" t="s">
        <v>100</v>
      </c>
      <c r="M4090" t="s">
        <v>75</v>
      </c>
      <c r="N4090" t="s">
        <v>21704</v>
      </c>
      <c r="O4090" t="s">
        <v>6410</v>
      </c>
      <c r="P4090" t="s">
        <v>77</v>
      </c>
      <c r="Q4090" t="str">
        <f>"10016"</f>
        <v>10016</v>
      </c>
      <c r="AC4090" t="s">
        <v>79</v>
      </c>
      <c r="AD4090" t="s">
        <v>75</v>
      </c>
      <c r="AE4090" t="s">
        <v>101</v>
      </c>
      <c r="AG4090" t="s">
        <v>81</v>
      </c>
    </row>
    <row r="4091" spans="1:33" x14ac:dyDescent="0.25">
      <c r="A4091" t="str">
        <f>"1841583523"</f>
        <v>1841583523</v>
      </c>
      <c r="C4091" t="s">
        <v>21707</v>
      </c>
      <c r="G4091" t="s">
        <v>13504</v>
      </c>
      <c r="H4091" t="s">
        <v>13505</v>
      </c>
      <c r="J4091" t="s">
        <v>13506</v>
      </c>
      <c r="K4091" t="s">
        <v>99</v>
      </c>
      <c r="L4091" t="s">
        <v>74</v>
      </c>
      <c r="M4091" t="s">
        <v>75</v>
      </c>
      <c r="R4091" t="s">
        <v>21708</v>
      </c>
      <c r="S4091" t="s">
        <v>202</v>
      </c>
      <c r="T4091" t="s">
        <v>87</v>
      </c>
      <c r="U4091" t="s">
        <v>77</v>
      </c>
      <c r="V4091" t="str">
        <f>"112015425"</f>
        <v>112015425</v>
      </c>
      <c r="AC4091" t="s">
        <v>79</v>
      </c>
      <c r="AD4091" t="s">
        <v>75</v>
      </c>
      <c r="AE4091" t="s">
        <v>103</v>
      </c>
      <c r="AG4091" t="s">
        <v>81</v>
      </c>
    </row>
    <row r="4092" spans="1:33" x14ac:dyDescent="0.25">
      <c r="A4092" t="str">
        <f>"1154448678"</f>
        <v>1154448678</v>
      </c>
      <c r="B4092" t="str">
        <f>"01820093"</f>
        <v>01820093</v>
      </c>
      <c r="C4092" t="s">
        <v>21709</v>
      </c>
      <c r="D4092" t="s">
        <v>21710</v>
      </c>
      <c r="E4092" t="s">
        <v>21711</v>
      </c>
      <c r="G4092" t="s">
        <v>13504</v>
      </c>
      <c r="H4092" t="s">
        <v>13505</v>
      </c>
      <c r="J4092" t="s">
        <v>13506</v>
      </c>
      <c r="L4092" t="s">
        <v>83</v>
      </c>
      <c r="M4092" t="s">
        <v>75</v>
      </c>
      <c r="R4092" t="s">
        <v>21712</v>
      </c>
      <c r="W4092" t="s">
        <v>21711</v>
      </c>
      <c r="X4092" t="s">
        <v>202</v>
      </c>
      <c r="Y4092" t="s">
        <v>87</v>
      </c>
      <c r="Z4092" t="s">
        <v>77</v>
      </c>
      <c r="AA4092" t="str">
        <f>"11201-5425"</f>
        <v>11201-5425</v>
      </c>
      <c r="AB4092" t="s">
        <v>114</v>
      </c>
      <c r="AC4092" t="s">
        <v>79</v>
      </c>
      <c r="AD4092" t="s">
        <v>75</v>
      </c>
      <c r="AE4092" t="s">
        <v>80</v>
      </c>
      <c r="AG4092" t="s">
        <v>81</v>
      </c>
    </row>
    <row r="4093" spans="1:33" x14ac:dyDescent="0.25">
      <c r="A4093" t="str">
        <f>"1306992409"</f>
        <v>1306992409</v>
      </c>
      <c r="B4093" t="str">
        <f>"02181946"</f>
        <v>02181946</v>
      </c>
      <c r="C4093" t="s">
        <v>21713</v>
      </c>
      <c r="D4093" t="s">
        <v>21714</v>
      </c>
      <c r="E4093" t="s">
        <v>21715</v>
      </c>
      <c r="G4093" t="s">
        <v>13504</v>
      </c>
      <c r="H4093" t="s">
        <v>13505</v>
      </c>
      <c r="J4093" t="s">
        <v>13506</v>
      </c>
      <c r="L4093" t="s">
        <v>83</v>
      </c>
      <c r="M4093" t="s">
        <v>75</v>
      </c>
      <c r="R4093" t="s">
        <v>21716</v>
      </c>
      <c r="W4093" t="s">
        <v>21717</v>
      </c>
      <c r="X4093" t="s">
        <v>202</v>
      </c>
      <c r="Y4093" t="s">
        <v>87</v>
      </c>
      <c r="Z4093" t="s">
        <v>77</v>
      </c>
      <c r="AA4093" t="str">
        <f>"11201-5425"</f>
        <v>11201-5425</v>
      </c>
      <c r="AB4093" t="s">
        <v>114</v>
      </c>
      <c r="AC4093" t="s">
        <v>79</v>
      </c>
      <c r="AD4093" t="s">
        <v>75</v>
      </c>
      <c r="AE4093" t="s">
        <v>80</v>
      </c>
      <c r="AG4093" t="s">
        <v>81</v>
      </c>
    </row>
    <row r="4094" spans="1:33" x14ac:dyDescent="0.25">
      <c r="A4094" t="str">
        <f>"1275705576"</f>
        <v>1275705576</v>
      </c>
      <c r="B4094" t="str">
        <f>"02532272"</f>
        <v>02532272</v>
      </c>
      <c r="C4094" t="s">
        <v>21718</v>
      </c>
      <c r="D4094" t="s">
        <v>21719</v>
      </c>
      <c r="E4094" t="s">
        <v>21720</v>
      </c>
      <c r="G4094" t="s">
        <v>13504</v>
      </c>
      <c r="H4094" t="s">
        <v>13505</v>
      </c>
      <c r="J4094" t="s">
        <v>13506</v>
      </c>
      <c r="L4094" t="s">
        <v>74</v>
      </c>
      <c r="M4094" t="s">
        <v>75</v>
      </c>
      <c r="R4094" t="s">
        <v>21721</v>
      </c>
      <c r="W4094" t="s">
        <v>21720</v>
      </c>
      <c r="X4094" t="s">
        <v>202</v>
      </c>
      <c r="Y4094" t="s">
        <v>87</v>
      </c>
      <c r="Z4094" t="s">
        <v>77</v>
      </c>
      <c r="AA4094" t="str">
        <f>"11201-5425"</f>
        <v>11201-5425</v>
      </c>
      <c r="AB4094" t="s">
        <v>114</v>
      </c>
      <c r="AC4094" t="s">
        <v>79</v>
      </c>
      <c r="AD4094" t="s">
        <v>75</v>
      </c>
      <c r="AE4094" t="s">
        <v>80</v>
      </c>
      <c r="AG4094" t="s">
        <v>81</v>
      </c>
    </row>
    <row r="4095" spans="1:33" x14ac:dyDescent="0.25">
      <c r="A4095" t="str">
        <f>"1003199746"</f>
        <v>1003199746</v>
      </c>
      <c r="B4095" t="str">
        <f>"03399608"</f>
        <v>03399608</v>
      </c>
      <c r="C4095" t="s">
        <v>21722</v>
      </c>
      <c r="D4095" t="s">
        <v>21723</v>
      </c>
      <c r="E4095" t="s">
        <v>21724</v>
      </c>
      <c r="G4095" t="s">
        <v>13504</v>
      </c>
      <c r="H4095" t="s">
        <v>13505</v>
      </c>
      <c r="J4095" t="s">
        <v>13506</v>
      </c>
      <c r="L4095" t="s">
        <v>83</v>
      </c>
      <c r="M4095" t="s">
        <v>75</v>
      </c>
      <c r="R4095" t="s">
        <v>21725</v>
      </c>
      <c r="W4095" t="s">
        <v>21724</v>
      </c>
      <c r="X4095" t="s">
        <v>21726</v>
      </c>
      <c r="Y4095" t="s">
        <v>87</v>
      </c>
      <c r="Z4095" t="s">
        <v>77</v>
      </c>
      <c r="AA4095" t="str">
        <f>"11203-3209"</f>
        <v>11203-3209</v>
      </c>
      <c r="AB4095" t="s">
        <v>114</v>
      </c>
      <c r="AC4095" t="s">
        <v>79</v>
      </c>
      <c r="AD4095" t="s">
        <v>75</v>
      </c>
      <c r="AE4095" t="s">
        <v>80</v>
      </c>
      <c r="AG4095" t="s">
        <v>81</v>
      </c>
    </row>
    <row r="4096" spans="1:33" x14ac:dyDescent="0.25">
      <c r="A4096" t="str">
        <f>"1417209651"</f>
        <v>1417209651</v>
      </c>
      <c r="B4096" t="str">
        <f>"03783951"</f>
        <v>03783951</v>
      </c>
      <c r="C4096" t="s">
        <v>21727</v>
      </c>
      <c r="D4096" t="s">
        <v>21728</v>
      </c>
      <c r="E4096" t="s">
        <v>21729</v>
      </c>
      <c r="G4096" t="s">
        <v>13504</v>
      </c>
      <c r="H4096" t="s">
        <v>13505</v>
      </c>
      <c r="J4096" t="s">
        <v>13506</v>
      </c>
      <c r="L4096" t="s">
        <v>74</v>
      </c>
      <c r="M4096" t="s">
        <v>75</v>
      </c>
      <c r="R4096" t="s">
        <v>21730</v>
      </c>
      <c r="W4096" t="s">
        <v>21729</v>
      </c>
      <c r="X4096" t="s">
        <v>13507</v>
      </c>
      <c r="Y4096" t="s">
        <v>87</v>
      </c>
      <c r="Z4096" t="s">
        <v>77</v>
      </c>
      <c r="AA4096" t="str">
        <f>"11221-3204"</f>
        <v>11221-3204</v>
      </c>
      <c r="AB4096" t="s">
        <v>114</v>
      </c>
      <c r="AC4096" t="s">
        <v>79</v>
      </c>
      <c r="AD4096" t="s">
        <v>75</v>
      </c>
      <c r="AE4096" t="s">
        <v>80</v>
      </c>
      <c r="AG4096" t="s">
        <v>81</v>
      </c>
    </row>
    <row r="4097" spans="1:33" x14ac:dyDescent="0.25">
      <c r="A4097" t="str">
        <f>"1063661973"</f>
        <v>1063661973</v>
      </c>
      <c r="B4097" t="str">
        <f>"03532029"</f>
        <v>03532029</v>
      </c>
      <c r="C4097" t="s">
        <v>21731</v>
      </c>
      <c r="D4097" t="s">
        <v>21732</v>
      </c>
      <c r="E4097" t="s">
        <v>21733</v>
      </c>
      <c r="G4097" t="s">
        <v>13504</v>
      </c>
      <c r="H4097" t="s">
        <v>13505</v>
      </c>
      <c r="J4097" t="s">
        <v>13506</v>
      </c>
      <c r="L4097" t="s">
        <v>74</v>
      </c>
      <c r="M4097" t="s">
        <v>75</v>
      </c>
      <c r="R4097" t="s">
        <v>21734</v>
      </c>
      <c r="W4097" t="s">
        <v>21733</v>
      </c>
      <c r="X4097" t="s">
        <v>202</v>
      </c>
      <c r="Y4097" t="s">
        <v>87</v>
      </c>
      <c r="Z4097" t="s">
        <v>77</v>
      </c>
      <c r="AA4097" t="str">
        <f>"11201-5425"</f>
        <v>11201-5425</v>
      </c>
      <c r="AB4097" t="s">
        <v>114</v>
      </c>
      <c r="AC4097" t="s">
        <v>79</v>
      </c>
      <c r="AD4097" t="s">
        <v>75</v>
      </c>
      <c r="AE4097" t="s">
        <v>80</v>
      </c>
      <c r="AG4097" t="s">
        <v>81</v>
      </c>
    </row>
    <row r="4098" spans="1:33" x14ac:dyDescent="0.25">
      <c r="A4098" t="str">
        <f>"1649484700"</f>
        <v>1649484700</v>
      </c>
      <c r="B4098" t="str">
        <f>"02642313"</f>
        <v>02642313</v>
      </c>
      <c r="C4098" t="s">
        <v>21735</v>
      </c>
      <c r="D4098" t="s">
        <v>21736</v>
      </c>
      <c r="E4098" t="s">
        <v>21737</v>
      </c>
      <c r="G4098" t="s">
        <v>13504</v>
      </c>
      <c r="H4098" t="s">
        <v>13505</v>
      </c>
      <c r="J4098" t="s">
        <v>13506</v>
      </c>
      <c r="L4098" t="s">
        <v>102</v>
      </c>
      <c r="M4098" t="s">
        <v>75</v>
      </c>
      <c r="R4098" t="s">
        <v>21738</v>
      </c>
      <c r="W4098" t="s">
        <v>21737</v>
      </c>
      <c r="X4098" t="s">
        <v>202</v>
      </c>
      <c r="Y4098" t="s">
        <v>87</v>
      </c>
      <c r="Z4098" t="s">
        <v>77</v>
      </c>
      <c r="AA4098" t="str">
        <f>"11201-5425"</f>
        <v>11201-5425</v>
      </c>
      <c r="AB4098" t="s">
        <v>78</v>
      </c>
      <c r="AC4098" t="s">
        <v>79</v>
      </c>
      <c r="AD4098" t="s">
        <v>75</v>
      </c>
      <c r="AE4098" t="s">
        <v>80</v>
      </c>
      <c r="AG4098" t="s">
        <v>81</v>
      </c>
    </row>
    <row r="4099" spans="1:33" x14ac:dyDescent="0.25">
      <c r="A4099" t="str">
        <f>"1407928393"</f>
        <v>1407928393</v>
      </c>
      <c r="B4099" t="str">
        <f>"00602355"</f>
        <v>00602355</v>
      </c>
      <c r="C4099" t="s">
        <v>21739</v>
      </c>
      <c r="D4099" t="s">
        <v>21740</v>
      </c>
      <c r="E4099" t="s">
        <v>21741</v>
      </c>
      <c r="G4099" t="s">
        <v>13504</v>
      </c>
      <c r="H4099" t="s">
        <v>13505</v>
      </c>
      <c r="J4099" t="s">
        <v>13506</v>
      </c>
      <c r="L4099" t="s">
        <v>83</v>
      </c>
      <c r="M4099" t="s">
        <v>75</v>
      </c>
      <c r="R4099" t="s">
        <v>21742</v>
      </c>
      <c r="W4099" t="s">
        <v>21741</v>
      </c>
      <c r="X4099" t="s">
        <v>21743</v>
      </c>
      <c r="Y4099" t="s">
        <v>87</v>
      </c>
      <c r="Z4099" t="s">
        <v>77</v>
      </c>
      <c r="AA4099" t="str">
        <f>"11213-4332"</f>
        <v>11213-4332</v>
      </c>
      <c r="AB4099" t="s">
        <v>128</v>
      </c>
      <c r="AC4099" t="s">
        <v>79</v>
      </c>
      <c r="AD4099" t="s">
        <v>75</v>
      </c>
      <c r="AE4099" t="s">
        <v>80</v>
      </c>
      <c r="AG4099" t="s">
        <v>81</v>
      </c>
    </row>
    <row r="4100" spans="1:33" x14ac:dyDescent="0.25">
      <c r="A4100" t="str">
        <f>"1528123585"</f>
        <v>1528123585</v>
      </c>
      <c r="B4100" t="str">
        <f>"01110310"</f>
        <v>01110310</v>
      </c>
      <c r="C4100" t="s">
        <v>21744</v>
      </c>
      <c r="D4100" t="s">
        <v>21745</v>
      </c>
      <c r="E4100" t="s">
        <v>21746</v>
      </c>
      <c r="G4100" t="s">
        <v>21744</v>
      </c>
      <c r="H4100" t="s">
        <v>21747</v>
      </c>
      <c r="J4100" t="s">
        <v>21748</v>
      </c>
      <c r="L4100" t="s">
        <v>83</v>
      </c>
      <c r="M4100" t="s">
        <v>75</v>
      </c>
      <c r="R4100" t="s">
        <v>21749</v>
      </c>
      <c r="W4100" t="s">
        <v>21746</v>
      </c>
      <c r="X4100" t="s">
        <v>21750</v>
      </c>
      <c r="Y4100" t="s">
        <v>155</v>
      </c>
      <c r="Z4100" t="s">
        <v>77</v>
      </c>
      <c r="AA4100" t="str">
        <f>"10314-4528"</f>
        <v>10314-4528</v>
      </c>
      <c r="AB4100" t="s">
        <v>78</v>
      </c>
      <c r="AC4100" t="s">
        <v>79</v>
      </c>
      <c r="AD4100" t="s">
        <v>75</v>
      </c>
      <c r="AE4100" t="s">
        <v>80</v>
      </c>
      <c r="AG4100" t="s">
        <v>81</v>
      </c>
    </row>
    <row r="4101" spans="1:33" x14ac:dyDescent="0.25">
      <c r="A4101" t="str">
        <f>"1891800033"</f>
        <v>1891800033</v>
      </c>
      <c r="B4101" t="str">
        <f>"02910552"</f>
        <v>02910552</v>
      </c>
      <c r="C4101" t="s">
        <v>21751</v>
      </c>
      <c r="D4101" t="s">
        <v>21752</v>
      </c>
      <c r="E4101" t="s">
        <v>21753</v>
      </c>
      <c r="G4101" t="s">
        <v>21751</v>
      </c>
      <c r="H4101" t="s">
        <v>21754</v>
      </c>
      <c r="J4101" t="s">
        <v>21755</v>
      </c>
      <c r="L4101" t="s">
        <v>83</v>
      </c>
      <c r="M4101" t="s">
        <v>85</v>
      </c>
      <c r="R4101" t="s">
        <v>21756</v>
      </c>
      <c r="W4101" t="s">
        <v>21757</v>
      </c>
      <c r="X4101" t="s">
        <v>329</v>
      </c>
      <c r="Y4101" t="s">
        <v>97</v>
      </c>
      <c r="Z4101" t="s">
        <v>77</v>
      </c>
      <c r="AA4101" t="str">
        <f>"10029-6500"</f>
        <v>10029-6500</v>
      </c>
      <c r="AB4101" t="s">
        <v>78</v>
      </c>
      <c r="AC4101" t="s">
        <v>79</v>
      </c>
      <c r="AD4101" t="s">
        <v>75</v>
      </c>
      <c r="AE4101" t="s">
        <v>80</v>
      </c>
      <c r="AG4101" t="s">
        <v>81</v>
      </c>
    </row>
    <row r="4102" spans="1:33" x14ac:dyDescent="0.25">
      <c r="A4102" t="str">
        <f>"1336152917"</f>
        <v>1336152917</v>
      </c>
      <c r="B4102" t="str">
        <f>"00906189"</f>
        <v>00906189</v>
      </c>
      <c r="C4102" t="s">
        <v>21758</v>
      </c>
      <c r="D4102" t="s">
        <v>2204</v>
      </c>
      <c r="E4102" t="s">
        <v>2205</v>
      </c>
      <c r="G4102" t="s">
        <v>21758</v>
      </c>
      <c r="H4102" t="s">
        <v>21759</v>
      </c>
      <c r="J4102" t="s">
        <v>21760</v>
      </c>
      <c r="L4102" t="s">
        <v>74</v>
      </c>
      <c r="M4102" t="s">
        <v>75</v>
      </c>
      <c r="R4102" t="s">
        <v>2203</v>
      </c>
      <c r="W4102" t="s">
        <v>2205</v>
      </c>
      <c r="X4102" t="s">
        <v>2206</v>
      </c>
      <c r="Y4102" t="s">
        <v>131</v>
      </c>
      <c r="Z4102" t="s">
        <v>77</v>
      </c>
      <c r="AA4102" t="str">
        <f>"10463-1782"</f>
        <v>10463-1782</v>
      </c>
      <c r="AB4102" t="s">
        <v>78</v>
      </c>
      <c r="AC4102" t="s">
        <v>79</v>
      </c>
      <c r="AD4102" t="s">
        <v>75</v>
      </c>
      <c r="AE4102" t="s">
        <v>80</v>
      </c>
      <c r="AG4102" t="s">
        <v>81</v>
      </c>
    </row>
    <row r="4103" spans="1:33" x14ac:dyDescent="0.25">
      <c r="A4103" t="str">
        <f>"1487729356"</f>
        <v>1487729356</v>
      </c>
      <c r="B4103" t="str">
        <f>"00714109"</f>
        <v>00714109</v>
      </c>
      <c r="C4103" t="s">
        <v>21761</v>
      </c>
      <c r="D4103" t="s">
        <v>2775</v>
      </c>
      <c r="E4103" t="s">
        <v>2776</v>
      </c>
      <c r="G4103" t="s">
        <v>21761</v>
      </c>
      <c r="H4103" t="s">
        <v>21762</v>
      </c>
      <c r="J4103" t="s">
        <v>21763</v>
      </c>
      <c r="L4103" t="s">
        <v>74</v>
      </c>
      <c r="M4103" t="s">
        <v>85</v>
      </c>
      <c r="R4103" t="s">
        <v>2777</v>
      </c>
      <c r="W4103" t="s">
        <v>2776</v>
      </c>
      <c r="X4103" t="s">
        <v>186</v>
      </c>
      <c r="Y4103" t="s">
        <v>97</v>
      </c>
      <c r="Z4103" t="s">
        <v>77</v>
      </c>
      <c r="AA4103" t="str">
        <f>"10029-7491"</f>
        <v>10029-7491</v>
      </c>
      <c r="AB4103" t="s">
        <v>78</v>
      </c>
      <c r="AC4103" t="s">
        <v>79</v>
      </c>
      <c r="AD4103" t="s">
        <v>75</v>
      </c>
      <c r="AE4103" t="s">
        <v>80</v>
      </c>
      <c r="AG4103" t="s">
        <v>81</v>
      </c>
    </row>
    <row r="4104" spans="1:33" x14ac:dyDescent="0.25">
      <c r="C4104" t="s">
        <v>21764</v>
      </c>
      <c r="H4104" t="s">
        <v>2558</v>
      </c>
      <c r="J4104" t="s">
        <v>21765</v>
      </c>
      <c r="K4104" t="s">
        <v>99</v>
      </c>
      <c r="L4104" t="s">
        <v>100</v>
      </c>
      <c r="M4104" t="s">
        <v>75</v>
      </c>
      <c r="AC4104" t="s">
        <v>79</v>
      </c>
      <c r="AD4104" t="s">
        <v>75</v>
      </c>
      <c r="AE4104" t="s">
        <v>101</v>
      </c>
      <c r="AG4104" t="s">
        <v>81</v>
      </c>
    </row>
    <row r="4105" spans="1:33" x14ac:dyDescent="0.25">
      <c r="A4105" t="str">
        <f>"1760406847"</f>
        <v>1760406847</v>
      </c>
      <c r="B4105" t="str">
        <f>"00366303"</f>
        <v>00366303</v>
      </c>
      <c r="C4105" t="s">
        <v>21766</v>
      </c>
      <c r="D4105" t="s">
        <v>2151</v>
      </c>
      <c r="E4105" t="s">
        <v>2152</v>
      </c>
      <c r="H4105" t="s">
        <v>21767</v>
      </c>
      <c r="L4105" t="s">
        <v>83</v>
      </c>
      <c r="M4105" t="s">
        <v>75</v>
      </c>
      <c r="R4105" t="s">
        <v>2150</v>
      </c>
      <c r="W4105" t="s">
        <v>2153</v>
      </c>
      <c r="X4105" t="s">
        <v>2154</v>
      </c>
      <c r="Y4105" t="s">
        <v>131</v>
      </c>
      <c r="Z4105" t="s">
        <v>77</v>
      </c>
      <c r="AA4105" t="str">
        <f>"10467-1598"</f>
        <v>10467-1598</v>
      </c>
      <c r="AB4105" t="s">
        <v>78</v>
      </c>
      <c r="AC4105" t="s">
        <v>79</v>
      </c>
      <c r="AD4105" t="s">
        <v>75</v>
      </c>
      <c r="AE4105" t="s">
        <v>80</v>
      </c>
      <c r="AG4105" t="s">
        <v>81</v>
      </c>
    </row>
    <row r="4106" spans="1:33" x14ac:dyDescent="0.25">
      <c r="C4106" t="s">
        <v>21768</v>
      </c>
      <c r="H4106" t="s">
        <v>19635</v>
      </c>
      <c r="J4106" t="s">
        <v>21769</v>
      </c>
      <c r="K4106" t="s">
        <v>99</v>
      </c>
      <c r="L4106" t="s">
        <v>100</v>
      </c>
      <c r="M4106" t="s">
        <v>75</v>
      </c>
      <c r="AC4106" t="s">
        <v>79</v>
      </c>
      <c r="AD4106" t="s">
        <v>75</v>
      </c>
      <c r="AE4106" t="s">
        <v>101</v>
      </c>
      <c r="AG4106" t="s">
        <v>81</v>
      </c>
    </row>
    <row r="4107" spans="1:33" x14ac:dyDescent="0.25">
      <c r="A4107" t="str">
        <f>"1730285982"</f>
        <v>1730285982</v>
      </c>
      <c r="B4107" t="str">
        <f>"02209570"</f>
        <v>02209570</v>
      </c>
      <c r="C4107" t="s">
        <v>21770</v>
      </c>
      <c r="D4107" t="s">
        <v>2156</v>
      </c>
      <c r="E4107" t="s">
        <v>2157</v>
      </c>
      <c r="H4107" t="s">
        <v>16738</v>
      </c>
      <c r="J4107" t="s">
        <v>21771</v>
      </c>
      <c r="L4107" t="s">
        <v>102</v>
      </c>
      <c r="M4107" t="s">
        <v>75</v>
      </c>
      <c r="R4107" t="s">
        <v>2155</v>
      </c>
      <c r="W4107" t="s">
        <v>2157</v>
      </c>
      <c r="X4107" t="s">
        <v>298</v>
      </c>
      <c r="Y4107" t="s">
        <v>131</v>
      </c>
      <c r="Z4107" t="s">
        <v>77</v>
      </c>
      <c r="AA4107" t="str">
        <f>"10469-6016"</f>
        <v>10469-6016</v>
      </c>
      <c r="AB4107" t="s">
        <v>78</v>
      </c>
      <c r="AC4107" t="s">
        <v>79</v>
      </c>
      <c r="AD4107" t="s">
        <v>75</v>
      </c>
      <c r="AE4107" t="s">
        <v>80</v>
      </c>
      <c r="AG4107" t="s">
        <v>81</v>
      </c>
    </row>
    <row r="4108" spans="1:33" x14ac:dyDescent="0.25">
      <c r="A4108" t="str">
        <f>"1184752735"</f>
        <v>1184752735</v>
      </c>
      <c r="B4108" t="str">
        <f>"03013903"</f>
        <v>03013903</v>
      </c>
      <c r="C4108" t="s">
        <v>21772</v>
      </c>
      <c r="D4108" t="s">
        <v>2159</v>
      </c>
      <c r="E4108" t="s">
        <v>2158</v>
      </c>
      <c r="H4108" t="s">
        <v>19635</v>
      </c>
      <c r="L4108" t="s">
        <v>37</v>
      </c>
      <c r="M4108" t="s">
        <v>75</v>
      </c>
      <c r="R4108" t="s">
        <v>2158</v>
      </c>
      <c r="W4108" t="s">
        <v>2158</v>
      </c>
      <c r="X4108" t="s">
        <v>2160</v>
      </c>
      <c r="Y4108" t="s">
        <v>131</v>
      </c>
      <c r="Z4108" t="s">
        <v>77</v>
      </c>
      <c r="AA4108" t="str">
        <f>"10461-5706"</f>
        <v>10461-5706</v>
      </c>
      <c r="AB4108" t="s">
        <v>127</v>
      </c>
      <c r="AC4108" t="s">
        <v>79</v>
      </c>
      <c r="AD4108" t="s">
        <v>75</v>
      </c>
      <c r="AE4108" t="s">
        <v>80</v>
      </c>
      <c r="AG4108" t="s">
        <v>81</v>
      </c>
    </row>
    <row r="4109" spans="1:33" x14ac:dyDescent="0.25">
      <c r="A4109" t="str">
        <f>"1316927049"</f>
        <v>1316927049</v>
      </c>
      <c r="C4109" t="s">
        <v>21773</v>
      </c>
      <c r="G4109" t="s">
        <v>21773</v>
      </c>
      <c r="H4109" t="s">
        <v>21774</v>
      </c>
      <c r="J4109" t="s">
        <v>21775</v>
      </c>
      <c r="K4109" t="s">
        <v>99</v>
      </c>
      <c r="L4109" t="s">
        <v>102</v>
      </c>
      <c r="M4109" t="s">
        <v>75</v>
      </c>
      <c r="R4109" t="s">
        <v>2476</v>
      </c>
      <c r="S4109" t="s">
        <v>2477</v>
      </c>
      <c r="T4109" t="s">
        <v>219</v>
      </c>
      <c r="U4109" t="s">
        <v>77</v>
      </c>
      <c r="V4109" t="str">
        <f>"117012797"</f>
        <v>117012797</v>
      </c>
      <c r="AC4109" t="s">
        <v>79</v>
      </c>
      <c r="AD4109" t="s">
        <v>75</v>
      </c>
      <c r="AE4109" t="s">
        <v>103</v>
      </c>
      <c r="AG4109" t="s">
        <v>81</v>
      </c>
    </row>
    <row r="4110" spans="1:33" x14ac:dyDescent="0.25">
      <c r="A4110" t="str">
        <f>"1811969504"</f>
        <v>1811969504</v>
      </c>
      <c r="B4110" t="str">
        <f>"02192267"</f>
        <v>02192267</v>
      </c>
      <c r="C4110" t="s">
        <v>21776</v>
      </c>
      <c r="D4110" t="s">
        <v>2388</v>
      </c>
      <c r="E4110" t="s">
        <v>2389</v>
      </c>
      <c r="G4110" t="s">
        <v>21776</v>
      </c>
      <c r="H4110" t="s">
        <v>21777</v>
      </c>
      <c r="J4110" t="s">
        <v>21778</v>
      </c>
      <c r="L4110" t="s">
        <v>84</v>
      </c>
      <c r="M4110" t="s">
        <v>75</v>
      </c>
      <c r="R4110" t="s">
        <v>2387</v>
      </c>
      <c r="W4110" t="s">
        <v>2389</v>
      </c>
      <c r="X4110" t="s">
        <v>2390</v>
      </c>
      <c r="Y4110" t="s">
        <v>230</v>
      </c>
      <c r="Z4110" t="s">
        <v>77</v>
      </c>
      <c r="AA4110" t="str">
        <f>"11795"</f>
        <v>11795</v>
      </c>
      <c r="AB4110" t="s">
        <v>78</v>
      </c>
      <c r="AC4110" t="s">
        <v>79</v>
      </c>
      <c r="AD4110" t="s">
        <v>75</v>
      </c>
      <c r="AE4110" t="s">
        <v>80</v>
      </c>
      <c r="AG4110" t="s">
        <v>81</v>
      </c>
    </row>
    <row r="4111" spans="1:33" x14ac:dyDescent="0.25">
      <c r="A4111" t="str">
        <f>"1528030269"</f>
        <v>1528030269</v>
      </c>
      <c r="B4111" t="str">
        <f>"01158790"</f>
        <v>01158790</v>
      </c>
      <c r="C4111" t="s">
        <v>21779</v>
      </c>
      <c r="D4111" t="s">
        <v>2392</v>
      </c>
      <c r="E4111" t="s">
        <v>2393</v>
      </c>
      <c r="G4111" t="s">
        <v>21779</v>
      </c>
      <c r="H4111" t="s">
        <v>21780</v>
      </c>
      <c r="L4111" t="s">
        <v>83</v>
      </c>
      <c r="M4111" t="s">
        <v>75</v>
      </c>
      <c r="R4111" t="s">
        <v>2391</v>
      </c>
      <c r="W4111" t="s">
        <v>2393</v>
      </c>
      <c r="X4111" t="s">
        <v>2394</v>
      </c>
      <c r="Y4111" t="s">
        <v>140</v>
      </c>
      <c r="Z4111" t="s">
        <v>77</v>
      </c>
      <c r="AA4111" t="str">
        <f>"11772"</f>
        <v>11772</v>
      </c>
      <c r="AB4111" t="s">
        <v>78</v>
      </c>
      <c r="AC4111" t="s">
        <v>79</v>
      </c>
      <c r="AD4111" t="s">
        <v>75</v>
      </c>
      <c r="AE4111" t="s">
        <v>80</v>
      </c>
      <c r="AG4111" t="s">
        <v>81</v>
      </c>
    </row>
    <row r="4112" spans="1:33" x14ac:dyDescent="0.25">
      <c r="A4112" t="str">
        <f>"1174598031"</f>
        <v>1174598031</v>
      </c>
      <c r="C4112" t="s">
        <v>21781</v>
      </c>
      <c r="G4112" t="s">
        <v>16837</v>
      </c>
      <c r="H4112" t="s">
        <v>16838</v>
      </c>
      <c r="I4112">
        <v>132</v>
      </c>
      <c r="J4112" t="s">
        <v>16839</v>
      </c>
      <c r="K4112" t="s">
        <v>99</v>
      </c>
      <c r="L4112" t="s">
        <v>74</v>
      </c>
      <c r="M4112" t="s">
        <v>75</v>
      </c>
      <c r="R4112" t="s">
        <v>21782</v>
      </c>
      <c r="S4112" t="s">
        <v>4836</v>
      </c>
      <c r="T4112" t="s">
        <v>3733</v>
      </c>
      <c r="U4112" t="s">
        <v>77</v>
      </c>
      <c r="V4112" t="str">
        <f>"115591216"</f>
        <v>115591216</v>
      </c>
      <c r="AC4112" t="s">
        <v>79</v>
      </c>
      <c r="AD4112" t="s">
        <v>75</v>
      </c>
      <c r="AE4112" t="s">
        <v>103</v>
      </c>
      <c r="AG4112" t="s">
        <v>81</v>
      </c>
    </row>
    <row r="4113" spans="1:33" x14ac:dyDescent="0.25">
      <c r="A4113" t="str">
        <f>"1730353145"</f>
        <v>1730353145</v>
      </c>
      <c r="B4113" t="str">
        <f>"02778036"</f>
        <v>02778036</v>
      </c>
      <c r="C4113" t="s">
        <v>21783</v>
      </c>
      <c r="D4113" t="s">
        <v>21784</v>
      </c>
      <c r="E4113" t="s">
        <v>21785</v>
      </c>
      <c r="G4113" t="s">
        <v>16837</v>
      </c>
      <c r="H4113" t="s">
        <v>16838</v>
      </c>
      <c r="I4113">
        <v>132</v>
      </c>
      <c r="J4113" t="s">
        <v>16839</v>
      </c>
      <c r="L4113" t="s">
        <v>105</v>
      </c>
      <c r="M4113" t="s">
        <v>75</v>
      </c>
      <c r="R4113" t="s">
        <v>21785</v>
      </c>
      <c r="W4113" t="s">
        <v>21785</v>
      </c>
      <c r="X4113" t="s">
        <v>8667</v>
      </c>
      <c r="Y4113" t="s">
        <v>97</v>
      </c>
      <c r="Z4113" t="s">
        <v>77</v>
      </c>
      <c r="AA4113" t="str">
        <f>"10023-6601"</f>
        <v>10023-6601</v>
      </c>
      <c r="AB4113" t="s">
        <v>113</v>
      </c>
      <c r="AC4113" t="s">
        <v>79</v>
      </c>
      <c r="AD4113" t="s">
        <v>75</v>
      </c>
      <c r="AE4113" t="s">
        <v>80</v>
      </c>
      <c r="AG4113" t="s">
        <v>81</v>
      </c>
    </row>
    <row r="4114" spans="1:33" x14ac:dyDescent="0.25">
      <c r="A4114" t="str">
        <f>"1205028909"</f>
        <v>1205028909</v>
      </c>
      <c r="B4114" t="str">
        <f>"03556874"</f>
        <v>03556874</v>
      </c>
      <c r="C4114" t="s">
        <v>21786</v>
      </c>
      <c r="D4114" t="s">
        <v>21787</v>
      </c>
      <c r="E4114" t="s">
        <v>21788</v>
      </c>
      <c r="G4114" t="s">
        <v>16837</v>
      </c>
      <c r="H4114" t="s">
        <v>16838</v>
      </c>
      <c r="I4114">
        <v>132</v>
      </c>
      <c r="J4114" t="s">
        <v>16839</v>
      </c>
      <c r="L4114" t="s">
        <v>105</v>
      </c>
      <c r="M4114" t="s">
        <v>75</v>
      </c>
      <c r="R4114" t="s">
        <v>21789</v>
      </c>
      <c r="W4114" t="s">
        <v>21788</v>
      </c>
      <c r="X4114" t="s">
        <v>3390</v>
      </c>
      <c r="Y4114" t="s">
        <v>97</v>
      </c>
      <c r="Z4114" t="s">
        <v>77</v>
      </c>
      <c r="AA4114" t="str">
        <f>"10002-4816"</f>
        <v>10002-4816</v>
      </c>
      <c r="AB4114" t="s">
        <v>113</v>
      </c>
      <c r="AC4114" t="s">
        <v>79</v>
      </c>
      <c r="AD4114" t="s">
        <v>75</v>
      </c>
      <c r="AE4114" t="s">
        <v>80</v>
      </c>
      <c r="AG4114" t="s">
        <v>81</v>
      </c>
    </row>
    <row r="4115" spans="1:33" x14ac:dyDescent="0.25">
      <c r="A4115" t="str">
        <f>"1700821832"</f>
        <v>1700821832</v>
      </c>
      <c r="B4115" t="str">
        <f>"03067907"</f>
        <v>03067907</v>
      </c>
      <c r="C4115" t="s">
        <v>21790</v>
      </c>
      <c r="D4115" t="s">
        <v>2695</v>
      </c>
      <c r="E4115" t="s">
        <v>2696</v>
      </c>
      <c r="G4115" t="s">
        <v>21790</v>
      </c>
      <c r="H4115" t="s">
        <v>2697</v>
      </c>
      <c r="J4115" t="s">
        <v>2698</v>
      </c>
      <c r="L4115" t="s">
        <v>83</v>
      </c>
      <c r="M4115" t="s">
        <v>75</v>
      </c>
      <c r="R4115" t="s">
        <v>2699</v>
      </c>
      <c r="W4115" t="s">
        <v>2696</v>
      </c>
      <c r="X4115" t="s">
        <v>2700</v>
      </c>
      <c r="Y4115" t="s">
        <v>131</v>
      </c>
      <c r="Z4115" t="s">
        <v>77</v>
      </c>
      <c r="AA4115" t="str">
        <f>"10459-4240"</f>
        <v>10459-4240</v>
      </c>
      <c r="AB4115" t="s">
        <v>78</v>
      </c>
      <c r="AC4115" t="s">
        <v>79</v>
      </c>
      <c r="AD4115" t="s">
        <v>75</v>
      </c>
      <c r="AE4115" t="s">
        <v>80</v>
      </c>
      <c r="AG4115" t="s">
        <v>81</v>
      </c>
    </row>
    <row r="4116" spans="1:33" x14ac:dyDescent="0.25">
      <c r="A4116" t="str">
        <f>"1649608951"</f>
        <v>1649608951</v>
      </c>
      <c r="B4116" t="str">
        <f>"03746632"</f>
        <v>03746632</v>
      </c>
      <c r="C4116" t="s">
        <v>21791</v>
      </c>
      <c r="D4116" t="s">
        <v>2913</v>
      </c>
      <c r="E4116" t="s">
        <v>2914</v>
      </c>
      <c r="G4116" t="s">
        <v>21791</v>
      </c>
      <c r="H4116" t="s">
        <v>2915</v>
      </c>
      <c r="J4116" t="s">
        <v>2916</v>
      </c>
      <c r="L4116" t="s">
        <v>102</v>
      </c>
      <c r="M4116" t="s">
        <v>85</v>
      </c>
      <c r="R4116" t="s">
        <v>2917</v>
      </c>
      <c r="W4116" t="s">
        <v>2914</v>
      </c>
      <c r="X4116" t="s">
        <v>2918</v>
      </c>
      <c r="Y4116" t="s">
        <v>97</v>
      </c>
      <c r="Z4116" t="s">
        <v>77</v>
      </c>
      <c r="AA4116" t="str">
        <f>"10035-4521"</f>
        <v>10035-4521</v>
      </c>
      <c r="AB4116" t="s">
        <v>78</v>
      </c>
      <c r="AC4116" t="s">
        <v>79</v>
      </c>
      <c r="AD4116" t="s">
        <v>75</v>
      </c>
      <c r="AE4116" t="s">
        <v>80</v>
      </c>
      <c r="AG4116" t="s">
        <v>81</v>
      </c>
    </row>
    <row r="4117" spans="1:33" x14ac:dyDescent="0.25">
      <c r="A4117" t="str">
        <f>"1871522706"</f>
        <v>1871522706</v>
      </c>
      <c r="B4117" t="str">
        <f>"03573080"</f>
        <v>03573080</v>
      </c>
      <c r="C4117" t="s">
        <v>21792</v>
      </c>
      <c r="D4117" t="s">
        <v>3416</v>
      </c>
      <c r="E4117" t="s">
        <v>3417</v>
      </c>
      <c r="G4117" t="s">
        <v>21792</v>
      </c>
      <c r="H4117" t="s">
        <v>3418</v>
      </c>
      <c r="J4117" t="s">
        <v>3419</v>
      </c>
      <c r="L4117" t="s">
        <v>74</v>
      </c>
      <c r="M4117" t="s">
        <v>75</v>
      </c>
      <c r="R4117" t="s">
        <v>3420</v>
      </c>
      <c r="W4117" t="s">
        <v>3417</v>
      </c>
      <c r="X4117" t="s">
        <v>637</v>
      </c>
      <c r="Y4117" t="s">
        <v>97</v>
      </c>
      <c r="Z4117" t="s">
        <v>77</v>
      </c>
      <c r="AA4117" t="str">
        <f>"10170-1699"</f>
        <v>10170-1699</v>
      </c>
      <c r="AB4117" t="s">
        <v>78</v>
      </c>
      <c r="AC4117" t="s">
        <v>79</v>
      </c>
      <c r="AD4117" t="s">
        <v>75</v>
      </c>
      <c r="AE4117" t="s">
        <v>80</v>
      </c>
      <c r="AG4117" t="s">
        <v>81</v>
      </c>
    </row>
    <row r="4118" spans="1:33" x14ac:dyDescent="0.25">
      <c r="A4118" t="str">
        <f>"1740340942"</f>
        <v>1740340942</v>
      </c>
      <c r="B4118" t="str">
        <f>"00160870"</f>
        <v>00160870</v>
      </c>
      <c r="C4118" t="s">
        <v>21793</v>
      </c>
      <c r="D4118" t="s">
        <v>3297</v>
      </c>
      <c r="E4118" t="s">
        <v>3298</v>
      </c>
      <c r="G4118" t="s">
        <v>21793</v>
      </c>
      <c r="H4118" t="s">
        <v>3299</v>
      </c>
      <c r="J4118" t="s">
        <v>3300</v>
      </c>
      <c r="L4118" t="s">
        <v>84</v>
      </c>
      <c r="M4118" t="s">
        <v>85</v>
      </c>
      <c r="R4118" t="s">
        <v>3301</v>
      </c>
      <c r="W4118" t="s">
        <v>3298</v>
      </c>
      <c r="X4118" t="s">
        <v>3302</v>
      </c>
      <c r="Y4118" t="s">
        <v>131</v>
      </c>
      <c r="Z4118" t="s">
        <v>77</v>
      </c>
      <c r="AA4118" t="str">
        <f>"10467-7947"</f>
        <v>10467-7947</v>
      </c>
      <c r="AB4118" t="s">
        <v>78</v>
      </c>
      <c r="AC4118" t="s">
        <v>79</v>
      </c>
      <c r="AD4118" t="s">
        <v>75</v>
      </c>
      <c r="AE4118" t="s">
        <v>80</v>
      </c>
      <c r="AG4118" t="s">
        <v>81</v>
      </c>
    </row>
    <row r="4119" spans="1:33" x14ac:dyDescent="0.25">
      <c r="A4119" t="str">
        <f>"1922278720"</f>
        <v>1922278720</v>
      </c>
      <c r="B4119" t="str">
        <f>"03280453"</f>
        <v>03280453</v>
      </c>
      <c r="C4119" t="s">
        <v>21794</v>
      </c>
      <c r="D4119" t="s">
        <v>3132</v>
      </c>
      <c r="E4119" t="s">
        <v>3133</v>
      </c>
      <c r="G4119" t="s">
        <v>21794</v>
      </c>
      <c r="H4119" t="s">
        <v>2915</v>
      </c>
      <c r="J4119" t="s">
        <v>3134</v>
      </c>
      <c r="L4119" t="s">
        <v>83</v>
      </c>
      <c r="M4119" t="s">
        <v>85</v>
      </c>
      <c r="R4119" t="s">
        <v>3135</v>
      </c>
      <c r="W4119" t="s">
        <v>3133</v>
      </c>
      <c r="X4119" t="s">
        <v>2918</v>
      </c>
      <c r="Y4119" t="s">
        <v>97</v>
      </c>
      <c r="Z4119" t="s">
        <v>77</v>
      </c>
      <c r="AA4119" t="str">
        <f>"10035-4521"</f>
        <v>10035-4521</v>
      </c>
      <c r="AB4119" t="s">
        <v>78</v>
      </c>
      <c r="AC4119" t="s">
        <v>79</v>
      </c>
      <c r="AD4119" t="s">
        <v>75</v>
      </c>
      <c r="AE4119" t="s">
        <v>80</v>
      </c>
      <c r="AG4119" t="s">
        <v>81</v>
      </c>
    </row>
    <row r="4120" spans="1:33" x14ac:dyDescent="0.25">
      <c r="A4120" t="str">
        <f>"1821025099"</f>
        <v>1821025099</v>
      </c>
      <c r="B4120" t="str">
        <f>"01169093"</f>
        <v>01169093</v>
      </c>
      <c r="C4120" t="s">
        <v>21795</v>
      </c>
      <c r="D4120" t="s">
        <v>21796</v>
      </c>
      <c r="E4120" t="s">
        <v>21797</v>
      </c>
      <c r="G4120" t="s">
        <v>21795</v>
      </c>
      <c r="H4120" t="s">
        <v>21798</v>
      </c>
      <c r="J4120" t="s">
        <v>21799</v>
      </c>
      <c r="L4120" t="s">
        <v>83</v>
      </c>
      <c r="M4120" t="s">
        <v>75</v>
      </c>
      <c r="R4120" t="s">
        <v>21800</v>
      </c>
      <c r="W4120" t="s">
        <v>21797</v>
      </c>
      <c r="X4120" t="s">
        <v>21801</v>
      </c>
      <c r="Y4120" t="s">
        <v>87</v>
      </c>
      <c r="Z4120" t="s">
        <v>77</v>
      </c>
      <c r="AA4120" t="str">
        <f>"11226-1203"</f>
        <v>11226-1203</v>
      </c>
      <c r="AB4120" t="s">
        <v>78</v>
      </c>
      <c r="AC4120" t="s">
        <v>79</v>
      </c>
      <c r="AD4120" t="s">
        <v>75</v>
      </c>
      <c r="AE4120" t="s">
        <v>80</v>
      </c>
      <c r="AG4120" t="s">
        <v>81</v>
      </c>
    </row>
    <row r="4121" spans="1:33" x14ac:dyDescent="0.25">
      <c r="A4121" t="str">
        <f>"1154580520"</f>
        <v>1154580520</v>
      </c>
      <c r="C4121" t="s">
        <v>21802</v>
      </c>
      <c r="G4121" t="s">
        <v>21802</v>
      </c>
      <c r="H4121" t="s">
        <v>21803</v>
      </c>
      <c r="J4121" t="s">
        <v>21804</v>
      </c>
      <c r="K4121" t="s">
        <v>99</v>
      </c>
      <c r="L4121" t="s">
        <v>102</v>
      </c>
      <c r="M4121" t="s">
        <v>75</v>
      </c>
      <c r="R4121" t="s">
        <v>21805</v>
      </c>
      <c r="S4121" t="s">
        <v>21806</v>
      </c>
      <c r="T4121" t="s">
        <v>97</v>
      </c>
      <c r="U4121" t="s">
        <v>77</v>
      </c>
      <c r="V4121" t="str">
        <f>"100263316"</f>
        <v>100263316</v>
      </c>
      <c r="AC4121" t="s">
        <v>79</v>
      </c>
      <c r="AD4121" t="s">
        <v>75</v>
      </c>
      <c r="AE4121" t="s">
        <v>103</v>
      </c>
      <c r="AG4121" t="s">
        <v>81</v>
      </c>
    </row>
    <row r="4122" spans="1:33" x14ac:dyDescent="0.25">
      <c r="A4122" t="str">
        <f>"1780716423"</f>
        <v>1780716423</v>
      </c>
      <c r="B4122" t="str">
        <f>"03756769"</f>
        <v>03756769</v>
      </c>
      <c r="C4122" t="s">
        <v>21807</v>
      </c>
      <c r="D4122" t="s">
        <v>21808</v>
      </c>
      <c r="E4122" t="s">
        <v>21809</v>
      </c>
      <c r="G4122" t="s">
        <v>21807</v>
      </c>
      <c r="H4122" t="s">
        <v>21810</v>
      </c>
      <c r="J4122" t="s">
        <v>21811</v>
      </c>
      <c r="L4122" t="s">
        <v>74</v>
      </c>
      <c r="M4122" t="s">
        <v>75</v>
      </c>
      <c r="R4122" t="s">
        <v>21812</v>
      </c>
      <c r="W4122" t="s">
        <v>21809</v>
      </c>
      <c r="X4122" t="s">
        <v>16626</v>
      </c>
      <c r="Y4122" t="s">
        <v>97</v>
      </c>
      <c r="Z4122" t="s">
        <v>77</v>
      </c>
      <c r="AA4122" t="str">
        <f>"10021-4707"</f>
        <v>10021-4707</v>
      </c>
      <c r="AB4122" t="s">
        <v>78</v>
      </c>
      <c r="AC4122" t="s">
        <v>79</v>
      </c>
      <c r="AD4122" t="s">
        <v>75</v>
      </c>
      <c r="AE4122" t="s">
        <v>80</v>
      </c>
      <c r="AG4122" t="s">
        <v>81</v>
      </c>
    </row>
    <row r="4123" spans="1:33" x14ac:dyDescent="0.25">
      <c r="A4123" t="str">
        <f>"1285997015"</f>
        <v>1285997015</v>
      </c>
      <c r="B4123" t="str">
        <f>"04626835"</f>
        <v>04626835</v>
      </c>
      <c r="C4123" t="s">
        <v>21813</v>
      </c>
      <c r="D4123" t="s">
        <v>21814</v>
      </c>
      <c r="E4123" t="s">
        <v>21815</v>
      </c>
      <c r="G4123" t="s">
        <v>7218</v>
      </c>
      <c r="H4123" t="s">
        <v>6801</v>
      </c>
      <c r="I4123">
        <v>6136</v>
      </c>
      <c r="J4123" t="s">
        <v>7219</v>
      </c>
      <c r="L4123" t="s">
        <v>102</v>
      </c>
      <c r="M4123" t="s">
        <v>75</v>
      </c>
      <c r="R4123" t="s">
        <v>21816</v>
      </c>
      <c r="W4123" t="s">
        <v>21815</v>
      </c>
      <c r="AB4123" t="s">
        <v>109</v>
      </c>
      <c r="AC4123" t="s">
        <v>79</v>
      </c>
      <c r="AD4123" t="s">
        <v>75</v>
      </c>
      <c r="AE4123" t="s">
        <v>80</v>
      </c>
      <c r="AG4123" t="s">
        <v>81</v>
      </c>
    </row>
    <row r="4124" spans="1:33" x14ac:dyDescent="0.25">
      <c r="A4124" t="str">
        <f>"1306151774"</f>
        <v>1306151774</v>
      </c>
      <c r="B4124" t="str">
        <f>"03805396"</f>
        <v>03805396</v>
      </c>
      <c r="C4124" t="s">
        <v>21817</v>
      </c>
      <c r="D4124" t="s">
        <v>21818</v>
      </c>
      <c r="E4124" t="s">
        <v>21819</v>
      </c>
      <c r="G4124" t="s">
        <v>7218</v>
      </c>
      <c r="H4124" t="s">
        <v>6801</v>
      </c>
      <c r="I4124">
        <v>6136</v>
      </c>
      <c r="J4124" t="s">
        <v>7219</v>
      </c>
      <c r="L4124" t="s">
        <v>74</v>
      </c>
      <c r="M4124" t="s">
        <v>75</v>
      </c>
      <c r="R4124" t="s">
        <v>21820</v>
      </c>
      <c r="W4124" t="s">
        <v>21819</v>
      </c>
      <c r="X4124" t="s">
        <v>9151</v>
      </c>
      <c r="Y4124" t="s">
        <v>97</v>
      </c>
      <c r="Z4124" t="s">
        <v>77</v>
      </c>
      <c r="AA4124" t="str">
        <f>"10001-2320"</f>
        <v>10001-2320</v>
      </c>
      <c r="AB4124" t="s">
        <v>109</v>
      </c>
      <c r="AC4124" t="s">
        <v>79</v>
      </c>
      <c r="AD4124" t="s">
        <v>75</v>
      </c>
      <c r="AE4124" t="s">
        <v>80</v>
      </c>
      <c r="AG4124" t="s">
        <v>81</v>
      </c>
    </row>
    <row r="4125" spans="1:33" x14ac:dyDescent="0.25">
      <c r="A4125" t="str">
        <f>"1083603690"</f>
        <v>1083603690</v>
      </c>
      <c r="B4125" t="str">
        <f>"01014382"</f>
        <v>01014382</v>
      </c>
      <c r="C4125" t="s">
        <v>13436</v>
      </c>
      <c r="D4125" t="s">
        <v>21821</v>
      </c>
      <c r="E4125" t="s">
        <v>21822</v>
      </c>
      <c r="G4125" t="s">
        <v>21823</v>
      </c>
      <c r="L4125" t="s">
        <v>74</v>
      </c>
      <c r="M4125" t="s">
        <v>85</v>
      </c>
      <c r="R4125" t="s">
        <v>21824</v>
      </c>
      <c r="W4125" t="s">
        <v>21822</v>
      </c>
      <c r="X4125" t="s">
        <v>21825</v>
      </c>
      <c r="Y4125" t="s">
        <v>97</v>
      </c>
      <c r="Z4125" t="s">
        <v>77</v>
      </c>
      <c r="AA4125" t="str">
        <f>"10023-6406"</f>
        <v>10023-6406</v>
      </c>
      <c r="AB4125" t="s">
        <v>78</v>
      </c>
      <c r="AC4125" t="s">
        <v>79</v>
      </c>
      <c r="AD4125" t="s">
        <v>75</v>
      </c>
      <c r="AE4125" t="s">
        <v>80</v>
      </c>
      <c r="AG4125" t="s">
        <v>81</v>
      </c>
    </row>
    <row r="4126" spans="1:33" x14ac:dyDescent="0.25">
      <c r="A4126" t="str">
        <f>"1316170574"</f>
        <v>1316170574</v>
      </c>
      <c r="B4126" t="str">
        <f>"03742243"</f>
        <v>03742243</v>
      </c>
      <c r="C4126" t="s">
        <v>21826</v>
      </c>
      <c r="D4126" t="s">
        <v>1997</v>
      </c>
      <c r="E4126" t="s">
        <v>1998</v>
      </c>
      <c r="G4126" t="s">
        <v>21826</v>
      </c>
      <c r="H4126" t="s">
        <v>19336</v>
      </c>
      <c r="L4126" t="s">
        <v>74</v>
      </c>
      <c r="M4126" t="s">
        <v>75</v>
      </c>
      <c r="R4126" t="s">
        <v>1996</v>
      </c>
      <c r="W4126" t="s">
        <v>1998</v>
      </c>
      <c r="X4126" t="s">
        <v>1934</v>
      </c>
      <c r="Y4126" t="s">
        <v>1935</v>
      </c>
      <c r="Z4126" t="s">
        <v>77</v>
      </c>
      <c r="AA4126" t="str">
        <f>"11779-7613"</f>
        <v>11779-7613</v>
      </c>
      <c r="AB4126" t="s">
        <v>78</v>
      </c>
      <c r="AC4126" t="s">
        <v>79</v>
      </c>
      <c r="AD4126" t="s">
        <v>75</v>
      </c>
      <c r="AE4126" t="s">
        <v>80</v>
      </c>
      <c r="AG4126" t="s">
        <v>81</v>
      </c>
    </row>
    <row r="4127" spans="1:33" x14ac:dyDescent="0.25">
      <c r="A4127" t="str">
        <f>"1124328729"</f>
        <v>1124328729</v>
      </c>
      <c r="B4127" t="str">
        <f>"03532950"</f>
        <v>03532950</v>
      </c>
      <c r="C4127" t="s">
        <v>21827</v>
      </c>
      <c r="D4127" t="s">
        <v>1932</v>
      </c>
      <c r="E4127" t="s">
        <v>1933</v>
      </c>
      <c r="G4127" t="s">
        <v>21827</v>
      </c>
      <c r="H4127" t="s">
        <v>19336</v>
      </c>
      <c r="L4127" t="s">
        <v>74</v>
      </c>
      <c r="M4127" t="s">
        <v>75</v>
      </c>
      <c r="R4127" t="s">
        <v>1931</v>
      </c>
      <c r="W4127" t="s">
        <v>1933</v>
      </c>
      <c r="X4127" t="s">
        <v>1934</v>
      </c>
      <c r="Y4127" t="s">
        <v>1935</v>
      </c>
      <c r="Z4127" t="s">
        <v>77</v>
      </c>
      <c r="AA4127" t="str">
        <f>"11779-7613"</f>
        <v>11779-7613</v>
      </c>
      <c r="AB4127" t="s">
        <v>78</v>
      </c>
      <c r="AC4127" t="s">
        <v>79</v>
      </c>
      <c r="AD4127" t="s">
        <v>75</v>
      </c>
      <c r="AE4127" t="s">
        <v>80</v>
      </c>
      <c r="AG4127" t="s">
        <v>81</v>
      </c>
    </row>
    <row r="4128" spans="1:33" x14ac:dyDescent="0.25">
      <c r="A4128" t="str">
        <f>"1073698163"</f>
        <v>1073698163</v>
      </c>
      <c r="B4128" t="str">
        <f>"01590445"</f>
        <v>01590445</v>
      </c>
      <c r="C4128" t="s">
        <v>13436</v>
      </c>
      <c r="D4128" t="s">
        <v>21828</v>
      </c>
      <c r="E4128" t="s">
        <v>21829</v>
      </c>
      <c r="G4128" t="s">
        <v>21830</v>
      </c>
      <c r="L4128" t="s">
        <v>83</v>
      </c>
      <c r="M4128" t="s">
        <v>85</v>
      </c>
      <c r="R4128" t="s">
        <v>21831</v>
      </c>
      <c r="W4128" t="s">
        <v>21829</v>
      </c>
      <c r="Y4128" t="s">
        <v>97</v>
      </c>
      <c r="Z4128" t="s">
        <v>77</v>
      </c>
      <c r="AA4128" t="str">
        <f>"10029-6500"</f>
        <v>10029-6500</v>
      </c>
      <c r="AB4128" t="s">
        <v>78</v>
      </c>
      <c r="AC4128" t="s">
        <v>79</v>
      </c>
      <c r="AD4128" t="s">
        <v>75</v>
      </c>
      <c r="AE4128" t="s">
        <v>80</v>
      </c>
      <c r="AG4128" t="s">
        <v>81</v>
      </c>
    </row>
    <row r="4129" spans="1:33" x14ac:dyDescent="0.25">
      <c r="A4129" t="str">
        <f>"1073709796"</f>
        <v>1073709796</v>
      </c>
      <c r="B4129" t="str">
        <f>"02964872"</f>
        <v>02964872</v>
      </c>
      <c r="C4129" t="s">
        <v>13436</v>
      </c>
      <c r="D4129" t="s">
        <v>21832</v>
      </c>
      <c r="E4129" t="s">
        <v>21833</v>
      </c>
      <c r="G4129" t="s">
        <v>21834</v>
      </c>
      <c r="L4129" t="s">
        <v>83</v>
      </c>
      <c r="M4129" t="s">
        <v>85</v>
      </c>
      <c r="R4129" t="s">
        <v>21835</v>
      </c>
      <c r="W4129" t="s">
        <v>21836</v>
      </c>
      <c r="X4129" t="s">
        <v>2587</v>
      </c>
      <c r="Y4129" t="s">
        <v>97</v>
      </c>
      <c r="Z4129" t="s">
        <v>77</v>
      </c>
      <c r="AA4129" t="str">
        <f>"10003-3314"</f>
        <v>10003-3314</v>
      </c>
      <c r="AB4129" t="s">
        <v>78</v>
      </c>
      <c r="AC4129" t="s">
        <v>79</v>
      </c>
      <c r="AD4129" t="s">
        <v>75</v>
      </c>
      <c r="AE4129" t="s">
        <v>80</v>
      </c>
      <c r="AG4129" t="s">
        <v>81</v>
      </c>
    </row>
    <row r="4130" spans="1:33" x14ac:dyDescent="0.25">
      <c r="A4130" t="str">
        <f>"1073713038"</f>
        <v>1073713038</v>
      </c>
      <c r="B4130" t="str">
        <f>"04425783"</f>
        <v>04425783</v>
      </c>
      <c r="C4130" t="s">
        <v>13436</v>
      </c>
      <c r="D4130" t="s">
        <v>21837</v>
      </c>
      <c r="E4130" t="s">
        <v>21838</v>
      </c>
      <c r="G4130" t="s">
        <v>21839</v>
      </c>
      <c r="L4130" t="s">
        <v>74</v>
      </c>
      <c r="M4130" t="s">
        <v>85</v>
      </c>
      <c r="R4130" t="s">
        <v>21838</v>
      </c>
      <c r="W4130" t="s">
        <v>21838</v>
      </c>
      <c r="X4130" t="s">
        <v>191</v>
      </c>
      <c r="Y4130" t="s">
        <v>97</v>
      </c>
      <c r="Z4130" t="s">
        <v>77</v>
      </c>
      <c r="AA4130" t="str">
        <f>"10019-1147"</f>
        <v>10019-1147</v>
      </c>
      <c r="AB4130" t="s">
        <v>114</v>
      </c>
      <c r="AC4130" t="s">
        <v>79</v>
      </c>
      <c r="AD4130" t="s">
        <v>75</v>
      </c>
      <c r="AE4130" t="s">
        <v>80</v>
      </c>
      <c r="AG4130" t="s">
        <v>81</v>
      </c>
    </row>
    <row r="4131" spans="1:33" x14ac:dyDescent="0.25">
      <c r="A4131" t="str">
        <f>"1114248077"</f>
        <v>1114248077</v>
      </c>
      <c r="B4131" t="str">
        <f>"03739333"</f>
        <v>03739333</v>
      </c>
      <c r="C4131" t="s">
        <v>13436</v>
      </c>
      <c r="D4131" t="s">
        <v>21840</v>
      </c>
      <c r="E4131" t="s">
        <v>21841</v>
      </c>
      <c r="G4131" t="s">
        <v>21842</v>
      </c>
      <c r="L4131" t="s">
        <v>83</v>
      </c>
      <c r="M4131" t="s">
        <v>85</v>
      </c>
      <c r="R4131" t="s">
        <v>21843</v>
      </c>
      <c r="W4131" t="s">
        <v>21841</v>
      </c>
      <c r="X4131" t="s">
        <v>181</v>
      </c>
      <c r="Y4131" t="s">
        <v>97</v>
      </c>
      <c r="Z4131" t="s">
        <v>77</v>
      </c>
      <c r="AA4131" t="str">
        <f>"10025-1716"</f>
        <v>10025-1716</v>
      </c>
      <c r="AB4131" t="s">
        <v>78</v>
      </c>
      <c r="AC4131" t="s">
        <v>79</v>
      </c>
      <c r="AD4131" t="s">
        <v>75</v>
      </c>
      <c r="AE4131" t="s">
        <v>80</v>
      </c>
      <c r="AG4131" t="s">
        <v>81</v>
      </c>
    </row>
    <row r="4132" spans="1:33" x14ac:dyDescent="0.25">
      <c r="A4132" t="str">
        <f>"1124257803"</f>
        <v>1124257803</v>
      </c>
      <c r="B4132" t="str">
        <f>"03156663"</f>
        <v>03156663</v>
      </c>
      <c r="C4132" t="s">
        <v>13436</v>
      </c>
      <c r="D4132" t="s">
        <v>21844</v>
      </c>
      <c r="E4132" t="s">
        <v>21845</v>
      </c>
      <c r="G4132" t="s">
        <v>21846</v>
      </c>
      <c r="L4132" t="s">
        <v>74</v>
      </c>
      <c r="M4132" t="s">
        <v>85</v>
      </c>
      <c r="R4132" t="s">
        <v>21847</v>
      </c>
      <c r="W4132" t="s">
        <v>21848</v>
      </c>
      <c r="X4132" t="s">
        <v>181</v>
      </c>
      <c r="Y4132" t="s">
        <v>97</v>
      </c>
      <c r="Z4132" t="s">
        <v>77</v>
      </c>
      <c r="AA4132" t="str">
        <f>"10025-1716"</f>
        <v>10025-1716</v>
      </c>
      <c r="AB4132" t="s">
        <v>78</v>
      </c>
      <c r="AC4132" t="s">
        <v>79</v>
      </c>
      <c r="AD4132" t="s">
        <v>75</v>
      </c>
      <c r="AE4132" t="s">
        <v>80</v>
      </c>
      <c r="AG4132" t="s">
        <v>81</v>
      </c>
    </row>
    <row r="4133" spans="1:33" x14ac:dyDescent="0.25">
      <c r="A4133" t="str">
        <f>"1124286794"</f>
        <v>1124286794</v>
      </c>
      <c r="B4133" t="str">
        <f>"03242248"</f>
        <v>03242248</v>
      </c>
      <c r="C4133" t="s">
        <v>13436</v>
      </c>
      <c r="D4133" t="s">
        <v>21849</v>
      </c>
      <c r="E4133" t="s">
        <v>21850</v>
      </c>
      <c r="G4133" t="s">
        <v>21851</v>
      </c>
      <c r="L4133" t="s">
        <v>74</v>
      </c>
      <c r="M4133" t="s">
        <v>85</v>
      </c>
      <c r="R4133" t="s">
        <v>21852</v>
      </c>
      <c r="W4133" t="s">
        <v>21853</v>
      </c>
      <c r="X4133" t="s">
        <v>191</v>
      </c>
      <c r="Y4133" t="s">
        <v>97</v>
      </c>
      <c r="Z4133" t="s">
        <v>77</v>
      </c>
      <c r="AA4133" t="str">
        <f>"10019-1147"</f>
        <v>10019-1147</v>
      </c>
      <c r="AB4133" t="s">
        <v>78</v>
      </c>
      <c r="AC4133" t="s">
        <v>79</v>
      </c>
      <c r="AD4133" t="s">
        <v>75</v>
      </c>
      <c r="AE4133" t="s">
        <v>80</v>
      </c>
      <c r="AG4133" t="s">
        <v>81</v>
      </c>
    </row>
    <row r="4134" spans="1:33" x14ac:dyDescent="0.25">
      <c r="A4134" t="str">
        <f>"1124349626"</f>
        <v>1124349626</v>
      </c>
      <c r="B4134" t="str">
        <f>"03239856"</f>
        <v>03239856</v>
      </c>
      <c r="C4134" t="s">
        <v>13436</v>
      </c>
      <c r="D4134" t="s">
        <v>21854</v>
      </c>
      <c r="E4134" t="s">
        <v>21855</v>
      </c>
      <c r="G4134" t="s">
        <v>21856</v>
      </c>
      <c r="L4134" t="s">
        <v>83</v>
      </c>
      <c r="M4134" t="s">
        <v>85</v>
      </c>
      <c r="R4134" t="s">
        <v>21857</v>
      </c>
      <c r="W4134" t="s">
        <v>21855</v>
      </c>
      <c r="X4134" t="s">
        <v>181</v>
      </c>
      <c r="Y4134" t="s">
        <v>97</v>
      </c>
      <c r="Z4134" t="s">
        <v>77</v>
      </c>
      <c r="AA4134" t="str">
        <f>"10025-1716"</f>
        <v>10025-1716</v>
      </c>
      <c r="AB4134" t="s">
        <v>78</v>
      </c>
      <c r="AC4134" t="s">
        <v>79</v>
      </c>
      <c r="AD4134" t="s">
        <v>75</v>
      </c>
      <c r="AE4134" t="s">
        <v>80</v>
      </c>
      <c r="AG4134" t="s">
        <v>81</v>
      </c>
    </row>
    <row r="4135" spans="1:33" x14ac:dyDescent="0.25">
      <c r="A4135" t="str">
        <f>"1134356652"</f>
        <v>1134356652</v>
      </c>
      <c r="B4135" t="str">
        <f>"03460726"</f>
        <v>03460726</v>
      </c>
      <c r="C4135" t="s">
        <v>13436</v>
      </c>
      <c r="D4135" t="s">
        <v>21858</v>
      </c>
      <c r="E4135" t="s">
        <v>21859</v>
      </c>
      <c r="G4135" t="s">
        <v>21860</v>
      </c>
      <c r="L4135" t="s">
        <v>83</v>
      </c>
      <c r="M4135" t="s">
        <v>85</v>
      </c>
      <c r="R4135" t="s">
        <v>21861</v>
      </c>
      <c r="W4135" t="s">
        <v>21859</v>
      </c>
      <c r="X4135" t="s">
        <v>181</v>
      </c>
      <c r="Y4135" t="s">
        <v>97</v>
      </c>
      <c r="Z4135" t="s">
        <v>77</v>
      </c>
      <c r="AA4135" t="str">
        <f>"10025-1716"</f>
        <v>10025-1716</v>
      </c>
      <c r="AB4135" t="s">
        <v>78</v>
      </c>
      <c r="AC4135" t="s">
        <v>79</v>
      </c>
      <c r="AD4135" t="s">
        <v>75</v>
      </c>
      <c r="AE4135" t="s">
        <v>80</v>
      </c>
      <c r="AG4135" t="s">
        <v>81</v>
      </c>
    </row>
    <row r="4136" spans="1:33" x14ac:dyDescent="0.25">
      <c r="A4136" t="str">
        <f>"1568534964"</f>
        <v>1568534964</v>
      </c>
      <c r="B4136" t="str">
        <f>"01661229"</f>
        <v>01661229</v>
      </c>
      <c r="C4136" t="s">
        <v>21862</v>
      </c>
      <c r="D4136" t="s">
        <v>21863</v>
      </c>
      <c r="E4136" t="s">
        <v>21864</v>
      </c>
      <c r="G4136" t="s">
        <v>13504</v>
      </c>
      <c r="H4136" t="s">
        <v>13505</v>
      </c>
      <c r="J4136" t="s">
        <v>13506</v>
      </c>
      <c r="L4136" t="s">
        <v>84</v>
      </c>
      <c r="M4136" t="s">
        <v>75</v>
      </c>
      <c r="R4136" t="s">
        <v>21864</v>
      </c>
      <c r="W4136" t="s">
        <v>21864</v>
      </c>
      <c r="X4136" t="s">
        <v>21865</v>
      </c>
      <c r="Y4136" t="s">
        <v>87</v>
      </c>
      <c r="Z4136" t="s">
        <v>77</v>
      </c>
      <c r="AA4136" t="str">
        <f>"11211"</f>
        <v>11211</v>
      </c>
      <c r="AB4136" t="s">
        <v>78</v>
      </c>
      <c r="AC4136" t="s">
        <v>79</v>
      </c>
      <c r="AD4136" t="s">
        <v>75</v>
      </c>
      <c r="AE4136" t="s">
        <v>80</v>
      </c>
      <c r="AG4136" t="s">
        <v>81</v>
      </c>
    </row>
    <row r="4137" spans="1:33" x14ac:dyDescent="0.25">
      <c r="A4137" t="str">
        <f>"1447223508"</f>
        <v>1447223508</v>
      </c>
      <c r="B4137" t="str">
        <f>"00555124"</f>
        <v>00555124</v>
      </c>
      <c r="C4137" t="s">
        <v>21866</v>
      </c>
      <c r="D4137" t="s">
        <v>2166</v>
      </c>
      <c r="E4137" t="s">
        <v>2167</v>
      </c>
      <c r="H4137" t="s">
        <v>21867</v>
      </c>
      <c r="J4137" t="s">
        <v>21868</v>
      </c>
      <c r="L4137" t="s">
        <v>84</v>
      </c>
      <c r="M4137" t="s">
        <v>75</v>
      </c>
      <c r="R4137" t="s">
        <v>2165</v>
      </c>
      <c r="W4137" t="s">
        <v>2167</v>
      </c>
      <c r="X4137" t="s">
        <v>2168</v>
      </c>
      <c r="Y4137" t="s">
        <v>131</v>
      </c>
      <c r="Z4137" t="s">
        <v>77</v>
      </c>
      <c r="AA4137" t="str">
        <f>"10465-2432"</f>
        <v>10465-2432</v>
      </c>
      <c r="AB4137" t="s">
        <v>78</v>
      </c>
      <c r="AC4137" t="s">
        <v>79</v>
      </c>
      <c r="AD4137" t="s">
        <v>75</v>
      </c>
      <c r="AE4137" t="s">
        <v>80</v>
      </c>
      <c r="AG4137" t="s">
        <v>81</v>
      </c>
    </row>
    <row r="4138" spans="1:33" x14ac:dyDescent="0.25">
      <c r="A4138" t="str">
        <f>"1053493817"</f>
        <v>1053493817</v>
      </c>
      <c r="B4138" t="str">
        <f>"03857563"</f>
        <v>03857563</v>
      </c>
      <c r="C4138" t="s">
        <v>21869</v>
      </c>
      <c r="D4138" t="s">
        <v>2175</v>
      </c>
      <c r="E4138" t="s">
        <v>2176</v>
      </c>
      <c r="H4138" t="s">
        <v>21870</v>
      </c>
      <c r="J4138" t="s">
        <v>21871</v>
      </c>
      <c r="L4138" t="s">
        <v>74</v>
      </c>
      <c r="M4138" t="s">
        <v>75</v>
      </c>
      <c r="R4138" t="s">
        <v>2174</v>
      </c>
      <c r="W4138" t="s">
        <v>2176</v>
      </c>
      <c r="X4138" t="s">
        <v>2177</v>
      </c>
      <c r="Y4138" t="s">
        <v>97</v>
      </c>
      <c r="Z4138" t="s">
        <v>77</v>
      </c>
      <c r="AA4138" t="str">
        <f>"10119-0206"</f>
        <v>10119-0206</v>
      </c>
      <c r="AB4138" t="s">
        <v>78</v>
      </c>
      <c r="AC4138" t="s">
        <v>79</v>
      </c>
      <c r="AD4138" t="s">
        <v>75</v>
      </c>
      <c r="AE4138" t="s">
        <v>80</v>
      </c>
      <c r="AG4138" t="s">
        <v>81</v>
      </c>
    </row>
    <row r="4139" spans="1:33" x14ac:dyDescent="0.25">
      <c r="A4139" t="str">
        <f>"1639145659"</f>
        <v>1639145659</v>
      </c>
      <c r="B4139" t="str">
        <f>"02610608"</f>
        <v>02610608</v>
      </c>
      <c r="C4139" t="s">
        <v>21872</v>
      </c>
      <c r="D4139" t="s">
        <v>2089</v>
      </c>
      <c r="E4139" t="s">
        <v>2090</v>
      </c>
      <c r="G4139" t="s">
        <v>21872</v>
      </c>
      <c r="H4139" t="s">
        <v>21873</v>
      </c>
      <c r="J4139" t="s">
        <v>21874</v>
      </c>
      <c r="L4139" t="s">
        <v>84</v>
      </c>
      <c r="M4139" t="s">
        <v>85</v>
      </c>
      <c r="R4139" t="s">
        <v>2088</v>
      </c>
      <c r="W4139" t="s">
        <v>2090</v>
      </c>
      <c r="X4139" t="s">
        <v>86</v>
      </c>
      <c r="Y4139" t="s">
        <v>87</v>
      </c>
      <c r="Z4139" t="s">
        <v>77</v>
      </c>
      <c r="AA4139" t="str">
        <f>"11220-2559"</f>
        <v>11220-2559</v>
      </c>
      <c r="AB4139" t="s">
        <v>78</v>
      </c>
      <c r="AC4139" t="s">
        <v>79</v>
      </c>
      <c r="AD4139" t="s">
        <v>75</v>
      </c>
      <c r="AE4139" t="s">
        <v>80</v>
      </c>
      <c r="AG4139" t="s">
        <v>81</v>
      </c>
    </row>
    <row r="4140" spans="1:33" x14ac:dyDescent="0.25">
      <c r="A4140" t="str">
        <f>"1770680464"</f>
        <v>1770680464</v>
      </c>
      <c r="B4140" t="str">
        <f>"01702950"</f>
        <v>01702950</v>
      </c>
      <c r="C4140" t="s">
        <v>21875</v>
      </c>
      <c r="D4140" t="s">
        <v>1493</v>
      </c>
      <c r="E4140" t="s">
        <v>1494</v>
      </c>
      <c r="G4140" t="s">
        <v>21875</v>
      </c>
      <c r="H4140" t="s">
        <v>21876</v>
      </c>
      <c r="J4140" t="s">
        <v>21877</v>
      </c>
      <c r="L4140" t="s">
        <v>105</v>
      </c>
      <c r="M4140" t="s">
        <v>75</v>
      </c>
      <c r="R4140" t="s">
        <v>1492</v>
      </c>
      <c r="W4140" t="s">
        <v>1494</v>
      </c>
      <c r="X4140" t="s">
        <v>1495</v>
      </c>
      <c r="Y4140" t="s">
        <v>87</v>
      </c>
      <c r="Z4140" t="s">
        <v>77</v>
      </c>
      <c r="AA4140" t="str">
        <f>"11201"</f>
        <v>11201</v>
      </c>
      <c r="AB4140" t="s">
        <v>78</v>
      </c>
      <c r="AC4140" t="s">
        <v>79</v>
      </c>
      <c r="AD4140" t="s">
        <v>75</v>
      </c>
      <c r="AE4140" t="s">
        <v>80</v>
      </c>
      <c r="AG4140" t="s">
        <v>81</v>
      </c>
    </row>
    <row r="4141" spans="1:33" x14ac:dyDescent="0.25">
      <c r="A4141" t="str">
        <f>"1609202175"</f>
        <v>1609202175</v>
      </c>
      <c r="B4141" t="str">
        <f>"03875909"</f>
        <v>03875909</v>
      </c>
      <c r="C4141" t="s">
        <v>21878</v>
      </c>
      <c r="D4141" t="s">
        <v>2092</v>
      </c>
      <c r="E4141" t="s">
        <v>2091</v>
      </c>
      <c r="G4141" t="s">
        <v>21878</v>
      </c>
      <c r="H4141" t="s">
        <v>21879</v>
      </c>
      <c r="J4141" t="s">
        <v>21880</v>
      </c>
      <c r="L4141" t="s">
        <v>74</v>
      </c>
      <c r="M4141" t="s">
        <v>75</v>
      </c>
      <c r="R4141" t="s">
        <v>2091</v>
      </c>
      <c r="W4141" t="s">
        <v>2091</v>
      </c>
      <c r="X4141" t="s">
        <v>2093</v>
      </c>
      <c r="Y4141" t="s">
        <v>97</v>
      </c>
      <c r="Z4141" t="s">
        <v>77</v>
      </c>
      <c r="AA4141" t="str">
        <f>"10025-1715"</f>
        <v>10025-1715</v>
      </c>
      <c r="AB4141" t="s">
        <v>78</v>
      </c>
      <c r="AC4141" t="s">
        <v>79</v>
      </c>
      <c r="AD4141" t="s">
        <v>75</v>
      </c>
      <c r="AE4141" t="s">
        <v>80</v>
      </c>
      <c r="AG4141" t="s">
        <v>81</v>
      </c>
    </row>
    <row r="4142" spans="1:33" x14ac:dyDescent="0.25">
      <c r="A4142" t="str">
        <f>"1275717175"</f>
        <v>1275717175</v>
      </c>
      <c r="B4142" t="str">
        <f>"04346998"</f>
        <v>04346998</v>
      </c>
      <c r="C4142" t="s">
        <v>21881</v>
      </c>
      <c r="D4142" t="s">
        <v>21882</v>
      </c>
      <c r="E4142" t="s">
        <v>21883</v>
      </c>
      <c r="G4142" t="s">
        <v>21881</v>
      </c>
      <c r="H4142" t="s">
        <v>21884</v>
      </c>
      <c r="L4142" t="s">
        <v>102</v>
      </c>
      <c r="M4142" t="s">
        <v>75</v>
      </c>
      <c r="R4142" t="s">
        <v>21885</v>
      </c>
      <c r="W4142" t="s">
        <v>21883</v>
      </c>
      <c r="X4142" t="s">
        <v>2268</v>
      </c>
      <c r="Y4142" t="s">
        <v>87</v>
      </c>
      <c r="Z4142" t="s">
        <v>77</v>
      </c>
      <c r="AA4142" t="str">
        <f>"11224-2114"</f>
        <v>11224-2114</v>
      </c>
      <c r="AB4142" t="s">
        <v>127</v>
      </c>
      <c r="AC4142" t="s">
        <v>79</v>
      </c>
      <c r="AD4142" t="s">
        <v>75</v>
      </c>
      <c r="AE4142" t="s">
        <v>80</v>
      </c>
      <c r="AG4142" t="s">
        <v>81</v>
      </c>
    </row>
    <row r="4143" spans="1:33" x14ac:dyDescent="0.25">
      <c r="A4143" t="str">
        <f>"1992738041"</f>
        <v>1992738041</v>
      </c>
      <c r="B4143" t="str">
        <f>"02290004"</f>
        <v>02290004</v>
      </c>
      <c r="C4143" t="s">
        <v>21886</v>
      </c>
      <c r="D4143" t="s">
        <v>2099</v>
      </c>
      <c r="E4143" t="s">
        <v>2100</v>
      </c>
      <c r="G4143" t="s">
        <v>21886</v>
      </c>
      <c r="H4143" t="s">
        <v>21887</v>
      </c>
      <c r="L4143" t="s">
        <v>105</v>
      </c>
      <c r="M4143" t="s">
        <v>75</v>
      </c>
      <c r="R4143" t="s">
        <v>2098</v>
      </c>
      <c r="W4143" t="s">
        <v>2101</v>
      </c>
      <c r="X4143" t="s">
        <v>2102</v>
      </c>
      <c r="Y4143" t="s">
        <v>87</v>
      </c>
      <c r="Z4143" t="s">
        <v>77</v>
      </c>
      <c r="AA4143" t="str">
        <f>"11219"</f>
        <v>11219</v>
      </c>
      <c r="AB4143" t="s">
        <v>125</v>
      </c>
      <c r="AC4143" t="s">
        <v>79</v>
      </c>
      <c r="AD4143" t="s">
        <v>75</v>
      </c>
      <c r="AE4143" t="s">
        <v>80</v>
      </c>
      <c r="AG4143" t="s">
        <v>81</v>
      </c>
    </row>
    <row r="4144" spans="1:33" x14ac:dyDescent="0.25">
      <c r="A4144" t="str">
        <f>"1770630337"</f>
        <v>1770630337</v>
      </c>
      <c r="B4144" t="str">
        <f>"03349295"</f>
        <v>03349295</v>
      </c>
      <c r="C4144" t="s">
        <v>21888</v>
      </c>
      <c r="D4144" t="s">
        <v>2104</v>
      </c>
      <c r="E4144" t="s">
        <v>2105</v>
      </c>
      <c r="G4144" t="s">
        <v>21888</v>
      </c>
      <c r="H4144" t="s">
        <v>21889</v>
      </c>
      <c r="L4144" t="s">
        <v>74</v>
      </c>
      <c r="M4144" t="s">
        <v>75</v>
      </c>
      <c r="R4144" t="s">
        <v>2103</v>
      </c>
      <c r="W4144" t="s">
        <v>2105</v>
      </c>
      <c r="X4144" t="s">
        <v>2106</v>
      </c>
      <c r="Y4144" t="s">
        <v>87</v>
      </c>
      <c r="Z4144" t="s">
        <v>77</v>
      </c>
      <c r="AA4144" t="str">
        <f>"11218-1500"</f>
        <v>11218-1500</v>
      </c>
      <c r="AB4144" t="s">
        <v>136</v>
      </c>
      <c r="AC4144" t="s">
        <v>79</v>
      </c>
      <c r="AD4144" t="s">
        <v>75</v>
      </c>
      <c r="AE4144" t="s">
        <v>80</v>
      </c>
      <c r="AG4144" t="s">
        <v>81</v>
      </c>
    </row>
    <row r="4145" spans="1:33" x14ac:dyDescent="0.25">
      <c r="A4145" t="str">
        <f>"1821190935"</f>
        <v>1821190935</v>
      </c>
      <c r="B4145" t="str">
        <f>"00400784"</f>
        <v>00400784</v>
      </c>
      <c r="C4145" t="s">
        <v>21890</v>
      </c>
      <c r="D4145" t="s">
        <v>2108</v>
      </c>
      <c r="E4145" t="s">
        <v>2109</v>
      </c>
      <c r="G4145" t="s">
        <v>21890</v>
      </c>
      <c r="H4145" t="s">
        <v>21891</v>
      </c>
      <c r="L4145" t="s">
        <v>83</v>
      </c>
      <c r="M4145" t="s">
        <v>75</v>
      </c>
      <c r="R4145" t="s">
        <v>2107</v>
      </c>
      <c r="W4145" t="s">
        <v>2109</v>
      </c>
      <c r="X4145" t="s">
        <v>2110</v>
      </c>
      <c r="Y4145" t="s">
        <v>87</v>
      </c>
      <c r="Z4145" t="s">
        <v>77</v>
      </c>
      <c r="AA4145" t="str">
        <f>"11201-5514"</f>
        <v>11201-5514</v>
      </c>
      <c r="AB4145" t="s">
        <v>78</v>
      </c>
      <c r="AC4145" t="s">
        <v>79</v>
      </c>
      <c r="AD4145" t="s">
        <v>75</v>
      </c>
      <c r="AE4145" t="s">
        <v>80</v>
      </c>
      <c r="AG4145" t="s">
        <v>81</v>
      </c>
    </row>
    <row r="4146" spans="1:33" x14ac:dyDescent="0.25">
      <c r="A4146" t="str">
        <f>"1447241252"</f>
        <v>1447241252</v>
      </c>
      <c r="B4146" t="str">
        <f>"01883398"</f>
        <v>01883398</v>
      </c>
      <c r="C4146" t="s">
        <v>21892</v>
      </c>
      <c r="D4146" t="s">
        <v>2130</v>
      </c>
      <c r="E4146" t="s">
        <v>2131</v>
      </c>
      <c r="G4146" t="s">
        <v>21892</v>
      </c>
      <c r="H4146" t="s">
        <v>21893</v>
      </c>
      <c r="I4146">
        <v>9149491199</v>
      </c>
      <c r="L4146" t="s">
        <v>74</v>
      </c>
      <c r="M4146" t="s">
        <v>85</v>
      </c>
      <c r="R4146" t="s">
        <v>2129</v>
      </c>
      <c r="W4146" t="s">
        <v>2131</v>
      </c>
      <c r="X4146" t="s">
        <v>173</v>
      </c>
      <c r="Y4146" t="s">
        <v>87</v>
      </c>
      <c r="Z4146" t="s">
        <v>77</v>
      </c>
      <c r="AA4146" t="str">
        <f>"11219-2916"</f>
        <v>11219-2916</v>
      </c>
      <c r="AB4146" t="s">
        <v>78</v>
      </c>
      <c r="AC4146" t="s">
        <v>79</v>
      </c>
      <c r="AD4146" t="s">
        <v>75</v>
      </c>
      <c r="AE4146" t="s">
        <v>80</v>
      </c>
      <c r="AG4146" t="s">
        <v>81</v>
      </c>
    </row>
    <row r="4147" spans="1:33" x14ac:dyDescent="0.25">
      <c r="A4147" t="str">
        <f>"1356315527"</f>
        <v>1356315527</v>
      </c>
      <c r="B4147" t="str">
        <f>"01665952"</f>
        <v>01665952</v>
      </c>
      <c r="C4147" t="s">
        <v>21894</v>
      </c>
      <c r="D4147" t="s">
        <v>2133</v>
      </c>
      <c r="E4147" t="s">
        <v>2134</v>
      </c>
      <c r="G4147" t="s">
        <v>21894</v>
      </c>
      <c r="H4147" t="s">
        <v>21895</v>
      </c>
      <c r="I4147">
        <v>7183327411</v>
      </c>
      <c r="L4147" t="s">
        <v>84</v>
      </c>
      <c r="M4147" t="s">
        <v>75</v>
      </c>
      <c r="R4147" t="s">
        <v>2132</v>
      </c>
      <c r="W4147" t="s">
        <v>2132</v>
      </c>
      <c r="X4147" t="s">
        <v>392</v>
      </c>
      <c r="Y4147" t="s">
        <v>97</v>
      </c>
      <c r="Z4147" t="s">
        <v>77</v>
      </c>
      <c r="AA4147" t="str">
        <f>"10021-2963"</f>
        <v>10021-2963</v>
      </c>
      <c r="AB4147" t="s">
        <v>78</v>
      </c>
      <c r="AC4147" t="s">
        <v>79</v>
      </c>
      <c r="AD4147" t="s">
        <v>75</v>
      </c>
      <c r="AE4147" t="s">
        <v>80</v>
      </c>
      <c r="AG4147" t="s">
        <v>81</v>
      </c>
    </row>
    <row r="4148" spans="1:33" x14ac:dyDescent="0.25">
      <c r="A4148" t="str">
        <f>"1265764260"</f>
        <v>1265764260</v>
      </c>
      <c r="B4148" t="str">
        <f>"03246128"</f>
        <v>03246128</v>
      </c>
      <c r="C4148" t="s">
        <v>21896</v>
      </c>
      <c r="D4148" t="s">
        <v>2136</v>
      </c>
      <c r="E4148" t="s">
        <v>2135</v>
      </c>
      <c r="G4148" t="s">
        <v>21896</v>
      </c>
      <c r="H4148" t="s">
        <v>21897</v>
      </c>
      <c r="I4148">
        <v>7188914400</v>
      </c>
      <c r="L4148" t="s">
        <v>84</v>
      </c>
      <c r="M4148" t="s">
        <v>75</v>
      </c>
      <c r="R4148" t="s">
        <v>2135</v>
      </c>
      <c r="W4148" t="s">
        <v>2135</v>
      </c>
      <c r="X4148" t="s">
        <v>2137</v>
      </c>
      <c r="Y4148" t="s">
        <v>87</v>
      </c>
      <c r="Z4148" t="s">
        <v>77</v>
      </c>
      <c r="AA4148" t="str">
        <f>"11229-1931"</f>
        <v>11229-1931</v>
      </c>
      <c r="AB4148" t="s">
        <v>78</v>
      </c>
      <c r="AC4148" t="s">
        <v>79</v>
      </c>
      <c r="AD4148" t="s">
        <v>75</v>
      </c>
      <c r="AE4148" t="s">
        <v>80</v>
      </c>
      <c r="AG4148" t="s">
        <v>81</v>
      </c>
    </row>
    <row r="4149" spans="1:33" x14ac:dyDescent="0.25">
      <c r="A4149" t="str">
        <f>"1952403933"</f>
        <v>1952403933</v>
      </c>
      <c r="B4149" t="str">
        <f>"01551413"</f>
        <v>01551413</v>
      </c>
      <c r="C4149" t="s">
        <v>21898</v>
      </c>
      <c r="D4149" t="s">
        <v>2139</v>
      </c>
      <c r="E4149" t="s">
        <v>2140</v>
      </c>
      <c r="G4149" t="s">
        <v>21898</v>
      </c>
      <c r="H4149" t="s">
        <v>21899</v>
      </c>
      <c r="I4149">
        <v>7187870700</v>
      </c>
      <c r="L4149" t="s">
        <v>84</v>
      </c>
      <c r="M4149" t="s">
        <v>75</v>
      </c>
      <c r="R4149" t="s">
        <v>2138</v>
      </c>
      <c r="W4149" t="s">
        <v>2138</v>
      </c>
      <c r="X4149" t="s">
        <v>311</v>
      </c>
      <c r="Y4149" t="s">
        <v>87</v>
      </c>
      <c r="Z4149" t="s">
        <v>77</v>
      </c>
      <c r="AA4149" t="str">
        <f>"11220-2559"</f>
        <v>11220-2559</v>
      </c>
      <c r="AB4149" t="s">
        <v>78</v>
      </c>
      <c r="AC4149" t="s">
        <v>79</v>
      </c>
      <c r="AD4149" t="s">
        <v>75</v>
      </c>
      <c r="AE4149" t="s">
        <v>80</v>
      </c>
      <c r="AG4149" t="s">
        <v>81</v>
      </c>
    </row>
    <row r="4150" spans="1:33" x14ac:dyDescent="0.25">
      <c r="A4150" t="str">
        <f>"1215001375"</f>
        <v>1215001375</v>
      </c>
      <c r="B4150" t="str">
        <f>"02910805"</f>
        <v>02910805</v>
      </c>
      <c r="C4150" t="s">
        <v>21900</v>
      </c>
      <c r="D4150" t="s">
        <v>21901</v>
      </c>
      <c r="E4150" t="s">
        <v>21902</v>
      </c>
      <c r="G4150" t="s">
        <v>13504</v>
      </c>
      <c r="H4150" t="s">
        <v>13505</v>
      </c>
      <c r="J4150" t="s">
        <v>13506</v>
      </c>
      <c r="L4150" t="s">
        <v>83</v>
      </c>
      <c r="M4150" t="s">
        <v>75</v>
      </c>
      <c r="R4150" t="s">
        <v>21903</v>
      </c>
      <c r="W4150" t="s">
        <v>21904</v>
      </c>
      <c r="X4150" t="s">
        <v>21905</v>
      </c>
      <c r="Y4150" t="s">
        <v>87</v>
      </c>
      <c r="Z4150" t="s">
        <v>77</v>
      </c>
      <c r="AA4150" t="str">
        <f>"11220"</f>
        <v>11220</v>
      </c>
      <c r="AB4150" t="s">
        <v>78</v>
      </c>
      <c r="AC4150" t="s">
        <v>79</v>
      </c>
      <c r="AD4150" t="s">
        <v>75</v>
      </c>
      <c r="AE4150" t="s">
        <v>80</v>
      </c>
      <c r="AG4150" t="s">
        <v>81</v>
      </c>
    </row>
    <row r="4151" spans="1:33" x14ac:dyDescent="0.25">
      <c r="A4151" t="str">
        <f>"1053489955"</f>
        <v>1053489955</v>
      </c>
      <c r="B4151" t="str">
        <f>"02859401"</f>
        <v>02859401</v>
      </c>
      <c r="C4151" t="s">
        <v>21906</v>
      </c>
      <c r="D4151" t="s">
        <v>21907</v>
      </c>
      <c r="E4151" t="s">
        <v>21908</v>
      </c>
      <c r="G4151" t="s">
        <v>13504</v>
      </c>
      <c r="H4151" t="s">
        <v>13505</v>
      </c>
      <c r="J4151" t="s">
        <v>13506</v>
      </c>
      <c r="L4151" t="s">
        <v>83</v>
      </c>
      <c r="M4151" t="s">
        <v>85</v>
      </c>
      <c r="R4151" t="s">
        <v>21909</v>
      </c>
      <c r="W4151" t="s">
        <v>21908</v>
      </c>
      <c r="X4151" t="s">
        <v>202</v>
      </c>
      <c r="Y4151" t="s">
        <v>87</v>
      </c>
      <c r="Z4151" t="s">
        <v>77</v>
      </c>
      <c r="AA4151" t="str">
        <f>"11201-5425"</f>
        <v>11201-5425</v>
      </c>
      <c r="AB4151" t="s">
        <v>78</v>
      </c>
      <c r="AC4151" t="s">
        <v>79</v>
      </c>
      <c r="AD4151" t="s">
        <v>75</v>
      </c>
      <c r="AE4151" t="s">
        <v>80</v>
      </c>
      <c r="AG4151" t="s">
        <v>81</v>
      </c>
    </row>
    <row r="4152" spans="1:33" x14ac:dyDescent="0.25">
      <c r="A4152" t="str">
        <f>"1467679381"</f>
        <v>1467679381</v>
      </c>
      <c r="B4152" t="str">
        <f>"02868862"</f>
        <v>02868862</v>
      </c>
      <c r="C4152" t="s">
        <v>21910</v>
      </c>
      <c r="D4152" t="s">
        <v>21911</v>
      </c>
      <c r="E4152" t="s">
        <v>21912</v>
      </c>
      <c r="G4152" t="s">
        <v>13504</v>
      </c>
      <c r="H4152" t="s">
        <v>13505</v>
      </c>
      <c r="J4152" t="s">
        <v>13506</v>
      </c>
      <c r="L4152" t="s">
        <v>83</v>
      </c>
      <c r="M4152" t="s">
        <v>75</v>
      </c>
      <c r="R4152" t="s">
        <v>21913</v>
      </c>
      <c r="W4152" t="s">
        <v>21912</v>
      </c>
      <c r="X4152" t="s">
        <v>187</v>
      </c>
      <c r="Y4152" t="s">
        <v>161</v>
      </c>
      <c r="Z4152" t="s">
        <v>77</v>
      </c>
      <c r="AA4152" t="str">
        <f>"11040-1402"</f>
        <v>11040-1402</v>
      </c>
      <c r="AB4152" t="s">
        <v>78</v>
      </c>
      <c r="AC4152" t="s">
        <v>79</v>
      </c>
      <c r="AD4152" t="s">
        <v>75</v>
      </c>
      <c r="AE4152" t="s">
        <v>80</v>
      </c>
      <c r="AG4152" t="s">
        <v>81</v>
      </c>
    </row>
    <row r="4153" spans="1:33" x14ac:dyDescent="0.25">
      <c r="A4153" t="str">
        <f>"1932302155"</f>
        <v>1932302155</v>
      </c>
      <c r="B4153" t="str">
        <f>"02944470"</f>
        <v>02944470</v>
      </c>
      <c r="C4153" t="s">
        <v>21914</v>
      </c>
      <c r="D4153" t="s">
        <v>21915</v>
      </c>
      <c r="E4153" t="s">
        <v>21916</v>
      </c>
      <c r="G4153" t="s">
        <v>13504</v>
      </c>
      <c r="H4153" t="s">
        <v>13505</v>
      </c>
      <c r="J4153" t="s">
        <v>13506</v>
      </c>
      <c r="L4153" t="s">
        <v>84</v>
      </c>
      <c r="M4153" t="s">
        <v>85</v>
      </c>
      <c r="R4153" t="s">
        <v>21917</v>
      </c>
      <c r="W4153" t="s">
        <v>21916</v>
      </c>
      <c r="X4153" t="s">
        <v>202</v>
      </c>
      <c r="Y4153" t="s">
        <v>87</v>
      </c>
      <c r="Z4153" t="s">
        <v>77</v>
      </c>
      <c r="AA4153" t="str">
        <f>"11201-5425"</f>
        <v>11201-5425</v>
      </c>
      <c r="AB4153" t="s">
        <v>78</v>
      </c>
      <c r="AC4153" t="s">
        <v>79</v>
      </c>
      <c r="AD4153" t="s">
        <v>75</v>
      </c>
      <c r="AE4153" t="s">
        <v>80</v>
      </c>
      <c r="AG4153" t="s">
        <v>81</v>
      </c>
    </row>
    <row r="4154" spans="1:33" x14ac:dyDescent="0.25">
      <c r="A4154" t="str">
        <f>"1093980625"</f>
        <v>1093980625</v>
      </c>
      <c r="B4154" t="str">
        <f>"03055790"</f>
        <v>03055790</v>
      </c>
      <c r="C4154" t="s">
        <v>21918</v>
      </c>
      <c r="D4154" t="s">
        <v>21919</v>
      </c>
      <c r="E4154" t="s">
        <v>21920</v>
      </c>
      <c r="G4154" t="s">
        <v>13504</v>
      </c>
      <c r="H4154" t="s">
        <v>13505</v>
      </c>
      <c r="J4154" t="s">
        <v>13506</v>
      </c>
      <c r="L4154" t="s">
        <v>83</v>
      </c>
      <c r="M4154" t="s">
        <v>75</v>
      </c>
      <c r="R4154" t="s">
        <v>21921</v>
      </c>
      <c r="W4154" t="s">
        <v>21922</v>
      </c>
      <c r="X4154" t="s">
        <v>329</v>
      </c>
      <c r="Y4154" t="s">
        <v>97</v>
      </c>
      <c r="Z4154" t="s">
        <v>77</v>
      </c>
      <c r="AA4154" t="str">
        <f>"10029-6500"</f>
        <v>10029-6500</v>
      </c>
      <c r="AB4154" t="s">
        <v>78</v>
      </c>
      <c r="AC4154" t="s">
        <v>79</v>
      </c>
      <c r="AD4154" t="s">
        <v>75</v>
      </c>
      <c r="AE4154" t="s">
        <v>80</v>
      </c>
      <c r="AG4154" t="s">
        <v>81</v>
      </c>
    </row>
    <row r="4155" spans="1:33" x14ac:dyDescent="0.25">
      <c r="A4155" t="str">
        <f>"1164735577"</f>
        <v>1164735577</v>
      </c>
      <c r="C4155" t="s">
        <v>21923</v>
      </c>
      <c r="G4155" t="s">
        <v>17283</v>
      </c>
      <c r="H4155" t="s">
        <v>1118</v>
      </c>
      <c r="I4155">
        <v>235</v>
      </c>
      <c r="J4155" t="s">
        <v>17284</v>
      </c>
      <c r="K4155" t="s">
        <v>99</v>
      </c>
      <c r="L4155" t="s">
        <v>74</v>
      </c>
      <c r="M4155" t="s">
        <v>75</v>
      </c>
      <c r="R4155" t="s">
        <v>1431</v>
      </c>
      <c r="S4155" t="s">
        <v>1432</v>
      </c>
      <c r="T4155" t="s">
        <v>131</v>
      </c>
      <c r="U4155" t="s">
        <v>77</v>
      </c>
      <c r="V4155" t="str">
        <f>"104612700"</f>
        <v>104612700</v>
      </c>
      <c r="AC4155" t="s">
        <v>79</v>
      </c>
      <c r="AD4155" t="s">
        <v>75</v>
      </c>
      <c r="AE4155" t="s">
        <v>103</v>
      </c>
      <c r="AG4155" t="s">
        <v>81</v>
      </c>
    </row>
    <row r="4156" spans="1:33" x14ac:dyDescent="0.25">
      <c r="A4156" t="str">
        <f>"1780927079"</f>
        <v>1780927079</v>
      </c>
      <c r="B4156" t="str">
        <f>"03941779"</f>
        <v>03941779</v>
      </c>
      <c r="C4156" t="s">
        <v>21924</v>
      </c>
      <c r="D4156" t="s">
        <v>1122</v>
      </c>
      <c r="E4156" t="s">
        <v>1123</v>
      </c>
      <c r="G4156" t="s">
        <v>17283</v>
      </c>
      <c r="H4156" t="s">
        <v>1118</v>
      </c>
      <c r="I4156">
        <v>235</v>
      </c>
      <c r="J4156" t="s">
        <v>17284</v>
      </c>
      <c r="L4156" t="s">
        <v>74</v>
      </c>
      <c r="M4156" t="s">
        <v>75</v>
      </c>
      <c r="R4156" t="s">
        <v>1121</v>
      </c>
      <c r="W4156" t="s">
        <v>1123</v>
      </c>
      <c r="X4156" t="s">
        <v>1124</v>
      </c>
      <c r="Y4156" t="s">
        <v>190</v>
      </c>
      <c r="Z4156" t="s">
        <v>77</v>
      </c>
      <c r="AA4156" t="str">
        <f>"11101-2822"</f>
        <v>11101-2822</v>
      </c>
      <c r="AB4156" t="s">
        <v>114</v>
      </c>
      <c r="AC4156" t="s">
        <v>79</v>
      </c>
      <c r="AD4156" t="s">
        <v>75</v>
      </c>
      <c r="AE4156" t="s">
        <v>80</v>
      </c>
      <c r="AG4156" t="s">
        <v>81</v>
      </c>
    </row>
    <row r="4157" spans="1:33" x14ac:dyDescent="0.25">
      <c r="A4157" t="str">
        <f>"1619994159"</f>
        <v>1619994159</v>
      </c>
      <c r="B4157" t="str">
        <f>"01929900"</f>
        <v>01929900</v>
      </c>
      <c r="C4157" t="s">
        <v>21925</v>
      </c>
      <c r="D4157" t="s">
        <v>2362</v>
      </c>
      <c r="E4157" t="s">
        <v>2363</v>
      </c>
      <c r="H4157" t="s">
        <v>2558</v>
      </c>
      <c r="J4157" t="s">
        <v>21926</v>
      </c>
      <c r="L4157" t="s">
        <v>74</v>
      </c>
      <c r="M4157" t="s">
        <v>85</v>
      </c>
      <c r="R4157" t="s">
        <v>2361</v>
      </c>
      <c r="W4157" t="s">
        <v>2363</v>
      </c>
      <c r="X4157" t="s">
        <v>1181</v>
      </c>
      <c r="Y4157" t="s">
        <v>131</v>
      </c>
      <c r="Z4157" t="s">
        <v>77</v>
      </c>
      <c r="AA4157" t="str">
        <f>"10456-4199"</f>
        <v>10456-4199</v>
      </c>
      <c r="AB4157" t="s">
        <v>78</v>
      </c>
      <c r="AC4157" t="s">
        <v>79</v>
      </c>
      <c r="AD4157" t="s">
        <v>75</v>
      </c>
      <c r="AE4157" t="s">
        <v>80</v>
      </c>
      <c r="AG4157" t="s">
        <v>81</v>
      </c>
    </row>
    <row r="4158" spans="1:33" x14ac:dyDescent="0.25">
      <c r="A4158" t="str">
        <f>"1326459702"</f>
        <v>1326459702</v>
      </c>
      <c r="C4158" t="s">
        <v>21927</v>
      </c>
      <c r="K4158" t="s">
        <v>99</v>
      </c>
      <c r="L4158" t="s">
        <v>74</v>
      </c>
      <c r="M4158" t="s">
        <v>75</v>
      </c>
      <c r="R4158" t="s">
        <v>4347</v>
      </c>
      <c r="S4158" t="s">
        <v>481</v>
      </c>
      <c r="T4158" t="s">
        <v>97</v>
      </c>
      <c r="U4158" t="s">
        <v>77</v>
      </c>
      <c r="V4158" t="str">
        <f>"100187200"</f>
        <v>100187200</v>
      </c>
      <c r="AC4158" t="s">
        <v>79</v>
      </c>
      <c r="AD4158" t="s">
        <v>75</v>
      </c>
      <c r="AE4158" t="s">
        <v>103</v>
      </c>
      <c r="AG4158" t="s">
        <v>81</v>
      </c>
    </row>
    <row r="4159" spans="1:33" x14ac:dyDescent="0.25">
      <c r="A4159" t="str">
        <f>"1679639116"</f>
        <v>1679639116</v>
      </c>
      <c r="B4159" t="str">
        <f>"03524985"</f>
        <v>03524985</v>
      </c>
      <c r="C4159" t="s">
        <v>21928</v>
      </c>
      <c r="D4159" t="s">
        <v>21929</v>
      </c>
      <c r="E4159" t="s">
        <v>21930</v>
      </c>
      <c r="G4159" t="s">
        <v>7218</v>
      </c>
      <c r="H4159" t="s">
        <v>6801</v>
      </c>
      <c r="I4159">
        <v>6136</v>
      </c>
      <c r="J4159" t="s">
        <v>7219</v>
      </c>
      <c r="L4159" t="s">
        <v>74</v>
      </c>
      <c r="M4159" t="s">
        <v>75</v>
      </c>
      <c r="R4159" t="s">
        <v>21931</v>
      </c>
      <c r="W4159" t="s">
        <v>21930</v>
      </c>
      <c r="X4159" t="s">
        <v>3538</v>
      </c>
      <c r="Y4159" t="s">
        <v>131</v>
      </c>
      <c r="Z4159" t="s">
        <v>77</v>
      </c>
      <c r="AA4159" t="str">
        <f>"10461-5726"</f>
        <v>10461-5726</v>
      </c>
      <c r="AB4159" t="s">
        <v>109</v>
      </c>
      <c r="AC4159" t="s">
        <v>79</v>
      </c>
      <c r="AD4159" t="s">
        <v>75</v>
      </c>
      <c r="AE4159" t="s">
        <v>80</v>
      </c>
      <c r="AG4159" t="s">
        <v>81</v>
      </c>
    </row>
    <row r="4160" spans="1:33" x14ac:dyDescent="0.25">
      <c r="A4160" t="str">
        <f>"1487621181"</f>
        <v>1487621181</v>
      </c>
      <c r="B4160" t="str">
        <f>"01082782"</f>
        <v>01082782</v>
      </c>
      <c r="C4160" t="s">
        <v>21932</v>
      </c>
      <c r="D4160" t="s">
        <v>21933</v>
      </c>
      <c r="E4160" t="s">
        <v>21934</v>
      </c>
      <c r="G4160" t="s">
        <v>13504</v>
      </c>
      <c r="H4160" t="s">
        <v>13505</v>
      </c>
      <c r="J4160" t="s">
        <v>13506</v>
      </c>
      <c r="L4160" t="s">
        <v>84</v>
      </c>
      <c r="M4160" t="s">
        <v>75</v>
      </c>
      <c r="R4160" t="s">
        <v>21935</v>
      </c>
      <c r="W4160" t="s">
        <v>21936</v>
      </c>
      <c r="X4160" t="s">
        <v>21937</v>
      </c>
      <c r="Y4160" t="s">
        <v>87</v>
      </c>
      <c r="Z4160" t="s">
        <v>77</v>
      </c>
      <c r="AA4160" t="str">
        <f>"11217-1517"</f>
        <v>11217-1517</v>
      </c>
      <c r="AB4160" t="s">
        <v>78</v>
      </c>
      <c r="AC4160" t="s">
        <v>79</v>
      </c>
      <c r="AD4160" t="s">
        <v>75</v>
      </c>
      <c r="AE4160" t="s">
        <v>80</v>
      </c>
      <c r="AG4160" t="s">
        <v>81</v>
      </c>
    </row>
    <row r="4161" spans="1:33" x14ac:dyDescent="0.25">
      <c r="A4161" t="str">
        <f>"1942244942"</f>
        <v>1942244942</v>
      </c>
      <c r="B4161" t="str">
        <f>"00779617"</f>
        <v>00779617</v>
      </c>
      <c r="C4161" t="s">
        <v>21938</v>
      </c>
      <c r="D4161" t="s">
        <v>21939</v>
      </c>
      <c r="E4161" t="s">
        <v>21940</v>
      </c>
      <c r="G4161" t="s">
        <v>13504</v>
      </c>
      <c r="H4161" t="s">
        <v>13505</v>
      </c>
      <c r="J4161" t="s">
        <v>13506</v>
      </c>
      <c r="L4161" t="s">
        <v>83</v>
      </c>
      <c r="M4161" t="s">
        <v>75</v>
      </c>
      <c r="R4161" t="s">
        <v>21941</v>
      </c>
      <c r="W4161" t="s">
        <v>21940</v>
      </c>
      <c r="X4161" t="s">
        <v>21942</v>
      </c>
      <c r="Y4161" t="s">
        <v>87</v>
      </c>
      <c r="Z4161" t="s">
        <v>77</v>
      </c>
      <c r="AA4161" t="str">
        <f>"11204-3929"</f>
        <v>11204-3929</v>
      </c>
      <c r="AB4161" t="s">
        <v>78</v>
      </c>
      <c r="AC4161" t="s">
        <v>79</v>
      </c>
      <c r="AD4161" t="s">
        <v>75</v>
      </c>
      <c r="AE4161" t="s">
        <v>80</v>
      </c>
      <c r="AG4161" t="s">
        <v>81</v>
      </c>
    </row>
    <row r="4162" spans="1:33" x14ac:dyDescent="0.25">
      <c r="A4162" t="str">
        <f>"1457345589"</f>
        <v>1457345589</v>
      </c>
      <c r="B4162" t="str">
        <f>"00820324"</f>
        <v>00820324</v>
      </c>
      <c r="C4162" t="s">
        <v>21943</v>
      </c>
      <c r="D4162" t="s">
        <v>21944</v>
      </c>
      <c r="E4162" t="s">
        <v>21945</v>
      </c>
      <c r="G4162" t="s">
        <v>13504</v>
      </c>
      <c r="H4162" t="s">
        <v>13505</v>
      </c>
      <c r="J4162" t="s">
        <v>13506</v>
      </c>
      <c r="L4162" t="s">
        <v>83</v>
      </c>
      <c r="M4162" t="s">
        <v>75</v>
      </c>
      <c r="R4162" t="s">
        <v>21946</v>
      </c>
      <c r="W4162" t="s">
        <v>21945</v>
      </c>
      <c r="X4162" t="s">
        <v>893</v>
      </c>
      <c r="Y4162" t="s">
        <v>87</v>
      </c>
      <c r="Z4162" t="s">
        <v>77</v>
      </c>
      <c r="AA4162" t="str">
        <f>"11212-4701"</f>
        <v>11212-4701</v>
      </c>
      <c r="AB4162" t="s">
        <v>78</v>
      </c>
      <c r="AC4162" t="s">
        <v>79</v>
      </c>
      <c r="AD4162" t="s">
        <v>75</v>
      </c>
      <c r="AE4162" t="s">
        <v>80</v>
      </c>
      <c r="AG4162" t="s">
        <v>81</v>
      </c>
    </row>
    <row r="4163" spans="1:33" x14ac:dyDescent="0.25">
      <c r="A4163" t="str">
        <f>"1134477490"</f>
        <v>1134477490</v>
      </c>
      <c r="C4163" t="s">
        <v>13436</v>
      </c>
      <c r="G4163" t="s">
        <v>21947</v>
      </c>
      <c r="K4163" t="s">
        <v>99</v>
      </c>
      <c r="L4163" t="s">
        <v>102</v>
      </c>
      <c r="M4163" t="s">
        <v>85</v>
      </c>
      <c r="R4163" t="s">
        <v>21948</v>
      </c>
      <c r="S4163" t="s">
        <v>21949</v>
      </c>
      <c r="T4163" t="s">
        <v>5294</v>
      </c>
      <c r="U4163" t="s">
        <v>156</v>
      </c>
      <c r="V4163" t="str">
        <f>"088203147"</f>
        <v>088203147</v>
      </c>
      <c r="AC4163" t="s">
        <v>79</v>
      </c>
      <c r="AD4163" t="s">
        <v>75</v>
      </c>
      <c r="AE4163" t="s">
        <v>103</v>
      </c>
      <c r="AG4163" t="s">
        <v>81</v>
      </c>
    </row>
    <row r="4164" spans="1:33" x14ac:dyDescent="0.25">
      <c r="A4164" t="str">
        <f>"1144454794"</f>
        <v>1144454794</v>
      </c>
      <c r="B4164" t="str">
        <f>"03820835"</f>
        <v>03820835</v>
      </c>
      <c r="C4164" t="s">
        <v>13436</v>
      </c>
      <c r="D4164" t="s">
        <v>21950</v>
      </c>
      <c r="E4164" t="s">
        <v>21951</v>
      </c>
      <c r="G4164" t="s">
        <v>21952</v>
      </c>
      <c r="L4164" t="s">
        <v>83</v>
      </c>
      <c r="M4164" t="s">
        <v>85</v>
      </c>
      <c r="R4164" t="s">
        <v>21953</v>
      </c>
      <c r="W4164" t="s">
        <v>21951</v>
      </c>
      <c r="X4164" t="s">
        <v>181</v>
      </c>
      <c r="Y4164" t="s">
        <v>97</v>
      </c>
      <c r="Z4164" t="s">
        <v>77</v>
      </c>
      <c r="AA4164" t="str">
        <f>"10025-1716"</f>
        <v>10025-1716</v>
      </c>
      <c r="AB4164" t="s">
        <v>78</v>
      </c>
      <c r="AC4164" t="s">
        <v>79</v>
      </c>
      <c r="AD4164" t="s">
        <v>75</v>
      </c>
      <c r="AE4164" t="s">
        <v>80</v>
      </c>
      <c r="AG4164" t="s">
        <v>81</v>
      </c>
    </row>
    <row r="4165" spans="1:33" x14ac:dyDescent="0.25">
      <c r="A4165" t="str">
        <f>"1144484817"</f>
        <v>1144484817</v>
      </c>
      <c r="B4165" t="str">
        <f>"03348107"</f>
        <v>03348107</v>
      </c>
      <c r="C4165" t="s">
        <v>13436</v>
      </c>
      <c r="D4165" t="s">
        <v>21954</v>
      </c>
      <c r="E4165" t="s">
        <v>21955</v>
      </c>
      <c r="G4165" t="s">
        <v>21956</v>
      </c>
      <c r="L4165" t="s">
        <v>84</v>
      </c>
      <c r="M4165" t="s">
        <v>85</v>
      </c>
      <c r="R4165" t="s">
        <v>21955</v>
      </c>
      <c r="W4165" t="s">
        <v>21955</v>
      </c>
      <c r="X4165" t="s">
        <v>181</v>
      </c>
      <c r="Y4165" t="s">
        <v>97</v>
      </c>
      <c r="Z4165" t="s">
        <v>77</v>
      </c>
      <c r="AA4165" t="str">
        <f>"10025-1716"</f>
        <v>10025-1716</v>
      </c>
      <c r="AB4165" t="s">
        <v>78</v>
      </c>
      <c r="AC4165" t="s">
        <v>79</v>
      </c>
      <c r="AD4165" t="s">
        <v>75</v>
      </c>
      <c r="AE4165" t="s">
        <v>80</v>
      </c>
      <c r="AG4165" t="s">
        <v>81</v>
      </c>
    </row>
    <row r="4166" spans="1:33" x14ac:dyDescent="0.25">
      <c r="A4166" t="str">
        <f>"1235408337"</f>
        <v>1235408337</v>
      </c>
      <c r="B4166" t="str">
        <f>"04377157"</f>
        <v>04377157</v>
      </c>
      <c r="C4166" t="s">
        <v>13436</v>
      </c>
      <c r="D4166" t="s">
        <v>21957</v>
      </c>
      <c r="E4166" t="s">
        <v>21958</v>
      </c>
      <c r="G4166" t="s">
        <v>21959</v>
      </c>
      <c r="L4166" t="s">
        <v>74</v>
      </c>
      <c r="M4166" t="s">
        <v>85</v>
      </c>
      <c r="R4166" t="s">
        <v>21960</v>
      </c>
      <c r="W4166" t="s">
        <v>21958</v>
      </c>
      <c r="X4166" t="s">
        <v>191</v>
      </c>
      <c r="Y4166" t="s">
        <v>97</v>
      </c>
      <c r="Z4166" t="s">
        <v>77</v>
      </c>
      <c r="AA4166" t="str">
        <f>"10019-1147"</f>
        <v>10019-1147</v>
      </c>
      <c r="AB4166" t="s">
        <v>78</v>
      </c>
      <c r="AC4166" t="s">
        <v>79</v>
      </c>
      <c r="AD4166" t="s">
        <v>75</v>
      </c>
      <c r="AE4166" t="s">
        <v>80</v>
      </c>
      <c r="AG4166" t="s">
        <v>81</v>
      </c>
    </row>
    <row r="4167" spans="1:33" x14ac:dyDescent="0.25">
      <c r="A4167" t="str">
        <f>"1245303379"</f>
        <v>1245303379</v>
      </c>
      <c r="B4167" t="str">
        <f>"01581584"</f>
        <v>01581584</v>
      </c>
      <c r="C4167" t="s">
        <v>13436</v>
      </c>
      <c r="D4167" t="s">
        <v>21961</v>
      </c>
      <c r="E4167" t="s">
        <v>21962</v>
      </c>
      <c r="G4167" t="s">
        <v>21963</v>
      </c>
      <c r="L4167" t="s">
        <v>83</v>
      </c>
      <c r="M4167" t="s">
        <v>85</v>
      </c>
      <c r="R4167" t="s">
        <v>21964</v>
      </c>
      <c r="W4167" t="s">
        <v>21962</v>
      </c>
      <c r="X4167" t="s">
        <v>21965</v>
      </c>
      <c r="Y4167" t="s">
        <v>160</v>
      </c>
      <c r="Z4167" t="s">
        <v>77</v>
      </c>
      <c r="AA4167" t="str">
        <f>"11030-3816"</f>
        <v>11030-3816</v>
      </c>
      <c r="AB4167" t="s">
        <v>78</v>
      </c>
      <c r="AC4167" t="s">
        <v>79</v>
      </c>
      <c r="AD4167" t="s">
        <v>75</v>
      </c>
      <c r="AE4167" t="s">
        <v>80</v>
      </c>
      <c r="AG4167" t="s">
        <v>81</v>
      </c>
    </row>
    <row r="4168" spans="1:33" x14ac:dyDescent="0.25">
      <c r="A4168" t="str">
        <f>"1245492255"</f>
        <v>1245492255</v>
      </c>
      <c r="B4168" t="str">
        <f>"03587491"</f>
        <v>03587491</v>
      </c>
      <c r="C4168" t="s">
        <v>13436</v>
      </c>
      <c r="D4168" t="s">
        <v>21966</v>
      </c>
      <c r="E4168" t="s">
        <v>21967</v>
      </c>
      <c r="G4168" t="s">
        <v>21968</v>
      </c>
      <c r="L4168" t="s">
        <v>74</v>
      </c>
      <c r="M4168" t="s">
        <v>85</v>
      </c>
      <c r="R4168" t="s">
        <v>21969</v>
      </c>
      <c r="W4168" t="s">
        <v>21967</v>
      </c>
      <c r="X4168" t="s">
        <v>21970</v>
      </c>
      <c r="Y4168" t="s">
        <v>97</v>
      </c>
      <c r="Z4168" t="s">
        <v>77</v>
      </c>
      <c r="AA4168" t="str">
        <f>"10003-3805"</f>
        <v>10003-3805</v>
      </c>
      <c r="AB4168" t="s">
        <v>78</v>
      </c>
      <c r="AC4168" t="s">
        <v>79</v>
      </c>
      <c r="AD4168" t="s">
        <v>75</v>
      </c>
      <c r="AE4168" t="s">
        <v>80</v>
      </c>
      <c r="AG4168" t="s">
        <v>81</v>
      </c>
    </row>
    <row r="4169" spans="1:33" x14ac:dyDescent="0.25">
      <c r="A4169" t="str">
        <f>"1255482147"</f>
        <v>1255482147</v>
      </c>
      <c r="C4169" t="s">
        <v>13436</v>
      </c>
      <c r="G4169" t="s">
        <v>21971</v>
      </c>
      <c r="K4169" t="s">
        <v>99</v>
      </c>
      <c r="L4169" t="s">
        <v>74</v>
      </c>
      <c r="M4169" t="s">
        <v>85</v>
      </c>
      <c r="R4169" t="s">
        <v>21972</v>
      </c>
      <c r="S4169" t="s">
        <v>21973</v>
      </c>
      <c r="T4169" t="s">
        <v>97</v>
      </c>
      <c r="U4169" t="s">
        <v>77</v>
      </c>
      <c r="V4169" t="str">
        <f>"100191147"</f>
        <v>100191147</v>
      </c>
      <c r="AC4169" t="s">
        <v>79</v>
      </c>
      <c r="AD4169" t="s">
        <v>75</v>
      </c>
      <c r="AE4169" t="s">
        <v>103</v>
      </c>
      <c r="AG4169" t="s">
        <v>81</v>
      </c>
    </row>
    <row r="4170" spans="1:33" x14ac:dyDescent="0.25">
      <c r="A4170" t="str">
        <f>"1255507745"</f>
        <v>1255507745</v>
      </c>
      <c r="B4170" t="str">
        <f>"03030146"</f>
        <v>03030146</v>
      </c>
      <c r="C4170" t="s">
        <v>13436</v>
      </c>
      <c r="D4170" t="s">
        <v>21974</v>
      </c>
      <c r="E4170" t="s">
        <v>21975</v>
      </c>
      <c r="G4170" t="s">
        <v>21976</v>
      </c>
      <c r="L4170" t="s">
        <v>83</v>
      </c>
      <c r="M4170" t="s">
        <v>85</v>
      </c>
      <c r="R4170" t="s">
        <v>21975</v>
      </c>
      <c r="W4170" t="s">
        <v>21977</v>
      </c>
      <c r="X4170" t="s">
        <v>181</v>
      </c>
      <c r="Y4170" t="s">
        <v>97</v>
      </c>
      <c r="Z4170" t="s">
        <v>77</v>
      </c>
      <c r="AA4170" t="str">
        <f>"10025-1716"</f>
        <v>10025-1716</v>
      </c>
      <c r="AB4170" t="s">
        <v>78</v>
      </c>
      <c r="AC4170" t="s">
        <v>79</v>
      </c>
      <c r="AD4170" t="s">
        <v>75</v>
      </c>
      <c r="AE4170" t="s">
        <v>80</v>
      </c>
      <c r="AG4170" t="s">
        <v>81</v>
      </c>
    </row>
    <row r="4171" spans="1:33" x14ac:dyDescent="0.25">
      <c r="A4171" t="str">
        <f>"1255525556"</f>
        <v>1255525556</v>
      </c>
      <c r="C4171" t="s">
        <v>13436</v>
      </c>
      <c r="G4171" t="s">
        <v>21978</v>
      </c>
      <c r="K4171" t="s">
        <v>99</v>
      </c>
      <c r="L4171" t="s">
        <v>74</v>
      </c>
      <c r="M4171" t="s">
        <v>85</v>
      </c>
      <c r="R4171" t="s">
        <v>21979</v>
      </c>
      <c r="S4171" t="s">
        <v>21980</v>
      </c>
      <c r="T4171" t="s">
        <v>4626</v>
      </c>
      <c r="U4171" t="s">
        <v>4504</v>
      </c>
      <c r="V4171" t="str">
        <f>"029062853"</f>
        <v>029062853</v>
      </c>
      <c r="AC4171" t="s">
        <v>79</v>
      </c>
      <c r="AD4171" t="s">
        <v>75</v>
      </c>
      <c r="AE4171" t="s">
        <v>103</v>
      </c>
      <c r="AG4171" t="s">
        <v>81</v>
      </c>
    </row>
    <row r="4172" spans="1:33" x14ac:dyDescent="0.25">
      <c r="A4172" t="str">
        <f>"1255594008"</f>
        <v>1255594008</v>
      </c>
      <c r="B4172" t="str">
        <f>"03376432"</f>
        <v>03376432</v>
      </c>
      <c r="C4172" t="s">
        <v>13436</v>
      </c>
      <c r="D4172" t="s">
        <v>21981</v>
      </c>
      <c r="E4172" t="s">
        <v>21982</v>
      </c>
      <c r="G4172" t="s">
        <v>21983</v>
      </c>
      <c r="L4172" t="s">
        <v>74</v>
      </c>
      <c r="M4172" t="s">
        <v>85</v>
      </c>
      <c r="R4172" t="s">
        <v>21984</v>
      </c>
      <c r="W4172" t="s">
        <v>21985</v>
      </c>
      <c r="X4172" t="s">
        <v>21986</v>
      </c>
      <c r="Y4172" t="s">
        <v>97</v>
      </c>
      <c r="Z4172" t="s">
        <v>77</v>
      </c>
      <c r="AA4172" t="str">
        <f>"10022-4540"</f>
        <v>10022-4540</v>
      </c>
      <c r="AB4172" t="s">
        <v>78</v>
      </c>
      <c r="AC4172" t="s">
        <v>79</v>
      </c>
      <c r="AD4172" t="s">
        <v>75</v>
      </c>
      <c r="AE4172" t="s">
        <v>80</v>
      </c>
      <c r="AG4172" t="s">
        <v>81</v>
      </c>
    </row>
    <row r="4173" spans="1:33" x14ac:dyDescent="0.25">
      <c r="A4173" t="str">
        <f>"1255660791"</f>
        <v>1255660791</v>
      </c>
      <c r="B4173" t="str">
        <f>"03638355"</f>
        <v>03638355</v>
      </c>
      <c r="C4173" t="s">
        <v>13436</v>
      </c>
      <c r="D4173" t="s">
        <v>21987</v>
      </c>
      <c r="E4173" t="s">
        <v>21988</v>
      </c>
      <c r="G4173" t="s">
        <v>21989</v>
      </c>
      <c r="L4173" t="s">
        <v>83</v>
      </c>
      <c r="M4173" t="s">
        <v>85</v>
      </c>
      <c r="R4173" t="s">
        <v>21988</v>
      </c>
      <c r="W4173" t="s">
        <v>21988</v>
      </c>
      <c r="X4173" t="s">
        <v>21990</v>
      </c>
      <c r="Y4173" t="s">
        <v>97</v>
      </c>
      <c r="Z4173" t="s">
        <v>77</v>
      </c>
      <c r="AA4173" t="str">
        <f>"10023-7903"</f>
        <v>10023-7903</v>
      </c>
      <c r="AB4173" t="s">
        <v>78</v>
      </c>
      <c r="AC4173" t="s">
        <v>79</v>
      </c>
      <c r="AD4173" t="s">
        <v>75</v>
      </c>
      <c r="AE4173" t="s">
        <v>80</v>
      </c>
      <c r="AG4173" t="s">
        <v>81</v>
      </c>
    </row>
    <row r="4174" spans="1:33" x14ac:dyDescent="0.25">
      <c r="A4174" t="str">
        <f>"1265528517"</f>
        <v>1265528517</v>
      </c>
      <c r="B4174" t="str">
        <f>"02669501"</f>
        <v>02669501</v>
      </c>
      <c r="C4174" t="s">
        <v>13436</v>
      </c>
      <c r="D4174" t="s">
        <v>4390</v>
      </c>
      <c r="E4174" t="s">
        <v>4391</v>
      </c>
      <c r="G4174" t="s">
        <v>21991</v>
      </c>
      <c r="L4174" t="s">
        <v>83</v>
      </c>
      <c r="M4174" t="s">
        <v>85</v>
      </c>
      <c r="R4174" t="s">
        <v>4392</v>
      </c>
      <c r="W4174" t="s">
        <v>4391</v>
      </c>
      <c r="X4174" t="s">
        <v>318</v>
      </c>
      <c r="Y4174" t="s">
        <v>131</v>
      </c>
      <c r="Z4174" t="s">
        <v>77</v>
      </c>
      <c r="AA4174" t="str">
        <f>"10457-7606"</f>
        <v>10457-7606</v>
      </c>
      <c r="AB4174" t="s">
        <v>78</v>
      </c>
      <c r="AC4174" t="s">
        <v>79</v>
      </c>
      <c r="AD4174" t="s">
        <v>75</v>
      </c>
      <c r="AE4174" t="s">
        <v>80</v>
      </c>
      <c r="AG4174" t="s">
        <v>81</v>
      </c>
    </row>
    <row r="4175" spans="1:33" x14ac:dyDescent="0.25">
      <c r="A4175" t="str">
        <f>"1265676035"</f>
        <v>1265676035</v>
      </c>
      <c r="B4175" t="str">
        <f>"03637065"</f>
        <v>03637065</v>
      </c>
      <c r="C4175" t="s">
        <v>13436</v>
      </c>
      <c r="D4175" t="s">
        <v>21992</v>
      </c>
      <c r="E4175" t="s">
        <v>21993</v>
      </c>
      <c r="G4175" t="s">
        <v>21994</v>
      </c>
      <c r="L4175" t="s">
        <v>105</v>
      </c>
      <c r="M4175" t="s">
        <v>85</v>
      </c>
      <c r="R4175" t="s">
        <v>21995</v>
      </c>
      <c r="W4175" t="s">
        <v>21996</v>
      </c>
      <c r="X4175" t="s">
        <v>21997</v>
      </c>
      <c r="Y4175" t="s">
        <v>97</v>
      </c>
      <c r="Z4175" t="s">
        <v>77</v>
      </c>
      <c r="AA4175" t="str">
        <f>"10003-3532"</f>
        <v>10003-3532</v>
      </c>
      <c r="AB4175" t="s">
        <v>78</v>
      </c>
      <c r="AC4175" t="s">
        <v>79</v>
      </c>
      <c r="AD4175" t="s">
        <v>75</v>
      </c>
      <c r="AE4175" t="s">
        <v>80</v>
      </c>
      <c r="AG4175" t="s">
        <v>81</v>
      </c>
    </row>
    <row r="4176" spans="1:33" x14ac:dyDescent="0.25">
      <c r="A4176" t="str">
        <f>"1265724546"</f>
        <v>1265724546</v>
      </c>
      <c r="B4176" t="str">
        <f>"03484668"</f>
        <v>03484668</v>
      </c>
      <c r="C4176" t="s">
        <v>13436</v>
      </c>
      <c r="D4176" t="s">
        <v>21998</v>
      </c>
      <c r="E4176" t="s">
        <v>21999</v>
      </c>
      <c r="G4176" t="s">
        <v>22000</v>
      </c>
      <c r="L4176" t="s">
        <v>84</v>
      </c>
      <c r="M4176" t="s">
        <v>85</v>
      </c>
      <c r="R4176" t="s">
        <v>22001</v>
      </c>
      <c r="W4176" t="s">
        <v>22002</v>
      </c>
      <c r="X4176" t="s">
        <v>22003</v>
      </c>
      <c r="Y4176" t="s">
        <v>97</v>
      </c>
      <c r="Z4176" t="s">
        <v>77</v>
      </c>
      <c r="AA4176" t="str">
        <f>"10023-8157"</f>
        <v>10023-8157</v>
      </c>
      <c r="AB4176" t="s">
        <v>78</v>
      </c>
      <c r="AC4176" t="s">
        <v>79</v>
      </c>
      <c r="AD4176" t="s">
        <v>75</v>
      </c>
      <c r="AE4176" t="s">
        <v>80</v>
      </c>
      <c r="AG4176" t="s">
        <v>81</v>
      </c>
    </row>
    <row r="4177" spans="1:33" x14ac:dyDescent="0.25">
      <c r="A4177" t="str">
        <f>"1285798314"</f>
        <v>1285798314</v>
      </c>
      <c r="B4177" t="str">
        <f>"02495898"</f>
        <v>02495898</v>
      </c>
      <c r="C4177" t="s">
        <v>13436</v>
      </c>
      <c r="D4177" t="s">
        <v>22004</v>
      </c>
      <c r="E4177" t="s">
        <v>22005</v>
      </c>
      <c r="G4177" t="s">
        <v>22006</v>
      </c>
      <c r="L4177" t="s">
        <v>83</v>
      </c>
      <c r="M4177" t="s">
        <v>85</v>
      </c>
      <c r="R4177" t="s">
        <v>22007</v>
      </c>
      <c r="W4177" t="s">
        <v>22005</v>
      </c>
      <c r="X4177" t="s">
        <v>244</v>
      </c>
      <c r="Y4177" t="s">
        <v>178</v>
      </c>
      <c r="Z4177" t="s">
        <v>77</v>
      </c>
      <c r="AA4177" t="str">
        <f>"11021-5310"</f>
        <v>11021-5310</v>
      </c>
      <c r="AB4177" t="s">
        <v>78</v>
      </c>
      <c r="AC4177" t="s">
        <v>79</v>
      </c>
      <c r="AD4177" t="s">
        <v>75</v>
      </c>
      <c r="AE4177" t="s">
        <v>80</v>
      </c>
      <c r="AG4177" t="s">
        <v>81</v>
      </c>
    </row>
    <row r="4178" spans="1:33" x14ac:dyDescent="0.25">
      <c r="A4178" t="str">
        <f>"1295171684"</f>
        <v>1295171684</v>
      </c>
      <c r="C4178" t="s">
        <v>13436</v>
      </c>
      <c r="G4178" t="s">
        <v>22008</v>
      </c>
      <c r="K4178" t="s">
        <v>99</v>
      </c>
      <c r="L4178" t="s">
        <v>102</v>
      </c>
      <c r="M4178" t="s">
        <v>85</v>
      </c>
      <c r="R4178" t="s">
        <v>22009</v>
      </c>
      <c r="S4178" t="s">
        <v>181</v>
      </c>
      <c r="T4178" t="s">
        <v>97</v>
      </c>
      <c r="U4178" t="s">
        <v>77</v>
      </c>
      <c r="V4178" t="str">
        <f>"100251716"</f>
        <v>100251716</v>
      </c>
      <c r="AC4178" t="s">
        <v>79</v>
      </c>
      <c r="AD4178" t="s">
        <v>75</v>
      </c>
      <c r="AE4178" t="s">
        <v>103</v>
      </c>
      <c r="AG4178" t="s">
        <v>81</v>
      </c>
    </row>
    <row r="4179" spans="1:33" x14ac:dyDescent="0.25">
      <c r="A4179" t="str">
        <f>"1528052586"</f>
        <v>1528052586</v>
      </c>
      <c r="B4179" t="str">
        <f>"01373160"</f>
        <v>01373160</v>
      </c>
      <c r="C4179" t="s">
        <v>22010</v>
      </c>
      <c r="D4179" t="s">
        <v>22011</v>
      </c>
      <c r="E4179" t="s">
        <v>22012</v>
      </c>
      <c r="G4179" t="s">
        <v>13504</v>
      </c>
      <c r="H4179" t="s">
        <v>13505</v>
      </c>
      <c r="J4179" t="s">
        <v>13506</v>
      </c>
      <c r="L4179" t="s">
        <v>74</v>
      </c>
      <c r="M4179" t="s">
        <v>75</v>
      </c>
      <c r="R4179" t="s">
        <v>22013</v>
      </c>
      <c r="W4179" t="s">
        <v>22012</v>
      </c>
      <c r="X4179" t="s">
        <v>22014</v>
      </c>
      <c r="Y4179" t="s">
        <v>87</v>
      </c>
      <c r="Z4179" t="s">
        <v>77</v>
      </c>
      <c r="AA4179" t="str">
        <f>"11201-5493"</f>
        <v>11201-5493</v>
      </c>
      <c r="AB4179" t="s">
        <v>78</v>
      </c>
      <c r="AC4179" t="s">
        <v>79</v>
      </c>
      <c r="AD4179" t="s">
        <v>75</v>
      </c>
      <c r="AE4179" t="s">
        <v>80</v>
      </c>
      <c r="AG4179" t="s">
        <v>81</v>
      </c>
    </row>
    <row r="4180" spans="1:33" x14ac:dyDescent="0.25">
      <c r="A4180" t="str">
        <f>"1952418550"</f>
        <v>1952418550</v>
      </c>
      <c r="B4180" t="str">
        <f>"00966849"</f>
        <v>00966849</v>
      </c>
      <c r="C4180" t="s">
        <v>22015</v>
      </c>
      <c r="D4180" t="s">
        <v>22016</v>
      </c>
      <c r="E4180" t="s">
        <v>22017</v>
      </c>
      <c r="G4180" t="s">
        <v>13504</v>
      </c>
      <c r="H4180" t="s">
        <v>13505</v>
      </c>
      <c r="J4180" t="s">
        <v>13506</v>
      </c>
      <c r="L4180" t="s">
        <v>84</v>
      </c>
      <c r="M4180" t="s">
        <v>75</v>
      </c>
      <c r="R4180" t="s">
        <v>22018</v>
      </c>
      <c r="W4180" t="s">
        <v>22017</v>
      </c>
      <c r="X4180" t="s">
        <v>22019</v>
      </c>
      <c r="Y4180" t="s">
        <v>87</v>
      </c>
      <c r="Z4180" t="s">
        <v>77</v>
      </c>
      <c r="AA4180" t="str">
        <f>"11235"</f>
        <v>11235</v>
      </c>
      <c r="AB4180" t="s">
        <v>78</v>
      </c>
      <c r="AC4180" t="s">
        <v>79</v>
      </c>
      <c r="AD4180" t="s">
        <v>75</v>
      </c>
      <c r="AE4180" t="s">
        <v>80</v>
      </c>
      <c r="AG4180" t="s">
        <v>81</v>
      </c>
    </row>
    <row r="4181" spans="1:33" x14ac:dyDescent="0.25">
      <c r="A4181" t="str">
        <f>"1477514156"</f>
        <v>1477514156</v>
      </c>
      <c r="B4181" t="str">
        <f>"01345748"</f>
        <v>01345748</v>
      </c>
      <c r="C4181" t="s">
        <v>22020</v>
      </c>
      <c r="D4181" t="s">
        <v>22021</v>
      </c>
      <c r="E4181" t="s">
        <v>22022</v>
      </c>
      <c r="G4181" t="s">
        <v>13504</v>
      </c>
      <c r="H4181" t="s">
        <v>13505</v>
      </c>
      <c r="J4181" t="s">
        <v>13506</v>
      </c>
      <c r="L4181" t="s">
        <v>74</v>
      </c>
      <c r="M4181" t="s">
        <v>75</v>
      </c>
      <c r="R4181" t="s">
        <v>22023</v>
      </c>
      <c r="W4181" t="s">
        <v>22022</v>
      </c>
      <c r="X4181" t="s">
        <v>22024</v>
      </c>
      <c r="Y4181" t="s">
        <v>87</v>
      </c>
      <c r="Z4181" t="s">
        <v>77</v>
      </c>
      <c r="AA4181" t="str">
        <f>"11201-5514"</f>
        <v>11201-5514</v>
      </c>
      <c r="AB4181" t="s">
        <v>78</v>
      </c>
      <c r="AC4181" t="s">
        <v>79</v>
      </c>
      <c r="AD4181" t="s">
        <v>75</v>
      </c>
      <c r="AE4181" t="s">
        <v>80</v>
      </c>
      <c r="AG4181" t="s">
        <v>81</v>
      </c>
    </row>
    <row r="4182" spans="1:33" x14ac:dyDescent="0.25">
      <c r="A4182" t="str">
        <f>"1902858756"</f>
        <v>1902858756</v>
      </c>
      <c r="B4182" t="str">
        <f>"01844944"</f>
        <v>01844944</v>
      </c>
      <c r="C4182" t="s">
        <v>22025</v>
      </c>
      <c r="D4182" t="s">
        <v>22026</v>
      </c>
      <c r="E4182" t="s">
        <v>22026</v>
      </c>
      <c r="G4182" t="s">
        <v>13504</v>
      </c>
      <c r="H4182" t="s">
        <v>13505</v>
      </c>
      <c r="J4182" t="s">
        <v>13506</v>
      </c>
      <c r="L4182" t="s">
        <v>84</v>
      </c>
      <c r="M4182" t="s">
        <v>85</v>
      </c>
      <c r="R4182" t="s">
        <v>22027</v>
      </c>
      <c r="W4182" t="s">
        <v>22028</v>
      </c>
      <c r="X4182" t="s">
        <v>625</v>
      </c>
      <c r="Y4182" t="s">
        <v>131</v>
      </c>
      <c r="Z4182" t="s">
        <v>77</v>
      </c>
      <c r="AA4182" t="str">
        <f>"10457-7697"</f>
        <v>10457-7697</v>
      </c>
      <c r="AB4182" t="s">
        <v>78</v>
      </c>
      <c r="AC4182" t="s">
        <v>79</v>
      </c>
      <c r="AD4182" t="s">
        <v>75</v>
      </c>
      <c r="AE4182" t="s">
        <v>80</v>
      </c>
      <c r="AG4182" t="s">
        <v>81</v>
      </c>
    </row>
    <row r="4183" spans="1:33" x14ac:dyDescent="0.25">
      <c r="A4183" t="str">
        <f>"1851334668"</f>
        <v>1851334668</v>
      </c>
      <c r="B4183" t="str">
        <f>"01141684"</f>
        <v>01141684</v>
      </c>
      <c r="C4183" t="s">
        <v>22029</v>
      </c>
      <c r="D4183" t="s">
        <v>22030</v>
      </c>
      <c r="E4183" t="s">
        <v>22031</v>
      </c>
      <c r="G4183" t="s">
        <v>13504</v>
      </c>
      <c r="H4183" t="s">
        <v>13505</v>
      </c>
      <c r="J4183" t="s">
        <v>13506</v>
      </c>
      <c r="L4183" t="s">
        <v>74</v>
      </c>
      <c r="M4183" t="s">
        <v>75</v>
      </c>
      <c r="R4183" t="s">
        <v>22032</v>
      </c>
      <c r="W4183" t="s">
        <v>22033</v>
      </c>
      <c r="X4183" t="s">
        <v>202</v>
      </c>
      <c r="Y4183" t="s">
        <v>87</v>
      </c>
      <c r="Z4183" t="s">
        <v>77</v>
      </c>
      <c r="AA4183" t="str">
        <f>"11201-5425"</f>
        <v>11201-5425</v>
      </c>
      <c r="AB4183" t="s">
        <v>78</v>
      </c>
      <c r="AC4183" t="s">
        <v>79</v>
      </c>
      <c r="AD4183" t="s">
        <v>75</v>
      </c>
      <c r="AE4183" t="s">
        <v>80</v>
      </c>
      <c r="AG4183" t="s">
        <v>81</v>
      </c>
    </row>
    <row r="4184" spans="1:33" x14ac:dyDescent="0.25">
      <c r="A4184" t="str">
        <f>"1962462390"</f>
        <v>1962462390</v>
      </c>
      <c r="B4184" t="str">
        <f>"01057478"</f>
        <v>01057478</v>
      </c>
      <c r="C4184" t="s">
        <v>22034</v>
      </c>
      <c r="D4184" t="s">
        <v>22035</v>
      </c>
      <c r="E4184" t="s">
        <v>22036</v>
      </c>
      <c r="G4184" t="s">
        <v>13504</v>
      </c>
      <c r="H4184" t="s">
        <v>13505</v>
      </c>
      <c r="J4184" t="s">
        <v>13506</v>
      </c>
      <c r="L4184" t="s">
        <v>84</v>
      </c>
      <c r="M4184" t="s">
        <v>75</v>
      </c>
      <c r="R4184" t="s">
        <v>22037</v>
      </c>
      <c r="W4184" t="s">
        <v>22036</v>
      </c>
      <c r="X4184" t="s">
        <v>22038</v>
      </c>
      <c r="Y4184" t="s">
        <v>87</v>
      </c>
      <c r="Z4184" t="s">
        <v>77</v>
      </c>
      <c r="AA4184" t="str">
        <f>"11201-5465"</f>
        <v>11201-5465</v>
      </c>
      <c r="AB4184" t="s">
        <v>78</v>
      </c>
      <c r="AC4184" t="s">
        <v>79</v>
      </c>
      <c r="AD4184" t="s">
        <v>75</v>
      </c>
      <c r="AE4184" t="s">
        <v>80</v>
      </c>
      <c r="AG4184" t="s">
        <v>81</v>
      </c>
    </row>
    <row r="4185" spans="1:33" x14ac:dyDescent="0.25">
      <c r="A4185" t="str">
        <f>"1881788776"</f>
        <v>1881788776</v>
      </c>
      <c r="B4185" t="str">
        <f>"01202024"</f>
        <v>01202024</v>
      </c>
      <c r="C4185" t="s">
        <v>22039</v>
      </c>
      <c r="D4185" t="s">
        <v>22040</v>
      </c>
      <c r="E4185" t="s">
        <v>22041</v>
      </c>
      <c r="G4185" t="s">
        <v>13504</v>
      </c>
      <c r="H4185" t="s">
        <v>13505</v>
      </c>
      <c r="J4185" t="s">
        <v>13506</v>
      </c>
      <c r="L4185" t="s">
        <v>105</v>
      </c>
      <c r="M4185" t="s">
        <v>85</v>
      </c>
      <c r="R4185" t="s">
        <v>22042</v>
      </c>
      <c r="W4185" t="s">
        <v>22041</v>
      </c>
      <c r="X4185" t="s">
        <v>323</v>
      </c>
      <c r="Y4185" t="s">
        <v>87</v>
      </c>
      <c r="Z4185" t="s">
        <v>77</v>
      </c>
      <c r="AA4185" t="str">
        <f>"11201-5509"</f>
        <v>11201-5509</v>
      </c>
      <c r="AB4185" t="s">
        <v>78</v>
      </c>
      <c r="AC4185" t="s">
        <v>79</v>
      </c>
      <c r="AD4185" t="s">
        <v>75</v>
      </c>
      <c r="AE4185" t="s">
        <v>80</v>
      </c>
      <c r="AG4185" t="s">
        <v>81</v>
      </c>
    </row>
    <row r="4186" spans="1:33" x14ac:dyDescent="0.25">
      <c r="A4186" t="str">
        <f>"1104995356"</f>
        <v>1104995356</v>
      </c>
      <c r="B4186" t="str">
        <f>"01231983"</f>
        <v>01231983</v>
      </c>
      <c r="C4186" t="s">
        <v>22043</v>
      </c>
      <c r="D4186" t="s">
        <v>22044</v>
      </c>
      <c r="E4186" t="s">
        <v>22045</v>
      </c>
      <c r="G4186" t="s">
        <v>13504</v>
      </c>
      <c r="H4186" t="s">
        <v>13505</v>
      </c>
      <c r="J4186" t="s">
        <v>13506</v>
      </c>
      <c r="L4186" t="s">
        <v>83</v>
      </c>
      <c r="M4186" t="s">
        <v>75</v>
      </c>
      <c r="R4186" t="s">
        <v>22046</v>
      </c>
      <c r="W4186" t="s">
        <v>22047</v>
      </c>
      <c r="X4186" t="s">
        <v>22048</v>
      </c>
      <c r="Y4186" t="s">
        <v>87</v>
      </c>
      <c r="Z4186" t="s">
        <v>77</v>
      </c>
      <c r="AA4186" t="str">
        <f>"11203-2017"</f>
        <v>11203-2017</v>
      </c>
      <c r="AB4186" t="s">
        <v>78</v>
      </c>
      <c r="AC4186" t="s">
        <v>79</v>
      </c>
      <c r="AD4186" t="s">
        <v>75</v>
      </c>
      <c r="AE4186" t="s">
        <v>80</v>
      </c>
      <c r="AG4186" t="s">
        <v>81</v>
      </c>
    </row>
    <row r="4187" spans="1:33" x14ac:dyDescent="0.25">
      <c r="A4187" t="str">
        <f>"1780831404"</f>
        <v>1780831404</v>
      </c>
      <c r="B4187" t="str">
        <f>"00479621"</f>
        <v>00479621</v>
      </c>
      <c r="C4187" t="s">
        <v>22049</v>
      </c>
      <c r="D4187" t="s">
        <v>22050</v>
      </c>
      <c r="E4187" t="s">
        <v>22051</v>
      </c>
      <c r="G4187" t="s">
        <v>13504</v>
      </c>
      <c r="H4187" t="s">
        <v>13505</v>
      </c>
      <c r="J4187" t="s">
        <v>13506</v>
      </c>
      <c r="L4187" t="s">
        <v>83</v>
      </c>
      <c r="M4187" t="s">
        <v>75</v>
      </c>
      <c r="R4187" t="s">
        <v>22052</v>
      </c>
      <c r="W4187" t="s">
        <v>22051</v>
      </c>
      <c r="X4187" t="s">
        <v>22053</v>
      </c>
      <c r="Y4187" t="s">
        <v>97</v>
      </c>
      <c r="Z4187" t="s">
        <v>77</v>
      </c>
      <c r="AA4187" t="str">
        <f>"10022-3758"</f>
        <v>10022-3758</v>
      </c>
      <c r="AB4187" t="s">
        <v>78</v>
      </c>
      <c r="AC4187" t="s">
        <v>79</v>
      </c>
      <c r="AD4187" t="s">
        <v>75</v>
      </c>
      <c r="AE4187" t="s">
        <v>80</v>
      </c>
      <c r="AG4187" t="s">
        <v>81</v>
      </c>
    </row>
    <row r="4188" spans="1:33" x14ac:dyDescent="0.25">
      <c r="A4188" t="str">
        <f>"1124221155"</f>
        <v>1124221155</v>
      </c>
      <c r="B4188" t="str">
        <f>"03473250"</f>
        <v>03473250</v>
      </c>
      <c r="C4188" t="s">
        <v>13436</v>
      </c>
      <c r="D4188" t="s">
        <v>22054</v>
      </c>
      <c r="E4188" t="s">
        <v>22055</v>
      </c>
      <c r="G4188" t="s">
        <v>22056</v>
      </c>
      <c r="L4188" t="s">
        <v>74</v>
      </c>
      <c r="M4188" t="s">
        <v>75</v>
      </c>
      <c r="R4188" t="s">
        <v>22057</v>
      </c>
      <c r="W4188" t="s">
        <v>22055</v>
      </c>
      <c r="X4188" t="s">
        <v>22058</v>
      </c>
      <c r="Y4188" t="s">
        <v>97</v>
      </c>
      <c r="Z4188" t="s">
        <v>77</v>
      </c>
      <c r="AA4188" t="str">
        <f>"10029-6574"</f>
        <v>10029-6574</v>
      </c>
      <c r="AB4188" t="s">
        <v>78</v>
      </c>
      <c r="AC4188" t="s">
        <v>79</v>
      </c>
      <c r="AD4188" t="s">
        <v>75</v>
      </c>
      <c r="AE4188" t="s">
        <v>80</v>
      </c>
      <c r="AG4188" t="s">
        <v>81</v>
      </c>
    </row>
    <row r="4189" spans="1:33" x14ac:dyDescent="0.25">
      <c r="A4189" t="str">
        <f>"1114119377"</f>
        <v>1114119377</v>
      </c>
      <c r="B4189" t="str">
        <f>"03521491"</f>
        <v>03521491</v>
      </c>
      <c r="C4189" t="s">
        <v>13436</v>
      </c>
      <c r="D4189" t="s">
        <v>22059</v>
      </c>
      <c r="E4189" t="s">
        <v>22060</v>
      </c>
      <c r="G4189" t="s">
        <v>22061</v>
      </c>
      <c r="L4189" t="s">
        <v>94</v>
      </c>
      <c r="M4189" t="s">
        <v>85</v>
      </c>
      <c r="R4189" t="s">
        <v>22062</v>
      </c>
      <c r="W4189" t="s">
        <v>22060</v>
      </c>
      <c r="X4189" t="s">
        <v>181</v>
      </c>
      <c r="Y4189" t="s">
        <v>97</v>
      </c>
      <c r="Z4189" t="s">
        <v>77</v>
      </c>
      <c r="AA4189" t="str">
        <f>"10025-1716"</f>
        <v>10025-1716</v>
      </c>
      <c r="AB4189" t="s">
        <v>78</v>
      </c>
      <c r="AC4189" t="s">
        <v>79</v>
      </c>
      <c r="AD4189" t="s">
        <v>75</v>
      </c>
      <c r="AE4189" t="s">
        <v>80</v>
      </c>
      <c r="AG4189" t="s">
        <v>81</v>
      </c>
    </row>
    <row r="4190" spans="1:33" x14ac:dyDescent="0.25">
      <c r="A4190" t="str">
        <f>"1114151867"</f>
        <v>1114151867</v>
      </c>
      <c r="B4190" t="str">
        <f>"03678177"</f>
        <v>03678177</v>
      </c>
      <c r="C4190" t="s">
        <v>13436</v>
      </c>
      <c r="D4190" t="s">
        <v>22063</v>
      </c>
      <c r="E4190" t="s">
        <v>22064</v>
      </c>
      <c r="G4190" t="s">
        <v>22065</v>
      </c>
      <c r="L4190" t="s">
        <v>74</v>
      </c>
      <c r="M4190" t="s">
        <v>85</v>
      </c>
      <c r="R4190" t="s">
        <v>22066</v>
      </c>
      <c r="W4190" t="s">
        <v>22064</v>
      </c>
      <c r="X4190" t="s">
        <v>181</v>
      </c>
      <c r="Y4190" t="s">
        <v>97</v>
      </c>
      <c r="Z4190" t="s">
        <v>77</v>
      </c>
      <c r="AA4190" t="str">
        <f>"10025-1716"</f>
        <v>10025-1716</v>
      </c>
      <c r="AB4190" t="s">
        <v>78</v>
      </c>
      <c r="AC4190" t="s">
        <v>79</v>
      </c>
      <c r="AD4190" t="s">
        <v>75</v>
      </c>
      <c r="AE4190" t="s">
        <v>80</v>
      </c>
      <c r="AG4190" t="s">
        <v>81</v>
      </c>
    </row>
    <row r="4191" spans="1:33" x14ac:dyDescent="0.25">
      <c r="A4191" t="str">
        <f>"1164602389"</f>
        <v>1164602389</v>
      </c>
      <c r="B4191" t="str">
        <f>"03040044"</f>
        <v>03040044</v>
      </c>
      <c r="C4191" t="s">
        <v>13436</v>
      </c>
      <c r="D4191" t="s">
        <v>22067</v>
      </c>
      <c r="E4191" t="s">
        <v>22068</v>
      </c>
      <c r="G4191" t="s">
        <v>22069</v>
      </c>
      <c r="L4191" t="s">
        <v>74</v>
      </c>
      <c r="M4191" t="s">
        <v>75</v>
      </c>
      <c r="R4191" t="s">
        <v>22068</v>
      </c>
      <c r="W4191" t="s">
        <v>22070</v>
      </c>
      <c r="X4191" t="s">
        <v>22071</v>
      </c>
      <c r="Y4191" t="s">
        <v>97</v>
      </c>
      <c r="Z4191" t="s">
        <v>77</v>
      </c>
      <c r="AA4191" t="str">
        <f>"10029-3513"</f>
        <v>10029-3513</v>
      </c>
      <c r="AB4191" t="s">
        <v>78</v>
      </c>
      <c r="AC4191" t="s">
        <v>79</v>
      </c>
      <c r="AD4191" t="s">
        <v>75</v>
      </c>
      <c r="AE4191" t="s">
        <v>80</v>
      </c>
      <c r="AG4191" t="s">
        <v>81</v>
      </c>
    </row>
    <row r="4192" spans="1:33" x14ac:dyDescent="0.25">
      <c r="A4192" t="str">
        <f>"1295750230"</f>
        <v>1295750230</v>
      </c>
      <c r="B4192" t="str">
        <f>"00773217"</f>
        <v>00773217</v>
      </c>
      <c r="C4192" t="s">
        <v>13436</v>
      </c>
      <c r="D4192" t="s">
        <v>22072</v>
      </c>
      <c r="E4192" t="s">
        <v>22073</v>
      </c>
      <c r="G4192" t="s">
        <v>22074</v>
      </c>
      <c r="L4192" t="s">
        <v>83</v>
      </c>
      <c r="M4192" t="s">
        <v>85</v>
      </c>
      <c r="R4192" t="s">
        <v>22075</v>
      </c>
      <c r="W4192" t="s">
        <v>22073</v>
      </c>
      <c r="X4192" t="s">
        <v>304</v>
      </c>
      <c r="Y4192" t="s">
        <v>178</v>
      </c>
      <c r="Z4192" t="s">
        <v>77</v>
      </c>
      <c r="AA4192" t="str">
        <f>"11023-2432"</f>
        <v>11023-2432</v>
      </c>
      <c r="AB4192" t="s">
        <v>78</v>
      </c>
      <c r="AC4192" t="s">
        <v>79</v>
      </c>
      <c r="AD4192" t="s">
        <v>75</v>
      </c>
      <c r="AE4192" t="s">
        <v>80</v>
      </c>
      <c r="AG4192" t="s">
        <v>81</v>
      </c>
    </row>
    <row r="4193" spans="1:33" x14ac:dyDescent="0.25">
      <c r="A4193" t="str">
        <f>"1306868815"</f>
        <v>1306868815</v>
      </c>
      <c r="B4193" t="str">
        <f>"03571157"</f>
        <v>03571157</v>
      </c>
      <c r="C4193" t="s">
        <v>13436</v>
      </c>
      <c r="D4193" t="s">
        <v>22076</v>
      </c>
      <c r="E4193" t="s">
        <v>22077</v>
      </c>
      <c r="G4193" t="s">
        <v>22078</v>
      </c>
      <c r="L4193" t="s">
        <v>74</v>
      </c>
      <c r="M4193" t="s">
        <v>85</v>
      </c>
      <c r="R4193" t="s">
        <v>22079</v>
      </c>
      <c r="W4193" t="s">
        <v>22077</v>
      </c>
      <c r="X4193" t="s">
        <v>22080</v>
      </c>
      <c r="Y4193" t="s">
        <v>97</v>
      </c>
      <c r="Z4193" t="s">
        <v>77</v>
      </c>
      <c r="AA4193" t="str">
        <f>"10003-3314"</f>
        <v>10003-3314</v>
      </c>
      <c r="AB4193" t="s">
        <v>78</v>
      </c>
      <c r="AC4193" t="s">
        <v>79</v>
      </c>
      <c r="AD4193" t="s">
        <v>75</v>
      </c>
      <c r="AE4193" t="s">
        <v>80</v>
      </c>
      <c r="AG4193" t="s">
        <v>81</v>
      </c>
    </row>
    <row r="4194" spans="1:33" x14ac:dyDescent="0.25">
      <c r="A4194" t="str">
        <f>"1306903000"</f>
        <v>1306903000</v>
      </c>
      <c r="B4194" t="str">
        <f>"01441767"</f>
        <v>01441767</v>
      </c>
      <c r="C4194" t="s">
        <v>13436</v>
      </c>
      <c r="D4194" t="s">
        <v>22081</v>
      </c>
      <c r="E4194" t="s">
        <v>22082</v>
      </c>
      <c r="G4194" t="s">
        <v>22083</v>
      </c>
      <c r="L4194" t="s">
        <v>84</v>
      </c>
      <c r="M4194" t="s">
        <v>85</v>
      </c>
      <c r="R4194" t="s">
        <v>22084</v>
      </c>
      <c r="W4194" t="s">
        <v>22082</v>
      </c>
      <c r="X4194" t="s">
        <v>22085</v>
      </c>
      <c r="Y4194" t="s">
        <v>97</v>
      </c>
      <c r="Z4194" t="s">
        <v>77</v>
      </c>
      <c r="AA4194" t="str">
        <f>"10025"</f>
        <v>10025</v>
      </c>
      <c r="AB4194" t="s">
        <v>78</v>
      </c>
      <c r="AC4194" t="s">
        <v>79</v>
      </c>
      <c r="AD4194" t="s">
        <v>75</v>
      </c>
      <c r="AE4194" t="s">
        <v>80</v>
      </c>
      <c r="AG4194" t="s">
        <v>81</v>
      </c>
    </row>
    <row r="4195" spans="1:33" x14ac:dyDescent="0.25">
      <c r="A4195" t="str">
        <f>"1306918669"</f>
        <v>1306918669</v>
      </c>
      <c r="B4195" t="str">
        <f>"01667945"</f>
        <v>01667945</v>
      </c>
      <c r="C4195" t="s">
        <v>13436</v>
      </c>
      <c r="D4195" t="s">
        <v>22086</v>
      </c>
      <c r="E4195" t="s">
        <v>22087</v>
      </c>
      <c r="G4195" t="s">
        <v>22088</v>
      </c>
      <c r="L4195" t="s">
        <v>83</v>
      </c>
      <c r="M4195" t="s">
        <v>85</v>
      </c>
      <c r="R4195" t="s">
        <v>22089</v>
      </c>
      <c r="W4195" t="s">
        <v>22087</v>
      </c>
      <c r="X4195" t="s">
        <v>1163</v>
      </c>
      <c r="Y4195" t="s">
        <v>97</v>
      </c>
      <c r="Z4195" t="s">
        <v>77</v>
      </c>
      <c r="AA4195" t="str">
        <f>"10029-4413"</f>
        <v>10029-4413</v>
      </c>
      <c r="AB4195" t="s">
        <v>78</v>
      </c>
      <c r="AC4195" t="s">
        <v>79</v>
      </c>
      <c r="AD4195" t="s">
        <v>75</v>
      </c>
      <c r="AE4195" t="s">
        <v>80</v>
      </c>
      <c r="AG4195" t="s">
        <v>81</v>
      </c>
    </row>
    <row r="4196" spans="1:33" x14ac:dyDescent="0.25">
      <c r="A4196" t="str">
        <f>"1316104466"</f>
        <v>1316104466</v>
      </c>
      <c r="B4196" t="str">
        <f>"03497312"</f>
        <v>03497312</v>
      </c>
      <c r="C4196" t="s">
        <v>13436</v>
      </c>
      <c r="D4196" t="s">
        <v>22090</v>
      </c>
      <c r="E4196" t="s">
        <v>22091</v>
      </c>
      <c r="G4196" t="s">
        <v>22092</v>
      </c>
      <c r="L4196" t="s">
        <v>83</v>
      </c>
      <c r="M4196" t="s">
        <v>85</v>
      </c>
      <c r="R4196" t="s">
        <v>22091</v>
      </c>
      <c r="W4196" t="s">
        <v>22091</v>
      </c>
      <c r="X4196" t="s">
        <v>22093</v>
      </c>
      <c r="Y4196" t="s">
        <v>2589</v>
      </c>
      <c r="Z4196" t="s">
        <v>156</v>
      </c>
      <c r="AA4196" t="str">
        <f>"07307-1791"</f>
        <v>07307-1791</v>
      </c>
      <c r="AB4196" t="s">
        <v>78</v>
      </c>
      <c r="AC4196" t="s">
        <v>79</v>
      </c>
      <c r="AD4196" t="s">
        <v>75</v>
      </c>
      <c r="AE4196" t="s">
        <v>80</v>
      </c>
      <c r="AG4196" t="s">
        <v>81</v>
      </c>
    </row>
    <row r="4197" spans="1:33" x14ac:dyDescent="0.25">
      <c r="A4197" t="str">
        <f>"1316142979"</f>
        <v>1316142979</v>
      </c>
      <c r="B4197" t="str">
        <f>"03175486"</f>
        <v>03175486</v>
      </c>
      <c r="C4197" t="s">
        <v>13436</v>
      </c>
      <c r="D4197" t="s">
        <v>22094</v>
      </c>
      <c r="E4197" t="s">
        <v>22095</v>
      </c>
      <c r="G4197" t="s">
        <v>22096</v>
      </c>
      <c r="L4197" t="s">
        <v>83</v>
      </c>
      <c r="M4197" t="s">
        <v>85</v>
      </c>
      <c r="R4197" t="s">
        <v>22097</v>
      </c>
      <c r="W4197" t="s">
        <v>22095</v>
      </c>
      <c r="X4197" t="s">
        <v>8521</v>
      </c>
      <c r="Y4197" t="s">
        <v>97</v>
      </c>
      <c r="Z4197" t="s">
        <v>77</v>
      </c>
      <c r="AA4197" t="str">
        <f>"10025-8073"</f>
        <v>10025-8073</v>
      </c>
      <c r="AB4197" t="s">
        <v>78</v>
      </c>
      <c r="AC4197" t="s">
        <v>79</v>
      </c>
      <c r="AD4197" t="s">
        <v>75</v>
      </c>
      <c r="AE4197" t="s">
        <v>80</v>
      </c>
      <c r="AG4197" t="s">
        <v>81</v>
      </c>
    </row>
    <row r="4198" spans="1:33" x14ac:dyDescent="0.25">
      <c r="A4198" t="str">
        <f>"1316191687"</f>
        <v>1316191687</v>
      </c>
      <c r="B4198" t="str">
        <f>"01858837"</f>
        <v>01858837</v>
      </c>
      <c r="C4198" t="s">
        <v>13436</v>
      </c>
      <c r="D4198" t="s">
        <v>22098</v>
      </c>
      <c r="E4198" t="s">
        <v>22099</v>
      </c>
      <c r="G4198" t="s">
        <v>22100</v>
      </c>
      <c r="L4198" t="s">
        <v>83</v>
      </c>
      <c r="M4198" t="s">
        <v>85</v>
      </c>
      <c r="R4198" t="s">
        <v>22101</v>
      </c>
      <c r="W4198" t="s">
        <v>22099</v>
      </c>
      <c r="X4198" t="s">
        <v>2808</v>
      </c>
      <c r="Y4198" t="s">
        <v>97</v>
      </c>
      <c r="Z4198" t="s">
        <v>77</v>
      </c>
      <c r="AA4198" t="str">
        <f>"10025-6450"</f>
        <v>10025-6450</v>
      </c>
      <c r="AB4198" t="s">
        <v>78</v>
      </c>
      <c r="AC4198" t="s">
        <v>79</v>
      </c>
      <c r="AD4198" t="s">
        <v>75</v>
      </c>
      <c r="AE4198" t="s">
        <v>80</v>
      </c>
      <c r="AG4198" t="s">
        <v>81</v>
      </c>
    </row>
    <row r="4199" spans="1:33" x14ac:dyDescent="0.25">
      <c r="A4199" t="str">
        <f>"1962551499"</f>
        <v>1962551499</v>
      </c>
      <c r="B4199" t="str">
        <f>"01386465"</f>
        <v>01386465</v>
      </c>
      <c r="C4199" t="s">
        <v>13436</v>
      </c>
      <c r="D4199" t="s">
        <v>22102</v>
      </c>
      <c r="E4199" t="s">
        <v>22103</v>
      </c>
      <c r="G4199" t="s">
        <v>22104</v>
      </c>
      <c r="L4199" t="s">
        <v>83</v>
      </c>
      <c r="M4199" t="s">
        <v>85</v>
      </c>
      <c r="R4199" t="s">
        <v>22105</v>
      </c>
      <c r="W4199" t="s">
        <v>22103</v>
      </c>
      <c r="X4199" t="s">
        <v>22106</v>
      </c>
      <c r="Y4199" t="s">
        <v>97</v>
      </c>
      <c r="Z4199" t="s">
        <v>77</v>
      </c>
      <c r="AA4199" t="str">
        <f>"10003-2693"</f>
        <v>10003-2693</v>
      </c>
      <c r="AB4199" t="s">
        <v>78</v>
      </c>
      <c r="AC4199" t="s">
        <v>79</v>
      </c>
      <c r="AD4199" t="s">
        <v>75</v>
      </c>
      <c r="AE4199" t="s">
        <v>80</v>
      </c>
      <c r="AG4199" t="s">
        <v>81</v>
      </c>
    </row>
    <row r="4200" spans="1:33" x14ac:dyDescent="0.25">
      <c r="A4200" t="str">
        <f>"1124037593"</f>
        <v>1124037593</v>
      </c>
      <c r="B4200" t="str">
        <f>"02994163"</f>
        <v>02994163</v>
      </c>
      <c r="C4200" t="s">
        <v>22107</v>
      </c>
      <c r="D4200" t="s">
        <v>22108</v>
      </c>
      <c r="E4200" t="s">
        <v>22109</v>
      </c>
      <c r="G4200" t="s">
        <v>13504</v>
      </c>
      <c r="H4200" t="s">
        <v>13505</v>
      </c>
      <c r="J4200" t="s">
        <v>13506</v>
      </c>
      <c r="L4200" t="s">
        <v>2600</v>
      </c>
      <c r="M4200" t="s">
        <v>75</v>
      </c>
      <c r="R4200" t="s">
        <v>22110</v>
      </c>
      <c r="W4200" t="s">
        <v>22111</v>
      </c>
      <c r="X4200" t="s">
        <v>22112</v>
      </c>
      <c r="Y4200" t="s">
        <v>87</v>
      </c>
      <c r="Z4200" t="s">
        <v>77</v>
      </c>
      <c r="AA4200" t="str">
        <f>"11209-4314"</f>
        <v>11209-4314</v>
      </c>
      <c r="AB4200" t="s">
        <v>93</v>
      </c>
      <c r="AC4200" t="s">
        <v>79</v>
      </c>
      <c r="AD4200" t="s">
        <v>75</v>
      </c>
      <c r="AE4200" t="s">
        <v>80</v>
      </c>
      <c r="AG4200" t="s">
        <v>81</v>
      </c>
    </row>
    <row r="4201" spans="1:33" x14ac:dyDescent="0.25">
      <c r="A4201" t="str">
        <f>"1194742932"</f>
        <v>1194742932</v>
      </c>
      <c r="B4201" t="str">
        <f>"02593988"</f>
        <v>02593988</v>
      </c>
      <c r="C4201" t="s">
        <v>22113</v>
      </c>
      <c r="D4201" t="s">
        <v>22114</v>
      </c>
      <c r="E4201" t="s">
        <v>22115</v>
      </c>
      <c r="G4201" t="s">
        <v>13504</v>
      </c>
      <c r="H4201" t="s">
        <v>13505</v>
      </c>
      <c r="J4201" t="s">
        <v>13506</v>
      </c>
      <c r="L4201" t="s">
        <v>74</v>
      </c>
      <c r="M4201" t="s">
        <v>75</v>
      </c>
      <c r="R4201" t="s">
        <v>22116</v>
      </c>
      <c r="W4201" t="s">
        <v>22117</v>
      </c>
      <c r="X4201" t="s">
        <v>202</v>
      </c>
      <c r="Y4201" t="s">
        <v>87</v>
      </c>
      <c r="Z4201" t="s">
        <v>77</v>
      </c>
      <c r="AA4201" t="str">
        <f>"11201-5425"</f>
        <v>11201-5425</v>
      </c>
      <c r="AB4201" t="s">
        <v>128</v>
      </c>
      <c r="AC4201" t="s">
        <v>79</v>
      </c>
      <c r="AD4201" t="s">
        <v>75</v>
      </c>
      <c r="AE4201" t="s">
        <v>80</v>
      </c>
      <c r="AG4201" t="s">
        <v>81</v>
      </c>
    </row>
    <row r="4202" spans="1:33" x14ac:dyDescent="0.25">
      <c r="A4202" t="str">
        <f>"1013998996"</f>
        <v>1013998996</v>
      </c>
      <c r="B4202" t="str">
        <f>"02611296"</f>
        <v>02611296</v>
      </c>
      <c r="C4202" t="s">
        <v>13436</v>
      </c>
      <c r="D4202" t="s">
        <v>22118</v>
      </c>
      <c r="E4202" t="s">
        <v>22119</v>
      </c>
      <c r="G4202" t="s">
        <v>22120</v>
      </c>
      <c r="L4202" t="s">
        <v>83</v>
      </c>
      <c r="M4202" t="s">
        <v>85</v>
      </c>
      <c r="R4202" t="s">
        <v>22121</v>
      </c>
      <c r="W4202" t="s">
        <v>22119</v>
      </c>
      <c r="X4202" t="s">
        <v>5307</v>
      </c>
      <c r="Y4202" t="s">
        <v>97</v>
      </c>
      <c r="Z4202" t="s">
        <v>77</v>
      </c>
      <c r="AA4202" t="str">
        <f>"10003-3851"</f>
        <v>10003-3851</v>
      </c>
      <c r="AB4202" t="s">
        <v>78</v>
      </c>
      <c r="AC4202" t="s">
        <v>79</v>
      </c>
      <c r="AD4202" t="s">
        <v>75</v>
      </c>
      <c r="AE4202" t="s">
        <v>80</v>
      </c>
      <c r="AG4202" t="s">
        <v>81</v>
      </c>
    </row>
    <row r="4203" spans="1:33" x14ac:dyDescent="0.25">
      <c r="A4203" t="str">
        <f>"1023001120"</f>
        <v>1023001120</v>
      </c>
      <c r="B4203" t="str">
        <f>"00233683"</f>
        <v>00233683</v>
      </c>
      <c r="C4203" t="s">
        <v>13436</v>
      </c>
      <c r="D4203" t="s">
        <v>22122</v>
      </c>
      <c r="E4203" t="s">
        <v>22123</v>
      </c>
      <c r="G4203" t="s">
        <v>22124</v>
      </c>
      <c r="L4203" t="s">
        <v>74</v>
      </c>
      <c r="M4203" t="s">
        <v>85</v>
      </c>
      <c r="R4203" t="s">
        <v>22125</v>
      </c>
      <c r="W4203" t="s">
        <v>22123</v>
      </c>
      <c r="X4203" t="s">
        <v>4475</v>
      </c>
      <c r="Y4203" t="s">
        <v>97</v>
      </c>
      <c r="Z4203" t="s">
        <v>77</v>
      </c>
      <c r="AA4203" t="str">
        <f>"10025"</f>
        <v>10025</v>
      </c>
      <c r="AB4203" t="s">
        <v>78</v>
      </c>
      <c r="AC4203" t="s">
        <v>79</v>
      </c>
      <c r="AD4203" t="s">
        <v>75</v>
      </c>
      <c r="AE4203" t="s">
        <v>80</v>
      </c>
      <c r="AG4203" t="s">
        <v>81</v>
      </c>
    </row>
    <row r="4204" spans="1:33" x14ac:dyDescent="0.25">
      <c r="A4204" t="str">
        <f>"1023006020"</f>
        <v>1023006020</v>
      </c>
      <c r="B4204" t="str">
        <f>"02606453"</f>
        <v>02606453</v>
      </c>
      <c r="C4204" t="s">
        <v>13436</v>
      </c>
      <c r="D4204" t="s">
        <v>22126</v>
      </c>
      <c r="E4204" t="s">
        <v>22127</v>
      </c>
      <c r="G4204" t="s">
        <v>22128</v>
      </c>
      <c r="L4204" t="s">
        <v>84</v>
      </c>
      <c r="M4204" t="s">
        <v>85</v>
      </c>
      <c r="R4204" t="s">
        <v>22129</v>
      </c>
      <c r="W4204" t="s">
        <v>22127</v>
      </c>
      <c r="X4204" t="s">
        <v>22127</v>
      </c>
      <c r="Y4204" t="s">
        <v>97</v>
      </c>
      <c r="Z4204" t="s">
        <v>77</v>
      </c>
      <c r="AA4204" t="str">
        <f>"10013-3599"</f>
        <v>10013-3599</v>
      </c>
      <c r="AB4204" t="s">
        <v>78</v>
      </c>
      <c r="AC4204" t="s">
        <v>79</v>
      </c>
      <c r="AD4204" t="s">
        <v>75</v>
      </c>
      <c r="AE4204" t="s">
        <v>80</v>
      </c>
      <c r="AG4204" t="s">
        <v>81</v>
      </c>
    </row>
    <row r="4205" spans="1:33" x14ac:dyDescent="0.25">
      <c r="A4205" t="str">
        <f>"1669448262"</f>
        <v>1669448262</v>
      </c>
      <c r="B4205" t="str">
        <f>"00819094"</f>
        <v>00819094</v>
      </c>
      <c r="C4205" t="s">
        <v>13436</v>
      </c>
      <c r="D4205" t="s">
        <v>22130</v>
      </c>
      <c r="E4205" t="s">
        <v>22131</v>
      </c>
      <c r="G4205" t="s">
        <v>22132</v>
      </c>
      <c r="L4205" t="s">
        <v>74</v>
      </c>
      <c r="M4205" t="s">
        <v>85</v>
      </c>
      <c r="R4205" t="s">
        <v>22133</v>
      </c>
      <c r="W4205" t="s">
        <v>22134</v>
      </c>
      <c r="X4205" t="s">
        <v>22135</v>
      </c>
      <c r="Y4205" t="s">
        <v>97</v>
      </c>
      <c r="Z4205" t="s">
        <v>77</v>
      </c>
      <c r="AA4205" t="str">
        <f>"10029-6503"</f>
        <v>10029-6503</v>
      </c>
      <c r="AB4205" t="s">
        <v>78</v>
      </c>
      <c r="AC4205" t="s">
        <v>79</v>
      </c>
      <c r="AD4205" t="s">
        <v>75</v>
      </c>
      <c r="AE4205" t="s">
        <v>80</v>
      </c>
      <c r="AG4205" t="s">
        <v>81</v>
      </c>
    </row>
    <row r="4206" spans="1:33" x14ac:dyDescent="0.25">
      <c r="A4206" t="str">
        <f>"1720046915"</f>
        <v>1720046915</v>
      </c>
      <c r="B4206" t="str">
        <f>"01472655"</f>
        <v>01472655</v>
      </c>
      <c r="C4206" t="s">
        <v>13436</v>
      </c>
      <c r="D4206" t="s">
        <v>22136</v>
      </c>
      <c r="E4206" t="s">
        <v>22137</v>
      </c>
      <c r="G4206" t="s">
        <v>22138</v>
      </c>
      <c r="L4206" t="s">
        <v>83</v>
      </c>
      <c r="M4206" t="s">
        <v>85</v>
      </c>
      <c r="R4206" t="s">
        <v>22139</v>
      </c>
      <c r="W4206" t="s">
        <v>22137</v>
      </c>
      <c r="X4206" t="s">
        <v>273</v>
      </c>
      <c r="Y4206" t="s">
        <v>131</v>
      </c>
      <c r="Z4206" t="s">
        <v>77</v>
      </c>
      <c r="AA4206" t="str">
        <f>"10451-5589"</f>
        <v>10451-5589</v>
      </c>
      <c r="AB4206" t="s">
        <v>78</v>
      </c>
      <c r="AC4206" t="s">
        <v>79</v>
      </c>
      <c r="AD4206" t="s">
        <v>75</v>
      </c>
      <c r="AE4206" t="s">
        <v>80</v>
      </c>
      <c r="AG4206" t="s">
        <v>81</v>
      </c>
    </row>
    <row r="4207" spans="1:33" x14ac:dyDescent="0.25">
      <c r="A4207" t="str">
        <f>"1720104672"</f>
        <v>1720104672</v>
      </c>
      <c r="B4207" t="str">
        <f>"01722930"</f>
        <v>01722930</v>
      </c>
      <c r="C4207" t="s">
        <v>13436</v>
      </c>
      <c r="D4207" t="s">
        <v>22140</v>
      </c>
      <c r="E4207" t="s">
        <v>22141</v>
      </c>
      <c r="G4207" t="s">
        <v>22142</v>
      </c>
      <c r="L4207" t="s">
        <v>83</v>
      </c>
      <c r="M4207" t="s">
        <v>85</v>
      </c>
      <c r="R4207" t="s">
        <v>22143</v>
      </c>
      <c r="W4207" t="s">
        <v>22141</v>
      </c>
      <c r="X4207" t="s">
        <v>22144</v>
      </c>
      <c r="Y4207" t="s">
        <v>97</v>
      </c>
      <c r="Z4207" t="s">
        <v>77</v>
      </c>
      <c r="AA4207" t="str">
        <f>"10023-5034"</f>
        <v>10023-5034</v>
      </c>
      <c r="AB4207" t="s">
        <v>78</v>
      </c>
      <c r="AC4207" t="s">
        <v>79</v>
      </c>
      <c r="AD4207" t="s">
        <v>75</v>
      </c>
      <c r="AE4207" t="s">
        <v>80</v>
      </c>
      <c r="AG4207" t="s">
        <v>81</v>
      </c>
    </row>
    <row r="4208" spans="1:33" x14ac:dyDescent="0.25">
      <c r="A4208" t="str">
        <f>"1720147879"</f>
        <v>1720147879</v>
      </c>
      <c r="B4208" t="str">
        <f>"00596245"</f>
        <v>00596245</v>
      </c>
      <c r="C4208" t="s">
        <v>13436</v>
      </c>
      <c r="D4208" t="s">
        <v>22145</v>
      </c>
      <c r="E4208" t="s">
        <v>22146</v>
      </c>
      <c r="G4208" t="s">
        <v>22147</v>
      </c>
      <c r="L4208" t="s">
        <v>83</v>
      </c>
      <c r="M4208" t="s">
        <v>85</v>
      </c>
      <c r="R4208" t="s">
        <v>22148</v>
      </c>
      <c r="W4208" t="s">
        <v>22146</v>
      </c>
      <c r="X4208" t="s">
        <v>22149</v>
      </c>
      <c r="Y4208" t="s">
        <v>97</v>
      </c>
      <c r="Z4208" t="s">
        <v>77</v>
      </c>
      <c r="AA4208" t="str">
        <f>"10019-6401"</f>
        <v>10019-6401</v>
      </c>
      <c r="AB4208" t="s">
        <v>78</v>
      </c>
      <c r="AC4208" t="s">
        <v>79</v>
      </c>
      <c r="AD4208" t="s">
        <v>75</v>
      </c>
      <c r="AE4208" t="s">
        <v>80</v>
      </c>
      <c r="AG4208" t="s">
        <v>81</v>
      </c>
    </row>
    <row r="4209" spans="1:33" x14ac:dyDescent="0.25">
      <c r="A4209" t="str">
        <f>"1720168529"</f>
        <v>1720168529</v>
      </c>
      <c r="B4209" t="str">
        <f>"01075323"</f>
        <v>01075323</v>
      </c>
      <c r="C4209" t="s">
        <v>13436</v>
      </c>
      <c r="D4209" t="s">
        <v>22150</v>
      </c>
      <c r="E4209" t="s">
        <v>22151</v>
      </c>
      <c r="G4209" t="s">
        <v>22152</v>
      </c>
      <c r="L4209" t="s">
        <v>83</v>
      </c>
      <c r="M4209" t="s">
        <v>85</v>
      </c>
      <c r="R4209" t="s">
        <v>22153</v>
      </c>
      <c r="W4209" t="s">
        <v>22151</v>
      </c>
      <c r="X4209" t="s">
        <v>22154</v>
      </c>
      <c r="Y4209" t="s">
        <v>87</v>
      </c>
      <c r="Z4209" t="s">
        <v>77</v>
      </c>
      <c r="AA4209" t="str">
        <f>"11230-5103"</f>
        <v>11230-5103</v>
      </c>
      <c r="AB4209" t="s">
        <v>78</v>
      </c>
      <c r="AC4209" t="s">
        <v>79</v>
      </c>
      <c r="AD4209" t="s">
        <v>75</v>
      </c>
      <c r="AE4209" t="s">
        <v>80</v>
      </c>
      <c r="AG4209" t="s">
        <v>81</v>
      </c>
    </row>
    <row r="4210" spans="1:33" x14ac:dyDescent="0.25">
      <c r="A4210" t="str">
        <f>"1730121013"</f>
        <v>1730121013</v>
      </c>
      <c r="B4210" t="str">
        <f>"01394210"</f>
        <v>01394210</v>
      </c>
      <c r="C4210" t="s">
        <v>13436</v>
      </c>
      <c r="D4210" t="s">
        <v>22155</v>
      </c>
      <c r="E4210" t="s">
        <v>22156</v>
      </c>
      <c r="G4210" t="s">
        <v>22157</v>
      </c>
      <c r="L4210" t="s">
        <v>83</v>
      </c>
      <c r="M4210" t="s">
        <v>85</v>
      </c>
      <c r="W4210" t="s">
        <v>22156</v>
      </c>
      <c r="X4210" t="s">
        <v>2653</v>
      </c>
      <c r="Y4210" t="s">
        <v>97</v>
      </c>
      <c r="Z4210" t="s">
        <v>77</v>
      </c>
      <c r="AA4210" t="str">
        <f>"10019-1105"</f>
        <v>10019-1105</v>
      </c>
      <c r="AB4210" t="s">
        <v>78</v>
      </c>
      <c r="AC4210" t="s">
        <v>79</v>
      </c>
      <c r="AD4210" t="s">
        <v>75</v>
      </c>
      <c r="AE4210" t="s">
        <v>80</v>
      </c>
      <c r="AG4210" t="s">
        <v>81</v>
      </c>
    </row>
    <row r="4211" spans="1:33" x14ac:dyDescent="0.25">
      <c r="A4211" t="str">
        <f>"1356426795"</f>
        <v>1356426795</v>
      </c>
      <c r="B4211" t="str">
        <f>"02935739"</f>
        <v>02935739</v>
      </c>
      <c r="C4211" t="s">
        <v>13436</v>
      </c>
      <c r="D4211" t="s">
        <v>22158</v>
      </c>
      <c r="E4211" t="s">
        <v>1701</v>
      </c>
      <c r="G4211" t="s">
        <v>22159</v>
      </c>
      <c r="L4211" t="s">
        <v>84</v>
      </c>
      <c r="M4211" t="s">
        <v>85</v>
      </c>
      <c r="R4211" t="s">
        <v>1701</v>
      </c>
      <c r="W4211" t="s">
        <v>1701</v>
      </c>
      <c r="X4211" t="s">
        <v>11308</v>
      </c>
      <c r="Y4211" t="s">
        <v>131</v>
      </c>
      <c r="Z4211" t="s">
        <v>77</v>
      </c>
      <c r="AA4211" t="str">
        <f>"10453-5436"</f>
        <v>10453-5436</v>
      </c>
      <c r="AB4211" t="s">
        <v>78</v>
      </c>
      <c r="AC4211" t="s">
        <v>79</v>
      </c>
      <c r="AD4211" t="s">
        <v>75</v>
      </c>
      <c r="AE4211" t="s">
        <v>80</v>
      </c>
      <c r="AG4211" t="s">
        <v>81</v>
      </c>
    </row>
    <row r="4212" spans="1:33" x14ac:dyDescent="0.25">
      <c r="A4212" t="str">
        <f>"1366451841"</f>
        <v>1366451841</v>
      </c>
      <c r="B4212" t="str">
        <f>"00405578"</f>
        <v>00405578</v>
      </c>
      <c r="C4212" t="s">
        <v>13436</v>
      </c>
      <c r="D4212" t="s">
        <v>22160</v>
      </c>
      <c r="E4212" t="s">
        <v>22161</v>
      </c>
      <c r="G4212" t="s">
        <v>22162</v>
      </c>
      <c r="L4212" t="s">
        <v>83</v>
      </c>
      <c r="M4212" t="s">
        <v>75</v>
      </c>
      <c r="R4212" t="s">
        <v>22163</v>
      </c>
      <c r="W4212" t="s">
        <v>22161</v>
      </c>
      <c r="X4212" t="s">
        <v>2093</v>
      </c>
      <c r="Y4212" t="s">
        <v>97</v>
      </c>
      <c r="Z4212" t="s">
        <v>77</v>
      </c>
      <c r="AA4212" t="str">
        <f>"10025-1715"</f>
        <v>10025-1715</v>
      </c>
      <c r="AB4212" t="s">
        <v>128</v>
      </c>
      <c r="AC4212" t="s">
        <v>79</v>
      </c>
      <c r="AD4212" t="s">
        <v>75</v>
      </c>
      <c r="AE4212" t="s">
        <v>80</v>
      </c>
      <c r="AG4212" t="s">
        <v>81</v>
      </c>
    </row>
    <row r="4213" spans="1:33" x14ac:dyDescent="0.25">
      <c r="A4213" t="str">
        <f>"1679719413"</f>
        <v>1679719413</v>
      </c>
      <c r="B4213" t="str">
        <f>"03119500"</f>
        <v>03119500</v>
      </c>
      <c r="C4213" t="s">
        <v>22164</v>
      </c>
      <c r="D4213" t="s">
        <v>22165</v>
      </c>
      <c r="E4213" t="s">
        <v>22166</v>
      </c>
      <c r="G4213" t="s">
        <v>22164</v>
      </c>
      <c r="H4213" t="s">
        <v>22167</v>
      </c>
      <c r="J4213" t="s">
        <v>22168</v>
      </c>
      <c r="L4213" t="s">
        <v>74</v>
      </c>
      <c r="M4213" t="s">
        <v>75</v>
      </c>
      <c r="R4213" t="s">
        <v>22166</v>
      </c>
      <c r="W4213" t="s">
        <v>22166</v>
      </c>
      <c r="X4213" t="s">
        <v>1163</v>
      </c>
      <c r="Y4213" t="s">
        <v>97</v>
      </c>
      <c r="Z4213" t="s">
        <v>77</v>
      </c>
      <c r="AA4213" t="str">
        <f>"10029-4413"</f>
        <v>10029-4413</v>
      </c>
      <c r="AB4213" t="s">
        <v>78</v>
      </c>
      <c r="AC4213" t="s">
        <v>79</v>
      </c>
      <c r="AD4213" t="s">
        <v>75</v>
      </c>
      <c r="AE4213" t="s">
        <v>80</v>
      </c>
      <c r="AG4213" t="s">
        <v>81</v>
      </c>
    </row>
    <row r="4214" spans="1:33" x14ac:dyDescent="0.25">
      <c r="A4214" t="str">
        <f>"1134319015"</f>
        <v>1134319015</v>
      </c>
      <c r="B4214" t="str">
        <f>"00789097"</f>
        <v>00789097</v>
      </c>
      <c r="C4214" t="s">
        <v>22169</v>
      </c>
      <c r="D4214" t="s">
        <v>22170</v>
      </c>
      <c r="E4214" t="s">
        <v>22171</v>
      </c>
      <c r="G4214" t="s">
        <v>22169</v>
      </c>
      <c r="H4214" t="s">
        <v>22172</v>
      </c>
      <c r="J4214" t="s">
        <v>22173</v>
      </c>
      <c r="L4214" t="s">
        <v>83</v>
      </c>
      <c r="M4214" t="s">
        <v>75</v>
      </c>
      <c r="R4214" t="s">
        <v>22174</v>
      </c>
      <c r="W4214" t="s">
        <v>22171</v>
      </c>
      <c r="X4214" t="s">
        <v>22175</v>
      </c>
      <c r="Y4214" t="s">
        <v>97</v>
      </c>
      <c r="Z4214" t="s">
        <v>77</v>
      </c>
      <c r="AA4214" t="str">
        <f>"10019-3018"</f>
        <v>10019-3018</v>
      </c>
      <c r="AB4214" t="s">
        <v>78</v>
      </c>
      <c r="AC4214" t="s">
        <v>79</v>
      </c>
      <c r="AD4214" t="s">
        <v>75</v>
      </c>
      <c r="AE4214" t="s">
        <v>80</v>
      </c>
      <c r="AG4214" t="s">
        <v>81</v>
      </c>
    </row>
    <row r="4215" spans="1:33" x14ac:dyDescent="0.25">
      <c r="A4215" t="str">
        <f>"1902825185"</f>
        <v>1902825185</v>
      </c>
      <c r="B4215" t="str">
        <f>"02862384"</f>
        <v>02862384</v>
      </c>
      <c r="C4215" t="s">
        <v>22176</v>
      </c>
      <c r="D4215" t="s">
        <v>22177</v>
      </c>
      <c r="E4215" t="s">
        <v>22178</v>
      </c>
      <c r="G4215" t="s">
        <v>22176</v>
      </c>
      <c r="H4215" t="s">
        <v>22179</v>
      </c>
      <c r="J4215" t="s">
        <v>22180</v>
      </c>
      <c r="L4215" t="s">
        <v>74</v>
      </c>
      <c r="M4215" t="s">
        <v>75</v>
      </c>
      <c r="R4215" t="s">
        <v>22178</v>
      </c>
      <c r="W4215" t="s">
        <v>22178</v>
      </c>
      <c r="X4215" t="s">
        <v>22181</v>
      </c>
      <c r="Y4215" t="s">
        <v>97</v>
      </c>
      <c r="Z4215" t="s">
        <v>77</v>
      </c>
      <c r="AA4215" t="str">
        <f>"10029-4413"</f>
        <v>10029-4413</v>
      </c>
      <c r="AB4215" t="s">
        <v>78</v>
      </c>
      <c r="AC4215" t="s">
        <v>79</v>
      </c>
      <c r="AD4215" t="s">
        <v>75</v>
      </c>
      <c r="AE4215" t="s">
        <v>80</v>
      </c>
      <c r="AG4215" t="s">
        <v>81</v>
      </c>
    </row>
    <row r="4216" spans="1:33" x14ac:dyDescent="0.25">
      <c r="A4216" t="str">
        <f>"1518092170"</f>
        <v>1518092170</v>
      </c>
      <c r="B4216" t="str">
        <f>"01675410"</f>
        <v>01675410</v>
      </c>
      <c r="C4216" t="s">
        <v>22182</v>
      </c>
      <c r="D4216" t="s">
        <v>5189</v>
      </c>
      <c r="E4216" t="s">
        <v>5190</v>
      </c>
      <c r="G4216" t="s">
        <v>22183</v>
      </c>
      <c r="H4216" t="s">
        <v>22184</v>
      </c>
      <c r="J4216" t="s">
        <v>22185</v>
      </c>
      <c r="L4216" t="s">
        <v>94</v>
      </c>
      <c r="M4216" t="s">
        <v>75</v>
      </c>
      <c r="R4216" t="s">
        <v>5191</v>
      </c>
      <c r="W4216" t="s">
        <v>5190</v>
      </c>
      <c r="X4216" t="s">
        <v>5192</v>
      </c>
      <c r="Y4216" t="s">
        <v>87</v>
      </c>
      <c r="Z4216" t="s">
        <v>77</v>
      </c>
      <c r="AA4216" t="str">
        <f>"11201-5514"</f>
        <v>11201-5514</v>
      </c>
      <c r="AB4216" t="s">
        <v>78</v>
      </c>
      <c r="AC4216" t="s">
        <v>79</v>
      </c>
      <c r="AD4216" t="s">
        <v>75</v>
      </c>
      <c r="AE4216" t="s">
        <v>80</v>
      </c>
      <c r="AG4216" t="s">
        <v>81</v>
      </c>
    </row>
    <row r="4217" spans="1:33" x14ac:dyDescent="0.25">
      <c r="A4217" t="str">
        <f>"1780913459"</f>
        <v>1780913459</v>
      </c>
      <c r="B4217" t="str">
        <f>"03292739"</f>
        <v>03292739</v>
      </c>
      <c r="C4217" t="s">
        <v>22186</v>
      </c>
      <c r="D4217" t="s">
        <v>6062</v>
      </c>
      <c r="E4217" t="s">
        <v>6063</v>
      </c>
      <c r="G4217" t="s">
        <v>22186</v>
      </c>
      <c r="H4217" t="s">
        <v>22187</v>
      </c>
      <c r="J4217" t="s">
        <v>22188</v>
      </c>
      <c r="L4217" t="s">
        <v>74</v>
      </c>
      <c r="M4217" t="s">
        <v>75</v>
      </c>
      <c r="R4217" t="s">
        <v>6064</v>
      </c>
      <c r="W4217" t="s">
        <v>6063</v>
      </c>
      <c r="X4217" t="s">
        <v>3767</v>
      </c>
      <c r="Y4217" t="s">
        <v>131</v>
      </c>
      <c r="Z4217" t="s">
        <v>77</v>
      </c>
      <c r="AA4217" t="str">
        <f>"10462-5072"</f>
        <v>10462-5072</v>
      </c>
      <c r="AB4217" t="s">
        <v>78</v>
      </c>
      <c r="AC4217" t="s">
        <v>79</v>
      </c>
      <c r="AD4217" t="s">
        <v>75</v>
      </c>
      <c r="AE4217" t="s">
        <v>80</v>
      </c>
      <c r="AG4217" t="s">
        <v>81</v>
      </c>
    </row>
    <row r="4218" spans="1:33" x14ac:dyDescent="0.25">
      <c r="A4218" t="str">
        <f>"1457358301"</f>
        <v>1457358301</v>
      </c>
      <c r="B4218" t="str">
        <f>"00903939"</f>
        <v>00903939</v>
      </c>
      <c r="C4218" t="s">
        <v>22189</v>
      </c>
      <c r="D4218" t="s">
        <v>4387</v>
      </c>
      <c r="E4218" t="s">
        <v>4388</v>
      </c>
      <c r="G4218" t="s">
        <v>22189</v>
      </c>
      <c r="H4218" t="s">
        <v>22190</v>
      </c>
      <c r="J4218" t="s">
        <v>22191</v>
      </c>
      <c r="L4218" t="s">
        <v>84</v>
      </c>
      <c r="M4218" t="s">
        <v>85</v>
      </c>
      <c r="R4218" t="s">
        <v>4389</v>
      </c>
      <c r="W4218" t="s">
        <v>4388</v>
      </c>
      <c r="X4218" t="s">
        <v>1767</v>
      </c>
      <c r="Y4218" t="s">
        <v>146</v>
      </c>
      <c r="Z4218" t="s">
        <v>77</v>
      </c>
      <c r="AA4218" t="str">
        <f>"10532"</f>
        <v>10532</v>
      </c>
      <c r="AB4218" t="s">
        <v>78</v>
      </c>
      <c r="AC4218" t="s">
        <v>79</v>
      </c>
      <c r="AD4218" t="s">
        <v>75</v>
      </c>
      <c r="AE4218" t="s">
        <v>80</v>
      </c>
      <c r="AG4218" t="s">
        <v>81</v>
      </c>
    </row>
    <row r="4219" spans="1:33" x14ac:dyDescent="0.25">
      <c r="A4219" t="str">
        <f>"1528068434"</f>
        <v>1528068434</v>
      </c>
      <c r="B4219" t="str">
        <f>"01428115"</f>
        <v>01428115</v>
      </c>
      <c r="C4219" t="s">
        <v>22192</v>
      </c>
      <c r="D4219" t="s">
        <v>5743</v>
      </c>
      <c r="E4219" t="s">
        <v>5744</v>
      </c>
      <c r="G4219" t="s">
        <v>22192</v>
      </c>
      <c r="H4219" t="s">
        <v>22193</v>
      </c>
      <c r="J4219" t="s">
        <v>22194</v>
      </c>
      <c r="L4219" t="s">
        <v>74</v>
      </c>
      <c r="M4219" t="s">
        <v>85</v>
      </c>
      <c r="R4219" t="s">
        <v>5745</v>
      </c>
      <c r="W4219" t="s">
        <v>5744</v>
      </c>
      <c r="X4219" t="s">
        <v>3334</v>
      </c>
      <c r="Y4219" t="s">
        <v>180</v>
      </c>
      <c r="Z4219" t="s">
        <v>77</v>
      </c>
      <c r="AA4219" t="str">
        <f>"10701-4004"</f>
        <v>10701-4004</v>
      </c>
      <c r="AB4219" t="s">
        <v>78</v>
      </c>
      <c r="AC4219" t="s">
        <v>79</v>
      </c>
      <c r="AD4219" t="s">
        <v>75</v>
      </c>
      <c r="AE4219" t="s">
        <v>80</v>
      </c>
      <c r="AG4219" t="s">
        <v>81</v>
      </c>
    </row>
    <row r="4220" spans="1:33" x14ac:dyDescent="0.25">
      <c r="A4220" t="str">
        <f>"1114132412"</f>
        <v>1114132412</v>
      </c>
      <c r="B4220" t="str">
        <f>"03168687"</f>
        <v>03168687</v>
      </c>
      <c r="C4220" t="s">
        <v>22195</v>
      </c>
      <c r="D4220" t="s">
        <v>6060</v>
      </c>
      <c r="E4220" t="s">
        <v>6061</v>
      </c>
      <c r="G4220" t="s">
        <v>22195</v>
      </c>
      <c r="H4220" t="s">
        <v>22196</v>
      </c>
      <c r="J4220" t="s">
        <v>22197</v>
      </c>
      <c r="L4220" t="s">
        <v>74</v>
      </c>
      <c r="M4220" t="s">
        <v>85</v>
      </c>
      <c r="R4220" t="s">
        <v>6061</v>
      </c>
      <c r="W4220" t="s">
        <v>6061</v>
      </c>
      <c r="X4220" t="s">
        <v>246</v>
      </c>
      <c r="Y4220" t="s">
        <v>180</v>
      </c>
      <c r="Z4220" t="s">
        <v>77</v>
      </c>
      <c r="AA4220" t="str">
        <f>"10701-4004"</f>
        <v>10701-4004</v>
      </c>
      <c r="AB4220" t="s">
        <v>78</v>
      </c>
      <c r="AC4220" t="s">
        <v>79</v>
      </c>
      <c r="AD4220" t="s">
        <v>75</v>
      </c>
      <c r="AE4220" t="s">
        <v>80</v>
      </c>
      <c r="AG4220" t="s">
        <v>81</v>
      </c>
    </row>
    <row r="4221" spans="1:33" x14ac:dyDescent="0.25">
      <c r="A4221" t="str">
        <f>"1831379080"</f>
        <v>1831379080</v>
      </c>
      <c r="B4221" t="str">
        <f>"02950310"</f>
        <v>02950310</v>
      </c>
      <c r="C4221" t="s">
        <v>22198</v>
      </c>
      <c r="D4221" t="s">
        <v>3568</v>
      </c>
      <c r="E4221" t="s">
        <v>3569</v>
      </c>
      <c r="G4221" t="s">
        <v>22198</v>
      </c>
      <c r="H4221" t="s">
        <v>22199</v>
      </c>
      <c r="J4221" t="s">
        <v>22200</v>
      </c>
      <c r="L4221" t="s">
        <v>74</v>
      </c>
      <c r="M4221" t="s">
        <v>85</v>
      </c>
      <c r="R4221" t="s">
        <v>3570</v>
      </c>
      <c r="W4221" t="s">
        <v>3569</v>
      </c>
      <c r="X4221" t="s">
        <v>258</v>
      </c>
      <c r="Y4221" t="s">
        <v>131</v>
      </c>
      <c r="Z4221" t="s">
        <v>77</v>
      </c>
      <c r="AA4221" t="str">
        <f>"10467-2401"</f>
        <v>10467-2401</v>
      </c>
      <c r="AB4221" t="s">
        <v>78</v>
      </c>
      <c r="AC4221" t="s">
        <v>79</v>
      </c>
      <c r="AD4221" t="s">
        <v>75</v>
      </c>
      <c r="AE4221" t="s">
        <v>80</v>
      </c>
      <c r="AG4221" t="s">
        <v>81</v>
      </c>
    </row>
    <row r="4222" spans="1:33" x14ac:dyDescent="0.25">
      <c r="A4222" t="str">
        <f>"1023095171"</f>
        <v>1023095171</v>
      </c>
      <c r="B4222" t="str">
        <f>"02682635"</f>
        <v>02682635</v>
      </c>
      <c r="C4222" t="s">
        <v>13436</v>
      </c>
      <c r="D4222" t="s">
        <v>22201</v>
      </c>
      <c r="E4222" t="s">
        <v>22202</v>
      </c>
      <c r="G4222" t="s">
        <v>22203</v>
      </c>
      <c r="L4222" t="s">
        <v>83</v>
      </c>
      <c r="M4222" t="s">
        <v>85</v>
      </c>
      <c r="R4222" t="s">
        <v>22204</v>
      </c>
      <c r="W4222" t="s">
        <v>22202</v>
      </c>
      <c r="X4222" t="s">
        <v>1076</v>
      </c>
      <c r="Y4222" t="s">
        <v>97</v>
      </c>
      <c r="Z4222" t="s">
        <v>77</v>
      </c>
      <c r="AA4222" t="str">
        <f>"10025-1737"</f>
        <v>10025-1737</v>
      </c>
      <c r="AB4222" t="s">
        <v>78</v>
      </c>
      <c r="AC4222" t="s">
        <v>79</v>
      </c>
      <c r="AD4222" t="s">
        <v>75</v>
      </c>
      <c r="AE4222" t="s">
        <v>80</v>
      </c>
      <c r="AG4222" t="s">
        <v>81</v>
      </c>
    </row>
    <row r="4223" spans="1:33" x14ac:dyDescent="0.25">
      <c r="A4223" t="str">
        <f>"1023153509"</f>
        <v>1023153509</v>
      </c>
      <c r="B4223" t="str">
        <f>"00873501"</f>
        <v>00873501</v>
      </c>
      <c r="C4223" t="s">
        <v>13436</v>
      </c>
      <c r="D4223" t="s">
        <v>22205</v>
      </c>
      <c r="E4223" t="s">
        <v>22206</v>
      </c>
      <c r="G4223" t="s">
        <v>22207</v>
      </c>
      <c r="L4223" t="s">
        <v>74</v>
      </c>
      <c r="M4223" t="s">
        <v>85</v>
      </c>
      <c r="R4223" t="s">
        <v>22208</v>
      </c>
      <c r="W4223" t="s">
        <v>22206</v>
      </c>
      <c r="X4223" t="s">
        <v>5291</v>
      </c>
      <c r="Y4223" t="s">
        <v>794</v>
      </c>
      <c r="Z4223" t="s">
        <v>77</v>
      </c>
      <c r="AA4223" t="str">
        <f>"10960"</f>
        <v>10960</v>
      </c>
      <c r="AB4223" t="s">
        <v>78</v>
      </c>
      <c r="AC4223" t="s">
        <v>79</v>
      </c>
      <c r="AD4223" t="s">
        <v>75</v>
      </c>
      <c r="AE4223" t="s">
        <v>80</v>
      </c>
      <c r="AG4223" t="s">
        <v>81</v>
      </c>
    </row>
    <row r="4224" spans="1:33" x14ac:dyDescent="0.25">
      <c r="A4224" t="str">
        <f>"1639230691"</f>
        <v>1639230691</v>
      </c>
      <c r="C4224" t="s">
        <v>13436</v>
      </c>
      <c r="G4224" t="s">
        <v>22209</v>
      </c>
      <c r="K4224" t="s">
        <v>99</v>
      </c>
      <c r="L4224" t="s">
        <v>74</v>
      </c>
      <c r="M4224" t="s">
        <v>75</v>
      </c>
      <c r="R4224" t="s">
        <v>22210</v>
      </c>
      <c r="S4224" t="s">
        <v>22211</v>
      </c>
      <c r="T4224" t="s">
        <v>97</v>
      </c>
      <c r="U4224" t="s">
        <v>77</v>
      </c>
      <c r="V4224" t="str">
        <f>"100296508"</f>
        <v>100296508</v>
      </c>
      <c r="AC4224" t="s">
        <v>79</v>
      </c>
      <c r="AD4224" t="s">
        <v>75</v>
      </c>
      <c r="AE4224" t="s">
        <v>103</v>
      </c>
      <c r="AG4224" t="s">
        <v>81</v>
      </c>
    </row>
    <row r="4225" spans="1:33" x14ac:dyDescent="0.25">
      <c r="A4225" t="str">
        <f>"1639382104"</f>
        <v>1639382104</v>
      </c>
      <c r="B4225" t="str">
        <f>"03173388"</f>
        <v>03173388</v>
      </c>
      <c r="C4225" t="s">
        <v>13436</v>
      </c>
      <c r="D4225" t="s">
        <v>22212</v>
      </c>
      <c r="E4225" t="s">
        <v>22213</v>
      </c>
      <c r="G4225" t="s">
        <v>22214</v>
      </c>
      <c r="L4225" t="s">
        <v>74</v>
      </c>
      <c r="M4225" t="s">
        <v>75</v>
      </c>
      <c r="R4225" t="s">
        <v>22215</v>
      </c>
      <c r="W4225" t="s">
        <v>22213</v>
      </c>
      <c r="X4225" t="s">
        <v>181</v>
      </c>
      <c r="Y4225" t="s">
        <v>97</v>
      </c>
      <c r="Z4225" t="s">
        <v>77</v>
      </c>
      <c r="AA4225" t="str">
        <f>"10025-1716"</f>
        <v>10025-1716</v>
      </c>
      <c r="AB4225" t="s">
        <v>125</v>
      </c>
      <c r="AC4225" t="s">
        <v>79</v>
      </c>
      <c r="AD4225" t="s">
        <v>75</v>
      </c>
      <c r="AE4225" t="s">
        <v>80</v>
      </c>
      <c r="AG4225" t="s">
        <v>81</v>
      </c>
    </row>
    <row r="4226" spans="1:33" x14ac:dyDescent="0.25">
      <c r="A4226" t="str">
        <f>"1639493653"</f>
        <v>1639493653</v>
      </c>
      <c r="B4226" t="str">
        <f>"03668811"</f>
        <v>03668811</v>
      </c>
      <c r="C4226" t="s">
        <v>13436</v>
      </c>
      <c r="D4226" t="s">
        <v>22216</v>
      </c>
      <c r="E4226" t="s">
        <v>22217</v>
      </c>
      <c r="G4226" t="s">
        <v>22218</v>
      </c>
      <c r="L4226" t="s">
        <v>74</v>
      </c>
      <c r="M4226" t="s">
        <v>75</v>
      </c>
      <c r="R4226" t="s">
        <v>22219</v>
      </c>
      <c r="W4226" t="s">
        <v>22217</v>
      </c>
      <c r="X4226" t="s">
        <v>329</v>
      </c>
      <c r="Y4226" t="s">
        <v>97</v>
      </c>
      <c r="Z4226" t="s">
        <v>77</v>
      </c>
      <c r="AA4226" t="str">
        <f>"10029-6504"</f>
        <v>10029-6504</v>
      </c>
      <c r="AB4226" t="s">
        <v>78</v>
      </c>
      <c r="AC4226" t="s">
        <v>79</v>
      </c>
      <c r="AD4226" t="s">
        <v>75</v>
      </c>
      <c r="AE4226" t="s">
        <v>80</v>
      </c>
      <c r="AG4226" t="s">
        <v>81</v>
      </c>
    </row>
    <row r="4227" spans="1:33" x14ac:dyDescent="0.25">
      <c r="A4227" t="str">
        <f>"1770534216"</f>
        <v>1770534216</v>
      </c>
      <c r="B4227" t="str">
        <f>"00163259"</f>
        <v>00163259</v>
      </c>
      <c r="C4227" t="s">
        <v>13436</v>
      </c>
      <c r="D4227" t="s">
        <v>22220</v>
      </c>
      <c r="E4227" t="s">
        <v>22221</v>
      </c>
      <c r="G4227" t="s">
        <v>22222</v>
      </c>
      <c r="L4227" t="s">
        <v>74</v>
      </c>
      <c r="M4227" t="s">
        <v>85</v>
      </c>
      <c r="R4227" t="s">
        <v>22223</v>
      </c>
      <c r="W4227" t="s">
        <v>22221</v>
      </c>
      <c r="X4227" t="s">
        <v>3446</v>
      </c>
      <c r="Y4227" t="s">
        <v>97</v>
      </c>
      <c r="Z4227" t="s">
        <v>77</v>
      </c>
      <c r="AA4227" t="str">
        <f>"10065-8183"</f>
        <v>10065-8183</v>
      </c>
      <c r="AB4227" t="s">
        <v>78</v>
      </c>
      <c r="AC4227" t="s">
        <v>79</v>
      </c>
      <c r="AD4227" t="s">
        <v>75</v>
      </c>
      <c r="AE4227" t="s">
        <v>80</v>
      </c>
      <c r="AG4227" t="s">
        <v>81</v>
      </c>
    </row>
    <row r="4228" spans="1:33" x14ac:dyDescent="0.25">
      <c r="A4228" t="str">
        <f>"1386884336"</f>
        <v>1386884336</v>
      </c>
      <c r="B4228" t="str">
        <f>"03543102"</f>
        <v>03543102</v>
      </c>
      <c r="C4228" t="s">
        <v>22224</v>
      </c>
      <c r="D4228" t="s">
        <v>22225</v>
      </c>
      <c r="E4228" t="s">
        <v>22226</v>
      </c>
      <c r="G4228" t="s">
        <v>7218</v>
      </c>
      <c r="H4228" t="s">
        <v>6801</v>
      </c>
      <c r="I4228">
        <v>6136</v>
      </c>
      <c r="J4228" t="s">
        <v>7219</v>
      </c>
      <c r="L4228" t="s">
        <v>74</v>
      </c>
      <c r="M4228" t="s">
        <v>75</v>
      </c>
      <c r="R4228" t="s">
        <v>22227</v>
      </c>
      <c r="W4228" t="s">
        <v>22226</v>
      </c>
      <c r="X4228" t="s">
        <v>3538</v>
      </c>
      <c r="Y4228" t="s">
        <v>131</v>
      </c>
      <c r="Z4228" t="s">
        <v>77</v>
      </c>
      <c r="AA4228" t="str">
        <f>"10461-5726"</f>
        <v>10461-5726</v>
      </c>
      <c r="AB4228" t="s">
        <v>109</v>
      </c>
      <c r="AC4228" t="s">
        <v>79</v>
      </c>
      <c r="AD4228" t="s">
        <v>75</v>
      </c>
      <c r="AE4228" t="s">
        <v>80</v>
      </c>
      <c r="AG4228" t="s">
        <v>81</v>
      </c>
    </row>
    <row r="4229" spans="1:33" x14ac:dyDescent="0.25">
      <c r="A4229" t="str">
        <f>"1407108285"</f>
        <v>1407108285</v>
      </c>
      <c r="C4229" t="s">
        <v>22228</v>
      </c>
      <c r="G4229" t="s">
        <v>7218</v>
      </c>
      <c r="H4229" t="s">
        <v>6801</v>
      </c>
      <c r="I4229">
        <v>6136</v>
      </c>
      <c r="J4229" t="s">
        <v>7219</v>
      </c>
      <c r="K4229" t="s">
        <v>99</v>
      </c>
      <c r="L4229" t="s">
        <v>74</v>
      </c>
      <c r="M4229" t="s">
        <v>75</v>
      </c>
      <c r="R4229" t="s">
        <v>22229</v>
      </c>
      <c r="S4229" t="s">
        <v>6229</v>
      </c>
      <c r="T4229" t="s">
        <v>97</v>
      </c>
      <c r="U4229" t="s">
        <v>77</v>
      </c>
      <c r="V4229" t="str">
        <f>"100012320"</f>
        <v>100012320</v>
      </c>
      <c r="AC4229" t="s">
        <v>79</v>
      </c>
      <c r="AD4229" t="s">
        <v>75</v>
      </c>
      <c r="AE4229" t="s">
        <v>103</v>
      </c>
      <c r="AG4229" t="s">
        <v>81</v>
      </c>
    </row>
    <row r="4230" spans="1:33" x14ac:dyDescent="0.25">
      <c r="A4230" t="str">
        <f>"1407165723"</f>
        <v>1407165723</v>
      </c>
      <c r="B4230" t="str">
        <f>"03531922"</f>
        <v>03531922</v>
      </c>
      <c r="C4230" t="s">
        <v>22230</v>
      </c>
      <c r="D4230" t="s">
        <v>22231</v>
      </c>
      <c r="E4230" t="s">
        <v>22232</v>
      </c>
      <c r="G4230" t="s">
        <v>7218</v>
      </c>
      <c r="H4230" t="s">
        <v>6801</v>
      </c>
      <c r="I4230">
        <v>6136</v>
      </c>
      <c r="J4230" t="s">
        <v>7219</v>
      </c>
      <c r="L4230" t="s">
        <v>74</v>
      </c>
      <c r="M4230" t="s">
        <v>75</v>
      </c>
      <c r="R4230" t="s">
        <v>22233</v>
      </c>
      <c r="W4230" t="s">
        <v>22232</v>
      </c>
      <c r="X4230" t="s">
        <v>8385</v>
      </c>
      <c r="Y4230" t="s">
        <v>97</v>
      </c>
      <c r="Z4230" t="s">
        <v>77</v>
      </c>
      <c r="AA4230" t="str">
        <f>"10001-2320"</f>
        <v>10001-2320</v>
      </c>
      <c r="AB4230" t="s">
        <v>109</v>
      </c>
      <c r="AC4230" t="s">
        <v>79</v>
      </c>
      <c r="AD4230" t="s">
        <v>75</v>
      </c>
      <c r="AE4230" t="s">
        <v>80</v>
      </c>
      <c r="AG4230" t="s">
        <v>81</v>
      </c>
    </row>
    <row r="4231" spans="1:33" x14ac:dyDescent="0.25">
      <c r="A4231" t="str">
        <f>"1316358633"</f>
        <v>1316358633</v>
      </c>
      <c r="C4231" t="s">
        <v>22234</v>
      </c>
      <c r="G4231" t="s">
        <v>19413</v>
      </c>
      <c r="H4231" t="s">
        <v>1084</v>
      </c>
      <c r="I4231">
        <v>160</v>
      </c>
      <c r="J4231" t="s">
        <v>2757</v>
      </c>
      <c r="K4231" t="s">
        <v>99</v>
      </c>
      <c r="L4231" t="s">
        <v>74</v>
      </c>
      <c r="M4231" t="s">
        <v>75</v>
      </c>
      <c r="R4231" t="s">
        <v>22235</v>
      </c>
      <c r="S4231" t="s">
        <v>22236</v>
      </c>
      <c r="T4231" t="s">
        <v>131</v>
      </c>
      <c r="U4231" t="s">
        <v>77</v>
      </c>
      <c r="V4231" t="str">
        <f>"104696123"</f>
        <v>104696123</v>
      </c>
      <c r="AC4231" t="s">
        <v>79</v>
      </c>
      <c r="AD4231" t="s">
        <v>75</v>
      </c>
      <c r="AE4231" t="s">
        <v>103</v>
      </c>
      <c r="AG4231" t="s">
        <v>81</v>
      </c>
    </row>
    <row r="4232" spans="1:33" x14ac:dyDescent="0.25">
      <c r="A4232" t="str">
        <f>"1558664201"</f>
        <v>1558664201</v>
      </c>
      <c r="B4232" t="str">
        <f>"03482368"</f>
        <v>03482368</v>
      </c>
      <c r="C4232" t="s">
        <v>22237</v>
      </c>
      <c r="D4232" t="s">
        <v>3351</v>
      </c>
      <c r="E4232" t="s">
        <v>3352</v>
      </c>
      <c r="G4232" t="s">
        <v>19413</v>
      </c>
      <c r="H4232" t="s">
        <v>1084</v>
      </c>
      <c r="I4232">
        <v>160</v>
      </c>
      <c r="J4232" t="s">
        <v>2757</v>
      </c>
      <c r="L4232" t="s">
        <v>105</v>
      </c>
      <c r="M4232" t="s">
        <v>75</v>
      </c>
      <c r="R4232" t="s">
        <v>3352</v>
      </c>
      <c r="W4232" t="s">
        <v>3352</v>
      </c>
      <c r="X4232" t="s">
        <v>2758</v>
      </c>
      <c r="Y4232" t="s">
        <v>131</v>
      </c>
      <c r="Z4232" t="s">
        <v>77</v>
      </c>
      <c r="AA4232" t="str">
        <f>"10455-4029"</f>
        <v>10455-4029</v>
      </c>
      <c r="AB4232" t="s">
        <v>113</v>
      </c>
      <c r="AC4232" t="s">
        <v>79</v>
      </c>
      <c r="AD4232" t="s">
        <v>75</v>
      </c>
      <c r="AE4232" t="s">
        <v>80</v>
      </c>
      <c r="AG4232" t="s">
        <v>81</v>
      </c>
    </row>
    <row r="4233" spans="1:33" x14ac:dyDescent="0.25">
      <c r="A4233" t="str">
        <f>"1346394608"</f>
        <v>1346394608</v>
      </c>
      <c r="B4233" t="str">
        <f>"02478095"</f>
        <v>02478095</v>
      </c>
      <c r="C4233" t="s">
        <v>22238</v>
      </c>
      <c r="D4233" t="s">
        <v>3353</v>
      </c>
      <c r="E4233" t="s">
        <v>3354</v>
      </c>
      <c r="G4233" t="s">
        <v>19413</v>
      </c>
      <c r="H4233" t="s">
        <v>1084</v>
      </c>
      <c r="I4233">
        <v>160</v>
      </c>
      <c r="J4233" t="s">
        <v>2757</v>
      </c>
      <c r="L4233" t="s">
        <v>105</v>
      </c>
      <c r="M4233" t="s">
        <v>75</v>
      </c>
      <c r="R4233" t="s">
        <v>3355</v>
      </c>
      <c r="W4233" t="s">
        <v>3354</v>
      </c>
      <c r="X4233" t="s">
        <v>3356</v>
      </c>
      <c r="Y4233" t="s">
        <v>131</v>
      </c>
      <c r="Z4233" t="s">
        <v>77</v>
      </c>
      <c r="AA4233" t="str">
        <f>"10468-5228"</f>
        <v>10468-5228</v>
      </c>
      <c r="AB4233" t="s">
        <v>113</v>
      </c>
      <c r="AC4233" t="s">
        <v>79</v>
      </c>
      <c r="AD4233" t="s">
        <v>75</v>
      </c>
      <c r="AE4233" t="s">
        <v>80</v>
      </c>
      <c r="AG4233" t="s">
        <v>81</v>
      </c>
    </row>
    <row r="4234" spans="1:33" x14ac:dyDescent="0.25">
      <c r="A4234" t="str">
        <f>"1730290354"</f>
        <v>1730290354</v>
      </c>
      <c r="B4234" t="str">
        <f>"00879621"</f>
        <v>00879621</v>
      </c>
      <c r="C4234" t="s">
        <v>22239</v>
      </c>
      <c r="D4234" t="s">
        <v>1091</v>
      </c>
      <c r="E4234" t="s">
        <v>1092</v>
      </c>
      <c r="G4234" t="s">
        <v>19413</v>
      </c>
      <c r="H4234" t="s">
        <v>1084</v>
      </c>
      <c r="I4234">
        <v>160</v>
      </c>
      <c r="J4234" t="s">
        <v>2757</v>
      </c>
      <c r="L4234" t="s">
        <v>94</v>
      </c>
      <c r="M4234" t="s">
        <v>85</v>
      </c>
      <c r="R4234" t="s">
        <v>1090</v>
      </c>
      <c r="W4234" t="s">
        <v>1093</v>
      </c>
      <c r="X4234" t="s">
        <v>1094</v>
      </c>
      <c r="Y4234" t="s">
        <v>87</v>
      </c>
      <c r="Z4234" t="s">
        <v>77</v>
      </c>
      <c r="AA4234" t="str">
        <f>"11231-3804"</f>
        <v>11231-3804</v>
      </c>
      <c r="AB4234" t="s">
        <v>78</v>
      </c>
      <c r="AC4234" t="s">
        <v>79</v>
      </c>
      <c r="AD4234" t="s">
        <v>75</v>
      </c>
      <c r="AE4234" t="s">
        <v>80</v>
      </c>
      <c r="AG4234" t="s">
        <v>81</v>
      </c>
    </row>
    <row r="4235" spans="1:33" x14ac:dyDescent="0.25">
      <c r="A4235" t="str">
        <f>"1245356351"</f>
        <v>1245356351</v>
      </c>
      <c r="B4235" t="str">
        <f>"03599680"</f>
        <v>03599680</v>
      </c>
      <c r="C4235" t="s">
        <v>22240</v>
      </c>
      <c r="D4235" t="s">
        <v>1082</v>
      </c>
      <c r="E4235" t="s">
        <v>1083</v>
      </c>
      <c r="G4235" t="s">
        <v>19413</v>
      </c>
      <c r="H4235" t="s">
        <v>1084</v>
      </c>
      <c r="I4235">
        <v>160</v>
      </c>
      <c r="J4235" t="s">
        <v>2757</v>
      </c>
      <c r="L4235" t="s">
        <v>74</v>
      </c>
      <c r="M4235" t="s">
        <v>75</v>
      </c>
      <c r="R4235" t="s">
        <v>1081</v>
      </c>
      <c r="W4235" t="s">
        <v>1083</v>
      </c>
      <c r="X4235" t="s">
        <v>1085</v>
      </c>
      <c r="Y4235" t="s">
        <v>87</v>
      </c>
      <c r="Z4235" t="s">
        <v>77</v>
      </c>
      <c r="AA4235" t="str">
        <f>"11203-6704"</f>
        <v>11203-6704</v>
      </c>
      <c r="AB4235" t="s">
        <v>78</v>
      </c>
      <c r="AC4235" t="s">
        <v>79</v>
      </c>
      <c r="AD4235" t="s">
        <v>75</v>
      </c>
      <c r="AE4235" t="s">
        <v>80</v>
      </c>
      <c r="AG4235" t="s">
        <v>81</v>
      </c>
    </row>
    <row r="4236" spans="1:33" x14ac:dyDescent="0.25">
      <c r="A4236" t="str">
        <f>"1366794265"</f>
        <v>1366794265</v>
      </c>
      <c r="C4236" t="s">
        <v>22241</v>
      </c>
      <c r="G4236" t="s">
        <v>19413</v>
      </c>
      <c r="H4236" t="s">
        <v>1084</v>
      </c>
      <c r="I4236">
        <v>160</v>
      </c>
      <c r="J4236" t="s">
        <v>2757</v>
      </c>
      <c r="K4236" t="s">
        <v>99</v>
      </c>
      <c r="L4236" t="s">
        <v>102</v>
      </c>
      <c r="M4236" t="s">
        <v>75</v>
      </c>
      <c r="R4236" t="s">
        <v>3159</v>
      </c>
      <c r="S4236" t="s">
        <v>1094</v>
      </c>
      <c r="T4236" t="s">
        <v>87</v>
      </c>
      <c r="U4236" t="s">
        <v>77</v>
      </c>
      <c r="V4236" t="str">
        <f>"112313804"</f>
        <v>112313804</v>
      </c>
      <c r="AC4236" t="s">
        <v>79</v>
      </c>
      <c r="AD4236" t="s">
        <v>75</v>
      </c>
      <c r="AE4236" t="s">
        <v>103</v>
      </c>
      <c r="AG4236" t="s">
        <v>81</v>
      </c>
    </row>
    <row r="4237" spans="1:33" x14ac:dyDescent="0.25">
      <c r="A4237" t="str">
        <f>"1831222090"</f>
        <v>1831222090</v>
      </c>
      <c r="B4237" t="str">
        <f>"02976332"</f>
        <v>02976332</v>
      </c>
      <c r="C4237" t="s">
        <v>22242</v>
      </c>
      <c r="D4237" t="s">
        <v>2331</v>
      </c>
      <c r="E4237" t="s">
        <v>2332</v>
      </c>
      <c r="G4237" t="s">
        <v>6513</v>
      </c>
      <c r="H4237" t="s">
        <v>6514</v>
      </c>
      <c r="J4237" t="s">
        <v>6515</v>
      </c>
      <c r="L4237" t="s">
        <v>83</v>
      </c>
      <c r="M4237" t="s">
        <v>75</v>
      </c>
      <c r="R4237" t="s">
        <v>2330</v>
      </c>
      <c r="W4237" t="s">
        <v>2333</v>
      </c>
      <c r="X4237" t="s">
        <v>2334</v>
      </c>
      <c r="Y4237" t="s">
        <v>97</v>
      </c>
      <c r="Z4237" t="s">
        <v>77</v>
      </c>
      <c r="AA4237" t="str">
        <f>"10028-1802"</f>
        <v>10028-1802</v>
      </c>
      <c r="AB4237" t="s">
        <v>128</v>
      </c>
      <c r="AC4237" t="s">
        <v>79</v>
      </c>
      <c r="AD4237" t="s">
        <v>75</v>
      </c>
      <c r="AE4237" t="s">
        <v>80</v>
      </c>
      <c r="AG4237" t="s">
        <v>81</v>
      </c>
    </row>
    <row r="4238" spans="1:33" x14ac:dyDescent="0.25">
      <c r="A4238" t="str">
        <f>"1366446155"</f>
        <v>1366446155</v>
      </c>
      <c r="B4238" t="str">
        <f>"02714616"</f>
        <v>02714616</v>
      </c>
      <c r="C4238" t="s">
        <v>13436</v>
      </c>
      <c r="D4238" t="s">
        <v>703</v>
      </c>
      <c r="E4238" t="s">
        <v>704</v>
      </c>
      <c r="G4238" t="s">
        <v>22243</v>
      </c>
      <c r="L4238" t="s">
        <v>83</v>
      </c>
      <c r="M4238" t="s">
        <v>85</v>
      </c>
      <c r="R4238" t="s">
        <v>705</v>
      </c>
      <c r="W4238" t="s">
        <v>706</v>
      </c>
      <c r="X4238" t="s">
        <v>701</v>
      </c>
      <c r="Y4238" t="s">
        <v>97</v>
      </c>
      <c r="Z4238" t="s">
        <v>77</v>
      </c>
      <c r="AA4238" t="str">
        <f>"10013-4941"</f>
        <v>10013-4941</v>
      </c>
      <c r="AB4238" t="s">
        <v>78</v>
      </c>
      <c r="AC4238" t="s">
        <v>79</v>
      </c>
      <c r="AD4238" t="s">
        <v>75</v>
      </c>
      <c r="AE4238" t="s">
        <v>80</v>
      </c>
      <c r="AG4238" t="s">
        <v>81</v>
      </c>
    </row>
    <row r="4239" spans="1:33" x14ac:dyDescent="0.25">
      <c r="A4239" t="str">
        <f>"1841284106"</f>
        <v>1841284106</v>
      </c>
      <c r="B4239" t="str">
        <f>"02191468"</f>
        <v>02191468</v>
      </c>
      <c r="C4239" t="s">
        <v>13436</v>
      </c>
      <c r="D4239" t="s">
        <v>22244</v>
      </c>
      <c r="E4239" t="s">
        <v>22245</v>
      </c>
      <c r="G4239" t="s">
        <v>22246</v>
      </c>
      <c r="L4239" t="s">
        <v>105</v>
      </c>
      <c r="M4239" t="s">
        <v>85</v>
      </c>
      <c r="R4239" t="s">
        <v>22247</v>
      </c>
      <c r="W4239" t="s">
        <v>22245</v>
      </c>
      <c r="X4239" t="s">
        <v>22248</v>
      </c>
      <c r="Y4239" t="s">
        <v>139</v>
      </c>
      <c r="Z4239" t="s">
        <v>77</v>
      </c>
      <c r="AA4239" t="str">
        <f>"11355-5045"</f>
        <v>11355-5045</v>
      </c>
      <c r="AB4239" t="s">
        <v>78</v>
      </c>
      <c r="AC4239" t="s">
        <v>79</v>
      </c>
      <c r="AD4239" t="s">
        <v>75</v>
      </c>
      <c r="AE4239" t="s">
        <v>80</v>
      </c>
      <c r="AG4239" t="s">
        <v>81</v>
      </c>
    </row>
    <row r="4240" spans="1:33" x14ac:dyDescent="0.25">
      <c r="A4240" t="str">
        <f>"1407899339"</f>
        <v>1407899339</v>
      </c>
      <c r="B4240" t="str">
        <f>"00896135"</f>
        <v>00896135</v>
      </c>
      <c r="C4240" t="s">
        <v>13436</v>
      </c>
      <c r="D4240" t="s">
        <v>22249</v>
      </c>
      <c r="E4240" t="s">
        <v>22250</v>
      </c>
      <c r="G4240" t="s">
        <v>22251</v>
      </c>
      <c r="L4240" t="s">
        <v>84</v>
      </c>
      <c r="M4240" t="s">
        <v>75</v>
      </c>
      <c r="R4240" t="s">
        <v>22252</v>
      </c>
      <c r="W4240" t="s">
        <v>22253</v>
      </c>
      <c r="X4240" t="s">
        <v>22254</v>
      </c>
      <c r="Y4240" t="s">
        <v>97</v>
      </c>
      <c r="Z4240" t="s">
        <v>77</v>
      </c>
      <c r="AA4240" t="str">
        <f>"10033-2411"</f>
        <v>10033-2411</v>
      </c>
      <c r="AB4240" t="s">
        <v>78</v>
      </c>
      <c r="AC4240" t="s">
        <v>79</v>
      </c>
      <c r="AD4240" t="s">
        <v>75</v>
      </c>
      <c r="AE4240" t="s">
        <v>80</v>
      </c>
      <c r="AG4240" t="s">
        <v>81</v>
      </c>
    </row>
    <row r="4241" spans="1:33" x14ac:dyDescent="0.25">
      <c r="A4241" t="str">
        <f>"1417115726"</f>
        <v>1417115726</v>
      </c>
      <c r="B4241" t="str">
        <f>"03457370"</f>
        <v>03457370</v>
      </c>
      <c r="C4241" t="s">
        <v>13436</v>
      </c>
      <c r="D4241" t="s">
        <v>22255</v>
      </c>
      <c r="E4241" t="s">
        <v>22256</v>
      </c>
      <c r="G4241" t="s">
        <v>22257</v>
      </c>
      <c r="L4241" t="s">
        <v>105</v>
      </c>
      <c r="M4241" t="s">
        <v>85</v>
      </c>
      <c r="R4241" t="s">
        <v>22258</v>
      </c>
      <c r="W4241" t="s">
        <v>22256</v>
      </c>
      <c r="X4241" t="s">
        <v>329</v>
      </c>
      <c r="Y4241" t="s">
        <v>97</v>
      </c>
      <c r="Z4241" t="s">
        <v>77</v>
      </c>
      <c r="AA4241" t="str">
        <f>"10029-6500"</f>
        <v>10029-6500</v>
      </c>
      <c r="AB4241" t="s">
        <v>78</v>
      </c>
      <c r="AC4241" t="s">
        <v>79</v>
      </c>
      <c r="AD4241" t="s">
        <v>75</v>
      </c>
      <c r="AE4241" t="s">
        <v>80</v>
      </c>
      <c r="AG4241" t="s">
        <v>81</v>
      </c>
    </row>
    <row r="4242" spans="1:33" x14ac:dyDescent="0.25">
      <c r="A4242" t="str">
        <f>"1750358123"</f>
        <v>1750358123</v>
      </c>
      <c r="B4242" t="str">
        <f>"00385039"</f>
        <v>00385039</v>
      </c>
      <c r="C4242" t="s">
        <v>13436</v>
      </c>
      <c r="D4242" t="s">
        <v>22259</v>
      </c>
      <c r="E4242" t="s">
        <v>22260</v>
      </c>
      <c r="G4242" t="s">
        <v>22261</v>
      </c>
      <c r="L4242" t="s">
        <v>83</v>
      </c>
      <c r="M4242" t="s">
        <v>85</v>
      </c>
      <c r="R4242" t="s">
        <v>22262</v>
      </c>
      <c r="W4242" t="s">
        <v>22263</v>
      </c>
      <c r="X4242" t="s">
        <v>22264</v>
      </c>
      <c r="Y4242" t="s">
        <v>97</v>
      </c>
      <c r="Z4242" t="s">
        <v>77</v>
      </c>
      <c r="AA4242" t="str">
        <f>"10128-0100"</f>
        <v>10128-0100</v>
      </c>
      <c r="AB4242" t="s">
        <v>78</v>
      </c>
      <c r="AC4242" t="s">
        <v>79</v>
      </c>
      <c r="AD4242" t="s">
        <v>75</v>
      </c>
      <c r="AE4242" t="s">
        <v>80</v>
      </c>
      <c r="AG4242" t="s">
        <v>81</v>
      </c>
    </row>
    <row r="4243" spans="1:33" x14ac:dyDescent="0.25">
      <c r="A4243" t="str">
        <f>"1760408678"</f>
        <v>1760408678</v>
      </c>
      <c r="B4243" t="str">
        <f>"00570232"</f>
        <v>00570232</v>
      </c>
      <c r="C4243" t="s">
        <v>13436</v>
      </c>
      <c r="D4243" t="s">
        <v>22265</v>
      </c>
      <c r="E4243" t="s">
        <v>22266</v>
      </c>
      <c r="G4243" t="s">
        <v>22267</v>
      </c>
      <c r="L4243" t="s">
        <v>83</v>
      </c>
      <c r="M4243" t="s">
        <v>85</v>
      </c>
      <c r="R4243" t="s">
        <v>22268</v>
      </c>
      <c r="W4243" t="s">
        <v>22266</v>
      </c>
      <c r="X4243" t="s">
        <v>22269</v>
      </c>
      <c r="Y4243" t="s">
        <v>145</v>
      </c>
      <c r="Z4243" t="s">
        <v>77</v>
      </c>
      <c r="AA4243" t="str">
        <f>"11360-2539"</f>
        <v>11360-2539</v>
      </c>
      <c r="AB4243" t="s">
        <v>78</v>
      </c>
      <c r="AC4243" t="s">
        <v>79</v>
      </c>
      <c r="AD4243" t="s">
        <v>75</v>
      </c>
      <c r="AE4243" t="s">
        <v>80</v>
      </c>
      <c r="AG4243" t="s">
        <v>81</v>
      </c>
    </row>
    <row r="4244" spans="1:33" x14ac:dyDescent="0.25">
      <c r="A4244" t="str">
        <f>"1760424543"</f>
        <v>1760424543</v>
      </c>
      <c r="B4244" t="str">
        <f>"02148938"</f>
        <v>02148938</v>
      </c>
      <c r="C4244" t="s">
        <v>13436</v>
      </c>
      <c r="D4244" t="s">
        <v>1489</v>
      </c>
      <c r="E4244" t="s">
        <v>1490</v>
      </c>
      <c r="G4244" t="s">
        <v>22270</v>
      </c>
      <c r="L4244" t="s">
        <v>83</v>
      </c>
      <c r="M4244" t="s">
        <v>85</v>
      </c>
      <c r="R4244" t="s">
        <v>1488</v>
      </c>
      <c r="W4244" t="s">
        <v>1490</v>
      </c>
      <c r="X4244" t="s">
        <v>1491</v>
      </c>
      <c r="Y4244" t="s">
        <v>97</v>
      </c>
      <c r="Z4244" t="s">
        <v>77</v>
      </c>
      <c r="AA4244" t="str">
        <f>"10029"</f>
        <v>10029</v>
      </c>
      <c r="AB4244" t="s">
        <v>78</v>
      </c>
      <c r="AC4244" t="s">
        <v>79</v>
      </c>
      <c r="AD4244" t="s">
        <v>75</v>
      </c>
      <c r="AE4244" t="s">
        <v>80</v>
      </c>
      <c r="AG4244" t="s">
        <v>81</v>
      </c>
    </row>
    <row r="4245" spans="1:33" x14ac:dyDescent="0.25">
      <c r="A4245" t="str">
        <f>"1760626212"</f>
        <v>1760626212</v>
      </c>
      <c r="B4245" t="str">
        <f>"03102816"</f>
        <v>03102816</v>
      </c>
      <c r="C4245" t="s">
        <v>13436</v>
      </c>
      <c r="D4245" t="s">
        <v>22271</v>
      </c>
      <c r="E4245" t="s">
        <v>22272</v>
      </c>
      <c r="G4245" t="s">
        <v>22273</v>
      </c>
      <c r="L4245" t="s">
        <v>83</v>
      </c>
      <c r="M4245" t="s">
        <v>85</v>
      </c>
      <c r="R4245" t="s">
        <v>22274</v>
      </c>
      <c r="W4245" t="s">
        <v>22274</v>
      </c>
      <c r="X4245" t="s">
        <v>22275</v>
      </c>
      <c r="Y4245" t="s">
        <v>87</v>
      </c>
      <c r="Z4245" t="s">
        <v>77</v>
      </c>
      <c r="AA4245" t="str">
        <f>"11201-4709"</f>
        <v>11201-4709</v>
      </c>
      <c r="AB4245" t="s">
        <v>78</v>
      </c>
      <c r="AC4245" t="s">
        <v>79</v>
      </c>
      <c r="AD4245" t="s">
        <v>75</v>
      </c>
      <c r="AE4245" t="s">
        <v>80</v>
      </c>
      <c r="AG4245" t="s">
        <v>81</v>
      </c>
    </row>
    <row r="4246" spans="1:33" x14ac:dyDescent="0.25">
      <c r="A4246" t="str">
        <f>"1770664294"</f>
        <v>1770664294</v>
      </c>
      <c r="B4246" t="str">
        <f>"02606417"</f>
        <v>02606417</v>
      </c>
      <c r="C4246" t="s">
        <v>13436</v>
      </c>
      <c r="D4246" t="s">
        <v>22276</v>
      </c>
      <c r="E4246" t="s">
        <v>22277</v>
      </c>
      <c r="G4246" t="s">
        <v>22278</v>
      </c>
      <c r="L4246" t="s">
        <v>74</v>
      </c>
      <c r="M4246" t="s">
        <v>85</v>
      </c>
      <c r="R4246" t="s">
        <v>22279</v>
      </c>
      <c r="W4246" t="s">
        <v>22277</v>
      </c>
      <c r="X4246" t="s">
        <v>333</v>
      </c>
      <c r="Y4246" t="s">
        <v>97</v>
      </c>
      <c r="Z4246" t="s">
        <v>77</v>
      </c>
      <c r="AA4246" t="str">
        <f>"10016-9196"</f>
        <v>10016-9196</v>
      </c>
      <c r="AB4246" t="s">
        <v>78</v>
      </c>
      <c r="AC4246" t="s">
        <v>79</v>
      </c>
      <c r="AD4246" t="s">
        <v>75</v>
      </c>
      <c r="AE4246" t="s">
        <v>80</v>
      </c>
      <c r="AG4246" t="s">
        <v>81</v>
      </c>
    </row>
    <row r="4247" spans="1:33" x14ac:dyDescent="0.25">
      <c r="A4247" t="str">
        <f>"1780668392"</f>
        <v>1780668392</v>
      </c>
      <c r="B4247" t="str">
        <f>"02709722"</f>
        <v>02709722</v>
      </c>
      <c r="C4247" t="s">
        <v>13436</v>
      </c>
      <c r="D4247" t="s">
        <v>22280</v>
      </c>
      <c r="E4247" t="s">
        <v>22281</v>
      </c>
      <c r="G4247" t="s">
        <v>22282</v>
      </c>
      <c r="L4247" t="s">
        <v>74</v>
      </c>
      <c r="M4247" t="s">
        <v>85</v>
      </c>
      <c r="R4247" t="s">
        <v>22283</v>
      </c>
      <c r="W4247" t="s">
        <v>22281</v>
      </c>
      <c r="X4247" t="s">
        <v>22284</v>
      </c>
      <c r="Y4247" t="s">
        <v>97</v>
      </c>
      <c r="Z4247" t="s">
        <v>77</v>
      </c>
      <c r="AA4247" t="str">
        <f>"10065-7328"</f>
        <v>10065-7328</v>
      </c>
      <c r="AB4247" t="s">
        <v>78</v>
      </c>
      <c r="AC4247" t="s">
        <v>79</v>
      </c>
      <c r="AD4247" t="s">
        <v>75</v>
      </c>
      <c r="AE4247" t="s">
        <v>80</v>
      </c>
      <c r="AG4247" t="s">
        <v>81</v>
      </c>
    </row>
    <row r="4248" spans="1:33" x14ac:dyDescent="0.25">
      <c r="A4248" t="str">
        <f>"1780686568"</f>
        <v>1780686568</v>
      </c>
      <c r="B4248" t="str">
        <f>"01299274"</f>
        <v>01299274</v>
      </c>
      <c r="C4248" t="s">
        <v>13436</v>
      </c>
      <c r="D4248" t="s">
        <v>22285</v>
      </c>
      <c r="E4248" t="s">
        <v>22286</v>
      </c>
      <c r="G4248" t="s">
        <v>22287</v>
      </c>
      <c r="L4248" t="s">
        <v>84</v>
      </c>
      <c r="M4248" t="s">
        <v>85</v>
      </c>
      <c r="R4248" t="s">
        <v>22288</v>
      </c>
      <c r="W4248" t="s">
        <v>22286</v>
      </c>
      <c r="X4248" t="s">
        <v>2838</v>
      </c>
      <c r="Y4248" t="s">
        <v>97</v>
      </c>
      <c r="Z4248" t="s">
        <v>77</v>
      </c>
      <c r="AA4248" t="str">
        <f>"10003-3105"</f>
        <v>10003-3105</v>
      </c>
      <c r="AB4248" t="s">
        <v>78</v>
      </c>
      <c r="AC4248" t="s">
        <v>79</v>
      </c>
      <c r="AD4248" t="s">
        <v>75</v>
      </c>
      <c r="AE4248" t="s">
        <v>80</v>
      </c>
      <c r="AG4248" t="s">
        <v>81</v>
      </c>
    </row>
    <row r="4249" spans="1:33" x14ac:dyDescent="0.25">
      <c r="A4249" t="str">
        <f>"1780740860"</f>
        <v>1780740860</v>
      </c>
      <c r="B4249" t="str">
        <f>"01255352"</f>
        <v>01255352</v>
      </c>
      <c r="C4249" t="s">
        <v>13436</v>
      </c>
      <c r="D4249" t="s">
        <v>22289</v>
      </c>
      <c r="E4249" t="s">
        <v>22290</v>
      </c>
      <c r="G4249" t="s">
        <v>22291</v>
      </c>
      <c r="L4249" t="s">
        <v>84</v>
      </c>
      <c r="M4249" t="s">
        <v>85</v>
      </c>
      <c r="R4249" t="s">
        <v>6128</v>
      </c>
      <c r="W4249" t="s">
        <v>22292</v>
      </c>
      <c r="X4249" t="s">
        <v>22293</v>
      </c>
      <c r="Y4249" t="s">
        <v>97</v>
      </c>
      <c r="Z4249" t="s">
        <v>77</v>
      </c>
      <c r="AA4249" t="str">
        <f>"10019-5504"</f>
        <v>10019-5504</v>
      </c>
      <c r="AB4249" t="s">
        <v>78</v>
      </c>
      <c r="AC4249" t="s">
        <v>79</v>
      </c>
      <c r="AD4249" t="s">
        <v>75</v>
      </c>
      <c r="AE4249" t="s">
        <v>80</v>
      </c>
      <c r="AG4249" t="s">
        <v>81</v>
      </c>
    </row>
    <row r="4250" spans="1:33" x14ac:dyDescent="0.25">
      <c r="A4250" t="str">
        <f>"1790759298"</f>
        <v>1790759298</v>
      </c>
      <c r="B4250" t="str">
        <f>"02722301"</f>
        <v>02722301</v>
      </c>
      <c r="C4250" t="s">
        <v>13436</v>
      </c>
      <c r="D4250" t="s">
        <v>943</v>
      </c>
      <c r="E4250" t="s">
        <v>944</v>
      </c>
      <c r="G4250" t="s">
        <v>22294</v>
      </c>
      <c r="L4250" t="s">
        <v>84</v>
      </c>
      <c r="M4250" t="s">
        <v>85</v>
      </c>
      <c r="R4250" t="s">
        <v>945</v>
      </c>
      <c r="W4250" t="s">
        <v>944</v>
      </c>
      <c r="X4250" t="s">
        <v>946</v>
      </c>
      <c r="Y4250" t="s">
        <v>97</v>
      </c>
      <c r="Z4250" t="s">
        <v>77</v>
      </c>
      <c r="AA4250" t="str">
        <f>"10002-7181"</f>
        <v>10002-7181</v>
      </c>
      <c r="AB4250" t="s">
        <v>78</v>
      </c>
      <c r="AC4250" t="s">
        <v>79</v>
      </c>
      <c r="AD4250" t="s">
        <v>75</v>
      </c>
      <c r="AE4250" t="s">
        <v>80</v>
      </c>
      <c r="AG4250" t="s">
        <v>81</v>
      </c>
    </row>
    <row r="4251" spans="1:33" x14ac:dyDescent="0.25">
      <c r="A4251" t="str">
        <f>"1003172974"</f>
        <v>1003172974</v>
      </c>
      <c r="C4251" t="s">
        <v>13436</v>
      </c>
      <c r="K4251" t="s">
        <v>99</v>
      </c>
      <c r="L4251" t="s">
        <v>102</v>
      </c>
      <c r="M4251" t="s">
        <v>75</v>
      </c>
      <c r="R4251" t="s">
        <v>22295</v>
      </c>
      <c r="S4251" t="s">
        <v>22296</v>
      </c>
      <c r="T4251" t="s">
        <v>97</v>
      </c>
      <c r="U4251" t="s">
        <v>77</v>
      </c>
      <c r="V4251" t="str">
        <f>"100296574"</f>
        <v>100296574</v>
      </c>
      <c r="AC4251" t="s">
        <v>79</v>
      </c>
      <c r="AD4251" t="s">
        <v>75</v>
      </c>
      <c r="AE4251" t="s">
        <v>103</v>
      </c>
      <c r="AG4251" t="s">
        <v>81</v>
      </c>
    </row>
    <row r="4252" spans="1:33" x14ac:dyDescent="0.25">
      <c r="A4252" t="str">
        <f>"1932190147"</f>
        <v>1932190147</v>
      </c>
      <c r="B4252" t="str">
        <f>"01580285"</f>
        <v>01580285</v>
      </c>
      <c r="C4252" t="s">
        <v>13436</v>
      </c>
      <c r="D4252" t="s">
        <v>22297</v>
      </c>
      <c r="E4252" t="s">
        <v>22298</v>
      </c>
      <c r="G4252" t="s">
        <v>22299</v>
      </c>
      <c r="L4252" t="s">
        <v>83</v>
      </c>
      <c r="M4252" t="s">
        <v>85</v>
      </c>
      <c r="R4252" t="s">
        <v>22300</v>
      </c>
      <c r="W4252" t="s">
        <v>22298</v>
      </c>
      <c r="X4252" t="s">
        <v>4791</v>
      </c>
      <c r="Y4252" t="s">
        <v>97</v>
      </c>
      <c r="Z4252" t="s">
        <v>77</v>
      </c>
      <c r="AA4252" t="str">
        <f>"10003"</f>
        <v>10003</v>
      </c>
      <c r="AB4252" t="s">
        <v>78</v>
      </c>
      <c r="AC4252" t="s">
        <v>79</v>
      </c>
      <c r="AD4252" t="s">
        <v>75</v>
      </c>
      <c r="AE4252" t="s">
        <v>80</v>
      </c>
      <c r="AG4252" t="s">
        <v>81</v>
      </c>
    </row>
    <row r="4253" spans="1:33" x14ac:dyDescent="0.25">
      <c r="A4253" t="str">
        <f>"1932212149"</f>
        <v>1932212149</v>
      </c>
      <c r="B4253" t="str">
        <f>"01598407"</f>
        <v>01598407</v>
      </c>
      <c r="C4253" t="s">
        <v>13436</v>
      </c>
      <c r="D4253" t="s">
        <v>22301</v>
      </c>
      <c r="E4253" t="s">
        <v>22302</v>
      </c>
      <c r="G4253" t="s">
        <v>22303</v>
      </c>
      <c r="L4253" t="s">
        <v>74</v>
      </c>
      <c r="M4253" t="s">
        <v>85</v>
      </c>
      <c r="R4253" t="s">
        <v>22304</v>
      </c>
      <c r="W4253" t="s">
        <v>22302</v>
      </c>
      <c r="X4253" t="s">
        <v>181</v>
      </c>
      <c r="Y4253" t="s">
        <v>97</v>
      </c>
      <c r="Z4253" t="s">
        <v>77</v>
      </c>
      <c r="AA4253" t="str">
        <f>"10025-1716"</f>
        <v>10025-1716</v>
      </c>
      <c r="AB4253" t="s">
        <v>78</v>
      </c>
      <c r="AC4253" t="s">
        <v>79</v>
      </c>
      <c r="AD4253" t="s">
        <v>75</v>
      </c>
      <c r="AE4253" t="s">
        <v>80</v>
      </c>
      <c r="AG4253" t="s">
        <v>81</v>
      </c>
    </row>
    <row r="4254" spans="1:33" x14ac:dyDescent="0.25">
      <c r="A4254" t="str">
        <f>"1932225463"</f>
        <v>1932225463</v>
      </c>
      <c r="B4254" t="str">
        <f>"02664331"</f>
        <v>02664331</v>
      </c>
      <c r="C4254" t="s">
        <v>13436</v>
      </c>
      <c r="D4254" t="s">
        <v>22305</v>
      </c>
      <c r="E4254" t="s">
        <v>22306</v>
      </c>
      <c r="G4254" t="s">
        <v>22307</v>
      </c>
      <c r="L4254" t="s">
        <v>74</v>
      </c>
      <c r="M4254" t="s">
        <v>85</v>
      </c>
      <c r="R4254" t="s">
        <v>22308</v>
      </c>
      <c r="W4254" t="s">
        <v>22306</v>
      </c>
      <c r="X4254" t="s">
        <v>22309</v>
      </c>
      <c r="Y4254" t="s">
        <v>129</v>
      </c>
      <c r="Z4254" t="s">
        <v>77</v>
      </c>
      <c r="AA4254" t="str">
        <f>"11372-7941"</f>
        <v>11372-7941</v>
      </c>
      <c r="AB4254" t="s">
        <v>82</v>
      </c>
      <c r="AC4254" t="s">
        <v>79</v>
      </c>
      <c r="AD4254" t="s">
        <v>75</v>
      </c>
      <c r="AE4254" t="s">
        <v>80</v>
      </c>
      <c r="AG4254" t="s">
        <v>81</v>
      </c>
    </row>
    <row r="4255" spans="1:33" x14ac:dyDescent="0.25">
      <c r="A4255" t="str">
        <f>"1356354088"</f>
        <v>1356354088</v>
      </c>
      <c r="B4255" t="str">
        <f>"01149971"</f>
        <v>01149971</v>
      </c>
      <c r="C4255" t="s">
        <v>13436</v>
      </c>
      <c r="D4255" t="s">
        <v>22310</v>
      </c>
      <c r="E4255" t="s">
        <v>22311</v>
      </c>
      <c r="G4255" t="s">
        <v>22312</v>
      </c>
      <c r="L4255" t="s">
        <v>83</v>
      </c>
      <c r="M4255" t="s">
        <v>85</v>
      </c>
      <c r="R4255" t="s">
        <v>22313</v>
      </c>
      <c r="W4255" t="s">
        <v>22311</v>
      </c>
      <c r="X4255" t="s">
        <v>537</v>
      </c>
      <c r="Y4255" t="s">
        <v>97</v>
      </c>
      <c r="Z4255" t="s">
        <v>77</v>
      </c>
      <c r="AA4255" t="str">
        <f>"10011-8305"</f>
        <v>10011-8305</v>
      </c>
      <c r="AB4255" t="s">
        <v>78</v>
      </c>
      <c r="AC4255" t="s">
        <v>79</v>
      </c>
      <c r="AD4255" t="s">
        <v>75</v>
      </c>
      <c r="AE4255" t="s">
        <v>80</v>
      </c>
      <c r="AG4255" t="s">
        <v>81</v>
      </c>
    </row>
    <row r="4256" spans="1:33" x14ac:dyDescent="0.25">
      <c r="A4256" t="str">
        <f>"1356499180"</f>
        <v>1356499180</v>
      </c>
      <c r="B4256" t="str">
        <f>"00938945"</f>
        <v>00938945</v>
      </c>
      <c r="C4256" t="s">
        <v>13436</v>
      </c>
      <c r="D4256" t="s">
        <v>22314</v>
      </c>
      <c r="E4256" t="s">
        <v>22315</v>
      </c>
      <c r="G4256" t="s">
        <v>22316</v>
      </c>
      <c r="L4256" t="s">
        <v>84</v>
      </c>
      <c r="M4256" t="s">
        <v>85</v>
      </c>
      <c r="R4256" t="s">
        <v>22317</v>
      </c>
      <c r="W4256" t="s">
        <v>22315</v>
      </c>
      <c r="X4256" t="s">
        <v>22318</v>
      </c>
      <c r="Y4256" t="s">
        <v>180</v>
      </c>
      <c r="Z4256" t="s">
        <v>77</v>
      </c>
      <c r="AA4256" t="str">
        <f>"10705-2049"</f>
        <v>10705-2049</v>
      </c>
      <c r="AB4256" t="s">
        <v>78</v>
      </c>
      <c r="AC4256" t="s">
        <v>79</v>
      </c>
      <c r="AD4256" t="s">
        <v>75</v>
      </c>
      <c r="AE4256" t="s">
        <v>80</v>
      </c>
      <c r="AG4256" t="s">
        <v>81</v>
      </c>
    </row>
    <row r="4257" spans="1:33" x14ac:dyDescent="0.25">
      <c r="A4257" t="str">
        <f>"1366419947"</f>
        <v>1366419947</v>
      </c>
      <c r="B4257" t="str">
        <f>"01595037"</f>
        <v>01595037</v>
      </c>
      <c r="C4257" t="s">
        <v>13436</v>
      </c>
      <c r="D4257" t="s">
        <v>22319</v>
      </c>
      <c r="E4257" t="s">
        <v>22320</v>
      </c>
      <c r="G4257" t="s">
        <v>22321</v>
      </c>
      <c r="L4257" t="s">
        <v>105</v>
      </c>
      <c r="M4257" t="s">
        <v>85</v>
      </c>
      <c r="R4257" t="s">
        <v>22322</v>
      </c>
      <c r="W4257" t="s">
        <v>22320</v>
      </c>
      <c r="X4257" t="s">
        <v>1034</v>
      </c>
      <c r="Y4257" t="s">
        <v>131</v>
      </c>
      <c r="Z4257" t="s">
        <v>77</v>
      </c>
      <c r="AA4257" t="str">
        <f>"10457-7697"</f>
        <v>10457-7697</v>
      </c>
      <c r="AB4257" t="s">
        <v>78</v>
      </c>
      <c r="AC4257" t="s">
        <v>79</v>
      </c>
      <c r="AD4257" t="s">
        <v>75</v>
      </c>
      <c r="AE4257" t="s">
        <v>80</v>
      </c>
      <c r="AG4257" t="s">
        <v>81</v>
      </c>
    </row>
    <row r="4258" spans="1:33" x14ac:dyDescent="0.25">
      <c r="A4258" t="str">
        <f>"1366443954"</f>
        <v>1366443954</v>
      </c>
      <c r="B4258" t="str">
        <f>"01726672"</f>
        <v>01726672</v>
      </c>
      <c r="C4258" t="s">
        <v>13436</v>
      </c>
      <c r="D4258" t="s">
        <v>22323</v>
      </c>
      <c r="E4258" t="s">
        <v>22324</v>
      </c>
      <c r="G4258" t="s">
        <v>22325</v>
      </c>
      <c r="L4258" t="s">
        <v>84</v>
      </c>
      <c r="M4258" t="s">
        <v>85</v>
      </c>
      <c r="R4258" t="s">
        <v>22326</v>
      </c>
      <c r="W4258" t="s">
        <v>22324</v>
      </c>
      <c r="X4258" t="s">
        <v>22327</v>
      </c>
      <c r="Y4258" t="s">
        <v>97</v>
      </c>
      <c r="Z4258" t="s">
        <v>77</v>
      </c>
      <c r="AA4258" t="str">
        <f>"10024-5116"</f>
        <v>10024-5116</v>
      </c>
      <c r="AB4258" t="s">
        <v>78</v>
      </c>
      <c r="AC4258" t="s">
        <v>79</v>
      </c>
      <c r="AD4258" t="s">
        <v>75</v>
      </c>
      <c r="AE4258" t="s">
        <v>80</v>
      </c>
      <c r="AG4258" t="s">
        <v>81</v>
      </c>
    </row>
    <row r="4259" spans="1:33" x14ac:dyDescent="0.25">
      <c r="A4259" t="str">
        <f>"1023027463"</f>
        <v>1023027463</v>
      </c>
      <c r="B4259" t="str">
        <f>"01060122"</f>
        <v>01060122</v>
      </c>
      <c r="C4259" t="s">
        <v>13436</v>
      </c>
      <c r="D4259" t="s">
        <v>22328</v>
      </c>
      <c r="E4259" t="s">
        <v>22329</v>
      </c>
      <c r="G4259" t="s">
        <v>22330</v>
      </c>
      <c r="L4259" t="s">
        <v>74</v>
      </c>
      <c r="M4259" t="s">
        <v>85</v>
      </c>
      <c r="R4259" t="s">
        <v>22331</v>
      </c>
      <c r="W4259" t="s">
        <v>22329</v>
      </c>
      <c r="X4259" t="s">
        <v>332</v>
      </c>
      <c r="Y4259" t="s">
        <v>97</v>
      </c>
      <c r="Z4259" t="s">
        <v>77</v>
      </c>
      <c r="AA4259" t="str">
        <f>"10075-1851"</f>
        <v>10075-1851</v>
      </c>
      <c r="AB4259" t="s">
        <v>78</v>
      </c>
      <c r="AC4259" t="s">
        <v>79</v>
      </c>
      <c r="AD4259" t="s">
        <v>75</v>
      </c>
      <c r="AE4259" t="s">
        <v>80</v>
      </c>
      <c r="AG4259" t="s">
        <v>81</v>
      </c>
    </row>
    <row r="4260" spans="1:33" x14ac:dyDescent="0.25">
      <c r="A4260" t="str">
        <f>"1023081312"</f>
        <v>1023081312</v>
      </c>
      <c r="B4260" t="str">
        <f>"02230826"</f>
        <v>02230826</v>
      </c>
      <c r="C4260" t="s">
        <v>13436</v>
      </c>
      <c r="D4260" t="s">
        <v>22332</v>
      </c>
      <c r="E4260" t="s">
        <v>22333</v>
      </c>
      <c r="G4260" t="s">
        <v>22334</v>
      </c>
      <c r="L4260" t="s">
        <v>84</v>
      </c>
      <c r="M4260" t="s">
        <v>85</v>
      </c>
      <c r="R4260" t="s">
        <v>22335</v>
      </c>
      <c r="W4260" t="s">
        <v>22333</v>
      </c>
      <c r="X4260" t="s">
        <v>22333</v>
      </c>
      <c r="Y4260" t="s">
        <v>97</v>
      </c>
      <c r="Z4260" t="s">
        <v>77</v>
      </c>
      <c r="AA4260" t="str">
        <f>"10016-4337"</f>
        <v>10016-4337</v>
      </c>
      <c r="AB4260" t="s">
        <v>78</v>
      </c>
      <c r="AC4260" t="s">
        <v>79</v>
      </c>
      <c r="AD4260" t="s">
        <v>75</v>
      </c>
      <c r="AE4260" t="s">
        <v>80</v>
      </c>
      <c r="AG4260" t="s">
        <v>81</v>
      </c>
    </row>
    <row r="4261" spans="1:33" x14ac:dyDescent="0.25">
      <c r="A4261" t="str">
        <f>"1770564817"</f>
        <v>1770564817</v>
      </c>
      <c r="B4261" t="str">
        <f>"01418322"</f>
        <v>01418322</v>
      </c>
      <c r="C4261" t="s">
        <v>13436</v>
      </c>
      <c r="D4261" t="s">
        <v>22336</v>
      </c>
      <c r="E4261" t="s">
        <v>22337</v>
      </c>
      <c r="G4261" t="s">
        <v>22338</v>
      </c>
      <c r="L4261" t="s">
        <v>84</v>
      </c>
      <c r="M4261" t="s">
        <v>85</v>
      </c>
      <c r="R4261" t="s">
        <v>22339</v>
      </c>
      <c r="W4261" t="s">
        <v>22337</v>
      </c>
      <c r="X4261" t="s">
        <v>3553</v>
      </c>
      <c r="Y4261" t="s">
        <v>97</v>
      </c>
      <c r="Z4261" t="s">
        <v>77</v>
      </c>
      <c r="AA4261" t="str">
        <f>"10003-3851"</f>
        <v>10003-3851</v>
      </c>
      <c r="AB4261" t="s">
        <v>78</v>
      </c>
      <c r="AC4261" t="s">
        <v>79</v>
      </c>
      <c r="AD4261" t="s">
        <v>75</v>
      </c>
      <c r="AE4261" t="s">
        <v>80</v>
      </c>
      <c r="AG4261" t="s">
        <v>81</v>
      </c>
    </row>
    <row r="4262" spans="1:33" x14ac:dyDescent="0.25">
      <c r="A4262" t="str">
        <f>"1770567406"</f>
        <v>1770567406</v>
      </c>
      <c r="B4262" t="str">
        <f>"01978110"</f>
        <v>01978110</v>
      </c>
      <c r="C4262" t="s">
        <v>13436</v>
      </c>
      <c r="D4262" t="s">
        <v>22340</v>
      </c>
      <c r="E4262" t="s">
        <v>22341</v>
      </c>
      <c r="G4262" t="s">
        <v>22342</v>
      </c>
      <c r="L4262" t="s">
        <v>83</v>
      </c>
      <c r="M4262" t="s">
        <v>85</v>
      </c>
      <c r="R4262" t="s">
        <v>22343</v>
      </c>
      <c r="W4262" t="s">
        <v>22341</v>
      </c>
      <c r="X4262" t="s">
        <v>2587</v>
      </c>
      <c r="Y4262" t="s">
        <v>97</v>
      </c>
      <c r="Z4262" t="s">
        <v>77</v>
      </c>
      <c r="AA4262" t="str">
        <f>"10003-3314"</f>
        <v>10003-3314</v>
      </c>
      <c r="AB4262" t="s">
        <v>78</v>
      </c>
      <c r="AC4262" t="s">
        <v>79</v>
      </c>
      <c r="AD4262" t="s">
        <v>75</v>
      </c>
      <c r="AE4262" t="s">
        <v>80</v>
      </c>
      <c r="AG4262" t="s">
        <v>81</v>
      </c>
    </row>
    <row r="4263" spans="1:33" x14ac:dyDescent="0.25">
      <c r="A4263" t="str">
        <f>"1770568073"</f>
        <v>1770568073</v>
      </c>
      <c r="B4263" t="str">
        <f>"02431643"</f>
        <v>02431643</v>
      </c>
      <c r="C4263" t="s">
        <v>13436</v>
      </c>
      <c r="D4263" t="s">
        <v>22344</v>
      </c>
      <c r="E4263" t="s">
        <v>22345</v>
      </c>
      <c r="G4263" t="s">
        <v>22346</v>
      </c>
      <c r="L4263" t="s">
        <v>74</v>
      </c>
      <c r="M4263" t="s">
        <v>85</v>
      </c>
      <c r="R4263" t="s">
        <v>5255</v>
      </c>
      <c r="W4263" t="s">
        <v>22345</v>
      </c>
      <c r="X4263" t="s">
        <v>1076</v>
      </c>
      <c r="Y4263" t="s">
        <v>97</v>
      </c>
      <c r="Z4263" t="s">
        <v>77</v>
      </c>
      <c r="AA4263" t="str">
        <f>"10025-1737"</f>
        <v>10025-1737</v>
      </c>
      <c r="AB4263" t="s">
        <v>78</v>
      </c>
      <c r="AC4263" t="s">
        <v>79</v>
      </c>
      <c r="AD4263" t="s">
        <v>75</v>
      </c>
      <c r="AE4263" t="s">
        <v>80</v>
      </c>
      <c r="AG4263" t="s">
        <v>81</v>
      </c>
    </row>
    <row r="4264" spans="1:33" x14ac:dyDescent="0.25">
      <c r="A4264" t="str">
        <f>"1770574980"</f>
        <v>1770574980</v>
      </c>
      <c r="B4264" t="str">
        <f>"01435381"</f>
        <v>01435381</v>
      </c>
      <c r="C4264" t="s">
        <v>13436</v>
      </c>
      <c r="D4264" t="s">
        <v>22347</v>
      </c>
      <c r="E4264" t="s">
        <v>22348</v>
      </c>
      <c r="G4264" t="s">
        <v>22349</v>
      </c>
      <c r="L4264" t="s">
        <v>74</v>
      </c>
      <c r="M4264" t="s">
        <v>85</v>
      </c>
      <c r="R4264" t="s">
        <v>22350</v>
      </c>
      <c r="W4264" t="s">
        <v>22348</v>
      </c>
      <c r="X4264" t="s">
        <v>3553</v>
      </c>
      <c r="Y4264" t="s">
        <v>97</v>
      </c>
      <c r="Z4264" t="s">
        <v>77</v>
      </c>
      <c r="AA4264" t="str">
        <f>"10003-3851"</f>
        <v>10003-3851</v>
      </c>
      <c r="AB4264" t="s">
        <v>78</v>
      </c>
      <c r="AC4264" t="s">
        <v>79</v>
      </c>
      <c r="AD4264" t="s">
        <v>75</v>
      </c>
      <c r="AE4264" t="s">
        <v>80</v>
      </c>
      <c r="AG4264" t="s">
        <v>81</v>
      </c>
    </row>
    <row r="4265" spans="1:33" x14ac:dyDescent="0.25">
      <c r="A4265" t="str">
        <f>"1891855276"</f>
        <v>1891855276</v>
      </c>
      <c r="B4265" t="str">
        <f>"02844035"</f>
        <v>02844035</v>
      </c>
      <c r="C4265" t="s">
        <v>22351</v>
      </c>
      <c r="D4265" t="s">
        <v>3338</v>
      </c>
      <c r="E4265" t="s">
        <v>3339</v>
      </c>
      <c r="G4265" t="s">
        <v>19413</v>
      </c>
      <c r="H4265" t="s">
        <v>1084</v>
      </c>
      <c r="I4265">
        <v>160</v>
      </c>
      <c r="J4265" t="s">
        <v>2757</v>
      </c>
      <c r="L4265" t="s">
        <v>84</v>
      </c>
      <c r="M4265" t="s">
        <v>85</v>
      </c>
      <c r="R4265" t="s">
        <v>3340</v>
      </c>
      <c r="W4265" t="s">
        <v>3339</v>
      </c>
      <c r="X4265" t="s">
        <v>3341</v>
      </c>
      <c r="Y4265" t="s">
        <v>227</v>
      </c>
      <c r="Z4265" t="s">
        <v>77</v>
      </c>
      <c r="AA4265" t="str">
        <f>"10607-1456"</f>
        <v>10607-1456</v>
      </c>
      <c r="AB4265" t="s">
        <v>78</v>
      </c>
      <c r="AC4265" t="s">
        <v>79</v>
      </c>
      <c r="AD4265" t="s">
        <v>75</v>
      </c>
      <c r="AE4265" t="s">
        <v>80</v>
      </c>
      <c r="AG4265" t="s">
        <v>81</v>
      </c>
    </row>
    <row r="4266" spans="1:33" x14ac:dyDescent="0.25">
      <c r="A4266" t="str">
        <f>"1265583140"</f>
        <v>1265583140</v>
      </c>
      <c r="B4266" t="str">
        <f>"03536541"</f>
        <v>03536541</v>
      </c>
      <c r="C4266" t="s">
        <v>22352</v>
      </c>
      <c r="D4266" t="s">
        <v>22353</v>
      </c>
      <c r="E4266" t="s">
        <v>22354</v>
      </c>
      <c r="G4266" t="s">
        <v>7218</v>
      </c>
      <c r="H4266" t="s">
        <v>6801</v>
      </c>
      <c r="I4266">
        <v>6136</v>
      </c>
      <c r="J4266" t="s">
        <v>7219</v>
      </c>
      <c r="L4266" t="s">
        <v>74</v>
      </c>
      <c r="M4266" t="s">
        <v>75</v>
      </c>
      <c r="R4266" t="s">
        <v>22355</v>
      </c>
      <c r="W4266" t="s">
        <v>22354</v>
      </c>
      <c r="X4266" t="s">
        <v>9151</v>
      </c>
      <c r="Y4266" t="s">
        <v>97</v>
      </c>
      <c r="Z4266" t="s">
        <v>77</v>
      </c>
      <c r="AA4266" t="str">
        <f>"10001-2320"</f>
        <v>10001-2320</v>
      </c>
      <c r="AB4266" t="s">
        <v>125</v>
      </c>
      <c r="AC4266" t="s">
        <v>79</v>
      </c>
      <c r="AD4266" t="s">
        <v>75</v>
      </c>
      <c r="AE4266" t="s">
        <v>80</v>
      </c>
      <c r="AG4266" t="s">
        <v>81</v>
      </c>
    </row>
    <row r="4267" spans="1:33" x14ac:dyDescent="0.25">
      <c r="A4267" t="str">
        <f>"1265598999"</f>
        <v>1265598999</v>
      </c>
      <c r="B4267" t="str">
        <f>"03529444"</f>
        <v>03529444</v>
      </c>
      <c r="C4267" t="s">
        <v>22356</v>
      </c>
      <c r="D4267" t="s">
        <v>22357</v>
      </c>
      <c r="E4267" t="s">
        <v>22358</v>
      </c>
      <c r="G4267" t="s">
        <v>7218</v>
      </c>
      <c r="H4267" t="s">
        <v>6801</v>
      </c>
      <c r="I4267">
        <v>6136</v>
      </c>
      <c r="J4267" t="s">
        <v>7219</v>
      </c>
      <c r="L4267" t="s">
        <v>74</v>
      </c>
      <c r="M4267" t="s">
        <v>75</v>
      </c>
      <c r="R4267" t="s">
        <v>22358</v>
      </c>
      <c r="W4267" t="s">
        <v>22358</v>
      </c>
      <c r="X4267" t="s">
        <v>9151</v>
      </c>
      <c r="Y4267" t="s">
        <v>97</v>
      </c>
      <c r="Z4267" t="s">
        <v>77</v>
      </c>
      <c r="AA4267" t="str">
        <f>"10001-2320"</f>
        <v>10001-2320</v>
      </c>
      <c r="AB4267" t="s">
        <v>113</v>
      </c>
      <c r="AC4267" t="s">
        <v>79</v>
      </c>
      <c r="AD4267" t="s">
        <v>75</v>
      </c>
      <c r="AE4267" t="s">
        <v>80</v>
      </c>
      <c r="AG4267" t="s">
        <v>81</v>
      </c>
    </row>
    <row r="4268" spans="1:33" x14ac:dyDescent="0.25">
      <c r="A4268" t="str">
        <f>"1265718134"</f>
        <v>1265718134</v>
      </c>
      <c r="B4268" t="str">
        <f>"03422873"</f>
        <v>03422873</v>
      </c>
      <c r="C4268" t="s">
        <v>22359</v>
      </c>
      <c r="D4268" t="s">
        <v>22360</v>
      </c>
      <c r="E4268" t="s">
        <v>22361</v>
      </c>
      <c r="G4268" t="s">
        <v>7218</v>
      </c>
      <c r="H4268" t="s">
        <v>6801</v>
      </c>
      <c r="I4268">
        <v>6136</v>
      </c>
      <c r="J4268" t="s">
        <v>7219</v>
      </c>
      <c r="L4268" t="s">
        <v>74</v>
      </c>
      <c r="M4268" t="s">
        <v>75</v>
      </c>
      <c r="R4268" t="s">
        <v>22362</v>
      </c>
      <c r="W4268" t="s">
        <v>22363</v>
      </c>
      <c r="X4268" t="s">
        <v>22364</v>
      </c>
      <c r="Y4268" t="s">
        <v>131</v>
      </c>
      <c r="Z4268" t="s">
        <v>77</v>
      </c>
      <c r="AA4268" t="str">
        <f>"10467-9004"</f>
        <v>10467-9004</v>
      </c>
      <c r="AB4268" t="s">
        <v>109</v>
      </c>
      <c r="AC4268" t="s">
        <v>79</v>
      </c>
      <c r="AD4268" t="s">
        <v>75</v>
      </c>
      <c r="AE4268" t="s">
        <v>80</v>
      </c>
      <c r="AG4268" t="s">
        <v>81</v>
      </c>
    </row>
    <row r="4269" spans="1:33" x14ac:dyDescent="0.25">
      <c r="A4269" t="str">
        <f>"1275738734"</f>
        <v>1275738734</v>
      </c>
      <c r="C4269" t="s">
        <v>22365</v>
      </c>
      <c r="G4269" t="s">
        <v>7218</v>
      </c>
      <c r="H4269" t="s">
        <v>6801</v>
      </c>
      <c r="I4269">
        <v>6136</v>
      </c>
      <c r="J4269" t="s">
        <v>7219</v>
      </c>
      <c r="K4269" t="s">
        <v>99</v>
      </c>
      <c r="L4269" t="s">
        <v>74</v>
      </c>
      <c r="M4269" t="s">
        <v>75</v>
      </c>
      <c r="R4269" t="s">
        <v>22366</v>
      </c>
      <c r="S4269" t="s">
        <v>6229</v>
      </c>
      <c r="T4269" t="s">
        <v>97</v>
      </c>
      <c r="U4269" t="s">
        <v>77</v>
      </c>
      <c r="V4269" t="str">
        <f>"100012320"</f>
        <v>100012320</v>
      </c>
      <c r="AC4269" t="s">
        <v>79</v>
      </c>
      <c r="AD4269" t="s">
        <v>75</v>
      </c>
      <c r="AE4269" t="s">
        <v>103</v>
      </c>
      <c r="AG4269" t="s">
        <v>81</v>
      </c>
    </row>
    <row r="4270" spans="1:33" x14ac:dyDescent="0.25">
      <c r="A4270" t="str">
        <f>"1396817268"</f>
        <v>1396817268</v>
      </c>
      <c r="B4270" t="str">
        <f>"02618399"</f>
        <v>02618399</v>
      </c>
      <c r="C4270" t="s">
        <v>22367</v>
      </c>
      <c r="D4270" t="s">
        <v>2962</v>
      </c>
      <c r="E4270" t="s">
        <v>2963</v>
      </c>
      <c r="G4270" t="s">
        <v>12446</v>
      </c>
      <c r="H4270" t="s">
        <v>797</v>
      </c>
      <c r="J4270" t="s">
        <v>3051</v>
      </c>
      <c r="L4270" t="s">
        <v>84</v>
      </c>
      <c r="M4270" t="s">
        <v>85</v>
      </c>
      <c r="R4270" t="s">
        <v>2964</v>
      </c>
      <c r="W4270" t="s">
        <v>2963</v>
      </c>
      <c r="X4270" t="s">
        <v>2965</v>
      </c>
      <c r="Y4270" t="s">
        <v>87</v>
      </c>
      <c r="Z4270" t="s">
        <v>77</v>
      </c>
      <c r="AA4270" t="str">
        <f>"11238-2669"</f>
        <v>11238-2669</v>
      </c>
      <c r="AB4270" t="s">
        <v>78</v>
      </c>
      <c r="AC4270" t="s">
        <v>79</v>
      </c>
      <c r="AD4270" t="s">
        <v>75</v>
      </c>
      <c r="AE4270" t="s">
        <v>80</v>
      </c>
      <c r="AG4270" t="s">
        <v>81</v>
      </c>
    </row>
    <row r="4271" spans="1:33" x14ac:dyDescent="0.25">
      <c r="A4271" t="str">
        <f>"1043634009"</f>
        <v>1043634009</v>
      </c>
      <c r="B4271" t="str">
        <f>"03879994"</f>
        <v>03879994</v>
      </c>
      <c r="C4271" t="s">
        <v>22368</v>
      </c>
      <c r="D4271" t="s">
        <v>3247</v>
      </c>
      <c r="E4271" t="s">
        <v>3248</v>
      </c>
      <c r="G4271" t="s">
        <v>12446</v>
      </c>
      <c r="H4271" t="s">
        <v>797</v>
      </c>
      <c r="J4271" t="s">
        <v>3051</v>
      </c>
      <c r="L4271" t="s">
        <v>84</v>
      </c>
      <c r="M4271" t="s">
        <v>75</v>
      </c>
      <c r="R4271" t="s">
        <v>3249</v>
      </c>
      <c r="W4271" t="s">
        <v>3250</v>
      </c>
      <c r="X4271" t="s">
        <v>3251</v>
      </c>
      <c r="Y4271" t="s">
        <v>87</v>
      </c>
      <c r="Z4271" t="s">
        <v>77</v>
      </c>
      <c r="AA4271" t="str">
        <f>"11225-5417"</f>
        <v>11225-5417</v>
      </c>
      <c r="AB4271" t="s">
        <v>78</v>
      </c>
      <c r="AC4271" t="s">
        <v>79</v>
      </c>
      <c r="AD4271" t="s">
        <v>75</v>
      </c>
      <c r="AE4271" t="s">
        <v>80</v>
      </c>
      <c r="AG4271" t="s">
        <v>81</v>
      </c>
    </row>
    <row r="4272" spans="1:33" x14ac:dyDescent="0.25">
      <c r="A4272" t="str">
        <f>"1790079648"</f>
        <v>1790079648</v>
      </c>
      <c r="B4272" t="str">
        <f>"03916709"</f>
        <v>03916709</v>
      </c>
      <c r="C4272" t="s">
        <v>22369</v>
      </c>
      <c r="D4272" t="s">
        <v>4359</v>
      </c>
      <c r="E4272" t="s">
        <v>4360</v>
      </c>
      <c r="G4272" t="s">
        <v>12446</v>
      </c>
      <c r="H4272" t="s">
        <v>797</v>
      </c>
      <c r="J4272" t="s">
        <v>3051</v>
      </c>
      <c r="L4272" t="s">
        <v>84</v>
      </c>
      <c r="M4272" t="s">
        <v>75</v>
      </c>
      <c r="R4272" t="s">
        <v>4360</v>
      </c>
      <c r="W4272" t="s">
        <v>4360</v>
      </c>
      <c r="X4272" t="s">
        <v>2855</v>
      </c>
      <c r="Y4272" t="s">
        <v>131</v>
      </c>
      <c r="Z4272" t="s">
        <v>77</v>
      </c>
      <c r="AA4272" t="str">
        <f>"10459-3204"</f>
        <v>10459-3204</v>
      </c>
      <c r="AB4272" t="s">
        <v>78</v>
      </c>
      <c r="AC4272" t="s">
        <v>79</v>
      </c>
      <c r="AD4272" t="s">
        <v>75</v>
      </c>
      <c r="AE4272" t="s">
        <v>80</v>
      </c>
      <c r="AG4272" t="s">
        <v>81</v>
      </c>
    </row>
    <row r="4273" spans="1:33" x14ac:dyDescent="0.25">
      <c r="A4273" t="str">
        <f>"1861682270"</f>
        <v>1861682270</v>
      </c>
      <c r="B4273" t="str">
        <f>"03914849"</f>
        <v>03914849</v>
      </c>
      <c r="C4273" t="s">
        <v>22370</v>
      </c>
      <c r="D4273" t="s">
        <v>4351</v>
      </c>
      <c r="E4273" t="s">
        <v>4352</v>
      </c>
      <c r="G4273" t="s">
        <v>12446</v>
      </c>
      <c r="H4273" t="s">
        <v>797</v>
      </c>
      <c r="J4273" t="s">
        <v>3051</v>
      </c>
      <c r="L4273" t="s">
        <v>84</v>
      </c>
      <c r="M4273" t="s">
        <v>75</v>
      </c>
      <c r="R4273" t="s">
        <v>4353</v>
      </c>
      <c r="W4273" t="s">
        <v>4354</v>
      </c>
      <c r="X4273" t="s">
        <v>2855</v>
      </c>
      <c r="Y4273" t="s">
        <v>131</v>
      </c>
      <c r="Z4273" t="s">
        <v>77</v>
      </c>
      <c r="AA4273" t="str">
        <f>"10459-3204"</f>
        <v>10459-3204</v>
      </c>
      <c r="AB4273" t="s">
        <v>78</v>
      </c>
      <c r="AC4273" t="s">
        <v>79</v>
      </c>
      <c r="AD4273" t="s">
        <v>75</v>
      </c>
      <c r="AE4273" t="s">
        <v>80</v>
      </c>
      <c r="AG4273" t="s">
        <v>81</v>
      </c>
    </row>
    <row r="4274" spans="1:33" x14ac:dyDescent="0.25">
      <c r="A4274" t="str">
        <f>"1487944674"</f>
        <v>1487944674</v>
      </c>
      <c r="B4274" t="str">
        <f>"03490535"</f>
        <v>03490535</v>
      </c>
      <c r="C4274" t="s">
        <v>22371</v>
      </c>
      <c r="D4274" t="s">
        <v>22372</v>
      </c>
      <c r="E4274" t="s">
        <v>22373</v>
      </c>
      <c r="G4274" t="s">
        <v>13504</v>
      </c>
      <c r="H4274" t="s">
        <v>13505</v>
      </c>
      <c r="J4274" t="s">
        <v>13506</v>
      </c>
      <c r="L4274" t="s">
        <v>94</v>
      </c>
      <c r="M4274" t="s">
        <v>85</v>
      </c>
      <c r="R4274" t="s">
        <v>22373</v>
      </c>
      <c r="W4274" t="s">
        <v>22373</v>
      </c>
      <c r="X4274" t="s">
        <v>202</v>
      </c>
      <c r="Y4274" t="s">
        <v>87</v>
      </c>
      <c r="Z4274" t="s">
        <v>77</v>
      </c>
      <c r="AA4274" t="str">
        <f>"11201-5425"</f>
        <v>11201-5425</v>
      </c>
      <c r="AB4274" t="s">
        <v>78</v>
      </c>
      <c r="AC4274" t="s">
        <v>79</v>
      </c>
      <c r="AD4274" t="s">
        <v>75</v>
      </c>
      <c r="AE4274" t="s">
        <v>80</v>
      </c>
      <c r="AG4274" t="s">
        <v>81</v>
      </c>
    </row>
    <row r="4275" spans="1:33" x14ac:dyDescent="0.25">
      <c r="A4275" t="str">
        <f>"1669630026"</f>
        <v>1669630026</v>
      </c>
      <c r="B4275" t="str">
        <f>"03489392"</f>
        <v>03489392</v>
      </c>
      <c r="C4275" t="s">
        <v>22374</v>
      </c>
      <c r="D4275" t="s">
        <v>22375</v>
      </c>
      <c r="E4275" t="s">
        <v>22376</v>
      </c>
      <c r="G4275" t="s">
        <v>13504</v>
      </c>
      <c r="H4275" t="s">
        <v>13505</v>
      </c>
      <c r="J4275" t="s">
        <v>13506</v>
      </c>
      <c r="L4275" t="s">
        <v>74</v>
      </c>
      <c r="M4275" t="s">
        <v>75</v>
      </c>
      <c r="R4275" t="s">
        <v>22377</v>
      </c>
      <c r="W4275" t="s">
        <v>22376</v>
      </c>
      <c r="X4275" t="s">
        <v>202</v>
      </c>
      <c r="Y4275" t="s">
        <v>87</v>
      </c>
      <c r="Z4275" t="s">
        <v>77</v>
      </c>
      <c r="AA4275" t="str">
        <f>"11201-5425"</f>
        <v>11201-5425</v>
      </c>
      <c r="AB4275" t="s">
        <v>78</v>
      </c>
      <c r="AC4275" t="s">
        <v>79</v>
      </c>
      <c r="AD4275" t="s">
        <v>75</v>
      </c>
      <c r="AE4275" t="s">
        <v>80</v>
      </c>
      <c r="AG4275" t="s">
        <v>81</v>
      </c>
    </row>
    <row r="4276" spans="1:33" x14ac:dyDescent="0.25">
      <c r="A4276" t="str">
        <f>"1881676609"</f>
        <v>1881676609</v>
      </c>
      <c r="B4276" t="str">
        <f>"02321144"</f>
        <v>02321144</v>
      </c>
      <c r="C4276" t="s">
        <v>22378</v>
      </c>
      <c r="D4276" t="s">
        <v>22379</v>
      </c>
      <c r="E4276" t="s">
        <v>22380</v>
      </c>
      <c r="G4276" t="s">
        <v>13504</v>
      </c>
      <c r="H4276" t="s">
        <v>13505</v>
      </c>
      <c r="J4276" t="s">
        <v>13506</v>
      </c>
      <c r="L4276" t="s">
        <v>83</v>
      </c>
      <c r="M4276" t="s">
        <v>75</v>
      </c>
      <c r="R4276" t="s">
        <v>22381</v>
      </c>
      <c r="W4276" t="s">
        <v>22380</v>
      </c>
      <c r="X4276" t="s">
        <v>22382</v>
      </c>
      <c r="Y4276" t="s">
        <v>227</v>
      </c>
      <c r="Z4276" t="s">
        <v>77</v>
      </c>
      <c r="AA4276" t="str">
        <f>"10601-3403"</f>
        <v>10601-3403</v>
      </c>
      <c r="AB4276" t="s">
        <v>128</v>
      </c>
      <c r="AC4276" t="s">
        <v>79</v>
      </c>
      <c r="AD4276" t="s">
        <v>75</v>
      </c>
      <c r="AE4276" t="s">
        <v>80</v>
      </c>
      <c r="AG4276" t="s">
        <v>81</v>
      </c>
    </row>
    <row r="4277" spans="1:33" x14ac:dyDescent="0.25">
      <c r="A4277" t="str">
        <f>"1598796013"</f>
        <v>1598796013</v>
      </c>
      <c r="B4277" t="str">
        <f>"02677030"</f>
        <v>02677030</v>
      </c>
      <c r="C4277" t="s">
        <v>13436</v>
      </c>
      <c r="D4277" t="s">
        <v>22383</v>
      </c>
      <c r="E4277" t="s">
        <v>22384</v>
      </c>
      <c r="G4277" t="s">
        <v>22385</v>
      </c>
      <c r="L4277" t="s">
        <v>94</v>
      </c>
      <c r="M4277" t="s">
        <v>85</v>
      </c>
      <c r="R4277" t="s">
        <v>22386</v>
      </c>
      <c r="W4277" t="s">
        <v>22384</v>
      </c>
      <c r="X4277" t="s">
        <v>11176</v>
      </c>
      <c r="Y4277" t="s">
        <v>97</v>
      </c>
      <c r="Z4277" t="s">
        <v>77</v>
      </c>
      <c r="AA4277" t="str">
        <f>"10029-6542"</f>
        <v>10029-6542</v>
      </c>
      <c r="AB4277" t="s">
        <v>78</v>
      </c>
      <c r="AC4277" t="s">
        <v>79</v>
      </c>
      <c r="AD4277" t="s">
        <v>75</v>
      </c>
      <c r="AE4277" t="s">
        <v>80</v>
      </c>
      <c r="AG4277" t="s">
        <v>81</v>
      </c>
    </row>
    <row r="4278" spans="1:33" x14ac:dyDescent="0.25">
      <c r="A4278" t="str">
        <f>"1609051143"</f>
        <v>1609051143</v>
      </c>
      <c r="B4278" t="str">
        <f>"02938365"</f>
        <v>02938365</v>
      </c>
      <c r="C4278" t="s">
        <v>13436</v>
      </c>
      <c r="D4278" t="s">
        <v>22387</v>
      </c>
      <c r="E4278" t="s">
        <v>22388</v>
      </c>
      <c r="G4278" t="s">
        <v>22389</v>
      </c>
      <c r="L4278" t="s">
        <v>84</v>
      </c>
      <c r="M4278" t="s">
        <v>75</v>
      </c>
      <c r="R4278" t="s">
        <v>22390</v>
      </c>
      <c r="W4278" t="s">
        <v>22388</v>
      </c>
      <c r="X4278" t="s">
        <v>22391</v>
      </c>
      <c r="Y4278" t="s">
        <v>97</v>
      </c>
      <c r="Z4278" t="s">
        <v>77</v>
      </c>
      <c r="AA4278" t="str">
        <f>"10029"</f>
        <v>10029</v>
      </c>
      <c r="AB4278" t="s">
        <v>78</v>
      </c>
      <c r="AC4278" t="s">
        <v>79</v>
      </c>
      <c r="AD4278" t="s">
        <v>75</v>
      </c>
      <c r="AE4278" t="s">
        <v>80</v>
      </c>
      <c r="AG4278" t="s">
        <v>81</v>
      </c>
    </row>
    <row r="4279" spans="1:33" x14ac:dyDescent="0.25">
      <c r="A4279" t="str">
        <f>"1609853472"</f>
        <v>1609853472</v>
      </c>
      <c r="B4279" t="str">
        <f>"02512563"</f>
        <v>02512563</v>
      </c>
      <c r="C4279" t="s">
        <v>13436</v>
      </c>
      <c r="D4279" t="s">
        <v>22392</v>
      </c>
      <c r="E4279" t="s">
        <v>22393</v>
      </c>
      <c r="G4279" t="s">
        <v>22394</v>
      </c>
      <c r="L4279" t="s">
        <v>74</v>
      </c>
      <c r="M4279" t="s">
        <v>75</v>
      </c>
      <c r="R4279" t="s">
        <v>22395</v>
      </c>
      <c r="W4279" t="s">
        <v>22393</v>
      </c>
      <c r="X4279" t="s">
        <v>22396</v>
      </c>
      <c r="Y4279" t="s">
        <v>97</v>
      </c>
      <c r="Z4279" t="s">
        <v>77</v>
      </c>
      <c r="AA4279" t="str">
        <f>"10025-1716"</f>
        <v>10025-1716</v>
      </c>
      <c r="AB4279" t="s">
        <v>78</v>
      </c>
      <c r="AC4279" t="s">
        <v>79</v>
      </c>
      <c r="AD4279" t="s">
        <v>75</v>
      </c>
      <c r="AE4279" t="s">
        <v>80</v>
      </c>
      <c r="AG4279" t="s">
        <v>81</v>
      </c>
    </row>
    <row r="4280" spans="1:33" x14ac:dyDescent="0.25">
      <c r="A4280" t="str">
        <f>"1619271053"</f>
        <v>1619271053</v>
      </c>
      <c r="C4280" t="s">
        <v>13436</v>
      </c>
      <c r="G4280" t="s">
        <v>22397</v>
      </c>
      <c r="K4280" t="s">
        <v>99</v>
      </c>
      <c r="L4280" t="s">
        <v>102</v>
      </c>
      <c r="M4280" t="s">
        <v>75</v>
      </c>
      <c r="R4280" t="s">
        <v>22398</v>
      </c>
      <c r="S4280" t="s">
        <v>22399</v>
      </c>
      <c r="T4280" t="s">
        <v>87</v>
      </c>
      <c r="U4280" t="s">
        <v>77</v>
      </c>
      <c r="V4280" t="str">
        <f>"11239"</f>
        <v>11239</v>
      </c>
      <c r="AC4280" t="s">
        <v>79</v>
      </c>
      <c r="AD4280" t="s">
        <v>75</v>
      </c>
      <c r="AE4280" t="s">
        <v>103</v>
      </c>
      <c r="AG4280" t="s">
        <v>81</v>
      </c>
    </row>
    <row r="4281" spans="1:33" x14ac:dyDescent="0.25">
      <c r="A4281" t="str">
        <f>"1629050851"</f>
        <v>1629050851</v>
      </c>
      <c r="B4281" t="str">
        <f>"02598992"</f>
        <v>02598992</v>
      </c>
      <c r="C4281" t="s">
        <v>13436</v>
      </c>
      <c r="D4281" t="s">
        <v>22400</v>
      </c>
      <c r="E4281" t="s">
        <v>22401</v>
      </c>
      <c r="G4281" t="s">
        <v>22402</v>
      </c>
      <c r="L4281" t="s">
        <v>94</v>
      </c>
      <c r="M4281" t="s">
        <v>85</v>
      </c>
      <c r="R4281" t="s">
        <v>22403</v>
      </c>
      <c r="W4281" t="s">
        <v>22401</v>
      </c>
      <c r="X4281" t="s">
        <v>22404</v>
      </c>
      <c r="Y4281" t="s">
        <v>87</v>
      </c>
      <c r="Z4281" t="s">
        <v>77</v>
      </c>
      <c r="AA4281" t="str">
        <f>"11201-6004"</f>
        <v>11201-6004</v>
      </c>
      <c r="AB4281" t="s">
        <v>78</v>
      </c>
      <c r="AC4281" t="s">
        <v>79</v>
      </c>
      <c r="AD4281" t="s">
        <v>75</v>
      </c>
      <c r="AE4281" t="s">
        <v>80</v>
      </c>
      <c r="AG4281" t="s">
        <v>81</v>
      </c>
    </row>
    <row r="4282" spans="1:33" x14ac:dyDescent="0.25">
      <c r="A4282" t="str">
        <f>"1326132986"</f>
        <v>1326132986</v>
      </c>
      <c r="B4282" t="str">
        <f>"02078935"</f>
        <v>02078935</v>
      </c>
      <c r="C4282" t="s">
        <v>13436</v>
      </c>
      <c r="D4282" t="s">
        <v>22405</v>
      </c>
      <c r="E4282" t="s">
        <v>22406</v>
      </c>
      <c r="G4282" t="s">
        <v>22407</v>
      </c>
      <c r="L4282" t="s">
        <v>83</v>
      </c>
      <c r="M4282" t="s">
        <v>85</v>
      </c>
      <c r="R4282" t="s">
        <v>22408</v>
      </c>
      <c r="W4282" t="s">
        <v>22406</v>
      </c>
      <c r="X4282" t="s">
        <v>19359</v>
      </c>
      <c r="Y4282" t="s">
        <v>97</v>
      </c>
      <c r="Z4282" t="s">
        <v>77</v>
      </c>
      <c r="AA4282" t="str">
        <f>"10019-1104"</f>
        <v>10019-1104</v>
      </c>
      <c r="AB4282" t="s">
        <v>78</v>
      </c>
      <c r="AC4282" t="s">
        <v>79</v>
      </c>
      <c r="AD4282" t="s">
        <v>75</v>
      </c>
      <c r="AE4282" t="s">
        <v>80</v>
      </c>
      <c r="AG4282" t="s">
        <v>81</v>
      </c>
    </row>
    <row r="4283" spans="1:33" x14ac:dyDescent="0.25">
      <c r="A4283" t="str">
        <f>"1326135468"</f>
        <v>1326135468</v>
      </c>
      <c r="B4283" t="str">
        <f>"03082799"</f>
        <v>03082799</v>
      </c>
      <c r="C4283" t="s">
        <v>13436</v>
      </c>
      <c r="D4283" t="s">
        <v>22409</v>
      </c>
      <c r="E4283" t="s">
        <v>22410</v>
      </c>
      <c r="G4283" t="s">
        <v>22411</v>
      </c>
      <c r="L4283" t="s">
        <v>84</v>
      </c>
      <c r="M4283" t="s">
        <v>85</v>
      </c>
      <c r="R4283" t="s">
        <v>22412</v>
      </c>
      <c r="W4283" t="s">
        <v>22413</v>
      </c>
      <c r="X4283" t="s">
        <v>22414</v>
      </c>
      <c r="Y4283" t="s">
        <v>97</v>
      </c>
      <c r="Z4283" t="s">
        <v>77</v>
      </c>
      <c r="AA4283" t="str">
        <f>"10010-6521"</f>
        <v>10010-6521</v>
      </c>
      <c r="AB4283" t="s">
        <v>78</v>
      </c>
      <c r="AC4283" t="s">
        <v>79</v>
      </c>
      <c r="AD4283" t="s">
        <v>75</v>
      </c>
      <c r="AE4283" t="s">
        <v>80</v>
      </c>
      <c r="AG4283" t="s">
        <v>81</v>
      </c>
    </row>
    <row r="4284" spans="1:33" x14ac:dyDescent="0.25">
      <c r="A4284" t="str">
        <f>"1336178581"</f>
        <v>1336178581</v>
      </c>
      <c r="B4284" t="str">
        <f>"01454599"</f>
        <v>01454599</v>
      </c>
      <c r="C4284" t="s">
        <v>13436</v>
      </c>
      <c r="D4284" t="s">
        <v>22415</v>
      </c>
      <c r="E4284" t="s">
        <v>22416</v>
      </c>
      <c r="G4284" t="s">
        <v>22417</v>
      </c>
      <c r="L4284" t="s">
        <v>83</v>
      </c>
      <c r="M4284" t="s">
        <v>85</v>
      </c>
      <c r="R4284" t="s">
        <v>22418</v>
      </c>
      <c r="W4284" t="s">
        <v>22419</v>
      </c>
      <c r="X4284" t="s">
        <v>14871</v>
      </c>
      <c r="Y4284" t="s">
        <v>97</v>
      </c>
      <c r="Z4284" t="s">
        <v>77</v>
      </c>
      <c r="AA4284" t="str">
        <f>"10003"</f>
        <v>10003</v>
      </c>
      <c r="AB4284" t="s">
        <v>78</v>
      </c>
      <c r="AC4284" t="s">
        <v>79</v>
      </c>
      <c r="AD4284" t="s">
        <v>75</v>
      </c>
      <c r="AE4284" t="s">
        <v>80</v>
      </c>
      <c r="AG4284" t="s">
        <v>81</v>
      </c>
    </row>
    <row r="4285" spans="1:33" x14ac:dyDescent="0.25">
      <c r="A4285" t="str">
        <f>"1336214162"</f>
        <v>1336214162</v>
      </c>
      <c r="B4285" t="str">
        <f>"01675290"</f>
        <v>01675290</v>
      </c>
      <c r="C4285" t="s">
        <v>13436</v>
      </c>
      <c r="D4285" t="s">
        <v>1007</v>
      </c>
      <c r="E4285" t="s">
        <v>1008</v>
      </c>
      <c r="G4285" t="s">
        <v>22420</v>
      </c>
      <c r="L4285" t="s">
        <v>84</v>
      </c>
      <c r="M4285" t="s">
        <v>85</v>
      </c>
      <c r="R4285" t="s">
        <v>1009</v>
      </c>
      <c r="W4285" t="s">
        <v>1008</v>
      </c>
      <c r="X4285" t="s">
        <v>1010</v>
      </c>
      <c r="Y4285" t="s">
        <v>97</v>
      </c>
      <c r="Z4285" t="s">
        <v>77</v>
      </c>
      <c r="AA4285" t="str">
        <f>"10035-3832"</f>
        <v>10035-3832</v>
      </c>
      <c r="AB4285" t="s">
        <v>78</v>
      </c>
      <c r="AC4285" t="s">
        <v>79</v>
      </c>
      <c r="AD4285" t="s">
        <v>75</v>
      </c>
      <c r="AE4285" t="s">
        <v>80</v>
      </c>
      <c r="AG4285" t="s">
        <v>81</v>
      </c>
    </row>
    <row r="4286" spans="1:33" x14ac:dyDescent="0.25">
      <c r="A4286" t="str">
        <f>"1336295104"</f>
        <v>1336295104</v>
      </c>
      <c r="B4286" t="str">
        <f>"02298002"</f>
        <v>02298002</v>
      </c>
      <c r="C4286" t="s">
        <v>13436</v>
      </c>
      <c r="D4286" t="s">
        <v>22421</v>
      </c>
      <c r="E4286" t="s">
        <v>22422</v>
      </c>
      <c r="G4286" t="s">
        <v>22423</v>
      </c>
      <c r="L4286" t="s">
        <v>84</v>
      </c>
      <c r="M4286" t="s">
        <v>85</v>
      </c>
      <c r="R4286" t="s">
        <v>22424</v>
      </c>
      <c r="W4286" t="s">
        <v>22422</v>
      </c>
      <c r="X4286" t="s">
        <v>2643</v>
      </c>
      <c r="Y4286" t="s">
        <v>152</v>
      </c>
      <c r="Z4286" t="s">
        <v>77</v>
      </c>
      <c r="AA4286" t="str">
        <f>"11375-3037"</f>
        <v>11375-3037</v>
      </c>
      <c r="AB4286" t="s">
        <v>78</v>
      </c>
      <c r="AC4286" t="s">
        <v>79</v>
      </c>
      <c r="AD4286" t="s">
        <v>75</v>
      </c>
      <c r="AE4286" t="s">
        <v>80</v>
      </c>
      <c r="AG4286" t="s">
        <v>81</v>
      </c>
    </row>
    <row r="4287" spans="1:33" x14ac:dyDescent="0.25">
      <c r="A4287" t="str">
        <f>"1346309853"</f>
        <v>1346309853</v>
      </c>
      <c r="B4287" t="str">
        <f>"00468731"</f>
        <v>00468731</v>
      </c>
      <c r="C4287" t="s">
        <v>13436</v>
      </c>
      <c r="D4287" t="s">
        <v>22425</v>
      </c>
      <c r="E4287" t="s">
        <v>22426</v>
      </c>
      <c r="G4287" t="s">
        <v>22427</v>
      </c>
      <c r="L4287" t="s">
        <v>83</v>
      </c>
      <c r="M4287" t="s">
        <v>85</v>
      </c>
      <c r="R4287" t="s">
        <v>22428</v>
      </c>
      <c r="W4287" t="s">
        <v>22429</v>
      </c>
      <c r="X4287" t="s">
        <v>22430</v>
      </c>
      <c r="Y4287" t="s">
        <v>97</v>
      </c>
      <c r="Z4287" t="s">
        <v>77</v>
      </c>
      <c r="AA4287" t="str">
        <f>"10023-7205"</f>
        <v>10023-7205</v>
      </c>
      <c r="AB4287" t="s">
        <v>78</v>
      </c>
      <c r="AC4287" t="s">
        <v>79</v>
      </c>
      <c r="AD4287" t="s">
        <v>75</v>
      </c>
      <c r="AE4287" t="s">
        <v>80</v>
      </c>
      <c r="AG4287" t="s">
        <v>81</v>
      </c>
    </row>
    <row r="4288" spans="1:33" x14ac:dyDescent="0.25">
      <c r="A4288" t="str">
        <f>"1629031208"</f>
        <v>1629031208</v>
      </c>
      <c r="B4288" t="str">
        <f>"01636575"</f>
        <v>01636575</v>
      </c>
      <c r="C4288" t="s">
        <v>13436</v>
      </c>
      <c r="D4288" t="s">
        <v>1206</v>
      </c>
      <c r="E4288" t="s">
        <v>1207</v>
      </c>
      <c r="G4288" t="s">
        <v>22431</v>
      </c>
      <c r="L4288" t="s">
        <v>84</v>
      </c>
      <c r="M4288" t="s">
        <v>85</v>
      </c>
      <c r="R4288" t="s">
        <v>1208</v>
      </c>
      <c r="W4288" t="s">
        <v>1207</v>
      </c>
      <c r="X4288" t="s">
        <v>1209</v>
      </c>
      <c r="Y4288" t="s">
        <v>139</v>
      </c>
      <c r="Z4288" t="s">
        <v>77</v>
      </c>
      <c r="AA4288" t="str">
        <f>"11355-5816"</f>
        <v>11355-5816</v>
      </c>
      <c r="AB4288" t="s">
        <v>78</v>
      </c>
      <c r="AC4288" t="s">
        <v>79</v>
      </c>
      <c r="AD4288" t="s">
        <v>75</v>
      </c>
      <c r="AE4288" t="s">
        <v>80</v>
      </c>
      <c r="AG4288" t="s">
        <v>81</v>
      </c>
    </row>
    <row r="4289" spans="1:33" x14ac:dyDescent="0.25">
      <c r="A4289" t="str">
        <f>"1568588416"</f>
        <v>1568588416</v>
      </c>
      <c r="B4289" t="str">
        <f>"03037932"</f>
        <v>03037932</v>
      </c>
      <c r="C4289" t="s">
        <v>13436</v>
      </c>
      <c r="D4289" t="s">
        <v>22432</v>
      </c>
      <c r="E4289" t="s">
        <v>22433</v>
      </c>
      <c r="G4289" t="s">
        <v>22434</v>
      </c>
      <c r="L4289" t="s">
        <v>83</v>
      </c>
      <c r="M4289" t="s">
        <v>85</v>
      </c>
      <c r="R4289" t="s">
        <v>22435</v>
      </c>
      <c r="W4289" t="s">
        <v>22436</v>
      </c>
      <c r="X4289" t="s">
        <v>22437</v>
      </c>
      <c r="Y4289" t="s">
        <v>97</v>
      </c>
      <c r="Z4289" t="s">
        <v>77</v>
      </c>
      <c r="AA4289" t="str">
        <f>"10003-3314"</f>
        <v>10003-3314</v>
      </c>
      <c r="AB4289" t="s">
        <v>78</v>
      </c>
      <c r="AC4289" t="s">
        <v>79</v>
      </c>
      <c r="AD4289" t="s">
        <v>75</v>
      </c>
      <c r="AE4289" t="s">
        <v>80</v>
      </c>
      <c r="AG4289" t="s">
        <v>81</v>
      </c>
    </row>
    <row r="4290" spans="1:33" x14ac:dyDescent="0.25">
      <c r="A4290" t="str">
        <f>"1518174978"</f>
        <v>1518174978</v>
      </c>
      <c r="B4290" t="str">
        <f>"03107646"</f>
        <v>03107646</v>
      </c>
      <c r="C4290" t="s">
        <v>13436</v>
      </c>
      <c r="D4290" t="s">
        <v>22438</v>
      </c>
      <c r="E4290" t="s">
        <v>22439</v>
      </c>
      <c r="G4290" t="s">
        <v>22440</v>
      </c>
      <c r="L4290" t="s">
        <v>83</v>
      </c>
      <c r="M4290" t="s">
        <v>85</v>
      </c>
      <c r="R4290" t="s">
        <v>22441</v>
      </c>
      <c r="W4290" t="s">
        <v>22442</v>
      </c>
      <c r="X4290" t="s">
        <v>181</v>
      </c>
      <c r="Y4290" t="s">
        <v>97</v>
      </c>
      <c r="Z4290" t="s">
        <v>77</v>
      </c>
      <c r="AA4290" t="str">
        <f>"10025-1716"</f>
        <v>10025-1716</v>
      </c>
      <c r="AB4290" t="s">
        <v>78</v>
      </c>
      <c r="AC4290" t="s">
        <v>79</v>
      </c>
      <c r="AD4290" t="s">
        <v>75</v>
      </c>
      <c r="AE4290" t="s">
        <v>80</v>
      </c>
      <c r="AG4290" t="s">
        <v>81</v>
      </c>
    </row>
    <row r="4291" spans="1:33" x14ac:dyDescent="0.25">
      <c r="A4291" t="str">
        <f>"1518903210"</f>
        <v>1518903210</v>
      </c>
      <c r="B4291" t="str">
        <f>"01450600"</f>
        <v>01450600</v>
      </c>
      <c r="C4291" t="s">
        <v>13436</v>
      </c>
      <c r="D4291" t="s">
        <v>22443</v>
      </c>
      <c r="E4291" t="s">
        <v>22444</v>
      </c>
      <c r="G4291" t="s">
        <v>22445</v>
      </c>
      <c r="L4291" t="s">
        <v>83</v>
      </c>
      <c r="M4291" t="s">
        <v>85</v>
      </c>
      <c r="R4291" t="s">
        <v>4148</v>
      </c>
      <c r="W4291" t="s">
        <v>22444</v>
      </c>
      <c r="X4291" t="s">
        <v>22446</v>
      </c>
      <c r="Y4291" t="s">
        <v>139</v>
      </c>
      <c r="Z4291" t="s">
        <v>77</v>
      </c>
      <c r="AA4291" t="str">
        <f>"11355-2205"</f>
        <v>11355-2205</v>
      </c>
      <c r="AB4291" t="s">
        <v>78</v>
      </c>
      <c r="AC4291" t="s">
        <v>79</v>
      </c>
      <c r="AD4291" t="s">
        <v>75</v>
      </c>
      <c r="AE4291" t="s">
        <v>80</v>
      </c>
      <c r="AG4291" t="s">
        <v>81</v>
      </c>
    </row>
    <row r="4292" spans="1:33" x14ac:dyDescent="0.25">
      <c r="A4292" t="str">
        <f>"1518930148"</f>
        <v>1518930148</v>
      </c>
      <c r="B4292" t="str">
        <f>"01998296"</f>
        <v>01998296</v>
      </c>
      <c r="C4292" t="s">
        <v>13436</v>
      </c>
      <c r="D4292" t="s">
        <v>22447</v>
      </c>
      <c r="E4292" t="s">
        <v>22448</v>
      </c>
      <c r="G4292" t="s">
        <v>22449</v>
      </c>
      <c r="L4292" t="s">
        <v>84</v>
      </c>
      <c r="M4292" t="s">
        <v>85</v>
      </c>
      <c r="R4292" t="s">
        <v>22450</v>
      </c>
      <c r="W4292" t="s">
        <v>22448</v>
      </c>
      <c r="X4292" t="s">
        <v>14583</v>
      </c>
      <c r="Y4292" t="s">
        <v>97</v>
      </c>
      <c r="Z4292" t="s">
        <v>77</v>
      </c>
      <c r="AA4292" t="str">
        <f>"10016-4337"</f>
        <v>10016-4337</v>
      </c>
      <c r="AB4292" t="s">
        <v>78</v>
      </c>
      <c r="AC4292" t="s">
        <v>79</v>
      </c>
      <c r="AD4292" t="s">
        <v>75</v>
      </c>
      <c r="AE4292" t="s">
        <v>80</v>
      </c>
      <c r="AG4292" t="s">
        <v>81</v>
      </c>
    </row>
    <row r="4293" spans="1:33" x14ac:dyDescent="0.25">
      <c r="A4293" t="str">
        <f>"1518930189"</f>
        <v>1518930189</v>
      </c>
      <c r="B4293" t="str">
        <f>"02742161"</f>
        <v>02742161</v>
      </c>
      <c r="C4293" t="s">
        <v>13436</v>
      </c>
      <c r="D4293" t="s">
        <v>22451</v>
      </c>
      <c r="E4293" t="s">
        <v>22452</v>
      </c>
      <c r="G4293" t="s">
        <v>22453</v>
      </c>
      <c r="L4293" t="s">
        <v>74</v>
      </c>
      <c r="M4293" t="s">
        <v>85</v>
      </c>
      <c r="R4293" t="s">
        <v>22454</v>
      </c>
      <c r="W4293" t="s">
        <v>22454</v>
      </c>
      <c r="X4293" t="s">
        <v>258</v>
      </c>
      <c r="Y4293" t="s">
        <v>131</v>
      </c>
      <c r="Z4293" t="s">
        <v>77</v>
      </c>
      <c r="AA4293" t="str">
        <f>"10467-2401"</f>
        <v>10467-2401</v>
      </c>
      <c r="AB4293" t="s">
        <v>78</v>
      </c>
      <c r="AC4293" t="s">
        <v>79</v>
      </c>
      <c r="AD4293" t="s">
        <v>75</v>
      </c>
      <c r="AE4293" t="s">
        <v>80</v>
      </c>
      <c r="AG4293" t="s">
        <v>81</v>
      </c>
    </row>
    <row r="4294" spans="1:33" x14ac:dyDescent="0.25">
      <c r="A4294" t="str">
        <f>"1528011103"</f>
        <v>1528011103</v>
      </c>
      <c r="B4294" t="str">
        <f>"02674000"</f>
        <v>02674000</v>
      </c>
      <c r="C4294" t="s">
        <v>13436</v>
      </c>
      <c r="D4294" t="s">
        <v>22455</v>
      </c>
      <c r="E4294" t="s">
        <v>22456</v>
      </c>
      <c r="G4294" t="s">
        <v>22457</v>
      </c>
      <c r="L4294" t="s">
        <v>84</v>
      </c>
      <c r="M4294" t="s">
        <v>85</v>
      </c>
      <c r="R4294" t="s">
        <v>22458</v>
      </c>
      <c r="W4294" t="s">
        <v>22456</v>
      </c>
      <c r="X4294" t="s">
        <v>191</v>
      </c>
      <c r="Y4294" t="s">
        <v>97</v>
      </c>
      <c r="Z4294" t="s">
        <v>77</v>
      </c>
      <c r="AA4294" t="str">
        <f>"10019-1147"</f>
        <v>10019-1147</v>
      </c>
      <c r="AB4294" t="s">
        <v>78</v>
      </c>
      <c r="AC4294" t="s">
        <v>79</v>
      </c>
      <c r="AD4294" t="s">
        <v>75</v>
      </c>
      <c r="AE4294" t="s">
        <v>80</v>
      </c>
      <c r="AG4294" t="s">
        <v>81</v>
      </c>
    </row>
    <row r="4295" spans="1:33" x14ac:dyDescent="0.25">
      <c r="A4295" t="str">
        <f>"1851456966"</f>
        <v>1851456966</v>
      </c>
      <c r="B4295" t="str">
        <f>"03519362"</f>
        <v>03519362</v>
      </c>
      <c r="C4295" t="s">
        <v>22459</v>
      </c>
      <c r="D4295" t="s">
        <v>22460</v>
      </c>
      <c r="E4295" t="s">
        <v>22461</v>
      </c>
      <c r="G4295" t="s">
        <v>7218</v>
      </c>
      <c r="H4295" t="s">
        <v>6801</v>
      </c>
      <c r="I4295">
        <v>6136</v>
      </c>
      <c r="J4295" t="s">
        <v>7219</v>
      </c>
      <c r="L4295" t="s">
        <v>74</v>
      </c>
      <c r="M4295" t="s">
        <v>75</v>
      </c>
      <c r="R4295" t="s">
        <v>22462</v>
      </c>
      <c r="W4295" t="s">
        <v>22461</v>
      </c>
      <c r="X4295" t="s">
        <v>9151</v>
      </c>
      <c r="Y4295" t="s">
        <v>97</v>
      </c>
      <c r="Z4295" t="s">
        <v>77</v>
      </c>
      <c r="AA4295" t="str">
        <f>"10001-2320"</f>
        <v>10001-2320</v>
      </c>
      <c r="AB4295" t="s">
        <v>113</v>
      </c>
      <c r="AC4295" t="s">
        <v>79</v>
      </c>
      <c r="AD4295" t="s">
        <v>75</v>
      </c>
      <c r="AE4295" t="s">
        <v>80</v>
      </c>
      <c r="AG4295" t="s">
        <v>81</v>
      </c>
    </row>
    <row r="4296" spans="1:33" x14ac:dyDescent="0.25">
      <c r="A4296" t="str">
        <f>"1851532584"</f>
        <v>1851532584</v>
      </c>
      <c r="C4296" t="s">
        <v>22463</v>
      </c>
      <c r="G4296" t="s">
        <v>7218</v>
      </c>
      <c r="H4296" t="s">
        <v>6801</v>
      </c>
      <c r="I4296">
        <v>6136</v>
      </c>
      <c r="J4296" t="s">
        <v>7219</v>
      </c>
      <c r="K4296" t="s">
        <v>99</v>
      </c>
      <c r="L4296" t="s">
        <v>102</v>
      </c>
      <c r="M4296" t="s">
        <v>75</v>
      </c>
      <c r="R4296" t="s">
        <v>22464</v>
      </c>
      <c r="S4296" t="s">
        <v>2997</v>
      </c>
      <c r="T4296" t="s">
        <v>87</v>
      </c>
      <c r="U4296" t="s">
        <v>77</v>
      </c>
      <c r="V4296" t="str">
        <f>"112014300"</f>
        <v>112014300</v>
      </c>
      <c r="AC4296" t="s">
        <v>79</v>
      </c>
      <c r="AD4296" t="s">
        <v>75</v>
      </c>
      <c r="AE4296" t="s">
        <v>103</v>
      </c>
      <c r="AG4296" t="s">
        <v>81</v>
      </c>
    </row>
    <row r="4297" spans="1:33" x14ac:dyDescent="0.25">
      <c r="A4297" t="str">
        <f>"1851541304"</f>
        <v>1851541304</v>
      </c>
      <c r="C4297" t="s">
        <v>22465</v>
      </c>
      <c r="G4297" t="s">
        <v>7218</v>
      </c>
      <c r="H4297" t="s">
        <v>6801</v>
      </c>
      <c r="I4297">
        <v>6136</v>
      </c>
      <c r="J4297" t="s">
        <v>7219</v>
      </c>
      <c r="K4297" t="s">
        <v>99</v>
      </c>
      <c r="L4297" t="s">
        <v>102</v>
      </c>
      <c r="M4297" t="s">
        <v>75</v>
      </c>
      <c r="R4297" t="s">
        <v>22466</v>
      </c>
      <c r="S4297" t="s">
        <v>8385</v>
      </c>
      <c r="T4297" t="s">
        <v>97</v>
      </c>
      <c r="U4297" t="s">
        <v>77</v>
      </c>
      <c r="V4297" t="str">
        <f>"100012320"</f>
        <v>100012320</v>
      </c>
      <c r="AC4297" t="s">
        <v>79</v>
      </c>
      <c r="AD4297" t="s">
        <v>75</v>
      </c>
      <c r="AE4297" t="s">
        <v>103</v>
      </c>
      <c r="AG4297" t="s">
        <v>81</v>
      </c>
    </row>
    <row r="4298" spans="1:33" x14ac:dyDescent="0.25">
      <c r="A4298" t="str">
        <f>"1851584031"</f>
        <v>1851584031</v>
      </c>
      <c r="B4298" t="str">
        <f>"03696059"</f>
        <v>03696059</v>
      </c>
      <c r="C4298" t="s">
        <v>22467</v>
      </c>
      <c r="D4298" t="s">
        <v>22468</v>
      </c>
      <c r="E4298" t="s">
        <v>22469</v>
      </c>
      <c r="G4298" t="s">
        <v>7218</v>
      </c>
      <c r="H4298" t="s">
        <v>6801</v>
      </c>
      <c r="I4298">
        <v>6136</v>
      </c>
      <c r="J4298" t="s">
        <v>7219</v>
      </c>
      <c r="L4298" t="s">
        <v>74</v>
      </c>
      <c r="M4298" t="s">
        <v>75</v>
      </c>
      <c r="R4298" t="s">
        <v>22470</v>
      </c>
      <c r="W4298" t="s">
        <v>22469</v>
      </c>
      <c r="X4298" t="s">
        <v>2997</v>
      </c>
      <c r="Y4298" t="s">
        <v>87</v>
      </c>
      <c r="Z4298" t="s">
        <v>77</v>
      </c>
      <c r="AA4298" t="str">
        <f>"11201-4333"</f>
        <v>11201-4333</v>
      </c>
      <c r="AB4298" t="s">
        <v>109</v>
      </c>
      <c r="AC4298" t="s">
        <v>79</v>
      </c>
      <c r="AD4298" t="s">
        <v>75</v>
      </c>
      <c r="AE4298" t="s">
        <v>80</v>
      </c>
      <c r="AG4298" t="s">
        <v>81</v>
      </c>
    </row>
    <row r="4299" spans="1:33" x14ac:dyDescent="0.25">
      <c r="A4299" t="str">
        <f>"1144398850"</f>
        <v>1144398850</v>
      </c>
      <c r="B4299" t="str">
        <f>"02080000"</f>
        <v>02080000</v>
      </c>
      <c r="C4299" t="s">
        <v>13436</v>
      </c>
      <c r="D4299" t="s">
        <v>22471</v>
      </c>
      <c r="E4299" t="s">
        <v>22472</v>
      </c>
      <c r="G4299" t="s">
        <v>22473</v>
      </c>
      <c r="L4299" t="s">
        <v>105</v>
      </c>
      <c r="M4299" t="s">
        <v>85</v>
      </c>
      <c r="R4299" t="s">
        <v>22474</v>
      </c>
      <c r="W4299" t="s">
        <v>22475</v>
      </c>
      <c r="X4299" t="s">
        <v>329</v>
      </c>
      <c r="Y4299" t="s">
        <v>97</v>
      </c>
      <c r="Z4299" t="s">
        <v>77</v>
      </c>
      <c r="AA4299" t="str">
        <f>"10029-6500"</f>
        <v>10029-6500</v>
      </c>
      <c r="AB4299" t="s">
        <v>78</v>
      </c>
      <c r="AC4299" t="s">
        <v>79</v>
      </c>
      <c r="AD4299" t="s">
        <v>75</v>
      </c>
      <c r="AE4299" t="s">
        <v>80</v>
      </c>
      <c r="AG4299" t="s">
        <v>81</v>
      </c>
    </row>
    <row r="4300" spans="1:33" x14ac:dyDescent="0.25">
      <c r="A4300" t="str">
        <f>"1154363323"</f>
        <v>1154363323</v>
      </c>
      <c r="B4300" t="str">
        <f>"02695641"</f>
        <v>02695641</v>
      </c>
      <c r="C4300" t="s">
        <v>13436</v>
      </c>
      <c r="D4300" t="s">
        <v>22476</v>
      </c>
      <c r="E4300" t="s">
        <v>22477</v>
      </c>
      <c r="G4300" t="s">
        <v>22478</v>
      </c>
      <c r="L4300" t="s">
        <v>84</v>
      </c>
      <c r="M4300" t="s">
        <v>75</v>
      </c>
      <c r="R4300" t="s">
        <v>22479</v>
      </c>
      <c r="W4300" t="s">
        <v>22477</v>
      </c>
      <c r="X4300" t="s">
        <v>22480</v>
      </c>
      <c r="Y4300" t="s">
        <v>97</v>
      </c>
      <c r="Z4300" t="s">
        <v>77</v>
      </c>
      <c r="AA4300" t="str">
        <f>"10010-4701"</f>
        <v>10010-4701</v>
      </c>
      <c r="AB4300" t="s">
        <v>78</v>
      </c>
      <c r="AC4300" t="s">
        <v>79</v>
      </c>
      <c r="AD4300" t="s">
        <v>75</v>
      </c>
      <c r="AE4300" t="s">
        <v>80</v>
      </c>
      <c r="AG4300" t="s">
        <v>81</v>
      </c>
    </row>
    <row r="4301" spans="1:33" x14ac:dyDescent="0.25">
      <c r="A4301" t="str">
        <f>"1649256264"</f>
        <v>1649256264</v>
      </c>
      <c r="B4301" t="str">
        <f>"03134416"</f>
        <v>03134416</v>
      </c>
      <c r="C4301" t="s">
        <v>22481</v>
      </c>
      <c r="D4301" t="s">
        <v>2161</v>
      </c>
      <c r="E4301" t="s">
        <v>2162</v>
      </c>
      <c r="G4301" t="s">
        <v>6513</v>
      </c>
      <c r="H4301" t="s">
        <v>6514</v>
      </c>
      <c r="J4301" t="s">
        <v>6515</v>
      </c>
      <c r="L4301" t="s">
        <v>83</v>
      </c>
      <c r="M4301" t="s">
        <v>85</v>
      </c>
      <c r="R4301" t="s">
        <v>2163</v>
      </c>
      <c r="W4301" t="s">
        <v>2164</v>
      </c>
      <c r="X4301" t="s">
        <v>1181</v>
      </c>
      <c r="Y4301" t="s">
        <v>131</v>
      </c>
      <c r="Z4301" t="s">
        <v>77</v>
      </c>
      <c r="AA4301" t="str">
        <f>"10456-4145"</f>
        <v>10456-4145</v>
      </c>
      <c r="AB4301" t="s">
        <v>78</v>
      </c>
      <c r="AC4301" t="s">
        <v>79</v>
      </c>
      <c r="AD4301" t="s">
        <v>75</v>
      </c>
      <c r="AE4301" t="s">
        <v>80</v>
      </c>
      <c r="AG4301" t="s">
        <v>81</v>
      </c>
    </row>
    <row r="4302" spans="1:33" x14ac:dyDescent="0.25">
      <c r="A4302" t="str">
        <f>"1194773960"</f>
        <v>1194773960</v>
      </c>
      <c r="B4302" t="str">
        <f>"02080679"</f>
        <v>02080679</v>
      </c>
      <c r="C4302" t="s">
        <v>22482</v>
      </c>
      <c r="D4302" t="s">
        <v>4178</v>
      </c>
      <c r="E4302" t="s">
        <v>4179</v>
      </c>
      <c r="G4302" t="s">
        <v>6513</v>
      </c>
      <c r="H4302" t="s">
        <v>6514</v>
      </c>
      <c r="J4302" t="s">
        <v>6515</v>
      </c>
      <c r="L4302" t="s">
        <v>83</v>
      </c>
      <c r="M4302" t="s">
        <v>85</v>
      </c>
      <c r="R4302" t="s">
        <v>4180</v>
      </c>
      <c r="W4302" t="s">
        <v>4179</v>
      </c>
      <c r="X4302" t="s">
        <v>1802</v>
      </c>
      <c r="Y4302" t="s">
        <v>131</v>
      </c>
      <c r="Z4302" t="s">
        <v>77</v>
      </c>
      <c r="AA4302" t="str">
        <f>"10456-4199"</f>
        <v>10456-4199</v>
      </c>
      <c r="AB4302" t="s">
        <v>78</v>
      </c>
      <c r="AC4302" t="s">
        <v>79</v>
      </c>
      <c r="AD4302" t="s">
        <v>75</v>
      </c>
      <c r="AE4302" t="s">
        <v>80</v>
      </c>
      <c r="AG4302" t="s">
        <v>81</v>
      </c>
    </row>
    <row r="4303" spans="1:33" x14ac:dyDescent="0.25">
      <c r="A4303" t="str">
        <f>"1275621245"</f>
        <v>1275621245</v>
      </c>
      <c r="B4303" t="str">
        <f>"01265145"</f>
        <v>01265145</v>
      </c>
      <c r="C4303" t="s">
        <v>22483</v>
      </c>
      <c r="D4303" t="s">
        <v>22484</v>
      </c>
      <c r="E4303" t="s">
        <v>22485</v>
      </c>
      <c r="G4303" t="s">
        <v>6513</v>
      </c>
      <c r="H4303" t="s">
        <v>6514</v>
      </c>
      <c r="J4303" t="s">
        <v>6515</v>
      </c>
      <c r="L4303" t="s">
        <v>83</v>
      </c>
      <c r="M4303" t="s">
        <v>85</v>
      </c>
      <c r="R4303" t="s">
        <v>22486</v>
      </c>
      <c r="W4303" t="s">
        <v>22485</v>
      </c>
      <c r="X4303" t="s">
        <v>22487</v>
      </c>
      <c r="Y4303" t="s">
        <v>97</v>
      </c>
      <c r="Z4303" t="s">
        <v>77</v>
      </c>
      <c r="AA4303" t="str">
        <f>"10019"</f>
        <v>10019</v>
      </c>
      <c r="AB4303" t="s">
        <v>78</v>
      </c>
      <c r="AC4303" t="s">
        <v>79</v>
      </c>
      <c r="AD4303" t="s">
        <v>75</v>
      </c>
      <c r="AE4303" t="s">
        <v>80</v>
      </c>
      <c r="AG4303" t="s">
        <v>81</v>
      </c>
    </row>
    <row r="4304" spans="1:33" x14ac:dyDescent="0.25">
      <c r="A4304" t="str">
        <f>"1558354308"</f>
        <v>1558354308</v>
      </c>
      <c r="B4304" t="str">
        <f>"02176052"</f>
        <v>02176052</v>
      </c>
      <c r="C4304" t="s">
        <v>13436</v>
      </c>
      <c r="D4304" t="s">
        <v>22488</v>
      </c>
      <c r="E4304" t="s">
        <v>22489</v>
      </c>
      <c r="G4304" t="s">
        <v>22490</v>
      </c>
      <c r="L4304" t="s">
        <v>84</v>
      </c>
      <c r="M4304" t="s">
        <v>85</v>
      </c>
      <c r="R4304" t="s">
        <v>22491</v>
      </c>
      <c r="W4304" t="s">
        <v>22489</v>
      </c>
      <c r="X4304" t="s">
        <v>181</v>
      </c>
      <c r="Y4304" t="s">
        <v>97</v>
      </c>
      <c r="Z4304" t="s">
        <v>77</v>
      </c>
      <c r="AA4304" t="str">
        <f>"10025-1716"</f>
        <v>10025-1716</v>
      </c>
      <c r="AB4304" t="s">
        <v>78</v>
      </c>
      <c r="AC4304" t="s">
        <v>79</v>
      </c>
      <c r="AD4304" t="s">
        <v>75</v>
      </c>
      <c r="AE4304" t="s">
        <v>80</v>
      </c>
      <c r="AG4304" t="s">
        <v>81</v>
      </c>
    </row>
    <row r="4305" spans="1:33" x14ac:dyDescent="0.25">
      <c r="A4305" t="str">
        <f>"1558360495"</f>
        <v>1558360495</v>
      </c>
      <c r="B4305" t="str">
        <f>"01017216"</f>
        <v>01017216</v>
      </c>
      <c r="C4305" t="s">
        <v>13436</v>
      </c>
      <c r="D4305" t="s">
        <v>22492</v>
      </c>
      <c r="E4305" t="s">
        <v>22493</v>
      </c>
      <c r="G4305" t="s">
        <v>22494</v>
      </c>
      <c r="L4305" t="s">
        <v>83</v>
      </c>
      <c r="M4305" t="s">
        <v>85</v>
      </c>
      <c r="R4305" t="s">
        <v>22495</v>
      </c>
      <c r="W4305" t="s">
        <v>22493</v>
      </c>
      <c r="X4305" t="s">
        <v>12648</v>
      </c>
      <c r="Y4305" t="s">
        <v>97</v>
      </c>
      <c r="Z4305" t="s">
        <v>77</v>
      </c>
      <c r="AA4305" t="str">
        <f>"10003"</f>
        <v>10003</v>
      </c>
      <c r="AB4305" t="s">
        <v>78</v>
      </c>
      <c r="AC4305" t="s">
        <v>79</v>
      </c>
      <c r="AD4305" t="s">
        <v>75</v>
      </c>
      <c r="AE4305" t="s">
        <v>80</v>
      </c>
      <c r="AG4305" t="s">
        <v>81</v>
      </c>
    </row>
    <row r="4306" spans="1:33" x14ac:dyDescent="0.25">
      <c r="A4306" t="str">
        <f>"1558518233"</f>
        <v>1558518233</v>
      </c>
      <c r="B4306" t="str">
        <f>"03241187"</f>
        <v>03241187</v>
      </c>
      <c r="C4306" t="s">
        <v>13436</v>
      </c>
      <c r="D4306" t="s">
        <v>22496</v>
      </c>
      <c r="E4306" t="s">
        <v>22497</v>
      </c>
      <c r="G4306" t="s">
        <v>22498</v>
      </c>
      <c r="L4306" t="s">
        <v>83</v>
      </c>
      <c r="M4306" t="s">
        <v>85</v>
      </c>
      <c r="R4306" t="s">
        <v>22499</v>
      </c>
      <c r="W4306" t="s">
        <v>22497</v>
      </c>
      <c r="X4306" t="s">
        <v>14826</v>
      </c>
      <c r="Y4306" t="s">
        <v>97</v>
      </c>
      <c r="Z4306" t="s">
        <v>77</v>
      </c>
      <c r="AA4306" t="str">
        <f>"10003-3851"</f>
        <v>10003-3851</v>
      </c>
      <c r="AB4306" t="s">
        <v>78</v>
      </c>
      <c r="AC4306" t="s">
        <v>79</v>
      </c>
      <c r="AD4306" t="s">
        <v>75</v>
      </c>
      <c r="AE4306" t="s">
        <v>80</v>
      </c>
      <c r="AG4306" t="s">
        <v>81</v>
      </c>
    </row>
    <row r="4307" spans="1:33" x14ac:dyDescent="0.25">
      <c r="A4307" t="str">
        <f>"1568425767"</f>
        <v>1568425767</v>
      </c>
      <c r="B4307" t="str">
        <f>"00994289"</f>
        <v>00994289</v>
      </c>
      <c r="C4307" t="s">
        <v>13436</v>
      </c>
      <c r="D4307" t="s">
        <v>22500</v>
      </c>
      <c r="E4307" t="s">
        <v>22501</v>
      </c>
      <c r="G4307" t="s">
        <v>22502</v>
      </c>
      <c r="L4307" t="s">
        <v>83</v>
      </c>
      <c r="M4307" t="s">
        <v>85</v>
      </c>
      <c r="R4307" t="s">
        <v>22503</v>
      </c>
      <c r="W4307" t="s">
        <v>22501</v>
      </c>
      <c r="X4307" t="s">
        <v>4628</v>
      </c>
      <c r="Y4307" t="s">
        <v>131</v>
      </c>
      <c r="Z4307" t="s">
        <v>77</v>
      </c>
      <c r="AA4307" t="str">
        <f>"10467-2702"</f>
        <v>10467-2702</v>
      </c>
      <c r="AB4307" t="s">
        <v>78</v>
      </c>
      <c r="AC4307" t="s">
        <v>79</v>
      </c>
      <c r="AD4307" t="s">
        <v>75</v>
      </c>
      <c r="AE4307" t="s">
        <v>80</v>
      </c>
      <c r="AG4307" t="s">
        <v>81</v>
      </c>
    </row>
    <row r="4308" spans="1:33" x14ac:dyDescent="0.25">
      <c r="A4308" t="str">
        <f>"1083810618"</f>
        <v>1083810618</v>
      </c>
      <c r="C4308" t="s">
        <v>22504</v>
      </c>
      <c r="G4308" t="s">
        <v>22504</v>
      </c>
      <c r="H4308" t="s">
        <v>22505</v>
      </c>
      <c r="K4308" t="s">
        <v>99</v>
      </c>
      <c r="L4308" t="s">
        <v>102</v>
      </c>
      <c r="M4308" t="s">
        <v>75</v>
      </c>
      <c r="R4308" t="s">
        <v>1994</v>
      </c>
      <c r="S4308" t="s">
        <v>1995</v>
      </c>
      <c r="T4308" t="s">
        <v>1818</v>
      </c>
      <c r="U4308" t="s">
        <v>77</v>
      </c>
      <c r="V4308" t="str">
        <f>"11787"</f>
        <v>11787</v>
      </c>
      <c r="AC4308" t="s">
        <v>79</v>
      </c>
      <c r="AD4308" t="s">
        <v>75</v>
      </c>
      <c r="AE4308" t="s">
        <v>103</v>
      </c>
      <c r="AG4308" t="s">
        <v>81</v>
      </c>
    </row>
    <row r="4309" spans="1:33" x14ac:dyDescent="0.25">
      <c r="A4309" t="str">
        <f>"1053579276"</f>
        <v>1053579276</v>
      </c>
      <c r="B4309" t="str">
        <f>"03120110"</f>
        <v>03120110</v>
      </c>
      <c r="C4309" t="s">
        <v>13436</v>
      </c>
      <c r="D4309" t="s">
        <v>22506</v>
      </c>
      <c r="E4309" t="s">
        <v>22507</v>
      </c>
      <c r="G4309" t="s">
        <v>22508</v>
      </c>
      <c r="L4309" t="s">
        <v>83</v>
      </c>
      <c r="M4309" t="s">
        <v>85</v>
      </c>
      <c r="R4309" t="s">
        <v>22509</v>
      </c>
      <c r="W4309" t="s">
        <v>22510</v>
      </c>
      <c r="X4309" t="s">
        <v>3553</v>
      </c>
      <c r="Y4309" t="s">
        <v>97</v>
      </c>
      <c r="Z4309" t="s">
        <v>77</v>
      </c>
      <c r="AA4309" t="str">
        <f>"10003-3851"</f>
        <v>10003-3851</v>
      </c>
      <c r="AB4309" t="s">
        <v>78</v>
      </c>
      <c r="AC4309" t="s">
        <v>79</v>
      </c>
      <c r="AD4309" t="s">
        <v>75</v>
      </c>
      <c r="AE4309" t="s">
        <v>80</v>
      </c>
      <c r="AG4309" t="s">
        <v>81</v>
      </c>
    </row>
    <row r="4310" spans="1:33" x14ac:dyDescent="0.25">
      <c r="A4310" t="str">
        <f>"1063401842"</f>
        <v>1063401842</v>
      </c>
      <c r="B4310" t="str">
        <f>"02166365"</f>
        <v>02166365</v>
      </c>
      <c r="C4310" t="s">
        <v>13436</v>
      </c>
      <c r="D4310" t="s">
        <v>22511</v>
      </c>
      <c r="E4310" t="s">
        <v>22512</v>
      </c>
      <c r="G4310" t="s">
        <v>22513</v>
      </c>
      <c r="L4310" t="s">
        <v>83</v>
      </c>
      <c r="M4310" t="s">
        <v>85</v>
      </c>
      <c r="R4310" t="s">
        <v>22514</v>
      </c>
      <c r="W4310" t="s">
        <v>22512</v>
      </c>
      <c r="X4310" t="s">
        <v>22515</v>
      </c>
      <c r="Y4310" t="s">
        <v>97</v>
      </c>
      <c r="Z4310" t="s">
        <v>77</v>
      </c>
      <c r="AA4310" t="str">
        <f>"10025-1737"</f>
        <v>10025-1737</v>
      </c>
      <c r="AB4310" t="s">
        <v>78</v>
      </c>
      <c r="AC4310" t="s">
        <v>79</v>
      </c>
      <c r="AD4310" t="s">
        <v>75</v>
      </c>
      <c r="AE4310" t="s">
        <v>80</v>
      </c>
      <c r="AG4310" t="s">
        <v>81</v>
      </c>
    </row>
    <row r="4311" spans="1:33" x14ac:dyDescent="0.25">
      <c r="A4311" t="str">
        <f>"1063460194"</f>
        <v>1063460194</v>
      </c>
      <c r="B4311" t="str">
        <f>"02443103"</f>
        <v>02443103</v>
      </c>
      <c r="C4311" t="s">
        <v>13436</v>
      </c>
      <c r="D4311" t="s">
        <v>22516</v>
      </c>
      <c r="E4311" t="s">
        <v>22517</v>
      </c>
      <c r="G4311" t="s">
        <v>22518</v>
      </c>
      <c r="L4311" t="s">
        <v>84</v>
      </c>
      <c r="M4311" t="s">
        <v>85</v>
      </c>
      <c r="R4311" t="s">
        <v>22519</v>
      </c>
      <c r="W4311" t="s">
        <v>22517</v>
      </c>
      <c r="X4311" t="s">
        <v>14583</v>
      </c>
      <c r="Y4311" t="s">
        <v>97</v>
      </c>
      <c r="Z4311" t="s">
        <v>77</v>
      </c>
      <c r="AA4311" t="str">
        <f>"10016-4337"</f>
        <v>10016-4337</v>
      </c>
      <c r="AB4311" t="s">
        <v>78</v>
      </c>
      <c r="AC4311" t="s">
        <v>79</v>
      </c>
      <c r="AD4311" t="s">
        <v>75</v>
      </c>
      <c r="AE4311" t="s">
        <v>80</v>
      </c>
      <c r="AG4311" t="s">
        <v>81</v>
      </c>
    </row>
    <row r="4312" spans="1:33" x14ac:dyDescent="0.25">
      <c r="A4312" t="str">
        <f>"1164855524"</f>
        <v>1164855524</v>
      </c>
      <c r="B4312" t="str">
        <f>"03865969"</f>
        <v>03865969</v>
      </c>
      <c r="C4312" t="s">
        <v>22520</v>
      </c>
      <c r="D4312" t="s">
        <v>1948</v>
      </c>
      <c r="E4312" t="s">
        <v>1949</v>
      </c>
      <c r="G4312" t="s">
        <v>22520</v>
      </c>
      <c r="H4312" t="s">
        <v>19336</v>
      </c>
      <c r="L4312" t="s">
        <v>74</v>
      </c>
      <c r="M4312" t="s">
        <v>75</v>
      </c>
      <c r="R4312" t="s">
        <v>1947</v>
      </c>
      <c r="W4312" t="s">
        <v>1949</v>
      </c>
      <c r="X4312" t="s">
        <v>1758</v>
      </c>
      <c r="Y4312" t="s">
        <v>1759</v>
      </c>
      <c r="Z4312" t="s">
        <v>77</v>
      </c>
      <c r="AA4312" t="str">
        <f>"11780-2117"</f>
        <v>11780-2117</v>
      </c>
      <c r="AB4312" t="s">
        <v>78</v>
      </c>
      <c r="AC4312" t="s">
        <v>79</v>
      </c>
      <c r="AD4312" t="s">
        <v>75</v>
      </c>
      <c r="AE4312" t="s">
        <v>80</v>
      </c>
      <c r="AG4312" t="s">
        <v>81</v>
      </c>
    </row>
    <row r="4313" spans="1:33" x14ac:dyDescent="0.25">
      <c r="A4313" t="str">
        <f>"1073664652"</f>
        <v>1073664652</v>
      </c>
      <c r="C4313" t="s">
        <v>13436</v>
      </c>
      <c r="G4313" t="s">
        <v>22521</v>
      </c>
      <c r="K4313" t="s">
        <v>99</v>
      </c>
      <c r="L4313" t="s">
        <v>74</v>
      </c>
      <c r="M4313" t="s">
        <v>85</v>
      </c>
      <c r="R4313" t="s">
        <v>22522</v>
      </c>
      <c r="S4313" t="s">
        <v>22523</v>
      </c>
      <c r="T4313" t="s">
        <v>97</v>
      </c>
      <c r="U4313" t="s">
        <v>77</v>
      </c>
      <c r="V4313" t="str">
        <f>"100191147"</f>
        <v>100191147</v>
      </c>
      <c r="AC4313" t="s">
        <v>79</v>
      </c>
      <c r="AD4313" t="s">
        <v>75</v>
      </c>
      <c r="AE4313" t="s">
        <v>103</v>
      </c>
      <c r="AG4313" t="s">
        <v>81</v>
      </c>
    </row>
    <row r="4314" spans="1:33" x14ac:dyDescent="0.25">
      <c r="A4314" t="str">
        <f>"1851310254"</f>
        <v>1851310254</v>
      </c>
      <c r="B4314" t="str">
        <f>"00226375"</f>
        <v>00226375</v>
      </c>
      <c r="C4314" t="s">
        <v>13436</v>
      </c>
      <c r="D4314" t="s">
        <v>22524</v>
      </c>
      <c r="E4314" t="s">
        <v>22525</v>
      </c>
      <c r="G4314" t="s">
        <v>22526</v>
      </c>
      <c r="L4314" t="s">
        <v>83</v>
      </c>
      <c r="M4314" t="s">
        <v>85</v>
      </c>
      <c r="R4314" t="s">
        <v>5778</v>
      </c>
      <c r="W4314" t="s">
        <v>22525</v>
      </c>
      <c r="X4314" t="s">
        <v>22527</v>
      </c>
      <c r="Y4314" t="s">
        <v>97</v>
      </c>
      <c r="Z4314" t="s">
        <v>77</v>
      </c>
      <c r="AA4314" t="str">
        <f>"10030-2802"</f>
        <v>10030-2802</v>
      </c>
      <c r="AB4314" t="s">
        <v>78</v>
      </c>
      <c r="AC4314" t="s">
        <v>79</v>
      </c>
      <c r="AD4314" t="s">
        <v>75</v>
      </c>
      <c r="AE4314" t="s">
        <v>80</v>
      </c>
      <c r="AG4314" t="s">
        <v>81</v>
      </c>
    </row>
    <row r="4315" spans="1:33" x14ac:dyDescent="0.25">
      <c r="A4315" t="str">
        <f>"1851327654"</f>
        <v>1851327654</v>
      </c>
      <c r="B4315" t="str">
        <f>"01474262"</f>
        <v>01474262</v>
      </c>
      <c r="C4315" t="s">
        <v>13436</v>
      </c>
      <c r="D4315" t="s">
        <v>5539</v>
      </c>
      <c r="E4315" t="s">
        <v>5540</v>
      </c>
      <c r="G4315" t="s">
        <v>22528</v>
      </c>
      <c r="L4315" t="s">
        <v>83</v>
      </c>
      <c r="M4315" t="s">
        <v>85</v>
      </c>
      <c r="R4315" t="s">
        <v>5541</v>
      </c>
      <c r="W4315" t="s">
        <v>5542</v>
      </c>
      <c r="X4315" t="s">
        <v>5543</v>
      </c>
      <c r="Y4315" t="s">
        <v>153</v>
      </c>
      <c r="Z4315" t="s">
        <v>77</v>
      </c>
      <c r="AA4315" t="str">
        <f>"12603-2416"</f>
        <v>12603-2416</v>
      </c>
      <c r="AB4315" t="s">
        <v>78</v>
      </c>
      <c r="AC4315" t="s">
        <v>79</v>
      </c>
      <c r="AD4315" t="s">
        <v>75</v>
      </c>
      <c r="AE4315" t="s">
        <v>80</v>
      </c>
      <c r="AG4315" t="s">
        <v>81</v>
      </c>
    </row>
    <row r="4316" spans="1:33" x14ac:dyDescent="0.25">
      <c r="A4316" t="str">
        <f>"1851473268"</f>
        <v>1851473268</v>
      </c>
      <c r="B4316" t="str">
        <f>"03267223"</f>
        <v>03267223</v>
      </c>
      <c r="C4316" t="s">
        <v>13436</v>
      </c>
      <c r="D4316" t="s">
        <v>22529</v>
      </c>
      <c r="E4316" t="s">
        <v>22530</v>
      </c>
      <c r="G4316" t="s">
        <v>22531</v>
      </c>
      <c r="L4316" t="s">
        <v>74</v>
      </c>
      <c r="M4316" t="s">
        <v>85</v>
      </c>
      <c r="R4316" t="s">
        <v>22530</v>
      </c>
      <c r="W4316" t="s">
        <v>22530</v>
      </c>
      <c r="X4316" t="s">
        <v>1170</v>
      </c>
      <c r="Y4316" t="s">
        <v>131</v>
      </c>
      <c r="Z4316" t="s">
        <v>77</v>
      </c>
      <c r="AA4316" t="str">
        <f>"10467-0000"</f>
        <v>10467-0000</v>
      </c>
      <c r="AB4316" t="s">
        <v>78</v>
      </c>
      <c r="AC4316" t="s">
        <v>79</v>
      </c>
      <c r="AD4316" t="s">
        <v>75</v>
      </c>
      <c r="AE4316" t="s">
        <v>80</v>
      </c>
      <c r="AG4316" t="s">
        <v>81</v>
      </c>
    </row>
    <row r="4317" spans="1:33" x14ac:dyDescent="0.25">
      <c r="A4317" t="str">
        <f>"1508848532"</f>
        <v>1508848532</v>
      </c>
      <c r="B4317" t="str">
        <f>"00374938"</f>
        <v>00374938</v>
      </c>
      <c r="C4317" t="s">
        <v>22532</v>
      </c>
      <c r="D4317" t="s">
        <v>2452</v>
      </c>
      <c r="E4317" t="s">
        <v>2453</v>
      </c>
      <c r="G4317" t="s">
        <v>22532</v>
      </c>
      <c r="H4317" t="s">
        <v>22533</v>
      </c>
      <c r="L4317" t="s">
        <v>102</v>
      </c>
      <c r="M4317" t="s">
        <v>75</v>
      </c>
      <c r="R4317" t="s">
        <v>2454</v>
      </c>
      <c r="W4317" t="s">
        <v>2455</v>
      </c>
      <c r="X4317" t="s">
        <v>2456</v>
      </c>
      <c r="Y4317" t="s">
        <v>198</v>
      </c>
      <c r="Z4317" t="s">
        <v>77</v>
      </c>
      <c r="AA4317" t="str">
        <f>"11542-1943"</f>
        <v>11542-1943</v>
      </c>
      <c r="AB4317" t="s">
        <v>136</v>
      </c>
      <c r="AC4317" t="s">
        <v>79</v>
      </c>
      <c r="AD4317" t="s">
        <v>75</v>
      </c>
      <c r="AE4317" t="s">
        <v>80</v>
      </c>
      <c r="AG4317" t="s">
        <v>81</v>
      </c>
    </row>
    <row r="4318" spans="1:33" x14ac:dyDescent="0.25">
      <c r="A4318" t="str">
        <f>"1285699041"</f>
        <v>1285699041</v>
      </c>
      <c r="B4318" t="str">
        <f>"01707446"</f>
        <v>01707446</v>
      </c>
      <c r="C4318" t="s">
        <v>22534</v>
      </c>
      <c r="D4318" t="s">
        <v>2458</v>
      </c>
      <c r="E4318" t="s">
        <v>2459</v>
      </c>
      <c r="G4318" t="s">
        <v>22534</v>
      </c>
      <c r="H4318" t="s">
        <v>22535</v>
      </c>
      <c r="J4318" t="s">
        <v>22536</v>
      </c>
      <c r="L4318" t="s">
        <v>84</v>
      </c>
      <c r="M4318" t="s">
        <v>75</v>
      </c>
      <c r="R4318" t="s">
        <v>2457</v>
      </c>
      <c r="W4318" t="s">
        <v>2459</v>
      </c>
      <c r="X4318" t="s">
        <v>2460</v>
      </c>
      <c r="Y4318" t="s">
        <v>219</v>
      </c>
      <c r="Z4318" t="s">
        <v>77</v>
      </c>
      <c r="AA4318" t="str">
        <f>"11701-2711"</f>
        <v>11701-2711</v>
      </c>
      <c r="AB4318" t="s">
        <v>78</v>
      </c>
      <c r="AC4318" t="s">
        <v>79</v>
      </c>
      <c r="AD4318" t="s">
        <v>75</v>
      </c>
      <c r="AE4318" t="s">
        <v>80</v>
      </c>
      <c r="AG4318" t="s">
        <v>81</v>
      </c>
    </row>
    <row r="4319" spans="1:33" x14ac:dyDescent="0.25">
      <c r="A4319" t="str">
        <f>"1063437051"</f>
        <v>1063437051</v>
      </c>
      <c r="B4319" t="str">
        <f>"02472131"</f>
        <v>02472131</v>
      </c>
      <c r="C4319" t="s">
        <v>22537</v>
      </c>
      <c r="D4319" t="s">
        <v>22538</v>
      </c>
      <c r="E4319" t="s">
        <v>22539</v>
      </c>
      <c r="G4319" t="s">
        <v>13504</v>
      </c>
      <c r="H4319" t="s">
        <v>13505</v>
      </c>
      <c r="J4319" t="s">
        <v>13506</v>
      </c>
      <c r="L4319" t="s">
        <v>83</v>
      </c>
      <c r="M4319" t="s">
        <v>75</v>
      </c>
      <c r="R4319" t="s">
        <v>22540</v>
      </c>
      <c r="W4319" t="s">
        <v>22539</v>
      </c>
      <c r="X4319" t="s">
        <v>22541</v>
      </c>
      <c r="Y4319" t="s">
        <v>155</v>
      </c>
      <c r="Z4319" t="s">
        <v>77</v>
      </c>
      <c r="AA4319" t="str">
        <f>"10305"</f>
        <v>10305</v>
      </c>
      <c r="AB4319" t="s">
        <v>78</v>
      </c>
      <c r="AC4319" t="s">
        <v>79</v>
      </c>
      <c r="AD4319" t="s">
        <v>75</v>
      </c>
      <c r="AE4319" t="s">
        <v>80</v>
      </c>
      <c r="AG4319" t="s">
        <v>81</v>
      </c>
    </row>
    <row r="4320" spans="1:33" x14ac:dyDescent="0.25">
      <c r="A4320" t="str">
        <f>"1467565499"</f>
        <v>1467565499</v>
      </c>
      <c r="B4320" t="str">
        <f>"02457858"</f>
        <v>02457858</v>
      </c>
      <c r="C4320" t="s">
        <v>22542</v>
      </c>
      <c r="D4320" t="s">
        <v>22543</v>
      </c>
      <c r="E4320" t="s">
        <v>22544</v>
      </c>
      <c r="G4320" t="s">
        <v>13504</v>
      </c>
      <c r="H4320" t="s">
        <v>13505</v>
      </c>
      <c r="J4320" t="s">
        <v>13506</v>
      </c>
      <c r="L4320" t="s">
        <v>83</v>
      </c>
      <c r="M4320" t="s">
        <v>75</v>
      </c>
      <c r="R4320" t="s">
        <v>22545</v>
      </c>
      <c r="W4320" t="s">
        <v>22544</v>
      </c>
      <c r="X4320" t="s">
        <v>22546</v>
      </c>
      <c r="Y4320" t="s">
        <v>87</v>
      </c>
      <c r="Z4320" t="s">
        <v>77</v>
      </c>
      <c r="AA4320" t="str">
        <f>"11201-5428"</f>
        <v>11201-5428</v>
      </c>
      <c r="AB4320" t="s">
        <v>78</v>
      </c>
      <c r="AC4320" t="s">
        <v>79</v>
      </c>
      <c r="AD4320" t="s">
        <v>75</v>
      </c>
      <c r="AE4320" t="s">
        <v>80</v>
      </c>
      <c r="AG4320" t="s">
        <v>81</v>
      </c>
    </row>
    <row r="4321" spans="1:33" x14ac:dyDescent="0.25">
      <c r="A4321" t="str">
        <f>"1134120983"</f>
        <v>1134120983</v>
      </c>
      <c r="B4321" t="str">
        <f>"02518165"</f>
        <v>02518165</v>
      </c>
      <c r="C4321" t="s">
        <v>22547</v>
      </c>
      <c r="D4321" t="s">
        <v>6045</v>
      </c>
      <c r="E4321" t="s">
        <v>6046</v>
      </c>
      <c r="G4321" t="s">
        <v>13504</v>
      </c>
      <c r="H4321" t="s">
        <v>13505</v>
      </c>
      <c r="J4321" t="s">
        <v>13506</v>
      </c>
      <c r="L4321" t="s">
        <v>83</v>
      </c>
      <c r="M4321" t="s">
        <v>85</v>
      </c>
      <c r="R4321" t="s">
        <v>6047</v>
      </c>
      <c r="W4321" t="s">
        <v>6046</v>
      </c>
      <c r="X4321" t="s">
        <v>258</v>
      </c>
      <c r="Y4321" t="s">
        <v>131</v>
      </c>
      <c r="Z4321" t="s">
        <v>77</v>
      </c>
      <c r="AA4321" t="str">
        <f>"10467-2401"</f>
        <v>10467-2401</v>
      </c>
      <c r="AB4321" t="s">
        <v>78</v>
      </c>
      <c r="AC4321" t="s">
        <v>79</v>
      </c>
      <c r="AD4321" t="s">
        <v>75</v>
      </c>
      <c r="AE4321" t="s">
        <v>80</v>
      </c>
      <c r="AG4321" t="s">
        <v>81</v>
      </c>
    </row>
    <row r="4322" spans="1:33" x14ac:dyDescent="0.25">
      <c r="A4322" t="str">
        <f>"1760551816"</f>
        <v>1760551816</v>
      </c>
      <c r="B4322" t="str">
        <f>"02142478"</f>
        <v>02142478</v>
      </c>
      <c r="C4322" t="s">
        <v>22548</v>
      </c>
      <c r="D4322" t="s">
        <v>22549</v>
      </c>
      <c r="E4322" t="s">
        <v>22550</v>
      </c>
      <c r="G4322" t="s">
        <v>13504</v>
      </c>
      <c r="H4322" t="s">
        <v>13505</v>
      </c>
      <c r="J4322" t="s">
        <v>13506</v>
      </c>
      <c r="L4322" t="s">
        <v>84</v>
      </c>
      <c r="M4322" t="s">
        <v>85</v>
      </c>
      <c r="R4322" t="s">
        <v>22551</v>
      </c>
      <c r="W4322" t="s">
        <v>22550</v>
      </c>
      <c r="X4322" t="s">
        <v>22552</v>
      </c>
      <c r="Y4322" t="s">
        <v>87</v>
      </c>
      <c r="Z4322" t="s">
        <v>77</v>
      </c>
      <c r="AA4322" t="str">
        <f>"11238-1350"</f>
        <v>11238-1350</v>
      </c>
      <c r="AB4322" t="s">
        <v>78</v>
      </c>
      <c r="AC4322" t="s">
        <v>79</v>
      </c>
      <c r="AD4322" t="s">
        <v>75</v>
      </c>
      <c r="AE4322" t="s">
        <v>80</v>
      </c>
      <c r="AG4322" t="s">
        <v>81</v>
      </c>
    </row>
    <row r="4323" spans="1:33" x14ac:dyDescent="0.25">
      <c r="A4323" t="str">
        <f>"1316940489"</f>
        <v>1316940489</v>
      </c>
      <c r="B4323" t="str">
        <f>"02164969"</f>
        <v>02164969</v>
      </c>
      <c r="C4323" t="s">
        <v>22553</v>
      </c>
      <c r="D4323" t="s">
        <v>22554</v>
      </c>
      <c r="E4323" t="s">
        <v>22555</v>
      </c>
      <c r="G4323" t="s">
        <v>13504</v>
      </c>
      <c r="H4323" t="s">
        <v>13505</v>
      </c>
      <c r="J4323" t="s">
        <v>13506</v>
      </c>
      <c r="L4323" t="s">
        <v>84</v>
      </c>
      <c r="M4323" t="s">
        <v>85</v>
      </c>
      <c r="R4323" t="s">
        <v>22556</v>
      </c>
      <c r="W4323" t="s">
        <v>22555</v>
      </c>
      <c r="X4323" t="s">
        <v>22557</v>
      </c>
      <c r="Y4323" t="s">
        <v>755</v>
      </c>
      <c r="Z4323" t="s">
        <v>77</v>
      </c>
      <c r="AA4323" t="str">
        <f>"13413"</f>
        <v>13413</v>
      </c>
      <c r="AB4323" t="s">
        <v>78</v>
      </c>
      <c r="AC4323" t="s">
        <v>79</v>
      </c>
      <c r="AD4323" t="s">
        <v>75</v>
      </c>
      <c r="AE4323" t="s">
        <v>80</v>
      </c>
      <c r="AG4323" t="s">
        <v>81</v>
      </c>
    </row>
    <row r="4324" spans="1:33" x14ac:dyDescent="0.25">
      <c r="A4324" t="str">
        <f>"1073589636"</f>
        <v>1073589636</v>
      </c>
      <c r="B4324" t="str">
        <f>"02711177"</f>
        <v>02711177</v>
      </c>
      <c r="C4324" t="s">
        <v>22558</v>
      </c>
      <c r="D4324" t="s">
        <v>22559</v>
      </c>
      <c r="E4324" t="s">
        <v>22560</v>
      </c>
      <c r="G4324" t="s">
        <v>13504</v>
      </c>
      <c r="H4324" t="s">
        <v>13505</v>
      </c>
      <c r="J4324" t="s">
        <v>13506</v>
      </c>
      <c r="L4324" t="s">
        <v>83</v>
      </c>
      <c r="M4324" t="s">
        <v>85</v>
      </c>
      <c r="R4324" t="s">
        <v>22561</v>
      </c>
      <c r="W4324" t="s">
        <v>22560</v>
      </c>
      <c r="X4324" t="s">
        <v>14826</v>
      </c>
      <c r="Y4324" t="s">
        <v>97</v>
      </c>
      <c r="Z4324" t="s">
        <v>77</v>
      </c>
      <c r="AA4324" t="str">
        <f>"10003"</f>
        <v>10003</v>
      </c>
      <c r="AB4324" t="s">
        <v>78</v>
      </c>
      <c r="AC4324" t="s">
        <v>79</v>
      </c>
      <c r="AD4324" t="s">
        <v>75</v>
      </c>
      <c r="AE4324" t="s">
        <v>80</v>
      </c>
      <c r="AG4324" t="s">
        <v>81</v>
      </c>
    </row>
    <row r="4325" spans="1:33" x14ac:dyDescent="0.25">
      <c r="A4325" t="str">
        <f>"1356397400"</f>
        <v>1356397400</v>
      </c>
      <c r="B4325" t="str">
        <f>"02277934"</f>
        <v>02277934</v>
      </c>
      <c r="C4325" t="s">
        <v>22562</v>
      </c>
      <c r="D4325" t="s">
        <v>22563</v>
      </c>
      <c r="E4325" t="s">
        <v>22564</v>
      </c>
      <c r="G4325" t="s">
        <v>13504</v>
      </c>
      <c r="H4325" t="s">
        <v>13505</v>
      </c>
      <c r="J4325" t="s">
        <v>13506</v>
      </c>
      <c r="L4325" t="s">
        <v>74</v>
      </c>
      <c r="M4325" t="s">
        <v>75</v>
      </c>
      <c r="R4325" t="s">
        <v>22565</v>
      </c>
      <c r="W4325" t="s">
        <v>22564</v>
      </c>
      <c r="X4325" t="s">
        <v>22566</v>
      </c>
      <c r="Y4325" t="s">
        <v>87</v>
      </c>
      <c r="Z4325" t="s">
        <v>77</v>
      </c>
      <c r="AA4325" t="str">
        <f>"11238-7500"</f>
        <v>11238-7500</v>
      </c>
      <c r="AB4325" t="s">
        <v>78</v>
      </c>
      <c r="AC4325" t="s">
        <v>79</v>
      </c>
      <c r="AD4325" t="s">
        <v>75</v>
      </c>
      <c r="AE4325" t="s">
        <v>80</v>
      </c>
      <c r="AG4325" t="s">
        <v>81</v>
      </c>
    </row>
    <row r="4326" spans="1:33" x14ac:dyDescent="0.25">
      <c r="A4326" t="str">
        <f>"1689601502"</f>
        <v>1689601502</v>
      </c>
      <c r="B4326" t="str">
        <f>"02670946"</f>
        <v>02670946</v>
      </c>
      <c r="C4326" t="s">
        <v>22567</v>
      </c>
      <c r="D4326" t="s">
        <v>22568</v>
      </c>
      <c r="E4326" t="s">
        <v>22569</v>
      </c>
      <c r="G4326" t="s">
        <v>13504</v>
      </c>
      <c r="H4326" t="s">
        <v>13505</v>
      </c>
      <c r="J4326" t="s">
        <v>13506</v>
      </c>
      <c r="L4326" t="s">
        <v>83</v>
      </c>
      <c r="M4326" t="s">
        <v>75</v>
      </c>
      <c r="R4326" t="s">
        <v>22570</v>
      </c>
      <c r="W4326" t="s">
        <v>22569</v>
      </c>
      <c r="X4326" t="s">
        <v>200</v>
      </c>
      <c r="Y4326" t="s">
        <v>97</v>
      </c>
      <c r="Z4326" t="s">
        <v>77</v>
      </c>
      <c r="AA4326" t="str">
        <f>"10032-3720"</f>
        <v>10032-3720</v>
      </c>
      <c r="AB4326" t="s">
        <v>78</v>
      </c>
      <c r="AC4326" t="s">
        <v>79</v>
      </c>
      <c r="AD4326" t="s">
        <v>75</v>
      </c>
      <c r="AE4326" t="s">
        <v>80</v>
      </c>
      <c r="AG4326" t="s">
        <v>81</v>
      </c>
    </row>
    <row r="4327" spans="1:33" x14ac:dyDescent="0.25">
      <c r="A4327" t="str">
        <f>"1821010653"</f>
        <v>1821010653</v>
      </c>
      <c r="B4327" t="str">
        <f>"02198612"</f>
        <v>02198612</v>
      </c>
      <c r="C4327" t="s">
        <v>22571</v>
      </c>
      <c r="D4327" t="s">
        <v>1334</v>
      </c>
      <c r="E4327" t="s">
        <v>1335</v>
      </c>
      <c r="G4327" t="s">
        <v>13504</v>
      </c>
      <c r="H4327" t="s">
        <v>13505</v>
      </c>
      <c r="J4327" t="s">
        <v>13506</v>
      </c>
      <c r="L4327" t="s">
        <v>84</v>
      </c>
      <c r="M4327" t="s">
        <v>85</v>
      </c>
      <c r="R4327" t="s">
        <v>1336</v>
      </c>
      <c r="W4327" t="s">
        <v>1335</v>
      </c>
      <c r="X4327" t="s">
        <v>1337</v>
      </c>
      <c r="Y4327" t="s">
        <v>87</v>
      </c>
      <c r="Z4327" t="s">
        <v>77</v>
      </c>
      <c r="AA4327" t="str">
        <f>"11209-8039"</f>
        <v>11209-8039</v>
      </c>
      <c r="AB4327" t="s">
        <v>78</v>
      </c>
      <c r="AC4327" t="s">
        <v>79</v>
      </c>
      <c r="AD4327" t="s">
        <v>75</v>
      </c>
      <c r="AE4327" t="s">
        <v>80</v>
      </c>
      <c r="AG4327" t="s">
        <v>81</v>
      </c>
    </row>
    <row r="4328" spans="1:33" x14ac:dyDescent="0.25">
      <c r="A4328" t="str">
        <f>"1033534516"</f>
        <v>1033534516</v>
      </c>
      <c r="B4328" t="str">
        <f>"03813430"</f>
        <v>03813430</v>
      </c>
      <c r="C4328" t="s">
        <v>22572</v>
      </c>
      <c r="D4328" t="s">
        <v>22573</v>
      </c>
      <c r="E4328" t="s">
        <v>22574</v>
      </c>
      <c r="G4328" t="s">
        <v>13504</v>
      </c>
      <c r="H4328" t="s">
        <v>13505</v>
      </c>
      <c r="J4328" t="s">
        <v>13506</v>
      </c>
      <c r="L4328" t="s">
        <v>74</v>
      </c>
      <c r="M4328" t="s">
        <v>75</v>
      </c>
      <c r="R4328" t="s">
        <v>22574</v>
      </c>
      <c r="W4328" t="s">
        <v>22574</v>
      </c>
      <c r="X4328" t="s">
        <v>202</v>
      </c>
      <c r="Y4328" t="s">
        <v>87</v>
      </c>
      <c r="Z4328" t="s">
        <v>77</v>
      </c>
      <c r="AA4328" t="str">
        <f>"11201-5425"</f>
        <v>11201-5425</v>
      </c>
      <c r="AB4328" t="s">
        <v>78</v>
      </c>
      <c r="AC4328" t="s">
        <v>79</v>
      </c>
      <c r="AD4328" t="s">
        <v>75</v>
      </c>
      <c r="AE4328" t="s">
        <v>80</v>
      </c>
      <c r="AG4328" t="s">
        <v>81</v>
      </c>
    </row>
    <row r="4329" spans="1:33" x14ac:dyDescent="0.25">
      <c r="A4329" t="str">
        <f>"1558569335"</f>
        <v>1558569335</v>
      </c>
      <c r="B4329" t="str">
        <f>"03346678"</f>
        <v>03346678</v>
      </c>
      <c r="C4329" t="s">
        <v>13436</v>
      </c>
      <c r="D4329" t="s">
        <v>22575</v>
      </c>
      <c r="E4329" t="s">
        <v>22576</v>
      </c>
      <c r="G4329" t="s">
        <v>22577</v>
      </c>
      <c r="L4329" t="s">
        <v>84</v>
      </c>
      <c r="M4329" t="s">
        <v>85</v>
      </c>
      <c r="R4329" t="s">
        <v>22576</v>
      </c>
      <c r="W4329" t="s">
        <v>22576</v>
      </c>
      <c r="X4329" t="s">
        <v>3228</v>
      </c>
      <c r="Y4329" t="s">
        <v>97</v>
      </c>
      <c r="Z4329" t="s">
        <v>77</v>
      </c>
      <c r="AA4329" t="str">
        <f>"10036-2904"</f>
        <v>10036-2904</v>
      </c>
      <c r="AB4329" t="s">
        <v>78</v>
      </c>
      <c r="AC4329" t="s">
        <v>79</v>
      </c>
      <c r="AD4329" t="s">
        <v>75</v>
      </c>
      <c r="AE4329" t="s">
        <v>80</v>
      </c>
      <c r="AG4329" t="s">
        <v>81</v>
      </c>
    </row>
    <row r="4330" spans="1:33" x14ac:dyDescent="0.25">
      <c r="A4330" t="str">
        <f>"1336161132"</f>
        <v>1336161132</v>
      </c>
      <c r="B4330" t="str">
        <f>"01551000"</f>
        <v>01551000</v>
      </c>
      <c r="C4330" t="s">
        <v>13436</v>
      </c>
      <c r="D4330" t="s">
        <v>22578</v>
      </c>
      <c r="E4330" t="s">
        <v>22579</v>
      </c>
      <c r="L4330" t="s">
        <v>83</v>
      </c>
      <c r="M4330" t="s">
        <v>85</v>
      </c>
      <c r="R4330" t="s">
        <v>22580</v>
      </c>
      <c r="W4330" t="s">
        <v>22579</v>
      </c>
      <c r="X4330" t="s">
        <v>1506</v>
      </c>
      <c r="Y4330" t="s">
        <v>87</v>
      </c>
      <c r="Z4330" t="s">
        <v>77</v>
      </c>
      <c r="AA4330" t="str">
        <f>"11201-5514"</f>
        <v>11201-5514</v>
      </c>
      <c r="AB4330" t="s">
        <v>78</v>
      </c>
      <c r="AC4330" t="s">
        <v>79</v>
      </c>
      <c r="AD4330" t="s">
        <v>75</v>
      </c>
      <c r="AE4330" t="s">
        <v>80</v>
      </c>
      <c r="AG4330" t="s">
        <v>81</v>
      </c>
    </row>
    <row r="4331" spans="1:33" x14ac:dyDescent="0.25">
      <c r="A4331" t="str">
        <f>"1770838583"</f>
        <v>1770838583</v>
      </c>
      <c r="B4331" t="str">
        <f>"03865950"</f>
        <v>03865950</v>
      </c>
      <c r="C4331" t="s">
        <v>22581</v>
      </c>
      <c r="D4331" t="s">
        <v>22582</v>
      </c>
      <c r="E4331" t="s">
        <v>22583</v>
      </c>
      <c r="G4331" t="s">
        <v>6513</v>
      </c>
      <c r="H4331" t="s">
        <v>6514</v>
      </c>
      <c r="J4331" t="s">
        <v>6515</v>
      </c>
      <c r="L4331" t="s">
        <v>74</v>
      </c>
      <c r="M4331" t="s">
        <v>75</v>
      </c>
      <c r="R4331" t="s">
        <v>22584</v>
      </c>
      <c r="W4331" t="s">
        <v>22583</v>
      </c>
      <c r="X4331" t="s">
        <v>2144</v>
      </c>
      <c r="Y4331" t="s">
        <v>87</v>
      </c>
      <c r="Z4331" t="s">
        <v>77</v>
      </c>
      <c r="AA4331" t="str">
        <f>"11235-6762"</f>
        <v>11235-6762</v>
      </c>
      <c r="AB4331" t="s">
        <v>78</v>
      </c>
      <c r="AC4331" t="s">
        <v>79</v>
      </c>
      <c r="AD4331" t="s">
        <v>75</v>
      </c>
      <c r="AE4331" t="s">
        <v>80</v>
      </c>
      <c r="AG4331" t="s">
        <v>81</v>
      </c>
    </row>
    <row r="4332" spans="1:33" x14ac:dyDescent="0.25">
      <c r="A4332" t="str">
        <f>"1033263413"</f>
        <v>1033263413</v>
      </c>
      <c r="B4332" t="str">
        <f>"01691547"</f>
        <v>01691547</v>
      </c>
      <c r="C4332" t="s">
        <v>13436</v>
      </c>
      <c r="D4332" t="s">
        <v>22585</v>
      </c>
      <c r="E4332" t="s">
        <v>22586</v>
      </c>
      <c r="G4332" t="s">
        <v>22587</v>
      </c>
      <c r="L4332" t="s">
        <v>74</v>
      </c>
      <c r="M4332" t="s">
        <v>85</v>
      </c>
      <c r="R4332" t="s">
        <v>22588</v>
      </c>
      <c r="W4332" t="s">
        <v>22586</v>
      </c>
      <c r="X4332" t="s">
        <v>181</v>
      </c>
      <c r="Y4332" t="s">
        <v>97</v>
      </c>
      <c r="Z4332" t="s">
        <v>77</v>
      </c>
      <c r="AA4332" t="str">
        <f>"10025-1716"</f>
        <v>10025-1716</v>
      </c>
      <c r="AB4332" t="s">
        <v>78</v>
      </c>
      <c r="AC4332" t="s">
        <v>79</v>
      </c>
      <c r="AD4332" t="s">
        <v>75</v>
      </c>
      <c r="AE4332" t="s">
        <v>80</v>
      </c>
      <c r="AG4332" t="s">
        <v>81</v>
      </c>
    </row>
    <row r="4333" spans="1:33" x14ac:dyDescent="0.25">
      <c r="A4333" t="str">
        <f>"1033264031"</f>
        <v>1033264031</v>
      </c>
      <c r="B4333" t="str">
        <f>"01626360"</f>
        <v>01626360</v>
      </c>
      <c r="C4333" t="s">
        <v>13436</v>
      </c>
      <c r="D4333" t="s">
        <v>22589</v>
      </c>
      <c r="E4333" t="s">
        <v>22590</v>
      </c>
      <c r="G4333" t="s">
        <v>22591</v>
      </c>
      <c r="L4333" t="s">
        <v>83</v>
      </c>
      <c r="M4333" t="s">
        <v>85</v>
      </c>
      <c r="R4333" t="s">
        <v>22592</v>
      </c>
      <c r="W4333" t="s">
        <v>22590</v>
      </c>
      <c r="X4333" t="s">
        <v>181</v>
      </c>
      <c r="Y4333" t="s">
        <v>97</v>
      </c>
      <c r="Z4333" t="s">
        <v>77</v>
      </c>
      <c r="AA4333" t="str">
        <f>"10025-1716"</f>
        <v>10025-1716</v>
      </c>
      <c r="AB4333" t="s">
        <v>78</v>
      </c>
      <c r="AC4333" t="s">
        <v>79</v>
      </c>
      <c r="AD4333" t="s">
        <v>75</v>
      </c>
      <c r="AE4333" t="s">
        <v>80</v>
      </c>
      <c r="AG4333" t="s">
        <v>81</v>
      </c>
    </row>
    <row r="4334" spans="1:33" x14ac:dyDescent="0.25">
      <c r="A4334" t="str">
        <f>"1033275359"</f>
        <v>1033275359</v>
      </c>
      <c r="B4334" t="str">
        <f>"01990312"</f>
        <v>01990312</v>
      </c>
      <c r="C4334" t="s">
        <v>13436</v>
      </c>
      <c r="D4334" t="s">
        <v>22593</v>
      </c>
      <c r="E4334" t="s">
        <v>22594</v>
      </c>
      <c r="G4334" t="s">
        <v>22595</v>
      </c>
      <c r="L4334" t="s">
        <v>83</v>
      </c>
      <c r="M4334" t="s">
        <v>85</v>
      </c>
      <c r="R4334" t="s">
        <v>22596</v>
      </c>
      <c r="W4334" t="s">
        <v>22594</v>
      </c>
      <c r="X4334" t="s">
        <v>3553</v>
      </c>
      <c r="Y4334" t="s">
        <v>97</v>
      </c>
      <c r="Z4334" t="s">
        <v>77</v>
      </c>
      <c r="AA4334" t="str">
        <f>"10003-3851"</f>
        <v>10003-3851</v>
      </c>
      <c r="AB4334" t="s">
        <v>78</v>
      </c>
      <c r="AC4334" t="s">
        <v>79</v>
      </c>
      <c r="AD4334" t="s">
        <v>75</v>
      </c>
      <c r="AE4334" t="s">
        <v>80</v>
      </c>
      <c r="AG4334" t="s">
        <v>81</v>
      </c>
    </row>
    <row r="4335" spans="1:33" x14ac:dyDescent="0.25">
      <c r="A4335" t="str">
        <f>"1043293459"</f>
        <v>1043293459</v>
      </c>
      <c r="B4335" t="str">
        <f>"02086359"</f>
        <v>02086359</v>
      </c>
      <c r="C4335" t="s">
        <v>13436</v>
      </c>
      <c r="D4335" t="s">
        <v>22597</v>
      </c>
      <c r="E4335" t="s">
        <v>22598</v>
      </c>
      <c r="G4335" t="s">
        <v>22599</v>
      </c>
      <c r="L4335" t="s">
        <v>94</v>
      </c>
      <c r="M4335" t="s">
        <v>85</v>
      </c>
      <c r="R4335" t="s">
        <v>22600</v>
      </c>
      <c r="W4335" t="s">
        <v>22598</v>
      </c>
      <c r="X4335" t="s">
        <v>22601</v>
      </c>
      <c r="Y4335" t="s">
        <v>97</v>
      </c>
      <c r="Z4335" t="s">
        <v>77</v>
      </c>
      <c r="AA4335" t="str">
        <f>"10003"</f>
        <v>10003</v>
      </c>
      <c r="AB4335" t="s">
        <v>78</v>
      </c>
      <c r="AC4335" t="s">
        <v>79</v>
      </c>
      <c r="AD4335" t="s">
        <v>75</v>
      </c>
      <c r="AE4335" t="s">
        <v>80</v>
      </c>
      <c r="AG4335" t="s">
        <v>81</v>
      </c>
    </row>
    <row r="4336" spans="1:33" x14ac:dyDescent="0.25">
      <c r="A4336" t="str">
        <f>"1043323652"</f>
        <v>1043323652</v>
      </c>
      <c r="B4336" t="str">
        <f>"02798158"</f>
        <v>02798158</v>
      </c>
      <c r="C4336" t="s">
        <v>13436</v>
      </c>
      <c r="D4336" t="s">
        <v>22602</v>
      </c>
      <c r="E4336" t="s">
        <v>22603</v>
      </c>
      <c r="G4336" t="s">
        <v>22604</v>
      </c>
      <c r="L4336" t="s">
        <v>83</v>
      </c>
      <c r="M4336" t="s">
        <v>85</v>
      </c>
      <c r="R4336" t="s">
        <v>22605</v>
      </c>
      <c r="W4336" t="s">
        <v>22603</v>
      </c>
      <c r="X4336" t="s">
        <v>2587</v>
      </c>
      <c r="Y4336" t="s">
        <v>97</v>
      </c>
      <c r="Z4336" t="s">
        <v>77</v>
      </c>
      <c r="AA4336" t="str">
        <f>"10003-3314"</f>
        <v>10003-3314</v>
      </c>
      <c r="AB4336" t="s">
        <v>78</v>
      </c>
      <c r="AC4336" t="s">
        <v>79</v>
      </c>
      <c r="AD4336" t="s">
        <v>75</v>
      </c>
      <c r="AE4336" t="s">
        <v>80</v>
      </c>
      <c r="AG4336" t="s">
        <v>81</v>
      </c>
    </row>
    <row r="4337" spans="1:33" x14ac:dyDescent="0.25">
      <c r="A4337" t="str">
        <f>"1043351497"</f>
        <v>1043351497</v>
      </c>
      <c r="C4337" t="s">
        <v>13436</v>
      </c>
      <c r="G4337" t="s">
        <v>22606</v>
      </c>
      <c r="K4337" t="s">
        <v>99</v>
      </c>
      <c r="L4337" t="s">
        <v>74</v>
      </c>
      <c r="M4337" t="s">
        <v>85</v>
      </c>
      <c r="R4337" t="s">
        <v>22607</v>
      </c>
      <c r="S4337" t="s">
        <v>22608</v>
      </c>
      <c r="T4337" t="s">
        <v>97</v>
      </c>
      <c r="U4337" t="s">
        <v>77</v>
      </c>
      <c r="V4337" t="str">
        <f>"101281202"</f>
        <v>101281202</v>
      </c>
      <c r="AC4337" t="s">
        <v>79</v>
      </c>
      <c r="AD4337" t="s">
        <v>75</v>
      </c>
      <c r="AE4337" t="s">
        <v>103</v>
      </c>
      <c r="AG4337" t="s">
        <v>81</v>
      </c>
    </row>
    <row r="4338" spans="1:33" x14ac:dyDescent="0.25">
      <c r="A4338" t="str">
        <f>"1043410897"</f>
        <v>1043410897</v>
      </c>
      <c r="B4338" t="str">
        <f>"03111231"</f>
        <v>03111231</v>
      </c>
      <c r="C4338" t="s">
        <v>13436</v>
      </c>
      <c r="D4338" t="s">
        <v>22609</v>
      </c>
      <c r="E4338" t="s">
        <v>22610</v>
      </c>
      <c r="G4338" t="s">
        <v>22611</v>
      </c>
      <c r="L4338" t="s">
        <v>84</v>
      </c>
      <c r="M4338" t="s">
        <v>85</v>
      </c>
      <c r="R4338" t="s">
        <v>22610</v>
      </c>
      <c r="W4338" t="s">
        <v>22610</v>
      </c>
      <c r="X4338" t="s">
        <v>14588</v>
      </c>
      <c r="Y4338" t="s">
        <v>97</v>
      </c>
      <c r="Z4338" t="s">
        <v>77</v>
      </c>
      <c r="AA4338" t="str">
        <f>"10003-3314"</f>
        <v>10003-3314</v>
      </c>
      <c r="AB4338" t="s">
        <v>78</v>
      </c>
      <c r="AC4338" t="s">
        <v>79</v>
      </c>
      <c r="AD4338" t="s">
        <v>75</v>
      </c>
      <c r="AE4338" t="s">
        <v>80</v>
      </c>
      <c r="AG4338" t="s">
        <v>81</v>
      </c>
    </row>
    <row r="4339" spans="1:33" x14ac:dyDescent="0.25">
      <c r="A4339" t="str">
        <f>"1043492796"</f>
        <v>1043492796</v>
      </c>
      <c r="B4339" t="str">
        <f>"03384714"</f>
        <v>03384714</v>
      </c>
      <c r="C4339" t="s">
        <v>13436</v>
      </c>
      <c r="D4339" t="s">
        <v>22612</v>
      </c>
      <c r="E4339" t="s">
        <v>22613</v>
      </c>
      <c r="G4339" t="s">
        <v>22614</v>
      </c>
      <c r="L4339" t="s">
        <v>83</v>
      </c>
      <c r="M4339" t="s">
        <v>85</v>
      </c>
      <c r="R4339" t="s">
        <v>22615</v>
      </c>
      <c r="W4339" t="s">
        <v>22613</v>
      </c>
      <c r="X4339" t="s">
        <v>17108</v>
      </c>
      <c r="Y4339" t="s">
        <v>97</v>
      </c>
      <c r="Z4339" t="s">
        <v>77</v>
      </c>
      <c r="AA4339" t="str">
        <f>"10003-3851"</f>
        <v>10003-3851</v>
      </c>
      <c r="AB4339" t="s">
        <v>78</v>
      </c>
      <c r="AC4339" t="s">
        <v>79</v>
      </c>
      <c r="AD4339" t="s">
        <v>75</v>
      </c>
      <c r="AE4339" t="s">
        <v>80</v>
      </c>
      <c r="AG4339" t="s">
        <v>81</v>
      </c>
    </row>
    <row r="4340" spans="1:33" x14ac:dyDescent="0.25">
      <c r="A4340" t="str">
        <f>"1053300905"</f>
        <v>1053300905</v>
      </c>
      <c r="B4340" t="str">
        <f>"02395242"</f>
        <v>02395242</v>
      </c>
      <c r="C4340" t="s">
        <v>13436</v>
      </c>
      <c r="D4340" t="s">
        <v>22616</v>
      </c>
      <c r="E4340" t="s">
        <v>22617</v>
      </c>
      <c r="G4340" t="s">
        <v>22618</v>
      </c>
      <c r="L4340" t="s">
        <v>83</v>
      </c>
      <c r="M4340" t="s">
        <v>85</v>
      </c>
      <c r="R4340" t="s">
        <v>22619</v>
      </c>
      <c r="W4340" t="s">
        <v>22620</v>
      </c>
      <c r="X4340" t="s">
        <v>22621</v>
      </c>
      <c r="Y4340" t="s">
        <v>97</v>
      </c>
      <c r="Z4340" t="s">
        <v>77</v>
      </c>
      <c r="AA4340" t="str">
        <f>"10003-3804"</f>
        <v>10003-3804</v>
      </c>
      <c r="AB4340" t="s">
        <v>78</v>
      </c>
      <c r="AC4340" t="s">
        <v>79</v>
      </c>
      <c r="AD4340" t="s">
        <v>75</v>
      </c>
      <c r="AE4340" t="s">
        <v>80</v>
      </c>
      <c r="AG4340" t="s">
        <v>81</v>
      </c>
    </row>
    <row r="4341" spans="1:33" x14ac:dyDescent="0.25">
      <c r="A4341" t="str">
        <f>"1053392472"</f>
        <v>1053392472</v>
      </c>
      <c r="B4341" t="str">
        <f>"01813996"</f>
        <v>01813996</v>
      </c>
      <c r="C4341" t="s">
        <v>13436</v>
      </c>
      <c r="D4341" t="s">
        <v>22622</v>
      </c>
      <c r="E4341" t="s">
        <v>22623</v>
      </c>
      <c r="G4341" t="s">
        <v>22624</v>
      </c>
      <c r="L4341" t="s">
        <v>84</v>
      </c>
      <c r="M4341" t="s">
        <v>85</v>
      </c>
      <c r="R4341" t="s">
        <v>22625</v>
      </c>
      <c r="W4341" t="s">
        <v>22623</v>
      </c>
      <c r="X4341" t="s">
        <v>5462</v>
      </c>
      <c r="Y4341" t="s">
        <v>97</v>
      </c>
      <c r="Z4341" t="s">
        <v>77</v>
      </c>
      <c r="AA4341" t="str">
        <f>"10003"</f>
        <v>10003</v>
      </c>
      <c r="AB4341" t="s">
        <v>78</v>
      </c>
      <c r="AC4341" t="s">
        <v>79</v>
      </c>
      <c r="AD4341" t="s">
        <v>75</v>
      </c>
      <c r="AE4341" t="s">
        <v>80</v>
      </c>
      <c r="AG4341" t="s">
        <v>81</v>
      </c>
    </row>
    <row r="4342" spans="1:33" x14ac:dyDescent="0.25">
      <c r="A4342" t="str">
        <f>"1053402214"</f>
        <v>1053402214</v>
      </c>
      <c r="B4342" t="str">
        <f>"01184867"</f>
        <v>01184867</v>
      </c>
      <c r="C4342" t="s">
        <v>13436</v>
      </c>
      <c r="D4342" t="s">
        <v>22626</v>
      </c>
      <c r="E4342" t="s">
        <v>22627</v>
      </c>
      <c r="G4342" t="s">
        <v>22628</v>
      </c>
      <c r="L4342" t="s">
        <v>83</v>
      </c>
      <c r="M4342" t="s">
        <v>85</v>
      </c>
      <c r="R4342" t="s">
        <v>22629</v>
      </c>
      <c r="W4342" t="s">
        <v>22627</v>
      </c>
      <c r="X4342" t="s">
        <v>2587</v>
      </c>
      <c r="Y4342" t="s">
        <v>97</v>
      </c>
      <c r="Z4342" t="s">
        <v>77</v>
      </c>
      <c r="AA4342" t="str">
        <f>"10003-3314"</f>
        <v>10003-3314</v>
      </c>
      <c r="AB4342" t="s">
        <v>78</v>
      </c>
      <c r="AC4342" t="s">
        <v>79</v>
      </c>
      <c r="AD4342" t="s">
        <v>75</v>
      </c>
      <c r="AE4342" t="s">
        <v>80</v>
      </c>
      <c r="AG4342" t="s">
        <v>81</v>
      </c>
    </row>
    <row r="4343" spans="1:33" x14ac:dyDescent="0.25">
      <c r="A4343" t="str">
        <f>"1053415547"</f>
        <v>1053415547</v>
      </c>
      <c r="B4343" t="str">
        <f>"00836957"</f>
        <v>00836957</v>
      </c>
      <c r="C4343" t="s">
        <v>13436</v>
      </c>
      <c r="D4343" t="s">
        <v>22630</v>
      </c>
      <c r="E4343" t="s">
        <v>22631</v>
      </c>
      <c r="G4343" t="s">
        <v>22632</v>
      </c>
      <c r="L4343" t="s">
        <v>83</v>
      </c>
      <c r="M4343" t="s">
        <v>85</v>
      </c>
      <c r="R4343" t="s">
        <v>22633</v>
      </c>
      <c r="W4343" t="s">
        <v>22631</v>
      </c>
      <c r="X4343" t="s">
        <v>1333</v>
      </c>
      <c r="Y4343" t="s">
        <v>97</v>
      </c>
      <c r="Z4343" t="s">
        <v>77</v>
      </c>
      <c r="AA4343" t="str">
        <f>"10025"</f>
        <v>10025</v>
      </c>
      <c r="AB4343" t="s">
        <v>78</v>
      </c>
      <c r="AC4343" t="s">
        <v>79</v>
      </c>
      <c r="AD4343" t="s">
        <v>75</v>
      </c>
      <c r="AE4343" t="s">
        <v>80</v>
      </c>
      <c r="AG4343" t="s">
        <v>81</v>
      </c>
    </row>
    <row r="4344" spans="1:33" x14ac:dyDescent="0.25">
      <c r="A4344" t="str">
        <f>"1053418095"</f>
        <v>1053418095</v>
      </c>
      <c r="B4344" t="str">
        <f>"02177053"</f>
        <v>02177053</v>
      </c>
      <c r="C4344" t="s">
        <v>13436</v>
      </c>
      <c r="D4344" t="s">
        <v>22634</v>
      </c>
      <c r="E4344" t="s">
        <v>22635</v>
      </c>
      <c r="G4344" t="s">
        <v>22636</v>
      </c>
      <c r="L4344" t="s">
        <v>84</v>
      </c>
      <c r="M4344" t="s">
        <v>85</v>
      </c>
      <c r="R4344" t="s">
        <v>22637</v>
      </c>
      <c r="W4344" t="s">
        <v>22635</v>
      </c>
      <c r="X4344" t="s">
        <v>22638</v>
      </c>
      <c r="Y4344" t="s">
        <v>97</v>
      </c>
      <c r="Z4344" t="s">
        <v>77</v>
      </c>
      <c r="AA4344" t="str">
        <f>"10065-4870"</f>
        <v>10065-4870</v>
      </c>
      <c r="AB4344" t="s">
        <v>78</v>
      </c>
      <c r="AC4344" t="s">
        <v>79</v>
      </c>
      <c r="AD4344" t="s">
        <v>75</v>
      </c>
      <c r="AE4344" t="s">
        <v>80</v>
      </c>
      <c r="AG4344" t="s">
        <v>81</v>
      </c>
    </row>
    <row r="4345" spans="1:33" x14ac:dyDescent="0.25">
      <c r="A4345" t="str">
        <f>"1053519801"</f>
        <v>1053519801</v>
      </c>
      <c r="B4345" t="str">
        <f>"02963537"</f>
        <v>02963537</v>
      </c>
      <c r="C4345" t="s">
        <v>13436</v>
      </c>
      <c r="D4345" t="s">
        <v>22639</v>
      </c>
      <c r="E4345" t="s">
        <v>22640</v>
      </c>
      <c r="G4345" t="s">
        <v>22641</v>
      </c>
      <c r="L4345" t="s">
        <v>83</v>
      </c>
      <c r="M4345" t="s">
        <v>85</v>
      </c>
      <c r="R4345" t="s">
        <v>22640</v>
      </c>
      <c r="W4345" t="s">
        <v>22642</v>
      </c>
      <c r="X4345" t="s">
        <v>181</v>
      </c>
      <c r="Y4345" t="s">
        <v>97</v>
      </c>
      <c r="Z4345" t="s">
        <v>77</v>
      </c>
      <c r="AA4345" t="str">
        <f>"10025-1716"</f>
        <v>10025-1716</v>
      </c>
      <c r="AB4345" t="s">
        <v>78</v>
      </c>
      <c r="AC4345" t="s">
        <v>79</v>
      </c>
      <c r="AD4345" t="s">
        <v>75</v>
      </c>
      <c r="AE4345" t="s">
        <v>80</v>
      </c>
      <c r="AG4345" t="s">
        <v>81</v>
      </c>
    </row>
    <row r="4346" spans="1:33" x14ac:dyDescent="0.25">
      <c r="A4346" t="str">
        <f>"1053531566"</f>
        <v>1053531566</v>
      </c>
      <c r="B4346" t="str">
        <f>"03017030"</f>
        <v>03017030</v>
      </c>
      <c r="C4346" t="s">
        <v>13436</v>
      </c>
      <c r="D4346" t="s">
        <v>22643</v>
      </c>
      <c r="E4346" t="s">
        <v>22644</v>
      </c>
      <c r="G4346" t="s">
        <v>22645</v>
      </c>
      <c r="L4346" t="s">
        <v>83</v>
      </c>
      <c r="M4346" t="s">
        <v>85</v>
      </c>
      <c r="R4346" t="s">
        <v>22644</v>
      </c>
      <c r="W4346" t="s">
        <v>22644</v>
      </c>
      <c r="X4346" t="s">
        <v>2587</v>
      </c>
      <c r="Y4346" t="s">
        <v>97</v>
      </c>
      <c r="Z4346" t="s">
        <v>77</v>
      </c>
      <c r="AA4346" t="str">
        <f>"10003-3314"</f>
        <v>10003-3314</v>
      </c>
      <c r="AB4346" t="s">
        <v>78</v>
      </c>
      <c r="AC4346" t="s">
        <v>79</v>
      </c>
      <c r="AD4346" t="s">
        <v>75</v>
      </c>
      <c r="AE4346" t="s">
        <v>80</v>
      </c>
      <c r="AG4346" t="s">
        <v>81</v>
      </c>
    </row>
    <row r="4347" spans="1:33" x14ac:dyDescent="0.25">
      <c r="A4347" t="str">
        <f>"1679764823"</f>
        <v>1679764823</v>
      </c>
      <c r="B4347" t="str">
        <f>"02925006"</f>
        <v>02925006</v>
      </c>
      <c r="C4347" t="s">
        <v>13436</v>
      </c>
      <c r="D4347" t="s">
        <v>22646</v>
      </c>
      <c r="E4347" t="s">
        <v>22647</v>
      </c>
      <c r="G4347" t="s">
        <v>22648</v>
      </c>
      <c r="L4347" t="s">
        <v>83</v>
      </c>
      <c r="M4347" t="s">
        <v>85</v>
      </c>
      <c r="R4347" t="s">
        <v>22649</v>
      </c>
      <c r="W4347" t="s">
        <v>22650</v>
      </c>
      <c r="X4347" t="s">
        <v>1076</v>
      </c>
      <c r="Y4347" t="s">
        <v>97</v>
      </c>
      <c r="Z4347" t="s">
        <v>77</v>
      </c>
      <c r="AA4347" t="str">
        <f>"10025-1737"</f>
        <v>10025-1737</v>
      </c>
      <c r="AB4347" t="s">
        <v>78</v>
      </c>
      <c r="AC4347" t="s">
        <v>79</v>
      </c>
      <c r="AD4347" t="s">
        <v>75</v>
      </c>
      <c r="AE4347" t="s">
        <v>80</v>
      </c>
      <c r="AG4347" t="s">
        <v>81</v>
      </c>
    </row>
    <row r="4348" spans="1:33" x14ac:dyDescent="0.25">
      <c r="A4348" t="str">
        <f>"1679881619"</f>
        <v>1679881619</v>
      </c>
      <c r="C4348" t="s">
        <v>13436</v>
      </c>
      <c r="G4348" t="s">
        <v>22651</v>
      </c>
      <c r="K4348" t="s">
        <v>99</v>
      </c>
      <c r="L4348" t="s">
        <v>102</v>
      </c>
      <c r="M4348" t="s">
        <v>85</v>
      </c>
      <c r="R4348" t="s">
        <v>22652</v>
      </c>
      <c r="S4348" t="s">
        <v>22653</v>
      </c>
      <c r="T4348" t="s">
        <v>97</v>
      </c>
      <c r="U4348" t="s">
        <v>77</v>
      </c>
      <c r="V4348" t="str">
        <f>"10019"</f>
        <v>10019</v>
      </c>
      <c r="AC4348" t="s">
        <v>79</v>
      </c>
      <c r="AD4348" t="s">
        <v>75</v>
      </c>
      <c r="AE4348" t="s">
        <v>103</v>
      </c>
      <c r="AG4348" t="s">
        <v>81</v>
      </c>
    </row>
    <row r="4349" spans="1:33" x14ac:dyDescent="0.25">
      <c r="A4349" t="str">
        <f>"1679911572"</f>
        <v>1679911572</v>
      </c>
      <c r="B4349" t="str">
        <f>"03785013"</f>
        <v>03785013</v>
      </c>
      <c r="C4349" t="s">
        <v>13436</v>
      </c>
      <c r="D4349" t="s">
        <v>22654</v>
      </c>
      <c r="E4349" t="s">
        <v>22655</v>
      </c>
      <c r="G4349" t="s">
        <v>22656</v>
      </c>
      <c r="L4349" t="s">
        <v>94</v>
      </c>
      <c r="M4349" t="s">
        <v>85</v>
      </c>
      <c r="R4349" t="s">
        <v>22655</v>
      </c>
      <c r="W4349" t="s">
        <v>22657</v>
      </c>
      <c r="X4349" t="s">
        <v>22658</v>
      </c>
      <c r="Y4349" t="s">
        <v>22659</v>
      </c>
      <c r="Z4349" t="s">
        <v>156</v>
      </c>
      <c r="AA4349" t="str">
        <f>"08861-3654"</f>
        <v>08861-3654</v>
      </c>
      <c r="AB4349" t="s">
        <v>78</v>
      </c>
      <c r="AC4349" t="s">
        <v>79</v>
      </c>
      <c r="AD4349" t="s">
        <v>75</v>
      </c>
      <c r="AE4349" t="s">
        <v>80</v>
      </c>
      <c r="AG4349" t="s">
        <v>81</v>
      </c>
    </row>
    <row r="4350" spans="1:33" x14ac:dyDescent="0.25">
      <c r="A4350" t="str">
        <f>"1396897245"</f>
        <v>1396897245</v>
      </c>
      <c r="B4350" t="str">
        <f>"01991304"</f>
        <v>01991304</v>
      </c>
      <c r="C4350" t="s">
        <v>22660</v>
      </c>
      <c r="D4350" t="s">
        <v>3473</v>
      </c>
      <c r="E4350" t="s">
        <v>3474</v>
      </c>
      <c r="G4350" t="s">
        <v>19413</v>
      </c>
      <c r="H4350" t="s">
        <v>1084</v>
      </c>
      <c r="I4350">
        <v>160</v>
      </c>
      <c r="J4350" t="s">
        <v>2757</v>
      </c>
      <c r="L4350" t="s">
        <v>105</v>
      </c>
      <c r="M4350" t="s">
        <v>75</v>
      </c>
      <c r="R4350" t="s">
        <v>3475</v>
      </c>
      <c r="W4350" t="s">
        <v>3474</v>
      </c>
      <c r="X4350" t="s">
        <v>648</v>
      </c>
      <c r="Y4350" t="s">
        <v>97</v>
      </c>
      <c r="Z4350" t="s">
        <v>77</v>
      </c>
      <c r="AA4350" t="str">
        <f>"10037-1802"</f>
        <v>10037-1802</v>
      </c>
      <c r="AB4350" t="s">
        <v>78</v>
      </c>
      <c r="AC4350" t="s">
        <v>79</v>
      </c>
      <c r="AD4350" t="s">
        <v>75</v>
      </c>
      <c r="AE4350" t="s">
        <v>80</v>
      </c>
      <c r="AG4350" t="s">
        <v>81</v>
      </c>
    </row>
    <row r="4351" spans="1:33" x14ac:dyDescent="0.25">
      <c r="A4351" t="str">
        <f>"1255774667"</f>
        <v>1255774667</v>
      </c>
      <c r="C4351" t="s">
        <v>22661</v>
      </c>
      <c r="G4351" t="s">
        <v>19413</v>
      </c>
      <c r="H4351" t="s">
        <v>1084</v>
      </c>
      <c r="I4351">
        <v>160</v>
      </c>
      <c r="J4351" t="s">
        <v>2757</v>
      </c>
      <c r="K4351" t="s">
        <v>99</v>
      </c>
      <c r="L4351" t="s">
        <v>102</v>
      </c>
      <c r="M4351" t="s">
        <v>75</v>
      </c>
      <c r="R4351" t="s">
        <v>2759</v>
      </c>
      <c r="S4351" t="s">
        <v>2760</v>
      </c>
      <c r="T4351" t="s">
        <v>131</v>
      </c>
      <c r="U4351" t="s">
        <v>77</v>
      </c>
      <c r="V4351" t="str">
        <f>"10451"</f>
        <v>10451</v>
      </c>
      <c r="AC4351" t="s">
        <v>79</v>
      </c>
      <c r="AD4351" t="s">
        <v>75</v>
      </c>
      <c r="AE4351" t="s">
        <v>103</v>
      </c>
      <c r="AG4351" t="s">
        <v>81</v>
      </c>
    </row>
    <row r="4352" spans="1:33" x14ac:dyDescent="0.25">
      <c r="A4352" t="str">
        <f>"1932193513"</f>
        <v>1932193513</v>
      </c>
      <c r="B4352" t="str">
        <f>"00825003"</f>
        <v>00825003</v>
      </c>
      <c r="C4352" t="s">
        <v>22662</v>
      </c>
      <c r="D4352" t="s">
        <v>3769</v>
      </c>
      <c r="E4352" t="s">
        <v>3770</v>
      </c>
      <c r="G4352" t="s">
        <v>19413</v>
      </c>
      <c r="H4352" t="s">
        <v>1084</v>
      </c>
      <c r="I4352">
        <v>160</v>
      </c>
      <c r="J4352" t="s">
        <v>2757</v>
      </c>
      <c r="L4352" t="s">
        <v>83</v>
      </c>
      <c r="M4352" t="s">
        <v>75</v>
      </c>
      <c r="R4352" t="s">
        <v>3771</v>
      </c>
      <c r="W4352" t="s">
        <v>3772</v>
      </c>
      <c r="X4352" t="s">
        <v>3773</v>
      </c>
      <c r="Y4352" t="s">
        <v>3733</v>
      </c>
      <c r="Z4352" t="s">
        <v>77</v>
      </c>
      <c r="AA4352" t="str">
        <f>"11559-1698"</f>
        <v>11559-1698</v>
      </c>
      <c r="AB4352" t="s">
        <v>78</v>
      </c>
      <c r="AC4352" t="s">
        <v>79</v>
      </c>
      <c r="AD4352" t="s">
        <v>75</v>
      </c>
      <c r="AE4352" t="s">
        <v>80</v>
      </c>
      <c r="AG4352" t="s">
        <v>81</v>
      </c>
    </row>
    <row r="4353" spans="1:33" x14ac:dyDescent="0.25">
      <c r="A4353" t="str">
        <f>"1093709610"</f>
        <v>1093709610</v>
      </c>
      <c r="B4353" t="str">
        <f>"02652362"</f>
        <v>02652362</v>
      </c>
      <c r="C4353" t="s">
        <v>22663</v>
      </c>
      <c r="D4353" t="s">
        <v>2789</v>
      </c>
      <c r="E4353" t="s">
        <v>2790</v>
      </c>
      <c r="G4353" t="s">
        <v>19413</v>
      </c>
      <c r="H4353" t="s">
        <v>1084</v>
      </c>
      <c r="I4353">
        <v>160</v>
      </c>
      <c r="J4353" t="s">
        <v>2757</v>
      </c>
      <c r="L4353" t="s">
        <v>83</v>
      </c>
      <c r="M4353" t="s">
        <v>75</v>
      </c>
      <c r="R4353" t="s">
        <v>2791</v>
      </c>
      <c r="W4353" t="s">
        <v>2790</v>
      </c>
      <c r="X4353" t="s">
        <v>2792</v>
      </c>
      <c r="Y4353" t="s">
        <v>131</v>
      </c>
      <c r="Z4353" t="s">
        <v>77</v>
      </c>
      <c r="AA4353" t="str">
        <f>"10451-5602"</f>
        <v>10451-5602</v>
      </c>
      <c r="AB4353" t="s">
        <v>128</v>
      </c>
      <c r="AC4353" t="s">
        <v>79</v>
      </c>
      <c r="AD4353" t="s">
        <v>75</v>
      </c>
      <c r="AE4353" t="s">
        <v>80</v>
      </c>
      <c r="AG4353" t="s">
        <v>81</v>
      </c>
    </row>
    <row r="4354" spans="1:33" x14ac:dyDescent="0.25">
      <c r="A4354" t="str">
        <f>"1831113612"</f>
        <v>1831113612</v>
      </c>
      <c r="B4354" t="str">
        <f>"01936438"</f>
        <v>01936438</v>
      </c>
      <c r="C4354" t="s">
        <v>22664</v>
      </c>
      <c r="D4354" t="s">
        <v>2795</v>
      </c>
      <c r="E4354" t="s">
        <v>2796</v>
      </c>
      <c r="G4354" t="s">
        <v>19413</v>
      </c>
      <c r="H4354" t="s">
        <v>1084</v>
      </c>
      <c r="I4354">
        <v>160</v>
      </c>
      <c r="J4354" t="s">
        <v>2757</v>
      </c>
      <c r="L4354" t="s">
        <v>84</v>
      </c>
      <c r="M4354" t="s">
        <v>85</v>
      </c>
      <c r="R4354" t="s">
        <v>2797</v>
      </c>
      <c r="W4354" t="s">
        <v>2796</v>
      </c>
      <c r="X4354" t="s">
        <v>2798</v>
      </c>
      <c r="Y4354" t="s">
        <v>87</v>
      </c>
      <c r="Z4354" t="s">
        <v>77</v>
      </c>
      <c r="AA4354" t="str">
        <f>"11210-1131"</f>
        <v>11210-1131</v>
      </c>
      <c r="AB4354" t="s">
        <v>78</v>
      </c>
      <c r="AC4354" t="s">
        <v>79</v>
      </c>
      <c r="AD4354" t="s">
        <v>75</v>
      </c>
      <c r="AE4354" t="s">
        <v>80</v>
      </c>
      <c r="AG4354" t="s">
        <v>81</v>
      </c>
    </row>
    <row r="4355" spans="1:33" x14ac:dyDescent="0.25">
      <c r="A4355" t="str">
        <f>"1558564708"</f>
        <v>1558564708</v>
      </c>
      <c r="B4355" t="str">
        <f>"03077290"</f>
        <v>03077290</v>
      </c>
      <c r="C4355" t="s">
        <v>22665</v>
      </c>
      <c r="D4355" t="s">
        <v>2799</v>
      </c>
      <c r="E4355" t="s">
        <v>2800</v>
      </c>
      <c r="G4355" t="s">
        <v>19413</v>
      </c>
      <c r="H4355" t="s">
        <v>1084</v>
      </c>
      <c r="I4355">
        <v>160</v>
      </c>
      <c r="J4355" t="s">
        <v>2757</v>
      </c>
      <c r="L4355" t="s">
        <v>84</v>
      </c>
      <c r="M4355" t="s">
        <v>85</v>
      </c>
      <c r="W4355" t="s">
        <v>2801</v>
      </c>
      <c r="X4355" t="s">
        <v>200</v>
      </c>
      <c r="Y4355" t="s">
        <v>97</v>
      </c>
      <c r="Z4355" t="s">
        <v>77</v>
      </c>
      <c r="AA4355" t="str">
        <f>"10032-3720"</f>
        <v>10032-3720</v>
      </c>
      <c r="AB4355" t="s">
        <v>78</v>
      </c>
      <c r="AC4355" t="s">
        <v>79</v>
      </c>
      <c r="AD4355" t="s">
        <v>75</v>
      </c>
      <c r="AE4355" t="s">
        <v>80</v>
      </c>
      <c r="AG4355" t="s">
        <v>81</v>
      </c>
    </row>
    <row r="4356" spans="1:33" x14ac:dyDescent="0.25">
      <c r="A4356" t="str">
        <f>"1285075143"</f>
        <v>1285075143</v>
      </c>
      <c r="B4356" t="str">
        <f>"04012635"</f>
        <v>04012635</v>
      </c>
      <c r="C4356" t="s">
        <v>22666</v>
      </c>
      <c r="D4356" t="s">
        <v>22667</v>
      </c>
      <c r="E4356" t="s">
        <v>22668</v>
      </c>
      <c r="G4356" t="s">
        <v>19413</v>
      </c>
      <c r="H4356" t="s">
        <v>1084</v>
      </c>
      <c r="I4356">
        <v>160</v>
      </c>
      <c r="J4356" t="s">
        <v>2757</v>
      </c>
      <c r="L4356" t="s">
        <v>83</v>
      </c>
      <c r="M4356" t="s">
        <v>75</v>
      </c>
      <c r="R4356" t="s">
        <v>22668</v>
      </c>
      <c r="W4356" t="s">
        <v>22669</v>
      </c>
      <c r="X4356" t="s">
        <v>2792</v>
      </c>
      <c r="Y4356" t="s">
        <v>131</v>
      </c>
      <c r="Z4356" t="s">
        <v>77</v>
      </c>
      <c r="AA4356" t="str">
        <f>"10451-5602"</f>
        <v>10451-5602</v>
      </c>
      <c r="AB4356" t="s">
        <v>78</v>
      </c>
      <c r="AC4356" t="s">
        <v>79</v>
      </c>
      <c r="AD4356" t="s">
        <v>75</v>
      </c>
      <c r="AE4356" t="s">
        <v>80</v>
      </c>
      <c r="AG4356" t="s">
        <v>81</v>
      </c>
    </row>
    <row r="4357" spans="1:33" x14ac:dyDescent="0.25">
      <c r="A4357" t="str">
        <f>"1922347178"</f>
        <v>1922347178</v>
      </c>
      <c r="B4357" t="str">
        <f>"03603183"</f>
        <v>03603183</v>
      </c>
      <c r="C4357" t="s">
        <v>22670</v>
      </c>
      <c r="D4357" t="s">
        <v>2806</v>
      </c>
      <c r="E4357" t="s">
        <v>2807</v>
      </c>
      <c r="G4357" t="s">
        <v>19413</v>
      </c>
      <c r="H4357" t="s">
        <v>1084</v>
      </c>
      <c r="I4357">
        <v>160</v>
      </c>
      <c r="J4357" t="s">
        <v>2757</v>
      </c>
      <c r="L4357" t="s">
        <v>84</v>
      </c>
      <c r="M4357" t="s">
        <v>85</v>
      </c>
      <c r="R4357" t="s">
        <v>2807</v>
      </c>
      <c r="W4357" t="s">
        <v>2807</v>
      </c>
      <c r="X4357" t="s">
        <v>2808</v>
      </c>
      <c r="Y4357" t="s">
        <v>97</v>
      </c>
      <c r="Z4357" t="s">
        <v>77</v>
      </c>
      <c r="AA4357" t="str">
        <f>"10025-6450"</f>
        <v>10025-6450</v>
      </c>
      <c r="AB4357" t="s">
        <v>78</v>
      </c>
      <c r="AC4357" t="s">
        <v>79</v>
      </c>
      <c r="AD4357" t="s">
        <v>75</v>
      </c>
      <c r="AE4357" t="s">
        <v>80</v>
      </c>
      <c r="AG4357" t="s">
        <v>81</v>
      </c>
    </row>
    <row r="4358" spans="1:33" x14ac:dyDescent="0.25">
      <c r="A4358" t="str">
        <f>"1821021072"</f>
        <v>1821021072</v>
      </c>
      <c r="B4358" t="str">
        <f>"02251930"</f>
        <v>02251930</v>
      </c>
      <c r="C4358" t="s">
        <v>22671</v>
      </c>
      <c r="D4358" t="s">
        <v>3167</v>
      </c>
      <c r="E4358" t="s">
        <v>3168</v>
      </c>
      <c r="G4358" t="s">
        <v>19413</v>
      </c>
      <c r="H4358" t="s">
        <v>1084</v>
      </c>
      <c r="I4358">
        <v>160</v>
      </c>
      <c r="J4358" t="s">
        <v>2757</v>
      </c>
      <c r="L4358" t="s">
        <v>83</v>
      </c>
      <c r="M4358" t="s">
        <v>85</v>
      </c>
      <c r="R4358" t="s">
        <v>3168</v>
      </c>
      <c r="W4358" t="s">
        <v>3168</v>
      </c>
      <c r="X4358" t="s">
        <v>2792</v>
      </c>
      <c r="Y4358" t="s">
        <v>131</v>
      </c>
      <c r="Z4358" t="s">
        <v>77</v>
      </c>
      <c r="AA4358" t="str">
        <f>"10451-5602"</f>
        <v>10451-5602</v>
      </c>
      <c r="AB4358" t="s">
        <v>78</v>
      </c>
      <c r="AC4358" t="s">
        <v>79</v>
      </c>
      <c r="AD4358" t="s">
        <v>75</v>
      </c>
      <c r="AE4358" t="s">
        <v>80</v>
      </c>
      <c r="AG4358" t="s">
        <v>81</v>
      </c>
    </row>
    <row r="4359" spans="1:33" x14ac:dyDescent="0.25">
      <c r="A4359" t="str">
        <f>"1982821682"</f>
        <v>1982821682</v>
      </c>
      <c r="C4359" t="s">
        <v>22672</v>
      </c>
      <c r="G4359" t="s">
        <v>22672</v>
      </c>
      <c r="H4359" t="s">
        <v>3639</v>
      </c>
      <c r="K4359" t="s">
        <v>99</v>
      </c>
      <c r="L4359" t="s">
        <v>102</v>
      </c>
      <c r="M4359" t="s">
        <v>75</v>
      </c>
      <c r="R4359" t="s">
        <v>2478</v>
      </c>
      <c r="S4359" t="s">
        <v>2479</v>
      </c>
      <c r="T4359" t="s">
        <v>2480</v>
      </c>
      <c r="U4359" t="s">
        <v>77</v>
      </c>
      <c r="V4359" t="str">
        <f>"115665104"</f>
        <v>115665104</v>
      </c>
      <c r="AC4359" t="s">
        <v>79</v>
      </c>
      <c r="AD4359" t="s">
        <v>75</v>
      </c>
      <c r="AE4359" t="s">
        <v>103</v>
      </c>
      <c r="AG4359" t="s">
        <v>81</v>
      </c>
    </row>
    <row r="4360" spans="1:33" x14ac:dyDescent="0.25">
      <c r="A4360" t="str">
        <f>"1538319710"</f>
        <v>1538319710</v>
      </c>
      <c r="B4360" t="str">
        <f>"03423181"</f>
        <v>03423181</v>
      </c>
      <c r="C4360" t="s">
        <v>22673</v>
      </c>
      <c r="D4360" t="s">
        <v>2432</v>
      </c>
      <c r="E4360" t="s">
        <v>2433</v>
      </c>
      <c r="G4360" t="s">
        <v>22673</v>
      </c>
      <c r="H4360" t="s">
        <v>22674</v>
      </c>
      <c r="J4360" t="s">
        <v>22675</v>
      </c>
      <c r="L4360" t="s">
        <v>74</v>
      </c>
      <c r="M4360" t="s">
        <v>75</v>
      </c>
      <c r="R4360" t="s">
        <v>2431</v>
      </c>
      <c r="W4360" t="s">
        <v>2433</v>
      </c>
      <c r="X4360" t="s">
        <v>2434</v>
      </c>
      <c r="Y4360" t="s">
        <v>2318</v>
      </c>
      <c r="Z4360" t="s">
        <v>77</v>
      </c>
      <c r="AA4360" t="str">
        <f>"11702-3427"</f>
        <v>11702-3427</v>
      </c>
      <c r="AB4360" t="s">
        <v>78</v>
      </c>
      <c r="AC4360" t="s">
        <v>79</v>
      </c>
      <c r="AD4360" t="s">
        <v>75</v>
      </c>
      <c r="AE4360" t="s">
        <v>80</v>
      </c>
      <c r="AG4360" t="s">
        <v>81</v>
      </c>
    </row>
    <row r="4361" spans="1:33" x14ac:dyDescent="0.25">
      <c r="A4361" t="str">
        <f>"1538194022"</f>
        <v>1538194022</v>
      </c>
      <c r="B4361" t="str">
        <f>"02841596"</f>
        <v>02841596</v>
      </c>
      <c r="C4361" t="s">
        <v>22676</v>
      </c>
      <c r="D4361" t="s">
        <v>2436</v>
      </c>
      <c r="E4361" t="s">
        <v>2437</v>
      </c>
      <c r="G4361" t="s">
        <v>22676</v>
      </c>
      <c r="H4361" t="s">
        <v>22677</v>
      </c>
      <c r="L4361" t="s">
        <v>105</v>
      </c>
      <c r="M4361" t="s">
        <v>75</v>
      </c>
      <c r="R4361" t="s">
        <v>2435</v>
      </c>
      <c r="W4361" t="s">
        <v>2437</v>
      </c>
      <c r="X4361" t="s">
        <v>2438</v>
      </c>
      <c r="Y4361" t="s">
        <v>219</v>
      </c>
      <c r="Z4361" t="s">
        <v>77</v>
      </c>
      <c r="AA4361" t="str">
        <f>"11701-2508"</f>
        <v>11701-2508</v>
      </c>
      <c r="AB4361" t="s">
        <v>78</v>
      </c>
      <c r="AC4361" t="s">
        <v>79</v>
      </c>
      <c r="AD4361" t="s">
        <v>75</v>
      </c>
      <c r="AE4361" t="s">
        <v>80</v>
      </c>
      <c r="AG4361" t="s">
        <v>81</v>
      </c>
    </row>
    <row r="4362" spans="1:33" x14ac:dyDescent="0.25">
      <c r="A4362" t="str">
        <f>"1982679791"</f>
        <v>1982679791</v>
      </c>
      <c r="B4362" t="str">
        <f>"00731411"</f>
        <v>00731411</v>
      </c>
      <c r="C4362" t="s">
        <v>22678</v>
      </c>
      <c r="D4362" t="s">
        <v>2440</v>
      </c>
      <c r="E4362" t="s">
        <v>2441</v>
      </c>
      <c r="G4362" t="s">
        <v>22678</v>
      </c>
      <c r="H4362" t="s">
        <v>22679</v>
      </c>
      <c r="L4362" t="s">
        <v>83</v>
      </c>
      <c r="M4362" t="s">
        <v>75</v>
      </c>
      <c r="R4362" t="s">
        <v>2439</v>
      </c>
      <c r="W4362" t="s">
        <v>2441</v>
      </c>
      <c r="X4362" t="s">
        <v>2442</v>
      </c>
      <c r="Y4362" t="s">
        <v>199</v>
      </c>
      <c r="Z4362" t="s">
        <v>77</v>
      </c>
      <c r="AA4362" t="str">
        <f>"11706-8011"</f>
        <v>11706-8011</v>
      </c>
      <c r="AB4362" t="s">
        <v>128</v>
      </c>
      <c r="AC4362" t="s">
        <v>79</v>
      </c>
      <c r="AD4362" t="s">
        <v>75</v>
      </c>
      <c r="AE4362" t="s">
        <v>80</v>
      </c>
      <c r="AG4362" t="s">
        <v>81</v>
      </c>
    </row>
    <row r="4363" spans="1:33" x14ac:dyDescent="0.25">
      <c r="A4363" t="str">
        <f>"1215024633"</f>
        <v>1215024633</v>
      </c>
      <c r="B4363" t="str">
        <f>"01855903"</f>
        <v>01855903</v>
      </c>
      <c r="C4363" t="s">
        <v>22680</v>
      </c>
      <c r="D4363" t="s">
        <v>2443</v>
      </c>
      <c r="E4363" t="s">
        <v>2444</v>
      </c>
      <c r="G4363" t="s">
        <v>22680</v>
      </c>
      <c r="H4363" t="s">
        <v>22681</v>
      </c>
      <c r="L4363" t="s">
        <v>83</v>
      </c>
      <c r="M4363" t="s">
        <v>75</v>
      </c>
      <c r="R4363" t="s">
        <v>1456</v>
      </c>
      <c r="W4363" t="s">
        <v>2445</v>
      </c>
      <c r="X4363" t="s">
        <v>2446</v>
      </c>
      <c r="Y4363" t="s">
        <v>213</v>
      </c>
      <c r="Z4363" t="s">
        <v>77</v>
      </c>
      <c r="AA4363" t="str">
        <f>"11758-6000"</f>
        <v>11758-6000</v>
      </c>
      <c r="AB4363" t="s">
        <v>128</v>
      </c>
      <c r="AC4363" t="s">
        <v>79</v>
      </c>
      <c r="AD4363" t="s">
        <v>75</v>
      </c>
      <c r="AE4363" t="s">
        <v>80</v>
      </c>
      <c r="AG4363" t="s">
        <v>81</v>
      </c>
    </row>
    <row r="4364" spans="1:33" x14ac:dyDescent="0.25">
      <c r="A4364" t="str">
        <f>"1346589280"</f>
        <v>1346589280</v>
      </c>
      <c r="B4364" t="str">
        <f>"03537602"</f>
        <v>03537602</v>
      </c>
      <c r="C4364" t="s">
        <v>22682</v>
      </c>
      <c r="D4364" t="s">
        <v>2448</v>
      </c>
      <c r="E4364" t="s">
        <v>2449</v>
      </c>
      <c r="G4364" t="s">
        <v>22682</v>
      </c>
      <c r="H4364" t="s">
        <v>22683</v>
      </c>
      <c r="L4364" t="s">
        <v>105</v>
      </c>
      <c r="M4364" t="s">
        <v>75</v>
      </c>
      <c r="R4364" t="s">
        <v>2447</v>
      </c>
      <c r="W4364" t="s">
        <v>2450</v>
      </c>
      <c r="X4364" t="s">
        <v>2451</v>
      </c>
      <c r="Y4364" t="s">
        <v>2118</v>
      </c>
      <c r="Z4364" t="s">
        <v>77</v>
      </c>
      <c r="AA4364" t="str">
        <f>"11730-2820"</f>
        <v>11730-2820</v>
      </c>
      <c r="AB4364" t="s">
        <v>125</v>
      </c>
      <c r="AC4364" t="s">
        <v>79</v>
      </c>
      <c r="AD4364" t="s">
        <v>75</v>
      </c>
      <c r="AE4364" t="s">
        <v>80</v>
      </c>
      <c r="AG4364" t="s">
        <v>81</v>
      </c>
    </row>
    <row r="4365" spans="1:33" x14ac:dyDescent="0.25">
      <c r="A4365" t="str">
        <f>"1477720571"</f>
        <v>1477720571</v>
      </c>
      <c r="C4365" t="s">
        <v>22684</v>
      </c>
      <c r="G4365" t="s">
        <v>7218</v>
      </c>
      <c r="H4365" t="s">
        <v>6801</v>
      </c>
      <c r="I4365">
        <v>6136</v>
      </c>
      <c r="J4365" t="s">
        <v>7219</v>
      </c>
      <c r="K4365" t="s">
        <v>99</v>
      </c>
      <c r="L4365" t="s">
        <v>102</v>
      </c>
      <c r="M4365" t="s">
        <v>75</v>
      </c>
      <c r="R4365" t="s">
        <v>22685</v>
      </c>
      <c r="S4365" t="s">
        <v>5005</v>
      </c>
      <c r="T4365" t="s">
        <v>97</v>
      </c>
      <c r="U4365" t="s">
        <v>77</v>
      </c>
      <c r="V4365" t="str">
        <f>"100107304"</f>
        <v>100107304</v>
      </c>
      <c r="AC4365" t="s">
        <v>79</v>
      </c>
      <c r="AD4365" t="s">
        <v>75</v>
      </c>
      <c r="AE4365" t="s">
        <v>103</v>
      </c>
      <c r="AG4365" t="s">
        <v>81</v>
      </c>
    </row>
    <row r="4366" spans="1:33" x14ac:dyDescent="0.25">
      <c r="A4366" t="str">
        <f>"1275571762"</f>
        <v>1275571762</v>
      </c>
      <c r="B4366" t="str">
        <f>"02486946"</f>
        <v>02486946</v>
      </c>
      <c r="C4366" t="s">
        <v>13436</v>
      </c>
      <c r="D4366" t="s">
        <v>22686</v>
      </c>
      <c r="E4366" t="s">
        <v>22687</v>
      </c>
      <c r="G4366" t="s">
        <v>22688</v>
      </c>
      <c r="L4366" t="s">
        <v>84</v>
      </c>
      <c r="M4366" t="s">
        <v>75</v>
      </c>
      <c r="R4366" t="s">
        <v>22687</v>
      </c>
      <c r="W4366" t="s">
        <v>22689</v>
      </c>
      <c r="X4366" t="s">
        <v>6123</v>
      </c>
      <c r="Y4366" t="s">
        <v>97</v>
      </c>
      <c r="Z4366" t="s">
        <v>77</v>
      </c>
      <c r="AA4366" t="str">
        <f>"10031-1716"</f>
        <v>10031-1716</v>
      </c>
      <c r="AB4366" t="s">
        <v>78</v>
      </c>
      <c r="AC4366" t="s">
        <v>79</v>
      </c>
      <c r="AD4366" t="s">
        <v>75</v>
      </c>
      <c r="AE4366" t="s">
        <v>80</v>
      </c>
      <c r="AG4366" t="s">
        <v>81</v>
      </c>
    </row>
    <row r="4367" spans="1:33" x14ac:dyDescent="0.25">
      <c r="A4367" t="str">
        <f>"1275602906"</f>
        <v>1275602906</v>
      </c>
      <c r="B4367" t="str">
        <f>"01579515"</f>
        <v>01579515</v>
      </c>
      <c r="C4367" t="s">
        <v>13436</v>
      </c>
      <c r="D4367" t="s">
        <v>22690</v>
      </c>
      <c r="E4367" t="s">
        <v>22691</v>
      </c>
      <c r="G4367" t="s">
        <v>22692</v>
      </c>
      <c r="L4367" t="s">
        <v>74</v>
      </c>
      <c r="M4367" t="s">
        <v>75</v>
      </c>
      <c r="R4367" t="s">
        <v>22693</v>
      </c>
      <c r="W4367" t="s">
        <v>22691</v>
      </c>
      <c r="X4367" t="s">
        <v>3553</v>
      </c>
      <c r="Y4367" t="s">
        <v>97</v>
      </c>
      <c r="Z4367" t="s">
        <v>77</v>
      </c>
      <c r="AA4367" t="str">
        <f>"10003-3851"</f>
        <v>10003-3851</v>
      </c>
      <c r="AB4367" t="s">
        <v>78</v>
      </c>
      <c r="AC4367" t="s">
        <v>79</v>
      </c>
      <c r="AD4367" t="s">
        <v>75</v>
      </c>
      <c r="AE4367" t="s">
        <v>80</v>
      </c>
      <c r="AG4367" t="s">
        <v>81</v>
      </c>
    </row>
    <row r="4368" spans="1:33" x14ac:dyDescent="0.25">
      <c r="A4368" t="str">
        <f>"1275758815"</f>
        <v>1275758815</v>
      </c>
      <c r="C4368" t="s">
        <v>13436</v>
      </c>
      <c r="G4368" t="s">
        <v>22694</v>
      </c>
      <c r="K4368" t="s">
        <v>99</v>
      </c>
      <c r="L4368" t="s">
        <v>102</v>
      </c>
      <c r="M4368" t="s">
        <v>75</v>
      </c>
      <c r="R4368" t="s">
        <v>22695</v>
      </c>
      <c r="S4368" t="s">
        <v>22696</v>
      </c>
      <c r="T4368" t="s">
        <v>155</v>
      </c>
      <c r="U4368" t="s">
        <v>77</v>
      </c>
      <c r="V4368" t="str">
        <f>"103126410"</f>
        <v>103126410</v>
      </c>
      <c r="AC4368" t="s">
        <v>79</v>
      </c>
      <c r="AD4368" t="s">
        <v>75</v>
      </c>
      <c r="AE4368" t="s">
        <v>103</v>
      </c>
      <c r="AG4368" t="s">
        <v>81</v>
      </c>
    </row>
    <row r="4369" spans="1:33" x14ac:dyDescent="0.25">
      <c r="A4369" t="str">
        <f>"1285680496"</f>
        <v>1285680496</v>
      </c>
      <c r="B4369" t="str">
        <f>"01642199"</f>
        <v>01642199</v>
      </c>
      <c r="C4369" t="s">
        <v>13436</v>
      </c>
      <c r="D4369" t="s">
        <v>22697</v>
      </c>
      <c r="E4369" t="s">
        <v>22698</v>
      </c>
      <c r="G4369" t="s">
        <v>22699</v>
      </c>
      <c r="L4369" t="s">
        <v>84</v>
      </c>
      <c r="M4369" t="s">
        <v>85</v>
      </c>
      <c r="R4369" t="s">
        <v>22700</v>
      </c>
      <c r="W4369" t="s">
        <v>22698</v>
      </c>
      <c r="Y4369" t="s">
        <v>87</v>
      </c>
      <c r="Z4369" t="s">
        <v>77</v>
      </c>
      <c r="AA4369" t="str">
        <f>"11219-2916"</f>
        <v>11219-2916</v>
      </c>
      <c r="AB4369" t="s">
        <v>78</v>
      </c>
      <c r="AC4369" t="s">
        <v>79</v>
      </c>
      <c r="AD4369" t="s">
        <v>75</v>
      </c>
      <c r="AE4369" t="s">
        <v>80</v>
      </c>
      <c r="AG4369" t="s">
        <v>81</v>
      </c>
    </row>
    <row r="4370" spans="1:33" x14ac:dyDescent="0.25">
      <c r="A4370" t="str">
        <f>"1285700351"</f>
        <v>1285700351</v>
      </c>
      <c r="C4370" t="s">
        <v>13436</v>
      </c>
      <c r="G4370" t="s">
        <v>22701</v>
      </c>
      <c r="K4370" t="s">
        <v>99</v>
      </c>
      <c r="L4370" t="s">
        <v>102</v>
      </c>
      <c r="M4370" t="s">
        <v>75</v>
      </c>
      <c r="R4370" t="s">
        <v>5134</v>
      </c>
      <c r="S4370" t="s">
        <v>174</v>
      </c>
      <c r="T4370" t="s">
        <v>131</v>
      </c>
      <c r="U4370" t="s">
        <v>77</v>
      </c>
      <c r="V4370" t="str">
        <f>"104612301"</f>
        <v>104612301</v>
      </c>
      <c r="AC4370" t="s">
        <v>79</v>
      </c>
      <c r="AD4370" t="s">
        <v>75</v>
      </c>
      <c r="AE4370" t="s">
        <v>103</v>
      </c>
      <c r="AG4370" t="s">
        <v>81</v>
      </c>
    </row>
    <row r="4371" spans="1:33" x14ac:dyDescent="0.25">
      <c r="A4371" t="str">
        <f>"1902981574"</f>
        <v>1902981574</v>
      </c>
      <c r="B4371" t="str">
        <f>"01455623"</f>
        <v>01455623</v>
      </c>
      <c r="C4371" t="s">
        <v>13436</v>
      </c>
      <c r="D4371" t="s">
        <v>22702</v>
      </c>
      <c r="E4371" t="s">
        <v>22703</v>
      </c>
      <c r="G4371" t="s">
        <v>22704</v>
      </c>
      <c r="L4371" t="s">
        <v>83</v>
      </c>
      <c r="M4371" t="s">
        <v>85</v>
      </c>
      <c r="R4371" t="s">
        <v>22705</v>
      </c>
      <c r="W4371" t="s">
        <v>22703</v>
      </c>
      <c r="X4371" t="s">
        <v>843</v>
      </c>
      <c r="Y4371" t="s">
        <v>97</v>
      </c>
      <c r="Z4371" t="s">
        <v>77</v>
      </c>
      <c r="AA4371" t="str">
        <f>"10016-6402"</f>
        <v>10016-6402</v>
      </c>
      <c r="AB4371" t="s">
        <v>78</v>
      </c>
      <c r="AC4371" t="s">
        <v>79</v>
      </c>
      <c r="AD4371" t="s">
        <v>75</v>
      </c>
      <c r="AE4371" t="s">
        <v>80</v>
      </c>
      <c r="AG4371" t="s">
        <v>81</v>
      </c>
    </row>
    <row r="4372" spans="1:33" x14ac:dyDescent="0.25">
      <c r="A4372" t="str">
        <f>"1902982085"</f>
        <v>1902982085</v>
      </c>
      <c r="B4372" t="str">
        <f>"01838297"</f>
        <v>01838297</v>
      </c>
      <c r="C4372" t="s">
        <v>13436</v>
      </c>
      <c r="D4372" t="s">
        <v>5664</v>
      </c>
      <c r="E4372" t="s">
        <v>5665</v>
      </c>
      <c r="G4372" t="s">
        <v>22706</v>
      </c>
      <c r="L4372" t="s">
        <v>83</v>
      </c>
      <c r="M4372" t="s">
        <v>85</v>
      </c>
      <c r="R4372" t="s">
        <v>5666</v>
      </c>
      <c r="W4372" t="s">
        <v>5665</v>
      </c>
      <c r="X4372" t="s">
        <v>5667</v>
      </c>
      <c r="Y4372" t="s">
        <v>97</v>
      </c>
      <c r="Z4372" t="s">
        <v>77</v>
      </c>
      <c r="AA4372" t="str">
        <f>"10025-1716"</f>
        <v>10025-1716</v>
      </c>
      <c r="AB4372" t="s">
        <v>78</v>
      </c>
      <c r="AC4372" t="s">
        <v>79</v>
      </c>
      <c r="AD4372" t="s">
        <v>75</v>
      </c>
      <c r="AE4372" t="s">
        <v>80</v>
      </c>
      <c r="AG4372" t="s">
        <v>81</v>
      </c>
    </row>
    <row r="4373" spans="1:33" x14ac:dyDescent="0.25">
      <c r="A4373" t="str">
        <f>"1902986771"</f>
        <v>1902986771</v>
      </c>
      <c r="B4373" t="str">
        <f>"01130827"</f>
        <v>01130827</v>
      </c>
      <c r="C4373" t="s">
        <v>13436</v>
      </c>
      <c r="D4373" t="s">
        <v>22707</v>
      </c>
      <c r="E4373" t="s">
        <v>22708</v>
      </c>
      <c r="G4373" t="s">
        <v>22709</v>
      </c>
      <c r="L4373" t="s">
        <v>143</v>
      </c>
      <c r="M4373" t="s">
        <v>85</v>
      </c>
      <c r="R4373" t="s">
        <v>22710</v>
      </c>
      <c r="W4373" t="s">
        <v>22708</v>
      </c>
      <c r="X4373" t="s">
        <v>22711</v>
      </c>
      <c r="Y4373" t="s">
        <v>97</v>
      </c>
      <c r="Z4373" t="s">
        <v>77</v>
      </c>
      <c r="AA4373" t="str">
        <f>"10013-4803"</f>
        <v>10013-4803</v>
      </c>
      <c r="AB4373" t="s">
        <v>78</v>
      </c>
      <c r="AC4373" t="s">
        <v>79</v>
      </c>
      <c r="AD4373" t="s">
        <v>75</v>
      </c>
      <c r="AE4373" t="s">
        <v>80</v>
      </c>
      <c r="AG4373" t="s">
        <v>81</v>
      </c>
    </row>
    <row r="4374" spans="1:33" x14ac:dyDescent="0.25">
      <c r="A4374" t="str">
        <f>"1912083148"</f>
        <v>1912083148</v>
      </c>
      <c r="B4374" t="str">
        <f>"02277838"</f>
        <v>02277838</v>
      </c>
      <c r="C4374" t="s">
        <v>13436</v>
      </c>
      <c r="D4374" t="s">
        <v>22712</v>
      </c>
      <c r="E4374" t="s">
        <v>22713</v>
      </c>
      <c r="G4374" t="s">
        <v>22714</v>
      </c>
      <c r="L4374" t="s">
        <v>83</v>
      </c>
      <c r="M4374" t="s">
        <v>85</v>
      </c>
      <c r="R4374" t="s">
        <v>22715</v>
      </c>
      <c r="W4374" t="s">
        <v>22713</v>
      </c>
      <c r="X4374" t="s">
        <v>22716</v>
      </c>
      <c r="Y4374" t="s">
        <v>87</v>
      </c>
      <c r="Z4374" t="s">
        <v>77</v>
      </c>
      <c r="AA4374" t="str">
        <f>"11239-2103"</f>
        <v>11239-2103</v>
      </c>
      <c r="AB4374" t="s">
        <v>128</v>
      </c>
      <c r="AC4374" t="s">
        <v>79</v>
      </c>
      <c r="AD4374" t="s">
        <v>75</v>
      </c>
      <c r="AE4374" t="s">
        <v>80</v>
      </c>
      <c r="AG4374" t="s">
        <v>81</v>
      </c>
    </row>
    <row r="4375" spans="1:33" x14ac:dyDescent="0.25">
      <c r="A4375" t="str">
        <f>"1922017805"</f>
        <v>1922017805</v>
      </c>
      <c r="B4375" t="str">
        <f>"02058744"</f>
        <v>02058744</v>
      </c>
      <c r="C4375" t="s">
        <v>13436</v>
      </c>
      <c r="D4375" t="s">
        <v>22717</v>
      </c>
      <c r="E4375" t="s">
        <v>22718</v>
      </c>
      <c r="G4375" t="s">
        <v>22719</v>
      </c>
      <c r="L4375" t="s">
        <v>102</v>
      </c>
      <c r="M4375" t="s">
        <v>85</v>
      </c>
      <c r="R4375" t="s">
        <v>22720</v>
      </c>
      <c r="W4375" t="s">
        <v>22718</v>
      </c>
      <c r="X4375" t="s">
        <v>4523</v>
      </c>
      <c r="Y4375" t="s">
        <v>139</v>
      </c>
      <c r="Z4375" t="s">
        <v>77</v>
      </c>
      <c r="AA4375" t="str">
        <f>"11366-1919"</f>
        <v>11366-1919</v>
      </c>
      <c r="AB4375" t="s">
        <v>78</v>
      </c>
      <c r="AC4375" t="s">
        <v>79</v>
      </c>
      <c r="AD4375" t="s">
        <v>75</v>
      </c>
      <c r="AE4375" t="s">
        <v>80</v>
      </c>
      <c r="AG4375" t="s">
        <v>81</v>
      </c>
    </row>
    <row r="4376" spans="1:33" x14ac:dyDescent="0.25">
      <c r="A4376" t="str">
        <f>"1922040914"</f>
        <v>1922040914</v>
      </c>
      <c r="B4376" t="str">
        <f>"01867532"</f>
        <v>01867532</v>
      </c>
      <c r="C4376" t="s">
        <v>13436</v>
      </c>
      <c r="D4376" t="s">
        <v>22721</v>
      </c>
      <c r="E4376" t="s">
        <v>22722</v>
      </c>
      <c r="G4376" t="s">
        <v>22723</v>
      </c>
      <c r="L4376" t="s">
        <v>84</v>
      </c>
      <c r="M4376" t="s">
        <v>85</v>
      </c>
      <c r="R4376" t="s">
        <v>22724</v>
      </c>
      <c r="W4376" t="s">
        <v>22722</v>
      </c>
      <c r="X4376" t="s">
        <v>191</v>
      </c>
      <c r="Y4376" t="s">
        <v>97</v>
      </c>
      <c r="Z4376" t="s">
        <v>77</v>
      </c>
      <c r="AA4376" t="str">
        <f>"10019-1147"</f>
        <v>10019-1147</v>
      </c>
      <c r="AB4376" t="s">
        <v>78</v>
      </c>
      <c r="AC4376" t="s">
        <v>79</v>
      </c>
      <c r="AD4376" t="s">
        <v>75</v>
      </c>
      <c r="AE4376" t="s">
        <v>80</v>
      </c>
      <c r="AG4376" t="s">
        <v>81</v>
      </c>
    </row>
    <row r="4377" spans="1:33" x14ac:dyDescent="0.25">
      <c r="A4377" t="str">
        <f>"1932123486"</f>
        <v>1932123486</v>
      </c>
      <c r="B4377" t="str">
        <f>"01028082"</f>
        <v>01028082</v>
      </c>
      <c r="C4377" t="s">
        <v>13436</v>
      </c>
      <c r="D4377" t="s">
        <v>22725</v>
      </c>
      <c r="E4377" t="s">
        <v>22726</v>
      </c>
      <c r="G4377" t="s">
        <v>22727</v>
      </c>
      <c r="L4377" t="s">
        <v>83</v>
      </c>
      <c r="M4377" t="s">
        <v>85</v>
      </c>
      <c r="R4377" t="s">
        <v>22728</v>
      </c>
      <c r="W4377" t="s">
        <v>22726</v>
      </c>
      <c r="X4377" t="s">
        <v>22729</v>
      </c>
      <c r="Y4377" t="s">
        <v>97</v>
      </c>
      <c r="Z4377" t="s">
        <v>77</v>
      </c>
      <c r="AA4377" t="str">
        <f>"10016-6822"</f>
        <v>10016-6822</v>
      </c>
      <c r="AB4377" t="s">
        <v>78</v>
      </c>
      <c r="AC4377" t="s">
        <v>79</v>
      </c>
      <c r="AD4377" t="s">
        <v>75</v>
      </c>
      <c r="AE4377" t="s">
        <v>80</v>
      </c>
      <c r="AG4377" t="s">
        <v>81</v>
      </c>
    </row>
    <row r="4378" spans="1:33" x14ac:dyDescent="0.25">
      <c r="A4378" t="str">
        <f>"1093028078"</f>
        <v>1093028078</v>
      </c>
      <c r="B4378" t="str">
        <f>"03496724"</f>
        <v>03496724</v>
      </c>
      <c r="C4378" t="s">
        <v>13436</v>
      </c>
      <c r="D4378" t="s">
        <v>22730</v>
      </c>
      <c r="E4378" t="s">
        <v>22731</v>
      </c>
      <c r="G4378" t="s">
        <v>22732</v>
      </c>
      <c r="L4378" t="s">
        <v>74</v>
      </c>
      <c r="M4378" t="s">
        <v>85</v>
      </c>
      <c r="R4378" t="s">
        <v>22733</v>
      </c>
      <c r="W4378" t="s">
        <v>22731</v>
      </c>
      <c r="X4378" t="s">
        <v>191</v>
      </c>
      <c r="Y4378" t="s">
        <v>97</v>
      </c>
      <c r="Z4378" t="s">
        <v>77</v>
      </c>
      <c r="AA4378" t="str">
        <f>"10019-1147"</f>
        <v>10019-1147</v>
      </c>
      <c r="AB4378" t="s">
        <v>78</v>
      </c>
      <c r="AC4378" t="s">
        <v>79</v>
      </c>
      <c r="AD4378" t="s">
        <v>75</v>
      </c>
      <c r="AE4378" t="s">
        <v>80</v>
      </c>
      <c r="AG4378" t="s">
        <v>81</v>
      </c>
    </row>
    <row r="4379" spans="1:33" x14ac:dyDescent="0.25">
      <c r="A4379" t="str">
        <f>"1093084071"</f>
        <v>1093084071</v>
      </c>
      <c r="B4379" t="str">
        <f>"03487074"</f>
        <v>03487074</v>
      </c>
      <c r="C4379" t="s">
        <v>13436</v>
      </c>
      <c r="D4379" t="s">
        <v>22734</v>
      </c>
      <c r="E4379" t="s">
        <v>22735</v>
      </c>
      <c r="G4379" t="s">
        <v>22736</v>
      </c>
      <c r="L4379" t="s">
        <v>74</v>
      </c>
      <c r="M4379" t="s">
        <v>85</v>
      </c>
      <c r="R4379" t="s">
        <v>22737</v>
      </c>
      <c r="W4379" t="s">
        <v>22735</v>
      </c>
      <c r="X4379" t="s">
        <v>181</v>
      </c>
      <c r="Y4379" t="s">
        <v>97</v>
      </c>
      <c r="Z4379" t="s">
        <v>77</v>
      </c>
      <c r="AA4379" t="str">
        <f>"10025-1716"</f>
        <v>10025-1716</v>
      </c>
      <c r="AB4379" t="s">
        <v>78</v>
      </c>
      <c r="AC4379" t="s">
        <v>79</v>
      </c>
      <c r="AD4379" t="s">
        <v>75</v>
      </c>
      <c r="AE4379" t="s">
        <v>80</v>
      </c>
      <c r="AG4379" t="s">
        <v>81</v>
      </c>
    </row>
    <row r="4380" spans="1:33" x14ac:dyDescent="0.25">
      <c r="A4380" t="str">
        <f>"1699733113"</f>
        <v>1699733113</v>
      </c>
      <c r="B4380" t="str">
        <f>"03375266"</f>
        <v>03375266</v>
      </c>
      <c r="C4380" t="s">
        <v>13436</v>
      </c>
      <c r="D4380" t="s">
        <v>22738</v>
      </c>
      <c r="E4380" t="s">
        <v>22739</v>
      </c>
      <c r="G4380" t="s">
        <v>22740</v>
      </c>
      <c r="L4380" t="s">
        <v>143</v>
      </c>
      <c r="M4380" t="s">
        <v>85</v>
      </c>
      <c r="R4380" t="s">
        <v>22739</v>
      </c>
      <c r="W4380" t="s">
        <v>22741</v>
      </c>
      <c r="X4380" t="s">
        <v>7539</v>
      </c>
      <c r="Y4380" t="s">
        <v>97</v>
      </c>
      <c r="Z4380" t="s">
        <v>77</v>
      </c>
      <c r="AA4380" t="str">
        <f>"10025-5752"</f>
        <v>10025-5752</v>
      </c>
      <c r="AB4380" t="s">
        <v>78</v>
      </c>
      <c r="AC4380" t="s">
        <v>79</v>
      </c>
      <c r="AD4380" t="s">
        <v>75</v>
      </c>
      <c r="AE4380" t="s">
        <v>80</v>
      </c>
      <c r="AG4380" t="s">
        <v>81</v>
      </c>
    </row>
    <row r="4381" spans="1:33" x14ac:dyDescent="0.25">
      <c r="A4381" t="str">
        <f>"1699756080"</f>
        <v>1699756080</v>
      </c>
      <c r="B4381" t="str">
        <f>"00698137"</f>
        <v>00698137</v>
      </c>
      <c r="C4381" t="s">
        <v>13436</v>
      </c>
      <c r="D4381" t="s">
        <v>1420</v>
      </c>
      <c r="E4381" t="s">
        <v>1421</v>
      </c>
      <c r="G4381" t="s">
        <v>22742</v>
      </c>
      <c r="L4381" t="s">
        <v>83</v>
      </c>
      <c r="M4381" t="s">
        <v>85</v>
      </c>
      <c r="R4381" t="s">
        <v>1422</v>
      </c>
      <c r="W4381" t="s">
        <v>1421</v>
      </c>
      <c r="X4381" t="s">
        <v>1423</v>
      </c>
      <c r="Y4381" t="s">
        <v>97</v>
      </c>
      <c r="Z4381" t="s">
        <v>77</v>
      </c>
      <c r="AA4381" t="str">
        <f>"10003-5105"</f>
        <v>10003-5105</v>
      </c>
      <c r="AB4381" t="s">
        <v>78</v>
      </c>
      <c r="AC4381" t="s">
        <v>79</v>
      </c>
      <c r="AD4381" t="s">
        <v>75</v>
      </c>
      <c r="AE4381" t="s">
        <v>80</v>
      </c>
      <c r="AG4381" t="s">
        <v>81</v>
      </c>
    </row>
    <row r="4382" spans="1:33" x14ac:dyDescent="0.25">
      <c r="A4382" t="str">
        <f>"1699970129"</f>
        <v>1699970129</v>
      </c>
      <c r="B4382" t="str">
        <f>"03128109"</f>
        <v>03128109</v>
      </c>
      <c r="C4382" t="s">
        <v>13436</v>
      </c>
      <c r="D4382" t="s">
        <v>22743</v>
      </c>
      <c r="E4382" t="s">
        <v>22744</v>
      </c>
      <c r="G4382" t="s">
        <v>22745</v>
      </c>
      <c r="L4382" t="s">
        <v>83</v>
      </c>
      <c r="M4382" t="s">
        <v>85</v>
      </c>
      <c r="R4382" t="s">
        <v>22746</v>
      </c>
      <c r="W4382" t="s">
        <v>22747</v>
      </c>
      <c r="X4382" t="s">
        <v>306</v>
      </c>
      <c r="Y4382" t="s">
        <v>97</v>
      </c>
      <c r="Z4382" t="s">
        <v>77</v>
      </c>
      <c r="AA4382" t="str">
        <f>"10003-4201"</f>
        <v>10003-4201</v>
      </c>
      <c r="AB4382" t="s">
        <v>78</v>
      </c>
      <c r="AC4382" t="s">
        <v>79</v>
      </c>
      <c r="AD4382" t="s">
        <v>75</v>
      </c>
      <c r="AE4382" t="s">
        <v>80</v>
      </c>
      <c r="AG4382" t="s">
        <v>81</v>
      </c>
    </row>
    <row r="4383" spans="1:33" x14ac:dyDescent="0.25">
      <c r="A4383" t="str">
        <f>"1700089216"</f>
        <v>1700089216</v>
      </c>
      <c r="B4383" t="str">
        <f>"02944205"</f>
        <v>02944205</v>
      </c>
      <c r="C4383" t="s">
        <v>13436</v>
      </c>
      <c r="D4383" t="s">
        <v>22748</v>
      </c>
      <c r="E4383" t="s">
        <v>22749</v>
      </c>
      <c r="G4383" t="s">
        <v>22750</v>
      </c>
      <c r="L4383" t="s">
        <v>83</v>
      </c>
      <c r="M4383" t="s">
        <v>85</v>
      </c>
      <c r="R4383" t="s">
        <v>22751</v>
      </c>
      <c r="W4383" t="s">
        <v>22752</v>
      </c>
      <c r="X4383" t="s">
        <v>191</v>
      </c>
      <c r="Y4383" t="s">
        <v>97</v>
      </c>
      <c r="Z4383" t="s">
        <v>77</v>
      </c>
      <c r="AA4383" t="str">
        <f>"10019-1147"</f>
        <v>10019-1147</v>
      </c>
      <c r="AB4383" t="s">
        <v>78</v>
      </c>
      <c r="AC4383" t="s">
        <v>79</v>
      </c>
      <c r="AD4383" t="s">
        <v>75</v>
      </c>
      <c r="AE4383" t="s">
        <v>80</v>
      </c>
      <c r="AG4383" t="s">
        <v>81</v>
      </c>
    </row>
    <row r="4384" spans="1:33" x14ac:dyDescent="0.25">
      <c r="A4384" t="str">
        <f>"1902064421"</f>
        <v>1902064421</v>
      </c>
      <c r="B4384" t="str">
        <f>"03343597"</f>
        <v>03343597</v>
      </c>
      <c r="C4384" t="s">
        <v>13436</v>
      </c>
      <c r="D4384" t="s">
        <v>992</v>
      </c>
      <c r="E4384" t="s">
        <v>993</v>
      </c>
      <c r="G4384" t="s">
        <v>22753</v>
      </c>
      <c r="L4384" t="s">
        <v>83</v>
      </c>
      <c r="M4384" t="s">
        <v>85</v>
      </c>
      <c r="R4384" t="s">
        <v>994</v>
      </c>
      <c r="W4384" t="s">
        <v>993</v>
      </c>
      <c r="X4384" t="s">
        <v>995</v>
      </c>
      <c r="Y4384" t="s">
        <v>97</v>
      </c>
      <c r="Z4384" t="s">
        <v>77</v>
      </c>
      <c r="AA4384" t="str">
        <f>"10013-4554"</f>
        <v>10013-4554</v>
      </c>
      <c r="AB4384" t="s">
        <v>78</v>
      </c>
      <c r="AC4384" t="s">
        <v>79</v>
      </c>
      <c r="AD4384" t="s">
        <v>75</v>
      </c>
      <c r="AE4384" t="s">
        <v>80</v>
      </c>
      <c r="AG4384" t="s">
        <v>81</v>
      </c>
    </row>
    <row r="4385" spans="1:33" x14ac:dyDescent="0.25">
      <c r="A4385" t="str">
        <f>"1902953490"</f>
        <v>1902953490</v>
      </c>
      <c r="B4385" t="str">
        <f>"01413336"</f>
        <v>01413336</v>
      </c>
      <c r="C4385" t="s">
        <v>13436</v>
      </c>
      <c r="D4385" t="s">
        <v>22754</v>
      </c>
      <c r="E4385" t="s">
        <v>22755</v>
      </c>
      <c r="G4385" t="s">
        <v>22756</v>
      </c>
      <c r="L4385" t="s">
        <v>84</v>
      </c>
      <c r="M4385" t="s">
        <v>85</v>
      </c>
      <c r="R4385" t="s">
        <v>22757</v>
      </c>
      <c r="W4385" t="s">
        <v>22755</v>
      </c>
      <c r="X4385" t="s">
        <v>22758</v>
      </c>
      <c r="Y4385" t="s">
        <v>97</v>
      </c>
      <c r="Z4385" t="s">
        <v>77</v>
      </c>
      <c r="AA4385" t="str">
        <f>"10003-2254"</f>
        <v>10003-2254</v>
      </c>
      <c r="AB4385" t="s">
        <v>78</v>
      </c>
      <c r="AC4385" t="s">
        <v>79</v>
      </c>
      <c r="AD4385" t="s">
        <v>75</v>
      </c>
      <c r="AE4385" t="s">
        <v>80</v>
      </c>
      <c r="AG4385" t="s">
        <v>81</v>
      </c>
    </row>
    <row r="4386" spans="1:33" x14ac:dyDescent="0.25">
      <c r="A4386" t="str">
        <f>"1306906078"</f>
        <v>1306906078</v>
      </c>
      <c r="B4386" t="str">
        <f>"00647127"</f>
        <v>00647127</v>
      </c>
      <c r="C4386" t="s">
        <v>13436</v>
      </c>
      <c r="D4386" t="s">
        <v>22759</v>
      </c>
      <c r="E4386" t="s">
        <v>22760</v>
      </c>
      <c r="G4386" t="s">
        <v>22761</v>
      </c>
      <c r="L4386" t="s">
        <v>83</v>
      </c>
      <c r="M4386" t="s">
        <v>85</v>
      </c>
      <c r="R4386" t="s">
        <v>22762</v>
      </c>
      <c r="W4386" t="s">
        <v>22760</v>
      </c>
      <c r="X4386" t="s">
        <v>6794</v>
      </c>
      <c r="Y4386" t="s">
        <v>97</v>
      </c>
      <c r="Z4386" t="s">
        <v>77</v>
      </c>
      <c r="AA4386" t="str">
        <f>"10003"</f>
        <v>10003</v>
      </c>
      <c r="AB4386" t="s">
        <v>78</v>
      </c>
      <c r="AC4386" t="s">
        <v>79</v>
      </c>
      <c r="AD4386" t="s">
        <v>75</v>
      </c>
      <c r="AE4386" t="s">
        <v>80</v>
      </c>
      <c r="AG4386" t="s">
        <v>81</v>
      </c>
    </row>
    <row r="4387" spans="1:33" x14ac:dyDescent="0.25">
      <c r="A4387" t="str">
        <f>"1306907415"</f>
        <v>1306907415</v>
      </c>
      <c r="B4387" t="str">
        <f>"03014688"</f>
        <v>03014688</v>
      </c>
      <c r="C4387" t="s">
        <v>13436</v>
      </c>
      <c r="D4387" t="s">
        <v>22763</v>
      </c>
      <c r="E4387" t="s">
        <v>22764</v>
      </c>
      <c r="G4387" t="s">
        <v>22765</v>
      </c>
      <c r="L4387" t="s">
        <v>83</v>
      </c>
      <c r="M4387" t="s">
        <v>85</v>
      </c>
      <c r="R4387" t="s">
        <v>22766</v>
      </c>
      <c r="W4387" t="s">
        <v>22767</v>
      </c>
      <c r="X4387" t="s">
        <v>22768</v>
      </c>
      <c r="Y4387" t="s">
        <v>97</v>
      </c>
      <c r="Z4387" t="s">
        <v>77</v>
      </c>
      <c r="AA4387" t="str">
        <f>"10211-0001"</f>
        <v>10211-0001</v>
      </c>
      <c r="AB4387" t="s">
        <v>78</v>
      </c>
      <c r="AC4387" t="s">
        <v>79</v>
      </c>
      <c r="AD4387" t="s">
        <v>75</v>
      </c>
      <c r="AE4387" t="s">
        <v>80</v>
      </c>
      <c r="AG4387" t="s">
        <v>81</v>
      </c>
    </row>
    <row r="4388" spans="1:33" x14ac:dyDescent="0.25">
      <c r="A4388" t="str">
        <f>"1306947957"</f>
        <v>1306947957</v>
      </c>
      <c r="B4388" t="str">
        <f>"01558103"</f>
        <v>01558103</v>
      </c>
      <c r="C4388" t="s">
        <v>13436</v>
      </c>
      <c r="D4388" t="s">
        <v>22769</v>
      </c>
      <c r="E4388" t="s">
        <v>22770</v>
      </c>
      <c r="G4388" t="s">
        <v>22771</v>
      </c>
      <c r="L4388" t="s">
        <v>84</v>
      </c>
      <c r="M4388" t="s">
        <v>85</v>
      </c>
      <c r="R4388" t="s">
        <v>22772</v>
      </c>
      <c r="W4388" t="s">
        <v>22770</v>
      </c>
      <c r="X4388" t="s">
        <v>22773</v>
      </c>
      <c r="Y4388" t="s">
        <v>97</v>
      </c>
      <c r="Z4388" t="s">
        <v>77</v>
      </c>
      <c r="AA4388" t="str">
        <f>"10016-5421"</f>
        <v>10016-5421</v>
      </c>
      <c r="AB4388" t="s">
        <v>78</v>
      </c>
      <c r="AC4388" t="s">
        <v>79</v>
      </c>
      <c r="AD4388" t="s">
        <v>75</v>
      </c>
      <c r="AE4388" t="s">
        <v>80</v>
      </c>
      <c r="AG4388" t="s">
        <v>81</v>
      </c>
    </row>
    <row r="4389" spans="1:33" x14ac:dyDescent="0.25">
      <c r="A4389" t="str">
        <f>"1316092026"</f>
        <v>1316092026</v>
      </c>
      <c r="B4389" t="str">
        <f>"02440691"</f>
        <v>02440691</v>
      </c>
      <c r="C4389" t="s">
        <v>13436</v>
      </c>
      <c r="D4389" t="s">
        <v>22774</v>
      </c>
      <c r="E4389" t="s">
        <v>22775</v>
      </c>
      <c r="G4389" t="s">
        <v>22776</v>
      </c>
      <c r="L4389" t="s">
        <v>84</v>
      </c>
      <c r="M4389" t="s">
        <v>85</v>
      </c>
      <c r="R4389" t="s">
        <v>22777</v>
      </c>
      <c r="W4389" t="s">
        <v>22778</v>
      </c>
      <c r="X4389" t="s">
        <v>22779</v>
      </c>
      <c r="Y4389" t="s">
        <v>97</v>
      </c>
      <c r="Z4389" t="s">
        <v>77</v>
      </c>
      <c r="AA4389" t="str">
        <f>"10003-1829"</f>
        <v>10003-1829</v>
      </c>
      <c r="AB4389" t="s">
        <v>78</v>
      </c>
      <c r="AC4389" t="s">
        <v>79</v>
      </c>
      <c r="AD4389" t="s">
        <v>75</v>
      </c>
      <c r="AE4389" t="s">
        <v>80</v>
      </c>
      <c r="AG4389" t="s">
        <v>81</v>
      </c>
    </row>
    <row r="4390" spans="1:33" x14ac:dyDescent="0.25">
      <c r="A4390" t="str">
        <f>"1316910219"</f>
        <v>1316910219</v>
      </c>
      <c r="B4390" t="str">
        <f>"00717208"</f>
        <v>00717208</v>
      </c>
      <c r="C4390" t="s">
        <v>13436</v>
      </c>
      <c r="D4390" t="s">
        <v>22780</v>
      </c>
      <c r="E4390" t="s">
        <v>22781</v>
      </c>
      <c r="G4390" t="s">
        <v>22782</v>
      </c>
      <c r="L4390" t="s">
        <v>83</v>
      </c>
      <c r="M4390" t="s">
        <v>85</v>
      </c>
      <c r="R4390" t="s">
        <v>22783</v>
      </c>
      <c r="W4390" t="s">
        <v>22784</v>
      </c>
      <c r="X4390" t="s">
        <v>22785</v>
      </c>
      <c r="Y4390" t="s">
        <v>87</v>
      </c>
      <c r="Z4390" t="s">
        <v>77</v>
      </c>
      <c r="AA4390" t="str">
        <f>"11234-5300"</f>
        <v>11234-5300</v>
      </c>
      <c r="AB4390" t="s">
        <v>78</v>
      </c>
      <c r="AC4390" t="s">
        <v>79</v>
      </c>
      <c r="AD4390" t="s">
        <v>75</v>
      </c>
      <c r="AE4390" t="s">
        <v>80</v>
      </c>
      <c r="AG4390" t="s">
        <v>81</v>
      </c>
    </row>
    <row r="4391" spans="1:33" x14ac:dyDescent="0.25">
      <c r="A4391" t="str">
        <f>"1316950785"</f>
        <v>1316950785</v>
      </c>
      <c r="B4391" t="str">
        <f>"02780096"</f>
        <v>02780096</v>
      </c>
      <c r="C4391" t="s">
        <v>13436</v>
      </c>
      <c r="D4391" t="s">
        <v>22786</v>
      </c>
      <c r="E4391" t="s">
        <v>22787</v>
      </c>
      <c r="G4391" t="s">
        <v>22788</v>
      </c>
      <c r="L4391" t="s">
        <v>83</v>
      </c>
      <c r="M4391" t="s">
        <v>85</v>
      </c>
      <c r="R4391" t="s">
        <v>22789</v>
      </c>
      <c r="W4391" t="s">
        <v>22787</v>
      </c>
      <c r="X4391" t="s">
        <v>181</v>
      </c>
      <c r="Y4391" t="s">
        <v>97</v>
      </c>
      <c r="Z4391" t="s">
        <v>77</v>
      </c>
      <c r="AA4391" t="str">
        <f>"10025-1716"</f>
        <v>10025-1716</v>
      </c>
      <c r="AB4391" t="s">
        <v>78</v>
      </c>
      <c r="AC4391" t="s">
        <v>79</v>
      </c>
      <c r="AD4391" t="s">
        <v>75</v>
      </c>
      <c r="AE4391" t="s">
        <v>80</v>
      </c>
      <c r="AG4391" t="s">
        <v>81</v>
      </c>
    </row>
    <row r="4392" spans="1:33" x14ac:dyDescent="0.25">
      <c r="A4392" t="str">
        <f>"1326082801"</f>
        <v>1326082801</v>
      </c>
      <c r="B4392" t="str">
        <f>"01651207"</f>
        <v>01651207</v>
      </c>
      <c r="C4392" t="s">
        <v>13436</v>
      </c>
      <c r="D4392" t="s">
        <v>22790</v>
      </c>
      <c r="E4392" t="s">
        <v>22791</v>
      </c>
      <c r="G4392" t="s">
        <v>22792</v>
      </c>
      <c r="L4392" t="s">
        <v>83</v>
      </c>
      <c r="M4392" t="s">
        <v>85</v>
      </c>
      <c r="R4392" t="s">
        <v>22793</v>
      </c>
      <c r="W4392" t="s">
        <v>22791</v>
      </c>
      <c r="X4392" t="s">
        <v>22794</v>
      </c>
      <c r="Y4392" t="s">
        <v>97</v>
      </c>
      <c r="Z4392" t="s">
        <v>77</v>
      </c>
      <c r="AA4392" t="str">
        <f>"10003"</f>
        <v>10003</v>
      </c>
      <c r="AB4392" t="s">
        <v>78</v>
      </c>
      <c r="AC4392" t="s">
        <v>79</v>
      </c>
      <c r="AD4392" t="s">
        <v>75</v>
      </c>
      <c r="AE4392" t="s">
        <v>80</v>
      </c>
      <c r="AG4392" t="s">
        <v>81</v>
      </c>
    </row>
    <row r="4393" spans="1:33" x14ac:dyDescent="0.25">
      <c r="A4393" t="str">
        <f>"1326084856"</f>
        <v>1326084856</v>
      </c>
      <c r="B4393" t="str">
        <f>"01189151"</f>
        <v>01189151</v>
      </c>
      <c r="C4393" t="s">
        <v>13436</v>
      </c>
      <c r="D4393" t="s">
        <v>22795</v>
      </c>
      <c r="E4393" t="s">
        <v>22796</v>
      </c>
      <c r="G4393" t="s">
        <v>22797</v>
      </c>
      <c r="L4393" t="s">
        <v>84</v>
      </c>
      <c r="M4393" t="s">
        <v>85</v>
      </c>
      <c r="R4393" t="s">
        <v>22798</v>
      </c>
      <c r="W4393" t="s">
        <v>22799</v>
      </c>
      <c r="X4393" t="s">
        <v>22800</v>
      </c>
      <c r="Y4393" t="s">
        <v>97</v>
      </c>
      <c r="Z4393" t="s">
        <v>77</v>
      </c>
      <c r="AA4393" t="str">
        <f>"10033-2049"</f>
        <v>10033-2049</v>
      </c>
      <c r="AB4393" t="s">
        <v>78</v>
      </c>
      <c r="AC4393" t="s">
        <v>79</v>
      </c>
      <c r="AD4393" t="s">
        <v>75</v>
      </c>
      <c r="AE4393" t="s">
        <v>80</v>
      </c>
      <c r="AG4393" t="s">
        <v>81</v>
      </c>
    </row>
    <row r="4394" spans="1:33" x14ac:dyDescent="0.25">
      <c r="A4394" t="str">
        <f>"1932390259"</f>
        <v>1932390259</v>
      </c>
      <c r="C4394" t="s">
        <v>13436</v>
      </c>
      <c r="G4394" t="s">
        <v>22801</v>
      </c>
      <c r="K4394" t="s">
        <v>99</v>
      </c>
      <c r="L4394" t="s">
        <v>74</v>
      </c>
      <c r="M4394" t="s">
        <v>85</v>
      </c>
      <c r="R4394" t="s">
        <v>22802</v>
      </c>
      <c r="S4394" t="s">
        <v>22803</v>
      </c>
      <c r="T4394" t="s">
        <v>97</v>
      </c>
      <c r="U4394" t="s">
        <v>77</v>
      </c>
      <c r="V4394" t="str">
        <f>"10017"</f>
        <v>10017</v>
      </c>
      <c r="AC4394" t="s">
        <v>79</v>
      </c>
      <c r="AD4394" t="s">
        <v>75</v>
      </c>
      <c r="AE4394" t="s">
        <v>103</v>
      </c>
      <c r="AG4394" t="s">
        <v>81</v>
      </c>
    </row>
    <row r="4395" spans="1:33" x14ac:dyDescent="0.25">
      <c r="A4395" t="str">
        <f>"1942231659"</f>
        <v>1942231659</v>
      </c>
      <c r="B4395" t="str">
        <f>"01625745"</f>
        <v>01625745</v>
      </c>
      <c r="C4395" t="s">
        <v>13436</v>
      </c>
      <c r="D4395" t="s">
        <v>22804</v>
      </c>
      <c r="E4395" t="s">
        <v>22805</v>
      </c>
      <c r="G4395" t="s">
        <v>22806</v>
      </c>
      <c r="L4395" t="s">
        <v>83</v>
      </c>
      <c r="M4395" t="s">
        <v>85</v>
      </c>
      <c r="R4395" t="s">
        <v>22807</v>
      </c>
      <c r="W4395" t="s">
        <v>22805</v>
      </c>
      <c r="X4395" t="s">
        <v>2926</v>
      </c>
      <c r="Y4395" t="s">
        <v>97</v>
      </c>
      <c r="Z4395" t="s">
        <v>77</v>
      </c>
      <c r="AA4395" t="str">
        <f>"10029-6503"</f>
        <v>10029-6503</v>
      </c>
      <c r="AB4395" t="s">
        <v>78</v>
      </c>
      <c r="AC4395" t="s">
        <v>79</v>
      </c>
      <c r="AD4395" t="s">
        <v>75</v>
      </c>
      <c r="AE4395" t="s">
        <v>80</v>
      </c>
      <c r="AG4395" t="s">
        <v>81</v>
      </c>
    </row>
    <row r="4396" spans="1:33" x14ac:dyDescent="0.25">
      <c r="A4396" t="str">
        <f>"1952346157"</f>
        <v>1952346157</v>
      </c>
      <c r="B4396" t="str">
        <f>"02762343"</f>
        <v>02762343</v>
      </c>
      <c r="C4396" t="s">
        <v>13436</v>
      </c>
      <c r="D4396" t="s">
        <v>22808</v>
      </c>
      <c r="E4396" t="s">
        <v>22809</v>
      </c>
      <c r="G4396" t="s">
        <v>22810</v>
      </c>
      <c r="L4396" t="s">
        <v>83</v>
      </c>
      <c r="M4396" t="s">
        <v>85</v>
      </c>
      <c r="R4396" t="s">
        <v>22811</v>
      </c>
      <c r="W4396" t="s">
        <v>22809</v>
      </c>
      <c r="X4396" t="s">
        <v>22812</v>
      </c>
      <c r="Y4396" t="s">
        <v>161</v>
      </c>
      <c r="Z4396" t="s">
        <v>77</v>
      </c>
      <c r="AA4396" t="str">
        <f>"11042-1214"</f>
        <v>11042-1214</v>
      </c>
      <c r="AB4396" t="s">
        <v>78</v>
      </c>
      <c r="AC4396" t="s">
        <v>79</v>
      </c>
      <c r="AD4396" t="s">
        <v>75</v>
      </c>
      <c r="AE4396" t="s">
        <v>80</v>
      </c>
      <c r="AG4396" t="s">
        <v>81</v>
      </c>
    </row>
    <row r="4397" spans="1:33" x14ac:dyDescent="0.25">
      <c r="A4397" t="str">
        <f>"1952390528"</f>
        <v>1952390528</v>
      </c>
      <c r="B4397" t="str">
        <f>"02168972"</f>
        <v>02168972</v>
      </c>
      <c r="C4397" t="s">
        <v>13436</v>
      </c>
      <c r="D4397" t="s">
        <v>22813</v>
      </c>
      <c r="E4397" t="s">
        <v>22814</v>
      </c>
      <c r="G4397" t="s">
        <v>22815</v>
      </c>
      <c r="L4397" t="s">
        <v>83</v>
      </c>
      <c r="M4397" t="s">
        <v>85</v>
      </c>
      <c r="R4397" t="s">
        <v>22816</v>
      </c>
      <c r="W4397" t="s">
        <v>22814</v>
      </c>
      <c r="X4397" t="s">
        <v>537</v>
      </c>
      <c r="Y4397" t="s">
        <v>97</v>
      </c>
      <c r="Z4397" t="s">
        <v>77</v>
      </c>
      <c r="AA4397" t="str">
        <f>"10011-8305"</f>
        <v>10011-8305</v>
      </c>
      <c r="AB4397" t="s">
        <v>78</v>
      </c>
      <c r="AC4397" t="s">
        <v>79</v>
      </c>
      <c r="AD4397" t="s">
        <v>75</v>
      </c>
      <c r="AE4397" t="s">
        <v>80</v>
      </c>
      <c r="AG4397" t="s">
        <v>81</v>
      </c>
    </row>
    <row r="4398" spans="1:33" x14ac:dyDescent="0.25">
      <c r="A4398" t="str">
        <f>"1962487553"</f>
        <v>1962487553</v>
      </c>
      <c r="B4398" t="str">
        <f>"02337882"</f>
        <v>02337882</v>
      </c>
      <c r="C4398" t="s">
        <v>13436</v>
      </c>
      <c r="D4398" t="s">
        <v>22817</v>
      </c>
      <c r="E4398" t="s">
        <v>22818</v>
      </c>
      <c r="G4398" t="s">
        <v>22819</v>
      </c>
      <c r="L4398" t="s">
        <v>74</v>
      </c>
      <c r="M4398" t="s">
        <v>85</v>
      </c>
      <c r="R4398" t="s">
        <v>22820</v>
      </c>
      <c r="W4398" t="s">
        <v>22818</v>
      </c>
      <c r="X4398" t="s">
        <v>329</v>
      </c>
      <c r="Y4398" t="s">
        <v>97</v>
      </c>
      <c r="Z4398" t="s">
        <v>77</v>
      </c>
      <c r="AA4398" t="str">
        <f>"10029-6500"</f>
        <v>10029-6500</v>
      </c>
      <c r="AB4398" t="s">
        <v>78</v>
      </c>
      <c r="AC4398" t="s">
        <v>79</v>
      </c>
      <c r="AD4398" t="s">
        <v>75</v>
      </c>
      <c r="AE4398" t="s">
        <v>80</v>
      </c>
      <c r="AG4398" t="s">
        <v>81</v>
      </c>
    </row>
    <row r="4399" spans="1:33" x14ac:dyDescent="0.25">
      <c r="A4399" t="str">
        <f>"1962492215"</f>
        <v>1962492215</v>
      </c>
      <c r="B4399" t="str">
        <f>"00207378"</f>
        <v>00207378</v>
      </c>
      <c r="C4399" t="s">
        <v>13436</v>
      </c>
      <c r="D4399" t="s">
        <v>22821</v>
      </c>
      <c r="E4399" t="s">
        <v>22822</v>
      </c>
      <c r="G4399" t="s">
        <v>22823</v>
      </c>
      <c r="L4399" t="s">
        <v>84</v>
      </c>
      <c r="M4399" t="s">
        <v>85</v>
      </c>
      <c r="R4399" t="s">
        <v>22824</v>
      </c>
      <c r="W4399" t="s">
        <v>22822</v>
      </c>
      <c r="X4399" t="s">
        <v>22825</v>
      </c>
      <c r="Y4399" t="s">
        <v>97</v>
      </c>
      <c r="Z4399" t="s">
        <v>77</v>
      </c>
      <c r="AA4399" t="str">
        <f>"10003-2693"</f>
        <v>10003-2693</v>
      </c>
      <c r="AB4399" t="s">
        <v>78</v>
      </c>
      <c r="AC4399" t="s">
        <v>79</v>
      </c>
      <c r="AD4399" t="s">
        <v>75</v>
      </c>
      <c r="AE4399" t="s">
        <v>80</v>
      </c>
      <c r="AG4399" t="s">
        <v>81</v>
      </c>
    </row>
    <row r="4400" spans="1:33" x14ac:dyDescent="0.25">
      <c r="A4400" t="str">
        <f>"1619113271"</f>
        <v>1619113271</v>
      </c>
      <c r="B4400" t="str">
        <f>"03253936"</f>
        <v>03253936</v>
      </c>
      <c r="C4400" t="s">
        <v>13436</v>
      </c>
      <c r="D4400" t="s">
        <v>22826</v>
      </c>
      <c r="E4400" t="s">
        <v>22827</v>
      </c>
      <c r="G4400" t="s">
        <v>22828</v>
      </c>
      <c r="L4400" t="s">
        <v>83</v>
      </c>
      <c r="M4400" t="s">
        <v>85</v>
      </c>
      <c r="R4400" t="s">
        <v>22829</v>
      </c>
      <c r="W4400" t="s">
        <v>22827</v>
      </c>
      <c r="X4400" t="s">
        <v>3433</v>
      </c>
      <c r="Y4400" t="s">
        <v>97</v>
      </c>
      <c r="Z4400" t="s">
        <v>77</v>
      </c>
      <c r="AA4400" t="str">
        <f>"10003-3805"</f>
        <v>10003-3805</v>
      </c>
      <c r="AB4400" t="s">
        <v>78</v>
      </c>
      <c r="AC4400" t="s">
        <v>79</v>
      </c>
      <c r="AD4400" t="s">
        <v>75</v>
      </c>
      <c r="AE4400" t="s">
        <v>80</v>
      </c>
      <c r="AG4400" t="s">
        <v>81</v>
      </c>
    </row>
    <row r="4401" spans="1:33" x14ac:dyDescent="0.25">
      <c r="A4401" t="str">
        <f>"1295729457"</f>
        <v>1295729457</v>
      </c>
      <c r="B4401" t="str">
        <f>"01591331"</f>
        <v>01591331</v>
      </c>
      <c r="C4401" t="s">
        <v>13436</v>
      </c>
      <c r="D4401" t="s">
        <v>22830</v>
      </c>
      <c r="E4401" t="s">
        <v>22831</v>
      </c>
      <c r="G4401" t="s">
        <v>22832</v>
      </c>
      <c r="L4401" t="s">
        <v>83</v>
      </c>
      <c r="M4401" t="s">
        <v>85</v>
      </c>
      <c r="R4401" t="s">
        <v>22833</v>
      </c>
      <c r="W4401" t="s">
        <v>22831</v>
      </c>
      <c r="X4401" t="s">
        <v>14871</v>
      </c>
      <c r="Y4401" t="s">
        <v>97</v>
      </c>
      <c r="Z4401" t="s">
        <v>77</v>
      </c>
      <c r="AA4401" t="str">
        <f>"10003"</f>
        <v>10003</v>
      </c>
      <c r="AB4401" t="s">
        <v>78</v>
      </c>
      <c r="AC4401" t="s">
        <v>79</v>
      </c>
      <c r="AD4401" t="s">
        <v>75</v>
      </c>
      <c r="AE4401" t="s">
        <v>80</v>
      </c>
      <c r="AG4401" t="s">
        <v>81</v>
      </c>
    </row>
    <row r="4402" spans="1:33" x14ac:dyDescent="0.25">
      <c r="A4402" t="str">
        <f>"1265453880"</f>
        <v>1265453880</v>
      </c>
      <c r="B4402" t="str">
        <f>"01549875"</f>
        <v>01549875</v>
      </c>
      <c r="C4402" t="s">
        <v>13436</v>
      </c>
      <c r="D4402" t="s">
        <v>22834</v>
      </c>
      <c r="E4402" t="s">
        <v>22835</v>
      </c>
      <c r="G4402" t="s">
        <v>22836</v>
      </c>
      <c r="L4402" t="s">
        <v>84</v>
      </c>
      <c r="M4402" t="s">
        <v>85</v>
      </c>
      <c r="R4402" t="s">
        <v>22835</v>
      </c>
      <c r="W4402" t="s">
        <v>22835</v>
      </c>
      <c r="X4402" t="s">
        <v>2838</v>
      </c>
      <c r="Y4402" t="s">
        <v>97</v>
      </c>
      <c r="Z4402" t="s">
        <v>77</v>
      </c>
      <c r="AA4402" t="str">
        <f>"10003-3105"</f>
        <v>10003-3105</v>
      </c>
      <c r="AB4402" t="s">
        <v>78</v>
      </c>
      <c r="AC4402" t="s">
        <v>79</v>
      </c>
      <c r="AD4402" t="s">
        <v>75</v>
      </c>
      <c r="AE4402" t="s">
        <v>80</v>
      </c>
      <c r="AG4402" t="s">
        <v>81</v>
      </c>
    </row>
    <row r="4403" spans="1:33" x14ac:dyDescent="0.25">
      <c r="A4403" t="str">
        <f>"1265475974"</f>
        <v>1265475974</v>
      </c>
      <c r="B4403" t="str">
        <f>"01840106"</f>
        <v>01840106</v>
      </c>
      <c r="C4403" t="s">
        <v>13436</v>
      </c>
      <c r="D4403" t="s">
        <v>22837</v>
      </c>
      <c r="E4403" t="s">
        <v>22838</v>
      </c>
      <c r="G4403" t="s">
        <v>22839</v>
      </c>
      <c r="L4403" t="s">
        <v>84</v>
      </c>
      <c r="M4403" t="s">
        <v>75</v>
      </c>
      <c r="R4403" t="s">
        <v>22838</v>
      </c>
      <c r="W4403" t="s">
        <v>22838</v>
      </c>
      <c r="X4403" t="s">
        <v>2657</v>
      </c>
      <c r="Y4403" t="s">
        <v>87</v>
      </c>
      <c r="Z4403" t="s">
        <v>77</v>
      </c>
      <c r="AA4403" t="str">
        <f>"11229-3716"</f>
        <v>11229-3716</v>
      </c>
      <c r="AB4403" t="s">
        <v>78</v>
      </c>
      <c r="AC4403" t="s">
        <v>79</v>
      </c>
      <c r="AD4403" t="s">
        <v>75</v>
      </c>
      <c r="AE4403" t="s">
        <v>80</v>
      </c>
      <c r="AG4403" t="s">
        <v>81</v>
      </c>
    </row>
    <row r="4404" spans="1:33" x14ac:dyDescent="0.25">
      <c r="A4404" t="str">
        <f>"1336302447"</f>
        <v>1336302447</v>
      </c>
      <c r="B4404" t="str">
        <f>"03850126"</f>
        <v>03850126</v>
      </c>
      <c r="C4404" t="s">
        <v>13436</v>
      </c>
      <c r="D4404" t="s">
        <v>22840</v>
      </c>
      <c r="E4404" t="s">
        <v>22841</v>
      </c>
      <c r="L4404" t="s">
        <v>74</v>
      </c>
      <c r="M4404" t="s">
        <v>75</v>
      </c>
      <c r="R4404" t="s">
        <v>22842</v>
      </c>
      <c r="W4404" t="s">
        <v>22841</v>
      </c>
      <c r="X4404" t="s">
        <v>13521</v>
      </c>
      <c r="Y4404" t="s">
        <v>97</v>
      </c>
      <c r="Z4404" t="s">
        <v>77</v>
      </c>
      <c r="AA4404" t="str">
        <f>"10003-3314"</f>
        <v>10003-3314</v>
      </c>
      <c r="AB4404" t="s">
        <v>78</v>
      </c>
      <c r="AC4404" t="s">
        <v>79</v>
      </c>
      <c r="AD4404" t="s">
        <v>75</v>
      </c>
      <c r="AE4404" t="s">
        <v>80</v>
      </c>
      <c r="AG4404" t="s">
        <v>81</v>
      </c>
    </row>
    <row r="4405" spans="1:33" x14ac:dyDescent="0.25">
      <c r="A4405" t="str">
        <f>"1336305549"</f>
        <v>1336305549</v>
      </c>
      <c r="C4405" t="s">
        <v>13436</v>
      </c>
      <c r="K4405" t="s">
        <v>99</v>
      </c>
      <c r="L4405" t="s">
        <v>102</v>
      </c>
      <c r="M4405" t="s">
        <v>75</v>
      </c>
      <c r="R4405" t="s">
        <v>22843</v>
      </c>
      <c r="S4405" t="s">
        <v>22844</v>
      </c>
      <c r="T4405" t="s">
        <v>11614</v>
      </c>
      <c r="U4405" t="s">
        <v>11615</v>
      </c>
      <c r="V4405" t="str">
        <f>"200373201"</f>
        <v>200373201</v>
      </c>
      <c r="AC4405" t="s">
        <v>79</v>
      </c>
      <c r="AD4405" t="s">
        <v>75</v>
      </c>
      <c r="AE4405" t="s">
        <v>103</v>
      </c>
      <c r="AG4405" t="s">
        <v>81</v>
      </c>
    </row>
    <row r="4406" spans="1:33" x14ac:dyDescent="0.25">
      <c r="A4406" t="str">
        <f>"1518022987"</f>
        <v>1518022987</v>
      </c>
      <c r="B4406" t="str">
        <f>"02682295"</f>
        <v>02682295</v>
      </c>
      <c r="C4406" t="s">
        <v>13436</v>
      </c>
      <c r="D4406" t="s">
        <v>22845</v>
      </c>
      <c r="E4406" t="s">
        <v>22846</v>
      </c>
      <c r="G4406" t="s">
        <v>22847</v>
      </c>
      <c r="L4406" t="s">
        <v>83</v>
      </c>
      <c r="M4406" t="s">
        <v>85</v>
      </c>
      <c r="R4406" t="s">
        <v>22848</v>
      </c>
      <c r="W4406" t="s">
        <v>22846</v>
      </c>
      <c r="X4406" t="s">
        <v>200</v>
      </c>
      <c r="Y4406" t="s">
        <v>97</v>
      </c>
      <c r="Z4406" t="s">
        <v>77</v>
      </c>
      <c r="AA4406" t="str">
        <f>"10032-3720"</f>
        <v>10032-3720</v>
      </c>
      <c r="AB4406" t="s">
        <v>78</v>
      </c>
      <c r="AC4406" t="s">
        <v>79</v>
      </c>
      <c r="AD4406" t="s">
        <v>75</v>
      </c>
      <c r="AE4406" t="s">
        <v>80</v>
      </c>
      <c r="AG4406" t="s">
        <v>81</v>
      </c>
    </row>
    <row r="4407" spans="1:33" x14ac:dyDescent="0.25">
      <c r="A4407" t="str">
        <f>"1518048446"</f>
        <v>1518048446</v>
      </c>
      <c r="B4407" t="str">
        <f>"01889481"</f>
        <v>01889481</v>
      </c>
      <c r="C4407" t="s">
        <v>13436</v>
      </c>
      <c r="D4407" t="s">
        <v>22849</v>
      </c>
      <c r="E4407" t="s">
        <v>22850</v>
      </c>
      <c r="G4407" t="s">
        <v>22851</v>
      </c>
      <c r="L4407" t="s">
        <v>83</v>
      </c>
      <c r="M4407" t="s">
        <v>85</v>
      </c>
      <c r="R4407" t="s">
        <v>22852</v>
      </c>
      <c r="W4407" t="s">
        <v>22850</v>
      </c>
      <c r="X4407" t="s">
        <v>911</v>
      </c>
      <c r="Y4407" t="s">
        <v>97</v>
      </c>
      <c r="Z4407" t="s">
        <v>77</v>
      </c>
      <c r="AA4407" t="str">
        <f>"10025-1716"</f>
        <v>10025-1716</v>
      </c>
      <c r="AB4407" t="s">
        <v>78</v>
      </c>
      <c r="AC4407" t="s">
        <v>79</v>
      </c>
      <c r="AD4407" t="s">
        <v>75</v>
      </c>
      <c r="AE4407" t="s">
        <v>80</v>
      </c>
      <c r="AG4407" t="s">
        <v>81</v>
      </c>
    </row>
    <row r="4408" spans="1:33" x14ac:dyDescent="0.25">
      <c r="A4408" t="str">
        <f>"1518070259"</f>
        <v>1518070259</v>
      </c>
      <c r="B4408" t="str">
        <f>"02411778"</f>
        <v>02411778</v>
      </c>
      <c r="C4408" t="s">
        <v>13436</v>
      </c>
      <c r="D4408" t="s">
        <v>22853</v>
      </c>
      <c r="E4408" t="s">
        <v>22854</v>
      </c>
      <c r="G4408" t="s">
        <v>22855</v>
      </c>
      <c r="L4408" t="s">
        <v>83</v>
      </c>
      <c r="M4408" t="s">
        <v>85</v>
      </c>
      <c r="R4408" t="s">
        <v>22856</v>
      </c>
      <c r="W4408" t="s">
        <v>22854</v>
      </c>
      <c r="X4408" t="s">
        <v>22857</v>
      </c>
      <c r="Y4408" t="s">
        <v>97</v>
      </c>
      <c r="Z4408" t="s">
        <v>77</v>
      </c>
      <c r="AA4408" t="str">
        <f>"10016-3441"</f>
        <v>10016-3441</v>
      </c>
      <c r="AB4408" t="s">
        <v>78</v>
      </c>
      <c r="AC4408" t="s">
        <v>79</v>
      </c>
      <c r="AD4408" t="s">
        <v>75</v>
      </c>
      <c r="AE4408" t="s">
        <v>80</v>
      </c>
      <c r="AG4408" t="s">
        <v>81</v>
      </c>
    </row>
    <row r="4409" spans="1:33" x14ac:dyDescent="0.25">
      <c r="A4409" t="str">
        <f>"1518092048"</f>
        <v>1518092048</v>
      </c>
      <c r="B4409" t="str">
        <f>"02880793"</f>
        <v>02880793</v>
      </c>
      <c r="C4409" t="s">
        <v>13436</v>
      </c>
      <c r="D4409" t="s">
        <v>22858</v>
      </c>
      <c r="E4409" t="s">
        <v>22859</v>
      </c>
      <c r="G4409" t="s">
        <v>22860</v>
      </c>
      <c r="L4409" t="s">
        <v>83</v>
      </c>
      <c r="M4409" t="s">
        <v>85</v>
      </c>
      <c r="R4409" t="s">
        <v>22861</v>
      </c>
      <c r="W4409" t="s">
        <v>22859</v>
      </c>
      <c r="X4409" t="s">
        <v>22862</v>
      </c>
      <c r="Y4409" t="s">
        <v>87</v>
      </c>
      <c r="Z4409" t="s">
        <v>77</v>
      </c>
      <c r="AA4409" t="str">
        <f>"11235-5607"</f>
        <v>11235-5607</v>
      </c>
      <c r="AB4409" t="s">
        <v>78</v>
      </c>
      <c r="AC4409" t="s">
        <v>79</v>
      </c>
      <c r="AD4409" t="s">
        <v>75</v>
      </c>
      <c r="AE4409" t="s">
        <v>80</v>
      </c>
      <c r="AG4409" t="s">
        <v>81</v>
      </c>
    </row>
    <row r="4410" spans="1:33" x14ac:dyDescent="0.25">
      <c r="A4410" t="str">
        <f>"1518902501"</f>
        <v>1518902501</v>
      </c>
      <c r="B4410" t="str">
        <f>"02729555"</f>
        <v>02729555</v>
      </c>
      <c r="C4410" t="s">
        <v>13436</v>
      </c>
      <c r="D4410" t="s">
        <v>22863</v>
      </c>
      <c r="E4410" t="s">
        <v>22864</v>
      </c>
      <c r="G4410" t="s">
        <v>22865</v>
      </c>
      <c r="L4410" t="s">
        <v>83</v>
      </c>
      <c r="M4410" t="s">
        <v>85</v>
      </c>
      <c r="R4410" t="s">
        <v>22866</v>
      </c>
      <c r="W4410" t="s">
        <v>22864</v>
      </c>
      <c r="X4410" t="s">
        <v>22867</v>
      </c>
      <c r="Y4410" t="s">
        <v>97</v>
      </c>
      <c r="Z4410" t="s">
        <v>77</v>
      </c>
      <c r="AA4410" t="str">
        <f>"10019"</f>
        <v>10019</v>
      </c>
      <c r="AB4410" t="s">
        <v>78</v>
      </c>
      <c r="AC4410" t="s">
        <v>79</v>
      </c>
      <c r="AD4410" t="s">
        <v>75</v>
      </c>
      <c r="AE4410" t="s">
        <v>80</v>
      </c>
      <c r="AG4410" t="s">
        <v>81</v>
      </c>
    </row>
    <row r="4411" spans="1:33" x14ac:dyDescent="0.25">
      <c r="A4411" t="str">
        <f>"1518967199"</f>
        <v>1518967199</v>
      </c>
      <c r="B4411" t="str">
        <f>"00656051"</f>
        <v>00656051</v>
      </c>
      <c r="C4411" t="s">
        <v>13436</v>
      </c>
      <c r="D4411" t="s">
        <v>22868</v>
      </c>
      <c r="E4411" t="s">
        <v>22869</v>
      </c>
      <c r="G4411" t="s">
        <v>22870</v>
      </c>
      <c r="L4411" t="s">
        <v>84</v>
      </c>
      <c r="M4411" t="s">
        <v>85</v>
      </c>
      <c r="R4411" t="s">
        <v>22871</v>
      </c>
      <c r="W4411" t="s">
        <v>22869</v>
      </c>
      <c r="X4411" t="s">
        <v>22872</v>
      </c>
      <c r="Y4411" t="s">
        <v>97</v>
      </c>
      <c r="Z4411" t="s">
        <v>77</v>
      </c>
      <c r="AA4411" t="str">
        <f>"10028-0934"</f>
        <v>10028-0934</v>
      </c>
      <c r="AB4411" t="s">
        <v>78</v>
      </c>
      <c r="AC4411" t="s">
        <v>79</v>
      </c>
      <c r="AD4411" t="s">
        <v>75</v>
      </c>
      <c r="AE4411" t="s">
        <v>80</v>
      </c>
      <c r="AG4411" t="s">
        <v>81</v>
      </c>
    </row>
    <row r="4412" spans="1:33" x14ac:dyDescent="0.25">
      <c r="A4412" t="str">
        <f>"1659437861"</f>
        <v>1659437861</v>
      </c>
      <c r="B4412" t="str">
        <f>"00717166"</f>
        <v>00717166</v>
      </c>
      <c r="C4412" t="s">
        <v>22873</v>
      </c>
      <c r="D4412" t="s">
        <v>22874</v>
      </c>
      <c r="E4412" t="s">
        <v>22875</v>
      </c>
      <c r="G4412" t="s">
        <v>22873</v>
      </c>
      <c r="H4412" t="s">
        <v>22876</v>
      </c>
      <c r="L4412" t="s">
        <v>74</v>
      </c>
      <c r="M4412" t="s">
        <v>75</v>
      </c>
      <c r="R4412" t="s">
        <v>22877</v>
      </c>
      <c r="W4412" t="s">
        <v>22875</v>
      </c>
      <c r="X4412" t="s">
        <v>22878</v>
      </c>
      <c r="Y4412" t="s">
        <v>87</v>
      </c>
      <c r="Z4412" t="s">
        <v>77</v>
      </c>
      <c r="AA4412" t="str">
        <f>"11228-3602"</f>
        <v>11228-3602</v>
      </c>
      <c r="AB4412" t="s">
        <v>78</v>
      </c>
      <c r="AC4412" t="s">
        <v>79</v>
      </c>
      <c r="AD4412" t="s">
        <v>75</v>
      </c>
      <c r="AE4412" t="s">
        <v>80</v>
      </c>
      <c r="AG4412" t="s">
        <v>81</v>
      </c>
    </row>
    <row r="4413" spans="1:33" x14ac:dyDescent="0.25">
      <c r="A4413" t="str">
        <f>"1750553301"</f>
        <v>1750553301</v>
      </c>
      <c r="B4413" t="str">
        <f>"02057578"</f>
        <v>02057578</v>
      </c>
      <c r="C4413" t="s">
        <v>22879</v>
      </c>
      <c r="D4413" t="s">
        <v>1116</v>
      </c>
      <c r="E4413" t="s">
        <v>1117</v>
      </c>
      <c r="G4413" t="s">
        <v>17283</v>
      </c>
      <c r="H4413" t="s">
        <v>1118</v>
      </c>
      <c r="I4413">
        <v>235</v>
      </c>
      <c r="J4413" t="s">
        <v>17284</v>
      </c>
      <c r="L4413" t="s">
        <v>105</v>
      </c>
      <c r="M4413" t="s">
        <v>75</v>
      </c>
      <c r="R4413" t="s">
        <v>1119</v>
      </c>
      <c r="W4413" t="s">
        <v>1117</v>
      </c>
      <c r="X4413" t="s">
        <v>1120</v>
      </c>
      <c r="Y4413" t="s">
        <v>131</v>
      </c>
      <c r="Z4413" t="s">
        <v>77</v>
      </c>
      <c r="AA4413" t="str">
        <f>"10467-1419"</f>
        <v>10467-1419</v>
      </c>
      <c r="AB4413" t="s">
        <v>78</v>
      </c>
      <c r="AC4413" t="s">
        <v>79</v>
      </c>
      <c r="AD4413" t="s">
        <v>75</v>
      </c>
      <c r="AE4413" t="s">
        <v>80</v>
      </c>
      <c r="AG4413" t="s">
        <v>81</v>
      </c>
    </row>
    <row r="4414" spans="1:33" x14ac:dyDescent="0.25">
      <c r="A4414" t="str">
        <f>"1992857171"</f>
        <v>1992857171</v>
      </c>
      <c r="B4414" t="str">
        <f>"02895412"</f>
        <v>02895412</v>
      </c>
      <c r="C4414" t="s">
        <v>22880</v>
      </c>
      <c r="D4414" t="s">
        <v>1128</v>
      </c>
      <c r="E4414" t="s">
        <v>1127</v>
      </c>
      <c r="G4414" t="s">
        <v>17283</v>
      </c>
      <c r="H4414" t="s">
        <v>1118</v>
      </c>
      <c r="I4414">
        <v>235</v>
      </c>
      <c r="J4414" t="s">
        <v>17284</v>
      </c>
      <c r="L4414" t="s">
        <v>105</v>
      </c>
      <c r="M4414" t="s">
        <v>75</v>
      </c>
      <c r="R4414" t="s">
        <v>1127</v>
      </c>
      <c r="W4414" t="s">
        <v>1127</v>
      </c>
      <c r="X4414" t="s">
        <v>1129</v>
      </c>
      <c r="Y4414" t="s">
        <v>129</v>
      </c>
      <c r="Z4414" t="s">
        <v>77</v>
      </c>
      <c r="AA4414" t="str">
        <f>"11372-7032"</f>
        <v>11372-7032</v>
      </c>
      <c r="AB4414" t="s">
        <v>113</v>
      </c>
      <c r="AC4414" t="s">
        <v>79</v>
      </c>
      <c r="AD4414" t="s">
        <v>75</v>
      </c>
      <c r="AE4414" t="s">
        <v>80</v>
      </c>
      <c r="AG4414" t="s">
        <v>81</v>
      </c>
    </row>
    <row r="4415" spans="1:33" x14ac:dyDescent="0.25">
      <c r="A4415" t="str">
        <f>"1215046875"</f>
        <v>1215046875</v>
      </c>
      <c r="C4415" t="s">
        <v>22881</v>
      </c>
      <c r="G4415" t="s">
        <v>13504</v>
      </c>
      <c r="H4415" t="s">
        <v>13505</v>
      </c>
      <c r="J4415" t="s">
        <v>13506</v>
      </c>
      <c r="K4415" t="s">
        <v>99</v>
      </c>
      <c r="L4415" t="s">
        <v>102</v>
      </c>
      <c r="M4415" t="s">
        <v>75</v>
      </c>
      <c r="R4415" t="s">
        <v>22882</v>
      </c>
      <c r="S4415" t="s">
        <v>202</v>
      </c>
      <c r="T4415" t="s">
        <v>87</v>
      </c>
      <c r="U4415" t="s">
        <v>77</v>
      </c>
      <c r="V4415" t="str">
        <f>"112015425"</f>
        <v>112015425</v>
      </c>
      <c r="AC4415" t="s">
        <v>79</v>
      </c>
      <c r="AD4415" t="s">
        <v>75</v>
      </c>
      <c r="AE4415" t="s">
        <v>103</v>
      </c>
      <c r="AG4415" t="s">
        <v>81</v>
      </c>
    </row>
    <row r="4416" spans="1:33" x14ac:dyDescent="0.25">
      <c r="A4416" t="str">
        <f>"1699832964"</f>
        <v>1699832964</v>
      </c>
      <c r="B4416" t="str">
        <f>"03319019"</f>
        <v>03319019</v>
      </c>
      <c r="C4416" t="s">
        <v>22883</v>
      </c>
      <c r="D4416" t="s">
        <v>22884</v>
      </c>
      <c r="E4416" t="s">
        <v>22885</v>
      </c>
      <c r="G4416" t="s">
        <v>13504</v>
      </c>
      <c r="H4416" t="s">
        <v>13505</v>
      </c>
      <c r="J4416" t="s">
        <v>13506</v>
      </c>
      <c r="L4416" t="s">
        <v>84</v>
      </c>
      <c r="M4416" t="s">
        <v>75</v>
      </c>
      <c r="R4416" t="s">
        <v>22886</v>
      </c>
      <c r="W4416" t="s">
        <v>22885</v>
      </c>
      <c r="X4416" t="s">
        <v>22887</v>
      </c>
      <c r="Y4416" t="s">
        <v>179</v>
      </c>
      <c r="Z4416" t="s">
        <v>77</v>
      </c>
      <c r="AA4416" t="str">
        <f>"11550-3049"</f>
        <v>11550-3049</v>
      </c>
      <c r="AB4416" t="s">
        <v>78</v>
      </c>
      <c r="AC4416" t="s">
        <v>79</v>
      </c>
      <c r="AD4416" t="s">
        <v>75</v>
      </c>
      <c r="AE4416" t="s">
        <v>80</v>
      </c>
      <c r="AG4416" t="s">
        <v>81</v>
      </c>
    </row>
    <row r="4417" spans="1:33" x14ac:dyDescent="0.25">
      <c r="A4417" t="str">
        <f>"1477871804"</f>
        <v>1477871804</v>
      </c>
      <c r="B4417" t="str">
        <f>"03218917"</f>
        <v>03218917</v>
      </c>
      <c r="C4417" t="s">
        <v>22888</v>
      </c>
      <c r="D4417" t="s">
        <v>22889</v>
      </c>
      <c r="E4417" t="s">
        <v>22890</v>
      </c>
      <c r="G4417" t="s">
        <v>13504</v>
      </c>
      <c r="H4417" t="s">
        <v>13505</v>
      </c>
      <c r="J4417" t="s">
        <v>13506</v>
      </c>
      <c r="L4417" t="s">
        <v>74</v>
      </c>
      <c r="M4417" t="s">
        <v>75</v>
      </c>
      <c r="R4417" t="s">
        <v>22890</v>
      </c>
      <c r="W4417" t="s">
        <v>22890</v>
      </c>
      <c r="X4417" t="s">
        <v>22891</v>
      </c>
      <c r="Y4417" t="s">
        <v>313</v>
      </c>
      <c r="Z4417" t="s">
        <v>77</v>
      </c>
      <c r="AA4417" t="str">
        <f>"11429-1235"</f>
        <v>11429-1235</v>
      </c>
      <c r="AB4417" t="s">
        <v>78</v>
      </c>
      <c r="AC4417" t="s">
        <v>79</v>
      </c>
      <c r="AD4417" t="s">
        <v>75</v>
      </c>
      <c r="AE4417" t="s">
        <v>80</v>
      </c>
      <c r="AG4417" t="s">
        <v>81</v>
      </c>
    </row>
    <row r="4418" spans="1:33" x14ac:dyDescent="0.25">
      <c r="A4418" t="str">
        <f>"1417251927"</f>
        <v>1417251927</v>
      </c>
      <c r="C4418" t="s">
        <v>22892</v>
      </c>
      <c r="G4418" t="s">
        <v>13504</v>
      </c>
      <c r="H4418" t="s">
        <v>13505</v>
      </c>
      <c r="J4418" t="s">
        <v>13506</v>
      </c>
      <c r="K4418" t="s">
        <v>99</v>
      </c>
      <c r="L4418" t="s">
        <v>102</v>
      </c>
      <c r="M4418" t="s">
        <v>75</v>
      </c>
      <c r="R4418" t="s">
        <v>22893</v>
      </c>
      <c r="S4418" t="s">
        <v>22894</v>
      </c>
      <c r="T4418" t="s">
        <v>97</v>
      </c>
      <c r="U4418" t="s">
        <v>77</v>
      </c>
      <c r="V4418" t="str">
        <f>"100382612"</f>
        <v>100382612</v>
      </c>
      <c r="AC4418" t="s">
        <v>79</v>
      </c>
      <c r="AD4418" t="s">
        <v>75</v>
      </c>
      <c r="AE4418" t="s">
        <v>103</v>
      </c>
      <c r="AG4418" t="s">
        <v>81</v>
      </c>
    </row>
    <row r="4419" spans="1:33" x14ac:dyDescent="0.25">
      <c r="A4419" t="str">
        <f>"1427030824"</f>
        <v>1427030824</v>
      </c>
      <c r="B4419" t="str">
        <f>"02086368"</f>
        <v>02086368</v>
      </c>
      <c r="C4419" t="s">
        <v>13436</v>
      </c>
      <c r="D4419" t="s">
        <v>22895</v>
      </c>
      <c r="E4419" t="s">
        <v>22896</v>
      </c>
      <c r="G4419" t="s">
        <v>22897</v>
      </c>
      <c r="L4419" t="s">
        <v>84</v>
      </c>
      <c r="M4419" t="s">
        <v>85</v>
      </c>
      <c r="R4419" t="s">
        <v>22898</v>
      </c>
      <c r="W4419" t="s">
        <v>22896</v>
      </c>
      <c r="X4419" t="s">
        <v>22899</v>
      </c>
      <c r="Y4419" t="s">
        <v>97</v>
      </c>
      <c r="Z4419" t="s">
        <v>77</v>
      </c>
      <c r="AA4419" t="str">
        <f>"10003"</f>
        <v>10003</v>
      </c>
      <c r="AB4419" t="s">
        <v>78</v>
      </c>
      <c r="AC4419" t="s">
        <v>79</v>
      </c>
      <c r="AD4419" t="s">
        <v>75</v>
      </c>
      <c r="AE4419" t="s">
        <v>80</v>
      </c>
      <c r="AG4419" t="s">
        <v>81</v>
      </c>
    </row>
    <row r="4420" spans="1:33" x14ac:dyDescent="0.25">
      <c r="A4420" t="str">
        <f>"1053358689"</f>
        <v>1053358689</v>
      </c>
      <c r="B4420" t="str">
        <f>"01744238"</f>
        <v>01744238</v>
      </c>
      <c r="C4420" t="s">
        <v>22900</v>
      </c>
      <c r="D4420" t="s">
        <v>5923</v>
      </c>
      <c r="E4420" t="s">
        <v>5924</v>
      </c>
      <c r="G4420" t="s">
        <v>9477</v>
      </c>
      <c r="H4420" t="s">
        <v>4867</v>
      </c>
      <c r="I4420">
        <v>135</v>
      </c>
      <c r="J4420" t="s">
        <v>5634</v>
      </c>
      <c r="L4420" t="s">
        <v>83</v>
      </c>
      <c r="M4420" t="s">
        <v>85</v>
      </c>
      <c r="R4420" t="s">
        <v>5925</v>
      </c>
      <c r="W4420" t="s">
        <v>5924</v>
      </c>
      <c r="X4420" t="s">
        <v>5310</v>
      </c>
      <c r="Y4420" t="s">
        <v>227</v>
      </c>
      <c r="Z4420" t="s">
        <v>77</v>
      </c>
      <c r="AA4420" t="str">
        <f>"10604-3102"</f>
        <v>10604-3102</v>
      </c>
      <c r="AB4420" t="s">
        <v>78</v>
      </c>
      <c r="AC4420" t="s">
        <v>79</v>
      </c>
      <c r="AD4420" t="s">
        <v>75</v>
      </c>
      <c r="AE4420" t="s">
        <v>80</v>
      </c>
      <c r="AG4420" t="s">
        <v>81</v>
      </c>
    </row>
    <row r="4421" spans="1:33" x14ac:dyDescent="0.25">
      <c r="A4421" t="str">
        <f>"1184938094"</f>
        <v>1184938094</v>
      </c>
      <c r="B4421" t="str">
        <f>"03544492"</f>
        <v>03544492</v>
      </c>
      <c r="C4421" t="s">
        <v>22901</v>
      </c>
      <c r="D4421" t="s">
        <v>1433</v>
      </c>
      <c r="E4421" t="s">
        <v>1434</v>
      </c>
      <c r="G4421" t="s">
        <v>17283</v>
      </c>
      <c r="H4421" t="s">
        <v>1118</v>
      </c>
      <c r="I4421">
        <v>235</v>
      </c>
      <c r="J4421" t="s">
        <v>17284</v>
      </c>
      <c r="L4421" t="s">
        <v>105</v>
      </c>
      <c r="M4421" t="s">
        <v>75</v>
      </c>
      <c r="R4421" t="s">
        <v>1435</v>
      </c>
      <c r="W4421" t="s">
        <v>1436</v>
      </c>
      <c r="X4421" t="s">
        <v>1437</v>
      </c>
      <c r="Y4421" t="s">
        <v>190</v>
      </c>
      <c r="Z4421" t="s">
        <v>77</v>
      </c>
      <c r="AA4421" t="str">
        <f>"11101-2829"</f>
        <v>11101-2829</v>
      </c>
      <c r="AB4421" t="s">
        <v>113</v>
      </c>
      <c r="AC4421" t="s">
        <v>79</v>
      </c>
      <c r="AD4421" t="s">
        <v>75</v>
      </c>
      <c r="AE4421" t="s">
        <v>80</v>
      </c>
      <c r="AG4421" t="s">
        <v>81</v>
      </c>
    </row>
    <row r="4422" spans="1:33" x14ac:dyDescent="0.25">
      <c r="A4422" t="str">
        <f>"1518229236"</f>
        <v>1518229236</v>
      </c>
      <c r="B4422" t="str">
        <f>"04398183"</f>
        <v>04398183</v>
      </c>
      <c r="C4422" t="s">
        <v>22902</v>
      </c>
      <c r="D4422" t="s">
        <v>1443</v>
      </c>
      <c r="E4422" t="s">
        <v>1444</v>
      </c>
      <c r="G4422" t="s">
        <v>17283</v>
      </c>
      <c r="H4422" t="s">
        <v>1118</v>
      </c>
      <c r="I4422">
        <v>235</v>
      </c>
      <c r="J4422" t="s">
        <v>17284</v>
      </c>
      <c r="L4422" t="s">
        <v>74</v>
      </c>
      <c r="M4422" t="s">
        <v>75</v>
      </c>
      <c r="R4422" t="s">
        <v>1442</v>
      </c>
      <c r="W4422" t="s">
        <v>1445</v>
      </c>
      <c r="X4422" t="s">
        <v>1446</v>
      </c>
      <c r="Y4422" t="s">
        <v>190</v>
      </c>
      <c r="Z4422" t="s">
        <v>77</v>
      </c>
      <c r="AA4422" t="str">
        <f>"11101-2829"</f>
        <v>11101-2829</v>
      </c>
      <c r="AB4422" t="s">
        <v>113</v>
      </c>
      <c r="AC4422" t="s">
        <v>79</v>
      </c>
      <c r="AD4422" t="s">
        <v>75</v>
      </c>
      <c r="AE4422" t="s">
        <v>80</v>
      </c>
      <c r="AG4422" t="s">
        <v>81</v>
      </c>
    </row>
    <row r="4423" spans="1:33" x14ac:dyDescent="0.25">
      <c r="A4423" t="str">
        <f>"1912166877"</f>
        <v>1912166877</v>
      </c>
      <c r="B4423" t="str">
        <f>"03526625"</f>
        <v>03526625</v>
      </c>
      <c r="C4423" t="s">
        <v>22903</v>
      </c>
      <c r="D4423" t="s">
        <v>22904</v>
      </c>
      <c r="E4423" t="s">
        <v>22905</v>
      </c>
      <c r="G4423" t="s">
        <v>22903</v>
      </c>
      <c r="H4423" t="s">
        <v>20994</v>
      </c>
      <c r="J4423" t="s">
        <v>22906</v>
      </c>
      <c r="L4423" t="s">
        <v>83</v>
      </c>
      <c r="M4423" t="s">
        <v>85</v>
      </c>
      <c r="R4423" t="s">
        <v>22907</v>
      </c>
      <c r="W4423" t="s">
        <v>22908</v>
      </c>
      <c r="X4423" t="s">
        <v>329</v>
      </c>
      <c r="Y4423" t="s">
        <v>97</v>
      </c>
      <c r="Z4423" t="s">
        <v>77</v>
      </c>
      <c r="AA4423" t="str">
        <f>"10029-6500"</f>
        <v>10029-6500</v>
      </c>
      <c r="AB4423" t="s">
        <v>78</v>
      </c>
      <c r="AC4423" t="s">
        <v>79</v>
      </c>
      <c r="AD4423" t="s">
        <v>75</v>
      </c>
      <c r="AE4423" t="s">
        <v>80</v>
      </c>
      <c r="AG4423" t="s">
        <v>81</v>
      </c>
    </row>
    <row r="4424" spans="1:33" x14ac:dyDescent="0.25">
      <c r="A4424" t="str">
        <f>"1669429569"</f>
        <v>1669429569</v>
      </c>
      <c r="B4424" t="str">
        <f>"01655678"</f>
        <v>01655678</v>
      </c>
      <c r="C4424" t="s">
        <v>22909</v>
      </c>
      <c r="D4424" t="s">
        <v>5125</v>
      </c>
      <c r="E4424" t="s">
        <v>5126</v>
      </c>
      <c r="G4424" t="s">
        <v>22909</v>
      </c>
      <c r="H4424" t="s">
        <v>22910</v>
      </c>
      <c r="J4424" t="s">
        <v>22911</v>
      </c>
      <c r="L4424" t="s">
        <v>74</v>
      </c>
      <c r="M4424" t="s">
        <v>75</v>
      </c>
      <c r="R4424" t="s">
        <v>5127</v>
      </c>
      <c r="W4424" t="s">
        <v>5126</v>
      </c>
      <c r="X4424" t="s">
        <v>5128</v>
      </c>
      <c r="Y4424" t="s">
        <v>97</v>
      </c>
      <c r="Z4424" t="s">
        <v>77</v>
      </c>
      <c r="AA4424" t="str">
        <f>"10029-4413"</f>
        <v>10029-4413</v>
      </c>
      <c r="AB4424" t="s">
        <v>78</v>
      </c>
      <c r="AC4424" t="s">
        <v>79</v>
      </c>
      <c r="AD4424" t="s">
        <v>75</v>
      </c>
      <c r="AE4424" t="s">
        <v>80</v>
      </c>
      <c r="AG4424" t="s">
        <v>81</v>
      </c>
    </row>
    <row r="4425" spans="1:33" x14ac:dyDescent="0.25">
      <c r="A4425" t="str">
        <f>"1073543377"</f>
        <v>1073543377</v>
      </c>
      <c r="B4425" t="str">
        <f>"02196261"</f>
        <v>02196261</v>
      </c>
      <c r="C4425" t="s">
        <v>22912</v>
      </c>
      <c r="D4425" t="s">
        <v>2170</v>
      </c>
      <c r="E4425" t="s">
        <v>2171</v>
      </c>
      <c r="G4425" t="s">
        <v>22912</v>
      </c>
      <c r="H4425" t="s">
        <v>22913</v>
      </c>
      <c r="J4425" t="s">
        <v>22914</v>
      </c>
      <c r="L4425" t="s">
        <v>74</v>
      </c>
      <c r="M4425" t="s">
        <v>85</v>
      </c>
      <c r="R4425" t="s">
        <v>2169</v>
      </c>
      <c r="W4425" t="s">
        <v>2172</v>
      </c>
      <c r="X4425" t="s">
        <v>2173</v>
      </c>
      <c r="Y4425" t="s">
        <v>91</v>
      </c>
      <c r="Z4425" t="s">
        <v>77</v>
      </c>
      <c r="AA4425" t="str">
        <f>"11373-1217"</f>
        <v>11373-1217</v>
      </c>
      <c r="AB4425" t="s">
        <v>78</v>
      </c>
      <c r="AC4425" t="s">
        <v>79</v>
      </c>
      <c r="AD4425" t="s">
        <v>75</v>
      </c>
      <c r="AE4425" t="s">
        <v>80</v>
      </c>
      <c r="AG4425" t="s">
        <v>81</v>
      </c>
    </row>
    <row r="4426" spans="1:33" x14ac:dyDescent="0.25">
      <c r="A4426" t="str">
        <f>"1558510511"</f>
        <v>1558510511</v>
      </c>
      <c r="B4426" t="str">
        <f>"03068637"</f>
        <v>03068637</v>
      </c>
      <c r="C4426" t="s">
        <v>22915</v>
      </c>
      <c r="D4426" t="s">
        <v>22916</v>
      </c>
      <c r="E4426" t="s">
        <v>22917</v>
      </c>
      <c r="G4426" t="s">
        <v>22915</v>
      </c>
      <c r="H4426" t="s">
        <v>22918</v>
      </c>
      <c r="J4426" t="s">
        <v>22919</v>
      </c>
      <c r="L4426" t="s">
        <v>143</v>
      </c>
      <c r="M4426" t="s">
        <v>75</v>
      </c>
      <c r="R4426" t="s">
        <v>22920</v>
      </c>
      <c r="W4426" t="s">
        <v>22920</v>
      </c>
      <c r="X4426" t="s">
        <v>253</v>
      </c>
      <c r="Y4426" t="s">
        <v>131</v>
      </c>
      <c r="Z4426" t="s">
        <v>77</v>
      </c>
      <c r="AA4426" t="str">
        <f>"10466-2604"</f>
        <v>10466-2604</v>
      </c>
      <c r="AB4426" t="s">
        <v>78</v>
      </c>
      <c r="AC4426" t="s">
        <v>79</v>
      </c>
      <c r="AD4426" t="s">
        <v>75</v>
      </c>
      <c r="AE4426" t="s">
        <v>80</v>
      </c>
      <c r="AG4426" t="s">
        <v>81</v>
      </c>
    </row>
    <row r="4427" spans="1:33" x14ac:dyDescent="0.25">
      <c r="A4427" t="str">
        <f>"1326093329"</f>
        <v>1326093329</v>
      </c>
      <c r="B4427" t="str">
        <f>"02752225"</f>
        <v>02752225</v>
      </c>
      <c r="C4427" t="s">
        <v>22921</v>
      </c>
      <c r="D4427" t="s">
        <v>3917</v>
      </c>
      <c r="E4427" t="s">
        <v>3918</v>
      </c>
      <c r="G4427" t="s">
        <v>19876</v>
      </c>
      <c r="H4427" t="s">
        <v>3629</v>
      </c>
      <c r="J4427" t="s">
        <v>19877</v>
      </c>
      <c r="L4427" t="s">
        <v>84</v>
      </c>
      <c r="M4427" t="s">
        <v>85</v>
      </c>
      <c r="R4427" t="s">
        <v>3919</v>
      </c>
      <c r="W4427" t="s">
        <v>3918</v>
      </c>
      <c r="X4427" t="s">
        <v>432</v>
      </c>
      <c r="Y4427" t="s">
        <v>97</v>
      </c>
      <c r="Z4427" t="s">
        <v>77</v>
      </c>
      <c r="AA4427" t="str">
        <f>"10034-1159"</f>
        <v>10034-1159</v>
      </c>
      <c r="AB4427" t="s">
        <v>78</v>
      </c>
      <c r="AC4427" t="s">
        <v>79</v>
      </c>
      <c r="AD4427" t="s">
        <v>75</v>
      </c>
      <c r="AE4427" t="s">
        <v>80</v>
      </c>
      <c r="AG4427" t="s">
        <v>81</v>
      </c>
    </row>
    <row r="4428" spans="1:33" x14ac:dyDescent="0.25">
      <c r="A4428" t="str">
        <f>"1730190828"</f>
        <v>1730190828</v>
      </c>
      <c r="B4428" t="str">
        <f>"01813932"</f>
        <v>01813932</v>
      </c>
      <c r="C4428" t="s">
        <v>22922</v>
      </c>
      <c r="D4428" t="s">
        <v>3920</v>
      </c>
      <c r="E4428" t="s">
        <v>3921</v>
      </c>
      <c r="G4428" t="s">
        <v>19873</v>
      </c>
      <c r="H4428" t="s">
        <v>3634</v>
      </c>
      <c r="J4428" t="s">
        <v>19874</v>
      </c>
      <c r="L4428" t="s">
        <v>84</v>
      </c>
      <c r="M4428" t="s">
        <v>75</v>
      </c>
      <c r="R4428" t="s">
        <v>3922</v>
      </c>
      <c r="W4428" t="s">
        <v>3921</v>
      </c>
      <c r="X4428" t="s">
        <v>470</v>
      </c>
      <c r="Y4428" t="s">
        <v>97</v>
      </c>
      <c r="Z4428" t="s">
        <v>77</v>
      </c>
      <c r="AA4428" t="str">
        <f>"10034-1199"</f>
        <v>10034-1199</v>
      </c>
      <c r="AB4428" t="s">
        <v>78</v>
      </c>
      <c r="AC4428" t="s">
        <v>79</v>
      </c>
      <c r="AD4428" t="s">
        <v>75</v>
      </c>
      <c r="AE4428" t="s">
        <v>80</v>
      </c>
      <c r="AG4428" t="s">
        <v>81</v>
      </c>
    </row>
    <row r="4429" spans="1:33" x14ac:dyDescent="0.25">
      <c r="A4429" t="str">
        <f>"1720094436"</f>
        <v>1720094436</v>
      </c>
      <c r="B4429" t="str">
        <f>"02800342"</f>
        <v>02800342</v>
      </c>
      <c r="C4429" t="s">
        <v>22923</v>
      </c>
      <c r="D4429" t="s">
        <v>3923</v>
      </c>
      <c r="E4429" t="s">
        <v>3924</v>
      </c>
      <c r="G4429" t="s">
        <v>19873</v>
      </c>
      <c r="H4429" t="s">
        <v>3634</v>
      </c>
      <c r="J4429" t="s">
        <v>19874</v>
      </c>
      <c r="L4429" t="s">
        <v>74</v>
      </c>
      <c r="M4429" t="s">
        <v>75</v>
      </c>
      <c r="R4429" t="s">
        <v>3925</v>
      </c>
      <c r="W4429" t="s">
        <v>3924</v>
      </c>
      <c r="X4429" t="s">
        <v>200</v>
      </c>
      <c r="Y4429" t="s">
        <v>97</v>
      </c>
      <c r="Z4429" t="s">
        <v>77</v>
      </c>
      <c r="AA4429" t="str">
        <f>"10032-3720"</f>
        <v>10032-3720</v>
      </c>
      <c r="AB4429" t="s">
        <v>78</v>
      </c>
      <c r="AC4429" t="s">
        <v>79</v>
      </c>
      <c r="AD4429" t="s">
        <v>75</v>
      </c>
      <c r="AE4429" t="s">
        <v>80</v>
      </c>
      <c r="AG4429" t="s">
        <v>81</v>
      </c>
    </row>
    <row r="4430" spans="1:33" x14ac:dyDescent="0.25">
      <c r="A4430" t="str">
        <f>"1528103397"</f>
        <v>1528103397</v>
      </c>
      <c r="B4430" t="str">
        <f>"00754889"</f>
        <v>00754889</v>
      </c>
      <c r="C4430" t="s">
        <v>22924</v>
      </c>
      <c r="D4430" t="s">
        <v>1072</v>
      </c>
      <c r="E4430" t="s">
        <v>1073</v>
      </c>
      <c r="L4430" t="s">
        <v>83</v>
      </c>
      <c r="M4430" t="s">
        <v>75</v>
      </c>
      <c r="R4430" t="s">
        <v>1074</v>
      </c>
      <c r="W4430" t="s">
        <v>1073</v>
      </c>
      <c r="X4430" t="s">
        <v>1075</v>
      </c>
      <c r="Y4430" t="s">
        <v>131</v>
      </c>
      <c r="Z4430" t="s">
        <v>77</v>
      </c>
      <c r="AA4430" t="str">
        <f>"10463-3992"</f>
        <v>10463-3992</v>
      </c>
      <c r="AB4430" t="s">
        <v>78</v>
      </c>
      <c r="AC4430" t="s">
        <v>79</v>
      </c>
      <c r="AD4430" t="s">
        <v>75</v>
      </c>
      <c r="AE4430" t="s">
        <v>80</v>
      </c>
      <c r="AG4430" t="s">
        <v>81</v>
      </c>
    </row>
    <row r="4431" spans="1:33" x14ac:dyDescent="0.25">
      <c r="A4431" t="str">
        <f>"1871689992"</f>
        <v>1871689992</v>
      </c>
      <c r="B4431" t="str">
        <f>"02567875"</f>
        <v>02567875</v>
      </c>
      <c r="C4431" t="s">
        <v>22925</v>
      </c>
      <c r="D4431" t="s">
        <v>3926</v>
      </c>
      <c r="E4431" t="s">
        <v>3927</v>
      </c>
      <c r="G4431" t="s">
        <v>19876</v>
      </c>
      <c r="H4431" t="s">
        <v>3629</v>
      </c>
      <c r="J4431" t="s">
        <v>19877</v>
      </c>
      <c r="L4431" t="s">
        <v>74</v>
      </c>
      <c r="M4431" t="s">
        <v>75</v>
      </c>
      <c r="R4431" t="s">
        <v>3928</v>
      </c>
      <c r="W4431" t="s">
        <v>3927</v>
      </c>
      <c r="X4431" t="s">
        <v>3929</v>
      </c>
      <c r="Y4431" t="s">
        <v>131</v>
      </c>
      <c r="Z4431" t="s">
        <v>77</v>
      </c>
      <c r="AA4431" t="str">
        <f>"10466-2600"</f>
        <v>10466-2600</v>
      </c>
      <c r="AB4431" t="s">
        <v>78</v>
      </c>
      <c r="AC4431" t="s">
        <v>79</v>
      </c>
      <c r="AD4431" t="s">
        <v>75</v>
      </c>
      <c r="AE4431" t="s">
        <v>80</v>
      </c>
      <c r="AG4431" t="s">
        <v>81</v>
      </c>
    </row>
    <row r="4432" spans="1:33" x14ac:dyDescent="0.25">
      <c r="A4432" t="str">
        <f>"1821498916"</f>
        <v>1821498916</v>
      </c>
      <c r="B4432" t="str">
        <f>"04219985"</f>
        <v>04219985</v>
      </c>
      <c r="C4432" t="s">
        <v>22926</v>
      </c>
      <c r="D4432" t="s">
        <v>6057</v>
      </c>
      <c r="E4432" t="s">
        <v>6058</v>
      </c>
      <c r="G4432" t="s">
        <v>22926</v>
      </c>
      <c r="H4432" t="s">
        <v>22927</v>
      </c>
      <c r="J4432" t="s">
        <v>22928</v>
      </c>
      <c r="L4432" t="s">
        <v>74</v>
      </c>
      <c r="M4432" t="s">
        <v>75</v>
      </c>
      <c r="R4432" t="s">
        <v>6059</v>
      </c>
      <c r="W4432" t="s">
        <v>6058</v>
      </c>
      <c r="X4432" t="s">
        <v>1163</v>
      </c>
      <c r="Y4432" t="s">
        <v>97</v>
      </c>
      <c r="Z4432" t="s">
        <v>77</v>
      </c>
      <c r="AA4432" t="str">
        <f>"10029-4413"</f>
        <v>10029-4413</v>
      </c>
      <c r="AB4432" t="s">
        <v>78</v>
      </c>
      <c r="AC4432" t="s">
        <v>79</v>
      </c>
      <c r="AD4432" t="s">
        <v>75</v>
      </c>
      <c r="AE4432" t="s">
        <v>80</v>
      </c>
      <c r="AG4432" t="s">
        <v>81</v>
      </c>
    </row>
    <row r="4433" spans="1:33" x14ac:dyDescent="0.25">
      <c r="A4433" t="str">
        <f>"1760612162"</f>
        <v>1760612162</v>
      </c>
      <c r="B4433" t="str">
        <f>"03288855"</f>
        <v>03288855</v>
      </c>
      <c r="C4433" t="s">
        <v>13436</v>
      </c>
      <c r="D4433" t="s">
        <v>22929</v>
      </c>
      <c r="E4433" t="s">
        <v>22930</v>
      </c>
      <c r="G4433" t="s">
        <v>22931</v>
      </c>
      <c r="L4433" t="s">
        <v>74</v>
      </c>
      <c r="M4433" t="s">
        <v>85</v>
      </c>
      <c r="R4433" t="s">
        <v>22932</v>
      </c>
      <c r="W4433" t="s">
        <v>22930</v>
      </c>
      <c r="X4433" t="s">
        <v>181</v>
      </c>
      <c r="Y4433" t="s">
        <v>97</v>
      </c>
      <c r="Z4433" t="s">
        <v>77</v>
      </c>
      <c r="AA4433" t="str">
        <f>"10025-1716"</f>
        <v>10025-1716</v>
      </c>
      <c r="AB4433" t="s">
        <v>78</v>
      </c>
      <c r="AC4433" t="s">
        <v>79</v>
      </c>
      <c r="AD4433" t="s">
        <v>75</v>
      </c>
      <c r="AE4433" t="s">
        <v>80</v>
      </c>
      <c r="AG4433" t="s">
        <v>81</v>
      </c>
    </row>
    <row r="4434" spans="1:33" x14ac:dyDescent="0.25">
      <c r="A4434" t="str">
        <f>"1184970436"</f>
        <v>1184970436</v>
      </c>
      <c r="B4434" t="str">
        <f>"03529173"</f>
        <v>03529173</v>
      </c>
      <c r="C4434" t="s">
        <v>22933</v>
      </c>
      <c r="D4434" t="s">
        <v>22934</v>
      </c>
      <c r="E4434" t="s">
        <v>22935</v>
      </c>
      <c r="G4434" t="s">
        <v>7218</v>
      </c>
      <c r="H4434" t="s">
        <v>6801</v>
      </c>
      <c r="I4434">
        <v>6136</v>
      </c>
      <c r="J4434" t="s">
        <v>7219</v>
      </c>
      <c r="L4434" t="s">
        <v>74</v>
      </c>
      <c r="M4434" t="s">
        <v>75</v>
      </c>
      <c r="R4434" t="s">
        <v>22936</v>
      </c>
      <c r="W4434" t="s">
        <v>22935</v>
      </c>
      <c r="X4434" t="s">
        <v>9151</v>
      </c>
      <c r="Y4434" t="s">
        <v>97</v>
      </c>
      <c r="Z4434" t="s">
        <v>77</v>
      </c>
      <c r="AA4434" t="str">
        <f>"10001-2320"</f>
        <v>10001-2320</v>
      </c>
      <c r="AB4434" t="s">
        <v>113</v>
      </c>
      <c r="AC4434" t="s">
        <v>79</v>
      </c>
      <c r="AD4434" t="s">
        <v>75</v>
      </c>
      <c r="AE4434" t="s">
        <v>80</v>
      </c>
      <c r="AG4434" t="s">
        <v>81</v>
      </c>
    </row>
    <row r="4435" spans="1:33" x14ac:dyDescent="0.25">
      <c r="A4435" t="str">
        <f>"1194804476"</f>
        <v>1194804476</v>
      </c>
      <c r="B4435" t="str">
        <f>"02584398"</f>
        <v>02584398</v>
      </c>
      <c r="C4435" t="s">
        <v>22937</v>
      </c>
      <c r="D4435" t="s">
        <v>22938</v>
      </c>
      <c r="E4435" t="s">
        <v>3915</v>
      </c>
      <c r="G4435" t="s">
        <v>7218</v>
      </c>
      <c r="H4435" t="s">
        <v>6801</v>
      </c>
      <c r="I4435">
        <v>6136</v>
      </c>
      <c r="J4435" t="s">
        <v>7219</v>
      </c>
      <c r="L4435" t="s">
        <v>74</v>
      </c>
      <c r="M4435" t="s">
        <v>75</v>
      </c>
      <c r="R4435" t="s">
        <v>22939</v>
      </c>
      <c r="W4435" t="s">
        <v>3915</v>
      </c>
      <c r="X4435" t="s">
        <v>22940</v>
      </c>
      <c r="Y4435" t="s">
        <v>180</v>
      </c>
      <c r="Z4435" t="s">
        <v>77</v>
      </c>
      <c r="AA4435" t="str">
        <f>"10705-4735"</f>
        <v>10705-4735</v>
      </c>
      <c r="AB4435" t="s">
        <v>109</v>
      </c>
      <c r="AC4435" t="s">
        <v>79</v>
      </c>
      <c r="AD4435" t="s">
        <v>75</v>
      </c>
      <c r="AE4435" t="s">
        <v>80</v>
      </c>
      <c r="AG4435" t="s">
        <v>81</v>
      </c>
    </row>
    <row r="4436" spans="1:33" x14ac:dyDescent="0.25">
      <c r="A4436" t="str">
        <f>"1205036795"</f>
        <v>1205036795</v>
      </c>
      <c r="B4436" t="str">
        <f>"03106778"</f>
        <v>03106778</v>
      </c>
      <c r="C4436" t="s">
        <v>22941</v>
      </c>
      <c r="D4436" t="s">
        <v>22942</v>
      </c>
      <c r="E4436" t="s">
        <v>22943</v>
      </c>
      <c r="G4436" t="s">
        <v>7218</v>
      </c>
      <c r="H4436" t="s">
        <v>6801</v>
      </c>
      <c r="I4436">
        <v>6136</v>
      </c>
      <c r="J4436" t="s">
        <v>7219</v>
      </c>
      <c r="L4436" t="s">
        <v>74</v>
      </c>
      <c r="M4436" t="s">
        <v>75</v>
      </c>
      <c r="R4436" t="s">
        <v>22943</v>
      </c>
      <c r="W4436" t="s">
        <v>22943</v>
      </c>
      <c r="X4436" t="s">
        <v>22944</v>
      </c>
      <c r="Y4436" t="s">
        <v>87</v>
      </c>
      <c r="Z4436" t="s">
        <v>77</v>
      </c>
      <c r="AA4436" t="str">
        <f>"11207-2412"</f>
        <v>11207-2412</v>
      </c>
      <c r="AB4436" t="s">
        <v>113</v>
      </c>
      <c r="AC4436" t="s">
        <v>79</v>
      </c>
      <c r="AD4436" t="s">
        <v>75</v>
      </c>
      <c r="AE4436" t="s">
        <v>80</v>
      </c>
      <c r="AG4436" t="s">
        <v>81</v>
      </c>
    </row>
    <row r="4437" spans="1:33" x14ac:dyDescent="0.25">
      <c r="A4437" t="str">
        <f>"1770564668"</f>
        <v>1770564668</v>
      </c>
      <c r="B4437" t="str">
        <f>"02177379"</f>
        <v>02177379</v>
      </c>
      <c r="C4437" t="s">
        <v>13436</v>
      </c>
      <c r="D4437" t="s">
        <v>22945</v>
      </c>
      <c r="E4437" t="s">
        <v>22946</v>
      </c>
      <c r="G4437" t="s">
        <v>22947</v>
      </c>
      <c r="L4437" t="s">
        <v>83</v>
      </c>
      <c r="M4437" t="s">
        <v>85</v>
      </c>
      <c r="R4437" t="s">
        <v>22948</v>
      </c>
      <c r="W4437" t="s">
        <v>22946</v>
      </c>
      <c r="X4437" t="s">
        <v>22949</v>
      </c>
      <c r="Y4437" t="s">
        <v>97</v>
      </c>
      <c r="Z4437" t="s">
        <v>77</v>
      </c>
      <c r="AA4437" t="str">
        <f>"10003-3314"</f>
        <v>10003-3314</v>
      </c>
      <c r="AB4437" t="s">
        <v>78</v>
      </c>
      <c r="AC4437" t="s">
        <v>79</v>
      </c>
      <c r="AD4437" t="s">
        <v>75</v>
      </c>
      <c r="AE4437" t="s">
        <v>80</v>
      </c>
      <c r="AG4437" t="s">
        <v>81</v>
      </c>
    </row>
    <row r="4438" spans="1:33" x14ac:dyDescent="0.25">
      <c r="A4438" t="str">
        <f>"1033122940"</f>
        <v>1033122940</v>
      </c>
      <c r="B4438" t="str">
        <f>"01780441"</f>
        <v>01780441</v>
      </c>
      <c r="C4438" t="s">
        <v>13436</v>
      </c>
      <c r="D4438" t="s">
        <v>22950</v>
      </c>
      <c r="E4438" t="s">
        <v>22951</v>
      </c>
      <c r="G4438" t="s">
        <v>22952</v>
      </c>
      <c r="L4438" t="s">
        <v>84</v>
      </c>
      <c r="M4438" t="s">
        <v>85</v>
      </c>
      <c r="R4438" t="s">
        <v>22953</v>
      </c>
      <c r="W4438" t="s">
        <v>22951</v>
      </c>
      <c r="X4438" t="s">
        <v>1107</v>
      </c>
      <c r="Y4438" t="s">
        <v>97</v>
      </c>
      <c r="Z4438" t="s">
        <v>77</v>
      </c>
      <c r="AA4438" t="str">
        <f>"10011-4612"</f>
        <v>10011-4612</v>
      </c>
      <c r="AB4438" t="s">
        <v>78</v>
      </c>
      <c r="AC4438" t="s">
        <v>79</v>
      </c>
      <c r="AD4438" t="s">
        <v>75</v>
      </c>
      <c r="AE4438" t="s">
        <v>80</v>
      </c>
      <c r="AG4438" t="s">
        <v>81</v>
      </c>
    </row>
    <row r="4439" spans="1:33" x14ac:dyDescent="0.25">
      <c r="A4439" t="str">
        <f>"1700823325"</f>
        <v>1700823325</v>
      </c>
      <c r="B4439" t="str">
        <f>"02592978"</f>
        <v>02592978</v>
      </c>
      <c r="C4439" t="s">
        <v>13436</v>
      </c>
      <c r="D4439" t="s">
        <v>22954</v>
      </c>
      <c r="E4439" t="s">
        <v>22955</v>
      </c>
      <c r="G4439" t="s">
        <v>22956</v>
      </c>
      <c r="L4439" t="s">
        <v>83</v>
      </c>
      <c r="M4439" t="s">
        <v>85</v>
      </c>
      <c r="R4439" t="s">
        <v>22957</v>
      </c>
      <c r="W4439" t="s">
        <v>22955</v>
      </c>
      <c r="X4439" t="s">
        <v>22958</v>
      </c>
      <c r="Y4439" t="s">
        <v>268</v>
      </c>
      <c r="Z4439" t="s">
        <v>77</v>
      </c>
      <c r="AA4439" t="str">
        <f>"11362-2203"</f>
        <v>11362-2203</v>
      </c>
      <c r="AB4439" t="s">
        <v>78</v>
      </c>
      <c r="AC4439" t="s">
        <v>79</v>
      </c>
      <c r="AD4439" t="s">
        <v>75</v>
      </c>
      <c r="AE4439" t="s">
        <v>80</v>
      </c>
      <c r="AG4439" t="s">
        <v>81</v>
      </c>
    </row>
    <row r="4440" spans="1:33" x14ac:dyDescent="0.25">
      <c r="A4440" t="str">
        <f>"1700968070"</f>
        <v>1700968070</v>
      </c>
      <c r="B4440" t="str">
        <f>"01883729"</f>
        <v>01883729</v>
      </c>
      <c r="C4440" t="s">
        <v>13436</v>
      </c>
      <c r="D4440" t="s">
        <v>22959</v>
      </c>
      <c r="E4440" t="s">
        <v>22960</v>
      </c>
      <c r="G4440" t="s">
        <v>22961</v>
      </c>
      <c r="L4440" t="s">
        <v>84</v>
      </c>
      <c r="M4440" t="s">
        <v>85</v>
      </c>
      <c r="R4440" t="s">
        <v>22962</v>
      </c>
      <c r="W4440" t="s">
        <v>22960</v>
      </c>
      <c r="X4440" t="s">
        <v>22963</v>
      </c>
      <c r="Y4440" t="s">
        <v>97</v>
      </c>
      <c r="Z4440" t="s">
        <v>77</v>
      </c>
      <c r="AA4440" t="str">
        <f>"10032-3720"</f>
        <v>10032-3720</v>
      </c>
      <c r="AB4440" t="s">
        <v>78</v>
      </c>
      <c r="AC4440" t="s">
        <v>79</v>
      </c>
      <c r="AD4440" t="s">
        <v>75</v>
      </c>
      <c r="AE4440" t="s">
        <v>80</v>
      </c>
      <c r="AG4440" t="s">
        <v>81</v>
      </c>
    </row>
    <row r="4441" spans="1:33" x14ac:dyDescent="0.25">
      <c r="A4441" t="str">
        <f>"1720083306"</f>
        <v>1720083306</v>
      </c>
      <c r="B4441" t="str">
        <f>"00214324"</f>
        <v>00214324</v>
      </c>
      <c r="C4441" t="s">
        <v>13436</v>
      </c>
      <c r="D4441" t="s">
        <v>22964</v>
      </c>
      <c r="E4441" t="s">
        <v>22965</v>
      </c>
      <c r="G4441" t="s">
        <v>22966</v>
      </c>
      <c r="L4441" t="s">
        <v>83</v>
      </c>
      <c r="M4441" t="s">
        <v>85</v>
      </c>
      <c r="R4441" t="s">
        <v>22967</v>
      </c>
      <c r="W4441" t="s">
        <v>22965</v>
      </c>
      <c r="X4441" t="s">
        <v>4689</v>
      </c>
      <c r="Y4441" t="s">
        <v>97</v>
      </c>
      <c r="Z4441" t="s">
        <v>77</v>
      </c>
      <c r="AA4441" t="str">
        <f>"10016-1201"</f>
        <v>10016-1201</v>
      </c>
      <c r="AB4441" t="s">
        <v>78</v>
      </c>
      <c r="AC4441" t="s">
        <v>79</v>
      </c>
      <c r="AD4441" t="s">
        <v>75</v>
      </c>
      <c r="AE4441" t="s">
        <v>80</v>
      </c>
      <c r="AG4441" t="s">
        <v>81</v>
      </c>
    </row>
    <row r="4442" spans="1:33" x14ac:dyDescent="0.25">
      <c r="A4442" t="str">
        <f>"1730185810"</f>
        <v>1730185810</v>
      </c>
      <c r="B4442" t="str">
        <f>"02288764"</f>
        <v>02288764</v>
      </c>
      <c r="C4442" t="s">
        <v>13436</v>
      </c>
      <c r="D4442" t="s">
        <v>5840</v>
      </c>
      <c r="E4442" t="s">
        <v>5841</v>
      </c>
      <c r="G4442" t="s">
        <v>22968</v>
      </c>
      <c r="L4442" t="s">
        <v>83</v>
      </c>
      <c r="M4442" t="s">
        <v>85</v>
      </c>
      <c r="R4442" t="s">
        <v>5842</v>
      </c>
      <c r="W4442" t="s">
        <v>5841</v>
      </c>
      <c r="X4442" t="s">
        <v>5688</v>
      </c>
      <c r="Y4442" t="s">
        <v>97</v>
      </c>
      <c r="Z4442" t="s">
        <v>77</v>
      </c>
      <c r="AA4442" t="str">
        <f>"10003"</f>
        <v>10003</v>
      </c>
      <c r="AB4442" t="s">
        <v>78</v>
      </c>
      <c r="AC4442" t="s">
        <v>79</v>
      </c>
      <c r="AD4442" t="s">
        <v>75</v>
      </c>
      <c r="AE4442" t="s">
        <v>80</v>
      </c>
      <c r="AG4442" t="s">
        <v>81</v>
      </c>
    </row>
    <row r="4443" spans="1:33" x14ac:dyDescent="0.25">
      <c r="A4443" t="str">
        <f>"1740249648"</f>
        <v>1740249648</v>
      </c>
      <c r="B4443" t="str">
        <f>"03077176"</f>
        <v>03077176</v>
      </c>
      <c r="C4443" t="s">
        <v>13436</v>
      </c>
      <c r="D4443" t="s">
        <v>22969</v>
      </c>
      <c r="E4443" t="s">
        <v>22970</v>
      </c>
      <c r="G4443" t="s">
        <v>22971</v>
      </c>
      <c r="L4443" t="s">
        <v>74</v>
      </c>
      <c r="M4443" t="s">
        <v>85</v>
      </c>
      <c r="R4443" t="s">
        <v>22972</v>
      </c>
      <c r="W4443" t="s">
        <v>22970</v>
      </c>
      <c r="X4443" t="s">
        <v>306</v>
      </c>
      <c r="Y4443" t="s">
        <v>97</v>
      </c>
      <c r="Z4443" t="s">
        <v>77</v>
      </c>
      <c r="AA4443" t="str">
        <f>"10003-4201"</f>
        <v>10003-4201</v>
      </c>
      <c r="AB4443" t="s">
        <v>78</v>
      </c>
      <c r="AC4443" t="s">
        <v>79</v>
      </c>
      <c r="AD4443" t="s">
        <v>75</v>
      </c>
      <c r="AE4443" t="s">
        <v>80</v>
      </c>
      <c r="AG4443" t="s">
        <v>81</v>
      </c>
    </row>
    <row r="4444" spans="1:33" x14ac:dyDescent="0.25">
      <c r="A4444" t="str">
        <f>"1750300018"</f>
        <v>1750300018</v>
      </c>
      <c r="B4444" t="str">
        <f>"01351275"</f>
        <v>01351275</v>
      </c>
      <c r="C4444" t="s">
        <v>13436</v>
      </c>
      <c r="D4444" t="s">
        <v>22973</v>
      </c>
      <c r="E4444" t="s">
        <v>22974</v>
      </c>
      <c r="G4444" t="s">
        <v>22975</v>
      </c>
      <c r="L4444" t="s">
        <v>74</v>
      </c>
      <c r="M4444" t="s">
        <v>85</v>
      </c>
      <c r="R4444" t="s">
        <v>22976</v>
      </c>
      <c r="W4444" t="s">
        <v>22977</v>
      </c>
      <c r="X4444" t="s">
        <v>22978</v>
      </c>
      <c r="Y4444" t="s">
        <v>316</v>
      </c>
      <c r="Z4444" t="s">
        <v>77</v>
      </c>
      <c r="AA4444" t="str">
        <f>"10801-5639"</f>
        <v>10801-5639</v>
      </c>
      <c r="AB4444" t="s">
        <v>78</v>
      </c>
      <c r="AC4444" t="s">
        <v>79</v>
      </c>
      <c r="AD4444" t="s">
        <v>75</v>
      </c>
      <c r="AE4444" t="s">
        <v>80</v>
      </c>
      <c r="AG4444" t="s">
        <v>81</v>
      </c>
    </row>
    <row r="4445" spans="1:33" x14ac:dyDescent="0.25">
      <c r="A4445" t="str">
        <f>"1497814396"</f>
        <v>1497814396</v>
      </c>
      <c r="B4445" t="str">
        <f>"01605247"</f>
        <v>01605247</v>
      </c>
      <c r="C4445" t="s">
        <v>13436</v>
      </c>
      <c r="D4445" t="s">
        <v>22979</v>
      </c>
      <c r="E4445" t="s">
        <v>22980</v>
      </c>
      <c r="G4445" t="s">
        <v>22981</v>
      </c>
      <c r="L4445" t="s">
        <v>74</v>
      </c>
      <c r="M4445" t="s">
        <v>85</v>
      </c>
      <c r="R4445" t="s">
        <v>22982</v>
      </c>
      <c r="W4445" t="s">
        <v>22980</v>
      </c>
      <c r="X4445" t="s">
        <v>181</v>
      </c>
      <c r="Y4445" t="s">
        <v>97</v>
      </c>
      <c r="Z4445" t="s">
        <v>77</v>
      </c>
      <c r="AA4445" t="str">
        <f>"10025-1716"</f>
        <v>10025-1716</v>
      </c>
      <c r="AB4445" t="s">
        <v>78</v>
      </c>
      <c r="AC4445" t="s">
        <v>79</v>
      </c>
      <c r="AD4445" t="s">
        <v>75</v>
      </c>
      <c r="AE4445" t="s">
        <v>80</v>
      </c>
      <c r="AG4445" t="s">
        <v>81</v>
      </c>
    </row>
    <row r="4446" spans="1:33" x14ac:dyDescent="0.25">
      <c r="A4446" t="str">
        <f>"1497889588"</f>
        <v>1497889588</v>
      </c>
      <c r="B4446" t="str">
        <f>"01170612"</f>
        <v>01170612</v>
      </c>
      <c r="C4446" t="s">
        <v>13436</v>
      </c>
      <c r="D4446" t="s">
        <v>22983</v>
      </c>
      <c r="E4446" t="s">
        <v>22984</v>
      </c>
      <c r="G4446" t="s">
        <v>22985</v>
      </c>
      <c r="L4446" t="s">
        <v>94</v>
      </c>
      <c r="M4446" t="s">
        <v>85</v>
      </c>
      <c r="R4446" t="s">
        <v>22986</v>
      </c>
      <c r="W4446" t="s">
        <v>22986</v>
      </c>
      <c r="X4446" t="s">
        <v>22987</v>
      </c>
      <c r="Y4446" t="s">
        <v>131</v>
      </c>
      <c r="Z4446" t="s">
        <v>77</v>
      </c>
      <c r="AA4446" t="str">
        <f>"10467-2401"</f>
        <v>10467-2401</v>
      </c>
      <c r="AB4446" t="s">
        <v>78</v>
      </c>
      <c r="AC4446" t="s">
        <v>79</v>
      </c>
      <c r="AD4446" t="s">
        <v>75</v>
      </c>
      <c r="AE4446" t="s">
        <v>80</v>
      </c>
      <c r="AG4446" t="s">
        <v>81</v>
      </c>
    </row>
    <row r="4447" spans="1:33" x14ac:dyDescent="0.25">
      <c r="A4447" t="str">
        <f>"1508011537"</f>
        <v>1508011537</v>
      </c>
      <c r="C4447" t="s">
        <v>13436</v>
      </c>
      <c r="G4447" t="s">
        <v>22988</v>
      </c>
      <c r="K4447" t="s">
        <v>99</v>
      </c>
      <c r="L4447" t="s">
        <v>74</v>
      </c>
      <c r="M4447" t="s">
        <v>85</v>
      </c>
      <c r="R4447" t="s">
        <v>22989</v>
      </c>
      <c r="S4447" t="s">
        <v>191</v>
      </c>
      <c r="T4447" t="s">
        <v>97</v>
      </c>
      <c r="U4447" t="s">
        <v>77</v>
      </c>
      <c r="V4447" t="str">
        <f>"10019"</f>
        <v>10019</v>
      </c>
      <c r="AC4447" t="s">
        <v>79</v>
      </c>
      <c r="AD4447" t="s">
        <v>75</v>
      </c>
      <c r="AE4447" t="s">
        <v>103</v>
      </c>
      <c r="AG4447" t="s">
        <v>81</v>
      </c>
    </row>
    <row r="4448" spans="1:33" x14ac:dyDescent="0.25">
      <c r="A4448" t="str">
        <f>"1508026832"</f>
        <v>1508026832</v>
      </c>
      <c r="B4448" t="str">
        <f>"03355126"</f>
        <v>03355126</v>
      </c>
      <c r="C4448" t="s">
        <v>13436</v>
      </c>
      <c r="D4448" t="s">
        <v>22990</v>
      </c>
      <c r="E4448" t="s">
        <v>22991</v>
      </c>
      <c r="G4448" t="s">
        <v>22992</v>
      </c>
      <c r="L4448" t="s">
        <v>83</v>
      </c>
      <c r="M4448" t="s">
        <v>85</v>
      </c>
      <c r="R4448" t="s">
        <v>22993</v>
      </c>
      <c r="W4448" t="s">
        <v>22991</v>
      </c>
      <c r="X4448" t="s">
        <v>2587</v>
      </c>
      <c r="Y4448" t="s">
        <v>97</v>
      </c>
      <c r="Z4448" t="s">
        <v>77</v>
      </c>
      <c r="AA4448" t="str">
        <f>"10003-3314"</f>
        <v>10003-3314</v>
      </c>
      <c r="AB4448" t="s">
        <v>78</v>
      </c>
      <c r="AC4448" t="s">
        <v>79</v>
      </c>
      <c r="AD4448" t="s">
        <v>75</v>
      </c>
      <c r="AE4448" t="s">
        <v>80</v>
      </c>
      <c r="AG4448" t="s">
        <v>81</v>
      </c>
    </row>
    <row r="4449" spans="1:33" x14ac:dyDescent="0.25">
      <c r="A4449" t="str">
        <f>"1508028432"</f>
        <v>1508028432</v>
      </c>
      <c r="B4449" t="str">
        <f>"03061910"</f>
        <v>03061910</v>
      </c>
      <c r="C4449" t="s">
        <v>13436</v>
      </c>
      <c r="D4449" t="s">
        <v>22994</v>
      </c>
      <c r="E4449" t="s">
        <v>22995</v>
      </c>
      <c r="G4449" t="s">
        <v>22996</v>
      </c>
      <c r="L4449" t="s">
        <v>105</v>
      </c>
      <c r="M4449" t="s">
        <v>85</v>
      </c>
      <c r="R4449" t="s">
        <v>22997</v>
      </c>
      <c r="W4449" t="s">
        <v>22995</v>
      </c>
      <c r="X4449" t="s">
        <v>12415</v>
      </c>
      <c r="Y4449" t="s">
        <v>97</v>
      </c>
      <c r="Z4449" t="s">
        <v>77</v>
      </c>
      <c r="AA4449" t="str">
        <f>"10003-3801"</f>
        <v>10003-3801</v>
      </c>
      <c r="AB4449" t="s">
        <v>78</v>
      </c>
      <c r="AC4449" t="s">
        <v>79</v>
      </c>
      <c r="AD4449" t="s">
        <v>75</v>
      </c>
      <c r="AE4449" t="s">
        <v>80</v>
      </c>
      <c r="AG4449" t="s">
        <v>81</v>
      </c>
    </row>
    <row r="4450" spans="1:33" x14ac:dyDescent="0.25">
      <c r="A4450" t="str">
        <f>"1508036021"</f>
        <v>1508036021</v>
      </c>
      <c r="B4450" t="str">
        <f>"00580350"</f>
        <v>00580350</v>
      </c>
      <c r="C4450" t="s">
        <v>13436</v>
      </c>
      <c r="D4450" t="s">
        <v>22998</v>
      </c>
      <c r="E4450" t="s">
        <v>22999</v>
      </c>
      <c r="G4450" t="s">
        <v>23000</v>
      </c>
      <c r="L4450" t="s">
        <v>84</v>
      </c>
      <c r="M4450" t="s">
        <v>85</v>
      </c>
      <c r="R4450" t="s">
        <v>23001</v>
      </c>
      <c r="W4450" t="s">
        <v>22999</v>
      </c>
      <c r="X4450" t="s">
        <v>23002</v>
      </c>
      <c r="Y4450" t="s">
        <v>97</v>
      </c>
      <c r="Z4450" t="s">
        <v>77</v>
      </c>
      <c r="AA4450" t="str">
        <f>"10003"</f>
        <v>10003</v>
      </c>
      <c r="AB4450" t="s">
        <v>78</v>
      </c>
      <c r="AC4450" t="s">
        <v>79</v>
      </c>
      <c r="AD4450" t="s">
        <v>75</v>
      </c>
      <c r="AE4450" t="s">
        <v>80</v>
      </c>
      <c r="AG4450" t="s">
        <v>81</v>
      </c>
    </row>
    <row r="4451" spans="1:33" x14ac:dyDescent="0.25">
      <c r="A4451" t="str">
        <f>"1508059304"</f>
        <v>1508059304</v>
      </c>
      <c r="B4451" t="str">
        <f>"03567351"</f>
        <v>03567351</v>
      </c>
      <c r="C4451" t="s">
        <v>13436</v>
      </c>
      <c r="D4451" t="s">
        <v>23003</v>
      </c>
      <c r="E4451" t="s">
        <v>23004</v>
      </c>
      <c r="G4451" t="s">
        <v>23005</v>
      </c>
      <c r="L4451" t="s">
        <v>74</v>
      </c>
      <c r="M4451" t="s">
        <v>85</v>
      </c>
      <c r="R4451" t="s">
        <v>23006</v>
      </c>
      <c r="W4451" t="s">
        <v>23004</v>
      </c>
      <c r="X4451" t="s">
        <v>23007</v>
      </c>
      <c r="Y4451" t="s">
        <v>97</v>
      </c>
      <c r="Z4451" t="s">
        <v>77</v>
      </c>
      <c r="AA4451" t="str">
        <f>"10032-1007"</f>
        <v>10032-1007</v>
      </c>
      <c r="AB4451" t="s">
        <v>78</v>
      </c>
      <c r="AC4451" t="s">
        <v>79</v>
      </c>
      <c r="AD4451" t="s">
        <v>75</v>
      </c>
      <c r="AE4451" t="s">
        <v>80</v>
      </c>
      <c r="AG4451" t="s">
        <v>81</v>
      </c>
    </row>
    <row r="4452" spans="1:33" x14ac:dyDescent="0.25">
      <c r="A4452" t="str">
        <f>"1508177197"</f>
        <v>1508177197</v>
      </c>
      <c r="B4452" t="str">
        <f>"03235949"</f>
        <v>03235949</v>
      </c>
      <c r="C4452" t="s">
        <v>13436</v>
      </c>
      <c r="D4452" t="s">
        <v>23008</v>
      </c>
      <c r="E4452" t="s">
        <v>23009</v>
      </c>
      <c r="G4452" t="s">
        <v>23010</v>
      </c>
      <c r="L4452" t="s">
        <v>74</v>
      </c>
      <c r="M4452" t="s">
        <v>85</v>
      </c>
      <c r="R4452" t="s">
        <v>23011</v>
      </c>
      <c r="W4452" t="s">
        <v>23009</v>
      </c>
      <c r="X4452" t="s">
        <v>2587</v>
      </c>
      <c r="Y4452" t="s">
        <v>97</v>
      </c>
      <c r="Z4452" t="s">
        <v>77</v>
      </c>
      <c r="AA4452" t="str">
        <f>"10003-3314"</f>
        <v>10003-3314</v>
      </c>
      <c r="AB4452" t="s">
        <v>78</v>
      </c>
      <c r="AC4452" t="s">
        <v>79</v>
      </c>
      <c r="AD4452" t="s">
        <v>75</v>
      </c>
      <c r="AE4452" t="s">
        <v>80</v>
      </c>
      <c r="AG4452" t="s">
        <v>81</v>
      </c>
    </row>
    <row r="4453" spans="1:33" x14ac:dyDescent="0.25">
      <c r="A4453" t="str">
        <f>"1508189713"</f>
        <v>1508189713</v>
      </c>
      <c r="B4453" t="str">
        <f>"03505722"</f>
        <v>03505722</v>
      </c>
      <c r="C4453" t="s">
        <v>13436</v>
      </c>
      <c r="D4453" t="s">
        <v>23012</v>
      </c>
      <c r="E4453" t="s">
        <v>23013</v>
      </c>
      <c r="G4453" t="s">
        <v>23014</v>
      </c>
      <c r="L4453" t="s">
        <v>105</v>
      </c>
      <c r="M4453" t="s">
        <v>85</v>
      </c>
      <c r="R4453" t="s">
        <v>23015</v>
      </c>
      <c r="W4453" t="s">
        <v>23016</v>
      </c>
      <c r="X4453" t="s">
        <v>5911</v>
      </c>
      <c r="Y4453" t="s">
        <v>97</v>
      </c>
      <c r="Z4453" t="s">
        <v>77</v>
      </c>
      <c r="AA4453" t="str">
        <f>"10025-1737"</f>
        <v>10025-1737</v>
      </c>
      <c r="AB4453" t="s">
        <v>78</v>
      </c>
      <c r="AC4453" t="s">
        <v>79</v>
      </c>
      <c r="AD4453" t="s">
        <v>75</v>
      </c>
      <c r="AE4453" t="s">
        <v>80</v>
      </c>
      <c r="AG4453" t="s">
        <v>81</v>
      </c>
    </row>
    <row r="4454" spans="1:33" x14ac:dyDescent="0.25">
      <c r="A4454" t="str">
        <f>"1871656991"</f>
        <v>1871656991</v>
      </c>
      <c r="B4454" t="str">
        <f>"02484233"</f>
        <v>02484233</v>
      </c>
      <c r="C4454" t="s">
        <v>13436</v>
      </c>
      <c r="D4454" t="s">
        <v>23017</v>
      </c>
      <c r="E4454" t="s">
        <v>23018</v>
      </c>
      <c r="G4454" t="s">
        <v>23019</v>
      </c>
      <c r="L4454" t="s">
        <v>94</v>
      </c>
      <c r="M4454" t="s">
        <v>85</v>
      </c>
      <c r="R4454" t="s">
        <v>23020</v>
      </c>
      <c r="W4454" t="s">
        <v>23021</v>
      </c>
      <c r="X4454" t="s">
        <v>23022</v>
      </c>
      <c r="Y4454" t="s">
        <v>97</v>
      </c>
      <c r="Z4454" t="s">
        <v>77</v>
      </c>
      <c r="AA4454" t="str">
        <f>"10025-1716"</f>
        <v>10025-1716</v>
      </c>
      <c r="AB4454" t="s">
        <v>78</v>
      </c>
      <c r="AC4454" t="s">
        <v>79</v>
      </c>
      <c r="AD4454" t="s">
        <v>75</v>
      </c>
      <c r="AE4454" t="s">
        <v>80</v>
      </c>
      <c r="AG4454" t="s">
        <v>81</v>
      </c>
    </row>
    <row r="4455" spans="1:33" x14ac:dyDescent="0.25">
      <c r="A4455" t="str">
        <f>"1629392717"</f>
        <v>1629392717</v>
      </c>
      <c r="B4455" t="str">
        <f>"03729215"</f>
        <v>03729215</v>
      </c>
      <c r="C4455" t="s">
        <v>23023</v>
      </c>
      <c r="D4455" t="s">
        <v>3484</v>
      </c>
      <c r="E4455" t="s">
        <v>3485</v>
      </c>
      <c r="G4455" t="s">
        <v>19413</v>
      </c>
      <c r="H4455" t="s">
        <v>1084</v>
      </c>
      <c r="I4455">
        <v>160</v>
      </c>
      <c r="J4455" t="s">
        <v>2757</v>
      </c>
      <c r="L4455" t="s">
        <v>74</v>
      </c>
      <c r="M4455" t="s">
        <v>75</v>
      </c>
      <c r="R4455" t="s">
        <v>3486</v>
      </c>
      <c r="W4455" t="s">
        <v>3485</v>
      </c>
      <c r="X4455" t="s">
        <v>2758</v>
      </c>
      <c r="Y4455" t="s">
        <v>131</v>
      </c>
      <c r="Z4455" t="s">
        <v>77</v>
      </c>
      <c r="AA4455" t="str">
        <f>"10455-4029"</f>
        <v>10455-4029</v>
      </c>
      <c r="AB4455" t="s">
        <v>113</v>
      </c>
      <c r="AC4455" t="s">
        <v>79</v>
      </c>
      <c r="AD4455" t="s">
        <v>75</v>
      </c>
      <c r="AE4455" t="s">
        <v>80</v>
      </c>
      <c r="AG4455" t="s">
        <v>81</v>
      </c>
    </row>
    <row r="4456" spans="1:33" x14ac:dyDescent="0.25">
      <c r="A4456" t="str">
        <f>"1477650588"</f>
        <v>1477650588</v>
      </c>
      <c r="B4456" t="str">
        <f>"00273574"</f>
        <v>00273574</v>
      </c>
      <c r="C4456" t="s">
        <v>23024</v>
      </c>
      <c r="D4456" t="s">
        <v>2784</v>
      </c>
      <c r="E4456" t="s">
        <v>2785</v>
      </c>
      <c r="G4456" t="s">
        <v>19413</v>
      </c>
      <c r="H4456" t="s">
        <v>1084</v>
      </c>
      <c r="I4456">
        <v>160</v>
      </c>
      <c r="J4456" t="s">
        <v>2757</v>
      </c>
      <c r="L4456" t="s">
        <v>84</v>
      </c>
      <c r="M4456" t="s">
        <v>75</v>
      </c>
      <c r="R4456" t="s">
        <v>2786</v>
      </c>
      <c r="W4456" t="s">
        <v>2787</v>
      </c>
      <c r="X4456" t="s">
        <v>2788</v>
      </c>
      <c r="Y4456" t="s">
        <v>131</v>
      </c>
      <c r="Z4456" t="s">
        <v>77</v>
      </c>
      <c r="AA4456" t="str">
        <f>"10455-4015"</f>
        <v>10455-4015</v>
      </c>
      <c r="AB4456" t="s">
        <v>78</v>
      </c>
      <c r="AC4456" t="s">
        <v>79</v>
      </c>
      <c r="AD4456" t="s">
        <v>75</v>
      </c>
      <c r="AE4456" t="s">
        <v>80</v>
      </c>
      <c r="AG4456" t="s">
        <v>81</v>
      </c>
    </row>
    <row r="4457" spans="1:33" x14ac:dyDescent="0.25">
      <c r="A4457" t="str">
        <f>"1568430288"</f>
        <v>1568430288</v>
      </c>
      <c r="B4457" t="str">
        <f>"02735151"</f>
        <v>02735151</v>
      </c>
      <c r="C4457" t="s">
        <v>13436</v>
      </c>
      <c r="D4457" t="s">
        <v>23025</v>
      </c>
      <c r="E4457" t="s">
        <v>23026</v>
      </c>
      <c r="G4457" t="s">
        <v>23027</v>
      </c>
      <c r="L4457" t="s">
        <v>84</v>
      </c>
      <c r="M4457" t="s">
        <v>85</v>
      </c>
      <c r="R4457" t="s">
        <v>23028</v>
      </c>
      <c r="W4457" t="s">
        <v>23026</v>
      </c>
      <c r="X4457" t="s">
        <v>14588</v>
      </c>
      <c r="Y4457" t="s">
        <v>97</v>
      </c>
      <c r="Z4457" t="s">
        <v>77</v>
      </c>
      <c r="AA4457" t="str">
        <f>"10003-3314"</f>
        <v>10003-3314</v>
      </c>
      <c r="AB4457" t="s">
        <v>78</v>
      </c>
      <c r="AC4457" t="s">
        <v>79</v>
      </c>
      <c r="AD4457" t="s">
        <v>75</v>
      </c>
      <c r="AE4457" t="s">
        <v>80</v>
      </c>
      <c r="AG4457" t="s">
        <v>81</v>
      </c>
    </row>
    <row r="4458" spans="1:33" x14ac:dyDescent="0.25">
      <c r="A4458" t="str">
        <f>"1568450781"</f>
        <v>1568450781</v>
      </c>
      <c r="B4458" t="str">
        <f>"02138778"</f>
        <v>02138778</v>
      </c>
      <c r="C4458" t="s">
        <v>13436</v>
      </c>
      <c r="D4458" t="s">
        <v>23029</v>
      </c>
      <c r="E4458" t="s">
        <v>23030</v>
      </c>
      <c r="G4458" t="s">
        <v>23031</v>
      </c>
      <c r="L4458" t="s">
        <v>83</v>
      </c>
      <c r="M4458" t="s">
        <v>85</v>
      </c>
      <c r="R4458" t="s">
        <v>23032</v>
      </c>
      <c r="W4458" t="s">
        <v>23030</v>
      </c>
      <c r="Y4458" t="s">
        <v>97</v>
      </c>
      <c r="Z4458" t="s">
        <v>77</v>
      </c>
      <c r="AA4458" t="str">
        <f>"10011-5903"</f>
        <v>10011-5903</v>
      </c>
      <c r="AB4458" t="s">
        <v>78</v>
      </c>
      <c r="AC4458" t="s">
        <v>79</v>
      </c>
      <c r="AD4458" t="s">
        <v>75</v>
      </c>
      <c r="AE4458" t="s">
        <v>80</v>
      </c>
      <c r="AG4458" t="s">
        <v>81</v>
      </c>
    </row>
    <row r="4459" spans="1:33" x14ac:dyDescent="0.25">
      <c r="A4459" t="str">
        <f>"1568513133"</f>
        <v>1568513133</v>
      </c>
      <c r="B4459" t="str">
        <f>"01127760"</f>
        <v>01127760</v>
      </c>
      <c r="C4459" t="s">
        <v>13436</v>
      </c>
      <c r="D4459" t="s">
        <v>23033</v>
      </c>
      <c r="E4459" t="s">
        <v>23034</v>
      </c>
      <c r="G4459" t="s">
        <v>23035</v>
      </c>
      <c r="L4459" t="s">
        <v>102</v>
      </c>
      <c r="M4459" t="s">
        <v>85</v>
      </c>
      <c r="R4459" t="s">
        <v>23036</v>
      </c>
      <c r="W4459" t="s">
        <v>23034</v>
      </c>
      <c r="X4459" t="s">
        <v>14871</v>
      </c>
      <c r="Y4459" t="s">
        <v>97</v>
      </c>
      <c r="Z4459" t="s">
        <v>77</v>
      </c>
      <c r="AA4459" t="str">
        <f>"10003"</f>
        <v>10003</v>
      </c>
      <c r="AB4459" t="s">
        <v>78</v>
      </c>
      <c r="AC4459" t="s">
        <v>79</v>
      </c>
      <c r="AD4459" t="s">
        <v>75</v>
      </c>
      <c r="AE4459" t="s">
        <v>80</v>
      </c>
      <c r="AG4459" t="s">
        <v>81</v>
      </c>
    </row>
    <row r="4460" spans="1:33" x14ac:dyDescent="0.25">
      <c r="A4460" t="str">
        <f>"1568537090"</f>
        <v>1568537090</v>
      </c>
      <c r="B4460" t="str">
        <f>"02522383"</f>
        <v>02522383</v>
      </c>
      <c r="C4460" t="s">
        <v>13436</v>
      </c>
      <c r="D4460" t="s">
        <v>23037</v>
      </c>
      <c r="E4460" t="s">
        <v>23038</v>
      </c>
      <c r="G4460" t="s">
        <v>23039</v>
      </c>
      <c r="L4460" t="s">
        <v>83</v>
      </c>
      <c r="M4460" t="s">
        <v>85</v>
      </c>
      <c r="R4460" t="s">
        <v>23040</v>
      </c>
      <c r="W4460" t="s">
        <v>23038</v>
      </c>
      <c r="X4460" t="s">
        <v>23041</v>
      </c>
      <c r="Y4460" t="s">
        <v>97</v>
      </c>
      <c r="Z4460" t="s">
        <v>77</v>
      </c>
      <c r="AA4460" t="str">
        <f>"10019-1147"</f>
        <v>10019-1147</v>
      </c>
      <c r="AB4460" t="s">
        <v>78</v>
      </c>
      <c r="AC4460" t="s">
        <v>79</v>
      </c>
      <c r="AD4460" t="s">
        <v>75</v>
      </c>
      <c r="AE4460" t="s">
        <v>80</v>
      </c>
      <c r="AG4460" t="s">
        <v>81</v>
      </c>
    </row>
    <row r="4461" spans="1:33" x14ac:dyDescent="0.25">
      <c r="A4461" t="str">
        <f>"1568538882"</f>
        <v>1568538882</v>
      </c>
      <c r="B4461" t="str">
        <f>"02526965"</f>
        <v>02526965</v>
      </c>
      <c r="C4461" t="s">
        <v>13436</v>
      </c>
      <c r="D4461" t="s">
        <v>23042</v>
      </c>
      <c r="E4461" t="s">
        <v>23043</v>
      </c>
      <c r="G4461" t="s">
        <v>23044</v>
      </c>
      <c r="L4461" t="s">
        <v>94</v>
      </c>
      <c r="M4461" t="s">
        <v>85</v>
      </c>
      <c r="R4461" t="s">
        <v>23045</v>
      </c>
      <c r="W4461" t="s">
        <v>23043</v>
      </c>
      <c r="X4461" t="s">
        <v>23046</v>
      </c>
      <c r="Y4461" t="s">
        <v>97</v>
      </c>
      <c r="Z4461" t="s">
        <v>77</v>
      </c>
      <c r="AA4461" t="str">
        <f>"10019-1147"</f>
        <v>10019-1147</v>
      </c>
      <c r="AB4461" t="s">
        <v>78</v>
      </c>
      <c r="AC4461" t="s">
        <v>79</v>
      </c>
      <c r="AD4461" t="s">
        <v>75</v>
      </c>
      <c r="AE4461" t="s">
        <v>80</v>
      </c>
      <c r="AG4461" t="s">
        <v>81</v>
      </c>
    </row>
    <row r="4462" spans="1:33" x14ac:dyDescent="0.25">
      <c r="A4462" t="str">
        <f>"1568558609"</f>
        <v>1568558609</v>
      </c>
      <c r="B4462" t="str">
        <f>"01676604"</f>
        <v>01676604</v>
      </c>
      <c r="C4462" t="s">
        <v>13436</v>
      </c>
      <c r="D4462" t="s">
        <v>23047</v>
      </c>
      <c r="E4462" t="s">
        <v>23048</v>
      </c>
      <c r="G4462" t="s">
        <v>23049</v>
      </c>
      <c r="L4462" t="s">
        <v>83</v>
      </c>
      <c r="M4462" t="s">
        <v>85</v>
      </c>
      <c r="R4462" t="s">
        <v>23050</v>
      </c>
      <c r="W4462" t="s">
        <v>23048</v>
      </c>
      <c r="X4462" t="s">
        <v>23051</v>
      </c>
      <c r="Y4462" t="s">
        <v>97</v>
      </c>
      <c r="Z4462" t="s">
        <v>77</v>
      </c>
      <c r="AA4462" t="str">
        <f>"10011-6609"</f>
        <v>10011-6609</v>
      </c>
      <c r="AB4462" t="s">
        <v>78</v>
      </c>
      <c r="AC4462" t="s">
        <v>79</v>
      </c>
      <c r="AD4462" t="s">
        <v>75</v>
      </c>
      <c r="AE4462" t="s">
        <v>80</v>
      </c>
      <c r="AG4462" t="s">
        <v>81</v>
      </c>
    </row>
    <row r="4463" spans="1:33" x14ac:dyDescent="0.25">
      <c r="A4463" t="str">
        <f>"1801981931"</f>
        <v>1801981931</v>
      </c>
      <c r="B4463" t="str">
        <f>"02391073"</f>
        <v>02391073</v>
      </c>
      <c r="C4463" t="s">
        <v>13436</v>
      </c>
      <c r="D4463" t="s">
        <v>23052</v>
      </c>
      <c r="E4463" t="s">
        <v>23053</v>
      </c>
      <c r="G4463" t="s">
        <v>23054</v>
      </c>
      <c r="L4463" t="s">
        <v>83</v>
      </c>
      <c r="M4463" t="s">
        <v>85</v>
      </c>
      <c r="R4463" t="s">
        <v>23055</v>
      </c>
      <c r="W4463" t="s">
        <v>23056</v>
      </c>
      <c r="X4463" t="s">
        <v>23057</v>
      </c>
      <c r="Y4463" t="s">
        <v>87</v>
      </c>
      <c r="Z4463" t="s">
        <v>77</v>
      </c>
      <c r="AA4463" t="str">
        <f>"11249-6297"</f>
        <v>11249-6297</v>
      </c>
      <c r="AB4463" t="s">
        <v>78</v>
      </c>
      <c r="AC4463" t="s">
        <v>79</v>
      </c>
      <c r="AD4463" t="s">
        <v>75</v>
      </c>
      <c r="AE4463" t="s">
        <v>80</v>
      </c>
      <c r="AG4463" t="s">
        <v>81</v>
      </c>
    </row>
    <row r="4464" spans="1:33" x14ac:dyDescent="0.25">
      <c r="A4464" t="str">
        <f>"1811038532"</f>
        <v>1811038532</v>
      </c>
      <c r="B4464" t="str">
        <f>"01862720"</f>
        <v>01862720</v>
      </c>
      <c r="C4464" t="s">
        <v>13436</v>
      </c>
      <c r="D4464" t="s">
        <v>23058</v>
      </c>
      <c r="E4464" t="s">
        <v>23059</v>
      </c>
      <c r="G4464" t="s">
        <v>23060</v>
      </c>
      <c r="L4464" t="s">
        <v>83</v>
      </c>
      <c r="M4464" t="s">
        <v>85</v>
      </c>
      <c r="R4464" t="s">
        <v>23061</v>
      </c>
      <c r="W4464" t="s">
        <v>23059</v>
      </c>
      <c r="X4464" t="s">
        <v>23062</v>
      </c>
      <c r="Y4464" t="s">
        <v>131</v>
      </c>
      <c r="Z4464" t="s">
        <v>77</v>
      </c>
      <c r="AA4464" t="str">
        <f>"10462-7445"</f>
        <v>10462-7445</v>
      </c>
      <c r="AB4464" t="s">
        <v>78</v>
      </c>
      <c r="AC4464" t="s">
        <v>79</v>
      </c>
      <c r="AD4464" t="s">
        <v>75</v>
      </c>
      <c r="AE4464" t="s">
        <v>80</v>
      </c>
      <c r="AG4464" t="s">
        <v>81</v>
      </c>
    </row>
    <row r="4465" spans="1:33" x14ac:dyDescent="0.25">
      <c r="A4465" t="str">
        <f>"1811072481"</f>
        <v>1811072481</v>
      </c>
      <c r="B4465" t="str">
        <f>"01249027"</f>
        <v>01249027</v>
      </c>
      <c r="C4465" t="s">
        <v>13436</v>
      </c>
      <c r="D4465" t="s">
        <v>23063</v>
      </c>
      <c r="E4465" t="s">
        <v>23064</v>
      </c>
      <c r="G4465" t="s">
        <v>23065</v>
      </c>
      <c r="L4465" t="s">
        <v>83</v>
      </c>
      <c r="M4465" t="s">
        <v>85</v>
      </c>
      <c r="R4465" t="s">
        <v>23066</v>
      </c>
      <c r="W4465" t="s">
        <v>23067</v>
      </c>
      <c r="Y4465" t="s">
        <v>97</v>
      </c>
      <c r="Z4465" t="s">
        <v>77</v>
      </c>
      <c r="AA4465" t="str">
        <f>"10029-6500"</f>
        <v>10029-6500</v>
      </c>
      <c r="AB4465" t="s">
        <v>78</v>
      </c>
      <c r="AC4465" t="s">
        <v>79</v>
      </c>
      <c r="AD4465" t="s">
        <v>75</v>
      </c>
      <c r="AE4465" t="s">
        <v>80</v>
      </c>
      <c r="AG4465" t="s">
        <v>81</v>
      </c>
    </row>
    <row r="4466" spans="1:33" x14ac:dyDescent="0.25">
      <c r="A4466" t="str">
        <f>"1154393452"</f>
        <v>1154393452</v>
      </c>
      <c r="B4466" t="str">
        <f>"01193200"</f>
        <v>01193200</v>
      </c>
      <c r="C4466" t="s">
        <v>13436</v>
      </c>
      <c r="D4466" t="s">
        <v>23068</v>
      </c>
      <c r="E4466" t="s">
        <v>23069</v>
      </c>
      <c r="G4466" t="s">
        <v>23070</v>
      </c>
      <c r="L4466" t="s">
        <v>83</v>
      </c>
      <c r="M4466" t="s">
        <v>85</v>
      </c>
      <c r="R4466" t="s">
        <v>23071</v>
      </c>
      <c r="W4466" t="s">
        <v>23069</v>
      </c>
      <c r="X4466" t="s">
        <v>603</v>
      </c>
      <c r="Y4466" t="s">
        <v>97</v>
      </c>
      <c r="Z4466" t="s">
        <v>77</v>
      </c>
      <c r="AA4466" t="str">
        <f>"10022-1304"</f>
        <v>10022-1304</v>
      </c>
      <c r="AB4466" t="s">
        <v>78</v>
      </c>
      <c r="AC4466" t="s">
        <v>79</v>
      </c>
      <c r="AD4466" t="s">
        <v>75</v>
      </c>
      <c r="AE4466" t="s">
        <v>80</v>
      </c>
      <c r="AG4466" t="s">
        <v>81</v>
      </c>
    </row>
    <row r="4467" spans="1:33" x14ac:dyDescent="0.25">
      <c r="A4467" t="str">
        <f>"1154398568"</f>
        <v>1154398568</v>
      </c>
      <c r="B4467" t="str">
        <f>"02081854"</f>
        <v>02081854</v>
      </c>
      <c r="C4467" t="s">
        <v>13436</v>
      </c>
      <c r="D4467" t="s">
        <v>23072</v>
      </c>
      <c r="E4467" t="s">
        <v>23073</v>
      </c>
      <c r="G4467" t="s">
        <v>23074</v>
      </c>
      <c r="L4467" t="s">
        <v>74</v>
      </c>
      <c r="M4467" t="s">
        <v>85</v>
      </c>
      <c r="R4467" t="s">
        <v>23075</v>
      </c>
      <c r="W4467" t="s">
        <v>23073</v>
      </c>
      <c r="X4467" t="s">
        <v>272</v>
      </c>
      <c r="Y4467" t="s">
        <v>97</v>
      </c>
      <c r="Z4467" t="s">
        <v>77</v>
      </c>
      <c r="AA4467" t="str">
        <f>"10029-6501"</f>
        <v>10029-6501</v>
      </c>
      <c r="AB4467" t="s">
        <v>78</v>
      </c>
      <c r="AC4467" t="s">
        <v>79</v>
      </c>
      <c r="AD4467" t="s">
        <v>75</v>
      </c>
      <c r="AE4467" t="s">
        <v>80</v>
      </c>
      <c r="AG4467" t="s">
        <v>81</v>
      </c>
    </row>
    <row r="4468" spans="1:33" x14ac:dyDescent="0.25">
      <c r="A4468" t="str">
        <f>"1154398576"</f>
        <v>1154398576</v>
      </c>
      <c r="B4468" t="str">
        <f>"02681689"</f>
        <v>02681689</v>
      </c>
      <c r="C4468" t="s">
        <v>13436</v>
      </c>
      <c r="D4468" t="s">
        <v>23076</v>
      </c>
      <c r="E4468" t="s">
        <v>23077</v>
      </c>
      <c r="G4468" t="s">
        <v>23078</v>
      </c>
      <c r="L4468" t="s">
        <v>83</v>
      </c>
      <c r="M4468" t="s">
        <v>85</v>
      </c>
      <c r="R4468" t="s">
        <v>23079</v>
      </c>
      <c r="W4468" t="s">
        <v>23077</v>
      </c>
      <c r="X4468" t="s">
        <v>23080</v>
      </c>
      <c r="Y4468" t="s">
        <v>97</v>
      </c>
      <c r="Z4468" t="s">
        <v>77</v>
      </c>
      <c r="AA4468" t="str">
        <f>"10029-6501"</f>
        <v>10029-6501</v>
      </c>
      <c r="AB4468" t="s">
        <v>78</v>
      </c>
      <c r="AC4468" t="s">
        <v>79</v>
      </c>
      <c r="AD4468" t="s">
        <v>75</v>
      </c>
      <c r="AE4468" t="s">
        <v>80</v>
      </c>
      <c r="AG4468" t="s">
        <v>81</v>
      </c>
    </row>
    <row r="4469" spans="1:33" x14ac:dyDescent="0.25">
      <c r="A4469" t="str">
        <f>"1154398642"</f>
        <v>1154398642</v>
      </c>
      <c r="B4469" t="str">
        <f>"02097510"</f>
        <v>02097510</v>
      </c>
      <c r="C4469" t="s">
        <v>13436</v>
      </c>
      <c r="D4469" t="s">
        <v>23081</v>
      </c>
      <c r="E4469" t="s">
        <v>23082</v>
      </c>
      <c r="G4469" t="s">
        <v>23083</v>
      </c>
      <c r="L4469" t="s">
        <v>83</v>
      </c>
      <c r="M4469" t="s">
        <v>85</v>
      </c>
      <c r="R4469" t="s">
        <v>23082</v>
      </c>
      <c r="W4469" t="s">
        <v>23082</v>
      </c>
      <c r="X4469" t="s">
        <v>23084</v>
      </c>
      <c r="Y4469" t="s">
        <v>97</v>
      </c>
      <c r="Z4469" t="s">
        <v>77</v>
      </c>
      <c r="AA4469" t="str">
        <f>"10065-4870"</f>
        <v>10065-4870</v>
      </c>
      <c r="AB4469" t="s">
        <v>78</v>
      </c>
      <c r="AC4469" t="s">
        <v>79</v>
      </c>
      <c r="AD4469" t="s">
        <v>75</v>
      </c>
      <c r="AE4469" t="s">
        <v>80</v>
      </c>
      <c r="AG4469" t="s">
        <v>81</v>
      </c>
    </row>
    <row r="4470" spans="1:33" x14ac:dyDescent="0.25">
      <c r="A4470" t="str">
        <f>"1154426740"</f>
        <v>1154426740</v>
      </c>
      <c r="C4470" t="s">
        <v>13436</v>
      </c>
      <c r="G4470" t="s">
        <v>23085</v>
      </c>
      <c r="K4470" t="s">
        <v>99</v>
      </c>
      <c r="L4470" t="s">
        <v>102</v>
      </c>
      <c r="M4470" t="s">
        <v>75</v>
      </c>
      <c r="R4470" t="s">
        <v>23086</v>
      </c>
      <c r="S4470" t="s">
        <v>23087</v>
      </c>
      <c r="T4470" t="s">
        <v>97</v>
      </c>
      <c r="U4470" t="s">
        <v>77</v>
      </c>
      <c r="V4470" t="str">
        <f>"100296501"</f>
        <v>100296501</v>
      </c>
      <c r="AC4470" t="s">
        <v>79</v>
      </c>
      <c r="AD4470" t="s">
        <v>75</v>
      </c>
      <c r="AE4470" t="s">
        <v>103</v>
      </c>
      <c r="AG4470" t="s">
        <v>81</v>
      </c>
    </row>
    <row r="4471" spans="1:33" x14ac:dyDescent="0.25">
      <c r="C4471" t="s">
        <v>23088</v>
      </c>
      <c r="G4471" t="s">
        <v>23088</v>
      </c>
      <c r="H4471" t="s">
        <v>23089</v>
      </c>
      <c r="J4471" t="s">
        <v>23090</v>
      </c>
      <c r="K4471" t="s">
        <v>99</v>
      </c>
      <c r="L4471" t="s">
        <v>100</v>
      </c>
      <c r="M4471" t="s">
        <v>75</v>
      </c>
      <c r="N4471" t="s">
        <v>23091</v>
      </c>
      <c r="O4471" t="s">
        <v>23092</v>
      </c>
      <c r="P4471" t="s">
        <v>77</v>
      </c>
      <c r="Q4471" t="str">
        <f>"11782"</f>
        <v>11782</v>
      </c>
      <c r="AC4471" t="s">
        <v>79</v>
      </c>
      <c r="AD4471" t="s">
        <v>75</v>
      </c>
      <c r="AE4471" t="s">
        <v>101</v>
      </c>
      <c r="AG4471" t="s">
        <v>81</v>
      </c>
    </row>
    <row r="4472" spans="1:33" x14ac:dyDescent="0.25">
      <c r="A4472" t="str">
        <f>"1659309920"</f>
        <v>1659309920</v>
      </c>
      <c r="B4472" t="str">
        <f>"01769777"</f>
        <v>01769777</v>
      </c>
      <c r="C4472" t="s">
        <v>23093</v>
      </c>
      <c r="D4472" t="s">
        <v>2403</v>
      </c>
      <c r="E4472" t="s">
        <v>2404</v>
      </c>
      <c r="G4472" t="s">
        <v>23093</v>
      </c>
      <c r="H4472" t="s">
        <v>23094</v>
      </c>
      <c r="L4472" t="s">
        <v>84</v>
      </c>
      <c r="M4472" t="s">
        <v>75</v>
      </c>
      <c r="R4472" t="s">
        <v>2402</v>
      </c>
      <c r="W4472" t="s">
        <v>2404</v>
      </c>
      <c r="X4472" t="s">
        <v>2401</v>
      </c>
      <c r="Y4472" t="s">
        <v>213</v>
      </c>
      <c r="Z4472" t="s">
        <v>77</v>
      </c>
      <c r="AA4472" t="str">
        <f>"11758-6010"</f>
        <v>11758-6010</v>
      </c>
      <c r="AB4472" t="s">
        <v>78</v>
      </c>
      <c r="AC4472" t="s">
        <v>79</v>
      </c>
      <c r="AD4472" t="s">
        <v>75</v>
      </c>
      <c r="AE4472" t="s">
        <v>80</v>
      </c>
      <c r="AG4472" t="s">
        <v>81</v>
      </c>
    </row>
    <row r="4473" spans="1:33" x14ac:dyDescent="0.25">
      <c r="A4473" t="str">
        <f>"1609828359"</f>
        <v>1609828359</v>
      </c>
      <c r="B4473" t="str">
        <f>"00858411"</f>
        <v>00858411</v>
      </c>
      <c r="C4473" t="s">
        <v>23095</v>
      </c>
      <c r="D4473" t="s">
        <v>2406</v>
      </c>
      <c r="E4473" t="s">
        <v>2407</v>
      </c>
      <c r="G4473" t="s">
        <v>23096</v>
      </c>
      <c r="H4473" t="s">
        <v>23097</v>
      </c>
      <c r="J4473" t="s">
        <v>23098</v>
      </c>
      <c r="L4473" t="s">
        <v>84</v>
      </c>
      <c r="M4473" t="s">
        <v>75</v>
      </c>
      <c r="R4473" t="s">
        <v>2405</v>
      </c>
      <c r="W4473" t="s">
        <v>2407</v>
      </c>
      <c r="X4473" t="s">
        <v>2408</v>
      </c>
      <c r="Y4473" t="s">
        <v>2409</v>
      </c>
      <c r="Z4473" t="s">
        <v>77</v>
      </c>
      <c r="AA4473" t="str">
        <f>"11010-3638"</f>
        <v>11010-3638</v>
      </c>
      <c r="AB4473" t="s">
        <v>78</v>
      </c>
      <c r="AC4473" t="s">
        <v>79</v>
      </c>
      <c r="AD4473" t="s">
        <v>75</v>
      </c>
      <c r="AE4473" t="s">
        <v>80</v>
      </c>
      <c r="AG4473" t="s">
        <v>81</v>
      </c>
    </row>
    <row r="4474" spans="1:33" x14ac:dyDescent="0.25">
      <c r="A4474" t="str">
        <f>"1366430217"</f>
        <v>1366430217</v>
      </c>
      <c r="B4474" t="str">
        <f>"00975948"</f>
        <v>00975948</v>
      </c>
      <c r="C4474" t="s">
        <v>23099</v>
      </c>
      <c r="D4474" t="s">
        <v>2055</v>
      </c>
      <c r="E4474" t="s">
        <v>2056</v>
      </c>
      <c r="G4474" t="s">
        <v>23099</v>
      </c>
      <c r="H4474" t="s">
        <v>22677</v>
      </c>
      <c r="L4474" t="s">
        <v>105</v>
      </c>
      <c r="M4474" t="s">
        <v>75</v>
      </c>
      <c r="R4474" t="s">
        <v>2054</v>
      </c>
      <c r="W4474" t="s">
        <v>2056</v>
      </c>
      <c r="X4474" t="s">
        <v>937</v>
      </c>
      <c r="Y4474" t="s">
        <v>97</v>
      </c>
      <c r="Z4474" t="s">
        <v>77</v>
      </c>
      <c r="AA4474" t="str">
        <f>"10021-3104"</f>
        <v>10021-3104</v>
      </c>
      <c r="AB4474" t="s">
        <v>78</v>
      </c>
      <c r="AC4474" t="s">
        <v>79</v>
      </c>
      <c r="AD4474" t="s">
        <v>75</v>
      </c>
      <c r="AE4474" t="s">
        <v>80</v>
      </c>
      <c r="AG4474" t="s">
        <v>81</v>
      </c>
    </row>
    <row r="4475" spans="1:33" x14ac:dyDescent="0.25">
      <c r="A4475" t="str">
        <f>"1861503013"</f>
        <v>1861503013</v>
      </c>
      <c r="B4475" t="str">
        <f>"01840880"</f>
        <v>01840880</v>
      </c>
      <c r="C4475" t="s">
        <v>23100</v>
      </c>
      <c r="D4475" t="s">
        <v>2411</v>
      </c>
      <c r="E4475" t="s">
        <v>2412</v>
      </c>
      <c r="G4475" t="s">
        <v>23100</v>
      </c>
      <c r="H4475" t="s">
        <v>23101</v>
      </c>
      <c r="L4475" t="s">
        <v>105</v>
      </c>
      <c r="M4475" t="s">
        <v>85</v>
      </c>
      <c r="R4475" t="s">
        <v>2410</v>
      </c>
      <c r="W4475" t="s">
        <v>2412</v>
      </c>
      <c r="X4475" t="s">
        <v>1908</v>
      </c>
      <c r="Y4475" t="s">
        <v>214</v>
      </c>
      <c r="Z4475" t="s">
        <v>77</v>
      </c>
      <c r="AA4475" t="str">
        <f>"11801-3529"</f>
        <v>11801-3529</v>
      </c>
      <c r="AB4475" t="s">
        <v>78</v>
      </c>
      <c r="AC4475" t="s">
        <v>79</v>
      </c>
      <c r="AD4475" t="s">
        <v>75</v>
      </c>
      <c r="AE4475" t="s">
        <v>80</v>
      </c>
      <c r="AG4475" t="s">
        <v>81</v>
      </c>
    </row>
    <row r="4476" spans="1:33" x14ac:dyDescent="0.25">
      <c r="A4476" t="str">
        <f>"1104845411"</f>
        <v>1104845411</v>
      </c>
      <c r="B4476" t="str">
        <f>"01831992"</f>
        <v>01831992</v>
      </c>
      <c r="C4476" t="s">
        <v>23102</v>
      </c>
      <c r="D4476" t="s">
        <v>2414</v>
      </c>
      <c r="E4476" t="s">
        <v>2415</v>
      </c>
      <c r="G4476" t="s">
        <v>23102</v>
      </c>
      <c r="H4476" t="s">
        <v>23103</v>
      </c>
      <c r="L4476" t="s">
        <v>83</v>
      </c>
      <c r="M4476" t="s">
        <v>75</v>
      </c>
      <c r="R4476" t="s">
        <v>2413</v>
      </c>
      <c r="W4476" t="s">
        <v>2415</v>
      </c>
      <c r="X4476" t="s">
        <v>2416</v>
      </c>
      <c r="Y4476" t="s">
        <v>219</v>
      </c>
      <c r="Z4476" t="s">
        <v>77</v>
      </c>
      <c r="AA4476" t="str">
        <f>"11701-2731"</f>
        <v>11701-2731</v>
      </c>
      <c r="AB4476" t="s">
        <v>78</v>
      </c>
      <c r="AC4476" t="s">
        <v>79</v>
      </c>
      <c r="AD4476" t="s">
        <v>75</v>
      </c>
      <c r="AE4476" t="s">
        <v>80</v>
      </c>
      <c r="AG4476" t="s">
        <v>81</v>
      </c>
    </row>
    <row r="4477" spans="1:33" x14ac:dyDescent="0.25">
      <c r="A4477" t="str">
        <f>"1588663546"</f>
        <v>1588663546</v>
      </c>
      <c r="B4477" t="str">
        <f>"01816540"</f>
        <v>01816540</v>
      </c>
      <c r="C4477" t="s">
        <v>23104</v>
      </c>
      <c r="D4477" t="s">
        <v>2418</v>
      </c>
      <c r="E4477" t="s">
        <v>2419</v>
      </c>
      <c r="G4477" t="s">
        <v>23104</v>
      </c>
      <c r="H4477" t="s">
        <v>23105</v>
      </c>
      <c r="L4477" t="s">
        <v>84</v>
      </c>
      <c r="M4477" t="s">
        <v>75</v>
      </c>
      <c r="R4477" t="s">
        <v>2417</v>
      </c>
      <c r="W4477" t="s">
        <v>2419</v>
      </c>
      <c r="X4477" t="s">
        <v>2420</v>
      </c>
      <c r="Y4477" t="s">
        <v>230</v>
      </c>
      <c r="Z4477" t="s">
        <v>77</v>
      </c>
      <c r="AA4477" t="str">
        <f>"11795-4420"</f>
        <v>11795-4420</v>
      </c>
      <c r="AB4477" t="s">
        <v>78</v>
      </c>
      <c r="AC4477" t="s">
        <v>79</v>
      </c>
      <c r="AD4477" t="s">
        <v>75</v>
      </c>
      <c r="AE4477" t="s">
        <v>80</v>
      </c>
      <c r="AG4477" t="s">
        <v>81</v>
      </c>
    </row>
    <row r="4478" spans="1:33" x14ac:dyDescent="0.25">
      <c r="A4478" t="str">
        <f>"1689922411"</f>
        <v>1689922411</v>
      </c>
      <c r="B4478" t="str">
        <f>"03809372"</f>
        <v>03809372</v>
      </c>
      <c r="C4478" t="s">
        <v>23106</v>
      </c>
      <c r="D4478" t="s">
        <v>2422</v>
      </c>
      <c r="E4478" t="s">
        <v>2423</v>
      </c>
      <c r="G4478" t="s">
        <v>23106</v>
      </c>
      <c r="H4478" t="s">
        <v>23107</v>
      </c>
      <c r="J4478" t="s">
        <v>23108</v>
      </c>
      <c r="L4478" t="s">
        <v>74</v>
      </c>
      <c r="M4478" t="s">
        <v>75</v>
      </c>
      <c r="R4478" t="s">
        <v>2421</v>
      </c>
      <c r="W4478" t="s">
        <v>2423</v>
      </c>
      <c r="X4478" t="s">
        <v>2424</v>
      </c>
      <c r="Y4478" t="s">
        <v>2425</v>
      </c>
      <c r="Z4478" t="s">
        <v>77</v>
      </c>
      <c r="AA4478" t="str">
        <f>"11729-5208"</f>
        <v>11729-5208</v>
      </c>
      <c r="AB4478" t="s">
        <v>78</v>
      </c>
      <c r="AC4478" t="s">
        <v>79</v>
      </c>
      <c r="AD4478" t="s">
        <v>75</v>
      </c>
      <c r="AE4478" t="s">
        <v>80</v>
      </c>
      <c r="AG4478" t="s">
        <v>81</v>
      </c>
    </row>
    <row r="4479" spans="1:33" x14ac:dyDescent="0.25">
      <c r="A4479" t="str">
        <f>"1073694824"</f>
        <v>1073694824</v>
      </c>
      <c r="B4479" t="str">
        <f>"01746574"</f>
        <v>01746574</v>
      </c>
      <c r="C4479" t="s">
        <v>23109</v>
      </c>
      <c r="D4479" t="s">
        <v>2427</v>
      </c>
      <c r="E4479" t="s">
        <v>2428</v>
      </c>
      <c r="G4479" t="s">
        <v>23109</v>
      </c>
      <c r="H4479" t="s">
        <v>23110</v>
      </c>
      <c r="L4479" t="s">
        <v>83</v>
      </c>
      <c r="M4479" t="s">
        <v>75</v>
      </c>
      <c r="R4479" t="s">
        <v>2426</v>
      </c>
      <c r="W4479" t="s">
        <v>2429</v>
      </c>
      <c r="X4479" t="s">
        <v>2430</v>
      </c>
      <c r="Y4479" t="s">
        <v>2312</v>
      </c>
      <c r="Z4479" t="s">
        <v>77</v>
      </c>
      <c r="AA4479" t="str">
        <f>"11704-6212"</f>
        <v>11704-6212</v>
      </c>
      <c r="AB4479" t="s">
        <v>128</v>
      </c>
      <c r="AC4479" t="s">
        <v>79</v>
      </c>
      <c r="AD4479" t="s">
        <v>75</v>
      </c>
      <c r="AE4479" t="s">
        <v>80</v>
      </c>
      <c r="AG4479" t="s">
        <v>81</v>
      </c>
    </row>
    <row r="4480" spans="1:33" x14ac:dyDescent="0.25">
      <c r="A4480" t="str">
        <f>"1154364081"</f>
        <v>1154364081</v>
      </c>
      <c r="B4480" t="str">
        <f>"02364065"</f>
        <v>02364065</v>
      </c>
      <c r="C4480" t="s">
        <v>13436</v>
      </c>
      <c r="D4480" t="s">
        <v>23111</v>
      </c>
      <c r="E4480" t="s">
        <v>23112</v>
      </c>
      <c r="G4480" t="s">
        <v>23113</v>
      </c>
      <c r="L4480" t="s">
        <v>84</v>
      </c>
      <c r="M4480" t="s">
        <v>75</v>
      </c>
      <c r="R4480" t="s">
        <v>23112</v>
      </c>
      <c r="W4480" t="s">
        <v>23114</v>
      </c>
      <c r="X4480" t="s">
        <v>22254</v>
      </c>
      <c r="Y4480" t="s">
        <v>97</v>
      </c>
      <c r="Z4480" t="s">
        <v>77</v>
      </c>
      <c r="AA4480" t="str">
        <f>"10033-2411"</f>
        <v>10033-2411</v>
      </c>
      <c r="AB4480" t="s">
        <v>78</v>
      </c>
      <c r="AC4480" t="s">
        <v>79</v>
      </c>
      <c r="AD4480" t="s">
        <v>75</v>
      </c>
      <c r="AE4480" t="s">
        <v>80</v>
      </c>
      <c r="AG4480" t="s">
        <v>81</v>
      </c>
    </row>
    <row r="4481" spans="1:33" x14ac:dyDescent="0.25">
      <c r="A4481" t="str">
        <f>"1154493575"</f>
        <v>1154493575</v>
      </c>
      <c r="B4481" t="str">
        <f>"02462279"</f>
        <v>02462279</v>
      </c>
      <c r="C4481" t="s">
        <v>13436</v>
      </c>
      <c r="D4481" t="s">
        <v>23115</v>
      </c>
      <c r="E4481" t="s">
        <v>23116</v>
      </c>
      <c r="G4481" t="s">
        <v>23117</v>
      </c>
      <c r="L4481" t="s">
        <v>84</v>
      </c>
      <c r="M4481" t="s">
        <v>75</v>
      </c>
      <c r="R4481" t="s">
        <v>23118</v>
      </c>
      <c r="W4481" t="s">
        <v>23116</v>
      </c>
      <c r="X4481" t="s">
        <v>175</v>
      </c>
      <c r="Y4481" t="s">
        <v>87</v>
      </c>
      <c r="Z4481" t="s">
        <v>77</v>
      </c>
      <c r="AA4481" t="str">
        <f>"11235-7745"</f>
        <v>11235-7745</v>
      </c>
      <c r="AB4481" t="s">
        <v>78</v>
      </c>
      <c r="AC4481" t="s">
        <v>79</v>
      </c>
      <c r="AD4481" t="s">
        <v>75</v>
      </c>
      <c r="AE4481" t="s">
        <v>80</v>
      </c>
      <c r="AG4481" t="s">
        <v>81</v>
      </c>
    </row>
    <row r="4482" spans="1:33" x14ac:dyDescent="0.25">
      <c r="A4482" t="str">
        <f>"1154556637"</f>
        <v>1154556637</v>
      </c>
      <c r="B4482" t="str">
        <f>"03554881"</f>
        <v>03554881</v>
      </c>
      <c r="C4482" t="s">
        <v>13436</v>
      </c>
      <c r="D4482" t="s">
        <v>23119</v>
      </c>
      <c r="E4482" t="s">
        <v>23120</v>
      </c>
      <c r="G4482" t="s">
        <v>23121</v>
      </c>
      <c r="L4482" t="s">
        <v>84</v>
      </c>
      <c r="M4482" t="s">
        <v>85</v>
      </c>
      <c r="R4482" t="s">
        <v>23122</v>
      </c>
      <c r="W4482" t="s">
        <v>23120</v>
      </c>
      <c r="X4482" t="s">
        <v>2838</v>
      </c>
      <c r="Y4482" t="s">
        <v>97</v>
      </c>
      <c r="Z4482" t="s">
        <v>77</v>
      </c>
      <c r="AA4482" t="str">
        <f>"10003-3105"</f>
        <v>10003-3105</v>
      </c>
      <c r="AB4482" t="s">
        <v>78</v>
      </c>
      <c r="AC4482" t="s">
        <v>79</v>
      </c>
      <c r="AD4482" t="s">
        <v>75</v>
      </c>
      <c r="AE4482" t="s">
        <v>80</v>
      </c>
      <c r="AG4482" t="s">
        <v>81</v>
      </c>
    </row>
    <row r="4483" spans="1:33" x14ac:dyDescent="0.25">
      <c r="A4483" t="str">
        <f>"1164771044"</f>
        <v>1164771044</v>
      </c>
      <c r="B4483" t="str">
        <f>"03565900"</f>
        <v>03565900</v>
      </c>
      <c r="C4483" t="s">
        <v>13436</v>
      </c>
      <c r="D4483" t="s">
        <v>23123</v>
      </c>
      <c r="E4483" t="s">
        <v>23124</v>
      </c>
      <c r="G4483" t="s">
        <v>23125</v>
      </c>
      <c r="L4483" t="s">
        <v>83</v>
      </c>
      <c r="M4483" t="s">
        <v>85</v>
      </c>
      <c r="R4483" t="s">
        <v>23124</v>
      </c>
      <c r="W4483" t="s">
        <v>23124</v>
      </c>
      <c r="X4483" t="s">
        <v>19905</v>
      </c>
      <c r="Y4483" t="s">
        <v>97</v>
      </c>
      <c r="Z4483" t="s">
        <v>77</v>
      </c>
      <c r="AA4483" t="str">
        <f>"10075-0255"</f>
        <v>10075-0255</v>
      </c>
      <c r="AB4483" t="s">
        <v>78</v>
      </c>
      <c r="AC4483" t="s">
        <v>79</v>
      </c>
      <c r="AD4483" t="s">
        <v>75</v>
      </c>
      <c r="AE4483" t="s">
        <v>80</v>
      </c>
      <c r="AG4483" t="s">
        <v>81</v>
      </c>
    </row>
    <row r="4484" spans="1:33" x14ac:dyDescent="0.25">
      <c r="A4484" t="str">
        <f>"1174576797"</f>
        <v>1174576797</v>
      </c>
      <c r="B4484" t="str">
        <f>"00396552"</f>
        <v>00396552</v>
      </c>
      <c r="C4484" t="s">
        <v>13436</v>
      </c>
      <c r="D4484" t="s">
        <v>23126</v>
      </c>
      <c r="E4484" t="s">
        <v>23127</v>
      </c>
      <c r="G4484" t="s">
        <v>23128</v>
      </c>
      <c r="L4484" t="s">
        <v>74</v>
      </c>
      <c r="M4484" t="s">
        <v>85</v>
      </c>
      <c r="R4484" t="s">
        <v>23129</v>
      </c>
      <c r="W4484" t="s">
        <v>23127</v>
      </c>
      <c r="X4484" t="s">
        <v>23130</v>
      </c>
      <c r="Y4484" t="s">
        <v>7173</v>
      </c>
      <c r="Z4484" t="s">
        <v>156</v>
      </c>
      <c r="AA4484" t="str">
        <f>"07002-2814"</f>
        <v>07002-2814</v>
      </c>
      <c r="AB4484" t="s">
        <v>78</v>
      </c>
      <c r="AC4484" t="s">
        <v>79</v>
      </c>
      <c r="AD4484" t="s">
        <v>75</v>
      </c>
      <c r="AE4484" t="s">
        <v>80</v>
      </c>
      <c r="AG4484" t="s">
        <v>81</v>
      </c>
    </row>
    <row r="4485" spans="1:33" x14ac:dyDescent="0.25">
      <c r="A4485" t="str">
        <f>"1194804633"</f>
        <v>1194804633</v>
      </c>
      <c r="B4485" t="str">
        <f>"02908496"</f>
        <v>02908496</v>
      </c>
      <c r="C4485" t="s">
        <v>13436</v>
      </c>
      <c r="D4485" t="s">
        <v>23131</v>
      </c>
      <c r="E4485" t="s">
        <v>23132</v>
      </c>
      <c r="G4485" t="s">
        <v>23133</v>
      </c>
      <c r="L4485" t="s">
        <v>84</v>
      </c>
      <c r="M4485" t="s">
        <v>85</v>
      </c>
      <c r="R4485" t="s">
        <v>23134</v>
      </c>
      <c r="W4485" t="s">
        <v>23132</v>
      </c>
      <c r="X4485" t="s">
        <v>23135</v>
      </c>
      <c r="Y4485" t="s">
        <v>245</v>
      </c>
      <c r="Z4485" t="s">
        <v>77</v>
      </c>
      <c r="AA4485" t="str">
        <f>"11561-3212"</f>
        <v>11561-3212</v>
      </c>
      <c r="AB4485" t="s">
        <v>78</v>
      </c>
      <c r="AC4485" t="s">
        <v>79</v>
      </c>
      <c r="AD4485" t="s">
        <v>75</v>
      </c>
      <c r="AE4485" t="s">
        <v>80</v>
      </c>
      <c r="AG4485" t="s">
        <v>81</v>
      </c>
    </row>
    <row r="4486" spans="1:33" x14ac:dyDescent="0.25">
      <c r="A4486" t="str">
        <f>"1285698597"</f>
        <v>1285698597</v>
      </c>
      <c r="B4486" t="str">
        <f>"02209869"</f>
        <v>02209869</v>
      </c>
      <c r="C4486" t="s">
        <v>23136</v>
      </c>
      <c r="D4486" t="s">
        <v>23137</v>
      </c>
      <c r="E4486" t="s">
        <v>23138</v>
      </c>
      <c r="G4486" t="s">
        <v>23136</v>
      </c>
      <c r="H4486" t="s">
        <v>23139</v>
      </c>
      <c r="J4486" t="s">
        <v>23140</v>
      </c>
      <c r="L4486" t="s">
        <v>83</v>
      </c>
      <c r="M4486" t="s">
        <v>85</v>
      </c>
      <c r="R4486" t="s">
        <v>23141</v>
      </c>
      <c r="W4486" t="s">
        <v>23138</v>
      </c>
      <c r="X4486" t="s">
        <v>23142</v>
      </c>
      <c r="Y4486" t="s">
        <v>97</v>
      </c>
      <c r="Z4486" t="s">
        <v>77</v>
      </c>
      <c r="AA4486" t="str">
        <f>"10003-2521"</f>
        <v>10003-2521</v>
      </c>
      <c r="AB4486" t="s">
        <v>78</v>
      </c>
      <c r="AC4486" t="s">
        <v>79</v>
      </c>
      <c r="AD4486" t="s">
        <v>75</v>
      </c>
      <c r="AE4486" t="s">
        <v>80</v>
      </c>
      <c r="AG4486" t="s">
        <v>81</v>
      </c>
    </row>
    <row r="4487" spans="1:33" x14ac:dyDescent="0.25">
      <c r="A4487" t="str">
        <f>"1447337738"</f>
        <v>1447337738</v>
      </c>
      <c r="B4487" t="str">
        <f>"01008846"</f>
        <v>01008846</v>
      </c>
      <c r="C4487" t="s">
        <v>23143</v>
      </c>
      <c r="D4487" t="s">
        <v>23144</v>
      </c>
      <c r="E4487" t="s">
        <v>23145</v>
      </c>
      <c r="G4487" t="s">
        <v>23143</v>
      </c>
      <c r="H4487" t="s">
        <v>23146</v>
      </c>
      <c r="J4487" t="s">
        <v>23147</v>
      </c>
      <c r="L4487" t="s">
        <v>83</v>
      </c>
      <c r="M4487" t="s">
        <v>75</v>
      </c>
      <c r="R4487" t="s">
        <v>23148</v>
      </c>
      <c r="W4487" t="s">
        <v>23145</v>
      </c>
      <c r="X4487" t="s">
        <v>23149</v>
      </c>
      <c r="Y4487" t="s">
        <v>87</v>
      </c>
      <c r="Z4487" t="s">
        <v>77</v>
      </c>
      <c r="AA4487" t="str">
        <f>"11209-7851"</f>
        <v>11209-7851</v>
      </c>
      <c r="AB4487" t="s">
        <v>128</v>
      </c>
      <c r="AC4487" t="s">
        <v>79</v>
      </c>
      <c r="AD4487" t="s">
        <v>75</v>
      </c>
      <c r="AE4487" t="s">
        <v>80</v>
      </c>
      <c r="AG4487" t="s">
        <v>81</v>
      </c>
    </row>
    <row r="4488" spans="1:33" x14ac:dyDescent="0.25">
      <c r="A4488" t="str">
        <f>"1184761249"</f>
        <v>1184761249</v>
      </c>
      <c r="B4488" t="str">
        <f>"01678793"</f>
        <v>01678793</v>
      </c>
      <c r="C4488" t="s">
        <v>23150</v>
      </c>
      <c r="D4488" t="s">
        <v>23151</v>
      </c>
      <c r="E4488" t="s">
        <v>23152</v>
      </c>
      <c r="G4488" t="s">
        <v>23150</v>
      </c>
      <c r="H4488" t="s">
        <v>23153</v>
      </c>
      <c r="J4488" t="s">
        <v>23154</v>
      </c>
      <c r="L4488" t="s">
        <v>102</v>
      </c>
      <c r="M4488" t="s">
        <v>75</v>
      </c>
      <c r="R4488" t="s">
        <v>23155</v>
      </c>
      <c r="W4488" t="s">
        <v>23152</v>
      </c>
      <c r="X4488" t="s">
        <v>23156</v>
      </c>
      <c r="Y4488" t="s">
        <v>97</v>
      </c>
      <c r="Z4488" t="s">
        <v>77</v>
      </c>
      <c r="AA4488" t="str">
        <f>"10021"</f>
        <v>10021</v>
      </c>
      <c r="AB4488" t="s">
        <v>2069</v>
      </c>
      <c r="AC4488" t="s">
        <v>79</v>
      </c>
      <c r="AD4488" t="s">
        <v>75</v>
      </c>
      <c r="AE4488" t="s">
        <v>80</v>
      </c>
      <c r="AG4488" t="s">
        <v>81</v>
      </c>
    </row>
    <row r="4489" spans="1:33" x14ac:dyDescent="0.25">
      <c r="A4489" t="str">
        <f>"1124096888"</f>
        <v>1124096888</v>
      </c>
      <c r="B4489" t="str">
        <f>"00146814"</f>
        <v>00146814</v>
      </c>
      <c r="C4489" t="s">
        <v>23157</v>
      </c>
      <c r="D4489" t="s">
        <v>23158</v>
      </c>
      <c r="E4489" t="s">
        <v>23159</v>
      </c>
      <c r="G4489" t="s">
        <v>23157</v>
      </c>
      <c r="H4489" t="s">
        <v>23160</v>
      </c>
      <c r="L4489" t="s">
        <v>102</v>
      </c>
      <c r="M4489" t="s">
        <v>75</v>
      </c>
      <c r="R4489" t="s">
        <v>23161</v>
      </c>
      <c r="W4489" t="s">
        <v>23162</v>
      </c>
      <c r="AB4489" t="s">
        <v>78</v>
      </c>
      <c r="AC4489" t="s">
        <v>79</v>
      </c>
      <c r="AD4489" t="s">
        <v>75</v>
      </c>
      <c r="AE4489" t="s">
        <v>80</v>
      </c>
      <c r="AG4489" t="s">
        <v>81</v>
      </c>
    </row>
    <row r="4490" spans="1:33" x14ac:dyDescent="0.25">
      <c r="A4490" t="str">
        <f>"1578596375"</f>
        <v>1578596375</v>
      </c>
      <c r="B4490" t="str">
        <f>"02653478"</f>
        <v>02653478</v>
      </c>
      <c r="C4490" t="s">
        <v>23163</v>
      </c>
      <c r="D4490" t="s">
        <v>1161</v>
      </c>
      <c r="E4490" t="s">
        <v>1162</v>
      </c>
      <c r="G4490" t="s">
        <v>23163</v>
      </c>
      <c r="H4490" t="s">
        <v>23164</v>
      </c>
      <c r="J4490" t="s">
        <v>23165</v>
      </c>
      <c r="L4490" t="s">
        <v>74</v>
      </c>
      <c r="M4490" t="s">
        <v>75</v>
      </c>
      <c r="R4490" t="s">
        <v>1162</v>
      </c>
      <c r="W4490" t="s">
        <v>1162</v>
      </c>
      <c r="X4490" t="s">
        <v>1163</v>
      </c>
      <c r="Y4490" t="s">
        <v>97</v>
      </c>
      <c r="Z4490" t="s">
        <v>77</v>
      </c>
      <c r="AA4490" t="str">
        <f>"10029-4413"</f>
        <v>10029-4413</v>
      </c>
      <c r="AB4490" t="s">
        <v>78</v>
      </c>
      <c r="AC4490" t="s">
        <v>79</v>
      </c>
      <c r="AD4490" t="s">
        <v>75</v>
      </c>
      <c r="AE4490" t="s">
        <v>80</v>
      </c>
      <c r="AG4490" t="s">
        <v>81</v>
      </c>
    </row>
    <row r="4491" spans="1:33" x14ac:dyDescent="0.25">
      <c r="A4491" t="str">
        <f>"1790817716"</f>
        <v>1790817716</v>
      </c>
      <c r="C4491" t="s">
        <v>23166</v>
      </c>
      <c r="G4491" t="s">
        <v>23166</v>
      </c>
      <c r="H4491" t="s">
        <v>23167</v>
      </c>
      <c r="J4491" t="s">
        <v>23168</v>
      </c>
      <c r="K4491" t="s">
        <v>99</v>
      </c>
      <c r="L4491" t="s">
        <v>102</v>
      </c>
      <c r="M4491" t="s">
        <v>75</v>
      </c>
      <c r="R4491" t="s">
        <v>23169</v>
      </c>
      <c r="S4491" t="s">
        <v>23170</v>
      </c>
      <c r="T4491" t="s">
        <v>97</v>
      </c>
      <c r="U4491" t="s">
        <v>77</v>
      </c>
      <c r="V4491" t="str">
        <f>"100221117"</f>
        <v>100221117</v>
      </c>
      <c r="AC4491" t="s">
        <v>79</v>
      </c>
      <c r="AD4491" t="s">
        <v>75</v>
      </c>
      <c r="AE4491" t="s">
        <v>103</v>
      </c>
      <c r="AG4491" t="s">
        <v>81</v>
      </c>
    </row>
    <row r="4492" spans="1:33" x14ac:dyDescent="0.25">
      <c r="A4492" t="str">
        <f>"1649338484"</f>
        <v>1649338484</v>
      </c>
      <c r="B4492" t="str">
        <f>"02945760"</f>
        <v>02945760</v>
      </c>
      <c r="C4492" t="s">
        <v>23171</v>
      </c>
      <c r="D4492" t="s">
        <v>482</v>
      </c>
      <c r="E4492" t="s">
        <v>483</v>
      </c>
      <c r="G4492" t="s">
        <v>23171</v>
      </c>
      <c r="H4492" t="s">
        <v>23172</v>
      </c>
      <c r="J4492" t="s">
        <v>23173</v>
      </c>
      <c r="L4492" t="s">
        <v>83</v>
      </c>
      <c r="M4492" t="s">
        <v>85</v>
      </c>
      <c r="R4492" t="s">
        <v>484</v>
      </c>
      <c r="W4492" t="s">
        <v>483</v>
      </c>
      <c r="X4492" t="s">
        <v>263</v>
      </c>
      <c r="Y4492" t="s">
        <v>97</v>
      </c>
      <c r="Z4492" t="s">
        <v>77</v>
      </c>
      <c r="AA4492" t="str">
        <f>"10011-8202"</f>
        <v>10011-8202</v>
      </c>
      <c r="AB4492" t="s">
        <v>78</v>
      </c>
      <c r="AC4492" t="s">
        <v>79</v>
      </c>
      <c r="AD4492" t="s">
        <v>75</v>
      </c>
      <c r="AE4492" t="s">
        <v>80</v>
      </c>
      <c r="AG4492" t="s">
        <v>81</v>
      </c>
    </row>
    <row r="4493" spans="1:33" x14ac:dyDescent="0.25">
      <c r="A4493" t="str">
        <f>"1811129562"</f>
        <v>1811129562</v>
      </c>
      <c r="B4493" t="str">
        <f>"03152467"</f>
        <v>03152467</v>
      </c>
      <c r="C4493" t="s">
        <v>23174</v>
      </c>
      <c r="D4493" t="s">
        <v>3016</v>
      </c>
      <c r="E4493" t="s">
        <v>3017</v>
      </c>
      <c r="G4493" t="s">
        <v>23174</v>
      </c>
      <c r="H4493" t="s">
        <v>18201</v>
      </c>
      <c r="L4493" t="s">
        <v>83</v>
      </c>
      <c r="M4493" t="s">
        <v>85</v>
      </c>
      <c r="R4493" t="s">
        <v>3018</v>
      </c>
      <c r="W4493" t="s">
        <v>3019</v>
      </c>
      <c r="X4493" t="s">
        <v>3020</v>
      </c>
      <c r="Y4493" t="s">
        <v>131</v>
      </c>
      <c r="Z4493" t="s">
        <v>77</v>
      </c>
      <c r="AA4493" t="str">
        <f>"10475-1603"</f>
        <v>10475-1603</v>
      </c>
      <c r="AB4493" t="s">
        <v>78</v>
      </c>
      <c r="AC4493" t="s">
        <v>79</v>
      </c>
      <c r="AD4493" t="s">
        <v>75</v>
      </c>
      <c r="AE4493" t="s">
        <v>80</v>
      </c>
      <c r="AG4493" t="s">
        <v>81</v>
      </c>
    </row>
    <row r="4494" spans="1:33" x14ac:dyDescent="0.25">
      <c r="A4494" t="str">
        <f>"1194846238"</f>
        <v>1194846238</v>
      </c>
      <c r="B4494" t="str">
        <f>"00537453"</f>
        <v>00537453</v>
      </c>
      <c r="C4494" t="s">
        <v>23175</v>
      </c>
      <c r="D4494" t="s">
        <v>4908</v>
      </c>
      <c r="E4494" t="s">
        <v>4909</v>
      </c>
      <c r="G4494" t="s">
        <v>23176</v>
      </c>
      <c r="H4494" t="s">
        <v>22167</v>
      </c>
      <c r="J4494" t="s">
        <v>23177</v>
      </c>
      <c r="L4494" t="s">
        <v>74</v>
      </c>
      <c r="M4494" t="s">
        <v>75</v>
      </c>
      <c r="R4494" t="s">
        <v>4910</v>
      </c>
      <c r="W4494" t="s">
        <v>4909</v>
      </c>
      <c r="Y4494" t="s">
        <v>97</v>
      </c>
      <c r="Z4494" t="s">
        <v>77</v>
      </c>
      <c r="AA4494" t="str">
        <f>"10024-2298"</f>
        <v>10024-2298</v>
      </c>
      <c r="AB4494" t="s">
        <v>78</v>
      </c>
      <c r="AC4494" t="s">
        <v>79</v>
      </c>
      <c r="AD4494" t="s">
        <v>75</v>
      </c>
      <c r="AE4494" t="s">
        <v>80</v>
      </c>
      <c r="AG4494" t="s">
        <v>81</v>
      </c>
    </row>
    <row r="4495" spans="1:33" x14ac:dyDescent="0.25">
      <c r="A4495" t="str">
        <f>"1144376450"</f>
        <v>1144376450</v>
      </c>
      <c r="B4495" t="str">
        <f>"01909342"</f>
        <v>01909342</v>
      </c>
      <c r="C4495" t="s">
        <v>23178</v>
      </c>
      <c r="D4495" t="s">
        <v>23179</v>
      </c>
      <c r="E4495" t="s">
        <v>23180</v>
      </c>
      <c r="G4495" t="s">
        <v>23178</v>
      </c>
      <c r="H4495" t="s">
        <v>23181</v>
      </c>
      <c r="J4495" t="s">
        <v>23182</v>
      </c>
      <c r="L4495" t="s">
        <v>74</v>
      </c>
      <c r="M4495" t="s">
        <v>75</v>
      </c>
      <c r="R4495" t="s">
        <v>23180</v>
      </c>
      <c r="W4495" t="s">
        <v>23180</v>
      </c>
      <c r="X4495" t="s">
        <v>1163</v>
      </c>
      <c r="Y4495" t="s">
        <v>97</v>
      </c>
      <c r="Z4495" t="s">
        <v>77</v>
      </c>
      <c r="AA4495" t="str">
        <f>"10029-4413"</f>
        <v>10029-4413</v>
      </c>
      <c r="AB4495" t="s">
        <v>78</v>
      </c>
      <c r="AC4495" t="s">
        <v>79</v>
      </c>
      <c r="AD4495" t="s">
        <v>75</v>
      </c>
      <c r="AE4495" t="s">
        <v>80</v>
      </c>
      <c r="AG4495" t="s">
        <v>81</v>
      </c>
    </row>
    <row r="4496" spans="1:33" x14ac:dyDescent="0.25">
      <c r="A4496" t="str">
        <f>"1023041795"</f>
        <v>1023041795</v>
      </c>
      <c r="B4496" t="str">
        <f>"02383475"</f>
        <v>02383475</v>
      </c>
      <c r="C4496" t="s">
        <v>23183</v>
      </c>
      <c r="D4496" t="s">
        <v>5213</v>
      </c>
      <c r="E4496" t="s">
        <v>5214</v>
      </c>
      <c r="G4496" t="s">
        <v>23183</v>
      </c>
      <c r="H4496" t="s">
        <v>23184</v>
      </c>
      <c r="J4496" t="s">
        <v>23185</v>
      </c>
      <c r="L4496" t="s">
        <v>83</v>
      </c>
      <c r="M4496" t="s">
        <v>75</v>
      </c>
      <c r="R4496" t="s">
        <v>5215</v>
      </c>
      <c r="W4496" t="s">
        <v>5214</v>
      </c>
      <c r="X4496" t="s">
        <v>1163</v>
      </c>
      <c r="Y4496" t="s">
        <v>97</v>
      </c>
      <c r="Z4496" t="s">
        <v>77</v>
      </c>
      <c r="AA4496" t="str">
        <f>"10029-4413"</f>
        <v>10029-4413</v>
      </c>
      <c r="AB4496" t="s">
        <v>78</v>
      </c>
      <c r="AC4496" t="s">
        <v>79</v>
      </c>
      <c r="AD4496" t="s">
        <v>75</v>
      </c>
      <c r="AE4496" t="s">
        <v>80</v>
      </c>
      <c r="AG4496" t="s">
        <v>81</v>
      </c>
    </row>
    <row r="4497" spans="1:33" x14ac:dyDescent="0.25">
      <c r="A4497" t="str">
        <f>"1477623411"</f>
        <v>1477623411</v>
      </c>
      <c r="B4497" t="str">
        <f>"02852564"</f>
        <v>02852564</v>
      </c>
      <c r="C4497" t="s">
        <v>23186</v>
      </c>
      <c r="D4497" t="s">
        <v>1242</v>
      </c>
      <c r="E4497" t="s">
        <v>1243</v>
      </c>
      <c r="G4497" t="s">
        <v>23186</v>
      </c>
      <c r="H4497" t="s">
        <v>23187</v>
      </c>
      <c r="J4497" t="s">
        <v>1244</v>
      </c>
      <c r="L4497" t="s">
        <v>84</v>
      </c>
      <c r="M4497" t="s">
        <v>85</v>
      </c>
      <c r="R4497" t="s">
        <v>1245</v>
      </c>
      <c r="W4497" t="s">
        <v>1243</v>
      </c>
      <c r="X4497" t="s">
        <v>1246</v>
      </c>
      <c r="Y4497" t="s">
        <v>97</v>
      </c>
      <c r="Z4497" t="s">
        <v>77</v>
      </c>
      <c r="AA4497" t="str">
        <f>"10031"</f>
        <v>10031</v>
      </c>
      <c r="AB4497" t="s">
        <v>78</v>
      </c>
      <c r="AC4497" t="s">
        <v>79</v>
      </c>
      <c r="AD4497" t="s">
        <v>75</v>
      </c>
      <c r="AE4497" t="s">
        <v>80</v>
      </c>
      <c r="AG4497" t="s">
        <v>81</v>
      </c>
    </row>
    <row r="4498" spans="1:33" x14ac:dyDescent="0.25">
      <c r="A4498" t="str">
        <f>"1275566382"</f>
        <v>1275566382</v>
      </c>
      <c r="B4498" t="str">
        <f>"00856244"</f>
        <v>00856244</v>
      </c>
      <c r="C4498" t="s">
        <v>23188</v>
      </c>
      <c r="D4498" t="s">
        <v>4829</v>
      </c>
      <c r="E4498" t="s">
        <v>4830</v>
      </c>
      <c r="G4498" t="s">
        <v>23188</v>
      </c>
      <c r="H4498" t="s">
        <v>23189</v>
      </c>
      <c r="J4498" t="s">
        <v>23190</v>
      </c>
      <c r="L4498" t="s">
        <v>94</v>
      </c>
      <c r="M4498" t="s">
        <v>75</v>
      </c>
      <c r="R4498" t="s">
        <v>4831</v>
      </c>
      <c r="W4498" t="s">
        <v>4830</v>
      </c>
      <c r="X4498" t="s">
        <v>4832</v>
      </c>
      <c r="Y4498" t="s">
        <v>97</v>
      </c>
      <c r="Z4498" t="s">
        <v>77</v>
      </c>
      <c r="AA4498" t="str">
        <f>"10065-4885"</f>
        <v>10065-4885</v>
      </c>
      <c r="AB4498" t="s">
        <v>78</v>
      </c>
      <c r="AC4498" t="s">
        <v>79</v>
      </c>
      <c r="AD4498" t="s">
        <v>75</v>
      </c>
      <c r="AE4498" t="s">
        <v>80</v>
      </c>
      <c r="AG4498" t="s">
        <v>81</v>
      </c>
    </row>
    <row r="4499" spans="1:33" x14ac:dyDescent="0.25">
      <c r="A4499" t="str">
        <f>"1407939838"</f>
        <v>1407939838</v>
      </c>
      <c r="B4499" t="str">
        <f>"02212673"</f>
        <v>02212673</v>
      </c>
      <c r="C4499" t="s">
        <v>23191</v>
      </c>
      <c r="D4499" t="s">
        <v>23192</v>
      </c>
      <c r="E4499" t="s">
        <v>23193</v>
      </c>
      <c r="G4499" t="s">
        <v>23191</v>
      </c>
      <c r="H4499" t="s">
        <v>23194</v>
      </c>
      <c r="J4499" t="s">
        <v>23195</v>
      </c>
      <c r="L4499" t="s">
        <v>84</v>
      </c>
      <c r="M4499" t="s">
        <v>75</v>
      </c>
      <c r="R4499" t="s">
        <v>23196</v>
      </c>
      <c r="W4499" t="s">
        <v>23193</v>
      </c>
      <c r="X4499" t="s">
        <v>23197</v>
      </c>
      <c r="Y4499" t="s">
        <v>87</v>
      </c>
      <c r="Z4499" t="s">
        <v>77</v>
      </c>
      <c r="AA4499" t="str">
        <f>"11230-3808"</f>
        <v>11230-3808</v>
      </c>
      <c r="AB4499" t="s">
        <v>78</v>
      </c>
      <c r="AC4499" t="s">
        <v>79</v>
      </c>
      <c r="AD4499" t="s">
        <v>75</v>
      </c>
      <c r="AE4499" t="s">
        <v>80</v>
      </c>
      <c r="AG4499" t="s">
        <v>81</v>
      </c>
    </row>
    <row r="4500" spans="1:33" x14ac:dyDescent="0.25">
      <c r="A4500" t="str">
        <f>"1144265455"</f>
        <v>1144265455</v>
      </c>
      <c r="B4500" t="str">
        <f>"03321762"</f>
        <v>03321762</v>
      </c>
      <c r="C4500" t="s">
        <v>23198</v>
      </c>
      <c r="D4500" t="s">
        <v>4630</v>
      </c>
      <c r="E4500" t="s">
        <v>4631</v>
      </c>
      <c r="G4500" t="s">
        <v>13504</v>
      </c>
      <c r="H4500" t="s">
        <v>13505</v>
      </c>
      <c r="J4500" t="s">
        <v>13506</v>
      </c>
      <c r="L4500" t="s">
        <v>83</v>
      </c>
      <c r="M4500" t="s">
        <v>75</v>
      </c>
      <c r="R4500" t="s">
        <v>4632</v>
      </c>
      <c r="W4500" t="s">
        <v>4631</v>
      </c>
      <c r="X4500" t="s">
        <v>2597</v>
      </c>
      <c r="Y4500" t="s">
        <v>2598</v>
      </c>
      <c r="Z4500" t="s">
        <v>77</v>
      </c>
      <c r="AA4500" t="str">
        <f>"12771-2253"</f>
        <v>12771-2253</v>
      </c>
      <c r="AB4500" t="s">
        <v>78</v>
      </c>
      <c r="AC4500" t="s">
        <v>79</v>
      </c>
      <c r="AD4500" t="s">
        <v>75</v>
      </c>
      <c r="AE4500" t="s">
        <v>80</v>
      </c>
      <c r="AG4500" t="s">
        <v>81</v>
      </c>
    </row>
    <row r="4501" spans="1:33" x14ac:dyDescent="0.25">
      <c r="A4501" t="str">
        <f>"1538121116"</f>
        <v>1538121116</v>
      </c>
      <c r="B4501" t="str">
        <f>"01710778"</f>
        <v>01710778</v>
      </c>
      <c r="C4501" t="s">
        <v>23199</v>
      </c>
      <c r="D4501" t="s">
        <v>23200</v>
      </c>
      <c r="E4501" t="s">
        <v>23201</v>
      </c>
      <c r="G4501" t="s">
        <v>13504</v>
      </c>
      <c r="H4501" t="s">
        <v>13505</v>
      </c>
      <c r="J4501" t="s">
        <v>13506</v>
      </c>
      <c r="L4501" t="s">
        <v>83</v>
      </c>
      <c r="M4501" t="s">
        <v>75</v>
      </c>
      <c r="R4501" t="s">
        <v>23202</v>
      </c>
      <c r="W4501" t="s">
        <v>23203</v>
      </c>
      <c r="X4501" t="s">
        <v>4536</v>
      </c>
      <c r="Y4501" t="s">
        <v>4537</v>
      </c>
      <c r="Z4501" t="s">
        <v>1784</v>
      </c>
      <c r="AA4501" t="str">
        <f>"16550-0002"</f>
        <v>16550-0002</v>
      </c>
      <c r="AB4501" t="s">
        <v>78</v>
      </c>
      <c r="AC4501" t="s">
        <v>79</v>
      </c>
      <c r="AD4501" t="s">
        <v>75</v>
      </c>
      <c r="AE4501" t="s">
        <v>80</v>
      </c>
      <c r="AG4501" t="s">
        <v>81</v>
      </c>
    </row>
    <row r="4502" spans="1:33" x14ac:dyDescent="0.25">
      <c r="A4502" t="str">
        <f>"1699722587"</f>
        <v>1699722587</v>
      </c>
      <c r="B4502" t="str">
        <f>"02610153"</f>
        <v>02610153</v>
      </c>
      <c r="C4502" t="s">
        <v>23204</v>
      </c>
      <c r="D4502" t="s">
        <v>23205</v>
      </c>
      <c r="E4502" t="s">
        <v>23206</v>
      </c>
      <c r="G4502" t="s">
        <v>13504</v>
      </c>
      <c r="H4502" t="s">
        <v>13505</v>
      </c>
      <c r="J4502" t="s">
        <v>13506</v>
      </c>
      <c r="L4502" t="s">
        <v>83</v>
      </c>
      <c r="M4502" t="s">
        <v>75</v>
      </c>
      <c r="R4502" t="s">
        <v>23207</v>
      </c>
      <c r="W4502" t="s">
        <v>23206</v>
      </c>
      <c r="X4502" t="s">
        <v>14405</v>
      </c>
      <c r="Y4502" t="s">
        <v>87</v>
      </c>
      <c r="Z4502" t="s">
        <v>77</v>
      </c>
      <c r="AA4502" t="str">
        <f>"11225-1604"</f>
        <v>11225-1604</v>
      </c>
      <c r="AB4502" t="s">
        <v>78</v>
      </c>
      <c r="AC4502" t="s">
        <v>79</v>
      </c>
      <c r="AD4502" t="s">
        <v>75</v>
      </c>
      <c r="AE4502" t="s">
        <v>80</v>
      </c>
      <c r="AG4502" t="s">
        <v>81</v>
      </c>
    </row>
    <row r="4503" spans="1:33" x14ac:dyDescent="0.25">
      <c r="A4503" t="str">
        <f>"1558379628"</f>
        <v>1558379628</v>
      </c>
      <c r="B4503" t="str">
        <f>"02586107"</f>
        <v>02586107</v>
      </c>
      <c r="C4503" t="s">
        <v>23208</v>
      </c>
      <c r="D4503" t="s">
        <v>3514</v>
      </c>
      <c r="E4503" t="s">
        <v>3515</v>
      </c>
      <c r="G4503" t="s">
        <v>13504</v>
      </c>
      <c r="H4503" t="s">
        <v>13505</v>
      </c>
      <c r="J4503" t="s">
        <v>13506</v>
      </c>
      <c r="L4503" t="s">
        <v>84</v>
      </c>
      <c r="M4503" t="s">
        <v>85</v>
      </c>
      <c r="R4503" t="s">
        <v>3516</v>
      </c>
      <c r="W4503" t="s">
        <v>3515</v>
      </c>
      <c r="X4503" t="s">
        <v>246</v>
      </c>
      <c r="Y4503" t="s">
        <v>180</v>
      </c>
      <c r="Z4503" t="s">
        <v>77</v>
      </c>
      <c r="AA4503" t="str">
        <f>"10701-4004"</f>
        <v>10701-4004</v>
      </c>
      <c r="AB4503" t="s">
        <v>78</v>
      </c>
      <c r="AC4503" t="s">
        <v>79</v>
      </c>
      <c r="AD4503" t="s">
        <v>75</v>
      </c>
      <c r="AE4503" t="s">
        <v>80</v>
      </c>
      <c r="AG4503" t="s">
        <v>81</v>
      </c>
    </row>
    <row r="4504" spans="1:33" x14ac:dyDescent="0.25">
      <c r="A4504" t="str">
        <f>"1902802390"</f>
        <v>1902802390</v>
      </c>
      <c r="B4504" t="str">
        <f>"02578105"</f>
        <v>02578105</v>
      </c>
      <c r="C4504" t="s">
        <v>23209</v>
      </c>
      <c r="D4504" t="s">
        <v>23210</v>
      </c>
      <c r="E4504" t="s">
        <v>23211</v>
      </c>
      <c r="G4504" t="s">
        <v>13504</v>
      </c>
      <c r="H4504" t="s">
        <v>13505</v>
      </c>
      <c r="J4504" t="s">
        <v>13506</v>
      </c>
      <c r="L4504" t="s">
        <v>83</v>
      </c>
      <c r="M4504" t="s">
        <v>75</v>
      </c>
      <c r="R4504" t="s">
        <v>23212</v>
      </c>
      <c r="W4504" t="s">
        <v>23213</v>
      </c>
      <c r="X4504" t="s">
        <v>19509</v>
      </c>
      <c r="Y4504" t="s">
        <v>161</v>
      </c>
      <c r="Z4504" t="s">
        <v>77</v>
      </c>
      <c r="AA4504" t="str">
        <f>"11040-1402"</f>
        <v>11040-1402</v>
      </c>
      <c r="AB4504" t="s">
        <v>78</v>
      </c>
      <c r="AC4504" t="s">
        <v>79</v>
      </c>
      <c r="AD4504" t="s">
        <v>75</v>
      </c>
      <c r="AE4504" t="s">
        <v>80</v>
      </c>
      <c r="AG4504" t="s">
        <v>81</v>
      </c>
    </row>
    <row r="4505" spans="1:33" x14ac:dyDescent="0.25">
      <c r="A4505" t="str">
        <f>"1669545661"</f>
        <v>1669545661</v>
      </c>
      <c r="B4505" t="str">
        <f>"02674720"</f>
        <v>02674720</v>
      </c>
      <c r="C4505" t="s">
        <v>23214</v>
      </c>
      <c r="D4505" t="s">
        <v>23215</v>
      </c>
      <c r="E4505" t="s">
        <v>23216</v>
      </c>
      <c r="G4505" t="s">
        <v>13504</v>
      </c>
      <c r="H4505" t="s">
        <v>13505</v>
      </c>
      <c r="J4505" t="s">
        <v>13506</v>
      </c>
      <c r="L4505" t="s">
        <v>84</v>
      </c>
      <c r="M4505" t="s">
        <v>85</v>
      </c>
      <c r="R4505" t="s">
        <v>23217</v>
      </c>
      <c r="W4505" t="s">
        <v>23216</v>
      </c>
      <c r="X4505" t="s">
        <v>18109</v>
      </c>
      <c r="Y4505" t="s">
        <v>97</v>
      </c>
      <c r="Z4505" t="s">
        <v>77</v>
      </c>
      <c r="AA4505" t="str">
        <f>"10003-3105"</f>
        <v>10003-3105</v>
      </c>
      <c r="AB4505" t="s">
        <v>78</v>
      </c>
      <c r="AC4505" t="s">
        <v>79</v>
      </c>
      <c r="AD4505" t="s">
        <v>75</v>
      </c>
      <c r="AE4505" t="s">
        <v>80</v>
      </c>
      <c r="AG4505" t="s">
        <v>81</v>
      </c>
    </row>
    <row r="4506" spans="1:33" x14ac:dyDescent="0.25">
      <c r="A4506" t="str">
        <f>"1093856080"</f>
        <v>1093856080</v>
      </c>
      <c r="B4506" t="str">
        <f>"03855814"</f>
        <v>03855814</v>
      </c>
      <c r="C4506" t="s">
        <v>23218</v>
      </c>
      <c r="D4506" t="s">
        <v>23219</v>
      </c>
      <c r="E4506" t="s">
        <v>23220</v>
      </c>
      <c r="G4506" t="s">
        <v>13504</v>
      </c>
      <c r="H4506" t="s">
        <v>13505</v>
      </c>
      <c r="J4506" t="s">
        <v>13506</v>
      </c>
      <c r="L4506" t="s">
        <v>94</v>
      </c>
      <c r="M4506" t="s">
        <v>75</v>
      </c>
      <c r="R4506" t="s">
        <v>23221</v>
      </c>
      <c r="W4506" t="s">
        <v>23220</v>
      </c>
      <c r="X4506" t="s">
        <v>14532</v>
      </c>
      <c r="Y4506" t="s">
        <v>87</v>
      </c>
      <c r="Z4506" t="s">
        <v>77</v>
      </c>
      <c r="AA4506" t="str">
        <f>"11205-4924"</f>
        <v>11205-4924</v>
      </c>
      <c r="AB4506" t="s">
        <v>78</v>
      </c>
      <c r="AC4506" t="s">
        <v>79</v>
      </c>
      <c r="AD4506" t="s">
        <v>75</v>
      </c>
      <c r="AE4506" t="s">
        <v>80</v>
      </c>
      <c r="AG4506" t="s">
        <v>81</v>
      </c>
    </row>
    <row r="4507" spans="1:33" x14ac:dyDescent="0.25">
      <c r="A4507" t="str">
        <f>"1053388454"</f>
        <v>1053388454</v>
      </c>
      <c r="B4507" t="str">
        <f>"02157651"</f>
        <v>02157651</v>
      </c>
      <c r="C4507" t="s">
        <v>23222</v>
      </c>
      <c r="D4507" t="s">
        <v>23223</v>
      </c>
      <c r="E4507" t="s">
        <v>23224</v>
      </c>
      <c r="G4507" t="s">
        <v>13504</v>
      </c>
      <c r="H4507" t="s">
        <v>13505</v>
      </c>
      <c r="J4507" t="s">
        <v>13506</v>
      </c>
      <c r="L4507" t="s">
        <v>84</v>
      </c>
      <c r="M4507" t="s">
        <v>85</v>
      </c>
      <c r="R4507" t="s">
        <v>23225</v>
      </c>
      <c r="W4507" t="s">
        <v>23224</v>
      </c>
      <c r="X4507" t="s">
        <v>201</v>
      </c>
      <c r="Y4507" t="s">
        <v>87</v>
      </c>
      <c r="Z4507" t="s">
        <v>77</v>
      </c>
      <c r="AA4507" t="str">
        <f>"11237-4006"</f>
        <v>11237-4006</v>
      </c>
      <c r="AB4507" t="s">
        <v>78</v>
      </c>
      <c r="AC4507" t="s">
        <v>79</v>
      </c>
      <c r="AD4507" t="s">
        <v>75</v>
      </c>
      <c r="AE4507" t="s">
        <v>80</v>
      </c>
      <c r="AG4507" t="s">
        <v>81</v>
      </c>
    </row>
    <row r="4508" spans="1:33" x14ac:dyDescent="0.25">
      <c r="A4508" t="str">
        <f>"1437186046"</f>
        <v>1437186046</v>
      </c>
      <c r="B4508" t="str">
        <f>"01868753"</f>
        <v>01868753</v>
      </c>
      <c r="C4508" t="s">
        <v>13436</v>
      </c>
      <c r="D4508" t="s">
        <v>23226</v>
      </c>
      <c r="E4508" t="s">
        <v>23227</v>
      </c>
      <c r="G4508" t="s">
        <v>23228</v>
      </c>
      <c r="L4508" t="s">
        <v>83</v>
      </c>
      <c r="M4508" t="s">
        <v>75</v>
      </c>
      <c r="R4508" t="s">
        <v>23229</v>
      </c>
      <c r="W4508" t="s">
        <v>23227</v>
      </c>
      <c r="X4508" t="s">
        <v>1714</v>
      </c>
      <c r="Y4508" t="s">
        <v>316</v>
      </c>
      <c r="Z4508" t="s">
        <v>77</v>
      </c>
      <c r="AA4508" t="str">
        <f>"10801-5502"</f>
        <v>10801-5502</v>
      </c>
      <c r="AB4508" t="s">
        <v>78</v>
      </c>
      <c r="AC4508" t="s">
        <v>79</v>
      </c>
      <c r="AD4508" t="s">
        <v>75</v>
      </c>
      <c r="AE4508" t="s">
        <v>80</v>
      </c>
      <c r="AG4508" t="s">
        <v>81</v>
      </c>
    </row>
    <row r="4509" spans="1:33" x14ac:dyDescent="0.25">
      <c r="A4509" t="str">
        <f>"1437201472"</f>
        <v>1437201472</v>
      </c>
      <c r="B4509" t="str">
        <f>"02109644"</f>
        <v>02109644</v>
      </c>
      <c r="C4509" t="s">
        <v>13436</v>
      </c>
      <c r="D4509" t="s">
        <v>23230</v>
      </c>
      <c r="E4509" t="s">
        <v>23231</v>
      </c>
      <c r="G4509" t="s">
        <v>23232</v>
      </c>
      <c r="L4509" t="s">
        <v>84</v>
      </c>
      <c r="M4509" t="s">
        <v>85</v>
      </c>
      <c r="R4509" t="s">
        <v>23233</v>
      </c>
      <c r="W4509" t="s">
        <v>23231</v>
      </c>
      <c r="X4509" t="s">
        <v>329</v>
      </c>
      <c r="Y4509" t="s">
        <v>97</v>
      </c>
      <c r="Z4509" t="s">
        <v>77</v>
      </c>
      <c r="AA4509" t="str">
        <f>"10029-6500"</f>
        <v>10029-6500</v>
      </c>
      <c r="AB4509" t="s">
        <v>78</v>
      </c>
      <c r="AC4509" t="s">
        <v>79</v>
      </c>
      <c r="AD4509" t="s">
        <v>75</v>
      </c>
      <c r="AE4509" t="s">
        <v>80</v>
      </c>
      <c r="AG4509" t="s">
        <v>81</v>
      </c>
    </row>
    <row r="4510" spans="1:33" x14ac:dyDescent="0.25">
      <c r="A4510" t="str">
        <f>"1033147350"</f>
        <v>1033147350</v>
      </c>
      <c r="B4510" t="str">
        <f>"01523844"</f>
        <v>01523844</v>
      </c>
      <c r="C4510" t="s">
        <v>13436</v>
      </c>
      <c r="D4510" t="s">
        <v>23234</v>
      </c>
      <c r="E4510" t="s">
        <v>23235</v>
      </c>
      <c r="G4510" t="s">
        <v>23236</v>
      </c>
      <c r="L4510" t="s">
        <v>83</v>
      </c>
      <c r="M4510" t="s">
        <v>85</v>
      </c>
      <c r="R4510" t="s">
        <v>23237</v>
      </c>
      <c r="W4510" t="s">
        <v>23237</v>
      </c>
      <c r="X4510" t="s">
        <v>1333</v>
      </c>
      <c r="Y4510" t="s">
        <v>97</v>
      </c>
      <c r="Z4510" t="s">
        <v>77</v>
      </c>
      <c r="AA4510" t="str">
        <f>"10019"</f>
        <v>10019</v>
      </c>
      <c r="AB4510" t="s">
        <v>78</v>
      </c>
      <c r="AC4510" t="s">
        <v>79</v>
      </c>
      <c r="AD4510" t="s">
        <v>75</v>
      </c>
      <c r="AE4510" t="s">
        <v>80</v>
      </c>
      <c r="AG4510" t="s">
        <v>81</v>
      </c>
    </row>
    <row r="4511" spans="1:33" x14ac:dyDescent="0.25">
      <c r="A4511" t="str">
        <f>"1033170592"</f>
        <v>1033170592</v>
      </c>
      <c r="B4511" t="str">
        <f>"01577586"</f>
        <v>01577586</v>
      </c>
      <c r="C4511" t="s">
        <v>13436</v>
      </c>
      <c r="D4511" t="s">
        <v>23238</v>
      </c>
      <c r="E4511" t="s">
        <v>23239</v>
      </c>
      <c r="G4511" t="s">
        <v>23240</v>
      </c>
      <c r="L4511" t="s">
        <v>74</v>
      </c>
      <c r="M4511" t="s">
        <v>85</v>
      </c>
      <c r="R4511" t="s">
        <v>23241</v>
      </c>
      <c r="W4511" t="s">
        <v>23241</v>
      </c>
      <c r="X4511" t="s">
        <v>16708</v>
      </c>
      <c r="Y4511" t="s">
        <v>97</v>
      </c>
      <c r="Z4511" t="s">
        <v>77</v>
      </c>
      <c r="AA4511" t="str">
        <f>"10024-5116"</f>
        <v>10024-5116</v>
      </c>
      <c r="AB4511" t="s">
        <v>78</v>
      </c>
      <c r="AC4511" t="s">
        <v>79</v>
      </c>
      <c r="AD4511" t="s">
        <v>75</v>
      </c>
      <c r="AE4511" t="s">
        <v>80</v>
      </c>
      <c r="AG4511" t="s">
        <v>81</v>
      </c>
    </row>
    <row r="4512" spans="1:33" x14ac:dyDescent="0.25">
      <c r="A4512" t="str">
        <f>"1033190459"</f>
        <v>1033190459</v>
      </c>
      <c r="B4512" t="str">
        <f>"01998425"</f>
        <v>01998425</v>
      </c>
      <c r="C4512" t="s">
        <v>13436</v>
      </c>
      <c r="D4512" t="s">
        <v>23242</v>
      </c>
      <c r="E4512" t="s">
        <v>23243</v>
      </c>
      <c r="G4512" t="s">
        <v>23244</v>
      </c>
      <c r="L4512" t="s">
        <v>83</v>
      </c>
      <c r="M4512" t="s">
        <v>85</v>
      </c>
      <c r="R4512" t="s">
        <v>23245</v>
      </c>
      <c r="W4512" t="s">
        <v>23243</v>
      </c>
      <c r="Y4512" t="s">
        <v>97</v>
      </c>
      <c r="Z4512" t="s">
        <v>77</v>
      </c>
      <c r="AA4512" t="str">
        <f>"10003-3314"</f>
        <v>10003-3314</v>
      </c>
      <c r="AB4512" t="s">
        <v>78</v>
      </c>
      <c r="AC4512" t="s">
        <v>79</v>
      </c>
      <c r="AD4512" t="s">
        <v>75</v>
      </c>
      <c r="AE4512" t="s">
        <v>80</v>
      </c>
      <c r="AG4512" t="s">
        <v>81</v>
      </c>
    </row>
    <row r="4513" spans="1:33" x14ac:dyDescent="0.25">
      <c r="A4513" t="str">
        <f>"1730511957"</f>
        <v>1730511957</v>
      </c>
      <c r="B4513" t="str">
        <f>"03734609"</f>
        <v>03734609</v>
      </c>
      <c r="C4513" t="s">
        <v>23246</v>
      </c>
      <c r="D4513" t="s">
        <v>3348</v>
      </c>
      <c r="E4513" t="s">
        <v>3349</v>
      </c>
      <c r="G4513" t="s">
        <v>19413</v>
      </c>
      <c r="H4513" t="s">
        <v>1084</v>
      </c>
      <c r="I4513">
        <v>160</v>
      </c>
      <c r="J4513" t="s">
        <v>2757</v>
      </c>
      <c r="L4513" t="s">
        <v>84</v>
      </c>
      <c r="M4513" t="s">
        <v>75</v>
      </c>
      <c r="R4513" t="s">
        <v>3350</v>
      </c>
      <c r="W4513" t="s">
        <v>3349</v>
      </c>
      <c r="X4513" t="s">
        <v>2792</v>
      </c>
      <c r="Y4513" t="s">
        <v>131</v>
      </c>
      <c r="Z4513" t="s">
        <v>77</v>
      </c>
      <c r="AA4513" t="str">
        <f>"10451-5602"</f>
        <v>10451-5602</v>
      </c>
      <c r="AB4513" t="s">
        <v>78</v>
      </c>
      <c r="AC4513" t="s">
        <v>79</v>
      </c>
      <c r="AD4513" t="s">
        <v>75</v>
      </c>
      <c r="AE4513" t="s">
        <v>80</v>
      </c>
      <c r="AG4513" t="s">
        <v>81</v>
      </c>
    </row>
    <row r="4514" spans="1:33" x14ac:dyDescent="0.25">
      <c r="A4514" t="str">
        <f>"1659712370"</f>
        <v>1659712370</v>
      </c>
      <c r="B4514" t="str">
        <f>"04012617"</f>
        <v>04012617</v>
      </c>
      <c r="C4514" t="s">
        <v>23247</v>
      </c>
      <c r="D4514" t="s">
        <v>23248</v>
      </c>
      <c r="E4514" t="s">
        <v>23249</v>
      </c>
      <c r="G4514" t="s">
        <v>19413</v>
      </c>
      <c r="H4514" t="s">
        <v>1084</v>
      </c>
      <c r="I4514">
        <v>160</v>
      </c>
      <c r="J4514" t="s">
        <v>2757</v>
      </c>
      <c r="L4514" t="s">
        <v>83</v>
      </c>
      <c r="M4514" t="s">
        <v>75</v>
      </c>
      <c r="R4514" t="s">
        <v>23250</v>
      </c>
      <c r="W4514" t="s">
        <v>23251</v>
      </c>
      <c r="X4514" t="s">
        <v>3228</v>
      </c>
      <c r="Y4514" t="s">
        <v>97</v>
      </c>
      <c r="Z4514" t="s">
        <v>77</v>
      </c>
      <c r="AA4514" t="str">
        <f>"10036-2904"</f>
        <v>10036-2904</v>
      </c>
      <c r="AB4514" t="s">
        <v>78</v>
      </c>
      <c r="AC4514" t="s">
        <v>79</v>
      </c>
      <c r="AD4514" t="s">
        <v>75</v>
      </c>
      <c r="AE4514" t="s">
        <v>80</v>
      </c>
      <c r="AG4514" t="s">
        <v>81</v>
      </c>
    </row>
    <row r="4515" spans="1:33" x14ac:dyDescent="0.25">
      <c r="A4515" t="str">
        <f>"1962782474"</f>
        <v>1962782474</v>
      </c>
      <c r="B4515" t="str">
        <f>"03602848"</f>
        <v>03602848</v>
      </c>
      <c r="C4515" t="s">
        <v>23252</v>
      </c>
      <c r="D4515" t="s">
        <v>3403</v>
      </c>
      <c r="E4515" t="s">
        <v>3404</v>
      </c>
      <c r="G4515" t="s">
        <v>19413</v>
      </c>
      <c r="H4515" t="s">
        <v>1084</v>
      </c>
      <c r="I4515">
        <v>160</v>
      </c>
      <c r="J4515" t="s">
        <v>2757</v>
      </c>
      <c r="L4515" t="s">
        <v>84</v>
      </c>
      <c r="M4515" t="s">
        <v>85</v>
      </c>
      <c r="R4515" t="s">
        <v>3405</v>
      </c>
      <c r="W4515" t="s">
        <v>3406</v>
      </c>
      <c r="X4515" t="s">
        <v>3407</v>
      </c>
      <c r="Y4515" t="s">
        <v>131</v>
      </c>
      <c r="Z4515" t="s">
        <v>77</v>
      </c>
      <c r="AA4515" t="str">
        <f>"10451-5602"</f>
        <v>10451-5602</v>
      </c>
      <c r="AB4515" t="s">
        <v>78</v>
      </c>
      <c r="AC4515" t="s">
        <v>79</v>
      </c>
      <c r="AD4515" t="s">
        <v>75</v>
      </c>
      <c r="AE4515" t="s">
        <v>80</v>
      </c>
      <c r="AG4515" t="s">
        <v>81</v>
      </c>
    </row>
    <row r="4516" spans="1:33" x14ac:dyDescent="0.25">
      <c r="A4516" t="str">
        <f>"1275818700"</f>
        <v>1275818700</v>
      </c>
      <c r="B4516" t="str">
        <f>"03482579"</f>
        <v>03482579</v>
      </c>
      <c r="C4516" t="s">
        <v>23253</v>
      </c>
      <c r="D4516" t="s">
        <v>3481</v>
      </c>
      <c r="E4516" t="s">
        <v>3482</v>
      </c>
      <c r="G4516" t="s">
        <v>23253</v>
      </c>
      <c r="H4516" t="s">
        <v>23254</v>
      </c>
      <c r="I4516">
        <v>250</v>
      </c>
      <c r="J4516" t="s">
        <v>23255</v>
      </c>
      <c r="L4516" t="s">
        <v>105</v>
      </c>
      <c r="M4516" t="s">
        <v>75</v>
      </c>
      <c r="R4516" t="s">
        <v>3483</v>
      </c>
      <c r="W4516" t="s">
        <v>3482</v>
      </c>
      <c r="X4516" t="s">
        <v>2758</v>
      </c>
      <c r="Y4516" t="s">
        <v>131</v>
      </c>
      <c r="Z4516" t="s">
        <v>77</v>
      </c>
      <c r="AA4516" t="str">
        <f>"10455-4029"</f>
        <v>10455-4029</v>
      </c>
      <c r="AB4516" t="s">
        <v>113</v>
      </c>
      <c r="AC4516" t="s">
        <v>79</v>
      </c>
      <c r="AD4516" t="s">
        <v>75</v>
      </c>
      <c r="AE4516" t="s">
        <v>80</v>
      </c>
      <c r="AG4516" t="s">
        <v>81</v>
      </c>
    </row>
    <row r="4517" spans="1:33" x14ac:dyDescent="0.25">
      <c r="A4517" t="str">
        <f>"1740379833"</f>
        <v>1740379833</v>
      </c>
      <c r="B4517" t="str">
        <f>"02789531"</f>
        <v>02789531</v>
      </c>
      <c r="C4517" t="s">
        <v>23256</v>
      </c>
      <c r="D4517" t="s">
        <v>2755</v>
      </c>
      <c r="E4517" t="s">
        <v>2756</v>
      </c>
      <c r="G4517" t="s">
        <v>23256</v>
      </c>
      <c r="H4517" t="s">
        <v>23254</v>
      </c>
      <c r="I4517">
        <v>313</v>
      </c>
      <c r="J4517" t="s">
        <v>23257</v>
      </c>
      <c r="L4517" t="s">
        <v>74</v>
      </c>
      <c r="M4517" t="s">
        <v>75</v>
      </c>
      <c r="R4517" t="s">
        <v>2756</v>
      </c>
      <c r="W4517" t="s">
        <v>2756</v>
      </c>
      <c r="X4517" t="s">
        <v>2758</v>
      </c>
      <c r="Y4517" t="s">
        <v>131</v>
      </c>
      <c r="Z4517" t="s">
        <v>77</v>
      </c>
      <c r="AA4517" t="str">
        <f>"10455-4029"</f>
        <v>10455-4029</v>
      </c>
      <c r="AB4517" t="s">
        <v>78</v>
      </c>
      <c r="AC4517" t="s">
        <v>79</v>
      </c>
      <c r="AD4517" t="s">
        <v>75</v>
      </c>
      <c r="AE4517" t="s">
        <v>80</v>
      </c>
      <c r="AG4517" t="s">
        <v>81</v>
      </c>
    </row>
    <row r="4518" spans="1:33" x14ac:dyDescent="0.25">
      <c r="A4518" t="str">
        <f>"1821287913"</f>
        <v>1821287913</v>
      </c>
      <c r="B4518" t="str">
        <f>"03915280"</f>
        <v>03915280</v>
      </c>
      <c r="C4518" t="s">
        <v>23258</v>
      </c>
      <c r="D4518" t="s">
        <v>2780</v>
      </c>
      <c r="E4518" t="s">
        <v>2781</v>
      </c>
      <c r="G4518" t="s">
        <v>23258</v>
      </c>
      <c r="H4518" t="s">
        <v>23254</v>
      </c>
      <c r="I4518">
        <v>281</v>
      </c>
      <c r="J4518" t="s">
        <v>23259</v>
      </c>
      <c r="L4518" t="s">
        <v>74</v>
      </c>
      <c r="M4518" t="s">
        <v>75</v>
      </c>
      <c r="R4518" t="s">
        <v>2782</v>
      </c>
      <c r="W4518" t="s">
        <v>2781</v>
      </c>
      <c r="X4518" t="s">
        <v>2783</v>
      </c>
      <c r="Y4518" t="s">
        <v>131</v>
      </c>
      <c r="Z4518" t="s">
        <v>77</v>
      </c>
      <c r="AA4518" t="str">
        <f>"10455"</f>
        <v>10455</v>
      </c>
      <c r="AB4518" t="s">
        <v>113</v>
      </c>
      <c r="AC4518" t="s">
        <v>79</v>
      </c>
      <c r="AD4518" t="s">
        <v>75</v>
      </c>
      <c r="AE4518" t="s">
        <v>80</v>
      </c>
      <c r="AG4518" t="s">
        <v>81</v>
      </c>
    </row>
    <row r="4519" spans="1:33" x14ac:dyDescent="0.25">
      <c r="A4519" t="str">
        <f>"1215089727"</f>
        <v>1215089727</v>
      </c>
      <c r="C4519" t="s">
        <v>23260</v>
      </c>
      <c r="G4519" t="s">
        <v>23260</v>
      </c>
      <c r="H4519" t="s">
        <v>23254</v>
      </c>
      <c r="I4519">
        <v>282</v>
      </c>
      <c r="J4519" t="s">
        <v>23261</v>
      </c>
      <c r="K4519" t="s">
        <v>99</v>
      </c>
      <c r="L4519" t="s">
        <v>74</v>
      </c>
      <c r="M4519" t="s">
        <v>75</v>
      </c>
      <c r="R4519" t="s">
        <v>2793</v>
      </c>
      <c r="S4519" t="s">
        <v>2794</v>
      </c>
      <c r="T4519" t="s">
        <v>131</v>
      </c>
      <c r="U4519" t="s">
        <v>77</v>
      </c>
      <c r="V4519" t="str">
        <f>"10455"</f>
        <v>10455</v>
      </c>
      <c r="AC4519" t="s">
        <v>79</v>
      </c>
      <c r="AD4519" t="s">
        <v>75</v>
      </c>
      <c r="AE4519" t="s">
        <v>103</v>
      </c>
      <c r="AG4519" t="s">
        <v>81</v>
      </c>
    </row>
    <row r="4520" spans="1:33" x14ac:dyDescent="0.25">
      <c r="A4520" t="str">
        <f>"1871647131"</f>
        <v>1871647131</v>
      </c>
      <c r="B4520" t="str">
        <f>"02979817"</f>
        <v>02979817</v>
      </c>
      <c r="C4520" t="s">
        <v>23262</v>
      </c>
      <c r="D4520" t="s">
        <v>3163</v>
      </c>
      <c r="E4520" t="s">
        <v>3164</v>
      </c>
      <c r="G4520" t="s">
        <v>23262</v>
      </c>
      <c r="H4520" t="s">
        <v>23254</v>
      </c>
      <c r="I4520">
        <v>239</v>
      </c>
      <c r="J4520" t="s">
        <v>23263</v>
      </c>
      <c r="L4520" t="s">
        <v>105</v>
      </c>
      <c r="M4520" t="s">
        <v>75</v>
      </c>
      <c r="R4520" t="s">
        <v>3165</v>
      </c>
      <c r="W4520" t="s">
        <v>3164</v>
      </c>
      <c r="X4520" t="s">
        <v>3166</v>
      </c>
      <c r="Y4520" t="s">
        <v>131</v>
      </c>
      <c r="Z4520" t="s">
        <v>77</v>
      </c>
      <c r="AA4520" t="str">
        <f>"10455-4103"</f>
        <v>10455-4103</v>
      </c>
      <c r="AB4520" t="s">
        <v>113</v>
      </c>
      <c r="AC4520" t="s">
        <v>79</v>
      </c>
      <c r="AD4520" t="s">
        <v>75</v>
      </c>
      <c r="AE4520" t="s">
        <v>80</v>
      </c>
      <c r="AG4520" t="s">
        <v>81</v>
      </c>
    </row>
    <row r="4521" spans="1:33" x14ac:dyDescent="0.25">
      <c r="A4521" t="str">
        <f>"1871619387"</f>
        <v>1871619387</v>
      </c>
      <c r="B4521" t="str">
        <f>"00326123"</f>
        <v>00326123</v>
      </c>
      <c r="C4521" t="s">
        <v>23264</v>
      </c>
      <c r="D4521" t="s">
        <v>3169</v>
      </c>
      <c r="E4521" t="s">
        <v>3170</v>
      </c>
      <c r="G4521" t="s">
        <v>23264</v>
      </c>
      <c r="H4521" t="s">
        <v>23254</v>
      </c>
      <c r="I4521">
        <v>234</v>
      </c>
      <c r="J4521" t="s">
        <v>23265</v>
      </c>
      <c r="L4521" t="s">
        <v>105</v>
      </c>
      <c r="M4521" t="s">
        <v>75</v>
      </c>
      <c r="R4521" t="s">
        <v>3171</v>
      </c>
      <c r="W4521" t="s">
        <v>3172</v>
      </c>
      <c r="X4521" t="s">
        <v>3173</v>
      </c>
      <c r="Y4521" t="s">
        <v>97</v>
      </c>
      <c r="Z4521" t="s">
        <v>77</v>
      </c>
      <c r="AA4521" t="str">
        <f>"10023-6297"</f>
        <v>10023-6297</v>
      </c>
      <c r="AB4521" t="s">
        <v>78</v>
      </c>
      <c r="AC4521" t="s">
        <v>79</v>
      </c>
      <c r="AD4521" t="s">
        <v>75</v>
      </c>
      <c r="AE4521" t="s">
        <v>80</v>
      </c>
      <c r="AG4521" t="s">
        <v>81</v>
      </c>
    </row>
    <row r="4522" spans="1:33" x14ac:dyDescent="0.25">
      <c r="A4522" t="str">
        <f>"1881969251"</f>
        <v>1881969251</v>
      </c>
      <c r="B4522" t="str">
        <f>"03621116"</f>
        <v>03621116</v>
      </c>
      <c r="C4522" t="s">
        <v>23266</v>
      </c>
      <c r="D4522" t="s">
        <v>3198</v>
      </c>
      <c r="E4522" t="s">
        <v>3199</v>
      </c>
      <c r="G4522" t="s">
        <v>23266</v>
      </c>
      <c r="H4522" t="s">
        <v>23254</v>
      </c>
      <c r="I4522">
        <v>287</v>
      </c>
      <c r="J4522" t="s">
        <v>23267</v>
      </c>
      <c r="L4522" t="s">
        <v>105</v>
      </c>
      <c r="M4522" t="s">
        <v>85</v>
      </c>
      <c r="R4522" t="s">
        <v>3200</v>
      </c>
      <c r="W4522" t="s">
        <v>3199</v>
      </c>
      <c r="X4522" t="s">
        <v>2758</v>
      </c>
      <c r="Y4522" t="s">
        <v>131</v>
      </c>
      <c r="Z4522" t="s">
        <v>77</v>
      </c>
      <c r="AA4522" t="str">
        <f>"10455-4029"</f>
        <v>10455-4029</v>
      </c>
      <c r="AB4522" t="s">
        <v>78</v>
      </c>
      <c r="AC4522" t="s">
        <v>79</v>
      </c>
      <c r="AD4522" t="s">
        <v>75</v>
      </c>
      <c r="AE4522" t="s">
        <v>80</v>
      </c>
      <c r="AG4522" t="s">
        <v>81</v>
      </c>
    </row>
    <row r="4523" spans="1:33" x14ac:dyDescent="0.25">
      <c r="A4523" t="str">
        <f>"1356308464"</f>
        <v>1356308464</v>
      </c>
      <c r="B4523" t="str">
        <f>"03078388"</f>
        <v>03078388</v>
      </c>
      <c r="C4523" t="s">
        <v>23268</v>
      </c>
      <c r="D4523" t="s">
        <v>3342</v>
      </c>
      <c r="E4523" t="s">
        <v>3343</v>
      </c>
      <c r="G4523" t="s">
        <v>23268</v>
      </c>
      <c r="H4523" t="s">
        <v>23254</v>
      </c>
      <c r="I4523">
        <v>252</v>
      </c>
      <c r="J4523" t="s">
        <v>23269</v>
      </c>
      <c r="L4523" t="s">
        <v>105</v>
      </c>
      <c r="M4523" t="s">
        <v>75</v>
      </c>
      <c r="R4523" t="s">
        <v>3344</v>
      </c>
      <c r="W4523" t="s">
        <v>3343</v>
      </c>
      <c r="X4523" t="s">
        <v>3345</v>
      </c>
      <c r="Y4523" t="s">
        <v>2613</v>
      </c>
      <c r="Z4523" t="s">
        <v>77</v>
      </c>
      <c r="AA4523" t="str">
        <f>"13126-3357"</f>
        <v>13126-3357</v>
      </c>
      <c r="AB4523" t="s">
        <v>78</v>
      </c>
      <c r="AC4523" t="s">
        <v>79</v>
      </c>
      <c r="AD4523" t="s">
        <v>75</v>
      </c>
      <c r="AE4523" t="s">
        <v>80</v>
      </c>
      <c r="AG4523" t="s">
        <v>81</v>
      </c>
    </row>
    <row r="4524" spans="1:33" x14ac:dyDescent="0.25">
      <c r="A4524" t="str">
        <f>"1154582583"</f>
        <v>1154582583</v>
      </c>
      <c r="C4524" t="s">
        <v>13436</v>
      </c>
      <c r="G4524" t="s">
        <v>23270</v>
      </c>
      <c r="K4524" t="s">
        <v>99</v>
      </c>
      <c r="L4524" t="s">
        <v>102</v>
      </c>
      <c r="M4524" t="s">
        <v>85</v>
      </c>
      <c r="R4524" t="s">
        <v>23271</v>
      </c>
      <c r="S4524" t="s">
        <v>23272</v>
      </c>
      <c r="T4524" t="s">
        <v>97</v>
      </c>
      <c r="U4524" t="s">
        <v>77</v>
      </c>
      <c r="V4524" t="str">
        <f>"101283203"</f>
        <v>101283203</v>
      </c>
      <c r="AC4524" t="s">
        <v>79</v>
      </c>
      <c r="AD4524" t="s">
        <v>75</v>
      </c>
      <c r="AE4524" t="s">
        <v>103</v>
      </c>
      <c r="AG4524" t="s">
        <v>81</v>
      </c>
    </row>
    <row r="4525" spans="1:33" x14ac:dyDescent="0.25">
      <c r="A4525" t="str">
        <f>"1174761373"</f>
        <v>1174761373</v>
      </c>
      <c r="B4525" t="str">
        <f>"03643941"</f>
        <v>03643941</v>
      </c>
      <c r="C4525" t="s">
        <v>13436</v>
      </c>
      <c r="D4525" t="s">
        <v>23273</v>
      </c>
      <c r="E4525" t="s">
        <v>23274</v>
      </c>
      <c r="G4525" t="s">
        <v>23275</v>
      </c>
      <c r="L4525" t="s">
        <v>83</v>
      </c>
      <c r="M4525" t="s">
        <v>85</v>
      </c>
      <c r="R4525" t="s">
        <v>23276</v>
      </c>
      <c r="W4525" t="s">
        <v>23276</v>
      </c>
      <c r="X4525" t="s">
        <v>2587</v>
      </c>
      <c r="Y4525" t="s">
        <v>97</v>
      </c>
      <c r="Z4525" t="s">
        <v>77</v>
      </c>
      <c r="AA4525" t="str">
        <f>"10003-3314"</f>
        <v>10003-3314</v>
      </c>
      <c r="AB4525" t="s">
        <v>78</v>
      </c>
      <c r="AC4525" t="s">
        <v>79</v>
      </c>
      <c r="AD4525" t="s">
        <v>75</v>
      </c>
      <c r="AE4525" t="s">
        <v>80</v>
      </c>
      <c r="AG4525" t="s">
        <v>81</v>
      </c>
    </row>
    <row r="4526" spans="1:33" x14ac:dyDescent="0.25">
      <c r="A4526" t="str">
        <f>"1184659575"</f>
        <v>1184659575</v>
      </c>
      <c r="B4526" t="str">
        <f>"02683145"</f>
        <v>02683145</v>
      </c>
      <c r="C4526" t="s">
        <v>13436</v>
      </c>
      <c r="D4526" t="s">
        <v>23277</v>
      </c>
      <c r="E4526" t="s">
        <v>23278</v>
      </c>
      <c r="G4526" t="s">
        <v>23279</v>
      </c>
      <c r="L4526" t="s">
        <v>83</v>
      </c>
      <c r="M4526" t="s">
        <v>85</v>
      </c>
      <c r="R4526" t="s">
        <v>23280</v>
      </c>
      <c r="W4526" t="s">
        <v>23278</v>
      </c>
      <c r="X4526" t="s">
        <v>23281</v>
      </c>
      <c r="Y4526" t="s">
        <v>97</v>
      </c>
      <c r="Z4526" t="s">
        <v>77</v>
      </c>
      <c r="AA4526" t="str">
        <f>"10032"</f>
        <v>10032</v>
      </c>
      <c r="AB4526" t="s">
        <v>78</v>
      </c>
      <c r="AC4526" t="s">
        <v>79</v>
      </c>
      <c r="AD4526" t="s">
        <v>75</v>
      </c>
      <c r="AE4526" t="s">
        <v>80</v>
      </c>
      <c r="AG4526" t="s">
        <v>81</v>
      </c>
    </row>
    <row r="4527" spans="1:33" x14ac:dyDescent="0.25">
      <c r="A4527" t="str">
        <f>"1205900446"</f>
        <v>1205900446</v>
      </c>
      <c r="B4527" t="str">
        <f>"02102514"</f>
        <v>02102514</v>
      </c>
      <c r="C4527" t="s">
        <v>13436</v>
      </c>
      <c r="D4527" t="s">
        <v>23282</v>
      </c>
      <c r="E4527" t="s">
        <v>23283</v>
      </c>
      <c r="G4527" t="s">
        <v>23284</v>
      </c>
      <c r="L4527" t="s">
        <v>74</v>
      </c>
      <c r="M4527" t="s">
        <v>85</v>
      </c>
      <c r="R4527" t="s">
        <v>23285</v>
      </c>
      <c r="W4527" t="s">
        <v>23283</v>
      </c>
      <c r="X4527" t="s">
        <v>191</v>
      </c>
      <c r="Y4527" t="s">
        <v>97</v>
      </c>
      <c r="Z4527" t="s">
        <v>77</v>
      </c>
      <c r="AA4527" t="str">
        <f>"10019-1147"</f>
        <v>10019-1147</v>
      </c>
      <c r="AB4527" t="s">
        <v>78</v>
      </c>
      <c r="AC4527" t="s">
        <v>79</v>
      </c>
      <c r="AD4527" t="s">
        <v>75</v>
      </c>
      <c r="AE4527" t="s">
        <v>80</v>
      </c>
      <c r="AG4527" t="s">
        <v>81</v>
      </c>
    </row>
    <row r="4528" spans="1:33" x14ac:dyDescent="0.25">
      <c r="A4528" t="str">
        <f>"1235381005"</f>
        <v>1235381005</v>
      </c>
      <c r="B4528" t="str">
        <f>"03303371"</f>
        <v>03303371</v>
      </c>
      <c r="C4528" t="s">
        <v>13436</v>
      </c>
      <c r="D4528" t="s">
        <v>23286</v>
      </c>
      <c r="E4528" t="s">
        <v>23287</v>
      </c>
      <c r="G4528" t="s">
        <v>23288</v>
      </c>
      <c r="L4528" t="s">
        <v>74</v>
      </c>
      <c r="M4528" t="s">
        <v>85</v>
      </c>
      <c r="R4528" t="s">
        <v>23289</v>
      </c>
      <c r="W4528" t="s">
        <v>23287</v>
      </c>
      <c r="X4528" t="s">
        <v>3553</v>
      </c>
      <c r="Y4528" t="s">
        <v>97</v>
      </c>
      <c r="Z4528" t="s">
        <v>77</v>
      </c>
      <c r="AA4528" t="str">
        <f>"10003-3851"</f>
        <v>10003-3851</v>
      </c>
      <c r="AB4528" t="s">
        <v>78</v>
      </c>
      <c r="AC4528" t="s">
        <v>79</v>
      </c>
      <c r="AD4528" t="s">
        <v>75</v>
      </c>
      <c r="AE4528" t="s">
        <v>80</v>
      </c>
      <c r="AG4528" t="s">
        <v>81</v>
      </c>
    </row>
    <row r="4529" spans="1:33" x14ac:dyDescent="0.25">
      <c r="A4529" t="str">
        <f>"1245472893"</f>
        <v>1245472893</v>
      </c>
      <c r="B4529" t="str">
        <f>"03304390"</f>
        <v>03304390</v>
      </c>
      <c r="C4529" t="s">
        <v>13436</v>
      </c>
      <c r="D4529" t="s">
        <v>23290</v>
      </c>
      <c r="E4529" t="s">
        <v>23291</v>
      </c>
      <c r="G4529" t="s">
        <v>23292</v>
      </c>
      <c r="L4529" t="s">
        <v>74</v>
      </c>
      <c r="M4529" t="s">
        <v>85</v>
      </c>
      <c r="R4529" t="s">
        <v>23293</v>
      </c>
      <c r="W4529" t="s">
        <v>23291</v>
      </c>
      <c r="X4529" t="s">
        <v>23294</v>
      </c>
      <c r="Y4529" t="s">
        <v>97</v>
      </c>
      <c r="Z4529" t="s">
        <v>77</v>
      </c>
      <c r="AA4529" t="str">
        <f>"10025-1716"</f>
        <v>10025-1716</v>
      </c>
      <c r="AB4529" t="s">
        <v>78</v>
      </c>
      <c r="AC4529" t="s">
        <v>79</v>
      </c>
      <c r="AD4529" t="s">
        <v>75</v>
      </c>
      <c r="AE4529" t="s">
        <v>80</v>
      </c>
      <c r="AG4529" t="s">
        <v>81</v>
      </c>
    </row>
    <row r="4530" spans="1:33" x14ac:dyDescent="0.25">
      <c r="A4530" t="str">
        <f>"1265674683"</f>
        <v>1265674683</v>
      </c>
      <c r="B4530" t="str">
        <f>"03735471"</f>
        <v>03735471</v>
      </c>
      <c r="C4530" t="s">
        <v>13436</v>
      </c>
      <c r="D4530" t="s">
        <v>23295</v>
      </c>
      <c r="E4530" t="s">
        <v>23296</v>
      </c>
      <c r="G4530" t="s">
        <v>23297</v>
      </c>
      <c r="L4530" t="s">
        <v>74</v>
      </c>
      <c r="M4530" t="s">
        <v>85</v>
      </c>
      <c r="R4530" t="s">
        <v>23298</v>
      </c>
      <c r="W4530" t="s">
        <v>23299</v>
      </c>
      <c r="X4530" t="s">
        <v>23300</v>
      </c>
      <c r="Y4530" t="s">
        <v>97</v>
      </c>
      <c r="Z4530" t="s">
        <v>77</v>
      </c>
      <c r="AA4530" t="str">
        <f>"10038-4948"</f>
        <v>10038-4948</v>
      </c>
      <c r="AB4530" t="s">
        <v>78</v>
      </c>
      <c r="AC4530" t="s">
        <v>79</v>
      </c>
      <c r="AD4530" t="s">
        <v>75</v>
      </c>
      <c r="AE4530" t="s">
        <v>80</v>
      </c>
      <c r="AG4530" t="s">
        <v>81</v>
      </c>
    </row>
    <row r="4531" spans="1:33" x14ac:dyDescent="0.25">
      <c r="A4531" t="str">
        <f>"1992706287"</f>
        <v>1992706287</v>
      </c>
      <c r="B4531" t="str">
        <f>"01172536"</f>
        <v>01172536</v>
      </c>
      <c r="C4531" t="s">
        <v>23301</v>
      </c>
      <c r="D4531" t="s">
        <v>1962</v>
      </c>
      <c r="E4531" t="s">
        <v>1963</v>
      </c>
      <c r="G4531" t="s">
        <v>23301</v>
      </c>
      <c r="H4531" t="s">
        <v>23302</v>
      </c>
      <c r="L4531" t="s">
        <v>83</v>
      </c>
      <c r="M4531" t="s">
        <v>75</v>
      </c>
      <c r="R4531" t="s">
        <v>1961</v>
      </c>
      <c r="W4531" t="s">
        <v>1963</v>
      </c>
      <c r="X4531" t="s">
        <v>1964</v>
      </c>
      <c r="Y4531" t="s">
        <v>1965</v>
      </c>
      <c r="Z4531" t="s">
        <v>77</v>
      </c>
      <c r="AA4531" t="str">
        <f>"11767-2084"</f>
        <v>11767-2084</v>
      </c>
      <c r="AB4531" t="s">
        <v>128</v>
      </c>
      <c r="AC4531" t="s">
        <v>79</v>
      </c>
      <c r="AD4531" t="s">
        <v>75</v>
      </c>
      <c r="AE4531" t="s">
        <v>80</v>
      </c>
      <c r="AG4531" t="s">
        <v>81</v>
      </c>
    </row>
    <row r="4532" spans="1:33" x14ac:dyDescent="0.25">
      <c r="A4532" t="str">
        <f>"1598842577"</f>
        <v>1598842577</v>
      </c>
      <c r="B4532" t="str">
        <f>"02216448"</f>
        <v>02216448</v>
      </c>
      <c r="C4532" t="s">
        <v>23303</v>
      </c>
      <c r="D4532" t="s">
        <v>1967</v>
      </c>
      <c r="E4532" t="s">
        <v>1968</v>
      </c>
      <c r="G4532" t="s">
        <v>23303</v>
      </c>
      <c r="H4532" t="s">
        <v>23304</v>
      </c>
      <c r="L4532" t="s">
        <v>83</v>
      </c>
      <c r="M4532" t="s">
        <v>75</v>
      </c>
      <c r="R4532" t="s">
        <v>1966</v>
      </c>
      <c r="W4532" t="s">
        <v>1968</v>
      </c>
      <c r="X4532" t="s">
        <v>1916</v>
      </c>
      <c r="Y4532" t="s">
        <v>231</v>
      </c>
      <c r="Z4532" t="s">
        <v>77</v>
      </c>
      <c r="AA4532" t="str">
        <f>"11779-4280"</f>
        <v>11779-4280</v>
      </c>
      <c r="AB4532" t="s">
        <v>128</v>
      </c>
      <c r="AC4532" t="s">
        <v>79</v>
      </c>
      <c r="AD4532" t="s">
        <v>75</v>
      </c>
      <c r="AE4532" t="s">
        <v>80</v>
      </c>
      <c r="AG4532" t="s">
        <v>81</v>
      </c>
    </row>
    <row r="4533" spans="1:33" x14ac:dyDescent="0.25">
      <c r="A4533" t="str">
        <f>"1407933484"</f>
        <v>1407933484</v>
      </c>
      <c r="B4533" t="str">
        <f>"01271269"</f>
        <v>01271269</v>
      </c>
      <c r="C4533" t="s">
        <v>23305</v>
      </c>
      <c r="D4533" t="s">
        <v>1970</v>
      </c>
      <c r="E4533" t="s">
        <v>1971</v>
      </c>
      <c r="G4533" t="s">
        <v>23305</v>
      </c>
      <c r="H4533" t="s">
        <v>23306</v>
      </c>
      <c r="L4533" t="s">
        <v>74</v>
      </c>
      <c r="M4533" t="s">
        <v>75</v>
      </c>
      <c r="R4533" t="s">
        <v>1969</v>
      </c>
      <c r="W4533" t="s">
        <v>1971</v>
      </c>
      <c r="X4533" t="s">
        <v>1972</v>
      </c>
      <c r="Y4533" t="s">
        <v>1973</v>
      </c>
      <c r="Z4533" t="s">
        <v>77</v>
      </c>
      <c r="AA4533" t="str">
        <f>"11754-2706"</f>
        <v>11754-2706</v>
      </c>
      <c r="AB4533" t="s">
        <v>128</v>
      </c>
      <c r="AC4533" t="s">
        <v>79</v>
      </c>
      <c r="AD4533" t="s">
        <v>75</v>
      </c>
      <c r="AE4533" t="s">
        <v>80</v>
      </c>
      <c r="AG4533" t="s">
        <v>81</v>
      </c>
    </row>
    <row r="4534" spans="1:33" x14ac:dyDescent="0.25">
      <c r="A4534" t="str">
        <f>"1851361414"</f>
        <v>1851361414</v>
      </c>
      <c r="B4534" t="str">
        <f>"01895183"</f>
        <v>01895183</v>
      </c>
      <c r="C4534" t="s">
        <v>20964</v>
      </c>
      <c r="D4534" t="s">
        <v>1975</v>
      </c>
      <c r="E4534" t="s">
        <v>1976</v>
      </c>
      <c r="G4534" t="s">
        <v>20964</v>
      </c>
      <c r="H4534" t="s">
        <v>23307</v>
      </c>
      <c r="L4534" t="s">
        <v>83</v>
      </c>
      <c r="M4534" t="s">
        <v>75</v>
      </c>
      <c r="R4534" t="s">
        <v>1974</v>
      </c>
      <c r="W4534" t="s">
        <v>1976</v>
      </c>
      <c r="X4534" t="s">
        <v>1977</v>
      </c>
      <c r="Y4534" t="s">
        <v>209</v>
      </c>
      <c r="Z4534" t="s">
        <v>77</v>
      </c>
      <c r="AA4534" t="str">
        <f>"11790-3072"</f>
        <v>11790-3072</v>
      </c>
      <c r="AB4534" t="s">
        <v>128</v>
      </c>
      <c r="AC4534" t="s">
        <v>79</v>
      </c>
      <c r="AD4534" t="s">
        <v>75</v>
      </c>
      <c r="AE4534" t="s">
        <v>80</v>
      </c>
      <c r="AG4534" t="s">
        <v>81</v>
      </c>
    </row>
    <row r="4535" spans="1:33" x14ac:dyDescent="0.25">
      <c r="A4535" t="str">
        <f>"1356336473"</f>
        <v>1356336473</v>
      </c>
      <c r="B4535" t="str">
        <f>"00426031"</f>
        <v>00426031</v>
      </c>
      <c r="C4535" t="s">
        <v>23308</v>
      </c>
      <c r="D4535" t="s">
        <v>1979</v>
      </c>
      <c r="E4535" t="s">
        <v>1980</v>
      </c>
      <c r="G4535" t="s">
        <v>23308</v>
      </c>
      <c r="H4535" t="s">
        <v>23309</v>
      </c>
      <c r="L4535" t="s">
        <v>74</v>
      </c>
      <c r="M4535" t="s">
        <v>75</v>
      </c>
      <c r="R4535" t="s">
        <v>1978</v>
      </c>
      <c r="W4535" t="s">
        <v>1981</v>
      </c>
      <c r="X4535" t="s">
        <v>1982</v>
      </c>
      <c r="Y4535" t="s">
        <v>209</v>
      </c>
      <c r="Z4535" t="s">
        <v>77</v>
      </c>
      <c r="AA4535" t="str">
        <f>"11790-1919"</f>
        <v>11790-1919</v>
      </c>
      <c r="AB4535" t="s">
        <v>128</v>
      </c>
      <c r="AC4535" t="s">
        <v>79</v>
      </c>
      <c r="AD4535" t="s">
        <v>75</v>
      </c>
      <c r="AE4535" t="s">
        <v>80</v>
      </c>
      <c r="AG4535" t="s">
        <v>81</v>
      </c>
    </row>
    <row r="4536" spans="1:33" x14ac:dyDescent="0.25">
      <c r="A4536" t="str">
        <f>"1366444317"</f>
        <v>1366444317</v>
      </c>
      <c r="B4536" t="str">
        <f>"00800275"</f>
        <v>00800275</v>
      </c>
      <c r="C4536" t="s">
        <v>23310</v>
      </c>
      <c r="D4536" t="s">
        <v>1984</v>
      </c>
      <c r="E4536" t="s">
        <v>1985</v>
      </c>
      <c r="G4536" t="s">
        <v>23310</v>
      </c>
      <c r="H4536" t="s">
        <v>23311</v>
      </c>
      <c r="L4536" t="s">
        <v>83</v>
      </c>
      <c r="M4536" t="s">
        <v>75</v>
      </c>
      <c r="R4536" t="s">
        <v>1983</v>
      </c>
      <c r="W4536" t="s">
        <v>1985</v>
      </c>
      <c r="X4536" t="s">
        <v>1986</v>
      </c>
      <c r="Y4536" t="s">
        <v>1759</v>
      </c>
      <c r="Z4536" t="s">
        <v>77</v>
      </c>
      <c r="AA4536" t="str">
        <f>"11780-2150"</f>
        <v>11780-2150</v>
      </c>
      <c r="AB4536" t="s">
        <v>128</v>
      </c>
      <c r="AC4536" t="s">
        <v>79</v>
      </c>
      <c r="AD4536" t="s">
        <v>75</v>
      </c>
      <c r="AE4536" t="s">
        <v>80</v>
      </c>
      <c r="AG4536" t="s">
        <v>81</v>
      </c>
    </row>
    <row r="4537" spans="1:33" x14ac:dyDescent="0.25">
      <c r="A4537" t="str">
        <f>"1144380361"</f>
        <v>1144380361</v>
      </c>
      <c r="B4537" t="str">
        <f>"01256688"</f>
        <v>01256688</v>
      </c>
      <c r="C4537" t="s">
        <v>13436</v>
      </c>
      <c r="D4537" t="s">
        <v>23312</v>
      </c>
      <c r="E4537" t="s">
        <v>23313</v>
      </c>
      <c r="G4537" t="s">
        <v>23314</v>
      </c>
      <c r="L4537" t="s">
        <v>83</v>
      </c>
      <c r="M4537" t="s">
        <v>85</v>
      </c>
      <c r="R4537" t="s">
        <v>23315</v>
      </c>
      <c r="W4537" t="s">
        <v>23313</v>
      </c>
      <c r="X4537" t="s">
        <v>5585</v>
      </c>
      <c r="Y4537" t="s">
        <v>97</v>
      </c>
      <c r="Z4537" t="s">
        <v>77</v>
      </c>
      <c r="AA4537" t="str">
        <f>"10003"</f>
        <v>10003</v>
      </c>
      <c r="AB4537" t="s">
        <v>78</v>
      </c>
      <c r="AC4537" t="s">
        <v>79</v>
      </c>
      <c r="AD4537" t="s">
        <v>75</v>
      </c>
      <c r="AE4537" t="s">
        <v>80</v>
      </c>
      <c r="AG4537" t="s">
        <v>81</v>
      </c>
    </row>
    <row r="4538" spans="1:33" x14ac:dyDescent="0.25">
      <c r="A4538" t="str">
        <f>"1396844080"</f>
        <v>1396844080</v>
      </c>
      <c r="B4538" t="str">
        <f>"01605430"</f>
        <v>01605430</v>
      </c>
      <c r="C4538" t="s">
        <v>13436</v>
      </c>
      <c r="D4538" t="s">
        <v>23316</v>
      </c>
      <c r="E4538" t="s">
        <v>23317</v>
      </c>
      <c r="G4538" t="s">
        <v>21026</v>
      </c>
      <c r="L4538" t="s">
        <v>83</v>
      </c>
      <c r="M4538" t="s">
        <v>85</v>
      </c>
      <c r="R4538" t="s">
        <v>23318</v>
      </c>
      <c r="W4538" t="s">
        <v>23317</v>
      </c>
      <c r="X4538" t="s">
        <v>7723</v>
      </c>
      <c r="Y4538" t="s">
        <v>97</v>
      </c>
      <c r="Z4538" t="s">
        <v>77</v>
      </c>
      <c r="AA4538" t="str">
        <f>"10003-4342"</f>
        <v>10003-4342</v>
      </c>
      <c r="AB4538" t="s">
        <v>78</v>
      </c>
      <c r="AC4538" t="s">
        <v>79</v>
      </c>
      <c r="AD4538" t="s">
        <v>75</v>
      </c>
      <c r="AE4538" t="s">
        <v>80</v>
      </c>
      <c r="AG4538" t="s">
        <v>81</v>
      </c>
    </row>
    <row r="4539" spans="1:33" x14ac:dyDescent="0.25">
      <c r="A4539" t="str">
        <f>"1396967055"</f>
        <v>1396967055</v>
      </c>
      <c r="B4539" t="str">
        <f>"02896486"</f>
        <v>02896486</v>
      </c>
      <c r="C4539" t="s">
        <v>13436</v>
      </c>
      <c r="D4539" t="s">
        <v>23319</v>
      </c>
      <c r="E4539" t="s">
        <v>23320</v>
      </c>
      <c r="G4539" t="s">
        <v>23321</v>
      </c>
      <c r="L4539" t="s">
        <v>84</v>
      </c>
      <c r="M4539" t="s">
        <v>85</v>
      </c>
      <c r="R4539" t="s">
        <v>23322</v>
      </c>
      <c r="W4539" t="s">
        <v>23320</v>
      </c>
      <c r="X4539" t="s">
        <v>23323</v>
      </c>
      <c r="Y4539" t="s">
        <v>131</v>
      </c>
      <c r="Z4539" t="s">
        <v>77</v>
      </c>
      <c r="AA4539" t="str">
        <f>"10469"</f>
        <v>10469</v>
      </c>
      <c r="AB4539" t="s">
        <v>78</v>
      </c>
      <c r="AC4539" t="s">
        <v>79</v>
      </c>
      <c r="AD4539" t="s">
        <v>75</v>
      </c>
      <c r="AE4539" t="s">
        <v>80</v>
      </c>
      <c r="AG4539" t="s">
        <v>81</v>
      </c>
    </row>
    <row r="4540" spans="1:33" x14ac:dyDescent="0.25">
      <c r="A4540" t="str">
        <f>"1407098726"</f>
        <v>1407098726</v>
      </c>
      <c r="B4540" t="str">
        <f>"03835985"</f>
        <v>03835985</v>
      </c>
      <c r="C4540" t="s">
        <v>13436</v>
      </c>
      <c r="D4540" t="s">
        <v>23324</v>
      </c>
      <c r="E4540" t="s">
        <v>23325</v>
      </c>
      <c r="G4540" t="s">
        <v>23326</v>
      </c>
      <c r="L4540" t="s">
        <v>94</v>
      </c>
      <c r="M4540" t="s">
        <v>85</v>
      </c>
      <c r="R4540" t="s">
        <v>23327</v>
      </c>
      <c r="W4540" t="s">
        <v>23328</v>
      </c>
      <c r="X4540" t="s">
        <v>181</v>
      </c>
      <c r="Y4540" t="s">
        <v>97</v>
      </c>
      <c r="Z4540" t="s">
        <v>77</v>
      </c>
      <c r="AA4540" t="str">
        <f>"10025-1716"</f>
        <v>10025-1716</v>
      </c>
      <c r="AB4540" t="s">
        <v>78</v>
      </c>
      <c r="AC4540" t="s">
        <v>79</v>
      </c>
      <c r="AD4540" t="s">
        <v>75</v>
      </c>
      <c r="AE4540" t="s">
        <v>80</v>
      </c>
      <c r="AG4540" t="s">
        <v>81</v>
      </c>
    </row>
    <row r="4541" spans="1:33" x14ac:dyDescent="0.25">
      <c r="A4541" t="str">
        <f>"1407953284"</f>
        <v>1407953284</v>
      </c>
      <c r="B4541" t="str">
        <f>"03260359"</f>
        <v>03260359</v>
      </c>
      <c r="C4541" t="s">
        <v>13436</v>
      </c>
      <c r="D4541" t="s">
        <v>23329</v>
      </c>
      <c r="E4541" t="s">
        <v>23330</v>
      </c>
      <c r="G4541" t="s">
        <v>23331</v>
      </c>
      <c r="L4541" t="s">
        <v>37</v>
      </c>
      <c r="M4541" t="s">
        <v>85</v>
      </c>
      <c r="R4541" t="s">
        <v>23332</v>
      </c>
      <c r="W4541" t="s">
        <v>23330</v>
      </c>
      <c r="X4541" t="s">
        <v>23333</v>
      </c>
      <c r="Y4541" t="s">
        <v>2182</v>
      </c>
      <c r="Z4541" t="s">
        <v>77</v>
      </c>
      <c r="AA4541" t="str">
        <f>"10567-4121"</f>
        <v>10567-4121</v>
      </c>
      <c r="AB4541" t="s">
        <v>127</v>
      </c>
      <c r="AC4541" t="s">
        <v>79</v>
      </c>
      <c r="AD4541" t="s">
        <v>75</v>
      </c>
      <c r="AE4541" t="s">
        <v>80</v>
      </c>
      <c r="AG4541" t="s">
        <v>81</v>
      </c>
    </row>
    <row r="4542" spans="1:33" x14ac:dyDescent="0.25">
      <c r="A4542" t="str">
        <f>"1417117029"</f>
        <v>1417117029</v>
      </c>
      <c r="B4542" t="str">
        <f>"03023030"</f>
        <v>03023030</v>
      </c>
      <c r="C4542" t="s">
        <v>13436</v>
      </c>
      <c r="D4542" t="s">
        <v>23334</v>
      </c>
      <c r="E4542" t="s">
        <v>23335</v>
      </c>
      <c r="G4542" t="s">
        <v>23336</v>
      </c>
      <c r="L4542" t="s">
        <v>83</v>
      </c>
      <c r="M4542" t="s">
        <v>85</v>
      </c>
      <c r="R4542" t="s">
        <v>23337</v>
      </c>
      <c r="W4542" t="s">
        <v>23335</v>
      </c>
      <c r="X4542" t="s">
        <v>329</v>
      </c>
      <c r="Y4542" t="s">
        <v>97</v>
      </c>
      <c r="Z4542" t="s">
        <v>77</v>
      </c>
      <c r="AA4542" t="str">
        <f>"10029-6500"</f>
        <v>10029-6500</v>
      </c>
      <c r="AB4542" t="s">
        <v>78</v>
      </c>
      <c r="AC4542" t="s">
        <v>79</v>
      </c>
      <c r="AD4542" t="s">
        <v>75</v>
      </c>
      <c r="AE4542" t="s">
        <v>80</v>
      </c>
      <c r="AG4542" t="s">
        <v>81</v>
      </c>
    </row>
    <row r="4543" spans="1:33" x14ac:dyDescent="0.25">
      <c r="A4543" t="str">
        <f>"1407172257"</f>
        <v>1407172257</v>
      </c>
      <c r="B4543" t="str">
        <f>"03709515"</f>
        <v>03709515</v>
      </c>
      <c r="C4543" t="s">
        <v>13436</v>
      </c>
      <c r="D4543" t="s">
        <v>23338</v>
      </c>
      <c r="E4543" t="s">
        <v>23339</v>
      </c>
      <c r="L4543" t="s">
        <v>105</v>
      </c>
      <c r="M4543" t="s">
        <v>75</v>
      </c>
      <c r="R4543" t="s">
        <v>23340</v>
      </c>
      <c r="W4543" t="s">
        <v>23341</v>
      </c>
      <c r="X4543" t="s">
        <v>329</v>
      </c>
      <c r="Y4543" t="s">
        <v>97</v>
      </c>
      <c r="Z4543" t="s">
        <v>77</v>
      </c>
      <c r="AA4543" t="str">
        <f>"10029-6504"</f>
        <v>10029-6504</v>
      </c>
      <c r="AB4543" t="s">
        <v>78</v>
      </c>
      <c r="AC4543" t="s">
        <v>79</v>
      </c>
      <c r="AD4543" t="s">
        <v>75</v>
      </c>
      <c r="AE4543" t="s">
        <v>80</v>
      </c>
      <c r="AG4543" t="s">
        <v>81</v>
      </c>
    </row>
    <row r="4544" spans="1:33" x14ac:dyDescent="0.25">
      <c r="A4544" t="str">
        <f>"1407175441"</f>
        <v>1407175441</v>
      </c>
      <c r="C4544" t="s">
        <v>13436</v>
      </c>
      <c r="K4544" t="s">
        <v>99</v>
      </c>
      <c r="L4544" t="s">
        <v>102</v>
      </c>
      <c r="M4544" t="s">
        <v>75</v>
      </c>
      <c r="R4544" t="s">
        <v>23342</v>
      </c>
      <c r="S4544" t="s">
        <v>23343</v>
      </c>
      <c r="T4544" t="s">
        <v>97</v>
      </c>
      <c r="U4544" t="s">
        <v>77</v>
      </c>
      <c r="V4544" t="str">
        <f>"10016"</f>
        <v>10016</v>
      </c>
      <c r="AC4544" t="s">
        <v>79</v>
      </c>
      <c r="AD4544" t="s">
        <v>75</v>
      </c>
      <c r="AE4544" t="s">
        <v>103</v>
      </c>
      <c r="AG4544" t="s">
        <v>81</v>
      </c>
    </row>
    <row r="4545" spans="1:33" x14ac:dyDescent="0.25">
      <c r="A4545" t="str">
        <f>"1407273725"</f>
        <v>1407273725</v>
      </c>
      <c r="C4545" t="s">
        <v>13436</v>
      </c>
      <c r="K4545" t="s">
        <v>99</v>
      </c>
      <c r="L4545" t="s">
        <v>102</v>
      </c>
      <c r="M4545" t="s">
        <v>75</v>
      </c>
      <c r="R4545" t="s">
        <v>23344</v>
      </c>
      <c r="S4545" t="s">
        <v>3553</v>
      </c>
      <c r="T4545" t="s">
        <v>97</v>
      </c>
      <c r="U4545" t="s">
        <v>77</v>
      </c>
      <c r="V4545" t="str">
        <f>"100033851"</f>
        <v>100033851</v>
      </c>
      <c r="AC4545" t="s">
        <v>79</v>
      </c>
      <c r="AD4545" t="s">
        <v>75</v>
      </c>
      <c r="AE4545" t="s">
        <v>103</v>
      </c>
      <c r="AG4545" t="s">
        <v>81</v>
      </c>
    </row>
    <row r="4546" spans="1:33" x14ac:dyDescent="0.25">
      <c r="A4546" t="str">
        <f>"1245507227"</f>
        <v>1245507227</v>
      </c>
      <c r="C4546" t="s">
        <v>13436</v>
      </c>
      <c r="G4546" t="s">
        <v>23345</v>
      </c>
      <c r="K4546" t="s">
        <v>99</v>
      </c>
      <c r="L4546" t="s">
        <v>102</v>
      </c>
      <c r="M4546" t="s">
        <v>75</v>
      </c>
      <c r="R4546" t="s">
        <v>23346</v>
      </c>
      <c r="S4546" t="s">
        <v>5112</v>
      </c>
      <c r="T4546" t="s">
        <v>2111</v>
      </c>
      <c r="U4546" t="s">
        <v>156</v>
      </c>
      <c r="V4546" t="str">
        <f>"071122027"</f>
        <v>071122027</v>
      </c>
      <c r="AC4546" t="s">
        <v>79</v>
      </c>
      <c r="AD4546" t="s">
        <v>75</v>
      </c>
      <c r="AE4546" t="s">
        <v>103</v>
      </c>
      <c r="AG4546" t="s">
        <v>81</v>
      </c>
    </row>
    <row r="4547" spans="1:33" x14ac:dyDescent="0.25">
      <c r="A4547" t="str">
        <f>"1083630594"</f>
        <v>1083630594</v>
      </c>
      <c r="B4547" t="str">
        <f>"02746550"</f>
        <v>02746550</v>
      </c>
      <c r="C4547" t="s">
        <v>13436</v>
      </c>
      <c r="D4547" t="s">
        <v>23347</v>
      </c>
      <c r="E4547" t="s">
        <v>23348</v>
      </c>
      <c r="L4547" t="s">
        <v>84</v>
      </c>
      <c r="M4547" t="s">
        <v>85</v>
      </c>
      <c r="R4547" t="s">
        <v>23349</v>
      </c>
      <c r="W4547" t="s">
        <v>23348</v>
      </c>
      <c r="X4547" t="s">
        <v>3228</v>
      </c>
      <c r="Y4547" t="s">
        <v>97</v>
      </c>
      <c r="Z4547" t="s">
        <v>77</v>
      </c>
      <c r="AA4547" t="str">
        <f>"10036-2904"</f>
        <v>10036-2904</v>
      </c>
      <c r="AB4547" t="s">
        <v>78</v>
      </c>
      <c r="AC4547" t="s">
        <v>79</v>
      </c>
      <c r="AD4547" t="s">
        <v>75</v>
      </c>
      <c r="AE4547" t="s">
        <v>80</v>
      </c>
      <c r="AG4547" t="s">
        <v>81</v>
      </c>
    </row>
    <row r="4548" spans="1:33" x14ac:dyDescent="0.25">
      <c r="A4548" t="str">
        <f>"1083635403"</f>
        <v>1083635403</v>
      </c>
      <c r="B4548" t="str">
        <f>"02877801"</f>
        <v>02877801</v>
      </c>
      <c r="C4548" t="s">
        <v>13436</v>
      </c>
      <c r="D4548" t="s">
        <v>23350</v>
      </c>
      <c r="E4548" t="s">
        <v>23351</v>
      </c>
      <c r="G4548" t="s">
        <v>23352</v>
      </c>
      <c r="L4548" t="s">
        <v>83</v>
      </c>
      <c r="M4548" t="s">
        <v>75</v>
      </c>
      <c r="R4548" t="s">
        <v>23353</v>
      </c>
      <c r="W4548" t="s">
        <v>23351</v>
      </c>
      <c r="X4548" t="s">
        <v>3392</v>
      </c>
      <c r="Y4548" t="s">
        <v>97</v>
      </c>
      <c r="Z4548" t="s">
        <v>77</v>
      </c>
      <c r="AA4548" t="str">
        <f>"10003"</f>
        <v>10003</v>
      </c>
      <c r="AB4548" t="s">
        <v>78</v>
      </c>
      <c r="AC4548" t="s">
        <v>79</v>
      </c>
      <c r="AD4548" t="s">
        <v>75</v>
      </c>
      <c r="AE4548" t="s">
        <v>80</v>
      </c>
      <c r="AG4548" t="s">
        <v>81</v>
      </c>
    </row>
    <row r="4549" spans="1:33" x14ac:dyDescent="0.25">
      <c r="A4549" t="str">
        <f>"1083672463"</f>
        <v>1083672463</v>
      </c>
      <c r="B4549" t="str">
        <f>"03138763"</f>
        <v>03138763</v>
      </c>
      <c r="C4549" t="s">
        <v>13436</v>
      </c>
      <c r="D4549" t="s">
        <v>23354</v>
      </c>
      <c r="E4549" t="s">
        <v>23355</v>
      </c>
      <c r="G4549" t="s">
        <v>23356</v>
      </c>
      <c r="L4549" t="s">
        <v>83</v>
      </c>
      <c r="M4549" t="s">
        <v>85</v>
      </c>
      <c r="R4549" t="s">
        <v>23357</v>
      </c>
      <c r="W4549" t="s">
        <v>23358</v>
      </c>
      <c r="X4549" t="s">
        <v>842</v>
      </c>
      <c r="Y4549" t="s">
        <v>97</v>
      </c>
      <c r="Z4549" t="s">
        <v>77</v>
      </c>
      <c r="AA4549" t="str">
        <f>"10029-6501"</f>
        <v>10029-6501</v>
      </c>
      <c r="AB4549" t="s">
        <v>78</v>
      </c>
      <c r="AC4549" t="s">
        <v>79</v>
      </c>
      <c r="AD4549" t="s">
        <v>75</v>
      </c>
      <c r="AE4549" t="s">
        <v>80</v>
      </c>
      <c r="AG4549" t="s">
        <v>81</v>
      </c>
    </row>
    <row r="4550" spans="1:33" x14ac:dyDescent="0.25">
      <c r="A4550" t="str">
        <f>"1083675714"</f>
        <v>1083675714</v>
      </c>
      <c r="B4550" t="str">
        <f>"01675323"</f>
        <v>01675323</v>
      </c>
      <c r="C4550" t="s">
        <v>13436</v>
      </c>
      <c r="D4550" t="s">
        <v>23359</v>
      </c>
      <c r="E4550" t="s">
        <v>23360</v>
      </c>
      <c r="G4550" t="s">
        <v>23361</v>
      </c>
      <c r="L4550" t="s">
        <v>84</v>
      </c>
      <c r="M4550" t="s">
        <v>85</v>
      </c>
      <c r="R4550" t="s">
        <v>23362</v>
      </c>
      <c r="W4550" t="s">
        <v>23360</v>
      </c>
      <c r="X4550" t="s">
        <v>329</v>
      </c>
      <c r="Y4550" t="s">
        <v>97</v>
      </c>
      <c r="Z4550" t="s">
        <v>77</v>
      </c>
      <c r="AA4550" t="str">
        <f>"10029-6500"</f>
        <v>10029-6500</v>
      </c>
      <c r="AB4550" t="s">
        <v>78</v>
      </c>
      <c r="AC4550" t="s">
        <v>79</v>
      </c>
      <c r="AD4550" t="s">
        <v>75</v>
      </c>
      <c r="AE4550" t="s">
        <v>80</v>
      </c>
      <c r="AG4550" t="s">
        <v>81</v>
      </c>
    </row>
    <row r="4551" spans="1:33" x14ac:dyDescent="0.25">
      <c r="A4551" t="str">
        <f>"1215195946"</f>
        <v>1215195946</v>
      </c>
      <c r="B4551" t="str">
        <f>"03222662"</f>
        <v>03222662</v>
      </c>
      <c r="C4551" t="s">
        <v>13436</v>
      </c>
      <c r="D4551" t="s">
        <v>23363</v>
      </c>
      <c r="E4551" t="s">
        <v>23364</v>
      </c>
      <c r="G4551" t="s">
        <v>23365</v>
      </c>
      <c r="L4551" t="s">
        <v>74</v>
      </c>
      <c r="M4551" t="s">
        <v>85</v>
      </c>
      <c r="R4551" t="s">
        <v>23366</v>
      </c>
      <c r="W4551" t="s">
        <v>23367</v>
      </c>
      <c r="X4551" t="s">
        <v>23368</v>
      </c>
      <c r="Y4551" t="s">
        <v>97</v>
      </c>
      <c r="Z4551" t="s">
        <v>77</v>
      </c>
      <c r="AA4551" t="str">
        <f>"10029-6501"</f>
        <v>10029-6501</v>
      </c>
      <c r="AB4551" t="s">
        <v>78</v>
      </c>
      <c r="AC4551" t="s">
        <v>79</v>
      </c>
      <c r="AD4551" t="s">
        <v>75</v>
      </c>
      <c r="AE4551" t="s">
        <v>80</v>
      </c>
      <c r="AG4551" t="s">
        <v>81</v>
      </c>
    </row>
    <row r="4552" spans="1:33" x14ac:dyDescent="0.25">
      <c r="A4552" t="str">
        <f>"1215202262"</f>
        <v>1215202262</v>
      </c>
      <c r="B4552" t="str">
        <f>"03711162"</f>
        <v>03711162</v>
      </c>
      <c r="C4552" t="s">
        <v>13436</v>
      </c>
      <c r="D4552" t="s">
        <v>23369</v>
      </c>
      <c r="E4552" t="s">
        <v>23370</v>
      </c>
      <c r="G4552" t="s">
        <v>23371</v>
      </c>
      <c r="L4552" t="s">
        <v>74</v>
      </c>
      <c r="M4552" t="s">
        <v>75</v>
      </c>
      <c r="R4552" t="s">
        <v>23372</v>
      </c>
      <c r="W4552" t="s">
        <v>23370</v>
      </c>
      <c r="X4552" t="s">
        <v>2926</v>
      </c>
      <c r="Y4552" t="s">
        <v>97</v>
      </c>
      <c r="Z4552" t="s">
        <v>77</v>
      </c>
      <c r="AA4552" t="str">
        <f>"10029-6503"</f>
        <v>10029-6503</v>
      </c>
      <c r="AB4552" t="s">
        <v>114</v>
      </c>
      <c r="AC4552" t="s">
        <v>79</v>
      </c>
      <c r="AD4552" t="s">
        <v>75</v>
      </c>
      <c r="AE4552" t="s">
        <v>80</v>
      </c>
      <c r="AG4552" t="s">
        <v>81</v>
      </c>
    </row>
    <row r="4553" spans="1:33" x14ac:dyDescent="0.25">
      <c r="A4553" t="str">
        <f>"1215203229"</f>
        <v>1215203229</v>
      </c>
      <c r="B4553" t="str">
        <f>"04181215"</f>
        <v>04181215</v>
      </c>
      <c r="C4553" t="s">
        <v>13436</v>
      </c>
      <c r="D4553" t="s">
        <v>23373</v>
      </c>
      <c r="E4553" t="s">
        <v>23374</v>
      </c>
      <c r="L4553" t="s">
        <v>74</v>
      </c>
      <c r="M4553" t="s">
        <v>75</v>
      </c>
      <c r="R4553" t="s">
        <v>23375</v>
      </c>
      <c r="W4553" t="s">
        <v>23374</v>
      </c>
      <c r="X4553" t="s">
        <v>169</v>
      </c>
      <c r="Y4553" t="s">
        <v>155</v>
      </c>
      <c r="Z4553" t="s">
        <v>77</v>
      </c>
      <c r="AA4553" t="str">
        <f>"10305-3436"</f>
        <v>10305-3436</v>
      </c>
      <c r="AB4553" t="s">
        <v>78</v>
      </c>
      <c r="AC4553" t="s">
        <v>79</v>
      </c>
      <c r="AD4553" t="s">
        <v>75</v>
      </c>
      <c r="AE4553" t="s">
        <v>80</v>
      </c>
      <c r="AG4553" t="s">
        <v>81</v>
      </c>
    </row>
    <row r="4554" spans="1:33" x14ac:dyDescent="0.25">
      <c r="A4554" t="str">
        <f>"1215203591"</f>
        <v>1215203591</v>
      </c>
      <c r="C4554" t="s">
        <v>13436</v>
      </c>
      <c r="K4554" t="s">
        <v>99</v>
      </c>
      <c r="L4554" t="s">
        <v>102</v>
      </c>
      <c r="M4554" t="s">
        <v>75</v>
      </c>
      <c r="R4554" t="s">
        <v>23376</v>
      </c>
      <c r="S4554" t="s">
        <v>23377</v>
      </c>
      <c r="T4554" t="s">
        <v>4517</v>
      </c>
      <c r="U4554" t="s">
        <v>156</v>
      </c>
      <c r="V4554" t="str">
        <f>"080545732"</f>
        <v>080545732</v>
      </c>
      <c r="AC4554" t="s">
        <v>79</v>
      </c>
      <c r="AD4554" t="s">
        <v>75</v>
      </c>
      <c r="AE4554" t="s">
        <v>103</v>
      </c>
      <c r="AG4554" t="s">
        <v>81</v>
      </c>
    </row>
    <row r="4555" spans="1:33" x14ac:dyDescent="0.25">
      <c r="A4555" t="str">
        <f>"1215222534"</f>
        <v>1215222534</v>
      </c>
      <c r="B4555" t="str">
        <f>"03420188"</f>
        <v>03420188</v>
      </c>
      <c r="C4555" t="s">
        <v>13436</v>
      </c>
      <c r="D4555" t="s">
        <v>23378</v>
      </c>
      <c r="E4555" t="s">
        <v>23379</v>
      </c>
      <c r="G4555" t="s">
        <v>23380</v>
      </c>
      <c r="L4555" t="s">
        <v>74</v>
      </c>
      <c r="M4555" t="s">
        <v>75</v>
      </c>
      <c r="R4555" t="s">
        <v>23381</v>
      </c>
      <c r="W4555" t="s">
        <v>23382</v>
      </c>
      <c r="X4555" t="s">
        <v>191</v>
      </c>
      <c r="Y4555" t="s">
        <v>97</v>
      </c>
      <c r="Z4555" t="s">
        <v>77</v>
      </c>
      <c r="AA4555" t="str">
        <f>"10019-1147"</f>
        <v>10019-1147</v>
      </c>
      <c r="AB4555" t="s">
        <v>78</v>
      </c>
      <c r="AC4555" t="s">
        <v>79</v>
      </c>
      <c r="AD4555" t="s">
        <v>75</v>
      </c>
      <c r="AE4555" t="s">
        <v>80</v>
      </c>
      <c r="AG4555" t="s">
        <v>81</v>
      </c>
    </row>
    <row r="4556" spans="1:33" x14ac:dyDescent="0.25">
      <c r="A4556" t="str">
        <f>"1194823856"</f>
        <v>1194823856</v>
      </c>
      <c r="B4556" t="str">
        <f>"02927719"</f>
        <v>02927719</v>
      </c>
      <c r="C4556" t="s">
        <v>13436</v>
      </c>
      <c r="D4556" t="s">
        <v>23383</v>
      </c>
      <c r="E4556" t="s">
        <v>23384</v>
      </c>
      <c r="G4556" t="s">
        <v>23385</v>
      </c>
      <c r="L4556" t="s">
        <v>83</v>
      </c>
      <c r="M4556" t="s">
        <v>85</v>
      </c>
      <c r="R4556" t="s">
        <v>23386</v>
      </c>
      <c r="W4556" t="s">
        <v>23387</v>
      </c>
      <c r="X4556" t="s">
        <v>181</v>
      </c>
      <c r="Y4556" t="s">
        <v>97</v>
      </c>
      <c r="Z4556" t="s">
        <v>77</v>
      </c>
      <c r="AA4556" t="str">
        <f>"10025-1716"</f>
        <v>10025-1716</v>
      </c>
      <c r="AB4556" t="s">
        <v>78</v>
      </c>
      <c r="AC4556" t="s">
        <v>79</v>
      </c>
      <c r="AD4556" t="s">
        <v>75</v>
      </c>
      <c r="AE4556" t="s">
        <v>80</v>
      </c>
      <c r="AG4556" t="s">
        <v>81</v>
      </c>
    </row>
    <row r="4557" spans="1:33" x14ac:dyDescent="0.25">
      <c r="A4557" t="str">
        <f>"1205923893"</f>
        <v>1205923893</v>
      </c>
      <c r="B4557" t="str">
        <f>"02827301"</f>
        <v>02827301</v>
      </c>
      <c r="C4557" t="s">
        <v>13436</v>
      </c>
      <c r="D4557" t="s">
        <v>23388</v>
      </c>
      <c r="E4557" t="s">
        <v>23389</v>
      </c>
      <c r="G4557" t="s">
        <v>23390</v>
      </c>
      <c r="L4557" t="s">
        <v>83</v>
      </c>
      <c r="M4557" t="s">
        <v>85</v>
      </c>
      <c r="R4557" t="s">
        <v>23391</v>
      </c>
      <c r="W4557" t="s">
        <v>23389</v>
      </c>
      <c r="X4557" t="s">
        <v>86</v>
      </c>
      <c r="Y4557" t="s">
        <v>87</v>
      </c>
      <c r="Z4557" t="s">
        <v>77</v>
      </c>
      <c r="AA4557" t="str">
        <f>"11220-2559"</f>
        <v>11220-2559</v>
      </c>
      <c r="AB4557" t="s">
        <v>78</v>
      </c>
      <c r="AC4557" t="s">
        <v>79</v>
      </c>
      <c r="AD4557" t="s">
        <v>75</v>
      </c>
      <c r="AE4557" t="s">
        <v>80</v>
      </c>
      <c r="AG4557" t="s">
        <v>81</v>
      </c>
    </row>
    <row r="4558" spans="1:33" x14ac:dyDescent="0.25">
      <c r="A4558" t="str">
        <f>"1205996972"</f>
        <v>1205996972</v>
      </c>
      <c r="B4558" t="str">
        <f>"01922361"</f>
        <v>01922361</v>
      </c>
      <c r="C4558" t="s">
        <v>13436</v>
      </c>
      <c r="D4558" t="s">
        <v>23392</v>
      </c>
      <c r="E4558" t="s">
        <v>23393</v>
      </c>
      <c r="G4558" t="s">
        <v>23394</v>
      </c>
      <c r="L4558" t="s">
        <v>74</v>
      </c>
      <c r="M4558" t="s">
        <v>85</v>
      </c>
      <c r="R4558" t="s">
        <v>23395</v>
      </c>
      <c r="W4558" t="s">
        <v>23393</v>
      </c>
      <c r="X4558" t="s">
        <v>23396</v>
      </c>
      <c r="Y4558" t="s">
        <v>97</v>
      </c>
      <c r="Z4558" t="s">
        <v>77</v>
      </c>
      <c r="AA4558" t="str">
        <f>"10003"</f>
        <v>10003</v>
      </c>
      <c r="AB4558" t="s">
        <v>78</v>
      </c>
      <c r="AC4558" t="s">
        <v>79</v>
      </c>
      <c r="AD4558" t="s">
        <v>75</v>
      </c>
      <c r="AE4558" t="s">
        <v>80</v>
      </c>
      <c r="AG4558" t="s">
        <v>81</v>
      </c>
    </row>
    <row r="4559" spans="1:33" x14ac:dyDescent="0.25">
      <c r="A4559" t="str">
        <f>"1215017165"</f>
        <v>1215017165</v>
      </c>
      <c r="B4559" t="str">
        <f>"01988678"</f>
        <v>01988678</v>
      </c>
      <c r="C4559" t="s">
        <v>13436</v>
      </c>
      <c r="D4559" t="s">
        <v>23397</v>
      </c>
      <c r="E4559" t="s">
        <v>23398</v>
      </c>
      <c r="G4559" t="s">
        <v>23399</v>
      </c>
      <c r="L4559" t="s">
        <v>84</v>
      </c>
      <c r="M4559" t="s">
        <v>85</v>
      </c>
      <c r="R4559" t="s">
        <v>23398</v>
      </c>
      <c r="W4559" t="s">
        <v>23398</v>
      </c>
      <c r="X4559" t="s">
        <v>23400</v>
      </c>
      <c r="Y4559" t="s">
        <v>97</v>
      </c>
      <c r="Z4559" t="s">
        <v>77</v>
      </c>
      <c r="AA4559" t="str">
        <f>"10036-4123"</f>
        <v>10036-4123</v>
      </c>
      <c r="AB4559" t="s">
        <v>78</v>
      </c>
      <c r="AC4559" t="s">
        <v>79</v>
      </c>
      <c r="AD4559" t="s">
        <v>75</v>
      </c>
      <c r="AE4559" t="s">
        <v>80</v>
      </c>
      <c r="AG4559" t="s">
        <v>81</v>
      </c>
    </row>
    <row r="4560" spans="1:33" x14ac:dyDescent="0.25">
      <c r="A4560" t="str">
        <f>"1215020474"</f>
        <v>1215020474</v>
      </c>
      <c r="B4560" t="str">
        <f>"01435161"</f>
        <v>01435161</v>
      </c>
      <c r="C4560" t="s">
        <v>13436</v>
      </c>
      <c r="D4560" t="s">
        <v>23401</v>
      </c>
      <c r="E4560" t="s">
        <v>23402</v>
      </c>
      <c r="G4560" t="s">
        <v>23403</v>
      </c>
      <c r="L4560" t="s">
        <v>84</v>
      </c>
      <c r="M4560" t="s">
        <v>85</v>
      </c>
      <c r="R4560" t="s">
        <v>23404</v>
      </c>
      <c r="W4560" t="s">
        <v>23402</v>
      </c>
      <c r="X4560" t="s">
        <v>23405</v>
      </c>
      <c r="Y4560" t="s">
        <v>97</v>
      </c>
      <c r="Z4560" t="s">
        <v>77</v>
      </c>
      <c r="AA4560" t="str">
        <f>"10028-7727"</f>
        <v>10028-7727</v>
      </c>
      <c r="AB4560" t="s">
        <v>78</v>
      </c>
      <c r="AC4560" t="s">
        <v>79</v>
      </c>
      <c r="AD4560" t="s">
        <v>75</v>
      </c>
      <c r="AE4560" t="s">
        <v>80</v>
      </c>
      <c r="AG4560" t="s">
        <v>81</v>
      </c>
    </row>
    <row r="4561" spans="1:33" x14ac:dyDescent="0.25">
      <c r="A4561" t="str">
        <f>"1215160866"</f>
        <v>1215160866</v>
      </c>
      <c r="B4561" t="str">
        <f>"03742349"</f>
        <v>03742349</v>
      </c>
      <c r="C4561" t="s">
        <v>13436</v>
      </c>
      <c r="D4561" t="s">
        <v>23406</v>
      </c>
      <c r="E4561" t="s">
        <v>23407</v>
      </c>
      <c r="G4561" t="s">
        <v>23408</v>
      </c>
      <c r="L4561" t="s">
        <v>74</v>
      </c>
      <c r="M4561" t="s">
        <v>85</v>
      </c>
      <c r="R4561" t="s">
        <v>23409</v>
      </c>
      <c r="W4561" t="s">
        <v>23407</v>
      </c>
      <c r="X4561" t="s">
        <v>3433</v>
      </c>
      <c r="Y4561" t="s">
        <v>97</v>
      </c>
      <c r="Z4561" t="s">
        <v>77</v>
      </c>
      <c r="AA4561" t="str">
        <f>"10003-3805"</f>
        <v>10003-3805</v>
      </c>
      <c r="AB4561" t="s">
        <v>78</v>
      </c>
      <c r="AC4561" t="s">
        <v>79</v>
      </c>
      <c r="AD4561" t="s">
        <v>75</v>
      </c>
      <c r="AE4561" t="s">
        <v>80</v>
      </c>
      <c r="AG4561" t="s">
        <v>81</v>
      </c>
    </row>
    <row r="4562" spans="1:33" x14ac:dyDescent="0.25">
      <c r="A4562" t="str">
        <f>"1215995139"</f>
        <v>1215995139</v>
      </c>
      <c r="B4562" t="str">
        <f>"01113515"</f>
        <v>01113515</v>
      </c>
      <c r="C4562" t="s">
        <v>13436</v>
      </c>
      <c r="D4562" t="s">
        <v>23410</v>
      </c>
      <c r="E4562" t="s">
        <v>23411</v>
      </c>
      <c r="G4562" t="s">
        <v>23412</v>
      </c>
      <c r="L4562" t="s">
        <v>83</v>
      </c>
      <c r="M4562" t="s">
        <v>85</v>
      </c>
      <c r="R4562" t="s">
        <v>23413</v>
      </c>
      <c r="W4562" t="s">
        <v>23411</v>
      </c>
      <c r="X4562" t="s">
        <v>23414</v>
      </c>
      <c r="Y4562" t="s">
        <v>97</v>
      </c>
      <c r="Z4562" t="s">
        <v>77</v>
      </c>
      <c r="AA4562" t="str">
        <f>"10003-4201"</f>
        <v>10003-4201</v>
      </c>
      <c r="AB4562" t="s">
        <v>78</v>
      </c>
      <c r="AC4562" t="s">
        <v>79</v>
      </c>
      <c r="AD4562" t="s">
        <v>75</v>
      </c>
      <c r="AE4562" t="s">
        <v>80</v>
      </c>
      <c r="AG4562" t="s">
        <v>81</v>
      </c>
    </row>
    <row r="4563" spans="1:33" x14ac:dyDescent="0.25">
      <c r="A4563" t="str">
        <f>"1225298110"</f>
        <v>1225298110</v>
      </c>
      <c r="B4563" t="str">
        <f>"03245067"</f>
        <v>03245067</v>
      </c>
      <c r="C4563" t="s">
        <v>13436</v>
      </c>
      <c r="D4563" t="s">
        <v>23415</v>
      </c>
      <c r="E4563" t="s">
        <v>23416</v>
      </c>
      <c r="G4563" t="s">
        <v>23417</v>
      </c>
      <c r="L4563" t="s">
        <v>83</v>
      </c>
      <c r="M4563" t="s">
        <v>85</v>
      </c>
      <c r="R4563" t="s">
        <v>23418</v>
      </c>
      <c r="W4563" t="s">
        <v>23416</v>
      </c>
      <c r="X4563" t="s">
        <v>17478</v>
      </c>
      <c r="Y4563" t="s">
        <v>87</v>
      </c>
      <c r="Z4563" t="s">
        <v>77</v>
      </c>
      <c r="AA4563" t="str">
        <f>"11203-3513"</f>
        <v>11203-3513</v>
      </c>
      <c r="AB4563" t="s">
        <v>78</v>
      </c>
      <c r="AC4563" t="s">
        <v>79</v>
      </c>
      <c r="AD4563" t="s">
        <v>75</v>
      </c>
      <c r="AE4563" t="s">
        <v>80</v>
      </c>
      <c r="AG4563" t="s">
        <v>81</v>
      </c>
    </row>
    <row r="4564" spans="1:33" x14ac:dyDescent="0.25">
      <c r="A4564" t="str">
        <f>"1235247859"</f>
        <v>1235247859</v>
      </c>
      <c r="B4564" t="str">
        <f>"00766629"</f>
        <v>00766629</v>
      </c>
      <c r="C4564" t="s">
        <v>13436</v>
      </c>
      <c r="D4564" t="s">
        <v>23419</v>
      </c>
      <c r="E4564" t="s">
        <v>23420</v>
      </c>
      <c r="G4564" t="s">
        <v>23421</v>
      </c>
      <c r="L4564" t="s">
        <v>83</v>
      </c>
      <c r="M4564" t="s">
        <v>85</v>
      </c>
      <c r="R4564" t="s">
        <v>23422</v>
      </c>
      <c r="W4564" t="s">
        <v>23420</v>
      </c>
      <c r="X4564" t="s">
        <v>23423</v>
      </c>
      <c r="Y4564" t="s">
        <v>97</v>
      </c>
      <c r="Z4564" t="s">
        <v>77</v>
      </c>
      <c r="AA4564" t="str">
        <f>"10016-3422"</f>
        <v>10016-3422</v>
      </c>
      <c r="AB4564" t="s">
        <v>78</v>
      </c>
      <c r="AC4564" t="s">
        <v>79</v>
      </c>
      <c r="AD4564" t="s">
        <v>75</v>
      </c>
      <c r="AE4564" t="s">
        <v>80</v>
      </c>
      <c r="AG4564" t="s">
        <v>81</v>
      </c>
    </row>
    <row r="4565" spans="1:33" x14ac:dyDescent="0.25">
      <c r="A4565" t="str">
        <f>"1265501480"</f>
        <v>1265501480</v>
      </c>
      <c r="C4565" t="s">
        <v>13436</v>
      </c>
      <c r="G4565" t="s">
        <v>23424</v>
      </c>
      <c r="K4565" t="s">
        <v>99</v>
      </c>
      <c r="L4565" t="s">
        <v>102</v>
      </c>
      <c r="M4565" t="s">
        <v>85</v>
      </c>
      <c r="R4565" t="s">
        <v>23425</v>
      </c>
      <c r="S4565" t="s">
        <v>23426</v>
      </c>
      <c r="T4565" t="s">
        <v>2360</v>
      </c>
      <c r="U4565" t="s">
        <v>77</v>
      </c>
      <c r="V4565" t="str">
        <f>"105833244"</f>
        <v>105833244</v>
      </c>
      <c r="AC4565" t="s">
        <v>79</v>
      </c>
      <c r="AD4565" t="s">
        <v>75</v>
      </c>
      <c r="AE4565" t="s">
        <v>103</v>
      </c>
      <c r="AG4565" t="s">
        <v>81</v>
      </c>
    </row>
    <row r="4566" spans="1:33" x14ac:dyDescent="0.25">
      <c r="A4566" t="str">
        <f>"1265548168"</f>
        <v>1265548168</v>
      </c>
      <c r="B4566" t="str">
        <f>"00809389"</f>
        <v>00809389</v>
      </c>
      <c r="C4566" t="s">
        <v>13436</v>
      </c>
      <c r="D4566" t="s">
        <v>23427</v>
      </c>
      <c r="E4566" t="s">
        <v>23428</v>
      </c>
      <c r="G4566" t="s">
        <v>23429</v>
      </c>
      <c r="L4566" t="s">
        <v>83</v>
      </c>
      <c r="M4566" t="s">
        <v>85</v>
      </c>
      <c r="R4566" t="s">
        <v>23430</v>
      </c>
      <c r="W4566" t="s">
        <v>23431</v>
      </c>
      <c r="X4566" t="s">
        <v>306</v>
      </c>
      <c r="Y4566" t="s">
        <v>97</v>
      </c>
      <c r="Z4566" t="s">
        <v>77</v>
      </c>
      <c r="AA4566" t="str">
        <f>"10003-4201"</f>
        <v>10003-4201</v>
      </c>
      <c r="AB4566" t="s">
        <v>78</v>
      </c>
      <c r="AC4566" t="s">
        <v>79</v>
      </c>
      <c r="AD4566" t="s">
        <v>75</v>
      </c>
      <c r="AE4566" t="s">
        <v>80</v>
      </c>
      <c r="AG4566" t="s">
        <v>81</v>
      </c>
    </row>
    <row r="4567" spans="1:33" x14ac:dyDescent="0.25">
      <c r="A4567" t="str">
        <f>"1124049713"</f>
        <v>1124049713</v>
      </c>
      <c r="B4567" t="str">
        <f>"01434353"</f>
        <v>01434353</v>
      </c>
      <c r="C4567" t="s">
        <v>13436</v>
      </c>
      <c r="D4567" t="s">
        <v>23432</v>
      </c>
      <c r="E4567" t="s">
        <v>23433</v>
      </c>
      <c r="G4567" t="s">
        <v>23434</v>
      </c>
      <c r="L4567" t="s">
        <v>84</v>
      </c>
      <c r="M4567" t="s">
        <v>85</v>
      </c>
      <c r="R4567" t="s">
        <v>23435</v>
      </c>
      <c r="W4567" t="s">
        <v>23436</v>
      </c>
      <c r="X4567" t="s">
        <v>23437</v>
      </c>
      <c r="Y4567" t="s">
        <v>97</v>
      </c>
      <c r="Z4567" t="s">
        <v>77</v>
      </c>
      <c r="AA4567" t="str">
        <f>"10029-6508"</f>
        <v>10029-6508</v>
      </c>
      <c r="AB4567" t="s">
        <v>78</v>
      </c>
      <c r="AC4567" t="s">
        <v>79</v>
      </c>
      <c r="AD4567" t="s">
        <v>75</v>
      </c>
      <c r="AE4567" t="s">
        <v>80</v>
      </c>
      <c r="AG4567" t="s">
        <v>81</v>
      </c>
    </row>
    <row r="4568" spans="1:33" x14ac:dyDescent="0.25">
      <c r="A4568" t="str">
        <f>"1508166463"</f>
        <v>1508166463</v>
      </c>
      <c r="C4568" t="s">
        <v>13436</v>
      </c>
      <c r="K4568" t="s">
        <v>99</v>
      </c>
      <c r="L4568" t="s">
        <v>74</v>
      </c>
      <c r="M4568" t="s">
        <v>75</v>
      </c>
      <c r="R4568" t="s">
        <v>23438</v>
      </c>
      <c r="S4568" t="s">
        <v>23439</v>
      </c>
      <c r="T4568" t="s">
        <v>97</v>
      </c>
      <c r="U4568" t="s">
        <v>77</v>
      </c>
      <c r="V4568" t="str">
        <f>"100214650"</f>
        <v>100214650</v>
      </c>
      <c r="AC4568" t="s">
        <v>79</v>
      </c>
      <c r="AD4568" t="s">
        <v>75</v>
      </c>
      <c r="AE4568" t="s">
        <v>103</v>
      </c>
      <c r="AG4568" t="s">
        <v>81</v>
      </c>
    </row>
    <row r="4569" spans="1:33" x14ac:dyDescent="0.25">
      <c r="A4569" t="str">
        <f>"1538326970"</f>
        <v>1538326970</v>
      </c>
      <c r="B4569" t="str">
        <f>"03333108"</f>
        <v>03333108</v>
      </c>
      <c r="C4569" t="s">
        <v>13436</v>
      </c>
      <c r="D4569" t="s">
        <v>23440</v>
      </c>
      <c r="E4569" t="s">
        <v>23441</v>
      </c>
      <c r="G4569" t="s">
        <v>23442</v>
      </c>
      <c r="L4569" t="s">
        <v>84</v>
      </c>
      <c r="M4569" t="s">
        <v>85</v>
      </c>
      <c r="R4569" t="s">
        <v>23443</v>
      </c>
      <c r="W4569" t="s">
        <v>23441</v>
      </c>
      <c r="X4569" t="s">
        <v>23444</v>
      </c>
      <c r="Y4569" t="s">
        <v>97</v>
      </c>
      <c r="Z4569" t="s">
        <v>77</v>
      </c>
      <c r="AA4569" t="str">
        <f>"10016-2708"</f>
        <v>10016-2708</v>
      </c>
      <c r="AB4569" t="s">
        <v>78</v>
      </c>
      <c r="AC4569" t="s">
        <v>79</v>
      </c>
      <c r="AD4569" t="s">
        <v>75</v>
      </c>
      <c r="AE4569" t="s">
        <v>80</v>
      </c>
      <c r="AG4569" t="s">
        <v>81</v>
      </c>
    </row>
    <row r="4570" spans="1:33" x14ac:dyDescent="0.25">
      <c r="A4570" t="str">
        <f>"1538471180"</f>
        <v>1538471180</v>
      </c>
      <c r="C4570" t="s">
        <v>13436</v>
      </c>
      <c r="G4570" t="s">
        <v>23445</v>
      </c>
      <c r="K4570" t="s">
        <v>99</v>
      </c>
      <c r="L4570" t="s">
        <v>102</v>
      </c>
      <c r="M4570" t="s">
        <v>85</v>
      </c>
      <c r="R4570" t="s">
        <v>23446</v>
      </c>
      <c r="S4570" t="s">
        <v>23447</v>
      </c>
      <c r="T4570" t="s">
        <v>97</v>
      </c>
      <c r="U4570" t="s">
        <v>77</v>
      </c>
      <c r="V4570" t="str">
        <f>"100191147"</f>
        <v>100191147</v>
      </c>
      <c r="AC4570" t="s">
        <v>79</v>
      </c>
      <c r="AD4570" t="s">
        <v>75</v>
      </c>
      <c r="AE4570" t="s">
        <v>103</v>
      </c>
      <c r="AG4570" t="s">
        <v>81</v>
      </c>
    </row>
    <row r="4571" spans="1:33" x14ac:dyDescent="0.25">
      <c r="A4571" t="str">
        <f>"1548244130"</f>
        <v>1548244130</v>
      </c>
      <c r="B4571" t="str">
        <f>"01925882"</f>
        <v>01925882</v>
      </c>
      <c r="C4571" t="s">
        <v>13436</v>
      </c>
      <c r="D4571" t="s">
        <v>23448</v>
      </c>
      <c r="E4571" t="s">
        <v>23449</v>
      </c>
      <c r="G4571" t="s">
        <v>23450</v>
      </c>
      <c r="L4571" t="s">
        <v>83</v>
      </c>
      <c r="M4571" t="s">
        <v>85</v>
      </c>
      <c r="R4571" t="s">
        <v>23451</v>
      </c>
      <c r="W4571" t="s">
        <v>23449</v>
      </c>
      <c r="X4571" t="s">
        <v>2587</v>
      </c>
      <c r="Y4571" t="s">
        <v>97</v>
      </c>
      <c r="Z4571" t="s">
        <v>77</v>
      </c>
      <c r="AA4571" t="str">
        <f>"10003-3314"</f>
        <v>10003-3314</v>
      </c>
      <c r="AB4571" t="s">
        <v>78</v>
      </c>
      <c r="AC4571" t="s">
        <v>79</v>
      </c>
      <c r="AD4571" t="s">
        <v>75</v>
      </c>
      <c r="AE4571" t="s">
        <v>80</v>
      </c>
      <c r="AG4571" t="s">
        <v>81</v>
      </c>
    </row>
    <row r="4572" spans="1:33" x14ac:dyDescent="0.25">
      <c r="A4572" t="str">
        <f>"1548247638"</f>
        <v>1548247638</v>
      </c>
      <c r="B4572" t="str">
        <f>"02619258"</f>
        <v>02619258</v>
      </c>
      <c r="C4572" t="s">
        <v>13436</v>
      </c>
      <c r="D4572" t="s">
        <v>23452</v>
      </c>
      <c r="E4572" t="s">
        <v>23453</v>
      </c>
      <c r="G4572" t="s">
        <v>23454</v>
      </c>
      <c r="L4572" t="s">
        <v>84</v>
      </c>
      <c r="M4572" t="s">
        <v>85</v>
      </c>
      <c r="R4572" t="s">
        <v>23455</v>
      </c>
      <c r="W4572" t="s">
        <v>23453</v>
      </c>
      <c r="X4572" t="s">
        <v>181</v>
      </c>
      <c r="Y4572" t="s">
        <v>97</v>
      </c>
      <c r="Z4572" t="s">
        <v>77</v>
      </c>
      <c r="AA4572" t="str">
        <f>"10025-1716"</f>
        <v>10025-1716</v>
      </c>
      <c r="AB4572" t="s">
        <v>78</v>
      </c>
      <c r="AC4572" t="s">
        <v>79</v>
      </c>
      <c r="AD4572" t="s">
        <v>75</v>
      </c>
      <c r="AE4572" t="s">
        <v>80</v>
      </c>
      <c r="AG4572" t="s">
        <v>81</v>
      </c>
    </row>
    <row r="4573" spans="1:33" x14ac:dyDescent="0.25">
      <c r="A4573" t="str">
        <f>"1548269558"</f>
        <v>1548269558</v>
      </c>
      <c r="B4573" t="str">
        <f>"01918767"</f>
        <v>01918767</v>
      </c>
      <c r="C4573" t="s">
        <v>13436</v>
      </c>
      <c r="D4573" t="s">
        <v>23456</v>
      </c>
      <c r="E4573" t="s">
        <v>23457</v>
      </c>
      <c r="G4573" t="s">
        <v>23458</v>
      </c>
      <c r="L4573" t="s">
        <v>83</v>
      </c>
      <c r="M4573" t="s">
        <v>85</v>
      </c>
      <c r="R4573" t="s">
        <v>23459</v>
      </c>
      <c r="W4573" t="s">
        <v>23457</v>
      </c>
      <c r="X4573" t="s">
        <v>138</v>
      </c>
      <c r="Y4573" t="s">
        <v>139</v>
      </c>
      <c r="Z4573" t="s">
        <v>77</v>
      </c>
      <c r="AA4573" t="str">
        <f>"11355-5045"</f>
        <v>11355-5045</v>
      </c>
      <c r="AB4573" t="s">
        <v>78</v>
      </c>
      <c r="AC4573" t="s">
        <v>79</v>
      </c>
      <c r="AD4573" t="s">
        <v>75</v>
      </c>
      <c r="AE4573" t="s">
        <v>80</v>
      </c>
      <c r="AG4573" t="s">
        <v>81</v>
      </c>
    </row>
    <row r="4574" spans="1:33" x14ac:dyDescent="0.25">
      <c r="A4574" t="str">
        <f>"1548318058"</f>
        <v>1548318058</v>
      </c>
      <c r="B4574" t="str">
        <f>"02173311"</f>
        <v>02173311</v>
      </c>
      <c r="C4574" t="s">
        <v>13436</v>
      </c>
      <c r="D4574" t="s">
        <v>23460</v>
      </c>
      <c r="E4574" t="s">
        <v>23461</v>
      </c>
      <c r="G4574" t="s">
        <v>23462</v>
      </c>
      <c r="L4574" t="s">
        <v>83</v>
      </c>
      <c r="M4574" t="s">
        <v>85</v>
      </c>
      <c r="R4574" t="s">
        <v>23463</v>
      </c>
      <c r="W4574" t="s">
        <v>23464</v>
      </c>
      <c r="X4574" t="s">
        <v>186</v>
      </c>
      <c r="Y4574" t="s">
        <v>97</v>
      </c>
      <c r="Z4574" t="s">
        <v>77</v>
      </c>
      <c r="AA4574" t="str">
        <f>"10029-7491"</f>
        <v>10029-7491</v>
      </c>
      <c r="AB4574" t="s">
        <v>78</v>
      </c>
      <c r="AC4574" t="s">
        <v>79</v>
      </c>
      <c r="AD4574" t="s">
        <v>75</v>
      </c>
      <c r="AE4574" t="s">
        <v>80</v>
      </c>
      <c r="AG4574" t="s">
        <v>81</v>
      </c>
    </row>
    <row r="4575" spans="1:33" x14ac:dyDescent="0.25">
      <c r="A4575" t="str">
        <f>"1548351109"</f>
        <v>1548351109</v>
      </c>
      <c r="B4575" t="str">
        <f>"01183297"</f>
        <v>01183297</v>
      </c>
      <c r="C4575" t="s">
        <v>13436</v>
      </c>
      <c r="D4575" t="s">
        <v>23465</v>
      </c>
      <c r="E4575" t="s">
        <v>23466</v>
      </c>
      <c r="G4575" t="s">
        <v>23467</v>
      </c>
      <c r="L4575" t="s">
        <v>83</v>
      </c>
      <c r="M4575" t="s">
        <v>85</v>
      </c>
      <c r="R4575" t="s">
        <v>23468</v>
      </c>
      <c r="W4575" t="s">
        <v>23466</v>
      </c>
      <c r="X4575" t="s">
        <v>23469</v>
      </c>
      <c r="Y4575" t="s">
        <v>97</v>
      </c>
      <c r="Z4575" t="s">
        <v>77</v>
      </c>
      <c r="AA4575" t="str">
        <f>"10003-3314"</f>
        <v>10003-3314</v>
      </c>
      <c r="AB4575" t="s">
        <v>78</v>
      </c>
      <c r="AC4575" t="s">
        <v>79</v>
      </c>
      <c r="AD4575" t="s">
        <v>75</v>
      </c>
      <c r="AE4575" t="s">
        <v>80</v>
      </c>
      <c r="AG4575" t="s">
        <v>81</v>
      </c>
    </row>
    <row r="4576" spans="1:33" x14ac:dyDescent="0.25">
      <c r="A4576" t="str">
        <f>"1548392368"</f>
        <v>1548392368</v>
      </c>
      <c r="B4576" t="str">
        <f>"03240677"</f>
        <v>03240677</v>
      </c>
      <c r="C4576" t="s">
        <v>13436</v>
      </c>
      <c r="D4576" t="s">
        <v>23470</v>
      </c>
      <c r="E4576" t="s">
        <v>23471</v>
      </c>
      <c r="G4576" t="s">
        <v>23472</v>
      </c>
      <c r="L4576" t="s">
        <v>83</v>
      </c>
      <c r="M4576" t="s">
        <v>85</v>
      </c>
      <c r="R4576" t="s">
        <v>23473</v>
      </c>
      <c r="W4576" t="s">
        <v>23471</v>
      </c>
      <c r="X4576" t="s">
        <v>2587</v>
      </c>
      <c r="Y4576" t="s">
        <v>97</v>
      </c>
      <c r="Z4576" t="s">
        <v>77</v>
      </c>
      <c r="AA4576" t="str">
        <f>"10003-3314"</f>
        <v>10003-3314</v>
      </c>
      <c r="AB4576" t="s">
        <v>78</v>
      </c>
      <c r="AC4576" t="s">
        <v>79</v>
      </c>
      <c r="AD4576" t="s">
        <v>75</v>
      </c>
      <c r="AE4576" t="s">
        <v>80</v>
      </c>
      <c r="AG4576" t="s">
        <v>81</v>
      </c>
    </row>
    <row r="4577" spans="1:33" x14ac:dyDescent="0.25">
      <c r="A4577" t="str">
        <f>"1548423809"</f>
        <v>1548423809</v>
      </c>
      <c r="B4577" t="str">
        <f>"02990958"</f>
        <v>02990958</v>
      </c>
      <c r="C4577" t="s">
        <v>13436</v>
      </c>
      <c r="D4577" t="s">
        <v>23474</v>
      </c>
      <c r="E4577" t="s">
        <v>23475</v>
      </c>
      <c r="G4577" t="s">
        <v>23476</v>
      </c>
      <c r="L4577" t="s">
        <v>83</v>
      </c>
      <c r="M4577" t="s">
        <v>85</v>
      </c>
      <c r="R4577" t="s">
        <v>23477</v>
      </c>
      <c r="W4577" t="s">
        <v>23475</v>
      </c>
      <c r="X4577" t="s">
        <v>17108</v>
      </c>
      <c r="Y4577" t="s">
        <v>97</v>
      </c>
      <c r="Z4577" t="s">
        <v>77</v>
      </c>
      <c r="AA4577" t="str">
        <f>"10003-3851"</f>
        <v>10003-3851</v>
      </c>
      <c r="AB4577" t="s">
        <v>78</v>
      </c>
      <c r="AC4577" t="s">
        <v>79</v>
      </c>
      <c r="AD4577" t="s">
        <v>75</v>
      </c>
      <c r="AE4577" t="s">
        <v>80</v>
      </c>
      <c r="AG4577" t="s">
        <v>81</v>
      </c>
    </row>
    <row r="4578" spans="1:33" x14ac:dyDescent="0.25">
      <c r="A4578" t="str">
        <f>"1548463888"</f>
        <v>1548463888</v>
      </c>
      <c r="B4578" t="str">
        <f>"03127382"</f>
        <v>03127382</v>
      </c>
      <c r="C4578" t="s">
        <v>13436</v>
      </c>
      <c r="D4578" t="s">
        <v>23478</v>
      </c>
      <c r="E4578" t="s">
        <v>23479</v>
      </c>
      <c r="G4578" t="s">
        <v>23480</v>
      </c>
      <c r="L4578" t="s">
        <v>105</v>
      </c>
      <c r="M4578" t="s">
        <v>85</v>
      </c>
      <c r="R4578" t="s">
        <v>23481</v>
      </c>
      <c r="W4578" t="s">
        <v>23479</v>
      </c>
      <c r="X4578" t="s">
        <v>3553</v>
      </c>
      <c r="Y4578" t="s">
        <v>97</v>
      </c>
      <c r="Z4578" t="s">
        <v>77</v>
      </c>
      <c r="AA4578" t="str">
        <f>"10003-3851"</f>
        <v>10003-3851</v>
      </c>
      <c r="AB4578" t="s">
        <v>78</v>
      </c>
      <c r="AC4578" t="s">
        <v>79</v>
      </c>
      <c r="AD4578" t="s">
        <v>75</v>
      </c>
      <c r="AE4578" t="s">
        <v>80</v>
      </c>
      <c r="AG4578" t="s">
        <v>81</v>
      </c>
    </row>
    <row r="4579" spans="1:33" x14ac:dyDescent="0.25">
      <c r="A4579" t="str">
        <f>"1568620300"</f>
        <v>1568620300</v>
      </c>
      <c r="B4579" t="str">
        <f>"03256939"</f>
        <v>03256939</v>
      </c>
      <c r="C4579" t="s">
        <v>13436</v>
      </c>
      <c r="D4579" t="s">
        <v>23482</v>
      </c>
      <c r="E4579" t="s">
        <v>23483</v>
      </c>
      <c r="G4579" t="s">
        <v>23484</v>
      </c>
      <c r="L4579" t="s">
        <v>83</v>
      </c>
      <c r="M4579" t="s">
        <v>85</v>
      </c>
      <c r="R4579" t="s">
        <v>23483</v>
      </c>
      <c r="W4579" t="s">
        <v>23483</v>
      </c>
      <c r="X4579" t="s">
        <v>15393</v>
      </c>
      <c r="Y4579" t="s">
        <v>87</v>
      </c>
      <c r="Z4579" t="s">
        <v>77</v>
      </c>
      <c r="AA4579" t="str">
        <f>"11229-1147"</f>
        <v>11229-1147</v>
      </c>
      <c r="AB4579" t="s">
        <v>78</v>
      </c>
      <c r="AC4579" t="s">
        <v>79</v>
      </c>
      <c r="AD4579" t="s">
        <v>75</v>
      </c>
      <c r="AE4579" t="s">
        <v>80</v>
      </c>
      <c r="AG4579" t="s">
        <v>81</v>
      </c>
    </row>
    <row r="4580" spans="1:33" x14ac:dyDescent="0.25">
      <c r="A4580" t="str">
        <f>"1730117342"</f>
        <v>1730117342</v>
      </c>
      <c r="B4580" t="str">
        <f>"00751919"</f>
        <v>00751919</v>
      </c>
      <c r="C4580" t="s">
        <v>23485</v>
      </c>
      <c r="D4580" t="s">
        <v>23486</v>
      </c>
      <c r="E4580" t="s">
        <v>23487</v>
      </c>
      <c r="G4580" t="s">
        <v>6513</v>
      </c>
      <c r="H4580" t="s">
        <v>6514</v>
      </c>
      <c r="J4580" t="s">
        <v>6515</v>
      </c>
      <c r="L4580" t="s">
        <v>105</v>
      </c>
      <c r="M4580" t="s">
        <v>75</v>
      </c>
      <c r="R4580" t="s">
        <v>23488</v>
      </c>
      <c r="W4580" t="s">
        <v>23489</v>
      </c>
      <c r="X4580" t="s">
        <v>204</v>
      </c>
      <c r="Y4580" t="s">
        <v>97</v>
      </c>
      <c r="Z4580" t="s">
        <v>77</v>
      </c>
      <c r="AA4580" t="str">
        <f>"10065-4870"</f>
        <v>10065-4870</v>
      </c>
      <c r="AB4580" t="s">
        <v>78</v>
      </c>
      <c r="AC4580" t="s">
        <v>79</v>
      </c>
      <c r="AD4580" t="s">
        <v>75</v>
      </c>
      <c r="AE4580" t="s">
        <v>80</v>
      </c>
      <c r="AG4580" t="s">
        <v>81</v>
      </c>
    </row>
    <row r="4581" spans="1:33" x14ac:dyDescent="0.25">
      <c r="A4581" t="str">
        <f>"1629306188"</f>
        <v>1629306188</v>
      </c>
      <c r="B4581" t="str">
        <f>"03581308"</f>
        <v>03581308</v>
      </c>
      <c r="C4581" t="s">
        <v>23490</v>
      </c>
      <c r="D4581" t="s">
        <v>6065</v>
      </c>
      <c r="E4581" t="s">
        <v>6066</v>
      </c>
      <c r="G4581" t="s">
        <v>6513</v>
      </c>
      <c r="H4581" t="s">
        <v>6514</v>
      </c>
      <c r="J4581" t="s">
        <v>6515</v>
      </c>
      <c r="L4581" t="s">
        <v>74</v>
      </c>
      <c r="M4581" t="s">
        <v>85</v>
      </c>
      <c r="R4581" t="s">
        <v>6067</v>
      </c>
      <c r="W4581" t="s">
        <v>6066</v>
      </c>
      <c r="X4581" t="s">
        <v>2093</v>
      </c>
      <c r="Y4581" t="s">
        <v>97</v>
      </c>
      <c r="Z4581" t="s">
        <v>77</v>
      </c>
      <c r="AA4581" t="str">
        <f>"10025-1715"</f>
        <v>10025-1715</v>
      </c>
      <c r="AB4581" t="s">
        <v>78</v>
      </c>
      <c r="AC4581" t="s">
        <v>79</v>
      </c>
      <c r="AD4581" t="s">
        <v>75</v>
      </c>
      <c r="AE4581" t="s">
        <v>80</v>
      </c>
      <c r="AG4581" t="s">
        <v>81</v>
      </c>
    </row>
    <row r="4582" spans="1:33" x14ac:dyDescent="0.25">
      <c r="A4582" t="str">
        <f>"1174898555"</f>
        <v>1174898555</v>
      </c>
      <c r="B4582" t="str">
        <f>"03859010"</f>
        <v>03859010</v>
      </c>
      <c r="C4582" t="s">
        <v>13436</v>
      </c>
      <c r="D4582" t="s">
        <v>23491</v>
      </c>
      <c r="E4582" t="s">
        <v>23492</v>
      </c>
      <c r="L4582" t="s">
        <v>102</v>
      </c>
      <c r="M4582" t="s">
        <v>75</v>
      </c>
      <c r="R4582" t="s">
        <v>23493</v>
      </c>
      <c r="W4582" t="s">
        <v>23492</v>
      </c>
      <c r="X4582" t="s">
        <v>13841</v>
      </c>
      <c r="Y4582" t="s">
        <v>97</v>
      </c>
      <c r="Z4582" t="s">
        <v>77</v>
      </c>
      <c r="AA4582" t="str">
        <f>"10003-3851"</f>
        <v>10003-3851</v>
      </c>
      <c r="AB4582" t="s">
        <v>78</v>
      </c>
      <c r="AC4582" t="s">
        <v>79</v>
      </c>
      <c r="AD4582" t="s">
        <v>75</v>
      </c>
      <c r="AE4582" t="s">
        <v>80</v>
      </c>
      <c r="AG4582" t="s">
        <v>81</v>
      </c>
    </row>
    <row r="4583" spans="1:33" x14ac:dyDescent="0.25">
      <c r="A4583" t="str">
        <f>"1174940407"</f>
        <v>1174940407</v>
      </c>
      <c r="C4583" t="s">
        <v>13436</v>
      </c>
      <c r="K4583" t="s">
        <v>99</v>
      </c>
      <c r="L4583" t="s">
        <v>102</v>
      </c>
      <c r="M4583" t="s">
        <v>75</v>
      </c>
      <c r="R4583" t="s">
        <v>23494</v>
      </c>
      <c r="S4583" t="s">
        <v>329</v>
      </c>
      <c r="T4583" t="s">
        <v>97</v>
      </c>
      <c r="U4583" t="s">
        <v>77</v>
      </c>
      <c r="V4583" t="str">
        <f>"100296504"</f>
        <v>100296504</v>
      </c>
      <c r="AC4583" t="s">
        <v>79</v>
      </c>
      <c r="AD4583" t="s">
        <v>75</v>
      </c>
      <c r="AE4583" t="s">
        <v>103</v>
      </c>
      <c r="AG4583" t="s">
        <v>81</v>
      </c>
    </row>
    <row r="4584" spans="1:33" x14ac:dyDescent="0.25">
      <c r="A4584" t="str">
        <f>"1174940415"</f>
        <v>1174940415</v>
      </c>
      <c r="C4584" t="s">
        <v>13436</v>
      </c>
      <c r="K4584" t="s">
        <v>99</v>
      </c>
      <c r="L4584" t="s">
        <v>102</v>
      </c>
      <c r="M4584" t="s">
        <v>75</v>
      </c>
      <c r="R4584" t="s">
        <v>23495</v>
      </c>
      <c r="S4584" t="s">
        <v>23496</v>
      </c>
      <c r="T4584" t="s">
        <v>97</v>
      </c>
      <c r="U4584" t="s">
        <v>77</v>
      </c>
      <c r="V4584" t="str">
        <f>"100296552"</f>
        <v>100296552</v>
      </c>
      <c r="AC4584" t="s">
        <v>79</v>
      </c>
      <c r="AD4584" t="s">
        <v>75</v>
      </c>
      <c r="AE4584" t="s">
        <v>103</v>
      </c>
      <c r="AG4584" t="s">
        <v>81</v>
      </c>
    </row>
    <row r="4585" spans="1:33" x14ac:dyDescent="0.25">
      <c r="A4585" t="str">
        <f>"1174941033"</f>
        <v>1174941033</v>
      </c>
      <c r="C4585" t="s">
        <v>13436</v>
      </c>
      <c r="K4585" t="s">
        <v>99</v>
      </c>
      <c r="L4585" t="s">
        <v>102</v>
      </c>
      <c r="M4585" t="s">
        <v>75</v>
      </c>
      <c r="R4585" t="s">
        <v>23497</v>
      </c>
      <c r="S4585" t="s">
        <v>23498</v>
      </c>
      <c r="T4585" t="s">
        <v>254</v>
      </c>
      <c r="U4585" t="s">
        <v>77</v>
      </c>
      <c r="V4585" t="str">
        <f>"113741302"</f>
        <v>113741302</v>
      </c>
      <c r="AC4585" t="s">
        <v>79</v>
      </c>
      <c r="AD4585" t="s">
        <v>75</v>
      </c>
      <c r="AE4585" t="s">
        <v>103</v>
      </c>
      <c r="AG4585" t="s">
        <v>81</v>
      </c>
    </row>
    <row r="4586" spans="1:33" x14ac:dyDescent="0.25">
      <c r="A4586" t="str">
        <f>"1174942825"</f>
        <v>1174942825</v>
      </c>
      <c r="C4586" t="s">
        <v>13436</v>
      </c>
      <c r="K4586" t="s">
        <v>99</v>
      </c>
      <c r="L4586" t="s">
        <v>102</v>
      </c>
      <c r="M4586" t="s">
        <v>75</v>
      </c>
      <c r="R4586" t="s">
        <v>23499</v>
      </c>
      <c r="S4586" t="s">
        <v>181</v>
      </c>
      <c r="T4586" t="s">
        <v>97</v>
      </c>
      <c r="U4586" t="s">
        <v>77</v>
      </c>
      <c r="V4586" t="str">
        <f>"100251716"</f>
        <v>100251716</v>
      </c>
      <c r="AC4586" t="s">
        <v>79</v>
      </c>
      <c r="AD4586" t="s">
        <v>75</v>
      </c>
      <c r="AE4586" t="s">
        <v>103</v>
      </c>
      <c r="AG4586" t="s">
        <v>81</v>
      </c>
    </row>
    <row r="4587" spans="1:33" x14ac:dyDescent="0.25">
      <c r="A4587" t="str">
        <f>"1174949648"</f>
        <v>1174949648</v>
      </c>
      <c r="C4587" t="s">
        <v>13436</v>
      </c>
      <c r="K4587" t="s">
        <v>99</v>
      </c>
      <c r="L4587" t="s">
        <v>102</v>
      </c>
      <c r="M4587" t="s">
        <v>75</v>
      </c>
      <c r="R4587" t="s">
        <v>23500</v>
      </c>
      <c r="S4587" t="s">
        <v>23501</v>
      </c>
      <c r="T4587" t="s">
        <v>1935</v>
      </c>
      <c r="U4587" t="s">
        <v>77</v>
      </c>
      <c r="V4587" t="str">
        <f>"117796273"</f>
        <v>117796273</v>
      </c>
      <c r="AC4587" t="s">
        <v>79</v>
      </c>
      <c r="AD4587" t="s">
        <v>75</v>
      </c>
      <c r="AE4587" t="s">
        <v>103</v>
      </c>
      <c r="AG4587" t="s">
        <v>81</v>
      </c>
    </row>
    <row r="4588" spans="1:33" x14ac:dyDescent="0.25">
      <c r="A4588" t="str">
        <f>"1174965016"</f>
        <v>1174965016</v>
      </c>
      <c r="C4588" t="s">
        <v>13436</v>
      </c>
      <c r="K4588" t="s">
        <v>99</v>
      </c>
      <c r="L4588" t="s">
        <v>102</v>
      </c>
      <c r="M4588" t="s">
        <v>75</v>
      </c>
      <c r="R4588" t="s">
        <v>23502</v>
      </c>
      <c r="S4588" t="s">
        <v>23503</v>
      </c>
      <c r="T4588" t="s">
        <v>5785</v>
      </c>
      <c r="U4588" t="s">
        <v>2595</v>
      </c>
      <c r="V4588" t="str">
        <f>"900276021"</f>
        <v>900276021</v>
      </c>
      <c r="AC4588" t="s">
        <v>79</v>
      </c>
      <c r="AD4588" t="s">
        <v>75</v>
      </c>
      <c r="AE4588" t="s">
        <v>103</v>
      </c>
      <c r="AG4588" t="s">
        <v>81</v>
      </c>
    </row>
    <row r="4589" spans="1:33" x14ac:dyDescent="0.25">
      <c r="A4589" t="str">
        <f>"1174967145"</f>
        <v>1174967145</v>
      </c>
      <c r="C4589" t="s">
        <v>13436</v>
      </c>
      <c r="K4589" t="s">
        <v>99</v>
      </c>
      <c r="L4589" t="s">
        <v>102</v>
      </c>
      <c r="M4589" t="s">
        <v>75</v>
      </c>
      <c r="R4589" t="s">
        <v>23504</v>
      </c>
      <c r="S4589" t="s">
        <v>23505</v>
      </c>
      <c r="T4589" t="s">
        <v>97</v>
      </c>
      <c r="U4589" t="s">
        <v>77</v>
      </c>
      <c r="V4589" t="str">
        <f>"101284077"</f>
        <v>101284077</v>
      </c>
      <c r="AC4589" t="s">
        <v>79</v>
      </c>
      <c r="AD4589" t="s">
        <v>75</v>
      </c>
      <c r="AE4589" t="s">
        <v>103</v>
      </c>
      <c r="AG4589" t="s">
        <v>81</v>
      </c>
    </row>
    <row r="4590" spans="1:33" x14ac:dyDescent="0.25">
      <c r="A4590" t="str">
        <f>"1174968382"</f>
        <v>1174968382</v>
      </c>
      <c r="C4590" t="s">
        <v>13436</v>
      </c>
      <c r="K4590" t="s">
        <v>99</v>
      </c>
      <c r="L4590" t="s">
        <v>102</v>
      </c>
      <c r="M4590" t="s">
        <v>75</v>
      </c>
      <c r="R4590" t="s">
        <v>23506</v>
      </c>
      <c r="S4590" t="s">
        <v>23507</v>
      </c>
      <c r="T4590" t="s">
        <v>97</v>
      </c>
      <c r="U4590" t="s">
        <v>77</v>
      </c>
      <c r="V4590" t="str">
        <f>"100296504"</f>
        <v>100296504</v>
      </c>
      <c r="AC4590" t="s">
        <v>79</v>
      </c>
      <c r="AD4590" t="s">
        <v>75</v>
      </c>
      <c r="AE4590" t="s">
        <v>103</v>
      </c>
      <c r="AG4590" t="s">
        <v>81</v>
      </c>
    </row>
    <row r="4591" spans="1:33" x14ac:dyDescent="0.25">
      <c r="A4591" t="str">
        <f>"1326485871"</f>
        <v>1326485871</v>
      </c>
      <c r="B4591" t="str">
        <f>"04451410"</f>
        <v>04451410</v>
      </c>
      <c r="C4591" t="s">
        <v>13436</v>
      </c>
      <c r="D4591" t="s">
        <v>23508</v>
      </c>
      <c r="E4591" t="s">
        <v>23509</v>
      </c>
      <c r="L4591" t="s">
        <v>74</v>
      </c>
      <c r="M4591" t="s">
        <v>75</v>
      </c>
      <c r="R4591" t="s">
        <v>23510</v>
      </c>
      <c r="W4591" t="s">
        <v>23509</v>
      </c>
      <c r="AB4591" t="s">
        <v>78</v>
      </c>
      <c r="AC4591" t="s">
        <v>79</v>
      </c>
      <c r="AD4591" t="s">
        <v>75</v>
      </c>
      <c r="AE4591" t="s">
        <v>80</v>
      </c>
      <c r="AG4591" t="s">
        <v>81</v>
      </c>
    </row>
    <row r="4592" spans="1:33" x14ac:dyDescent="0.25">
      <c r="A4592" t="str">
        <f>"1851319651"</f>
        <v>1851319651</v>
      </c>
      <c r="B4592" t="str">
        <f>"02662191"</f>
        <v>02662191</v>
      </c>
      <c r="C4592" t="s">
        <v>13436</v>
      </c>
      <c r="D4592" t="s">
        <v>23511</v>
      </c>
      <c r="E4592" t="s">
        <v>23512</v>
      </c>
      <c r="L4592" t="s">
        <v>83</v>
      </c>
      <c r="M4592" t="s">
        <v>85</v>
      </c>
      <c r="R4592" t="s">
        <v>23513</v>
      </c>
      <c r="W4592" t="s">
        <v>23512</v>
      </c>
      <c r="X4592" t="s">
        <v>272</v>
      </c>
      <c r="Y4592" t="s">
        <v>97</v>
      </c>
      <c r="Z4592" t="s">
        <v>77</v>
      </c>
      <c r="AA4592" t="str">
        <f>"10029-6501"</f>
        <v>10029-6501</v>
      </c>
      <c r="AB4592" t="s">
        <v>78</v>
      </c>
      <c r="AC4592" t="s">
        <v>79</v>
      </c>
      <c r="AD4592" t="s">
        <v>75</v>
      </c>
      <c r="AE4592" t="s">
        <v>80</v>
      </c>
      <c r="AG4592" t="s">
        <v>81</v>
      </c>
    </row>
    <row r="4593" spans="1:33" x14ac:dyDescent="0.25">
      <c r="A4593" t="str">
        <f>"1124300652"</f>
        <v>1124300652</v>
      </c>
      <c r="C4593" t="s">
        <v>13436</v>
      </c>
      <c r="K4593" t="s">
        <v>99</v>
      </c>
      <c r="L4593" t="s">
        <v>102</v>
      </c>
      <c r="M4593" t="s">
        <v>75</v>
      </c>
      <c r="R4593" t="s">
        <v>23514</v>
      </c>
      <c r="S4593" t="s">
        <v>23515</v>
      </c>
      <c r="T4593" t="s">
        <v>23516</v>
      </c>
      <c r="U4593" t="s">
        <v>2595</v>
      </c>
      <c r="V4593" t="str">
        <f>"944034364"</f>
        <v>944034364</v>
      </c>
      <c r="AC4593" t="s">
        <v>79</v>
      </c>
      <c r="AD4593" t="s">
        <v>75</v>
      </c>
      <c r="AE4593" t="s">
        <v>103</v>
      </c>
      <c r="AG4593" t="s">
        <v>81</v>
      </c>
    </row>
    <row r="4594" spans="1:33" x14ac:dyDescent="0.25">
      <c r="A4594" t="str">
        <f>"1609805084"</f>
        <v>1609805084</v>
      </c>
      <c r="B4594" t="str">
        <f>"02102707"</f>
        <v>02102707</v>
      </c>
      <c r="C4594" t="s">
        <v>13436</v>
      </c>
      <c r="D4594" t="s">
        <v>23517</v>
      </c>
      <c r="E4594" t="s">
        <v>23518</v>
      </c>
      <c r="G4594" t="s">
        <v>23519</v>
      </c>
      <c r="L4594" t="s">
        <v>83</v>
      </c>
      <c r="M4594" t="s">
        <v>85</v>
      </c>
      <c r="R4594" t="s">
        <v>23520</v>
      </c>
      <c r="W4594" t="s">
        <v>23518</v>
      </c>
      <c r="X4594" t="s">
        <v>191</v>
      </c>
      <c r="Y4594" t="s">
        <v>97</v>
      </c>
      <c r="Z4594" t="s">
        <v>77</v>
      </c>
      <c r="AA4594" t="str">
        <f>"10019-1147"</f>
        <v>10019-1147</v>
      </c>
      <c r="AB4594" t="s">
        <v>78</v>
      </c>
      <c r="AC4594" t="s">
        <v>79</v>
      </c>
      <c r="AD4594" t="s">
        <v>75</v>
      </c>
      <c r="AE4594" t="s">
        <v>80</v>
      </c>
      <c r="AG4594" t="s">
        <v>81</v>
      </c>
    </row>
    <row r="4595" spans="1:33" x14ac:dyDescent="0.25">
      <c r="A4595" t="str">
        <f>"1609936889"</f>
        <v>1609936889</v>
      </c>
      <c r="B4595" t="str">
        <f>"01491134"</f>
        <v>01491134</v>
      </c>
      <c r="C4595" t="s">
        <v>13436</v>
      </c>
      <c r="D4595" t="s">
        <v>23521</v>
      </c>
      <c r="E4595" t="s">
        <v>23522</v>
      </c>
      <c r="G4595" t="s">
        <v>23523</v>
      </c>
      <c r="L4595" t="s">
        <v>83</v>
      </c>
      <c r="M4595" t="s">
        <v>85</v>
      </c>
      <c r="R4595" t="s">
        <v>23524</v>
      </c>
      <c r="W4595" t="s">
        <v>23522</v>
      </c>
      <c r="X4595" t="s">
        <v>14871</v>
      </c>
      <c r="Y4595" t="s">
        <v>97</v>
      </c>
      <c r="Z4595" t="s">
        <v>77</v>
      </c>
      <c r="AA4595" t="str">
        <f>"10003"</f>
        <v>10003</v>
      </c>
      <c r="AB4595" t="s">
        <v>78</v>
      </c>
      <c r="AC4595" t="s">
        <v>79</v>
      </c>
      <c r="AD4595" t="s">
        <v>75</v>
      </c>
      <c r="AE4595" t="s">
        <v>80</v>
      </c>
      <c r="AG4595" t="s">
        <v>81</v>
      </c>
    </row>
    <row r="4596" spans="1:33" x14ac:dyDescent="0.25">
      <c r="A4596" t="str">
        <f>"1609950567"</f>
        <v>1609950567</v>
      </c>
      <c r="B4596" t="str">
        <f>"01019218"</f>
        <v>01019218</v>
      </c>
      <c r="C4596" t="s">
        <v>13436</v>
      </c>
      <c r="D4596" t="s">
        <v>23525</v>
      </c>
      <c r="E4596" t="s">
        <v>23526</v>
      </c>
      <c r="G4596" t="s">
        <v>23527</v>
      </c>
      <c r="L4596" t="s">
        <v>83</v>
      </c>
      <c r="M4596" t="s">
        <v>85</v>
      </c>
      <c r="R4596" t="s">
        <v>23528</v>
      </c>
      <c r="W4596" t="s">
        <v>23526</v>
      </c>
      <c r="X4596" t="s">
        <v>15380</v>
      </c>
      <c r="Y4596" t="s">
        <v>97</v>
      </c>
      <c r="Z4596" t="s">
        <v>77</v>
      </c>
      <c r="AA4596" t="str">
        <f>"10128-7603"</f>
        <v>10128-7603</v>
      </c>
      <c r="AB4596" t="s">
        <v>78</v>
      </c>
      <c r="AC4596" t="s">
        <v>79</v>
      </c>
      <c r="AD4596" t="s">
        <v>75</v>
      </c>
      <c r="AE4596" t="s">
        <v>80</v>
      </c>
      <c r="AG4596" t="s">
        <v>81</v>
      </c>
    </row>
    <row r="4597" spans="1:33" x14ac:dyDescent="0.25">
      <c r="A4597" t="str">
        <f>"1972695286"</f>
        <v>1972695286</v>
      </c>
      <c r="B4597" t="str">
        <f>"02800420"</f>
        <v>02800420</v>
      </c>
      <c r="C4597" t="s">
        <v>13436</v>
      </c>
      <c r="D4597" t="s">
        <v>23529</v>
      </c>
      <c r="E4597" t="s">
        <v>23530</v>
      </c>
      <c r="G4597" t="s">
        <v>23531</v>
      </c>
      <c r="L4597" t="s">
        <v>84</v>
      </c>
      <c r="M4597" t="s">
        <v>85</v>
      </c>
      <c r="R4597" t="s">
        <v>23532</v>
      </c>
      <c r="W4597" t="s">
        <v>23530</v>
      </c>
      <c r="X4597" t="s">
        <v>187</v>
      </c>
      <c r="Y4597" t="s">
        <v>161</v>
      </c>
      <c r="Z4597" t="s">
        <v>77</v>
      </c>
      <c r="AA4597" t="str">
        <f>"11040-1402"</f>
        <v>11040-1402</v>
      </c>
      <c r="AB4597" t="s">
        <v>78</v>
      </c>
      <c r="AC4597" t="s">
        <v>79</v>
      </c>
      <c r="AD4597" t="s">
        <v>75</v>
      </c>
      <c r="AE4597" t="s">
        <v>80</v>
      </c>
      <c r="AG4597" t="s">
        <v>81</v>
      </c>
    </row>
    <row r="4598" spans="1:33" x14ac:dyDescent="0.25">
      <c r="A4598" t="str">
        <f>"1972760866"</f>
        <v>1972760866</v>
      </c>
      <c r="B4598" t="str">
        <f>"02984650"</f>
        <v>02984650</v>
      </c>
      <c r="C4598" t="s">
        <v>13436</v>
      </c>
      <c r="D4598" t="s">
        <v>23533</v>
      </c>
      <c r="E4598" t="s">
        <v>23534</v>
      </c>
      <c r="G4598" t="s">
        <v>23535</v>
      </c>
      <c r="L4598" t="s">
        <v>74</v>
      </c>
      <c r="M4598" t="s">
        <v>85</v>
      </c>
      <c r="R4598" t="s">
        <v>23536</v>
      </c>
      <c r="W4598" t="s">
        <v>23534</v>
      </c>
      <c r="X4598" t="s">
        <v>23537</v>
      </c>
      <c r="Y4598" t="s">
        <v>97</v>
      </c>
      <c r="Z4598" t="s">
        <v>77</v>
      </c>
      <c r="AA4598" t="str">
        <f>"10003-3314"</f>
        <v>10003-3314</v>
      </c>
      <c r="AB4598" t="s">
        <v>78</v>
      </c>
      <c r="AC4598" t="s">
        <v>79</v>
      </c>
      <c r="AD4598" t="s">
        <v>75</v>
      </c>
      <c r="AE4598" t="s">
        <v>80</v>
      </c>
      <c r="AG4598" t="s">
        <v>81</v>
      </c>
    </row>
    <row r="4599" spans="1:33" x14ac:dyDescent="0.25">
      <c r="A4599" t="str">
        <f>"1982610028"</f>
        <v>1982610028</v>
      </c>
      <c r="B4599" t="str">
        <f>"01624602"</f>
        <v>01624602</v>
      </c>
      <c r="C4599" t="s">
        <v>13436</v>
      </c>
      <c r="D4599" t="s">
        <v>23538</v>
      </c>
      <c r="E4599" t="s">
        <v>23539</v>
      </c>
      <c r="G4599" t="s">
        <v>23540</v>
      </c>
      <c r="L4599" t="s">
        <v>84</v>
      </c>
      <c r="M4599" t="s">
        <v>85</v>
      </c>
      <c r="R4599" t="s">
        <v>23541</v>
      </c>
      <c r="W4599" t="s">
        <v>23539</v>
      </c>
      <c r="X4599" t="s">
        <v>23542</v>
      </c>
      <c r="Y4599" t="s">
        <v>87</v>
      </c>
      <c r="Z4599" t="s">
        <v>77</v>
      </c>
      <c r="AA4599" t="str">
        <f>"11226-4106"</f>
        <v>11226-4106</v>
      </c>
      <c r="AB4599" t="s">
        <v>78</v>
      </c>
      <c r="AC4599" t="s">
        <v>79</v>
      </c>
      <c r="AD4599" t="s">
        <v>75</v>
      </c>
      <c r="AE4599" t="s">
        <v>80</v>
      </c>
      <c r="AG4599" t="s">
        <v>81</v>
      </c>
    </row>
    <row r="4600" spans="1:33" x14ac:dyDescent="0.25">
      <c r="A4600" t="str">
        <f>"1982658803"</f>
        <v>1982658803</v>
      </c>
      <c r="B4600" t="str">
        <f>"02411329"</f>
        <v>02411329</v>
      </c>
      <c r="C4600" t="s">
        <v>13436</v>
      </c>
      <c r="D4600" t="s">
        <v>23543</v>
      </c>
      <c r="E4600" t="s">
        <v>23544</v>
      </c>
      <c r="G4600" t="s">
        <v>23545</v>
      </c>
      <c r="L4600" t="s">
        <v>83</v>
      </c>
      <c r="M4600" t="s">
        <v>85</v>
      </c>
      <c r="R4600" t="s">
        <v>23546</v>
      </c>
      <c r="W4600" t="s">
        <v>23544</v>
      </c>
      <c r="X4600" t="s">
        <v>537</v>
      </c>
      <c r="Y4600" t="s">
        <v>97</v>
      </c>
      <c r="Z4600" t="s">
        <v>77</v>
      </c>
      <c r="AA4600" t="str">
        <f>"10011-8305"</f>
        <v>10011-8305</v>
      </c>
      <c r="AB4600" t="s">
        <v>78</v>
      </c>
      <c r="AC4600" t="s">
        <v>79</v>
      </c>
      <c r="AD4600" t="s">
        <v>75</v>
      </c>
      <c r="AE4600" t="s">
        <v>80</v>
      </c>
      <c r="AG4600" t="s">
        <v>81</v>
      </c>
    </row>
    <row r="4601" spans="1:33" x14ac:dyDescent="0.25">
      <c r="A4601" t="str">
        <f>"1508877135"</f>
        <v>1508877135</v>
      </c>
      <c r="B4601" t="str">
        <f>"01961471"</f>
        <v>01961471</v>
      </c>
      <c r="C4601" t="s">
        <v>23547</v>
      </c>
      <c r="D4601" t="s">
        <v>2462</v>
      </c>
      <c r="E4601" t="s">
        <v>2463</v>
      </c>
      <c r="G4601" t="s">
        <v>23547</v>
      </c>
      <c r="H4601" t="s">
        <v>23548</v>
      </c>
      <c r="L4601" t="s">
        <v>105</v>
      </c>
      <c r="M4601" t="s">
        <v>75</v>
      </c>
      <c r="R4601" t="s">
        <v>2461</v>
      </c>
      <c r="W4601" t="s">
        <v>2463</v>
      </c>
      <c r="X4601" t="s">
        <v>2464</v>
      </c>
      <c r="Y4601" t="s">
        <v>2465</v>
      </c>
      <c r="Z4601" t="s">
        <v>77</v>
      </c>
      <c r="AA4601" t="str">
        <f>"11797-1200"</f>
        <v>11797-1200</v>
      </c>
      <c r="AB4601" t="s">
        <v>125</v>
      </c>
      <c r="AC4601" t="s">
        <v>79</v>
      </c>
      <c r="AD4601" t="s">
        <v>75</v>
      </c>
      <c r="AE4601" t="s">
        <v>80</v>
      </c>
      <c r="AG4601" t="s">
        <v>81</v>
      </c>
    </row>
    <row r="4602" spans="1:33" x14ac:dyDescent="0.25">
      <c r="A4602" t="str">
        <f>"1194763920"</f>
        <v>1194763920</v>
      </c>
      <c r="B4602" t="str">
        <f>"02579239"</f>
        <v>02579239</v>
      </c>
      <c r="C4602" t="s">
        <v>23549</v>
      </c>
      <c r="D4602" t="s">
        <v>2467</v>
      </c>
      <c r="E4602" t="s">
        <v>2468</v>
      </c>
      <c r="G4602" t="s">
        <v>23549</v>
      </c>
      <c r="H4602" t="s">
        <v>23550</v>
      </c>
      <c r="J4602" t="s">
        <v>23551</v>
      </c>
      <c r="L4602" t="s">
        <v>84</v>
      </c>
      <c r="M4602" t="s">
        <v>75</v>
      </c>
      <c r="R4602" t="s">
        <v>2466</v>
      </c>
      <c r="W4602" t="s">
        <v>2466</v>
      </c>
      <c r="X4602" t="s">
        <v>229</v>
      </c>
      <c r="Y4602" t="s">
        <v>230</v>
      </c>
      <c r="Z4602" t="s">
        <v>77</v>
      </c>
      <c r="AA4602" t="str">
        <f>"11795-4927"</f>
        <v>11795-4927</v>
      </c>
      <c r="AB4602" t="s">
        <v>78</v>
      </c>
      <c r="AC4602" t="s">
        <v>79</v>
      </c>
      <c r="AD4602" t="s">
        <v>75</v>
      </c>
      <c r="AE4602" t="s">
        <v>80</v>
      </c>
      <c r="AG4602" t="s">
        <v>81</v>
      </c>
    </row>
    <row r="4603" spans="1:33" x14ac:dyDescent="0.25">
      <c r="A4603" t="str">
        <f>"1578595328"</f>
        <v>1578595328</v>
      </c>
      <c r="B4603" t="str">
        <f>"01937168"</f>
        <v>01937168</v>
      </c>
      <c r="C4603" t="s">
        <v>23552</v>
      </c>
      <c r="D4603" t="s">
        <v>2470</v>
      </c>
      <c r="E4603" t="s">
        <v>2469</v>
      </c>
      <c r="G4603" t="s">
        <v>23552</v>
      </c>
      <c r="H4603" t="s">
        <v>23553</v>
      </c>
      <c r="L4603" t="s">
        <v>84</v>
      </c>
      <c r="M4603" t="s">
        <v>75</v>
      </c>
      <c r="R4603" t="s">
        <v>2469</v>
      </c>
      <c r="W4603" t="s">
        <v>2471</v>
      </c>
      <c r="X4603" t="s">
        <v>2401</v>
      </c>
      <c r="Y4603" t="s">
        <v>213</v>
      </c>
      <c r="Z4603" t="s">
        <v>77</v>
      </c>
      <c r="AA4603" t="str">
        <f>"11758-6010"</f>
        <v>11758-6010</v>
      </c>
      <c r="AB4603" t="s">
        <v>78</v>
      </c>
      <c r="AC4603" t="s">
        <v>79</v>
      </c>
      <c r="AD4603" t="s">
        <v>75</v>
      </c>
      <c r="AE4603" t="s">
        <v>80</v>
      </c>
      <c r="AG4603" t="s">
        <v>81</v>
      </c>
    </row>
    <row r="4604" spans="1:33" x14ac:dyDescent="0.25">
      <c r="A4604" t="str">
        <f>"1689839979"</f>
        <v>1689839979</v>
      </c>
      <c r="B4604" t="str">
        <f>"03117306"</f>
        <v>03117306</v>
      </c>
      <c r="C4604" t="s">
        <v>23554</v>
      </c>
      <c r="D4604" t="s">
        <v>2514</v>
      </c>
      <c r="E4604" t="s">
        <v>2515</v>
      </c>
      <c r="G4604" t="s">
        <v>23554</v>
      </c>
      <c r="H4604" t="s">
        <v>23555</v>
      </c>
      <c r="J4604" t="s">
        <v>23556</v>
      </c>
      <c r="L4604" t="s">
        <v>84</v>
      </c>
      <c r="M4604" t="s">
        <v>75</v>
      </c>
      <c r="R4604" t="s">
        <v>2513</v>
      </c>
      <c r="W4604" t="s">
        <v>2516</v>
      </c>
      <c r="X4604" t="s">
        <v>258</v>
      </c>
      <c r="Y4604" t="s">
        <v>131</v>
      </c>
      <c r="Z4604" t="s">
        <v>77</v>
      </c>
      <c r="AA4604" t="str">
        <f>"10467-2401"</f>
        <v>10467-2401</v>
      </c>
      <c r="AB4604" t="s">
        <v>78</v>
      </c>
      <c r="AC4604" t="s">
        <v>79</v>
      </c>
      <c r="AD4604" t="s">
        <v>75</v>
      </c>
      <c r="AE4604" t="s">
        <v>80</v>
      </c>
      <c r="AG4604" t="s">
        <v>81</v>
      </c>
    </row>
    <row r="4605" spans="1:33" x14ac:dyDescent="0.25">
      <c r="A4605" t="str">
        <f>"1962749051"</f>
        <v>1962749051</v>
      </c>
      <c r="B4605" t="str">
        <f>"04019114"</f>
        <v>04019114</v>
      </c>
      <c r="C4605" t="s">
        <v>23557</v>
      </c>
      <c r="D4605" t="s">
        <v>1886</v>
      </c>
      <c r="E4605" t="s">
        <v>1887</v>
      </c>
      <c r="G4605" t="s">
        <v>23557</v>
      </c>
      <c r="H4605" t="s">
        <v>23555</v>
      </c>
      <c r="J4605" t="s">
        <v>23556</v>
      </c>
      <c r="L4605" t="s">
        <v>74</v>
      </c>
      <c r="M4605" t="s">
        <v>75</v>
      </c>
      <c r="R4605" t="s">
        <v>1888</v>
      </c>
      <c r="W4605" t="s">
        <v>1887</v>
      </c>
      <c r="X4605" t="s">
        <v>1889</v>
      </c>
      <c r="Y4605" t="s">
        <v>131</v>
      </c>
      <c r="Z4605" t="s">
        <v>77</v>
      </c>
      <c r="AA4605" t="str">
        <f>"10461-1003"</f>
        <v>10461-1003</v>
      </c>
      <c r="AB4605" t="s">
        <v>78</v>
      </c>
      <c r="AC4605" t="s">
        <v>79</v>
      </c>
      <c r="AD4605" t="s">
        <v>75</v>
      </c>
      <c r="AE4605" t="s">
        <v>80</v>
      </c>
      <c r="AG4605" t="s">
        <v>81</v>
      </c>
    </row>
    <row r="4606" spans="1:33" x14ac:dyDescent="0.25">
      <c r="A4606" t="str">
        <f>"1942292206"</f>
        <v>1942292206</v>
      </c>
      <c r="B4606" t="str">
        <f>"01416811"</f>
        <v>01416811</v>
      </c>
      <c r="C4606" t="s">
        <v>23558</v>
      </c>
      <c r="D4606" t="s">
        <v>2473</v>
      </c>
      <c r="E4606" t="s">
        <v>2474</v>
      </c>
      <c r="G4606" t="s">
        <v>23558</v>
      </c>
      <c r="H4606" t="s">
        <v>23559</v>
      </c>
      <c r="L4606" t="s">
        <v>83</v>
      </c>
      <c r="M4606" t="s">
        <v>75</v>
      </c>
      <c r="R4606" t="s">
        <v>2472</v>
      </c>
      <c r="W4606" t="s">
        <v>2474</v>
      </c>
      <c r="X4606" t="s">
        <v>2475</v>
      </c>
      <c r="Y4606" t="s">
        <v>230</v>
      </c>
      <c r="Z4606" t="s">
        <v>77</v>
      </c>
      <c r="AA4606" t="str">
        <f>"11795"</f>
        <v>11795</v>
      </c>
      <c r="AB4606" t="s">
        <v>78</v>
      </c>
      <c r="AC4606" t="s">
        <v>79</v>
      </c>
      <c r="AD4606" t="s">
        <v>75</v>
      </c>
      <c r="AE4606" t="s">
        <v>80</v>
      </c>
      <c r="AG4606" t="s">
        <v>81</v>
      </c>
    </row>
    <row r="4607" spans="1:33" x14ac:dyDescent="0.25">
      <c r="A4607" t="str">
        <f>"1003873696"</f>
        <v>1003873696</v>
      </c>
      <c r="B4607" t="str">
        <f>"00101437"</f>
        <v>00101437</v>
      </c>
      <c r="C4607" t="s">
        <v>13436</v>
      </c>
      <c r="D4607" t="s">
        <v>23560</v>
      </c>
      <c r="E4607" t="s">
        <v>23561</v>
      </c>
      <c r="L4607" t="s">
        <v>74</v>
      </c>
      <c r="M4607" t="s">
        <v>75</v>
      </c>
      <c r="R4607" t="s">
        <v>23562</v>
      </c>
      <c r="W4607" t="s">
        <v>23561</v>
      </c>
      <c r="X4607" t="s">
        <v>4756</v>
      </c>
      <c r="Y4607" t="s">
        <v>97</v>
      </c>
      <c r="Z4607" t="s">
        <v>77</v>
      </c>
      <c r="AA4607" t="str">
        <f>"10029-6501"</f>
        <v>10029-6501</v>
      </c>
      <c r="AB4607" t="s">
        <v>78</v>
      </c>
      <c r="AC4607" t="s">
        <v>79</v>
      </c>
      <c r="AD4607" t="s">
        <v>75</v>
      </c>
      <c r="AE4607" t="s">
        <v>80</v>
      </c>
      <c r="AG4607" t="s">
        <v>81</v>
      </c>
    </row>
    <row r="4608" spans="1:33" x14ac:dyDescent="0.25">
      <c r="A4608" t="str">
        <f>"1295773307"</f>
        <v>1295773307</v>
      </c>
      <c r="B4608" t="str">
        <f>"01019992"</f>
        <v>01019992</v>
      </c>
      <c r="C4608" t="s">
        <v>13436</v>
      </c>
      <c r="D4608" t="s">
        <v>23563</v>
      </c>
      <c r="E4608" t="s">
        <v>23564</v>
      </c>
      <c r="G4608" t="s">
        <v>23565</v>
      </c>
      <c r="L4608" t="s">
        <v>74</v>
      </c>
      <c r="M4608" t="s">
        <v>75</v>
      </c>
      <c r="R4608" t="s">
        <v>23566</v>
      </c>
      <c r="W4608" t="s">
        <v>23564</v>
      </c>
      <c r="X4608" t="s">
        <v>23567</v>
      </c>
      <c r="Y4608" t="s">
        <v>87</v>
      </c>
      <c r="Z4608" t="s">
        <v>77</v>
      </c>
      <c r="AA4608" t="str">
        <f>"11234-2642"</f>
        <v>11234-2642</v>
      </c>
      <c r="AB4608" t="s">
        <v>78</v>
      </c>
      <c r="AC4608" t="s">
        <v>79</v>
      </c>
      <c r="AD4608" t="s">
        <v>75</v>
      </c>
      <c r="AE4608" t="s">
        <v>80</v>
      </c>
      <c r="AG4608" t="s">
        <v>81</v>
      </c>
    </row>
    <row r="4609" spans="1:33" x14ac:dyDescent="0.25">
      <c r="A4609" t="str">
        <f>"1306006846"</f>
        <v>1306006846</v>
      </c>
      <c r="B4609" t="str">
        <f>"03205465"</f>
        <v>03205465</v>
      </c>
      <c r="C4609" t="s">
        <v>13436</v>
      </c>
      <c r="D4609" t="s">
        <v>23568</v>
      </c>
      <c r="E4609" t="s">
        <v>23569</v>
      </c>
      <c r="G4609" t="s">
        <v>23570</v>
      </c>
      <c r="L4609" t="s">
        <v>105</v>
      </c>
      <c r="M4609" t="s">
        <v>75</v>
      </c>
      <c r="R4609" t="s">
        <v>23571</v>
      </c>
      <c r="W4609" t="s">
        <v>23572</v>
      </c>
      <c r="X4609" t="s">
        <v>23573</v>
      </c>
      <c r="Y4609" t="s">
        <v>87</v>
      </c>
      <c r="Z4609" t="s">
        <v>77</v>
      </c>
      <c r="AA4609" t="str">
        <f>"11204-3947"</f>
        <v>11204-3947</v>
      </c>
      <c r="AB4609" t="s">
        <v>78</v>
      </c>
      <c r="AC4609" t="s">
        <v>79</v>
      </c>
      <c r="AD4609" t="s">
        <v>75</v>
      </c>
      <c r="AE4609" t="s">
        <v>80</v>
      </c>
      <c r="AG4609" t="s">
        <v>81</v>
      </c>
    </row>
    <row r="4610" spans="1:33" x14ac:dyDescent="0.25">
      <c r="A4610" t="str">
        <f>"1598099715"</f>
        <v>1598099715</v>
      </c>
      <c r="C4610" t="s">
        <v>13436</v>
      </c>
      <c r="G4610" t="s">
        <v>23574</v>
      </c>
      <c r="K4610" t="s">
        <v>99</v>
      </c>
      <c r="L4610" t="s">
        <v>74</v>
      </c>
      <c r="M4610" t="s">
        <v>75</v>
      </c>
      <c r="R4610" t="s">
        <v>23575</v>
      </c>
      <c r="S4610" t="s">
        <v>23576</v>
      </c>
      <c r="T4610" t="s">
        <v>87</v>
      </c>
      <c r="U4610" t="s">
        <v>77</v>
      </c>
      <c r="V4610" t="str">
        <f>"112231579"</f>
        <v>112231579</v>
      </c>
      <c r="AC4610" t="s">
        <v>79</v>
      </c>
      <c r="AD4610" t="s">
        <v>75</v>
      </c>
      <c r="AE4610" t="s">
        <v>103</v>
      </c>
      <c r="AG4610" t="s">
        <v>81</v>
      </c>
    </row>
    <row r="4611" spans="1:33" x14ac:dyDescent="0.25">
      <c r="A4611" t="str">
        <f>"1598100612"</f>
        <v>1598100612</v>
      </c>
      <c r="B4611" t="str">
        <f>"03723080"</f>
        <v>03723080</v>
      </c>
      <c r="C4611" t="s">
        <v>13436</v>
      </c>
      <c r="D4611" t="s">
        <v>23577</v>
      </c>
      <c r="E4611" t="s">
        <v>23578</v>
      </c>
      <c r="G4611" t="s">
        <v>23579</v>
      </c>
      <c r="L4611" t="s">
        <v>84</v>
      </c>
      <c r="M4611" t="s">
        <v>75</v>
      </c>
      <c r="R4611" t="s">
        <v>23580</v>
      </c>
      <c r="W4611" t="s">
        <v>23578</v>
      </c>
      <c r="X4611" t="s">
        <v>329</v>
      </c>
      <c r="Y4611" t="s">
        <v>97</v>
      </c>
      <c r="Z4611" t="s">
        <v>77</v>
      </c>
      <c r="AA4611" t="str">
        <f>"10029-6504"</f>
        <v>10029-6504</v>
      </c>
      <c r="AB4611" t="s">
        <v>78</v>
      </c>
      <c r="AC4611" t="s">
        <v>79</v>
      </c>
      <c r="AD4611" t="s">
        <v>75</v>
      </c>
      <c r="AE4611" t="s">
        <v>80</v>
      </c>
      <c r="AG4611" t="s">
        <v>81</v>
      </c>
    </row>
    <row r="4612" spans="1:33" x14ac:dyDescent="0.25">
      <c r="A4612" t="str">
        <f>"1598725921"</f>
        <v>1598725921</v>
      </c>
      <c r="B4612" t="str">
        <f>"02749782"</f>
        <v>02749782</v>
      </c>
      <c r="C4612" t="s">
        <v>13436</v>
      </c>
      <c r="D4612" t="s">
        <v>23581</v>
      </c>
      <c r="E4612" t="s">
        <v>23582</v>
      </c>
      <c r="G4612" t="s">
        <v>23583</v>
      </c>
      <c r="L4612" t="s">
        <v>83</v>
      </c>
      <c r="M4612" t="s">
        <v>85</v>
      </c>
      <c r="R4612" t="s">
        <v>23584</v>
      </c>
      <c r="W4612" t="s">
        <v>23582</v>
      </c>
      <c r="X4612" t="s">
        <v>11176</v>
      </c>
      <c r="Y4612" t="s">
        <v>97</v>
      </c>
      <c r="Z4612" t="s">
        <v>77</v>
      </c>
      <c r="AA4612" t="str">
        <f>"10029-6542"</f>
        <v>10029-6542</v>
      </c>
      <c r="AB4612" t="s">
        <v>78</v>
      </c>
      <c r="AC4612" t="s">
        <v>79</v>
      </c>
      <c r="AD4612" t="s">
        <v>75</v>
      </c>
      <c r="AE4612" t="s">
        <v>80</v>
      </c>
      <c r="AG4612" t="s">
        <v>81</v>
      </c>
    </row>
    <row r="4613" spans="1:33" x14ac:dyDescent="0.25">
      <c r="A4613" t="str">
        <f>"1528220712"</f>
        <v>1528220712</v>
      </c>
      <c r="B4613" t="str">
        <f>"03761231"</f>
        <v>03761231</v>
      </c>
      <c r="C4613" t="s">
        <v>13436</v>
      </c>
      <c r="D4613" t="s">
        <v>23585</v>
      </c>
      <c r="E4613" t="s">
        <v>23586</v>
      </c>
      <c r="G4613" t="s">
        <v>23587</v>
      </c>
      <c r="L4613" t="s">
        <v>134</v>
      </c>
      <c r="M4613" t="s">
        <v>85</v>
      </c>
      <c r="R4613" t="s">
        <v>23588</v>
      </c>
      <c r="W4613" t="s">
        <v>23586</v>
      </c>
      <c r="X4613" t="s">
        <v>13399</v>
      </c>
      <c r="Y4613" t="s">
        <v>97</v>
      </c>
      <c r="Z4613" t="s">
        <v>77</v>
      </c>
      <c r="AA4613" t="str">
        <f>"10011-1611"</f>
        <v>10011-1611</v>
      </c>
      <c r="AB4613" t="s">
        <v>78</v>
      </c>
      <c r="AC4613" t="s">
        <v>79</v>
      </c>
      <c r="AD4613" t="s">
        <v>75</v>
      </c>
      <c r="AE4613" t="s">
        <v>80</v>
      </c>
      <c r="AG4613" t="s">
        <v>81</v>
      </c>
    </row>
    <row r="4614" spans="1:33" x14ac:dyDescent="0.25">
      <c r="A4614" t="str">
        <f>"1548338411"</f>
        <v>1548338411</v>
      </c>
      <c r="B4614" t="str">
        <f>"00479305"</f>
        <v>00479305</v>
      </c>
      <c r="C4614" t="s">
        <v>13436</v>
      </c>
      <c r="D4614" t="s">
        <v>23589</v>
      </c>
      <c r="E4614" t="s">
        <v>23590</v>
      </c>
      <c r="G4614" t="s">
        <v>23591</v>
      </c>
      <c r="L4614" t="s">
        <v>83</v>
      </c>
      <c r="M4614" t="s">
        <v>85</v>
      </c>
      <c r="R4614" t="s">
        <v>23592</v>
      </c>
      <c r="W4614" t="s">
        <v>23590</v>
      </c>
      <c r="X4614" t="s">
        <v>23593</v>
      </c>
      <c r="Y4614" t="s">
        <v>97</v>
      </c>
      <c r="Z4614" t="s">
        <v>77</v>
      </c>
      <c r="AA4614" t="str">
        <f>"10016-0701"</f>
        <v>10016-0701</v>
      </c>
      <c r="AB4614" t="s">
        <v>78</v>
      </c>
      <c r="AC4614" t="s">
        <v>79</v>
      </c>
      <c r="AD4614" t="s">
        <v>75</v>
      </c>
      <c r="AE4614" t="s">
        <v>80</v>
      </c>
      <c r="AG4614" t="s">
        <v>81</v>
      </c>
    </row>
    <row r="4615" spans="1:33" x14ac:dyDescent="0.25">
      <c r="A4615" t="str">
        <f>"1578893848"</f>
        <v>1578893848</v>
      </c>
      <c r="C4615" t="s">
        <v>13436</v>
      </c>
      <c r="K4615" t="s">
        <v>99</v>
      </c>
      <c r="L4615" t="s">
        <v>74</v>
      </c>
      <c r="M4615" t="s">
        <v>75</v>
      </c>
      <c r="R4615" t="s">
        <v>23594</v>
      </c>
      <c r="S4615" t="s">
        <v>23595</v>
      </c>
      <c r="T4615" t="s">
        <v>4454</v>
      </c>
      <c r="U4615" t="s">
        <v>4544</v>
      </c>
      <c r="V4615" t="str">
        <f>"481885222"</f>
        <v>481885222</v>
      </c>
      <c r="AC4615" t="s">
        <v>79</v>
      </c>
      <c r="AD4615" t="s">
        <v>75</v>
      </c>
      <c r="AE4615" t="s">
        <v>103</v>
      </c>
      <c r="AG4615" t="s">
        <v>81</v>
      </c>
    </row>
    <row r="4616" spans="1:33" x14ac:dyDescent="0.25">
      <c r="A4616" t="str">
        <f>"1578906178"</f>
        <v>1578906178</v>
      </c>
      <c r="C4616" t="s">
        <v>13436</v>
      </c>
      <c r="K4616" t="s">
        <v>99</v>
      </c>
      <c r="L4616" t="s">
        <v>102</v>
      </c>
      <c r="M4616" t="s">
        <v>75</v>
      </c>
      <c r="R4616" t="s">
        <v>23596</v>
      </c>
      <c r="S4616" t="s">
        <v>23597</v>
      </c>
      <c r="T4616" t="s">
        <v>97</v>
      </c>
      <c r="U4616" t="s">
        <v>77</v>
      </c>
      <c r="V4616" t="str">
        <f>"101282512"</f>
        <v>101282512</v>
      </c>
      <c r="AC4616" t="s">
        <v>79</v>
      </c>
      <c r="AD4616" t="s">
        <v>75</v>
      </c>
      <c r="AE4616" t="s">
        <v>103</v>
      </c>
      <c r="AG4616" t="s">
        <v>81</v>
      </c>
    </row>
    <row r="4617" spans="1:33" x14ac:dyDescent="0.25">
      <c r="A4617" t="str">
        <f>"1578982724"</f>
        <v>1578982724</v>
      </c>
      <c r="C4617" t="s">
        <v>13436</v>
      </c>
      <c r="K4617" t="s">
        <v>99</v>
      </c>
      <c r="L4617" t="s">
        <v>102</v>
      </c>
      <c r="M4617" t="s">
        <v>75</v>
      </c>
      <c r="R4617" t="s">
        <v>23598</v>
      </c>
      <c r="S4617" t="s">
        <v>23599</v>
      </c>
      <c r="T4617" t="s">
        <v>4549</v>
      </c>
      <c r="U4617" t="s">
        <v>1800</v>
      </c>
      <c r="V4617" t="str">
        <f>"802461554"</f>
        <v>802461554</v>
      </c>
      <c r="AC4617" t="s">
        <v>79</v>
      </c>
      <c r="AD4617" t="s">
        <v>75</v>
      </c>
      <c r="AE4617" t="s">
        <v>103</v>
      </c>
      <c r="AG4617" t="s">
        <v>81</v>
      </c>
    </row>
    <row r="4618" spans="1:33" x14ac:dyDescent="0.25">
      <c r="A4618" t="str">
        <f>"1578982880"</f>
        <v>1578982880</v>
      </c>
      <c r="C4618" t="s">
        <v>13436</v>
      </c>
      <c r="K4618" t="s">
        <v>99</v>
      </c>
      <c r="L4618" t="s">
        <v>102</v>
      </c>
      <c r="M4618" t="s">
        <v>75</v>
      </c>
      <c r="R4618" t="s">
        <v>23600</v>
      </c>
      <c r="S4618" t="s">
        <v>23601</v>
      </c>
      <c r="T4618" t="s">
        <v>97</v>
      </c>
      <c r="U4618" t="s">
        <v>77</v>
      </c>
      <c r="V4618" t="str">
        <f>"100296503"</f>
        <v>100296503</v>
      </c>
      <c r="AC4618" t="s">
        <v>79</v>
      </c>
      <c r="AD4618" t="s">
        <v>75</v>
      </c>
      <c r="AE4618" t="s">
        <v>103</v>
      </c>
      <c r="AG4618" t="s">
        <v>81</v>
      </c>
    </row>
    <row r="4619" spans="1:33" x14ac:dyDescent="0.25">
      <c r="A4619" t="str">
        <f>"1578989042"</f>
        <v>1578989042</v>
      </c>
      <c r="C4619" t="s">
        <v>13436</v>
      </c>
      <c r="K4619" t="s">
        <v>99</v>
      </c>
      <c r="L4619" t="s">
        <v>102</v>
      </c>
      <c r="M4619" t="s">
        <v>75</v>
      </c>
      <c r="R4619" t="s">
        <v>23602</v>
      </c>
      <c r="S4619" t="s">
        <v>23603</v>
      </c>
      <c r="T4619" t="s">
        <v>13682</v>
      </c>
      <c r="U4619" t="s">
        <v>12526</v>
      </c>
      <c r="V4619" t="str">
        <f>"009693286"</f>
        <v>009693286</v>
      </c>
      <c r="AC4619" t="s">
        <v>79</v>
      </c>
      <c r="AD4619" t="s">
        <v>75</v>
      </c>
      <c r="AE4619" t="s">
        <v>103</v>
      </c>
      <c r="AG4619" t="s">
        <v>81</v>
      </c>
    </row>
    <row r="4620" spans="1:33" x14ac:dyDescent="0.25">
      <c r="A4620" t="str">
        <f>"1578996914"</f>
        <v>1578996914</v>
      </c>
      <c r="C4620" t="s">
        <v>13436</v>
      </c>
      <c r="G4620" t="s">
        <v>23604</v>
      </c>
      <c r="K4620" t="s">
        <v>99</v>
      </c>
      <c r="L4620" t="s">
        <v>102</v>
      </c>
      <c r="M4620" t="s">
        <v>75</v>
      </c>
      <c r="R4620" t="s">
        <v>23605</v>
      </c>
      <c r="S4620" t="s">
        <v>11254</v>
      </c>
      <c r="T4620" t="s">
        <v>131</v>
      </c>
      <c r="U4620" t="s">
        <v>77</v>
      </c>
      <c r="V4620" t="str">
        <f>"104683904"</f>
        <v>104683904</v>
      </c>
      <c r="AC4620" t="s">
        <v>79</v>
      </c>
      <c r="AD4620" t="s">
        <v>75</v>
      </c>
      <c r="AE4620" t="s">
        <v>103</v>
      </c>
      <c r="AG4620" t="s">
        <v>81</v>
      </c>
    </row>
    <row r="4621" spans="1:33" x14ac:dyDescent="0.25">
      <c r="A4621" t="str">
        <f>"1154429850"</f>
        <v>1154429850</v>
      </c>
      <c r="B4621" t="str">
        <f>"00968290"</f>
        <v>00968290</v>
      </c>
      <c r="C4621" t="s">
        <v>23606</v>
      </c>
      <c r="D4621" t="s">
        <v>2273</v>
      </c>
      <c r="E4621" t="s">
        <v>2274</v>
      </c>
      <c r="G4621" t="s">
        <v>6513</v>
      </c>
      <c r="H4621" t="s">
        <v>6514</v>
      </c>
      <c r="J4621" t="s">
        <v>6515</v>
      </c>
      <c r="L4621" t="s">
        <v>83</v>
      </c>
      <c r="M4621" t="s">
        <v>85</v>
      </c>
      <c r="R4621" t="s">
        <v>2272</v>
      </c>
      <c r="W4621" t="s">
        <v>2274</v>
      </c>
      <c r="X4621" t="s">
        <v>2210</v>
      </c>
      <c r="Y4621" t="s">
        <v>131</v>
      </c>
      <c r="Z4621" t="s">
        <v>77</v>
      </c>
      <c r="AA4621" t="str">
        <f>"10473-2696"</f>
        <v>10473-2696</v>
      </c>
      <c r="AB4621" t="s">
        <v>78</v>
      </c>
      <c r="AC4621" t="s">
        <v>79</v>
      </c>
      <c r="AD4621" t="s">
        <v>75</v>
      </c>
      <c r="AE4621" t="s">
        <v>80</v>
      </c>
      <c r="AG4621" t="s">
        <v>81</v>
      </c>
    </row>
    <row r="4622" spans="1:33" x14ac:dyDescent="0.25">
      <c r="A4622" t="str">
        <f>"1386619914"</f>
        <v>1386619914</v>
      </c>
      <c r="B4622" t="str">
        <f>"01617665"</f>
        <v>01617665</v>
      </c>
      <c r="C4622" t="s">
        <v>23607</v>
      </c>
      <c r="D4622" t="s">
        <v>23608</v>
      </c>
      <c r="E4622" t="s">
        <v>23609</v>
      </c>
      <c r="G4622" t="s">
        <v>13504</v>
      </c>
      <c r="H4622" t="s">
        <v>13505</v>
      </c>
      <c r="J4622" t="s">
        <v>13506</v>
      </c>
      <c r="L4622" t="s">
        <v>83</v>
      </c>
      <c r="M4622" t="s">
        <v>75</v>
      </c>
      <c r="R4622" t="s">
        <v>23610</v>
      </c>
      <c r="W4622" t="s">
        <v>23611</v>
      </c>
      <c r="X4622" t="s">
        <v>15569</v>
      </c>
      <c r="Y4622" t="s">
        <v>87</v>
      </c>
      <c r="Z4622" t="s">
        <v>77</v>
      </c>
      <c r="AA4622" t="str">
        <f>"11201-5425"</f>
        <v>11201-5425</v>
      </c>
      <c r="AB4622" t="s">
        <v>78</v>
      </c>
      <c r="AC4622" t="s">
        <v>79</v>
      </c>
      <c r="AD4622" t="s">
        <v>75</v>
      </c>
      <c r="AE4622" t="s">
        <v>80</v>
      </c>
      <c r="AG4622" t="s">
        <v>81</v>
      </c>
    </row>
    <row r="4623" spans="1:33" x14ac:dyDescent="0.25">
      <c r="A4623" t="str">
        <f>"1649393042"</f>
        <v>1649393042</v>
      </c>
      <c r="B4623" t="str">
        <f>"02106292"</f>
        <v>02106292</v>
      </c>
      <c r="C4623" t="s">
        <v>13436</v>
      </c>
      <c r="D4623" t="s">
        <v>23612</v>
      </c>
      <c r="E4623" t="s">
        <v>23613</v>
      </c>
      <c r="G4623" t="s">
        <v>23614</v>
      </c>
      <c r="L4623" t="s">
        <v>83</v>
      </c>
      <c r="M4623" t="s">
        <v>85</v>
      </c>
      <c r="R4623" t="s">
        <v>23615</v>
      </c>
      <c r="W4623" t="s">
        <v>23613</v>
      </c>
      <c r="X4623" t="s">
        <v>191</v>
      </c>
      <c r="Y4623" t="s">
        <v>97</v>
      </c>
      <c r="Z4623" t="s">
        <v>77</v>
      </c>
      <c r="AA4623" t="str">
        <f>"10019-1147"</f>
        <v>10019-1147</v>
      </c>
      <c r="AB4623" t="s">
        <v>78</v>
      </c>
      <c r="AC4623" t="s">
        <v>79</v>
      </c>
      <c r="AD4623" t="s">
        <v>75</v>
      </c>
      <c r="AE4623" t="s">
        <v>80</v>
      </c>
      <c r="AG4623" t="s">
        <v>81</v>
      </c>
    </row>
    <row r="4624" spans="1:33" x14ac:dyDescent="0.25">
      <c r="A4624" t="str">
        <f>"1649429077"</f>
        <v>1649429077</v>
      </c>
      <c r="B4624" t="str">
        <f>"03545782"</f>
        <v>03545782</v>
      </c>
      <c r="C4624" t="s">
        <v>13436</v>
      </c>
      <c r="D4624" t="s">
        <v>23616</v>
      </c>
      <c r="E4624" t="s">
        <v>23617</v>
      </c>
      <c r="G4624" t="s">
        <v>23618</v>
      </c>
      <c r="L4624" t="s">
        <v>74</v>
      </c>
      <c r="M4624" t="s">
        <v>85</v>
      </c>
      <c r="R4624" t="s">
        <v>23619</v>
      </c>
      <c r="W4624" t="s">
        <v>23620</v>
      </c>
      <c r="X4624" t="s">
        <v>23621</v>
      </c>
      <c r="Y4624" t="s">
        <v>97</v>
      </c>
      <c r="Z4624" t="s">
        <v>77</v>
      </c>
      <c r="AA4624" t="str">
        <f>"10003-3314"</f>
        <v>10003-3314</v>
      </c>
      <c r="AB4624" t="s">
        <v>78</v>
      </c>
      <c r="AC4624" t="s">
        <v>79</v>
      </c>
      <c r="AD4624" t="s">
        <v>75</v>
      </c>
      <c r="AE4624" t="s">
        <v>80</v>
      </c>
      <c r="AG4624" t="s">
        <v>81</v>
      </c>
    </row>
    <row r="4625" spans="1:33" x14ac:dyDescent="0.25">
      <c r="A4625" t="str">
        <f>"1649570151"</f>
        <v>1649570151</v>
      </c>
      <c r="B4625" t="str">
        <f>"03470537"</f>
        <v>03470537</v>
      </c>
      <c r="C4625" t="s">
        <v>13436</v>
      </c>
      <c r="D4625" t="s">
        <v>23622</v>
      </c>
      <c r="E4625" t="s">
        <v>23623</v>
      </c>
      <c r="G4625" t="s">
        <v>23624</v>
      </c>
      <c r="L4625" t="s">
        <v>74</v>
      </c>
      <c r="M4625" t="s">
        <v>85</v>
      </c>
      <c r="R4625" t="s">
        <v>23623</v>
      </c>
      <c r="W4625" t="s">
        <v>23623</v>
      </c>
      <c r="X4625" t="s">
        <v>181</v>
      </c>
      <c r="Y4625" t="s">
        <v>97</v>
      </c>
      <c r="Z4625" t="s">
        <v>77</v>
      </c>
      <c r="AA4625" t="str">
        <f>"10025-1716"</f>
        <v>10025-1716</v>
      </c>
      <c r="AB4625" t="s">
        <v>78</v>
      </c>
      <c r="AC4625" t="s">
        <v>79</v>
      </c>
      <c r="AD4625" t="s">
        <v>75</v>
      </c>
      <c r="AE4625" t="s">
        <v>80</v>
      </c>
      <c r="AG4625" t="s">
        <v>81</v>
      </c>
    </row>
    <row r="4626" spans="1:33" x14ac:dyDescent="0.25">
      <c r="A4626" t="str">
        <f>"1659683902"</f>
        <v>1659683902</v>
      </c>
      <c r="B4626" t="str">
        <f>"03481716"</f>
        <v>03481716</v>
      </c>
      <c r="C4626" t="s">
        <v>13436</v>
      </c>
      <c r="D4626" t="s">
        <v>23625</v>
      </c>
      <c r="E4626" t="s">
        <v>23626</v>
      </c>
      <c r="G4626" t="s">
        <v>23627</v>
      </c>
      <c r="L4626" t="s">
        <v>83</v>
      </c>
      <c r="M4626" t="s">
        <v>85</v>
      </c>
      <c r="R4626" t="s">
        <v>23628</v>
      </c>
      <c r="W4626" t="s">
        <v>23626</v>
      </c>
      <c r="X4626" t="s">
        <v>23629</v>
      </c>
      <c r="Y4626" t="s">
        <v>97</v>
      </c>
      <c r="Z4626" t="s">
        <v>77</v>
      </c>
      <c r="AA4626" t="str">
        <f>"10022-1164"</f>
        <v>10022-1164</v>
      </c>
      <c r="AB4626" t="s">
        <v>78</v>
      </c>
      <c r="AC4626" t="s">
        <v>79</v>
      </c>
      <c r="AD4626" t="s">
        <v>75</v>
      </c>
      <c r="AE4626" t="s">
        <v>80</v>
      </c>
      <c r="AG4626" t="s">
        <v>81</v>
      </c>
    </row>
    <row r="4627" spans="1:33" x14ac:dyDescent="0.25">
      <c r="A4627" t="str">
        <f>"1417963539"</f>
        <v>1417963539</v>
      </c>
      <c r="C4627" t="s">
        <v>13436</v>
      </c>
      <c r="G4627" t="s">
        <v>23630</v>
      </c>
      <c r="K4627" t="s">
        <v>99</v>
      </c>
      <c r="L4627" t="s">
        <v>102</v>
      </c>
      <c r="M4627" t="s">
        <v>85</v>
      </c>
      <c r="R4627" t="s">
        <v>23631</v>
      </c>
      <c r="S4627" t="s">
        <v>23632</v>
      </c>
      <c r="T4627" t="s">
        <v>97</v>
      </c>
      <c r="U4627" t="s">
        <v>77</v>
      </c>
      <c r="V4627" t="str">
        <f>"10019"</f>
        <v>10019</v>
      </c>
      <c r="AC4627" t="s">
        <v>79</v>
      </c>
      <c r="AD4627" t="s">
        <v>75</v>
      </c>
      <c r="AE4627" t="s">
        <v>103</v>
      </c>
      <c r="AG4627" t="s">
        <v>81</v>
      </c>
    </row>
    <row r="4628" spans="1:33" x14ac:dyDescent="0.25">
      <c r="A4628" t="str">
        <f>"1417973140"</f>
        <v>1417973140</v>
      </c>
      <c r="B4628" t="str">
        <f>"01251990"</f>
        <v>01251990</v>
      </c>
      <c r="C4628" t="s">
        <v>13436</v>
      </c>
      <c r="D4628" t="s">
        <v>23633</v>
      </c>
      <c r="E4628" t="s">
        <v>23634</v>
      </c>
      <c r="G4628" t="s">
        <v>23635</v>
      </c>
      <c r="L4628" t="s">
        <v>83</v>
      </c>
      <c r="M4628" t="s">
        <v>85</v>
      </c>
      <c r="R4628" t="s">
        <v>23636</v>
      </c>
      <c r="W4628" t="s">
        <v>23634</v>
      </c>
      <c r="X4628" t="s">
        <v>432</v>
      </c>
      <c r="Y4628" t="s">
        <v>97</v>
      </c>
      <c r="Z4628" t="s">
        <v>77</v>
      </c>
      <c r="AA4628" t="str">
        <f>"10034-1159"</f>
        <v>10034-1159</v>
      </c>
      <c r="AB4628" t="s">
        <v>78</v>
      </c>
      <c r="AC4628" t="s">
        <v>79</v>
      </c>
      <c r="AD4628" t="s">
        <v>75</v>
      </c>
      <c r="AE4628" t="s">
        <v>80</v>
      </c>
      <c r="AG4628" t="s">
        <v>81</v>
      </c>
    </row>
    <row r="4629" spans="1:33" x14ac:dyDescent="0.25">
      <c r="A4629" t="str">
        <f>"1689685380"</f>
        <v>1689685380</v>
      </c>
      <c r="B4629" t="str">
        <f>"02726621"</f>
        <v>02726621</v>
      </c>
      <c r="C4629" t="s">
        <v>23637</v>
      </c>
      <c r="D4629" t="s">
        <v>23638</v>
      </c>
      <c r="E4629" t="s">
        <v>23639</v>
      </c>
      <c r="G4629" t="s">
        <v>13515</v>
      </c>
      <c r="H4629" t="s">
        <v>498</v>
      </c>
      <c r="J4629" t="s">
        <v>13516</v>
      </c>
      <c r="L4629" t="s">
        <v>105</v>
      </c>
      <c r="M4629" t="s">
        <v>75</v>
      </c>
      <c r="R4629" t="s">
        <v>23640</v>
      </c>
      <c r="W4629" t="s">
        <v>23641</v>
      </c>
      <c r="X4629" t="s">
        <v>1221</v>
      </c>
      <c r="Y4629" t="s">
        <v>487</v>
      </c>
      <c r="Z4629" t="s">
        <v>77</v>
      </c>
      <c r="AA4629" t="str">
        <f>"11420-1034"</f>
        <v>11420-1034</v>
      </c>
      <c r="AB4629" t="s">
        <v>78</v>
      </c>
      <c r="AC4629" t="s">
        <v>79</v>
      </c>
      <c r="AD4629" t="s">
        <v>75</v>
      </c>
      <c r="AE4629" t="s">
        <v>80</v>
      </c>
      <c r="AG4629" t="s">
        <v>81</v>
      </c>
    </row>
    <row r="4630" spans="1:33" x14ac:dyDescent="0.25">
      <c r="A4630" t="str">
        <f>"1174774236"</f>
        <v>1174774236</v>
      </c>
      <c r="C4630" t="s">
        <v>13436</v>
      </c>
      <c r="G4630" t="s">
        <v>23642</v>
      </c>
      <c r="K4630" t="s">
        <v>99</v>
      </c>
      <c r="L4630" t="s">
        <v>102</v>
      </c>
      <c r="M4630" t="s">
        <v>85</v>
      </c>
      <c r="R4630" t="s">
        <v>4613</v>
      </c>
      <c r="S4630" t="s">
        <v>23643</v>
      </c>
      <c r="T4630" t="s">
        <v>87</v>
      </c>
      <c r="U4630" t="s">
        <v>77</v>
      </c>
      <c r="V4630" t="str">
        <f>"112112502"</f>
        <v>112112502</v>
      </c>
      <c r="AC4630" t="s">
        <v>79</v>
      </c>
      <c r="AD4630" t="s">
        <v>75</v>
      </c>
      <c r="AE4630" t="s">
        <v>103</v>
      </c>
      <c r="AG4630" t="s">
        <v>81</v>
      </c>
    </row>
    <row r="4631" spans="1:33" x14ac:dyDescent="0.25">
      <c r="A4631" t="str">
        <f>"1174821862"</f>
        <v>1174821862</v>
      </c>
      <c r="C4631" t="s">
        <v>13436</v>
      </c>
      <c r="G4631" t="s">
        <v>23644</v>
      </c>
      <c r="K4631" t="s">
        <v>99</v>
      </c>
      <c r="L4631" t="s">
        <v>102</v>
      </c>
      <c r="M4631" t="s">
        <v>85</v>
      </c>
      <c r="R4631" t="s">
        <v>23645</v>
      </c>
      <c r="S4631" t="s">
        <v>23646</v>
      </c>
      <c r="T4631" t="s">
        <v>97</v>
      </c>
      <c r="U4631" t="s">
        <v>77</v>
      </c>
      <c r="V4631" t="str">
        <f>"100191147"</f>
        <v>100191147</v>
      </c>
      <c r="AC4631" t="s">
        <v>79</v>
      </c>
      <c r="AD4631" t="s">
        <v>75</v>
      </c>
      <c r="AE4631" t="s">
        <v>103</v>
      </c>
      <c r="AG4631" t="s">
        <v>81</v>
      </c>
    </row>
    <row r="4632" spans="1:33" x14ac:dyDescent="0.25">
      <c r="A4632" t="str">
        <f>"1184615692"</f>
        <v>1184615692</v>
      </c>
      <c r="B4632" t="str">
        <f>"02622764"</f>
        <v>02622764</v>
      </c>
      <c r="C4632" t="s">
        <v>13436</v>
      </c>
      <c r="D4632" t="s">
        <v>23647</v>
      </c>
      <c r="E4632" t="s">
        <v>23648</v>
      </c>
      <c r="G4632" t="s">
        <v>23649</v>
      </c>
      <c r="L4632" t="s">
        <v>74</v>
      </c>
      <c r="M4632" t="s">
        <v>85</v>
      </c>
      <c r="R4632" t="s">
        <v>23650</v>
      </c>
      <c r="W4632" t="s">
        <v>23648</v>
      </c>
      <c r="X4632" t="s">
        <v>2587</v>
      </c>
      <c r="Y4632" t="s">
        <v>97</v>
      </c>
      <c r="Z4632" t="s">
        <v>77</v>
      </c>
      <c r="AA4632" t="str">
        <f>"10003-3314"</f>
        <v>10003-3314</v>
      </c>
      <c r="AB4632" t="s">
        <v>78</v>
      </c>
      <c r="AC4632" t="s">
        <v>79</v>
      </c>
      <c r="AD4632" t="s">
        <v>75</v>
      </c>
      <c r="AE4632" t="s">
        <v>80</v>
      </c>
      <c r="AG4632" t="s">
        <v>81</v>
      </c>
    </row>
    <row r="4633" spans="1:33" x14ac:dyDescent="0.25">
      <c r="A4633" t="str">
        <f>"1891786380"</f>
        <v>1891786380</v>
      </c>
      <c r="B4633" t="str">
        <f>"02569762"</f>
        <v>02569762</v>
      </c>
      <c r="C4633" t="s">
        <v>13436</v>
      </c>
      <c r="D4633" t="s">
        <v>23651</v>
      </c>
      <c r="E4633" t="s">
        <v>23652</v>
      </c>
      <c r="G4633" t="s">
        <v>23653</v>
      </c>
      <c r="L4633" t="s">
        <v>105</v>
      </c>
      <c r="M4633" t="s">
        <v>85</v>
      </c>
      <c r="R4633" t="s">
        <v>23654</v>
      </c>
      <c r="W4633" t="s">
        <v>23652</v>
      </c>
      <c r="X4633" t="s">
        <v>23655</v>
      </c>
      <c r="Y4633" t="s">
        <v>97</v>
      </c>
      <c r="Z4633" t="s">
        <v>77</v>
      </c>
      <c r="AA4633" t="str">
        <f>"10003-3314"</f>
        <v>10003-3314</v>
      </c>
      <c r="AB4633" t="s">
        <v>78</v>
      </c>
      <c r="AC4633" t="s">
        <v>79</v>
      </c>
      <c r="AD4633" t="s">
        <v>75</v>
      </c>
      <c r="AE4633" t="s">
        <v>80</v>
      </c>
      <c r="AG4633" t="s">
        <v>81</v>
      </c>
    </row>
    <row r="4634" spans="1:33" x14ac:dyDescent="0.25">
      <c r="A4634" t="str">
        <f>"1891788808"</f>
        <v>1891788808</v>
      </c>
      <c r="B4634" t="str">
        <f>"01920507"</f>
        <v>01920507</v>
      </c>
      <c r="C4634" t="s">
        <v>13436</v>
      </c>
      <c r="D4634" t="s">
        <v>23656</v>
      </c>
      <c r="E4634" t="s">
        <v>23657</v>
      </c>
      <c r="G4634" t="s">
        <v>23658</v>
      </c>
      <c r="L4634" t="s">
        <v>83</v>
      </c>
      <c r="M4634" t="s">
        <v>85</v>
      </c>
      <c r="R4634" t="s">
        <v>23659</v>
      </c>
      <c r="W4634" t="s">
        <v>23657</v>
      </c>
      <c r="X4634" t="s">
        <v>737</v>
      </c>
      <c r="Y4634" t="s">
        <v>97</v>
      </c>
      <c r="Z4634" t="s">
        <v>77</v>
      </c>
      <c r="AA4634" t="str">
        <f>"10025-1716"</f>
        <v>10025-1716</v>
      </c>
      <c r="AB4634" t="s">
        <v>78</v>
      </c>
      <c r="AC4634" t="s">
        <v>79</v>
      </c>
      <c r="AD4634" t="s">
        <v>75</v>
      </c>
      <c r="AE4634" t="s">
        <v>80</v>
      </c>
      <c r="AG4634" t="s">
        <v>81</v>
      </c>
    </row>
    <row r="4635" spans="1:33" x14ac:dyDescent="0.25">
      <c r="A4635" t="str">
        <f>"1013216613"</f>
        <v>1013216613</v>
      </c>
      <c r="B4635" t="str">
        <f>"03919904"</f>
        <v>03919904</v>
      </c>
      <c r="C4635" t="s">
        <v>13436</v>
      </c>
      <c r="D4635" t="s">
        <v>23660</v>
      </c>
      <c r="E4635" t="s">
        <v>23661</v>
      </c>
      <c r="G4635" t="s">
        <v>23662</v>
      </c>
      <c r="L4635" t="s">
        <v>94</v>
      </c>
      <c r="M4635" t="s">
        <v>75</v>
      </c>
      <c r="R4635" t="s">
        <v>23661</v>
      </c>
      <c r="W4635" t="s">
        <v>23663</v>
      </c>
      <c r="X4635" t="s">
        <v>23664</v>
      </c>
      <c r="Y4635" t="s">
        <v>97</v>
      </c>
      <c r="Z4635" t="s">
        <v>77</v>
      </c>
      <c r="AA4635" t="str">
        <f>"10029-6574"</f>
        <v>10029-6574</v>
      </c>
      <c r="AB4635" t="s">
        <v>78</v>
      </c>
      <c r="AC4635" t="s">
        <v>79</v>
      </c>
      <c r="AD4635" t="s">
        <v>75</v>
      </c>
      <c r="AE4635" t="s">
        <v>80</v>
      </c>
      <c r="AG4635" t="s">
        <v>81</v>
      </c>
    </row>
    <row r="4636" spans="1:33" x14ac:dyDescent="0.25">
      <c r="A4636" t="str">
        <f>"1013259894"</f>
        <v>1013259894</v>
      </c>
      <c r="C4636" t="s">
        <v>13436</v>
      </c>
      <c r="G4636" t="s">
        <v>23665</v>
      </c>
      <c r="K4636" t="s">
        <v>99</v>
      </c>
      <c r="L4636" t="s">
        <v>102</v>
      </c>
      <c r="M4636" t="s">
        <v>75</v>
      </c>
      <c r="R4636" t="s">
        <v>23666</v>
      </c>
      <c r="S4636" t="s">
        <v>23667</v>
      </c>
      <c r="T4636" t="s">
        <v>97</v>
      </c>
      <c r="U4636" t="s">
        <v>77</v>
      </c>
      <c r="V4636" t="str">
        <f>"10029"</f>
        <v>10029</v>
      </c>
      <c r="AC4636" t="s">
        <v>79</v>
      </c>
      <c r="AD4636" t="s">
        <v>75</v>
      </c>
      <c r="AE4636" t="s">
        <v>103</v>
      </c>
      <c r="AG4636" t="s">
        <v>81</v>
      </c>
    </row>
    <row r="4637" spans="1:33" x14ac:dyDescent="0.25">
      <c r="A4637" t="str">
        <f>"1013283514"</f>
        <v>1013283514</v>
      </c>
      <c r="C4637" t="s">
        <v>13436</v>
      </c>
      <c r="G4637" t="s">
        <v>23668</v>
      </c>
      <c r="K4637" t="s">
        <v>99</v>
      </c>
      <c r="L4637" t="s">
        <v>102</v>
      </c>
      <c r="M4637" t="s">
        <v>75</v>
      </c>
      <c r="R4637" t="s">
        <v>23669</v>
      </c>
      <c r="S4637" t="s">
        <v>23670</v>
      </c>
      <c r="T4637" t="s">
        <v>6154</v>
      </c>
      <c r="U4637" t="s">
        <v>156</v>
      </c>
      <c r="V4637" t="str">
        <f>"070523634"</f>
        <v>070523634</v>
      </c>
      <c r="AC4637" t="s">
        <v>79</v>
      </c>
      <c r="AD4637" t="s">
        <v>75</v>
      </c>
      <c r="AE4637" t="s">
        <v>103</v>
      </c>
      <c r="AG4637" t="s">
        <v>81</v>
      </c>
    </row>
    <row r="4638" spans="1:33" x14ac:dyDescent="0.25">
      <c r="A4638" t="str">
        <f>"1841389681"</f>
        <v>1841389681</v>
      </c>
      <c r="B4638" t="str">
        <f>"02412600"</f>
        <v>02412600</v>
      </c>
      <c r="C4638" t="s">
        <v>23671</v>
      </c>
      <c r="D4638" t="s">
        <v>3930</v>
      </c>
      <c r="E4638" t="s">
        <v>3931</v>
      </c>
      <c r="G4638" t="s">
        <v>19876</v>
      </c>
      <c r="H4638" t="s">
        <v>3629</v>
      </c>
      <c r="J4638" t="s">
        <v>19877</v>
      </c>
      <c r="L4638" t="s">
        <v>84</v>
      </c>
      <c r="M4638" t="s">
        <v>75</v>
      </c>
      <c r="R4638" t="s">
        <v>3932</v>
      </c>
      <c r="W4638" t="s">
        <v>3931</v>
      </c>
      <c r="X4638" t="s">
        <v>3933</v>
      </c>
      <c r="Y4638" t="s">
        <v>131</v>
      </c>
      <c r="Z4638" t="s">
        <v>77</v>
      </c>
      <c r="AA4638" t="str">
        <f>"10466-2697"</f>
        <v>10466-2697</v>
      </c>
      <c r="AB4638" t="s">
        <v>78</v>
      </c>
      <c r="AC4638" t="s">
        <v>79</v>
      </c>
      <c r="AD4638" t="s">
        <v>75</v>
      </c>
      <c r="AE4638" t="s">
        <v>80</v>
      </c>
      <c r="AG4638" t="s">
        <v>81</v>
      </c>
    </row>
    <row r="4639" spans="1:33" x14ac:dyDescent="0.25">
      <c r="A4639" t="str">
        <f>"1780784504"</f>
        <v>1780784504</v>
      </c>
      <c r="B4639" t="str">
        <f>"02021272"</f>
        <v>02021272</v>
      </c>
      <c r="C4639" t="s">
        <v>23672</v>
      </c>
      <c r="D4639" t="s">
        <v>3934</v>
      </c>
      <c r="E4639" t="s">
        <v>3935</v>
      </c>
      <c r="G4639" t="s">
        <v>23673</v>
      </c>
      <c r="H4639" t="s">
        <v>3936</v>
      </c>
      <c r="L4639" t="s">
        <v>74</v>
      </c>
      <c r="M4639" t="s">
        <v>75</v>
      </c>
      <c r="R4639" t="s">
        <v>3937</v>
      </c>
      <c r="W4639" t="s">
        <v>3935</v>
      </c>
      <c r="X4639" t="s">
        <v>3938</v>
      </c>
      <c r="Y4639" t="s">
        <v>131</v>
      </c>
      <c r="Z4639" t="s">
        <v>77</v>
      </c>
      <c r="AA4639" t="str">
        <f>"10461-1639"</f>
        <v>10461-1639</v>
      </c>
      <c r="AB4639" t="s">
        <v>136</v>
      </c>
      <c r="AC4639" t="s">
        <v>79</v>
      </c>
      <c r="AD4639" t="s">
        <v>75</v>
      </c>
      <c r="AE4639" t="s">
        <v>80</v>
      </c>
      <c r="AG4639" t="s">
        <v>81</v>
      </c>
    </row>
    <row r="4640" spans="1:33" x14ac:dyDescent="0.25">
      <c r="A4640" t="str">
        <f>"1073550562"</f>
        <v>1073550562</v>
      </c>
      <c r="B4640" t="str">
        <f>"02988296"</f>
        <v>02988296</v>
      </c>
      <c r="C4640" t="s">
        <v>23674</v>
      </c>
      <c r="D4640" t="s">
        <v>3939</v>
      </c>
      <c r="E4640" t="s">
        <v>3940</v>
      </c>
      <c r="G4640" t="s">
        <v>19873</v>
      </c>
      <c r="H4640" t="s">
        <v>3634</v>
      </c>
      <c r="J4640" t="s">
        <v>19874</v>
      </c>
      <c r="L4640" t="s">
        <v>84</v>
      </c>
      <c r="M4640" t="s">
        <v>75</v>
      </c>
      <c r="R4640" t="s">
        <v>3941</v>
      </c>
      <c r="W4640" t="s">
        <v>3942</v>
      </c>
      <c r="X4640" t="s">
        <v>200</v>
      </c>
      <c r="Y4640" t="s">
        <v>97</v>
      </c>
      <c r="Z4640" t="s">
        <v>77</v>
      </c>
      <c r="AA4640" t="str">
        <f>"10032-3720"</f>
        <v>10032-3720</v>
      </c>
      <c r="AB4640" t="s">
        <v>78</v>
      </c>
      <c r="AC4640" t="s">
        <v>79</v>
      </c>
      <c r="AD4640" t="s">
        <v>75</v>
      </c>
      <c r="AE4640" t="s">
        <v>80</v>
      </c>
      <c r="AG4640" t="s">
        <v>81</v>
      </c>
    </row>
    <row r="4641" spans="1:33" x14ac:dyDescent="0.25">
      <c r="A4641" t="str">
        <f>"1659454825"</f>
        <v>1659454825</v>
      </c>
      <c r="B4641" t="str">
        <f>"00346805"</f>
        <v>00346805</v>
      </c>
      <c r="C4641" t="s">
        <v>23675</v>
      </c>
      <c r="D4641" t="s">
        <v>3943</v>
      </c>
      <c r="E4641" t="s">
        <v>3944</v>
      </c>
      <c r="G4641" t="s">
        <v>19876</v>
      </c>
      <c r="H4641" t="s">
        <v>3629</v>
      </c>
      <c r="J4641" t="s">
        <v>19877</v>
      </c>
      <c r="L4641" t="s">
        <v>84</v>
      </c>
      <c r="M4641" t="s">
        <v>75</v>
      </c>
      <c r="R4641" t="s">
        <v>3945</v>
      </c>
      <c r="W4641" t="s">
        <v>3944</v>
      </c>
      <c r="X4641" t="s">
        <v>3946</v>
      </c>
      <c r="Y4641" t="s">
        <v>131</v>
      </c>
      <c r="Z4641" t="s">
        <v>77</v>
      </c>
      <c r="AA4641" t="str">
        <f>"10466-2600"</f>
        <v>10466-2600</v>
      </c>
      <c r="AB4641" t="s">
        <v>78</v>
      </c>
      <c r="AC4641" t="s">
        <v>79</v>
      </c>
      <c r="AD4641" t="s">
        <v>75</v>
      </c>
      <c r="AE4641" t="s">
        <v>80</v>
      </c>
      <c r="AG4641" t="s">
        <v>81</v>
      </c>
    </row>
    <row r="4642" spans="1:33" x14ac:dyDescent="0.25">
      <c r="A4642" t="str">
        <f>"1598851628"</f>
        <v>1598851628</v>
      </c>
      <c r="B4642" t="str">
        <f>"02567908"</f>
        <v>02567908</v>
      </c>
      <c r="C4642" t="s">
        <v>23676</v>
      </c>
      <c r="D4642" t="s">
        <v>3947</v>
      </c>
      <c r="E4642" t="s">
        <v>3948</v>
      </c>
      <c r="G4642" t="s">
        <v>19876</v>
      </c>
      <c r="H4642" t="s">
        <v>3629</v>
      </c>
      <c r="J4642" t="s">
        <v>19877</v>
      </c>
      <c r="L4642" t="s">
        <v>83</v>
      </c>
      <c r="M4642" t="s">
        <v>75</v>
      </c>
      <c r="R4642" t="s">
        <v>3949</v>
      </c>
      <c r="W4642" t="s">
        <v>3948</v>
      </c>
      <c r="X4642" t="s">
        <v>3929</v>
      </c>
      <c r="Y4642" t="s">
        <v>131</v>
      </c>
      <c r="Z4642" t="s">
        <v>77</v>
      </c>
      <c r="AA4642" t="str">
        <f>"10466-2600"</f>
        <v>10466-2600</v>
      </c>
      <c r="AB4642" t="s">
        <v>78</v>
      </c>
      <c r="AC4642" t="s">
        <v>79</v>
      </c>
      <c r="AD4642" t="s">
        <v>75</v>
      </c>
      <c r="AE4642" t="s">
        <v>80</v>
      </c>
      <c r="AG4642" t="s">
        <v>81</v>
      </c>
    </row>
    <row r="4643" spans="1:33" x14ac:dyDescent="0.25">
      <c r="C4643" t="s">
        <v>23677</v>
      </c>
      <c r="G4643" t="s">
        <v>19876</v>
      </c>
      <c r="H4643" t="s">
        <v>3629</v>
      </c>
      <c r="J4643" t="s">
        <v>19877</v>
      </c>
      <c r="K4643" t="s">
        <v>99</v>
      </c>
      <c r="L4643" t="s">
        <v>100</v>
      </c>
      <c r="M4643" t="s">
        <v>75</v>
      </c>
      <c r="N4643" t="s">
        <v>23678</v>
      </c>
      <c r="O4643" t="s">
        <v>296</v>
      </c>
      <c r="P4643" t="s">
        <v>77</v>
      </c>
      <c r="Q4643" t="str">
        <f>"10467"</f>
        <v>10467</v>
      </c>
      <c r="AC4643" t="s">
        <v>79</v>
      </c>
      <c r="AD4643" t="s">
        <v>75</v>
      </c>
      <c r="AE4643" t="s">
        <v>101</v>
      </c>
      <c r="AG4643" t="s">
        <v>81</v>
      </c>
    </row>
    <row r="4644" spans="1:33" x14ac:dyDescent="0.25">
      <c r="A4644" t="str">
        <f>"1629068655"</f>
        <v>1629068655</v>
      </c>
      <c r="B4644" t="str">
        <f>"02136450"</f>
        <v>02136450</v>
      </c>
      <c r="C4644" t="s">
        <v>13436</v>
      </c>
      <c r="D4644" t="s">
        <v>4165</v>
      </c>
      <c r="E4644" t="s">
        <v>4166</v>
      </c>
      <c r="G4644" t="s">
        <v>23679</v>
      </c>
      <c r="L4644" t="s">
        <v>143</v>
      </c>
      <c r="M4644" t="s">
        <v>85</v>
      </c>
      <c r="R4644" t="s">
        <v>4167</v>
      </c>
      <c r="W4644" t="s">
        <v>4166</v>
      </c>
      <c r="X4644" t="s">
        <v>1333</v>
      </c>
      <c r="Y4644" t="s">
        <v>97</v>
      </c>
      <c r="Z4644" t="s">
        <v>77</v>
      </c>
      <c r="AA4644" t="str">
        <f>"10025-1716"</f>
        <v>10025-1716</v>
      </c>
      <c r="AB4644" t="s">
        <v>78</v>
      </c>
      <c r="AC4644" t="s">
        <v>79</v>
      </c>
      <c r="AD4644" t="s">
        <v>75</v>
      </c>
      <c r="AE4644" t="s">
        <v>80</v>
      </c>
      <c r="AG4644" t="s">
        <v>81</v>
      </c>
    </row>
    <row r="4645" spans="1:33" x14ac:dyDescent="0.25">
      <c r="A4645" t="str">
        <f>"1629082730"</f>
        <v>1629082730</v>
      </c>
      <c r="B4645" t="str">
        <f>"00373693"</f>
        <v>00373693</v>
      </c>
      <c r="C4645" t="s">
        <v>13436</v>
      </c>
      <c r="D4645" t="s">
        <v>23680</v>
      </c>
      <c r="E4645" t="s">
        <v>23681</v>
      </c>
      <c r="G4645" t="s">
        <v>23682</v>
      </c>
      <c r="L4645" t="s">
        <v>74</v>
      </c>
      <c r="M4645" t="s">
        <v>85</v>
      </c>
      <c r="R4645" t="s">
        <v>23683</v>
      </c>
      <c r="W4645" t="s">
        <v>23681</v>
      </c>
      <c r="X4645" t="s">
        <v>23684</v>
      </c>
      <c r="Y4645" t="s">
        <v>97</v>
      </c>
      <c r="Z4645" t="s">
        <v>77</v>
      </c>
      <c r="AA4645" t="str">
        <f>"10021-4650"</f>
        <v>10021-4650</v>
      </c>
      <c r="AB4645" t="s">
        <v>78</v>
      </c>
      <c r="AC4645" t="s">
        <v>79</v>
      </c>
      <c r="AD4645" t="s">
        <v>75</v>
      </c>
      <c r="AE4645" t="s">
        <v>80</v>
      </c>
      <c r="AG4645" t="s">
        <v>81</v>
      </c>
    </row>
    <row r="4646" spans="1:33" x14ac:dyDescent="0.25">
      <c r="A4646" t="str">
        <f>"1639142540"</f>
        <v>1639142540</v>
      </c>
      <c r="B4646" t="str">
        <f>"03294171"</f>
        <v>03294171</v>
      </c>
      <c r="C4646" t="s">
        <v>13436</v>
      </c>
      <c r="D4646" t="s">
        <v>23685</v>
      </c>
      <c r="E4646" t="s">
        <v>23686</v>
      </c>
      <c r="G4646" t="s">
        <v>23687</v>
      </c>
      <c r="L4646" t="s">
        <v>83</v>
      </c>
      <c r="M4646" t="s">
        <v>85</v>
      </c>
      <c r="R4646" t="s">
        <v>23686</v>
      </c>
      <c r="W4646" t="s">
        <v>23686</v>
      </c>
      <c r="X4646" t="s">
        <v>23688</v>
      </c>
      <c r="Y4646" t="s">
        <v>97</v>
      </c>
      <c r="Z4646" t="s">
        <v>77</v>
      </c>
      <c r="AA4646" t="str">
        <f>"10016"</f>
        <v>10016</v>
      </c>
      <c r="AB4646" t="s">
        <v>78</v>
      </c>
      <c r="AC4646" t="s">
        <v>79</v>
      </c>
      <c r="AD4646" t="s">
        <v>75</v>
      </c>
      <c r="AE4646" t="s">
        <v>80</v>
      </c>
      <c r="AG4646" t="s">
        <v>81</v>
      </c>
    </row>
    <row r="4647" spans="1:33" x14ac:dyDescent="0.25">
      <c r="A4647" t="str">
        <f>"1811982424"</f>
        <v>1811982424</v>
      </c>
      <c r="B4647" t="str">
        <f>"01217078"</f>
        <v>01217078</v>
      </c>
      <c r="C4647" t="s">
        <v>13436</v>
      </c>
      <c r="D4647" t="s">
        <v>23689</v>
      </c>
      <c r="E4647" t="s">
        <v>23690</v>
      </c>
      <c r="G4647" t="s">
        <v>23691</v>
      </c>
      <c r="L4647" t="s">
        <v>83</v>
      </c>
      <c r="M4647" t="s">
        <v>85</v>
      </c>
      <c r="R4647" t="s">
        <v>23692</v>
      </c>
      <c r="W4647" t="s">
        <v>23690</v>
      </c>
      <c r="X4647" t="s">
        <v>648</v>
      </c>
      <c r="Y4647" t="s">
        <v>97</v>
      </c>
      <c r="Z4647" t="s">
        <v>77</v>
      </c>
      <c r="AA4647" t="str">
        <f>"10037-1802"</f>
        <v>10037-1802</v>
      </c>
      <c r="AB4647" t="s">
        <v>78</v>
      </c>
      <c r="AC4647" t="s">
        <v>79</v>
      </c>
      <c r="AD4647" t="s">
        <v>75</v>
      </c>
      <c r="AE4647" t="s">
        <v>80</v>
      </c>
      <c r="AG4647" t="s">
        <v>81</v>
      </c>
    </row>
    <row r="4648" spans="1:33" x14ac:dyDescent="0.25">
      <c r="A4648" t="str">
        <f>"1811986458"</f>
        <v>1811986458</v>
      </c>
      <c r="B4648" t="str">
        <f>"01419805"</f>
        <v>01419805</v>
      </c>
      <c r="C4648" t="s">
        <v>13436</v>
      </c>
      <c r="D4648" t="s">
        <v>23693</v>
      </c>
      <c r="E4648" t="s">
        <v>23694</v>
      </c>
      <c r="G4648" t="s">
        <v>23695</v>
      </c>
      <c r="L4648" t="s">
        <v>74</v>
      </c>
      <c r="M4648" t="s">
        <v>85</v>
      </c>
      <c r="R4648" t="s">
        <v>23696</v>
      </c>
      <c r="W4648" t="s">
        <v>23694</v>
      </c>
      <c r="X4648" t="s">
        <v>175</v>
      </c>
      <c r="Y4648" t="s">
        <v>87</v>
      </c>
      <c r="Z4648" t="s">
        <v>77</v>
      </c>
      <c r="AA4648" t="str">
        <f>"11235-7745"</f>
        <v>11235-7745</v>
      </c>
      <c r="AB4648" t="s">
        <v>78</v>
      </c>
      <c r="AC4648" t="s">
        <v>79</v>
      </c>
      <c r="AD4648" t="s">
        <v>75</v>
      </c>
      <c r="AE4648" t="s">
        <v>80</v>
      </c>
      <c r="AG4648" t="s">
        <v>81</v>
      </c>
    </row>
    <row r="4649" spans="1:33" x14ac:dyDescent="0.25">
      <c r="A4649" t="str">
        <f>"1821012196"</f>
        <v>1821012196</v>
      </c>
      <c r="B4649" t="str">
        <f>"02742854"</f>
        <v>02742854</v>
      </c>
      <c r="C4649" t="s">
        <v>13436</v>
      </c>
      <c r="D4649" t="s">
        <v>23697</v>
      </c>
      <c r="E4649" t="s">
        <v>23698</v>
      </c>
      <c r="G4649" t="s">
        <v>23699</v>
      </c>
      <c r="L4649" t="s">
        <v>83</v>
      </c>
      <c r="M4649" t="s">
        <v>85</v>
      </c>
      <c r="R4649" t="s">
        <v>23700</v>
      </c>
      <c r="W4649" t="s">
        <v>23698</v>
      </c>
      <c r="X4649" t="s">
        <v>23701</v>
      </c>
      <c r="Y4649" t="s">
        <v>97</v>
      </c>
      <c r="Z4649" t="s">
        <v>77</v>
      </c>
      <c r="AA4649" t="str">
        <f>"10016-8202"</f>
        <v>10016-8202</v>
      </c>
      <c r="AB4649" t="s">
        <v>78</v>
      </c>
      <c r="AC4649" t="s">
        <v>79</v>
      </c>
      <c r="AD4649" t="s">
        <v>75</v>
      </c>
      <c r="AE4649" t="s">
        <v>80</v>
      </c>
      <c r="AG4649" t="s">
        <v>81</v>
      </c>
    </row>
    <row r="4650" spans="1:33" x14ac:dyDescent="0.25">
      <c r="A4650" t="str">
        <f>"1821045766"</f>
        <v>1821045766</v>
      </c>
      <c r="B4650" t="str">
        <f>"01381662"</f>
        <v>01381662</v>
      </c>
      <c r="C4650" t="s">
        <v>13436</v>
      </c>
      <c r="D4650" t="s">
        <v>23702</v>
      </c>
      <c r="E4650" t="s">
        <v>23703</v>
      </c>
      <c r="G4650" t="s">
        <v>23704</v>
      </c>
      <c r="L4650" t="s">
        <v>84</v>
      </c>
      <c r="M4650" t="s">
        <v>85</v>
      </c>
      <c r="R4650" t="s">
        <v>23705</v>
      </c>
      <c r="W4650" t="s">
        <v>23706</v>
      </c>
      <c r="X4650" t="s">
        <v>5143</v>
      </c>
      <c r="Y4650" t="s">
        <v>227</v>
      </c>
      <c r="Z4650" t="s">
        <v>77</v>
      </c>
      <c r="AA4650" t="str">
        <f>"10605-2217"</f>
        <v>10605-2217</v>
      </c>
      <c r="AB4650" t="s">
        <v>78</v>
      </c>
      <c r="AC4650" t="s">
        <v>79</v>
      </c>
      <c r="AD4650" t="s">
        <v>75</v>
      </c>
      <c r="AE4650" t="s">
        <v>80</v>
      </c>
      <c r="AG4650" t="s">
        <v>81</v>
      </c>
    </row>
    <row r="4651" spans="1:33" x14ac:dyDescent="0.25">
      <c r="A4651" t="str">
        <f>"1821108861"</f>
        <v>1821108861</v>
      </c>
      <c r="B4651" t="str">
        <f>"01607390"</f>
        <v>01607390</v>
      </c>
      <c r="C4651" t="s">
        <v>13436</v>
      </c>
      <c r="D4651" t="s">
        <v>786</v>
      </c>
      <c r="E4651" t="s">
        <v>787</v>
      </c>
      <c r="G4651" t="s">
        <v>23707</v>
      </c>
      <c r="L4651" t="s">
        <v>84</v>
      </c>
      <c r="M4651" t="s">
        <v>85</v>
      </c>
      <c r="R4651" t="s">
        <v>788</v>
      </c>
      <c r="W4651" t="s">
        <v>787</v>
      </c>
      <c r="X4651" t="s">
        <v>789</v>
      </c>
      <c r="Y4651" t="s">
        <v>180</v>
      </c>
      <c r="Z4651" t="s">
        <v>77</v>
      </c>
      <c r="AA4651" t="str">
        <f>"10704-3842"</f>
        <v>10704-3842</v>
      </c>
      <c r="AB4651" t="s">
        <v>78</v>
      </c>
      <c r="AC4651" t="s">
        <v>79</v>
      </c>
      <c r="AD4651" t="s">
        <v>75</v>
      </c>
      <c r="AE4651" t="s">
        <v>80</v>
      </c>
      <c r="AG4651" t="s">
        <v>81</v>
      </c>
    </row>
    <row r="4652" spans="1:33" x14ac:dyDescent="0.25">
      <c r="A4652" t="str">
        <f>"1831133834"</f>
        <v>1831133834</v>
      </c>
      <c r="B4652" t="str">
        <f>"01719786"</f>
        <v>01719786</v>
      </c>
      <c r="C4652" t="s">
        <v>13436</v>
      </c>
      <c r="D4652" t="s">
        <v>23708</v>
      </c>
      <c r="E4652" t="s">
        <v>23709</v>
      </c>
      <c r="G4652" t="s">
        <v>23710</v>
      </c>
      <c r="L4652" t="s">
        <v>83</v>
      </c>
      <c r="M4652" t="s">
        <v>85</v>
      </c>
      <c r="R4652" t="s">
        <v>23711</v>
      </c>
      <c r="W4652" t="s">
        <v>23709</v>
      </c>
      <c r="X4652" t="s">
        <v>14807</v>
      </c>
      <c r="Y4652" t="s">
        <v>97</v>
      </c>
      <c r="Z4652" t="s">
        <v>77</v>
      </c>
      <c r="AA4652" t="str">
        <f>"10128-7603"</f>
        <v>10128-7603</v>
      </c>
      <c r="AB4652" t="s">
        <v>78</v>
      </c>
      <c r="AC4652" t="s">
        <v>79</v>
      </c>
      <c r="AD4652" t="s">
        <v>75</v>
      </c>
      <c r="AE4652" t="s">
        <v>80</v>
      </c>
      <c r="AG4652" t="s">
        <v>81</v>
      </c>
    </row>
    <row r="4653" spans="1:33" x14ac:dyDescent="0.25">
      <c r="A4653" t="str">
        <f>"1831133842"</f>
        <v>1831133842</v>
      </c>
      <c r="B4653" t="str">
        <f>"02348947"</f>
        <v>02348947</v>
      </c>
      <c r="C4653" t="s">
        <v>13436</v>
      </c>
      <c r="D4653" t="s">
        <v>23712</v>
      </c>
      <c r="E4653" t="s">
        <v>23713</v>
      </c>
      <c r="G4653" t="s">
        <v>23714</v>
      </c>
      <c r="L4653" t="s">
        <v>83</v>
      </c>
      <c r="M4653" t="s">
        <v>85</v>
      </c>
      <c r="R4653" t="s">
        <v>23715</v>
      </c>
      <c r="W4653" t="s">
        <v>23713</v>
      </c>
      <c r="X4653" t="s">
        <v>191</v>
      </c>
      <c r="Y4653" t="s">
        <v>97</v>
      </c>
      <c r="Z4653" t="s">
        <v>77</v>
      </c>
      <c r="AA4653" t="str">
        <f>"10019-1147"</f>
        <v>10019-1147</v>
      </c>
      <c r="AB4653" t="s">
        <v>78</v>
      </c>
      <c r="AC4653" t="s">
        <v>79</v>
      </c>
      <c r="AD4653" t="s">
        <v>75</v>
      </c>
      <c r="AE4653" t="s">
        <v>80</v>
      </c>
      <c r="AG4653" t="s">
        <v>81</v>
      </c>
    </row>
    <row r="4654" spans="1:33" x14ac:dyDescent="0.25">
      <c r="A4654" t="str">
        <f>"1841213014"</f>
        <v>1841213014</v>
      </c>
      <c r="B4654" t="str">
        <f>"01106849"</f>
        <v>01106849</v>
      </c>
      <c r="C4654" t="s">
        <v>13436</v>
      </c>
      <c r="D4654" t="s">
        <v>23716</v>
      </c>
      <c r="E4654" t="s">
        <v>23717</v>
      </c>
      <c r="G4654" t="s">
        <v>23718</v>
      </c>
      <c r="L4654" t="s">
        <v>83</v>
      </c>
      <c r="M4654" t="s">
        <v>85</v>
      </c>
      <c r="R4654" t="s">
        <v>23719</v>
      </c>
      <c r="W4654" t="s">
        <v>23717</v>
      </c>
      <c r="X4654" t="s">
        <v>23720</v>
      </c>
      <c r="Y4654" t="s">
        <v>131</v>
      </c>
      <c r="Z4654" t="s">
        <v>77</v>
      </c>
      <c r="AA4654" t="str">
        <f>"10451-5589"</f>
        <v>10451-5589</v>
      </c>
      <c r="AB4654" t="s">
        <v>78</v>
      </c>
      <c r="AC4654" t="s">
        <v>79</v>
      </c>
      <c r="AD4654" t="s">
        <v>75</v>
      </c>
      <c r="AE4654" t="s">
        <v>80</v>
      </c>
      <c r="AG4654" t="s">
        <v>81</v>
      </c>
    </row>
    <row r="4655" spans="1:33" x14ac:dyDescent="0.25">
      <c r="A4655" t="str">
        <f>"1093902280"</f>
        <v>1093902280</v>
      </c>
      <c r="B4655" t="str">
        <f>"03054771"</f>
        <v>03054771</v>
      </c>
      <c r="C4655" t="s">
        <v>13436</v>
      </c>
      <c r="D4655" t="s">
        <v>23721</v>
      </c>
      <c r="E4655" t="s">
        <v>23722</v>
      </c>
      <c r="G4655" t="s">
        <v>23723</v>
      </c>
      <c r="L4655" t="s">
        <v>84</v>
      </c>
      <c r="M4655" t="s">
        <v>75</v>
      </c>
      <c r="R4655" t="s">
        <v>23724</v>
      </c>
      <c r="W4655" t="s">
        <v>23722</v>
      </c>
      <c r="X4655" t="s">
        <v>23725</v>
      </c>
      <c r="Y4655" t="s">
        <v>97</v>
      </c>
      <c r="Z4655" t="s">
        <v>77</v>
      </c>
      <c r="AA4655" t="str">
        <f>"10016-6004"</f>
        <v>10016-6004</v>
      </c>
      <c r="AB4655" t="s">
        <v>78</v>
      </c>
      <c r="AC4655" t="s">
        <v>79</v>
      </c>
      <c r="AD4655" t="s">
        <v>75</v>
      </c>
      <c r="AE4655" t="s">
        <v>80</v>
      </c>
      <c r="AG4655" t="s">
        <v>81</v>
      </c>
    </row>
    <row r="4656" spans="1:33" x14ac:dyDescent="0.25">
      <c r="A4656" t="str">
        <f>"1093937377"</f>
        <v>1093937377</v>
      </c>
      <c r="B4656" t="str">
        <f>"03322658"</f>
        <v>03322658</v>
      </c>
      <c r="C4656" t="s">
        <v>13436</v>
      </c>
      <c r="D4656" t="s">
        <v>23726</v>
      </c>
      <c r="E4656" t="s">
        <v>23727</v>
      </c>
      <c r="G4656" t="s">
        <v>23728</v>
      </c>
      <c r="L4656" t="s">
        <v>94</v>
      </c>
      <c r="M4656" t="s">
        <v>85</v>
      </c>
      <c r="R4656" t="s">
        <v>23729</v>
      </c>
      <c r="W4656" t="s">
        <v>23727</v>
      </c>
      <c r="X4656" t="s">
        <v>4601</v>
      </c>
      <c r="Y4656" t="s">
        <v>131</v>
      </c>
      <c r="Z4656" t="s">
        <v>77</v>
      </c>
      <c r="AA4656" t="str">
        <f>"10451-5504"</f>
        <v>10451-5504</v>
      </c>
      <c r="AB4656" t="s">
        <v>78</v>
      </c>
      <c r="AC4656" t="s">
        <v>79</v>
      </c>
      <c r="AD4656" t="s">
        <v>75</v>
      </c>
      <c r="AE4656" t="s">
        <v>80</v>
      </c>
      <c r="AG4656" t="s">
        <v>81</v>
      </c>
    </row>
    <row r="4657" spans="1:33" x14ac:dyDescent="0.25">
      <c r="A4657" t="str">
        <f>"1346242690"</f>
        <v>1346242690</v>
      </c>
      <c r="B4657" t="str">
        <f>"01824322"</f>
        <v>01824322</v>
      </c>
      <c r="C4657" t="s">
        <v>23730</v>
      </c>
      <c r="D4657" t="s">
        <v>1914</v>
      </c>
      <c r="E4657" t="s">
        <v>1915</v>
      </c>
      <c r="G4657" t="s">
        <v>23730</v>
      </c>
      <c r="H4657" t="s">
        <v>23731</v>
      </c>
      <c r="L4657" t="s">
        <v>84</v>
      </c>
      <c r="M4657" t="s">
        <v>75</v>
      </c>
      <c r="R4657" t="s">
        <v>1913</v>
      </c>
      <c r="W4657" t="s">
        <v>1913</v>
      </c>
      <c r="X4657" t="s">
        <v>1916</v>
      </c>
      <c r="Y4657" t="s">
        <v>231</v>
      </c>
      <c r="Z4657" t="s">
        <v>77</v>
      </c>
      <c r="AA4657" t="str">
        <f>"11779-4280"</f>
        <v>11779-4280</v>
      </c>
      <c r="AB4657" t="s">
        <v>78</v>
      </c>
      <c r="AC4657" t="s">
        <v>79</v>
      </c>
      <c r="AD4657" t="s">
        <v>75</v>
      </c>
      <c r="AE4657" t="s">
        <v>80</v>
      </c>
      <c r="AG4657" t="s">
        <v>81</v>
      </c>
    </row>
    <row r="4658" spans="1:33" x14ac:dyDescent="0.25">
      <c r="A4658" t="str">
        <f>"1366499501"</f>
        <v>1366499501</v>
      </c>
      <c r="B4658" t="str">
        <f>"02059561"</f>
        <v>02059561</v>
      </c>
      <c r="C4658" t="s">
        <v>23732</v>
      </c>
      <c r="D4658" t="s">
        <v>1918</v>
      </c>
      <c r="E4658" t="s">
        <v>1919</v>
      </c>
      <c r="G4658" t="s">
        <v>23732</v>
      </c>
      <c r="H4658" t="s">
        <v>19336</v>
      </c>
      <c r="L4658" t="s">
        <v>83</v>
      </c>
      <c r="M4658" t="s">
        <v>75</v>
      </c>
      <c r="R4658" t="s">
        <v>1917</v>
      </c>
      <c r="W4658" t="s">
        <v>1919</v>
      </c>
      <c r="X4658" t="s">
        <v>1920</v>
      </c>
      <c r="Y4658" t="s">
        <v>1859</v>
      </c>
      <c r="Z4658" t="s">
        <v>77</v>
      </c>
      <c r="AA4658" t="str">
        <f>"11777-1928"</f>
        <v>11777-1928</v>
      </c>
      <c r="AB4658" t="s">
        <v>78</v>
      </c>
      <c r="AC4658" t="s">
        <v>79</v>
      </c>
      <c r="AD4658" t="s">
        <v>75</v>
      </c>
      <c r="AE4658" t="s">
        <v>80</v>
      </c>
      <c r="AG4658" t="s">
        <v>81</v>
      </c>
    </row>
    <row r="4659" spans="1:33" x14ac:dyDescent="0.25">
      <c r="A4659" t="str">
        <f>"1487656740"</f>
        <v>1487656740</v>
      </c>
      <c r="B4659" t="str">
        <f>"01762096"</f>
        <v>01762096</v>
      </c>
      <c r="C4659" t="s">
        <v>23733</v>
      </c>
      <c r="D4659" t="s">
        <v>1922</v>
      </c>
      <c r="E4659" t="s">
        <v>1923</v>
      </c>
      <c r="G4659" t="s">
        <v>23733</v>
      </c>
      <c r="H4659" t="s">
        <v>23731</v>
      </c>
      <c r="L4659" t="s">
        <v>84</v>
      </c>
      <c r="M4659" t="s">
        <v>75</v>
      </c>
      <c r="R4659" t="s">
        <v>1921</v>
      </c>
      <c r="W4659" t="s">
        <v>1924</v>
      </c>
      <c r="X4659" t="s">
        <v>1916</v>
      </c>
      <c r="Y4659" t="s">
        <v>231</v>
      </c>
      <c r="Z4659" t="s">
        <v>77</v>
      </c>
      <c r="AA4659" t="str">
        <f>"11779-4280"</f>
        <v>11779-4280</v>
      </c>
      <c r="AB4659" t="s">
        <v>78</v>
      </c>
      <c r="AC4659" t="s">
        <v>79</v>
      </c>
      <c r="AD4659" t="s">
        <v>75</v>
      </c>
      <c r="AE4659" t="s">
        <v>80</v>
      </c>
      <c r="AG4659" t="s">
        <v>81</v>
      </c>
    </row>
    <row r="4660" spans="1:33" x14ac:dyDescent="0.25">
      <c r="A4660" t="str">
        <f>"1508806076"</f>
        <v>1508806076</v>
      </c>
      <c r="B4660" t="str">
        <f>"02691330"</f>
        <v>02691330</v>
      </c>
      <c r="C4660" t="s">
        <v>23734</v>
      </c>
      <c r="D4660" t="s">
        <v>1926</v>
      </c>
      <c r="E4660" t="s">
        <v>1927</v>
      </c>
      <c r="G4660" t="s">
        <v>23734</v>
      </c>
      <c r="H4660" t="s">
        <v>19336</v>
      </c>
      <c r="L4660" t="s">
        <v>84</v>
      </c>
      <c r="M4660" t="s">
        <v>85</v>
      </c>
      <c r="R4660" t="s">
        <v>1925</v>
      </c>
      <c r="W4660" t="s">
        <v>1925</v>
      </c>
      <c r="X4660" t="s">
        <v>251</v>
      </c>
      <c r="Y4660" t="s">
        <v>87</v>
      </c>
      <c r="Z4660" t="s">
        <v>77</v>
      </c>
      <c r="AA4660" t="str">
        <f>"11203-1809"</f>
        <v>11203-1809</v>
      </c>
      <c r="AB4660" t="s">
        <v>78</v>
      </c>
      <c r="AC4660" t="s">
        <v>79</v>
      </c>
      <c r="AD4660" t="s">
        <v>75</v>
      </c>
      <c r="AE4660" t="s">
        <v>80</v>
      </c>
      <c r="AG4660" t="s">
        <v>81</v>
      </c>
    </row>
    <row r="4661" spans="1:33" x14ac:dyDescent="0.25">
      <c r="A4661" t="str">
        <f>"1881837169"</f>
        <v>1881837169</v>
      </c>
      <c r="B4661" t="str">
        <f>"03913971"</f>
        <v>03913971</v>
      </c>
      <c r="C4661" t="s">
        <v>23735</v>
      </c>
      <c r="D4661" t="s">
        <v>1929</v>
      </c>
      <c r="E4661" t="s">
        <v>1930</v>
      </c>
      <c r="G4661" t="s">
        <v>23735</v>
      </c>
      <c r="H4661" t="s">
        <v>23736</v>
      </c>
      <c r="L4661" t="s">
        <v>74</v>
      </c>
      <c r="M4661" t="s">
        <v>75</v>
      </c>
      <c r="R4661" t="s">
        <v>1928</v>
      </c>
      <c r="W4661" t="s">
        <v>1930</v>
      </c>
      <c r="X4661" t="s">
        <v>210</v>
      </c>
      <c r="Y4661" t="s">
        <v>209</v>
      </c>
      <c r="Z4661" t="s">
        <v>77</v>
      </c>
      <c r="AA4661" t="str">
        <f>"11794-0001"</f>
        <v>11794-0001</v>
      </c>
      <c r="AB4661" t="s">
        <v>78</v>
      </c>
      <c r="AC4661" t="s">
        <v>79</v>
      </c>
      <c r="AD4661" t="s">
        <v>75</v>
      </c>
      <c r="AE4661" t="s">
        <v>80</v>
      </c>
      <c r="AG4661" t="s">
        <v>81</v>
      </c>
    </row>
    <row r="4662" spans="1:33" x14ac:dyDescent="0.25">
      <c r="C4662" t="s">
        <v>23737</v>
      </c>
      <c r="G4662" t="s">
        <v>23737</v>
      </c>
      <c r="H4662" t="s">
        <v>23738</v>
      </c>
      <c r="K4662" t="s">
        <v>99</v>
      </c>
      <c r="L4662" t="s">
        <v>100</v>
      </c>
      <c r="M4662" t="s">
        <v>75</v>
      </c>
      <c r="N4662" t="s">
        <v>23739</v>
      </c>
      <c r="O4662" t="s">
        <v>23740</v>
      </c>
      <c r="P4662" t="s">
        <v>77</v>
      </c>
      <c r="Q4662" t="str">
        <f>"11040"</f>
        <v>11040</v>
      </c>
      <c r="AC4662" t="s">
        <v>79</v>
      </c>
      <c r="AD4662" t="s">
        <v>75</v>
      </c>
      <c r="AE4662" t="s">
        <v>101</v>
      </c>
      <c r="AG4662" t="s">
        <v>81</v>
      </c>
    </row>
    <row r="4663" spans="1:33" x14ac:dyDescent="0.25">
      <c r="A4663" t="str">
        <f>"1528353679"</f>
        <v>1528353679</v>
      </c>
      <c r="C4663" t="s">
        <v>13436</v>
      </c>
      <c r="K4663" t="s">
        <v>99</v>
      </c>
      <c r="L4663" t="s">
        <v>102</v>
      </c>
      <c r="M4663" t="s">
        <v>75</v>
      </c>
      <c r="R4663" t="s">
        <v>23741</v>
      </c>
      <c r="S4663" t="s">
        <v>23742</v>
      </c>
      <c r="T4663" t="s">
        <v>23743</v>
      </c>
      <c r="U4663" t="s">
        <v>4599</v>
      </c>
      <c r="V4663" t="str">
        <f>"968132409"</f>
        <v>968132409</v>
      </c>
      <c r="AC4663" t="s">
        <v>79</v>
      </c>
      <c r="AD4663" t="s">
        <v>75</v>
      </c>
      <c r="AE4663" t="s">
        <v>103</v>
      </c>
      <c r="AG4663" t="s">
        <v>81</v>
      </c>
    </row>
    <row r="4664" spans="1:33" x14ac:dyDescent="0.25">
      <c r="A4664" t="str">
        <f>"1740457258"</f>
        <v>1740457258</v>
      </c>
      <c r="B4664" t="str">
        <f>"03416924"</f>
        <v>03416924</v>
      </c>
      <c r="C4664" t="s">
        <v>13436</v>
      </c>
      <c r="D4664" t="s">
        <v>23744</v>
      </c>
      <c r="E4664" t="s">
        <v>23745</v>
      </c>
      <c r="G4664" t="s">
        <v>23746</v>
      </c>
      <c r="L4664" t="s">
        <v>83</v>
      </c>
      <c r="M4664" t="s">
        <v>85</v>
      </c>
      <c r="R4664" t="s">
        <v>23747</v>
      </c>
      <c r="W4664" t="s">
        <v>23745</v>
      </c>
      <c r="X4664" t="s">
        <v>23748</v>
      </c>
      <c r="Y4664" t="s">
        <v>87</v>
      </c>
      <c r="Z4664" t="s">
        <v>77</v>
      </c>
      <c r="AA4664" t="str">
        <f>"11203-3513"</f>
        <v>11203-3513</v>
      </c>
      <c r="AB4664" t="s">
        <v>78</v>
      </c>
      <c r="AC4664" t="s">
        <v>79</v>
      </c>
      <c r="AD4664" t="s">
        <v>75</v>
      </c>
      <c r="AE4664" t="s">
        <v>80</v>
      </c>
      <c r="AG4664" t="s">
        <v>81</v>
      </c>
    </row>
    <row r="4665" spans="1:33" x14ac:dyDescent="0.25">
      <c r="A4665" t="str">
        <f>"1740490770"</f>
        <v>1740490770</v>
      </c>
      <c r="B4665" t="str">
        <f>"03526592"</f>
        <v>03526592</v>
      </c>
      <c r="C4665" t="s">
        <v>13436</v>
      </c>
      <c r="D4665" t="s">
        <v>23749</v>
      </c>
      <c r="E4665" t="s">
        <v>23750</v>
      </c>
      <c r="G4665" t="s">
        <v>23751</v>
      </c>
      <c r="L4665" t="s">
        <v>105</v>
      </c>
      <c r="M4665" t="s">
        <v>85</v>
      </c>
      <c r="R4665" t="s">
        <v>23752</v>
      </c>
      <c r="W4665" t="s">
        <v>23750</v>
      </c>
      <c r="X4665" t="s">
        <v>191</v>
      </c>
      <c r="Y4665" t="s">
        <v>97</v>
      </c>
      <c r="Z4665" t="s">
        <v>77</v>
      </c>
      <c r="AA4665" t="str">
        <f>"10019-1147"</f>
        <v>10019-1147</v>
      </c>
      <c r="AB4665" t="s">
        <v>78</v>
      </c>
      <c r="AC4665" t="s">
        <v>79</v>
      </c>
      <c r="AD4665" t="s">
        <v>75</v>
      </c>
      <c r="AE4665" t="s">
        <v>80</v>
      </c>
      <c r="AG4665" t="s">
        <v>81</v>
      </c>
    </row>
    <row r="4666" spans="1:33" x14ac:dyDescent="0.25">
      <c r="A4666" t="str">
        <f>"1740491927"</f>
        <v>1740491927</v>
      </c>
      <c r="B4666" t="str">
        <f>"02898057"</f>
        <v>02898057</v>
      </c>
      <c r="C4666" t="s">
        <v>13436</v>
      </c>
      <c r="D4666" t="s">
        <v>23753</v>
      </c>
      <c r="E4666" t="s">
        <v>23754</v>
      </c>
      <c r="G4666" t="s">
        <v>23755</v>
      </c>
      <c r="L4666" t="s">
        <v>84</v>
      </c>
      <c r="M4666" t="s">
        <v>85</v>
      </c>
      <c r="R4666" t="s">
        <v>23756</v>
      </c>
      <c r="W4666" t="s">
        <v>23754</v>
      </c>
      <c r="X4666" t="s">
        <v>6079</v>
      </c>
      <c r="Y4666" t="s">
        <v>97</v>
      </c>
      <c r="Z4666" t="s">
        <v>77</v>
      </c>
      <c r="AA4666" t="str">
        <f>"10016-4974"</f>
        <v>10016-4974</v>
      </c>
      <c r="AB4666" t="s">
        <v>78</v>
      </c>
      <c r="AC4666" t="s">
        <v>79</v>
      </c>
      <c r="AD4666" t="s">
        <v>75</v>
      </c>
      <c r="AE4666" t="s">
        <v>80</v>
      </c>
      <c r="AG4666" t="s">
        <v>81</v>
      </c>
    </row>
    <row r="4667" spans="1:33" x14ac:dyDescent="0.25">
      <c r="A4667" t="str">
        <f>"1568737831"</f>
        <v>1568737831</v>
      </c>
      <c r="B4667" t="str">
        <f>"04251290"</f>
        <v>04251290</v>
      </c>
      <c r="C4667" t="s">
        <v>13436</v>
      </c>
      <c r="D4667" t="s">
        <v>6236</v>
      </c>
      <c r="E4667" t="s">
        <v>6237</v>
      </c>
      <c r="L4667" t="s">
        <v>74</v>
      </c>
      <c r="M4667" t="s">
        <v>75</v>
      </c>
      <c r="R4667" t="s">
        <v>6237</v>
      </c>
      <c r="W4667" t="s">
        <v>6238</v>
      </c>
      <c r="X4667" t="s">
        <v>258</v>
      </c>
      <c r="Y4667" t="s">
        <v>131</v>
      </c>
      <c r="Z4667" t="s">
        <v>77</v>
      </c>
      <c r="AA4667" t="str">
        <f>"10467-2401"</f>
        <v>10467-2401</v>
      </c>
      <c r="AB4667" t="s">
        <v>78</v>
      </c>
      <c r="AC4667" t="s">
        <v>79</v>
      </c>
      <c r="AD4667" t="s">
        <v>75</v>
      </c>
      <c r="AE4667" t="s">
        <v>80</v>
      </c>
      <c r="AG4667" t="s">
        <v>81</v>
      </c>
    </row>
    <row r="4668" spans="1:33" x14ac:dyDescent="0.25">
      <c r="A4668" t="str">
        <f>"1568738268"</f>
        <v>1568738268</v>
      </c>
      <c r="C4668" t="s">
        <v>13436</v>
      </c>
      <c r="K4668" t="s">
        <v>99</v>
      </c>
      <c r="L4668" t="s">
        <v>102</v>
      </c>
      <c r="M4668" t="s">
        <v>75</v>
      </c>
      <c r="R4668" t="s">
        <v>23757</v>
      </c>
      <c r="S4668" t="s">
        <v>23758</v>
      </c>
      <c r="T4668" t="s">
        <v>155</v>
      </c>
      <c r="U4668" t="s">
        <v>77</v>
      </c>
      <c r="V4668" t="str">
        <f>"103146609"</f>
        <v>103146609</v>
      </c>
      <c r="AC4668" t="s">
        <v>79</v>
      </c>
      <c r="AD4668" t="s">
        <v>75</v>
      </c>
      <c r="AE4668" t="s">
        <v>103</v>
      </c>
      <c r="AG4668" t="s">
        <v>81</v>
      </c>
    </row>
    <row r="4669" spans="1:33" x14ac:dyDescent="0.25">
      <c r="A4669" t="str">
        <f>"1568738482"</f>
        <v>1568738482</v>
      </c>
      <c r="C4669" t="s">
        <v>13436</v>
      </c>
      <c r="K4669" t="s">
        <v>99</v>
      </c>
      <c r="L4669" t="s">
        <v>102</v>
      </c>
      <c r="M4669" t="s">
        <v>75</v>
      </c>
      <c r="R4669" t="s">
        <v>23759</v>
      </c>
      <c r="S4669" t="s">
        <v>181</v>
      </c>
      <c r="T4669" t="s">
        <v>97</v>
      </c>
      <c r="U4669" t="s">
        <v>77</v>
      </c>
      <c r="V4669" t="str">
        <f>"100251716"</f>
        <v>100251716</v>
      </c>
      <c r="AC4669" t="s">
        <v>79</v>
      </c>
      <c r="AD4669" t="s">
        <v>75</v>
      </c>
      <c r="AE4669" t="s">
        <v>103</v>
      </c>
      <c r="AG4669" t="s">
        <v>81</v>
      </c>
    </row>
    <row r="4670" spans="1:33" x14ac:dyDescent="0.25">
      <c r="A4670" t="str">
        <f>"1568738490"</f>
        <v>1568738490</v>
      </c>
      <c r="C4670" t="s">
        <v>13436</v>
      </c>
      <c r="K4670" t="s">
        <v>99</v>
      </c>
      <c r="L4670" t="s">
        <v>102</v>
      </c>
      <c r="M4670" t="s">
        <v>75</v>
      </c>
      <c r="R4670" t="s">
        <v>23760</v>
      </c>
      <c r="S4670" t="s">
        <v>23761</v>
      </c>
      <c r="T4670" t="s">
        <v>87</v>
      </c>
      <c r="U4670" t="s">
        <v>77</v>
      </c>
      <c r="V4670" t="str">
        <f>"112153713"</f>
        <v>112153713</v>
      </c>
      <c r="AC4670" t="s">
        <v>79</v>
      </c>
      <c r="AD4670" t="s">
        <v>75</v>
      </c>
      <c r="AE4670" t="s">
        <v>103</v>
      </c>
      <c r="AG4670" t="s">
        <v>81</v>
      </c>
    </row>
    <row r="4671" spans="1:33" x14ac:dyDescent="0.25">
      <c r="A4671" t="str">
        <f>"1588001895"</f>
        <v>1588001895</v>
      </c>
      <c r="C4671" t="s">
        <v>13436</v>
      </c>
      <c r="G4671" t="s">
        <v>23762</v>
      </c>
      <c r="K4671" t="s">
        <v>99</v>
      </c>
      <c r="L4671" t="s">
        <v>102</v>
      </c>
      <c r="M4671" t="s">
        <v>75</v>
      </c>
      <c r="R4671" t="s">
        <v>23763</v>
      </c>
      <c r="S4671" t="s">
        <v>23764</v>
      </c>
      <c r="T4671" t="s">
        <v>4861</v>
      </c>
      <c r="U4671" t="s">
        <v>156</v>
      </c>
      <c r="V4671" t="str">
        <f>"076312427"</f>
        <v>076312427</v>
      </c>
      <c r="AC4671" t="s">
        <v>79</v>
      </c>
      <c r="AD4671" t="s">
        <v>75</v>
      </c>
      <c r="AE4671" t="s">
        <v>103</v>
      </c>
      <c r="AG4671" t="s">
        <v>81</v>
      </c>
    </row>
    <row r="4672" spans="1:33" x14ac:dyDescent="0.25">
      <c r="A4672" t="str">
        <f>"1518987510"</f>
        <v>1518987510</v>
      </c>
      <c r="B4672" t="str">
        <f>"02435812"</f>
        <v>02435812</v>
      </c>
      <c r="C4672" t="s">
        <v>13436</v>
      </c>
      <c r="D4672" t="s">
        <v>23765</v>
      </c>
      <c r="E4672" t="s">
        <v>23766</v>
      </c>
      <c r="G4672" t="s">
        <v>23767</v>
      </c>
      <c r="L4672" t="s">
        <v>105</v>
      </c>
      <c r="M4672" t="s">
        <v>85</v>
      </c>
      <c r="R4672" t="s">
        <v>23768</v>
      </c>
      <c r="W4672" t="s">
        <v>23766</v>
      </c>
      <c r="X4672" t="s">
        <v>23769</v>
      </c>
      <c r="Y4672" t="s">
        <v>97</v>
      </c>
      <c r="Z4672" t="s">
        <v>77</v>
      </c>
      <c r="AA4672" t="str">
        <f>"10029-6500"</f>
        <v>10029-6500</v>
      </c>
      <c r="AB4672" t="s">
        <v>78</v>
      </c>
      <c r="AC4672" t="s">
        <v>79</v>
      </c>
      <c r="AD4672" t="s">
        <v>75</v>
      </c>
      <c r="AE4672" t="s">
        <v>80</v>
      </c>
      <c r="AG4672" t="s">
        <v>81</v>
      </c>
    </row>
    <row r="4673" spans="1:33" x14ac:dyDescent="0.25">
      <c r="A4673" t="str">
        <f>"1952489098"</f>
        <v>1952489098</v>
      </c>
      <c r="B4673" t="str">
        <f>"00683812"</f>
        <v>00683812</v>
      </c>
      <c r="C4673" t="s">
        <v>23770</v>
      </c>
      <c r="D4673" t="s">
        <v>23771</v>
      </c>
      <c r="E4673" t="s">
        <v>23772</v>
      </c>
      <c r="G4673" t="s">
        <v>18627</v>
      </c>
      <c r="J4673" t="s">
        <v>18628</v>
      </c>
      <c r="L4673" t="s">
        <v>102</v>
      </c>
      <c r="M4673" t="s">
        <v>75</v>
      </c>
      <c r="R4673" t="s">
        <v>23773</v>
      </c>
      <c r="W4673" t="s">
        <v>23772</v>
      </c>
      <c r="X4673" t="s">
        <v>23774</v>
      </c>
      <c r="Y4673" t="s">
        <v>23775</v>
      </c>
      <c r="Z4673" t="s">
        <v>77</v>
      </c>
      <c r="AA4673" t="str">
        <f>"11937"</f>
        <v>11937</v>
      </c>
      <c r="AB4673" t="s">
        <v>78</v>
      </c>
      <c r="AC4673" t="s">
        <v>79</v>
      </c>
      <c r="AD4673" t="s">
        <v>75</v>
      </c>
      <c r="AE4673" t="s">
        <v>80</v>
      </c>
      <c r="AG4673" t="s">
        <v>81</v>
      </c>
    </row>
    <row r="4674" spans="1:33" x14ac:dyDescent="0.25">
      <c r="A4674" t="str">
        <f>"1669563300"</f>
        <v>1669563300</v>
      </c>
      <c r="B4674" t="str">
        <f>"02434664"</f>
        <v>02434664</v>
      </c>
      <c r="C4674" t="s">
        <v>23776</v>
      </c>
      <c r="D4674" t="s">
        <v>23777</v>
      </c>
      <c r="E4674" t="s">
        <v>23778</v>
      </c>
      <c r="G4674" t="s">
        <v>18627</v>
      </c>
      <c r="J4674" t="s">
        <v>18628</v>
      </c>
      <c r="L4674" t="s">
        <v>105</v>
      </c>
      <c r="M4674" t="s">
        <v>75</v>
      </c>
      <c r="R4674" t="s">
        <v>23778</v>
      </c>
      <c r="W4674" t="s">
        <v>23778</v>
      </c>
      <c r="X4674" t="s">
        <v>23779</v>
      </c>
      <c r="Y4674" t="s">
        <v>155</v>
      </c>
      <c r="Z4674" t="s">
        <v>77</v>
      </c>
      <c r="AA4674" t="str">
        <f>"10314-5857"</f>
        <v>10314-5857</v>
      </c>
      <c r="AB4674" t="s">
        <v>78</v>
      </c>
      <c r="AC4674" t="s">
        <v>79</v>
      </c>
      <c r="AD4674" t="s">
        <v>75</v>
      </c>
      <c r="AE4674" t="s">
        <v>80</v>
      </c>
      <c r="AG4674" t="s">
        <v>81</v>
      </c>
    </row>
    <row r="4675" spans="1:33" x14ac:dyDescent="0.25">
      <c r="A4675" t="str">
        <f>"1255324364"</f>
        <v>1255324364</v>
      </c>
      <c r="B4675" t="str">
        <f>"02546532"</f>
        <v>02546532</v>
      </c>
      <c r="C4675" t="s">
        <v>23780</v>
      </c>
      <c r="D4675" t="s">
        <v>23781</v>
      </c>
      <c r="E4675" t="s">
        <v>23782</v>
      </c>
      <c r="G4675" t="s">
        <v>18627</v>
      </c>
      <c r="J4675" t="s">
        <v>18628</v>
      </c>
      <c r="L4675" t="s">
        <v>74</v>
      </c>
      <c r="M4675" t="s">
        <v>75</v>
      </c>
      <c r="R4675" t="s">
        <v>23783</v>
      </c>
      <c r="W4675" t="s">
        <v>23782</v>
      </c>
      <c r="X4675" t="s">
        <v>23784</v>
      </c>
      <c r="Y4675" t="s">
        <v>155</v>
      </c>
      <c r="Z4675" t="s">
        <v>77</v>
      </c>
      <c r="AA4675" t="str">
        <f>"10304-2601"</f>
        <v>10304-2601</v>
      </c>
      <c r="AB4675" t="s">
        <v>78</v>
      </c>
      <c r="AC4675" t="s">
        <v>79</v>
      </c>
      <c r="AD4675" t="s">
        <v>75</v>
      </c>
      <c r="AE4675" t="s">
        <v>80</v>
      </c>
      <c r="AG4675" t="s">
        <v>81</v>
      </c>
    </row>
    <row r="4676" spans="1:33" x14ac:dyDescent="0.25">
      <c r="A4676" t="str">
        <f>"1427231133"</f>
        <v>1427231133</v>
      </c>
      <c r="B4676" t="str">
        <f>"03382161"</f>
        <v>03382161</v>
      </c>
      <c r="C4676" t="s">
        <v>13436</v>
      </c>
      <c r="D4676" t="s">
        <v>23785</v>
      </c>
      <c r="E4676" t="s">
        <v>23786</v>
      </c>
      <c r="G4676" t="s">
        <v>23787</v>
      </c>
      <c r="L4676" t="s">
        <v>74</v>
      </c>
      <c r="M4676" t="s">
        <v>85</v>
      </c>
      <c r="R4676" t="s">
        <v>23788</v>
      </c>
      <c r="W4676" t="s">
        <v>23786</v>
      </c>
      <c r="X4676" t="s">
        <v>920</v>
      </c>
      <c r="Y4676" t="s">
        <v>97</v>
      </c>
      <c r="Z4676" t="s">
        <v>77</v>
      </c>
      <c r="AA4676" t="str">
        <f>"10170-1699"</f>
        <v>10170-1699</v>
      </c>
      <c r="AB4676" t="s">
        <v>78</v>
      </c>
      <c r="AC4676" t="s">
        <v>79</v>
      </c>
      <c r="AD4676" t="s">
        <v>75</v>
      </c>
      <c r="AE4676" t="s">
        <v>80</v>
      </c>
      <c r="AG4676" t="s">
        <v>81</v>
      </c>
    </row>
    <row r="4677" spans="1:33" x14ac:dyDescent="0.25">
      <c r="A4677" t="str">
        <f>"1437130317"</f>
        <v>1437130317</v>
      </c>
      <c r="B4677" t="str">
        <f>"00971802"</f>
        <v>00971802</v>
      </c>
      <c r="C4677" t="s">
        <v>13436</v>
      </c>
      <c r="D4677" t="s">
        <v>23789</v>
      </c>
      <c r="E4677" t="s">
        <v>23790</v>
      </c>
      <c r="G4677" t="s">
        <v>23791</v>
      </c>
      <c r="L4677" t="s">
        <v>83</v>
      </c>
      <c r="M4677" t="s">
        <v>85</v>
      </c>
      <c r="R4677" t="s">
        <v>23792</v>
      </c>
      <c r="W4677" t="s">
        <v>23790</v>
      </c>
      <c r="X4677" t="s">
        <v>5307</v>
      </c>
      <c r="Y4677" t="s">
        <v>97</v>
      </c>
      <c r="Z4677" t="s">
        <v>77</v>
      </c>
      <c r="AA4677" t="str">
        <f>"10003-0000"</f>
        <v>10003-0000</v>
      </c>
      <c r="AB4677" t="s">
        <v>78</v>
      </c>
      <c r="AC4677" t="s">
        <v>79</v>
      </c>
      <c r="AD4677" t="s">
        <v>75</v>
      </c>
      <c r="AE4677" t="s">
        <v>80</v>
      </c>
      <c r="AG4677" t="s">
        <v>81</v>
      </c>
    </row>
    <row r="4678" spans="1:33" x14ac:dyDescent="0.25">
      <c r="A4678" t="str">
        <f>"1700944840"</f>
        <v>1700944840</v>
      </c>
      <c r="B4678" t="str">
        <f>"02517146"</f>
        <v>02517146</v>
      </c>
      <c r="C4678" t="s">
        <v>13436</v>
      </c>
      <c r="D4678" t="s">
        <v>23793</v>
      </c>
      <c r="E4678" t="s">
        <v>23794</v>
      </c>
      <c r="G4678" t="s">
        <v>23795</v>
      </c>
      <c r="L4678" t="s">
        <v>84</v>
      </c>
      <c r="M4678" t="s">
        <v>85</v>
      </c>
      <c r="R4678" t="s">
        <v>23796</v>
      </c>
      <c r="W4678" t="s">
        <v>23797</v>
      </c>
      <c r="X4678" t="s">
        <v>22430</v>
      </c>
      <c r="Y4678" t="s">
        <v>894</v>
      </c>
      <c r="Z4678" t="s">
        <v>77</v>
      </c>
      <c r="AA4678" t="str">
        <f>"10023-0000"</f>
        <v>10023-0000</v>
      </c>
      <c r="AB4678" t="s">
        <v>78</v>
      </c>
      <c r="AC4678" t="s">
        <v>79</v>
      </c>
      <c r="AD4678" t="s">
        <v>75</v>
      </c>
      <c r="AE4678" t="s">
        <v>80</v>
      </c>
      <c r="AG4678" t="s">
        <v>81</v>
      </c>
    </row>
    <row r="4679" spans="1:33" x14ac:dyDescent="0.25">
      <c r="A4679" t="str">
        <f>"1427396894"</f>
        <v>1427396894</v>
      </c>
      <c r="B4679" t="str">
        <f>"03835949"</f>
        <v>03835949</v>
      </c>
      <c r="C4679" t="s">
        <v>23798</v>
      </c>
      <c r="D4679" t="s">
        <v>23799</v>
      </c>
      <c r="E4679" t="s">
        <v>23800</v>
      </c>
      <c r="G4679" t="s">
        <v>13504</v>
      </c>
      <c r="H4679" t="s">
        <v>13505</v>
      </c>
      <c r="J4679" t="s">
        <v>13506</v>
      </c>
      <c r="L4679" t="s">
        <v>94</v>
      </c>
      <c r="M4679" t="s">
        <v>75</v>
      </c>
      <c r="R4679" t="s">
        <v>23800</v>
      </c>
      <c r="W4679" t="s">
        <v>23800</v>
      </c>
      <c r="X4679" t="s">
        <v>17993</v>
      </c>
      <c r="Y4679" t="s">
        <v>87</v>
      </c>
      <c r="Z4679" t="s">
        <v>77</v>
      </c>
      <c r="AA4679" t="str">
        <f>"11220-4211"</f>
        <v>11220-4211</v>
      </c>
      <c r="AB4679" t="s">
        <v>78</v>
      </c>
      <c r="AC4679" t="s">
        <v>79</v>
      </c>
      <c r="AD4679" t="s">
        <v>75</v>
      </c>
      <c r="AE4679" t="s">
        <v>80</v>
      </c>
      <c r="AG4679" t="s">
        <v>81</v>
      </c>
    </row>
    <row r="4680" spans="1:33" x14ac:dyDescent="0.25">
      <c r="A4680" t="str">
        <f>"1629352950"</f>
        <v>1629352950</v>
      </c>
      <c r="C4680" t="s">
        <v>23801</v>
      </c>
      <c r="G4680" t="s">
        <v>13504</v>
      </c>
      <c r="H4680" t="s">
        <v>13505</v>
      </c>
      <c r="J4680" t="s">
        <v>13506</v>
      </c>
      <c r="K4680" t="s">
        <v>99</v>
      </c>
      <c r="L4680" t="s">
        <v>102</v>
      </c>
      <c r="M4680" t="s">
        <v>75</v>
      </c>
      <c r="R4680" t="s">
        <v>23802</v>
      </c>
      <c r="S4680" t="s">
        <v>187</v>
      </c>
      <c r="T4680" t="s">
        <v>161</v>
      </c>
      <c r="U4680" t="s">
        <v>77</v>
      </c>
      <c r="V4680" t="str">
        <f>"110401402"</f>
        <v>110401402</v>
      </c>
      <c r="AC4680" t="s">
        <v>79</v>
      </c>
      <c r="AD4680" t="s">
        <v>75</v>
      </c>
      <c r="AE4680" t="s">
        <v>103</v>
      </c>
      <c r="AG4680" t="s">
        <v>81</v>
      </c>
    </row>
    <row r="4681" spans="1:33" x14ac:dyDescent="0.25">
      <c r="A4681" t="str">
        <f>"1750581708"</f>
        <v>1750581708</v>
      </c>
      <c r="B4681" t="str">
        <f>"02905255"</f>
        <v>02905255</v>
      </c>
      <c r="C4681" t="s">
        <v>23803</v>
      </c>
      <c r="D4681" t="s">
        <v>23804</v>
      </c>
      <c r="E4681" t="s">
        <v>23805</v>
      </c>
      <c r="G4681" t="s">
        <v>13504</v>
      </c>
      <c r="H4681" t="s">
        <v>13505</v>
      </c>
      <c r="J4681" t="s">
        <v>13506</v>
      </c>
      <c r="L4681" t="s">
        <v>83</v>
      </c>
      <c r="M4681" t="s">
        <v>75</v>
      </c>
      <c r="R4681" t="s">
        <v>23805</v>
      </c>
      <c r="W4681" t="s">
        <v>23805</v>
      </c>
      <c r="X4681" t="s">
        <v>23806</v>
      </c>
      <c r="Y4681" t="s">
        <v>97</v>
      </c>
      <c r="Z4681" t="s">
        <v>77</v>
      </c>
      <c r="AA4681" t="str">
        <f>"10032"</f>
        <v>10032</v>
      </c>
      <c r="AB4681" t="s">
        <v>78</v>
      </c>
      <c r="AC4681" t="s">
        <v>79</v>
      </c>
      <c r="AD4681" t="s">
        <v>75</v>
      </c>
      <c r="AE4681" t="s">
        <v>80</v>
      </c>
      <c r="AG4681" t="s">
        <v>81</v>
      </c>
    </row>
    <row r="4682" spans="1:33" x14ac:dyDescent="0.25">
      <c r="A4682" t="str">
        <f>"1841538899"</f>
        <v>1841538899</v>
      </c>
      <c r="B4682" t="str">
        <f>"03812291"</f>
        <v>03812291</v>
      </c>
      <c r="C4682" t="s">
        <v>23807</v>
      </c>
      <c r="D4682" t="s">
        <v>1254</v>
      </c>
      <c r="E4682" t="s">
        <v>1255</v>
      </c>
      <c r="G4682" t="s">
        <v>13504</v>
      </c>
      <c r="H4682" t="s">
        <v>13505</v>
      </c>
      <c r="J4682" t="s">
        <v>13506</v>
      </c>
      <c r="L4682" t="s">
        <v>74</v>
      </c>
      <c r="M4682" t="s">
        <v>75</v>
      </c>
      <c r="R4682" t="s">
        <v>1256</v>
      </c>
      <c r="W4682" t="s">
        <v>1255</v>
      </c>
      <c r="X4682" t="s">
        <v>624</v>
      </c>
      <c r="Y4682" t="s">
        <v>91</v>
      </c>
      <c r="Z4682" t="s">
        <v>77</v>
      </c>
      <c r="AA4682" t="str">
        <f>"11373-1329"</f>
        <v>11373-1329</v>
      </c>
      <c r="AB4682" t="s">
        <v>114</v>
      </c>
      <c r="AC4682" t="s">
        <v>79</v>
      </c>
      <c r="AD4682" t="s">
        <v>75</v>
      </c>
      <c r="AE4682" t="s">
        <v>80</v>
      </c>
      <c r="AG4682" t="s">
        <v>81</v>
      </c>
    </row>
    <row r="4683" spans="1:33" x14ac:dyDescent="0.25">
      <c r="A4683" t="str">
        <f>"1891092011"</f>
        <v>1891092011</v>
      </c>
      <c r="C4683" t="s">
        <v>23808</v>
      </c>
      <c r="G4683" t="s">
        <v>13504</v>
      </c>
      <c r="H4683" t="s">
        <v>13505</v>
      </c>
      <c r="J4683" t="s">
        <v>13506</v>
      </c>
      <c r="K4683" t="s">
        <v>99</v>
      </c>
      <c r="L4683" t="s">
        <v>102</v>
      </c>
      <c r="M4683" t="s">
        <v>75</v>
      </c>
      <c r="R4683" t="s">
        <v>23809</v>
      </c>
      <c r="S4683" t="s">
        <v>23810</v>
      </c>
      <c r="T4683" t="s">
        <v>97</v>
      </c>
      <c r="U4683" t="s">
        <v>77</v>
      </c>
      <c r="V4683" t="str">
        <f>"100214823"</f>
        <v>100214823</v>
      </c>
      <c r="AC4683" t="s">
        <v>79</v>
      </c>
      <c r="AD4683" t="s">
        <v>75</v>
      </c>
      <c r="AE4683" t="s">
        <v>103</v>
      </c>
      <c r="AG4683" t="s">
        <v>81</v>
      </c>
    </row>
    <row r="4684" spans="1:33" x14ac:dyDescent="0.25">
      <c r="A4684" t="str">
        <f>"1194153601"</f>
        <v>1194153601</v>
      </c>
      <c r="C4684" t="s">
        <v>23811</v>
      </c>
      <c r="G4684" t="s">
        <v>13504</v>
      </c>
      <c r="H4684" t="s">
        <v>13505</v>
      </c>
      <c r="J4684" t="s">
        <v>13506</v>
      </c>
      <c r="K4684" t="s">
        <v>99</v>
      </c>
      <c r="L4684" t="s">
        <v>102</v>
      </c>
      <c r="M4684" t="s">
        <v>75</v>
      </c>
      <c r="R4684" t="s">
        <v>23812</v>
      </c>
      <c r="S4684" t="s">
        <v>202</v>
      </c>
      <c r="T4684" t="s">
        <v>87</v>
      </c>
      <c r="U4684" t="s">
        <v>77</v>
      </c>
      <c r="V4684" t="str">
        <f>"112015425"</f>
        <v>112015425</v>
      </c>
      <c r="AC4684" t="s">
        <v>79</v>
      </c>
      <c r="AD4684" t="s">
        <v>75</v>
      </c>
      <c r="AE4684" t="s">
        <v>103</v>
      </c>
      <c r="AG4684" t="s">
        <v>81</v>
      </c>
    </row>
    <row r="4685" spans="1:33" x14ac:dyDescent="0.25">
      <c r="A4685" t="str">
        <f>"1407098494"</f>
        <v>1407098494</v>
      </c>
      <c r="C4685" t="s">
        <v>23813</v>
      </c>
      <c r="G4685" t="s">
        <v>13504</v>
      </c>
      <c r="H4685" t="s">
        <v>13505</v>
      </c>
      <c r="J4685" t="s">
        <v>13506</v>
      </c>
      <c r="K4685" t="s">
        <v>99</v>
      </c>
      <c r="L4685" t="s">
        <v>102</v>
      </c>
      <c r="M4685" t="s">
        <v>75</v>
      </c>
      <c r="R4685" t="s">
        <v>4809</v>
      </c>
      <c r="S4685" t="s">
        <v>4810</v>
      </c>
      <c r="T4685" t="s">
        <v>2971</v>
      </c>
      <c r="U4685" t="s">
        <v>2632</v>
      </c>
      <c r="V4685" t="str">
        <f>"220423307"</f>
        <v>220423307</v>
      </c>
      <c r="AC4685" t="s">
        <v>79</v>
      </c>
      <c r="AD4685" t="s">
        <v>75</v>
      </c>
      <c r="AE4685" t="s">
        <v>103</v>
      </c>
      <c r="AG4685" t="s">
        <v>81</v>
      </c>
    </row>
    <row r="4686" spans="1:33" x14ac:dyDescent="0.25">
      <c r="A4686" t="str">
        <f>"1477877165"</f>
        <v>1477877165</v>
      </c>
      <c r="B4686" t="str">
        <f>"03625418"</f>
        <v>03625418</v>
      </c>
      <c r="C4686" t="s">
        <v>13436</v>
      </c>
      <c r="D4686" t="s">
        <v>23814</v>
      </c>
      <c r="E4686" t="s">
        <v>23815</v>
      </c>
      <c r="G4686" t="s">
        <v>23816</v>
      </c>
      <c r="L4686" t="s">
        <v>84</v>
      </c>
      <c r="M4686" t="s">
        <v>85</v>
      </c>
      <c r="R4686" t="s">
        <v>23815</v>
      </c>
      <c r="W4686" t="s">
        <v>23815</v>
      </c>
      <c r="X4686" t="s">
        <v>329</v>
      </c>
      <c r="Y4686" t="s">
        <v>97</v>
      </c>
      <c r="Z4686" t="s">
        <v>77</v>
      </c>
      <c r="AA4686" t="str">
        <f>"10029-6504"</f>
        <v>10029-6504</v>
      </c>
      <c r="AB4686" t="s">
        <v>78</v>
      </c>
      <c r="AC4686" t="s">
        <v>79</v>
      </c>
      <c r="AD4686" t="s">
        <v>75</v>
      </c>
      <c r="AE4686" t="s">
        <v>80</v>
      </c>
      <c r="AG4686" t="s">
        <v>81</v>
      </c>
    </row>
    <row r="4687" spans="1:33" x14ac:dyDescent="0.25">
      <c r="A4687" t="str">
        <f>"1487639951"</f>
        <v>1487639951</v>
      </c>
      <c r="B4687" t="str">
        <f>"02665272"</f>
        <v>02665272</v>
      </c>
      <c r="C4687" t="s">
        <v>13436</v>
      </c>
      <c r="D4687" t="s">
        <v>23817</v>
      </c>
      <c r="E4687" t="s">
        <v>23818</v>
      </c>
      <c r="G4687" t="s">
        <v>23819</v>
      </c>
      <c r="L4687" t="s">
        <v>74</v>
      </c>
      <c r="M4687" t="s">
        <v>75</v>
      </c>
      <c r="R4687" t="s">
        <v>23820</v>
      </c>
      <c r="W4687" t="s">
        <v>23818</v>
      </c>
      <c r="X4687" t="s">
        <v>610</v>
      </c>
      <c r="Y4687" t="s">
        <v>87</v>
      </c>
      <c r="Z4687" t="s">
        <v>77</v>
      </c>
      <c r="AA4687" t="str">
        <f>"11203-2056"</f>
        <v>11203-2056</v>
      </c>
      <c r="AB4687" t="s">
        <v>78</v>
      </c>
      <c r="AC4687" t="s">
        <v>79</v>
      </c>
      <c r="AD4687" t="s">
        <v>75</v>
      </c>
      <c r="AE4687" t="s">
        <v>80</v>
      </c>
      <c r="AG4687" t="s">
        <v>81</v>
      </c>
    </row>
    <row r="4688" spans="1:33" x14ac:dyDescent="0.25">
      <c r="A4688" t="str">
        <f>"1487782025"</f>
        <v>1487782025</v>
      </c>
      <c r="B4688" t="str">
        <f>"02858120"</f>
        <v>02858120</v>
      </c>
      <c r="C4688" t="s">
        <v>13436</v>
      </c>
      <c r="D4688" t="s">
        <v>23821</v>
      </c>
      <c r="E4688" t="s">
        <v>23822</v>
      </c>
      <c r="G4688" t="s">
        <v>23823</v>
      </c>
      <c r="L4688" t="s">
        <v>83</v>
      </c>
      <c r="M4688" t="s">
        <v>85</v>
      </c>
      <c r="R4688" t="s">
        <v>23824</v>
      </c>
      <c r="W4688" t="s">
        <v>23822</v>
      </c>
      <c r="X4688" t="s">
        <v>11176</v>
      </c>
      <c r="Y4688" t="s">
        <v>97</v>
      </c>
      <c r="Z4688" t="s">
        <v>77</v>
      </c>
      <c r="AA4688" t="str">
        <f>"10029-6542"</f>
        <v>10029-6542</v>
      </c>
      <c r="AB4688" t="s">
        <v>78</v>
      </c>
      <c r="AC4688" t="s">
        <v>79</v>
      </c>
      <c r="AD4688" t="s">
        <v>75</v>
      </c>
      <c r="AE4688" t="s">
        <v>80</v>
      </c>
      <c r="AG4688" t="s">
        <v>81</v>
      </c>
    </row>
    <row r="4689" spans="1:33" x14ac:dyDescent="0.25">
      <c r="A4689" t="str">
        <f>"1487828414"</f>
        <v>1487828414</v>
      </c>
      <c r="B4689" t="str">
        <f>"03480568"</f>
        <v>03480568</v>
      </c>
      <c r="C4689" t="s">
        <v>13436</v>
      </c>
      <c r="D4689" t="s">
        <v>23825</v>
      </c>
      <c r="E4689" t="s">
        <v>23826</v>
      </c>
      <c r="G4689" t="s">
        <v>23827</v>
      </c>
      <c r="L4689" t="s">
        <v>74</v>
      </c>
      <c r="M4689" t="s">
        <v>85</v>
      </c>
      <c r="R4689" t="s">
        <v>23828</v>
      </c>
      <c r="W4689" t="s">
        <v>23828</v>
      </c>
      <c r="X4689" t="s">
        <v>159</v>
      </c>
      <c r="Y4689" t="s">
        <v>160</v>
      </c>
      <c r="Z4689" t="s">
        <v>77</v>
      </c>
      <c r="AA4689" t="str">
        <f>"11030-3816"</f>
        <v>11030-3816</v>
      </c>
      <c r="AB4689" t="s">
        <v>78</v>
      </c>
      <c r="AC4689" t="s">
        <v>79</v>
      </c>
      <c r="AD4689" t="s">
        <v>75</v>
      </c>
      <c r="AE4689" t="s">
        <v>80</v>
      </c>
      <c r="AG4689" t="s">
        <v>81</v>
      </c>
    </row>
    <row r="4690" spans="1:33" x14ac:dyDescent="0.25">
      <c r="A4690" t="str">
        <f>"1487854824"</f>
        <v>1487854824</v>
      </c>
      <c r="B4690" t="str">
        <f>"02945013"</f>
        <v>02945013</v>
      </c>
      <c r="C4690" t="s">
        <v>13436</v>
      </c>
      <c r="D4690" t="s">
        <v>23829</v>
      </c>
      <c r="E4690" t="s">
        <v>23830</v>
      </c>
      <c r="G4690" t="s">
        <v>23831</v>
      </c>
      <c r="L4690" t="s">
        <v>84</v>
      </c>
      <c r="M4690" t="s">
        <v>85</v>
      </c>
      <c r="R4690" t="s">
        <v>23832</v>
      </c>
      <c r="W4690" t="s">
        <v>23833</v>
      </c>
      <c r="X4690" t="s">
        <v>258</v>
      </c>
      <c r="Y4690" t="s">
        <v>131</v>
      </c>
      <c r="Z4690" t="s">
        <v>77</v>
      </c>
      <c r="AA4690" t="str">
        <f>"10467-2401"</f>
        <v>10467-2401</v>
      </c>
      <c r="AB4690" t="s">
        <v>78</v>
      </c>
      <c r="AC4690" t="s">
        <v>79</v>
      </c>
      <c r="AD4690" t="s">
        <v>75</v>
      </c>
      <c r="AE4690" t="s">
        <v>80</v>
      </c>
      <c r="AG4690" t="s">
        <v>81</v>
      </c>
    </row>
    <row r="4691" spans="1:33" x14ac:dyDescent="0.25">
      <c r="A4691" t="str">
        <f>"1487873808"</f>
        <v>1487873808</v>
      </c>
      <c r="B4691" t="str">
        <f>"02869285"</f>
        <v>02869285</v>
      </c>
      <c r="C4691" t="s">
        <v>13436</v>
      </c>
      <c r="D4691" t="s">
        <v>23834</v>
      </c>
      <c r="E4691" t="s">
        <v>23835</v>
      </c>
      <c r="G4691" t="s">
        <v>23836</v>
      </c>
      <c r="L4691" t="s">
        <v>83</v>
      </c>
      <c r="M4691" t="s">
        <v>85</v>
      </c>
      <c r="R4691" t="s">
        <v>23837</v>
      </c>
      <c r="W4691" t="s">
        <v>23835</v>
      </c>
      <c r="X4691" t="s">
        <v>329</v>
      </c>
      <c r="Y4691" t="s">
        <v>97</v>
      </c>
      <c r="Z4691" t="s">
        <v>77</v>
      </c>
      <c r="AA4691" t="str">
        <f>"10029-6500"</f>
        <v>10029-6500</v>
      </c>
      <c r="AB4691" t="s">
        <v>78</v>
      </c>
      <c r="AC4691" t="s">
        <v>79</v>
      </c>
      <c r="AD4691" t="s">
        <v>75</v>
      </c>
      <c r="AE4691" t="s">
        <v>80</v>
      </c>
      <c r="AG4691" t="s">
        <v>81</v>
      </c>
    </row>
    <row r="4692" spans="1:33" x14ac:dyDescent="0.25">
      <c r="A4692" t="str">
        <f>"1487892725"</f>
        <v>1487892725</v>
      </c>
      <c r="B4692" t="str">
        <f>"03259529"</f>
        <v>03259529</v>
      </c>
      <c r="C4692" t="s">
        <v>13436</v>
      </c>
      <c r="D4692" t="s">
        <v>23838</v>
      </c>
      <c r="E4692" t="s">
        <v>23839</v>
      </c>
      <c r="G4692" t="s">
        <v>23840</v>
      </c>
      <c r="L4692" t="s">
        <v>74</v>
      </c>
      <c r="M4692" t="s">
        <v>75</v>
      </c>
      <c r="R4692" t="s">
        <v>23841</v>
      </c>
      <c r="W4692" t="s">
        <v>23839</v>
      </c>
      <c r="X4692" t="s">
        <v>3553</v>
      </c>
      <c r="Y4692" t="s">
        <v>97</v>
      </c>
      <c r="Z4692" t="s">
        <v>77</v>
      </c>
      <c r="AA4692" t="str">
        <f>"10003-3851"</f>
        <v>10003-3851</v>
      </c>
      <c r="AB4692" t="s">
        <v>78</v>
      </c>
      <c r="AC4692" t="s">
        <v>79</v>
      </c>
      <c r="AD4692" t="s">
        <v>75</v>
      </c>
      <c r="AE4692" t="s">
        <v>80</v>
      </c>
      <c r="AG4692" t="s">
        <v>81</v>
      </c>
    </row>
    <row r="4693" spans="1:33" x14ac:dyDescent="0.25">
      <c r="A4693" t="str">
        <f>"1376554626"</f>
        <v>1376554626</v>
      </c>
      <c r="B4693" t="str">
        <f>"01197933"</f>
        <v>01197933</v>
      </c>
      <c r="C4693" t="s">
        <v>23842</v>
      </c>
      <c r="D4693" t="s">
        <v>23843</v>
      </c>
      <c r="E4693" t="s">
        <v>23844</v>
      </c>
      <c r="G4693" t="s">
        <v>13504</v>
      </c>
      <c r="H4693" t="s">
        <v>13505</v>
      </c>
      <c r="J4693" t="s">
        <v>13506</v>
      </c>
      <c r="L4693" t="s">
        <v>83</v>
      </c>
      <c r="M4693" t="s">
        <v>75</v>
      </c>
      <c r="R4693" t="s">
        <v>23845</v>
      </c>
      <c r="W4693" t="s">
        <v>23846</v>
      </c>
      <c r="X4693" t="s">
        <v>323</v>
      </c>
      <c r="Y4693" t="s">
        <v>87</v>
      </c>
      <c r="Z4693" t="s">
        <v>77</v>
      </c>
      <c r="AA4693" t="str">
        <f>"11201-5509"</f>
        <v>11201-5509</v>
      </c>
      <c r="AB4693" t="s">
        <v>78</v>
      </c>
      <c r="AC4693" t="s">
        <v>79</v>
      </c>
      <c r="AD4693" t="s">
        <v>75</v>
      </c>
      <c r="AE4693" t="s">
        <v>80</v>
      </c>
      <c r="AG4693" t="s">
        <v>81</v>
      </c>
    </row>
    <row r="4694" spans="1:33" x14ac:dyDescent="0.25">
      <c r="A4694" t="str">
        <f>"1154378990"</f>
        <v>1154378990</v>
      </c>
      <c r="B4694" t="str">
        <f>"02267669"</f>
        <v>02267669</v>
      </c>
      <c r="C4694" t="s">
        <v>23847</v>
      </c>
      <c r="D4694" t="s">
        <v>23848</v>
      </c>
      <c r="E4694" t="s">
        <v>23849</v>
      </c>
      <c r="G4694" t="s">
        <v>13504</v>
      </c>
      <c r="H4694" t="s">
        <v>13505</v>
      </c>
      <c r="J4694" t="s">
        <v>13506</v>
      </c>
      <c r="L4694" t="s">
        <v>74</v>
      </c>
      <c r="M4694" t="s">
        <v>85</v>
      </c>
      <c r="R4694" t="s">
        <v>23850</v>
      </c>
      <c r="W4694" t="s">
        <v>23849</v>
      </c>
      <c r="X4694" t="s">
        <v>610</v>
      </c>
      <c r="Y4694" t="s">
        <v>87</v>
      </c>
      <c r="Z4694" t="s">
        <v>77</v>
      </c>
      <c r="AA4694" t="str">
        <f>"11203-2056"</f>
        <v>11203-2056</v>
      </c>
      <c r="AB4694" t="s">
        <v>78</v>
      </c>
      <c r="AC4694" t="s">
        <v>79</v>
      </c>
      <c r="AD4694" t="s">
        <v>75</v>
      </c>
      <c r="AE4694" t="s">
        <v>80</v>
      </c>
      <c r="AG4694" t="s">
        <v>81</v>
      </c>
    </row>
    <row r="4695" spans="1:33" x14ac:dyDescent="0.25">
      <c r="A4695" t="str">
        <f>"1518031996"</f>
        <v>1518031996</v>
      </c>
      <c r="B4695" t="str">
        <f>"01579051"</f>
        <v>01579051</v>
      </c>
      <c r="C4695" t="s">
        <v>13436</v>
      </c>
      <c r="D4695" t="s">
        <v>23851</v>
      </c>
      <c r="E4695" t="s">
        <v>23852</v>
      </c>
      <c r="G4695" t="s">
        <v>23853</v>
      </c>
      <c r="L4695" t="s">
        <v>83</v>
      </c>
      <c r="M4695" t="s">
        <v>75</v>
      </c>
      <c r="R4695" t="s">
        <v>23854</v>
      </c>
      <c r="W4695" t="s">
        <v>23852</v>
      </c>
      <c r="X4695" t="s">
        <v>602</v>
      </c>
      <c r="Y4695" t="s">
        <v>97</v>
      </c>
      <c r="Z4695" t="s">
        <v>77</v>
      </c>
      <c r="AA4695" t="str">
        <f>"10038-2612"</f>
        <v>10038-2612</v>
      </c>
      <c r="AB4695" t="s">
        <v>78</v>
      </c>
      <c r="AC4695" t="s">
        <v>79</v>
      </c>
      <c r="AD4695" t="s">
        <v>75</v>
      </c>
      <c r="AE4695" t="s">
        <v>80</v>
      </c>
      <c r="AG4695" t="s">
        <v>81</v>
      </c>
    </row>
    <row r="4696" spans="1:33" x14ac:dyDescent="0.25">
      <c r="A4696" t="str">
        <f>"1528087517"</f>
        <v>1528087517</v>
      </c>
      <c r="B4696" t="str">
        <f>"02859667"</f>
        <v>02859667</v>
      </c>
      <c r="C4696" t="s">
        <v>13436</v>
      </c>
      <c r="D4696" t="s">
        <v>23855</v>
      </c>
      <c r="E4696" t="s">
        <v>23856</v>
      </c>
      <c r="G4696" t="s">
        <v>23857</v>
      </c>
      <c r="L4696" t="s">
        <v>105</v>
      </c>
      <c r="M4696" t="s">
        <v>85</v>
      </c>
      <c r="R4696" t="s">
        <v>6107</v>
      </c>
      <c r="W4696" t="s">
        <v>23856</v>
      </c>
      <c r="X4696" t="s">
        <v>329</v>
      </c>
      <c r="Y4696" t="s">
        <v>97</v>
      </c>
      <c r="Z4696" t="s">
        <v>77</v>
      </c>
      <c r="AA4696" t="str">
        <f>"10029-6500"</f>
        <v>10029-6500</v>
      </c>
      <c r="AB4696" t="s">
        <v>78</v>
      </c>
      <c r="AC4696" t="s">
        <v>79</v>
      </c>
      <c r="AD4696" t="s">
        <v>75</v>
      </c>
      <c r="AE4696" t="s">
        <v>80</v>
      </c>
      <c r="AG4696" t="s">
        <v>81</v>
      </c>
    </row>
    <row r="4697" spans="1:33" x14ac:dyDescent="0.25">
      <c r="A4697" t="str">
        <f>"1447278809"</f>
        <v>1447278809</v>
      </c>
      <c r="B4697" t="str">
        <f>"02144847"</f>
        <v>02144847</v>
      </c>
      <c r="C4697" t="s">
        <v>13436</v>
      </c>
      <c r="D4697" t="s">
        <v>23858</v>
      </c>
      <c r="E4697" t="s">
        <v>23859</v>
      </c>
      <c r="G4697" t="s">
        <v>23860</v>
      </c>
      <c r="L4697" t="s">
        <v>74</v>
      </c>
      <c r="M4697" t="s">
        <v>75</v>
      </c>
      <c r="R4697" t="s">
        <v>23861</v>
      </c>
      <c r="W4697" t="s">
        <v>23859</v>
      </c>
      <c r="X4697" t="s">
        <v>191</v>
      </c>
      <c r="Y4697" t="s">
        <v>97</v>
      </c>
      <c r="Z4697" t="s">
        <v>77</v>
      </c>
      <c r="AA4697" t="str">
        <f>"10019-1147"</f>
        <v>10019-1147</v>
      </c>
      <c r="AB4697" t="s">
        <v>125</v>
      </c>
      <c r="AC4697" t="s">
        <v>79</v>
      </c>
      <c r="AD4697" t="s">
        <v>75</v>
      </c>
      <c r="AE4697" t="s">
        <v>80</v>
      </c>
      <c r="AG4697" t="s">
        <v>81</v>
      </c>
    </row>
    <row r="4698" spans="1:33" x14ac:dyDescent="0.25">
      <c r="A4698" t="str">
        <f>"1205918083"</f>
        <v>1205918083</v>
      </c>
      <c r="B4698" t="str">
        <f>"03528645"</f>
        <v>03528645</v>
      </c>
      <c r="C4698" t="s">
        <v>23862</v>
      </c>
      <c r="D4698" t="s">
        <v>23863</v>
      </c>
      <c r="E4698" t="s">
        <v>23864</v>
      </c>
      <c r="G4698" t="s">
        <v>7218</v>
      </c>
      <c r="H4698" t="s">
        <v>6801</v>
      </c>
      <c r="I4698">
        <v>6136</v>
      </c>
      <c r="J4698" t="s">
        <v>7219</v>
      </c>
      <c r="L4698" t="s">
        <v>74</v>
      </c>
      <c r="M4698" t="s">
        <v>75</v>
      </c>
      <c r="R4698" t="s">
        <v>23864</v>
      </c>
      <c r="W4698" t="s">
        <v>23864</v>
      </c>
      <c r="X4698" t="s">
        <v>8509</v>
      </c>
      <c r="Y4698" t="s">
        <v>145</v>
      </c>
      <c r="Z4698" t="s">
        <v>77</v>
      </c>
      <c r="AA4698" t="str">
        <f>"11361-3241"</f>
        <v>11361-3241</v>
      </c>
      <c r="AB4698" t="s">
        <v>109</v>
      </c>
      <c r="AC4698" t="s">
        <v>79</v>
      </c>
      <c r="AD4698" t="s">
        <v>75</v>
      </c>
      <c r="AE4698" t="s">
        <v>80</v>
      </c>
      <c r="AG4698" t="s">
        <v>81</v>
      </c>
    </row>
    <row r="4699" spans="1:33" x14ac:dyDescent="0.25">
      <c r="A4699" t="str">
        <f>"1639167968"</f>
        <v>1639167968</v>
      </c>
      <c r="B4699" t="str">
        <f>"02443350"</f>
        <v>02443350</v>
      </c>
      <c r="C4699" t="s">
        <v>13436</v>
      </c>
      <c r="D4699" t="s">
        <v>23865</v>
      </c>
      <c r="E4699" t="s">
        <v>23866</v>
      </c>
      <c r="G4699" t="s">
        <v>23867</v>
      </c>
      <c r="L4699" t="s">
        <v>84</v>
      </c>
      <c r="M4699" t="s">
        <v>85</v>
      </c>
      <c r="R4699" t="s">
        <v>23868</v>
      </c>
      <c r="W4699" t="s">
        <v>23869</v>
      </c>
      <c r="X4699" t="s">
        <v>11489</v>
      </c>
      <c r="Y4699" t="s">
        <v>97</v>
      </c>
      <c r="Z4699" t="s">
        <v>77</v>
      </c>
      <c r="AA4699" t="str">
        <f>"10003-3804"</f>
        <v>10003-3804</v>
      </c>
      <c r="AB4699" t="s">
        <v>78</v>
      </c>
      <c r="AC4699" t="s">
        <v>79</v>
      </c>
      <c r="AD4699" t="s">
        <v>75</v>
      </c>
      <c r="AE4699" t="s">
        <v>80</v>
      </c>
      <c r="AG4699" t="s">
        <v>81</v>
      </c>
    </row>
    <row r="4700" spans="1:33" x14ac:dyDescent="0.25">
      <c r="A4700" t="str">
        <f>"1053428284"</f>
        <v>1053428284</v>
      </c>
      <c r="B4700" t="str">
        <f>"01040413"</f>
        <v>01040413</v>
      </c>
      <c r="C4700" t="s">
        <v>13436</v>
      </c>
      <c r="D4700" t="s">
        <v>23870</v>
      </c>
      <c r="E4700" t="s">
        <v>23871</v>
      </c>
      <c r="G4700" t="s">
        <v>23872</v>
      </c>
      <c r="L4700" t="s">
        <v>84</v>
      </c>
      <c r="M4700" t="s">
        <v>85</v>
      </c>
      <c r="R4700" t="s">
        <v>23873</v>
      </c>
      <c r="W4700" t="s">
        <v>23874</v>
      </c>
      <c r="Y4700" t="s">
        <v>97</v>
      </c>
      <c r="Z4700" t="s">
        <v>77</v>
      </c>
      <c r="AA4700" t="str">
        <f>"10128-7603"</f>
        <v>10128-7603</v>
      </c>
      <c r="AB4700" t="s">
        <v>78</v>
      </c>
      <c r="AC4700" t="s">
        <v>79</v>
      </c>
      <c r="AD4700" t="s">
        <v>75</v>
      </c>
      <c r="AE4700" t="s">
        <v>80</v>
      </c>
      <c r="AG4700" t="s">
        <v>81</v>
      </c>
    </row>
    <row r="4701" spans="1:33" x14ac:dyDescent="0.25">
      <c r="A4701" t="str">
        <f>"1851305122"</f>
        <v>1851305122</v>
      </c>
      <c r="B4701" t="str">
        <f>"01484293"</f>
        <v>01484293</v>
      </c>
      <c r="C4701" t="s">
        <v>13436</v>
      </c>
      <c r="D4701" t="s">
        <v>23875</v>
      </c>
      <c r="E4701" t="s">
        <v>23876</v>
      </c>
      <c r="G4701" t="s">
        <v>23877</v>
      </c>
      <c r="L4701" t="s">
        <v>105</v>
      </c>
      <c r="M4701" t="s">
        <v>85</v>
      </c>
      <c r="R4701" t="s">
        <v>23878</v>
      </c>
      <c r="W4701" t="s">
        <v>23876</v>
      </c>
      <c r="X4701" t="s">
        <v>23879</v>
      </c>
      <c r="Y4701" t="s">
        <v>97</v>
      </c>
      <c r="Z4701" t="s">
        <v>77</v>
      </c>
      <c r="AA4701" t="str">
        <f>"10029-2314"</f>
        <v>10029-2314</v>
      </c>
      <c r="AB4701" t="s">
        <v>78</v>
      </c>
      <c r="AC4701" t="s">
        <v>79</v>
      </c>
      <c r="AD4701" t="s">
        <v>75</v>
      </c>
      <c r="AE4701" t="s">
        <v>80</v>
      </c>
      <c r="AG4701" t="s">
        <v>81</v>
      </c>
    </row>
    <row r="4702" spans="1:33" x14ac:dyDescent="0.25">
      <c r="A4702" t="str">
        <f>"1851350235"</f>
        <v>1851350235</v>
      </c>
      <c r="B4702" t="str">
        <f>"01814213"</f>
        <v>01814213</v>
      </c>
      <c r="C4702" t="s">
        <v>13436</v>
      </c>
      <c r="D4702" t="s">
        <v>23880</v>
      </c>
      <c r="E4702" t="s">
        <v>23881</v>
      </c>
      <c r="G4702" t="s">
        <v>23882</v>
      </c>
      <c r="L4702" t="s">
        <v>83</v>
      </c>
      <c r="M4702" t="s">
        <v>85</v>
      </c>
      <c r="R4702" t="s">
        <v>23883</v>
      </c>
      <c r="W4702" t="s">
        <v>23884</v>
      </c>
      <c r="X4702" t="s">
        <v>2608</v>
      </c>
      <c r="Y4702" t="s">
        <v>97</v>
      </c>
      <c r="Z4702" t="s">
        <v>77</v>
      </c>
      <c r="AA4702" t="str">
        <f>"10003-4201"</f>
        <v>10003-4201</v>
      </c>
      <c r="AB4702" t="s">
        <v>78</v>
      </c>
      <c r="AC4702" t="s">
        <v>79</v>
      </c>
      <c r="AD4702" t="s">
        <v>75</v>
      </c>
      <c r="AE4702" t="s">
        <v>80</v>
      </c>
      <c r="AG4702" t="s">
        <v>81</v>
      </c>
    </row>
    <row r="4703" spans="1:33" x14ac:dyDescent="0.25">
      <c r="A4703" t="str">
        <f>"1851350730"</f>
        <v>1851350730</v>
      </c>
      <c r="B4703" t="str">
        <f>"01922403"</f>
        <v>01922403</v>
      </c>
      <c r="C4703" t="s">
        <v>13436</v>
      </c>
      <c r="D4703" t="s">
        <v>1035</v>
      </c>
      <c r="E4703" t="s">
        <v>1036</v>
      </c>
      <c r="G4703" t="s">
        <v>23885</v>
      </c>
      <c r="L4703" t="s">
        <v>84</v>
      </c>
      <c r="M4703" t="s">
        <v>85</v>
      </c>
      <c r="R4703" t="s">
        <v>1037</v>
      </c>
      <c r="W4703" t="s">
        <v>1036</v>
      </c>
      <c r="X4703" t="s">
        <v>1038</v>
      </c>
      <c r="Y4703" t="s">
        <v>394</v>
      </c>
      <c r="Z4703" t="s">
        <v>77</v>
      </c>
      <c r="AA4703" t="str">
        <f>"11104-1600"</f>
        <v>11104-1600</v>
      </c>
      <c r="AB4703" t="s">
        <v>78</v>
      </c>
      <c r="AC4703" t="s">
        <v>79</v>
      </c>
      <c r="AD4703" t="s">
        <v>75</v>
      </c>
      <c r="AE4703" t="s">
        <v>80</v>
      </c>
      <c r="AG4703" t="s">
        <v>81</v>
      </c>
    </row>
    <row r="4704" spans="1:33" x14ac:dyDescent="0.25">
      <c r="A4704" t="str">
        <f>"1851352454"</f>
        <v>1851352454</v>
      </c>
      <c r="B4704" t="str">
        <f>"02229587"</f>
        <v>02229587</v>
      </c>
      <c r="C4704" t="s">
        <v>13436</v>
      </c>
      <c r="D4704" t="s">
        <v>23886</v>
      </c>
      <c r="E4704" t="s">
        <v>23887</v>
      </c>
      <c r="G4704" t="s">
        <v>23888</v>
      </c>
      <c r="L4704" t="s">
        <v>83</v>
      </c>
      <c r="M4704" t="s">
        <v>85</v>
      </c>
      <c r="R4704" t="s">
        <v>23889</v>
      </c>
      <c r="W4704" t="s">
        <v>23890</v>
      </c>
      <c r="X4704" t="s">
        <v>4729</v>
      </c>
      <c r="Y4704" t="s">
        <v>131</v>
      </c>
      <c r="Z4704" t="s">
        <v>77</v>
      </c>
      <c r="AA4704" t="str">
        <f>"10462-1445"</f>
        <v>10462-1445</v>
      </c>
      <c r="AB4704" t="s">
        <v>78</v>
      </c>
      <c r="AC4704" t="s">
        <v>79</v>
      </c>
      <c r="AD4704" t="s">
        <v>75</v>
      </c>
      <c r="AE4704" t="s">
        <v>80</v>
      </c>
      <c r="AG4704" t="s">
        <v>81</v>
      </c>
    </row>
    <row r="4705" spans="1:33" x14ac:dyDescent="0.25">
      <c r="A4705" t="str">
        <f>"1780771865"</f>
        <v>1780771865</v>
      </c>
      <c r="B4705" t="str">
        <f>"02134563"</f>
        <v>02134563</v>
      </c>
      <c r="C4705" t="s">
        <v>23891</v>
      </c>
      <c r="D4705" t="s">
        <v>2715</v>
      </c>
      <c r="E4705" t="s">
        <v>2716</v>
      </c>
      <c r="G4705" t="s">
        <v>12446</v>
      </c>
      <c r="H4705" t="s">
        <v>797</v>
      </c>
      <c r="J4705" t="s">
        <v>3051</v>
      </c>
      <c r="L4705" t="s">
        <v>84</v>
      </c>
      <c r="M4705" t="s">
        <v>85</v>
      </c>
      <c r="R4705" t="s">
        <v>2717</v>
      </c>
      <c r="W4705" t="s">
        <v>2716</v>
      </c>
      <c r="X4705" t="s">
        <v>2718</v>
      </c>
      <c r="Y4705" t="s">
        <v>97</v>
      </c>
      <c r="Z4705" t="s">
        <v>77</v>
      </c>
      <c r="AA4705" t="str">
        <f>"10021-4872"</f>
        <v>10021-4872</v>
      </c>
      <c r="AB4705" t="s">
        <v>78</v>
      </c>
      <c r="AC4705" t="s">
        <v>79</v>
      </c>
      <c r="AD4705" t="s">
        <v>75</v>
      </c>
      <c r="AE4705" t="s">
        <v>80</v>
      </c>
      <c r="AG4705" t="s">
        <v>81</v>
      </c>
    </row>
    <row r="4706" spans="1:33" x14ac:dyDescent="0.25">
      <c r="C4706" t="s">
        <v>23892</v>
      </c>
      <c r="G4706" t="s">
        <v>12446</v>
      </c>
      <c r="H4706" t="s">
        <v>797</v>
      </c>
      <c r="J4706" t="s">
        <v>3051</v>
      </c>
      <c r="K4706" t="s">
        <v>99</v>
      </c>
      <c r="L4706" t="s">
        <v>100</v>
      </c>
      <c r="M4706" t="s">
        <v>75</v>
      </c>
      <c r="N4706" t="s">
        <v>18367</v>
      </c>
      <c r="O4706" t="s">
        <v>1352</v>
      </c>
      <c r="P4706" t="s">
        <v>77</v>
      </c>
      <c r="Q4706" t="str">
        <f>"11106"</f>
        <v>11106</v>
      </c>
      <c r="AC4706" t="s">
        <v>79</v>
      </c>
      <c r="AD4706" t="s">
        <v>75</v>
      </c>
      <c r="AE4706" t="s">
        <v>101</v>
      </c>
      <c r="AG4706" t="s">
        <v>81</v>
      </c>
    </row>
    <row r="4707" spans="1:33" x14ac:dyDescent="0.25">
      <c r="A4707" t="str">
        <f>"1710247564"</f>
        <v>1710247564</v>
      </c>
      <c r="B4707" t="str">
        <f>"03484282"</f>
        <v>03484282</v>
      </c>
      <c r="C4707" t="s">
        <v>23893</v>
      </c>
      <c r="D4707" t="s">
        <v>2946</v>
      </c>
      <c r="E4707" t="s">
        <v>2947</v>
      </c>
      <c r="G4707" t="s">
        <v>12446</v>
      </c>
      <c r="H4707" t="s">
        <v>797</v>
      </c>
      <c r="J4707" t="s">
        <v>3051</v>
      </c>
      <c r="L4707" t="s">
        <v>84</v>
      </c>
      <c r="M4707" t="s">
        <v>75</v>
      </c>
      <c r="R4707" t="s">
        <v>2948</v>
      </c>
      <c r="W4707" t="s">
        <v>2947</v>
      </c>
      <c r="X4707" t="s">
        <v>1341</v>
      </c>
      <c r="Y4707" t="s">
        <v>131</v>
      </c>
      <c r="Z4707" t="s">
        <v>77</v>
      </c>
      <c r="AA4707" t="str">
        <f>"10459-2417"</f>
        <v>10459-2417</v>
      </c>
      <c r="AB4707" t="s">
        <v>78</v>
      </c>
      <c r="AC4707" t="s">
        <v>79</v>
      </c>
      <c r="AD4707" t="s">
        <v>75</v>
      </c>
      <c r="AE4707" t="s">
        <v>80</v>
      </c>
      <c r="AG4707" t="s">
        <v>81</v>
      </c>
    </row>
    <row r="4708" spans="1:33" x14ac:dyDescent="0.25">
      <c r="A4708" t="str">
        <f>"1881775856"</f>
        <v>1881775856</v>
      </c>
      <c r="B4708" t="str">
        <f>"02668055"</f>
        <v>02668055</v>
      </c>
      <c r="C4708" t="s">
        <v>23894</v>
      </c>
      <c r="D4708" t="s">
        <v>4348</v>
      </c>
      <c r="E4708" t="s">
        <v>4349</v>
      </c>
      <c r="G4708" t="s">
        <v>12446</v>
      </c>
      <c r="H4708" t="s">
        <v>797</v>
      </c>
      <c r="J4708" t="s">
        <v>3051</v>
      </c>
      <c r="L4708" t="s">
        <v>84</v>
      </c>
      <c r="M4708" t="s">
        <v>85</v>
      </c>
      <c r="R4708" t="s">
        <v>4350</v>
      </c>
      <c r="W4708" t="s">
        <v>4349</v>
      </c>
      <c r="X4708" t="s">
        <v>318</v>
      </c>
      <c r="Y4708" t="s">
        <v>131</v>
      </c>
      <c r="Z4708" t="s">
        <v>77</v>
      </c>
      <c r="AA4708" t="str">
        <f>"10457-7606"</f>
        <v>10457-7606</v>
      </c>
      <c r="AB4708" t="s">
        <v>78</v>
      </c>
      <c r="AC4708" t="s">
        <v>79</v>
      </c>
      <c r="AD4708" t="s">
        <v>75</v>
      </c>
      <c r="AE4708" t="s">
        <v>80</v>
      </c>
      <c r="AG4708" t="s">
        <v>81</v>
      </c>
    </row>
    <row r="4709" spans="1:33" x14ac:dyDescent="0.25">
      <c r="A4709" t="str">
        <f>"1427464007"</f>
        <v>1427464007</v>
      </c>
      <c r="B4709" t="str">
        <f>"03916112"</f>
        <v>03916112</v>
      </c>
      <c r="C4709" t="s">
        <v>23895</v>
      </c>
      <c r="D4709" t="s">
        <v>2949</v>
      </c>
      <c r="E4709" t="s">
        <v>2950</v>
      </c>
      <c r="G4709" t="s">
        <v>12446</v>
      </c>
      <c r="H4709" t="s">
        <v>797</v>
      </c>
      <c r="J4709" t="s">
        <v>3051</v>
      </c>
      <c r="L4709" t="s">
        <v>83</v>
      </c>
      <c r="M4709" t="s">
        <v>75</v>
      </c>
      <c r="R4709" t="s">
        <v>2951</v>
      </c>
      <c r="W4709" t="s">
        <v>2952</v>
      </c>
      <c r="X4709" t="s">
        <v>2769</v>
      </c>
      <c r="Y4709" t="s">
        <v>97</v>
      </c>
      <c r="Z4709" t="s">
        <v>77</v>
      </c>
      <c r="AA4709" t="str">
        <f>"10026-3138"</f>
        <v>10026-3138</v>
      </c>
      <c r="AB4709" t="s">
        <v>78</v>
      </c>
      <c r="AC4709" t="s">
        <v>79</v>
      </c>
      <c r="AD4709" t="s">
        <v>75</v>
      </c>
      <c r="AE4709" t="s">
        <v>80</v>
      </c>
      <c r="AG4709" t="s">
        <v>81</v>
      </c>
    </row>
    <row r="4710" spans="1:33" x14ac:dyDescent="0.25">
      <c r="A4710" t="str">
        <f>"1457582868"</f>
        <v>1457582868</v>
      </c>
      <c r="B4710" t="str">
        <f>"03137111"</f>
        <v>03137111</v>
      </c>
      <c r="C4710" t="s">
        <v>23896</v>
      </c>
      <c r="D4710" t="s">
        <v>4361</v>
      </c>
      <c r="E4710" t="s">
        <v>4362</v>
      </c>
      <c r="G4710" t="s">
        <v>12446</v>
      </c>
      <c r="H4710" t="s">
        <v>797</v>
      </c>
      <c r="J4710" t="s">
        <v>3051</v>
      </c>
      <c r="L4710" t="s">
        <v>84</v>
      </c>
      <c r="M4710" t="s">
        <v>85</v>
      </c>
      <c r="R4710" t="s">
        <v>4363</v>
      </c>
      <c r="W4710" t="s">
        <v>4364</v>
      </c>
      <c r="X4710" t="s">
        <v>4365</v>
      </c>
      <c r="Y4710" t="s">
        <v>87</v>
      </c>
      <c r="Z4710" t="s">
        <v>77</v>
      </c>
      <c r="AA4710" t="str">
        <f>"12205-2505"</f>
        <v>12205-2505</v>
      </c>
      <c r="AB4710" t="s">
        <v>78</v>
      </c>
      <c r="AC4710" t="s">
        <v>79</v>
      </c>
      <c r="AD4710" t="s">
        <v>75</v>
      </c>
      <c r="AE4710" t="s">
        <v>80</v>
      </c>
      <c r="AG4710" t="s">
        <v>81</v>
      </c>
    </row>
    <row r="4711" spans="1:33" x14ac:dyDescent="0.25">
      <c r="A4711" t="str">
        <f>"1588895395"</f>
        <v>1588895395</v>
      </c>
      <c r="B4711" t="str">
        <f>"03322456"</f>
        <v>03322456</v>
      </c>
      <c r="C4711" t="s">
        <v>23897</v>
      </c>
      <c r="D4711" t="s">
        <v>3535</v>
      </c>
      <c r="E4711" t="s">
        <v>3536</v>
      </c>
      <c r="G4711" t="s">
        <v>12446</v>
      </c>
      <c r="H4711" t="s">
        <v>797</v>
      </c>
      <c r="J4711" t="s">
        <v>3051</v>
      </c>
      <c r="L4711" t="s">
        <v>84</v>
      </c>
      <c r="M4711" t="s">
        <v>85</v>
      </c>
      <c r="R4711" t="s">
        <v>3537</v>
      </c>
      <c r="W4711" t="s">
        <v>3536</v>
      </c>
      <c r="X4711" t="s">
        <v>2714</v>
      </c>
      <c r="Y4711" t="s">
        <v>97</v>
      </c>
      <c r="Z4711" t="s">
        <v>77</v>
      </c>
      <c r="AA4711" t="str">
        <f>"10032-5058"</f>
        <v>10032-5058</v>
      </c>
      <c r="AB4711" t="s">
        <v>78</v>
      </c>
      <c r="AC4711" t="s">
        <v>79</v>
      </c>
      <c r="AD4711" t="s">
        <v>75</v>
      </c>
      <c r="AE4711" t="s">
        <v>80</v>
      </c>
      <c r="AG4711" t="s">
        <v>81</v>
      </c>
    </row>
    <row r="4712" spans="1:33" x14ac:dyDescent="0.25">
      <c r="A4712" t="str">
        <f>"1326334848"</f>
        <v>1326334848</v>
      </c>
      <c r="B4712" t="str">
        <f>"03433667"</f>
        <v>03433667</v>
      </c>
      <c r="C4712" t="s">
        <v>23898</v>
      </c>
      <c r="D4712" t="s">
        <v>23899</v>
      </c>
      <c r="E4712" t="s">
        <v>23900</v>
      </c>
      <c r="L4712" t="s">
        <v>83</v>
      </c>
      <c r="M4712" t="s">
        <v>75</v>
      </c>
      <c r="R4712" t="s">
        <v>23901</v>
      </c>
      <c r="W4712" t="s">
        <v>23902</v>
      </c>
      <c r="X4712" t="s">
        <v>23903</v>
      </c>
      <c r="Y4712" t="s">
        <v>155</v>
      </c>
      <c r="Z4712" t="s">
        <v>77</v>
      </c>
      <c r="AA4712" t="str">
        <f>"10301-0001"</f>
        <v>10301-0001</v>
      </c>
      <c r="AB4712" t="s">
        <v>78</v>
      </c>
      <c r="AC4712" t="s">
        <v>79</v>
      </c>
      <c r="AD4712" t="s">
        <v>75</v>
      </c>
      <c r="AE4712" t="s">
        <v>80</v>
      </c>
      <c r="AG4712" t="s">
        <v>81</v>
      </c>
    </row>
    <row r="4713" spans="1:33" x14ac:dyDescent="0.25">
      <c r="A4713" t="str">
        <f>"1174805469"</f>
        <v>1174805469</v>
      </c>
      <c r="B4713" t="str">
        <f>"03498033"</f>
        <v>03498033</v>
      </c>
      <c r="C4713" t="s">
        <v>23904</v>
      </c>
      <c r="D4713" t="s">
        <v>23905</v>
      </c>
      <c r="E4713" t="s">
        <v>23906</v>
      </c>
      <c r="L4713" t="s">
        <v>74</v>
      </c>
      <c r="M4713" t="s">
        <v>85</v>
      </c>
      <c r="R4713" t="s">
        <v>23907</v>
      </c>
      <c r="W4713" t="s">
        <v>23906</v>
      </c>
      <c r="X4713" t="s">
        <v>23908</v>
      </c>
      <c r="Y4713" t="s">
        <v>97</v>
      </c>
      <c r="Z4713" t="s">
        <v>77</v>
      </c>
      <c r="AA4713" t="str">
        <f>"10034-1860"</f>
        <v>10034-1860</v>
      </c>
      <c r="AB4713" t="s">
        <v>78</v>
      </c>
      <c r="AC4713" t="s">
        <v>79</v>
      </c>
      <c r="AD4713" t="s">
        <v>75</v>
      </c>
      <c r="AE4713" t="s">
        <v>80</v>
      </c>
      <c r="AG4713" t="s">
        <v>81</v>
      </c>
    </row>
    <row r="4714" spans="1:33" x14ac:dyDescent="0.25">
      <c r="A4714" t="str">
        <f>"1881607265"</f>
        <v>1881607265</v>
      </c>
      <c r="B4714" t="str">
        <f>"03797459"</f>
        <v>03797459</v>
      </c>
      <c r="C4714" t="s">
        <v>23909</v>
      </c>
      <c r="D4714" t="s">
        <v>23910</v>
      </c>
      <c r="E4714" t="s">
        <v>23911</v>
      </c>
      <c r="L4714" t="s">
        <v>84</v>
      </c>
      <c r="M4714" t="s">
        <v>75</v>
      </c>
      <c r="R4714" t="s">
        <v>23912</v>
      </c>
      <c r="W4714" t="s">
        <v>23911</v>
      </c>
      <c r="X4714" t="s">
        <v>3184</v>
      </c>
      <c r="Y4714" t="s">
        <v>131</v>
      </c>
      <c r="Z4714" t="s">
        <v>77</v>
      </c>
      <c r="AA4714" t="str">
        <f>"10460-5802"</f>
        <v>10460-5802</v>
      </c>
      <c r="AB4714" t="s">
        <v>78</v>
      </c>
      <c r="AC4714" t="s">
        <v>79</v>
      </c>
      <c r="AD4714" t="s">
        <v>75</v>
      </c>
      <c r="AE4714" t="s">
        <v>80</v>
      </c>
      <c r="AG4714" t="s">
        <v>81</v>
      </c>
    </row>
    <row r="4715" spans="1:33" x14ac:dyDescent="0.25">
      <c r="A4715" t="str">
        <f>"1093035297"</f>
        <v>1093035297</v>
      </c>
      <c r="B4715" t="str">
        <f>"03509666"</f>
        <v>03509666</v>
      </c>
      <c r="C4715" t="s">
        <v>23913</v>
      </c>
      <c r="D4715" t="s">
        <v>23914</v>
      </c>
      <c r="E4715" t="s">
        <v>23915</v>
      </c>
      <c r="L4715" t="s">
        <v>83</v>
      </c>
      <c r="M4715" t="s">
        <v>85</v>
      </c>
      <c r="W4715" t="s">
        <v>23915</v>
      </c>
      <c r="X4715" t="s">
        <v>23916</v>
      </c>
      <c r="Y4715" t="s">
        <v>97</v>
      </c>
      <c r="Z4715" t="s">
        <v>77</v>
      </c>
      <c r="AA4715" t="str">
        <f>"10017-3115"</f>
        <v>10017-3115</v>
      </c>
      <c r="AB4715" t="s">
        <v>78</v>
      </c>
      <c r="AC4715" t="s">
        <v>79</v>
      </c>
      <c r="AD4715" t="s">
        <v>75</v>
      </c>
      <c r="AE4715" t="s">
        <v>80</v>
      </c>
      <c r="AG4715" t="s">
        <v>81</v>
      </c>
    </row>
    <row r="4716" spans="1:33" x14ac:dyDescent="0.25">
      <c r="A4716" t="str">
        <f>"1700042298"</f>
        <v>1700042298</v>
      </c>
      <c r="B4716" t="str">
        <f>"03491421"</f>
        <v>03491421</v>
      </c>
      <c r="C4716" t="s">
        <v>23917</v>
      </c>
      <c r="D4716" t="s">
        <v>23918</v>
      </c>
      <c r="E4716" t="s">
        <v>23919</v>
      </c>
      <c r="L4716" t="s">
        <v>83</v>
      </c>
      <c r="M4716" t="s">
        <v>85</v>
      </c>
      <c r="R4716" t="s">
        <v>23920</v>
      </c>
      <c r="W4716" t="s">
        <v>23919</v>
      </c>
      <c r="X4716" t="s">
        <v>20203</v>
      </c>
      <c r="Y4716" t="s">
        <v>97</v>
      </c>
      <c r="Z4716" t="s">
        <v>77</v>
      </c>
      <c r="AA4716" t="str">
        <f>"10026-0001"</f>
        <v>10026-0001</v>
      </c>
      <c r="AB4716" t="s">
        <v>78</v>
      </c>
      <c r="AC4716" t="s">
        <v>79</v>
      </c>
      <c r="AD4716" t="s">
        <v>75</v>
      </c>
      <c r="AE4716" t="s">
        <v>80</v>
      </c>
      <c r="AG4716" t="s">
        <v>81</v>
      </c>
    </row>
    <row r="4717" spans="1:33" x14ac:dyDescent="0.25">
      <c r="A4717" t="str">
        <f>"1285681650"</f>
        <v>1285681650</v>
      </c>
      <c r="B4717" t="str">
        <f>"01807441"</f>
        <v>01807441</v>
      </c>
      <c r="C4717" t="s">
        <v>23921</v>
      </c>
      <c r="D4717" t="s">
        <v>1499</v>
      </c>
      <c r="E4717" t="s">
        <v>1500</v>
      </c>
      <c r="G4717" t="s">
        <v>6513</v>
      </c>
      <c r="H4717" t="s">
        <v>6514</v>
      </c>
      <c r="J4717" t="s">
        <v>6515</v>
      </c>
      <c r="L4717" t="s">
        <v>83</v>
      </c>
      <c r="M4717" t="s">
        <v>75</v>
      </c>
      <c r="R4717" t="s">
        <v>1498</v>
      </c>
      <c r="W4717" t="s">
        <v>1500</v>
      </c>
      <c r="X4717" t="s">
        <v>297</v>
      </c>
      <c r="Y4717" t="s">
        <v>139</v>
      </c>
      <c r="Z4717" t="s">
        <v>77</v>
      </c>
      <c r="AA4717" t="str">
        <f>"11355-5044"</f>
        <v>11355-5044</v>
      </c>
      <c r="AB4717" t="s">
        <v>78</v>
      </c>
      <c r="AC4717" t="s">
        <v>79</v>
      </c>
      <c r="AD4717" t="s">
        <v>75</v>
      </c>
      <c r="AE4717" t="s">
        <v>80</v>
      </c>
      <c r="AG4717" t="s">
        <v>81</v>
      </c>
    </row>
    <row r="4718" spans="1:33" x14ac:dyDescent="0.25">
      <c r="A4718" t="str">
        <f>"1679814255"</f>
        <v>1679814255</v>
      </c>
      <c r="B4718" t="str">
        <f>"04033556"</f>
        <v>04033556</v>
      </c>
      <c r="C4718" t="s">
        <v>23922</v>
      </c>
      <c r="D4718" t="s">
        <v>4030</v>
      </c>
      <c r="E4718" t="s">
        <v>4031</v>
      </c>
      <c r="G4718" t="s">
        <v>6513</v>
      </c>
      <c r="H4718" t="s">
        <v>6514</v>
      </c>
      <c r="J4718" t="s">
        <v>6515</v>
      </c>
      <c r="L4718" t="s">
        <v>74</v>
      </c>
      <c r="M4718" t="s">
        <v>75</v>
      </c>
      <c r="R4718" t="s">
        <v>4031</v>
      </c>
      <c r="W4718" t="s">
        <v>4031</v>
      </c>
      <c r="X4718" t="s">
        <v>2093</v>
      </c>
      <c r="Y4718" t="s">
        <v>97</v>
      </c>
      <c r="Z4718" t="s">
        <v>77</v>
      </c>
      <c r="AA4718" t="str">
        <f>"10025-1715"</f>
        <v>10025-1715</v>
      </c>
      <c r="AB4718" t="s">
        <v>78</v>
      </c>
      <c r="AC4718" t="s">
        <v>79</v>
      </c>
      <c r="AD4718" t="s">
        <v>75</v>
      </c>
      <c r="AE4718" t="s">
        <v>80</v>
      </c>
      <c r="AG4718" t="s">
        <v>81</v>
      </c>
    </row>
    <row r="4719" spans="1:33" x14ac:dyDescent="0.25">
      <c r="A4719" t="str">
        <f>"1063736742"</f>
        <v>1063736742</v>
      </c>
      <c r="B4719" t="str">
        <f>"03225101"</f>
        <v>03225101</v>
      </c>
      <c r="C4719" t="s">
        <v>23923</v>
      </c>
      <c r="D4719" t="s">
        <v>6151</v>
      </c>
      <c r="E4719" t="s">
        <v>6152</v>
      </c>
      <c r="G4719" t="s">
        <v>6513</v>
      </c>
      <c r="H4719" t="s">
        <v>6514</v>
      </c>
      <c r="J4719" t="s">
        <v>6515</v>
      </c>
      <c r="L4719" t="s">
        <v>105</v>
      </c>
      <c r="M4719" t="s">
        <v>75</v>
      </c>
      <c r="R4719" t="s">
        <v>6153</v>
      </c>
      <c r="W4719" t="s">
        <v>6152</v>
      </c>
      <c r="X4719" t="s">
        <v>4305</v>
      </c>
      <c r="Y4719" t="s">
        <v>87</v>
      </c>
      <c r="Z4719" t="s">
        <v>77</v>
      </c>
      <c r="AA4719" t="str">
        <f>"11226-6903"</f>
        <v>11226-6903</v>
      </c>
      <c r="AB4719" t="s">
        <v>125</v>
      </c>
      <c r="AC4719" t="s">
        <v>79</v>
      </c>
      <c r="AD4719" t="s">
        <v>75</v>
      </c>
      <c r="AE4719" t="s">
        <v>80</v>
      </c>
      <c r="AG4719" t="s">
        <v>81</v>
      </c>
    </row>
    <row r="4720" spans="1:33" x14ac:dyDescent="0.25">
      <c r="A4720" t="str">
        <f>"1689660565"</f>
        <v>1689660565</v>
      </c>
      <c r="B4720" t="str">
        <f>"01756087"</f>
        <v>01756087</v>
      </c>
      <c r="C4720" t="s">
        <v>23924</v>
      </c>
      <c r="D4720" t="s">
        <v>827</v>
      </c>
      <c r="E4720" t="s">
        <v>828</v>
      </c>
      <c r="G4720" t="s">
        <v>6513</v>
      </c>
      <c r="H4720" t="s">
        <v>6514</v>
      </c>
      <c r="J4720" t="s">
        <v>6515</v>
      </c>
      <c r="L4720" t="s">
        <v>83</v>
      </c>
      <c r="M4720" t="s">
        <v>85</v>
      </c>
      <c r="R4720" t="s">
        <v>829</v>
      </c>
      <c r="W4720" t="s">
        <v>828</v>
      </c>
      <c r="X4720" t="s">
        <v>186</v>
      </c>
      <c r="Y4720" t="s">
        <v>97</v>
      </c>
      <c r="Z4720" t="s">
        <v>77</v>
      </c>
      <c r="AA4720" t="str">
        <f>"10029-7491"</f>
        <v>10029-7491</v>
      </c>
      <c r="AB4720" t="s">
        <v>78</v>
      </c>
      <c r="AC4720" t="s">
        <v>79</v>
      </c>
      <c r="AD4720" t="s">
        <v>75</v>
      </c>
      <c r="AE4720" t="s">
        <v>80</v>
      </c>
      <c r="AG4720" t="s">
        <v>81</v>
      </c>
    </row>
    <row r="4721" spans="1:33" x14ac:dyDescent="0.25">
      <c r="A4721" t="str">
        <f>"1881666519"</f>
        <v>1881666519</v>
      </c>
      <c r="B4721" t="str">
        <f>"01883985"</f>
        <v>01883985</v>
      </c>
      <c r="C4721" t="s">
        <v>13436</v>
      </c>
      <c r="D4721" t="s">
        <v>23925</v>
      </c>
      <c r="E4721" t="s">
        <v>23926</v>
      </c>
      <c r="G4721" t="s">
        <v>23927</v>
      </c>
      <c r="L4721" t="s">
        <v>84</v>
      </c>
      <c r="M4721" t="s">
        <v>85</v>
      </c>
      <c r="R4721" t="s">
        <v>23928</v>
      </c>
      <c r="W4721" t="s">
        <v>23926</v>
      </c>
      <c r="X4721" t="s">
        <v>23929</v>
      </c>
      <c r="Y4721" t="s">
        <v>97</v>
      </c>
      <c r="Z4721" t="s">
        <v>77</v>
      </c>
      <c r="AA4721" t="str">
        <f>"10034-1199"</f>
        <v>10034-1199</v>
      </c>
      <c r="AB4721" t="s">
        <v>78</v>
      </c>
      <c r="AC4721" t="s">
        <v>79</v>
      </c>
      <c r="AD4721" t="s">
        <v>75</v>
      </c>
      <c r="AE4721" t="s">
        <v>80</v>
      </c>
      <c r="AG4721" t="s">
        <v>81</v>
      </c>
    </row>
    <row r="4722" spans="1:33" x14ac:dyDescent="0.25">
      <c r="A4722" t="str">
        <f>"1881687622"</f>
        <v>1881687622</v>
      </c>
      <c r="B4722" t="str">
        <f>"01386149"</f>
        <v>01386149</v>
      </c>
      <c r="C4722" t="s">
        <v>13436</v>
      </c>
      <c r="D4722" t="s">
        <v>23930</v>
      </c>
      <c r="E4722" t="s">
        <v>23931</v>
      </c>
      <c r="G4722" t="s">
        <v>23932</v>
      </c>
      <c r="L4722" t="s">
        <v>83</v>
      </c>
      <c r="M4722" t="s">
        <v>85</v>
      </c>
      <c r="R4722" t="s">
        <v>23933</v>
      </c>
      <c r="W4722" t="s">
        <v>23931</v>
      </c>
      <c r="X4722" t="s">
        <v>185</v>
      </c>
      <c r="Y4722" t="s">
        <v>97</v>
      </c>
      <c r="Z4722" t="s">
        <v>77</v>
      </c>
      <c r="AA4722" t="str">
        <f>"10035-2709"</f>
        <v>10035-2709</v>
      </c>
      <c r="AB4722" t="s">
        <v>78</v>
      </c>
      <c r="AC4722" t="s">
        <v>79</v>
      </c>
      <c r="AD4722" t="s">
        <v>75</v>
      </c>
      <c r="AE4722" t="s">
        <v>80</v>
      </c>
      <c r="AG4722" t="s">
        <v>81</v>
      </c>
    </row>
    <row r="4723" spans="1:33" x14ac:dyDescent="0.25">
      <c r="A4723" t="str">
        <f>"1568596641"</f>
        <v>1568596641</v>
      </c>
      <c r="B4723" t="str">
        <f>"01777357"</f>
        <v>01777357</v>
      </c>
      <c r="C4723" t="s">
        <v>13436</v>
      </c>
      <c r="D4723" t="s">
        <v>23934</v>
      </c>
      <c r="E4723" t="s">
        <v>23935</v>
      </c>
      <c r="G4723" t="s">
        <v>23936</v>
      </c>
      <c r="L4723" t="s">
        <v>74</v>
      </c>
      <c r="M4723" t="s">
        <v>85</v>
      </c>
      <c r="R4723" t="s">
        <v>23937</v>
      </c>
      <c r="W4723" t="s">
        <v>23935</v>
      </c>
      <c r="X4723" t="s">
        <v>14807</v>
      </c>
      <c r="Y4723" t="s">
        <v>97</v>
      </c>
      <c r="Z4723" t="s">
        <v>77</v>
      </c>
      <c r="AA4723" t="str">
        <f>"10128-7603"</f>
        <v>10128-7603</v>
      </c>
      <c r="AB4723" t="s">
        <v>78</v>
      </c>
      <c r="AC4723" t="s">
        <v>79</v>
      </c>
      <c r="AD4723" t="s">
        <v>75</v>
      </c>
      <c r="AE4723" t="s">
        <v>80</v>
      </c>
      <c r="AG4723" t="s">
        <v>81</v>
      </c>
    </row>
    <row r="4724" spans="1:33" x14ac:dyDescent="0.25">
      <c r="A4724" t="str">
        <f>"1275813404"</f>
        <v>1275813404</v>
      </c>
      <c r="B4724" t="str">
        <f>"03482648"</f>
        <v>03482648</v>
      </c>
      <c r="C4724" t="s">
        <v>23938</v>
      </c>
      <c r="D4724" t="s">
        <v>23939</v>
      </c>
      <c r="E4724" t="s">
        <v>23940</v>
      </c>
      <c r="G4724" t="s">
        <v>23941</v>
      </c>
      <c r="H4724" t="s">
        <v>23942</v>
      </c>
      <c r="J4724" t="s">
        <v>23943</v>
      </c>
      <c r="L4724" t="s">
        <v>143</v>
      </c>
      <c r="M4724" t="s">
        <v>75</v>
      </c>
      <c r="R4724" t="s">
        <v>23944</v>
      </c>
      <c r="W4724" t="s">
        <v>23940</v>
      </c>
      <c r="X4724" t="s">
        <v>4091</v>
      </c>
      <c r="Y4724" t="s">
        <v>97</v>
      </c>
      <c r="Z4724" t="s">
        <v>77</v>
      </c>
      <c r="AA4724" t="str">
        <f>"10017-3301"</f>
        <v>10017-3301</v>
      </c>
      <c r="AB4724" t="s">
        <v>78</v>
      </c>
      <c r="AC4724" t="s">
        <v>79</v>
      </c>
      <c r="AD4724" t="s">
        <v>75</v>
      </c>
      <c r="AE4724" t="s">
        <v>80</v>
      </c>
      <c r="AG4724" t="s">
        <v>81</v>
      </c>
    </row>
    <row r="4725" spans="1:33" x14ac:dyDescent="0.25">
      <c r="A4725" t="str">
        <f>"1992086813"</f>
        <v>1992086813</v>
      </c>
      <c r="C4725" t="s">
        <v>23945</v>
      </c>
      <c r="G4725" t="s">
        <v>23941</v>
      </c>
      <c r="H4725" t="s">
        <v>23942</v>
      </c>
      <c r="J4725" t="s">
        <v>23943</v>
      </c>
      <c r="K4725" t="s">
        <v>99</v>
      </c>
      <c r="L4725" t="s">
        <v>74</v>
      </c>
      <c r="M4725" t="s">
        <v>75</v>
      </c>
      <c r="R4725" t="s">
        <v>23946</v>
      </c>
      <c r="S4725" t="s">
        <v>23947</v>
      </c>
      <c r="T4725" t="s">
        <v>87</v>
      </c>
      <c r="U4725" t="s">
        <v>77</v>
      </c>
      <c r="V4725" t="str">
        <f>"112156804"</f>
        <v>112156804</v>
      </c>
      <c r="AC4725" t="s">
        <v>79</v>
      </c>
      <c r="AD4725" t="s">
        <v>75</v>
      </c>
      <c r="AE4725" t="s">
        <v>103</v>
      </c>
      <c r="AG4725" t="s">
        <v>81</v>
      </c>
    </row>
    <row r="4726" spans="1:33" x14ac:dyDescent="0.25">
      <c r="A4726" t="str">
        <f>"1457500464"</f>
        <v>1457500464</v>
      </c>
      <c r="B4726" t="str">
        <f>"03068224"</f>
        <v>03068224</v>
      </c>
      <c r="C4726" t="s">
        <v>23948</v>
      </c>
      <c r="D4726" t="s">
        <v>23949</v>
      </c>
      <c r="E4726" t="s">
        <v>23950</v>
      </c>
      <c r="G4726" t="s">
        <v>23951</v>
      </c>
      <c r="H4726" t="s">
        <v>23952</v>
      </c>
      <c r="J4726" t="s">
        <v>23953</v>
      </c>
      <c r="L4726" t="s">
        <v>74</v>
      </c>
      <c r="M4726" t="s">
        <v>75</v>
      </c>
      <c r="R4726" t="s">
        <v>23954</v>
      </c>
      <c r="W4726" t="s">
        <v>23950</v>
      </c>
      <c r="X4726" t="s">
        <v>3082</v>
      </c>
      <c r="Y4726" t="s">
        <v>97</v>
      </c>
      <c r="Z4726" t="s">
        <v>77</v>
      </c>
      <c r="AA4726" t="str">
        <f>"10027-4990"</f>
        <v>10027-4990</v>
      </c>
      <c r="AB4726" t="s">
        <v>78</v>
      </c>
      <c r="AC4726" t="s">
        <v>79</v>
      </c>
      <c r="AD4726" t="s">
        <v>75</v>
      </c>
      <c r="AE4726" t="s">
        <v>80</v>
      </c>
      <c r="AG4726" t="s">
        <v>81</v>
      </c>
    </row>
    <row r="4727" spans="1:33" x14ac:dyDescent="0.25">
      <c r="A4727" t="str">
        <f>"1235123027"</f>
        <v>1235123027</v>
      </c>
      <c r="B4727" t="str">
        <f>"02268028"</f>
        <v>02268028</v>
      </c>
      <c r="C4727" t="s">
        <v>13436</v>
      </c>
      <c r="D4727" t="s">
        <v>23955</v>
      </c>
      <c r="E4727" t="s">
        <v>23956</v>
      </c>
      <c r="G4727" t="s">
        <v>23957</v>
      </c>
      <c r="L4727" t="s">
        <v>83</v>
      </c>
      <c r="M4727" t="s">
        <v>85</v>
      </c>
      <c r="R4727" t="s">
        <v>23958</v>
      </c>
      <c r="W4727" t="s">
        <v>23956</v>
      </c>
      <c r="X4727" t="s">
        <v>23959</v>
      </c>
      <c r="Y4727" t="s">
        <v>97</v>
      </c>
      <c r="Z4727" t="s">
        <v>77</v>
      </c>
      <c r="AA4727" t="str">
        <f>"10016-4750"</f>
        <v>10016-4750</v>
      </c>
      <c r="AB4727" t="s">
        <v>78</v>
      </c>
      <c r="AC4727" t="s">
        <v>79</v>
      </c>
      <c r="AD4727" t="s">
        <v>75</v>
      </c>
      <c r="AE4727" t="s">
        <v>80</v>
      </c>
      <c r="AG4727" t="s">
        <v>81</v>
      </c>
    </row>
    <row r="4728" spans="1:33" x14ac:dyDescent="0.25">
      <c r="A4728" t="str">
        <f>"1235144049"</f>
        <v>1235144049</v>
      </c>
      <c r="C4728" t="s">
        <v>13436</v>
      </c>
      <c r="K4728" t="s">
        <v>99</v>
      </c>
      <c r="L4728" t="s">
        <v>102</v>
      </c>
      <c r="M4728" t="s">
        <v>75</v>
      </c>
      <c r="R4728" t="s">
        <v>23960</v>
      </c>
      <c r="S4728" t="s">
        <v>1341</v>
      </c>
      <c r="T4728" t="s">
        <v>131</v>
      </c>
      <c r="U4728" t="s">
        <v>77</v>
      </c>
      <c r="V4728" t="str">
        <f>"104592417"</f>
        <v>104592417</v>
      </c>
      <c r="AC4728" t="s">
        <v>79</v>
      </c>
      <c r="AD4728" t="s">
        <v>75</v>
      </c>
      <c r="AE4728" t="s">
        <v>103</v>
      </c>
      <c r="AG4728" t="s">
        <v>81</v>
      </c>
    </row>
    <row r="4729" spans="1:33" x14ac:dyDescent="0.25">
      <c r="A4729" t="str">
        <f>"1235152802"</f>
        <v>1235152802</v>
      </c>
      <c r="B4729" t="str">
        <f>"03108261"</f>
        <v>03108261</v>
      </c>
      <c r="C4729" t="s">
        <v>13436</v>
      </c>
      <c r="D4729" t="s">
        <v>23961</v>
      </c>
      <c r="E4729" t="s">
        <v>23962</v>
      </c>
      <c r="L4729" t="s">
        <v>83</v>
      </c>
      <c r="M4729" t="s">
        <v>85</v>
      </c>
      <c r="R4729" t="s">
        <v>23963</v>
      </c>
      <c r="W4729" t="s">
        <v>23964</v>
      </c>
      <c r="X4729" t="s">
        <v>23965</v>
      </c>
      <c r="Y4729" t="s">
        <v>97</v>
      </c>
      <c r="Z4729" t="s">
        <v>77</v>
      </c>
      <c r="AA4729" t="str">
        <f>"10016-2708"</f>
        <v>10016-2708</v>
      </c>
      <c r="AB4729" t="s">
        <v>78</v>
      </c>
      <c r="AC4729" t="s">
        <v>79</v>
      </c>
      <c r="AD4729" t="s">
        <v>75</v>
      </c>
      <c r="AE4729" t="s">
        <v>80</v>
      </c>
      <c r="AG4729" t="s">
        <v>81</v>
      </c>
    </row>
    <row r="4730" spans="1:33" x14ac:dyDescent="0.25">
      <c r="A4730" t="str">
        <f>"1235162017"</f>
        <v>1235162017</v>
      </c>
      <c r="B4730" t="str">
        <f>"01054255"</f>
        <v>01054255</v>
      </c>
      <c r="C4730" t="s">
        <v>13436</v>
      </c>
      <c r="D4730" t="s">
        <v>23966</v>
      </c>
      <c r="E4730" t="s">
        <v>23967</v>
      </c>
      <c r="G4730" t="s">
        <v>23968</v>
      </c>
      <c r="L4730" t="s">
        <v>74</v>
      </c>
      <c r="M4730" t="s">
        <v>75</v>
      </c>
      <c r="R4730" t="s">
        <v>23969</v>
      </c>
      <c r="W4730" t="s">
        <v>23967</v>
      </c>
      <c r="X4730" t="s">
        <v>592</v>
      </c>
      <c r="Y4730" t="s">
        <v>87</v>
      </c>
      <c r="Z4730" t="s">
        <v>77</v>
      </c>
      <c r="AA4730" t="str">
        <f>"11213-1166"</f>
        <v>11213-1166</v>
      </c>
      <c r="AB4730" t="s">
        <v>78</v>
      </c>
      <c r="AC4730" t="s">
        <v>79</v>
      </c>
      <c r="AD4730" t="s">
        <v>75</v>
      </c>
      <c r="AE4730" t="s">
        <v>80</v>
      </c>
      <c r="AG4730" t="s">
        <v>81</v>
      </c>
    </row>
    <row r="4731" spans="1:33" x14ac:dyDescent="0.25">
      <c r="A4731" t="str">
        <f>"1386676401"</f>
        <v>1386676401</v>
      </c>
      <c r="B4731" t="str">
        <f>"01572009"</f>
        <v>01572009</v>
      </c>
      <c r="C4731" t="s">
        <v>13436</v>
      </c>
      <c r="D4731" t="s">
        <v>23970</v>
      </c>
      <c r="E4731" t="s">
        <v>23971</v>
      </c>
      <c r="G4731" t="s">
        <v>23972</v>
      </c>
      <c r="L4731" t="s">
        <v>84</v>
      </c>
      <c r="M4731" t="s">
        <v>85</v>
      </c>
      <c r="R4731" t="s">
        <v>23973</v>
      </c>
      <c r="W4731" t="s">
        <v>23971</v>
      </c>
      <c r="X4731" t="s">
        <v>23974</v>
      </c>
      <c r="Y4731" t="s">
        <v>97</v>
      </c>
      <c r="Z4731" t="s">
        <v>77</v>
      </c>
      <c r="AA4731" t="str">
        <f>"10029-5208"</f>
        <v>10029-5208</v>
      </c>
      <c r="AB4731" t="s">
        <v>78</v>
      </c>
      <c r="AC4731" t="s">
        <v>79</v>
      </c>
      <c r="AD4731" t="s">
        <v>75</v>
      </c>
      <c r="AE4731" t="s">
        <v>80</v>
      </c>
      <c r="AG4731" t="s">
        <v>81</v>
      </c>
    </row>
    <row r="4732" spans="1:33" x14ac:dyDescent="0.25">
      <c r="A4732" t="str">
        <f>"1386713055"</f>
        <v>1386713055</v>
      </c>
      <c r="B4732" t="str">
        <f>"03873392"</f>
        <v>03873392</v>
      </c>
      <c r="C4732" t="s">
        <v>13436</v>
      </c>
      <c r="D4732" t="s">
        <v>23975</v>
      </c>
      <c r="E4732" t="s">
        <v>23976</v>
      </c>
      <c r="G4732" t="s">
        <v>23977</v>
      </c>
      <c r="L4732" t="s">
        <v>84</v>
      </c>
      <c r="M4732" t="s">
        <v>75</v>
      </c>
      <c r="R4732" t="s">
        <v>23976</v>
      </c>
      <c r="W4732" t="s">
        <v>23978</v>
      </c>
      <c r="X4732" t="s">
        <v>4473</v>
      </c>
      <c r="Y4732" t="s">
        <v>217</v>
      </c>
      <c r="Z4732" t="s">
        <v>77</v>
      </c>
      <c r="AA4732" t="str">
        <f>"11557-1405"</f>
        <v>11557-1405</v>
      </c>
      <c r="AB4732" t="s">
        <v>78</v>
      </c>
      <c r="AC4732" t="s">
        <v>79</v>
      </c>
      <c r="AD4732" t="s">
        <v>75</v>
      </c>
      <c r="AE4732" t="s">
        <v>80</v>
      </c>
      <c r="AG4732" t="s">
        <v>81</v>
      </c>
    </row>
    <row r="4733" spans="1:33" x14ac:dyDescent="0.25">
      <c r="A4733" t="str">
        <f>"1386730406"</f>
        <v>1386730406</v>
      </c>
      <c r="C4733" t="s">
        <v>13436</v>
      </c>
      <c r="G4733" t="s">
        <v>23979</v>
      </c>
      <c r="K4733" t="s">
        <v>99</v>
      </c>
      <c r="L4733" t="s">
        <v>74</v>
      </c>
      <c r="M4733" t="s">
        <v>75</v>
      </c>
      <c r="R4733" t="s">
        <v>23980</v>
      </c>
      <c r="S4733" t="s">
        <v>329</v>
      </c>
      <c r="T4733" t="s">
        <v>97</v>
      </c>
      <c r="U4733" t="s">
        <v>77</v>
      </c>
      <c r="V4733" t="str">
        <f>"100296500"</f>
        <v>100296500</v>
      </c>
      <c r="AC4733" t="s">
        <v>79</v>
      </c>
      <c r="AD4733" t="s">
        <v>75</v>
      </c>
      <c r="AE4733" t="s">
        <v>103</v>
      </c>
      <c r="AG4733" t="s">
        <v>81</v>
      </c>
    </row>
    <row r="4734" spans="1:33" x14ac:dyDescent="0.25">
      <c r="A4734" t="str">
        <f>"1386764900"</f>
        <v>1386764900</v>
      </c>
      <c r="B4734" t="str">
        <f>"03110914"</f>
        <v>03110914</v>
      </c>
      <c r="C4734" t="s">
        <v>13436</v>
      </c>
      <c r="D4734" t="s">
        <v>23981</v>
      </c>
      <c r="E4734" t="s">
        <v>23982</v>
      </c>
      <c r="G4734" t="s">
        <v>23983</v>
      </c>
      <c r="L4734" t="s">
        <v>84</v>
      </c>
      <c r="M4734" t="s">
        <v>85</v>
      </c>
      <c r="R4734" t="s">
        <v>23982</v>
      </c>
      <c r="W4734" t="s">
        <v>23984</v>
      </c>
      <c r="X4734" t="s">
        <v>329</v>
      </c>
      <c r="Y4734" t="s">
        <v>97</v>
      </c>
      <c r="Z4734" t="s">
        <v>77</v>
      </c>
      <c r="AA4734" t="str">
        <f>"10029-6500"</f>
        <v>10029-6500</v>
      </c>
      <c r="AB4734" t="s">
        <v>78</v>
      </c>
      <c r="AC4734" t="s">
        <v>79</v>
      </c>
      <c r="AD4734" t="s">
        <v>75</v>
      </c>
      <c r="AE4734" t="s">
        <v>80</v>
      </c>
      <c r="AG4734" t="s">
        <v>81</v>
      </c>
    </row>
    <row r="4735" spans="1:33" x14ac:dyDescent="0.25">
      <c r="A4735" t="str">
        <f>"1669457248"</f>
        <v>1669457248</v>
      </c>
      <c r="B4735" t="str">
        <f>"03214904"</f>
        <v>03214904</v>
      </c>
      <c r="C4735" t="s">
        <v>13436</v>
      </c>
      <c r="D4735" t="s">
        <v>23985</v>
      </c>
      <c r="E4735" t="s">
        <v>23986</v>
      </c>
      <c r="G4735" t="s">
        <v>23987</v>
      </c>
      <c r="L4735" t="s">
        <v>74</v>
      </c>
      <c r="M4735" t="s">
        <v>85</v>
      </c>
      <c r="R4735" t="s">
        <v>23988</v>
      </c>
      <c r="W4735" t="s">
        <v>23986</v>
      </c>
      <c r="X4735" t="s">
        <v>272</v>
      </c>
      <c r="Y4735" t="s">
        <v>97</v>
      </c>
      <c r="Z4735" t="s">
        <v>77</v>
      </c>
      <c r="AA4735" t="str">
        <f>"10029-6501"</f>
        <v>10029-6501</v>
      </c>
      <c r="AB4735" t="s">
        <v>78</v>
      </c>
      <c r="AC4735" t="s">
        <v>79</v>
      </c>
      <c r="AD4735" t="s">
        <v>75</v>
      </c>
      <c r="AE4735" t="s">
        <v>80</v>
      </c>
      <c r="AG4735" t="s">
        <v>81</v>
      </c>
    </row>
    <row r="4736" spans="1:33" x14ac:dyDescent="0.25">
      <c r="A4736" t="str">
        <f>"1841323771"</f>
        <v>1841323771</v>
      </c>
      <c r="B4736" t="str">
        <f>"02617105"</f>
        <v>02617105</v>
      </c>
      <c r="C4736" t="s">
        <v>23989</v>
      </c>
      <c r="D4736" t="s">
        <v>23990</v>
      </c>
      <c r="E4736" t="s">
        <v>23991</v>
      </c>
      <c r="G4736" t="s">
        <v>23992</v>
      </c>
      <c r="H4736" t="s">
        <v>23993</v>
      </c>
      <c r="J4736" t="s">
        <v>23994</v>
      </c>
      <c r="L4736" t="s">
        <v>37</v>
      </c>
      <c r="M4736" t="s">
        <v>75</v>
      </c>
      <c r="R4736" t="s">
        <v>23991</v>
      </c>
      <c r="W4736" t="s">
        <v>23991</v>
      </c>
      <c r="X4736" t="s">
        <v>23995</v>
      </c>
      <c r="Y4736" t="s">
        <v>87</v>
      </c>
      <c r="Z4736" t="s">
        <v>77</v>
      </c>
      <c r="AA4736" t="str">
        <f>"11205-3820"</f>
        <v>11205-3820</v>
      </c>
      <c r="AB4736" t="s">
        <v>93</v>
      </c>
      <c r="AC4736" t="s">
        <v>79</v>
      </c>
      <c r="AD4736" t="s">
        <v>75</v>
      </c>
      <c r="AE4736" t="s">
        <v>80</v>
      </c>
      <c r="AG4736" t="s">
        <v>81</v>
      </c>
    </row>
    <row r="4737" spans="1:33" x14ac:dyDescent="0.25">
      <c r="A4737" t="str">
        <f>"1275657793"</f>
        <v>1275657793</v>
      </c>
      <c r="B4737" t="str">
        <f>"00782949"</f>
        <v>00782949</v>
      </c>
      <c r="C4737" t="s">
        <v>23996</v>
      </c>
      <c r="D4737" t="s">
        <v>1228</v>
      </c>
      <c r="E4737" t="s">
        <v>1229</v>
      </c>
      <c r="G4737" t="s">
        <v>23997</v>
      </c>
      <c r="H4737" t="s">
        <v>23998</v>
      </c>
      <c r="J4737" t="s">
        <v>23999</v>
      </c>
      <c r="L4737" t="s">
        <v>84</v>
      </c>
      <c r="M4737" t="s">
        <v>85</v>
      </c>
      <c r="R4737" t="s">
        <v>1230</v>
      </c>
      <c r="W4737" t="s">
        <v>1229</v>
      </c>
      <c r="X4737" t="s">
        <v>1231</v>
      </c>
      <c r="Y4737" t="s">
        <v>308</v>
      </c>
      <c r="Z4737" t="s">
        <v>77</v>
      </c>
      <c r="AA4737" t="str">
        <f>"11368-1947"</f>
        <v>11368-1947</v>
      </c>
      <c r="AB4737" t="s">
        <v>78</v>
      </c>
      <c r="AC4737" t="s">
        <v>79</v>
      </c>
      <c r="AD4737" t="s">
        <v>75</v>
      </c>
      <c r="AE4737" t="s">
        <v>80</v>
      </c>
      <c r="AG4737" t="s">
        <v>81</v>
      </c>
    </row>
    <row r="4738" spans="1:33" x14ac:dyDescent="0.25">
      <c r="A4738" t="str">
        <f>"1639229537"</f>
        <v>1639229537</v>
      </c>
      <c r="B4738" t="str">
        <f>"00980938"</f>
        <v>00980938</v>
      </c>
      <c r="C4738" t="s">
        <v>24000</v>
      </c>
      <c r="D4738" t="s">
        <v>24001</v>
      </c>
      <c r="E4738" t="s">
        <v>24002</v>
      </c>
      <c r="G4738" t="s">
        <v>24003</v>
      </c>
      <c r="J4738" t="s">
        <v>24004</v>
      </c>
      <c r="L4738" t="s">
        <v>84</v>
      </c>
      <c r="M4738" t="s">
        <v>75</v>
      </c>
      <c r="R4738" t="s">
        <v>24005</v>
      </c>
      <c r="W4738" t="s">
        <v>24002</v>
      </c>
      <c r="X4738" t="s">
        <v>24006</v>
      </c>
      <c r="Y4738" t="s">
        <v>1823</v>
      </c>
      <c r="Z4738" t="s">
        <v>77</v>
      </c>
      <c r="AA4738" t="str">
        <f>"10940-4133"</f>
        <v>10940-4133</v>
      </c>
      <c r="AB4738" t="s">
        <v>78</v>
      </c>
      <c r="AC4738" t="s">
        <v>79</v>
      </c>
      <c r="AD4738" t="s">
        <v>75</v>
      </c>
      <c r="AE4738" t="s">
        <v>80</v>
      </c>
      <c r="AG4738" t="s">
        <v>81</v>
      </c>
    </row>
    <row r="4739" spans="1:33" x14ac:dyDescent="0.25">
      <c r="A4739" t="str">
        <f>"1669667705"</f>
        <v>1669667705</v>
      </c>
      <c r="B4739" t="str">
        <f>"03283158"</f>
        <v>03283158</v>
      </c>
      <c r="C4739" t="s">
        <v>13436</v>
      </c>
      <c r="D4739" t="s">
        <v>24007</v>
      </c>
      <c r="E4739" t="s">
        <v>24008</v>
      </c>
      <c r="G4739" t="s">
        <v>24009</v>
      </c>
      <c r="L4739" t="s">
        <v>74</v>
      </c>
      <c r="M4739" t="s">
        <v>85</v>
      </c>
      <c r="R4739" t="s">
        <v>24010</v>
      </c>
      <c r="W4739" t="s">
        <v>24008</v>
      </c>
      <c r="X4739" t="s">
        <v>1163</v>
      </c>
      <c r="Y4739" t="s">
        <v>97</v>
      </c>
      <c r="Z4739" t="s">
        <v>77</v>
      </c>
      <c r="AA4739" t="str">
        <f>"10029-4413"</f>
        <v>10029-4413</v>
      </c>
      <c r="AB4739" t="s">
        <v>78</v>
      </c>
      <c r="AC4739" t="s">
        <v>79</v>
      </c>
      <c r="AD4739" t="s">
        <v>75</v>
      </c>
      <c r="AE4739" t="s">
        <v>80</v>
      </c>
      <c r="AG4739" t="s">
        <v>81</v>
      </c>
    </row>
    <row r="4740" spans="1:33" x14ac:dyDescent="0.25">
      <c r="A4740" t="str">
        <f>"1669889119"</f>
        <v>1669889119</v>
      </c>
      <c r="C4740" t="s">
        <v>13436</v>
      </c>
      <c r="K4740" t="s">
        <v>99</v>
      </c>
      <c r="L4740" t="s">
        <v>102</v>
      </c>
      <c r="M4740" t="s">
        <v>75</v>
      </c>
      <c r="R4740" t="s">
        <v>24011</v>
      </c>
      <c r="S4740" t="s">
        <v>24012</v>
      </c>
      <c r="T4740" t="s">
        <v>97</v>
      </c>
      <c r="U4740" t="s">
        <v>77</v>
      </c>
      <c r="V4740" t="str">
        <f>"100750951"</f>
        <v>100750951</v>
      </c>
      <c r="AC4740" t="s">
        <v>79</v>
      </c>
      <c r="AD4740" t="s">
        <v>75</v>
      </c>
      <c r="AE4740" t="s">
        <v>103</v>
      </c>
      <c r="AG4740" t="s">
        <v>81</v>
      </c>
    </row>
    <row r="4741" spans="1:33" x14ac:dyDescent="0.25">
      <c r="A4741" t="str">
        <f>"1669889135"</f>
        <v>1669889135</v>
      </c>
      <c r="C4741" t="s">
        <v>13436</v>
      </c>
      <c r="G4741" t="s">
        <v>24013</v>
      </c>
      <c r="K4741" t="s">
        <v>99</v>
      </c>
      <c r="L4741" t="s">
        <v>102</v>
      </c>
      <c r="M4741" t="s">
        <v>75</v>
      </c>
      <c r="R4741" t="s">
        <v>24014</v>
      </c>
      <c r="S4741" t="s">
        <v>24015</v>
      </c>
      <c r="T4741" t="s">
        <v>97</v>
      </c>
      <c r="U4741" t="s">
        <v>77</v>
      </c>
      <c r="V4741" t="str">
        <f>"101285166"</f>
        <v>101285166</v>
      </c>
      <c r="AC4741" t="s">
        <v>79</v>
      </c>
      <c r="AD4741" t="s">
        <v>75</v>
      </c>
      <c r="AE4741" t="s">
        <v>103</v>
      </c>
      <c r="AG4741" t="s">
        <v>81</v>
      </c>
    </row>
    <row r="4742" spans="1:33" x14ac:dyDescent="0.25">
      <c r="A4742" t="str">
        <f>"1669891263"</f>
        <v>1669891263</v>
      </c>
      <c r="C4742" t="s">
        <v>13436</v>
      </c>
      <c r="K4742" t="s">
        <v>99</v>
      </c>
      <c r="L4742" t="s">
        <v>102</v>
      </c>
      <c r="M4742" t="s">
        <v>75</v>
      </c>
      <c r="R4742" t="s">
        <v>24016</v>
      </c>
      <c r="S4742" t="s">
        <v>24017</v>
      </c>
      <c r="T4742" t="s">
        <v>97</v>
      </c>
      <c r="U4742" t="s">
        <v>77</v>
      </c>
      <c r="V4742" t="str">
        <f>"10025"</f>
        <v>10025</v>
      </c>
      <c r="AC4742" t="s">
        <v>79</v>
      </c>
      <c r="AD4742" t="s">
        <v>75</v>
      </c>
      <c r="AE4742" t="s">
        <v>103</v>
      </c>
      <c r="AG4742" t="s">
        <v>81</v>
      </c>
    </row>
    <row r="4743" spans="1:33" x14ac:dyDescent="0.25">
      <c r="A4743" t="str">
        <f>"1679512727"</f>
        <v>1679512727</v>
      </c>
      <c r="B4743" t="str">
        <f>"01285941"</f>
        <v>01285941</v>
      </c>
      <c r="C4743" t="s">
        <v>13436</v>
      </c>
      <c r="D4743" t="s">
        <v>24018</v>
      </c>
      <c r="E4743" t="s">
        <v>24019</v>
      </c>
      <c r="G4743" t="s">
        <v>24020</v>
      </c>
      <c r="L4743" t="s">
        <v>83</v>
      </c>
      <c r="M4743" t="s">
        <v>85</v>
      </c>
      <c r="R4743" t="s">
        <v>24021</v>
      </c>
      <c r="W4743" t="s">
        <v>24022</v>
      </c>
      <c r="X4743" t="s">
        <v>24023</v>
      </c>
      <c r="Y4743" t="s">
        <v>2034</v>
      </c>
      <c r="Z4743" t="s">
        <v>77</v>
      </c>
      <c r="AA4743" t="str">
        <f>"10598-2939"</f>
        <v>10598-2939</v>
      </c>
      <c r="AB4743" t="s">
        <v>78</v>
      </c>
      <c r="AC4743" t="s">
        <v>79</v>
      </c>
      <c r="AD4743" t="s">
        <v>75</v>
      </c>
      <c r="AE4743" t="s">
        <v>80</v>
      </c>
      <c r="AG4743" t="s">
        <v>81</v>
      </c>
    </row>
    <row r="4744" spans="1:33" x14ac:dyDescent="0.25">
      <c r="A4744" t="str">
        <f>"1356652515"</f>
        <v>1356652515</v>
      </c>
      <c r="C4744" t="s">
        <v>13436</v>
      </c>
      <c r="K4744" t="s">
        <v>99</v>
      </c>
      <c r="L4744" t="s">
        <v>102</v>
      </c>
      <c r="M4744" t="s">
        <v>75</v>
      </c>
      <c r="R4744" t="s">
        <v>24024</v>
      </c>
      <c r="S4744" t="s">
        <v>24025</v>
      </c>
      <c r="T4744" t="s">
        <v>4520</v>
      </c>
      <c r="U4744" t="s">
        <v>1784</v>
      </c>
      <c r="V4744" t="str">
        <f>"18105"</f>
        <v>18105</v>
      </c>
      <c r="AC4744" t="s">
        <v>79</v>
      </c>
      <c r="AD4744" t="s">
        <v>75</v>
      </c>
      <c r="AE4744" t="s">
        <v>103</v>
      </c>
      <c r="AG4744" t="s">
        <v>81</v>
      </c>
    </row>
    <row r="4745" spans="1:33" x14ac:dyDescent="0.25">
      <c r="A4745" t="str">
        <f>"1407142664"</f>
        <v>1407142664</v>
      </c>
      <c r="C4745" t="s">
        <v>13436</v>
      </c>
      <c r="K4745" t="s">
        <v>99</v>
      </c>
      <c r="L4745" t="s">
        <v>102</v>
      </c>
      <c r="M4745" t="s">
        <v>75</v>
      </c>
      <c r="R4745" t="s">
        <v>24026</v>
      </c>
      <c r="S4745" t="s">
        <v>24027</v>
      </c>
      <c r="T4745" t="s">
        <v>97</v>
      </c>
      <c r="U4745" t="s">
        <v>77</v>
      </c>
      <c r="V4745" t="str">
        <f>"100191047"</f>
        <v>100191047</v>
      </c>
      <c r="AC4745" t="s">
        <v>79</v>
      </c>
      <c r="AD4745" t="s">
        <v>75</v>
      </c>
      <c r="AE4745" t="s">
        <v>103</v>
      </c>
      <c r="AG4745" t="s">
        <v>81</v>
      </c>
    </row>
    <row r="4746" spans="1:33" x14ac:dyDescent="0.25">
      <c r="A4746" t="str">
        <f>"1083705669"</f>
        <v>1083705669</v>
      </c>
      <c r="B4746" t="str">
        <f>"02826855"</f>
        <v>02826855</v>
      </c>
      <c r="C4746" t="s">
        <v>13436</v>
      </c>
      <c r="D4746" t="s">
        <v>24028</v>
      </c>
      <c r="E4746" t="s">
        <v>24029</v>
      </c>
      <c r="G4746" t="s">
        <v>24030</v>
      </c>
      <c r="L4746" t="s">
        <v>74</v>
      </c>
      <c r="M4746" t="s">
        <v>75</v>
      </c>
      <c r="R4746" t="s">
        <v>24031</v>
      </c>
      <c r="W4746" t="s">
        <v>24029</v>
      </c>
      <c r="X4746" t="s">
        <v>329</v>
      </c>
      <c r="Y4746" t="s">
        <v>97</v>
      </c>
      <c r="Z4746" t="s">
        <v>77</v>
      </c>
      <c r="AA4746" t="str">
        <f>"10029-6500"</f>
        <v>10029-6500</v>
      </c>
      <c r="AB4746" t="s">
        <v>78</v>
      </c>
      <c r="AC4746" t="s">
        <v>79</v>
      </c>
      <c r="AD4746" t="s">
        <v>75</v>
      </c>
      <c r="AE4746" t="s">
        <v>80</v>
      </c>
      <c r="AG4746" t="s">
        <v>81</v>
      </c>
    </row>
    <row r="4747" spans="1:33" x14ac:dyDescent="0.25">
      <c r="A4747" t="str">
        <f>"1083773386"</f>
        <v>1083773386</v>
      </c>
      <c r="B4747" t="str">
        <f>"03018393"</f>
        <v>03018393</v>
      </c>
      <c r="C4747" t="s">
        <v>13436</v>
      </c>
      <c r="D4747" t="s">
        <v>24032</v>
      </c>
      <c r="E4747" t="s">
        <v>24033</v>
      </c>
      <c r="L4747" t="s">
        <v>74</v>
      </c>
      <c r="M4747" t="s">
        <v>75</v>
      </c>
      <c r="R4747" t="s">
        <v>24034</v>
      </c>
      <c r="W4747" t="s">
        <v>24035</v>
      </c>
      <c r="X4747" t="s">
        <v>235</v>
      </c>
      <c r="Y4747" t="s">
        <v>236</v>
      </c>
      <c r="Z4747" t="s">
        <v>77</v>
      </c>
      <c r="AA4747" t="str">
        <f>"11102-2448"</f>
        <v>11102-2448</v>
      </c>
      <c r="AB4747" t="s">
        <v>78</v>
      </c>
      <c r="AC4747" t="s">
        <v>79</v>
      </c>
      <c r="AD4747" t="s">
        <v>75</v>
      </c>
      <c r="AE4747" t="s">
        <v>80</v>
      </c>
      <c r="AG4747" t="s">
        <v>81</v>
      </c>
    </row>
    <row r="4748" spans="1:33" x14ac:dyDescent="0.25">
      <c r="A4748" t="str">
        <f>"1619120938"</f>
        <v>1619120938</v>
      </c>
      <c r="B4748" t="str">
        <f>"03166236"</f>
        <v>03166236</v>
      </c>
      <c r="C4748" t="s">
        <v>13436</v>
      </c>
      <c r="D4748" t="s">
        <v>24036</v>
      </c>
      <c r="E4748" t="s">
        <v>24037</v>
      </c>
      <c r="L4748" t="s">
        <v>83</v>
      </c>
      <c r="M4748" t="s">
        <v>75</v>
      </c>
      <c r="R4748" t="s">
        <v>24037</v>
      </c>
      <c r="W4748" t="s">
        <v>24038</v>
      </c>
      <c r="X4748" t="s">
        <v>19848</v>
      </c>
      <c r="Y4748" t="s">
        <v>182</v>
      </c>
      <c r="Z4748" t="s">
        <v>77</v>
      </c>
      <c r="AA4748" t="str">
        <f>"11501-4064"</f>
        <v>11501-4064</v>
      </c>
      <c r="AB4748" t="s">
        <v>78</v>
      </c>
      <c r="AC4748" t="s">
        <v>79</v>
      </c>
      <c r="AD4748" t="s">
        <v>75</v>
      </c>
      <c r="AE4748" t="s">
        <v>80</v>
      </c>
      <c r="AG4748" t="s">
        <v>81</v>
      </c>
    </row>
    <row r="4749" spans="1:33" x14ac:dyDescent="0.25">
      <c r="A4749" t="str">
        <f>"1811044670"</f>
        <v>1811044670</v>
      </c>
      <c r="B4749" t="str">
        <f>"00546552"</f>
        <v>00546552</v>
      </c>
      <c r="C4749" t="s">
        <v>13436</v>
      </c>
      <c r="D4749" t="s">
        <v>24039</v>
      </c>
      <c r="E4749" t="s">
        <v>24040</v>
      </c>
      <c r="G4749" t="s">
        <v>24041</v>
      </c>
      <c r="L4749" t="s">
        <v>83</v>
      </c>
      <c r="M4749" t="s">
        <v>85</v>
      </c>
      <c r="R4749" t="s">
        <v>24042</v>
      </c>
      <c r="W4749" t="s">
        <v>24040</v>
      </c>
      <c r="X4749" t="s">
        <v>14871</v>
      </c>
      <c r="Y4749" t="s">
        <v>97</v>
      </c>
      <c r="Z4749" t="s">
        <v>77</v>
      </c>
      <c r="AA4749" t="str">
        <f>"10003"</f>
        <v>10003</v>
      </c>
      <c r="AB4749" t="s">
        <v>78</v>
      </c>
      <c r="AC4749" t="s">
        <v>79</v>
      </c>
      <c r="AD4749" t="s">
        <v>75</v>
      </c>
      <c r="AE4749" t="s">
        <v>80</v>
      </c>
      <c r="AG4749" t="s">
        <v>81</v>
      </c>
    </row>
    <row r="4750" spans="1:33" x14ac:dyDescent="0.25">
      <c r="A4750" t="str">
        <f>"1811059116"</f>
        <v>1811059116</v>
      </c>
      <c r="B4750" t="str">
        <f>"02407918"</f>
        <v>02407918</v>
      </c>
      <c r="C4750" t="s">
        <v>13436</v>
      </c>
      <c r="D4750" t="s">
        <v>24043</v>
      </c>
      <c r="E4750" t="s">
        <v>24044</v>
      </c>
      <c r="G4750" t="s">
        <v>24045</v>
      </c>
      <c r="L4750" t="s">
        <v>102</v>
      </c>
      <c r="M4750" t="s">
        <v>85</v>
      </c>
      <c r="R4750" t="s">
        <v>24046</v>
      </c>
      <c r="W4750" t="s">
        <v>24047</v>
      </c>
      <c r="X4750" t="s">
        <v>1076</v>
      </c>
      <c r="Y4750" t="s">
        <v>97</v>
      </c>
      <c r="Z4750" t="s">
        <v>77</v>
      </c>
      <c r="AA4750" t="str">
        <f>"10025-1737"</f>
        <v>10025-1737</v>
      </c>
      <c r="AB4750" t="s">
        <v>78</v>
      </c>
      <c r="AC4750" t="s">
        <v>79</v>
      </c>
      <c r="AD4750" t="s">
        <v>75</v>
      </c>
      <c r="AE4750" t="s">
        <v>80</v>
      </c>
      <c r="AG4750" t="s">
        <v>81</v>
      </c>
    </row>
    <row r="4751" spans="1:33" x14ac:dyDescent="0.25">
      <c r="A4751" t="str">
        <f>"1487759585"</f>
        <v>1487759585</v>
      </c>
      <c r="B4751" t="str">
        <f>"03166052"</f>
        <v>03166052</v>
      </c>
      <c r="C4751" t="s">
        <v>13436</v>
      </c>
      <c r="D4751" t="s">
        <v>24048</v>
      </c>
      <c r="E4751" t="s">
        <v>24049</v>
      </c>
      <c r="G4751" t="s">
        <v>24050</v>
      </c>
      <c r="L4751" t="s">
        <v>84</v>
      </c>
      <c r="M4751" t="s">
        <v>85</v>
      </c>
      <c r="R4751" t="s">
        <v>24051</v>
      </c>
      <c r="W4751" t="s">
        <v>24052</v>
      </c>
      <c r="X4751" t="s">
        <v>2838</v>
      </c>
      <c r="Y4751" t="s">
        <v>97</v>
      </c>
      <c r="Z4751" t="s">
        <v>77</v>
      </c>
      <c r="AA4751" t="str">
        <f>"10003-3105"</f>
        <v>10003-3105</v>
      </c>
      <c r="AB4751" t="s">
        <v>78</v>
      </c>
      <c r="AC4751" t="s">
        <v>79</v>
      </c>
      <c r="AD4751" t="s">
        <v>75</v>
      </c>
      <c r="AE4751" t="s">
        <v>80</v>
      </c>
      <c r="AG4751" t="s">
        <v>81</v>
      </c>
    </row>
    <row r="4752" spans="1:33" x14ac:dyDescent="0.25">
      <c r="A4752" t="str">
        <f>"1497843858"</f>
        <v>1497843858</v>
      </c>
      <c r="B4752" t="str">
        <f>"00966445"</f>
        <v>00966445</v>
      </c>
      <c r="C4752" t="s">
        <v>13436</v>
      </c>
      <c r="D4752" t="s">
        <v>24053</v>
      </c>
      <c r="E4752" t="s">
        <v>24054</v>
      </c>
      <c r="G4752" t="s">
        <v>24055</v>
      </c>
      <c r="L4752" t="s">
        <v>83</v>
      </c>
      <c r="M4752" t="s">
        <v>85</v>
      </c>
      <c r="R4752" t="s">
        <v>24056</v>
      </c>
      <c r="W4752" t="s">
        <v>24057</v>
      </c>
      <c r="X4752" t="s">
        <v>24058</v>
      </c>
      <c r="Y4752" t="s">
        <v>97</v>
      </c>
      <c r="Z4752" t="s">
        <v>77</v>
      </c>
      <c r="AA4752" t="str">
        <f>"10016-5507"</f>
        <v>10016-5507</v>
      </c>
      <c r="AB4752" t="s">
        <v>78</v>
      </c>
      <c r="AC4752" t="s">
        <v>79</v>
      </c>
      <c r="AD4752" t="s">
        <v>75</v>
      </c>
      <c r="AE4752" t="s">
        <v>80</v>
      </c>
      <c r="AG4752" t="s">
        <v>81</v>
      </c>
    </row>
    <row r="4753" spans="1:33" x14ac:dyDescent="0.25">
      <c r="A4753" t="str">
        <f>"1508893389"</f>
        <v>1508893389</v>
      </c>
      <c r="B4753" t="str">
        <f>"01721526"</f>
        <v>01721526</v>
      </c>
      <c r="C4753" t="s">
        <v>13436</v>
      </c>
      <c r="D4753" t="s">
        <v>24059</v>
      </c>
      <c r="E4753" t="s">
        <v>24060</v>
      </c>
      <c r="G4753" t="s">
        <v>24061</v>
      </c>
      <c r="L4753" t="s">
        <v>83</v>
      </c>
      <c r="M4753" t="s">
        <v>85</v>
      </c>
      <c r="R4753" t="s">
        <v>24062</v>
      </c>
      <c r="W4753" t="s">
        <v>24060</v>
      </c>
      <c r="X4753" t="s">
        <v>1333</v>
      </c>
      <c r="Y4753" t="s">
        <v>97</v>
      </c>
      <c r="Z4753" t="s">
        <v>77</v>
      </c>
      <c r="AA4753" t="str">
        <f>"10025"</f>
        <v>10025</v>
      </c>
      <c r="AB4753" t="s">
        <v>78</v>
      </c>
      <c r="AC4753" t="s">
        <v>79</v>
      </c>
      <c r="AD4753" t="s">
        <v>75</v>
      </c>
      <c r="AE4753" t="s">
        <v>80</v>
      </c>
      <c r="AG4753" t="s">
        <v>81</v>
      </c>
    </row>
    <row r="4754" spans="1:33" x14ac:dyDescent="0.25">
      <c r="A4754" t="str">
        <f>"1518020270"</f>
        <v>1518020270</v>
      </c>
      <c r="B4754" t="str">
        <f>"01697323"</f>
        <v>01697323</v>
      </c>
      <c r="C4754" t="s">
        <v>13436</v>
      </c>
      <c r="D4754" t="s">
        <v>24063</v>
      </c>
      <c r="E4754" t="s">
        <v>24064</v>
      </c>
      <c r="G4754" t="s">
        <v>24065</v>
      </c>
      <c r="L4754" t="s">
        <v>83</v>
      </c>
      <c r="M4754" t="s">
        <v>85</v>
      </c>
      <c r="R4754" t="s">
        <v>24066</v>
      </c>
      <c r="W4754" t="s">
        <v>24067</v>
      </c>
      <c r="X4754" t="s">
        <v>759</v>
      </c>
      <c r="Y4754" t="s">
        <v>97</v>
      </c>
      <c r="Z4754" t="s">
        <v>77</v>
      </c>
      <c r="AA4754" t="str">
        <f>"10013-4223"</f>
        <v>10013-4223</v>
      </c>
      <c r="AB4754" t="s">
        <v>78</v>
      </c>
      <c r="AC4754" t="s">
        <v>79</v>
      </c>
      <c r="AD4754" t="s">
        <v>75</v>
      </c>
      <c r="AE4754" t="s">
        <v>80</v>
      </c>
      <c r="AG4754" t="s">
        <v>81</v>
      </c>
    </row>
    <row r="4755" spans="1:33" x14ac:dyDescent="0.25">
      <c r="A4755" t="str">
        <f>"1659686863"</f>
        <v>1659686863</v>
      </c>
      <c r="B4755" t="str">
        <f>"03255332"</f>
        <v>03255332</v>
      </c>
      <c r="C4755" t="s">
        <v>13436</v>
      </c>
      <c r="D4755" t="s">
        <v>4045</v>
      </c>
      <c r="E4755" t="s">
        <v>4046</v>
      </c>
      <c r="G4755" t="s">
        <v>24068</v>
      </c>
      <c r="L4755" t="s">
        <v>83</v>
      </c>
      <c r="M4755" t="s">
        <v>85</v>
      </c>
      <c r="R4755" t="s">
        <v>4046</v>
      </c>
      <c r="W4755" t="s">
        <v>4046</v>
      </c>
      <c r="X4755" t="s">
        <v>318</v>
      </c>
      <c r="Y4755" t="s">
        <v>131</v>
      </c>
      <c r="Z4755" t="s">
        <v>77</v>
      </c>
      <c r="AA4755" t="str">
        <f>"10457-7606"</f>
        <v>10457-7606</v>
      </c>
      <c r="AB4755" t="s">
        <v>78</v>
      </c>
      <c r="AC4755" t="s">
        <v>79</v>
      </c>
      <c r="AD4755" t="s">
        <v>75</v>
      </c>
      <c r="AE4755" t="s">
        <v>80</v>
      </c>
      <c r="AG4755" t="s">
        <v>81</v>
      </c>
    </row>
    <row r="4756" spans="1:33" x14ac:dyDescent="0.25">
      <c r="A4756" t="str">
        <f>"1669418703"</f>
        <v>1669418703</v>
      </c>
      <c r="B4756" t="str">
        <f>"02083383"</f>
        <v>02083383</v>
      </c>
      <c r="C4756" t="s">
        <v>13436</v>
      </c>
      <c r="D4756" t="s">
        <v>24069</v>
      </c>
      <c r="E4756" t="s">
        <v>24070</v>
      </c>
      <c r="G4756" t="s">
        <v>24071</v>
      </c>
      <c r="L4756" t="s">
        <v>83</v>
      </c>
      <c r="M4756" t="s">
        <v>85</v>
      </c>
      <c r="R4756" t="s">
        <v>24072</v>
      </c>
      <c r="W4756" t="s">
        <v>24070</v>
      </c>
      <c r="X4756" t="s">
        <v>2770</v>
      </c>
      <c r="Y4756" t="s">
        <v>97</v>
      </c>
      <c r="Z4756" t="s">
        <v>77</v>
      </c>
      <c r="AA4756" t="str">
        <f>"10003-2674"</f>
        <v>10003-2674</v>
      </c>
      <c r="AB4756" t="s">
        <v>78</v>
      </c>
      <c r="AC4756" t="s">
        <v>79</v>
      </c>
      <c r="AD4756" t="s">
        <v>75</v>
      </c>
      <c r="AE4756" t="s">
        <v>80</v>
      </c>
      <c r="AG4756" t="s">
        <v>81</v>
      </c>
    </row>
    <row r="4757" spans="1:33" x14ac:dyDescent="0.25">
      <c r="A4757" t="str">
        <f>"1669471793"</f>
        <v>1669471793</v>
      </c>
      <c r="B4757" t="str">
        <f>"01889321"</f>
        <v>01889321</v>
      </c>
      <c r="C4757" t="s">
        <v>13436</v>
      </c>
      <c r="D4757" t="s">
        <v>24073</v>
      </c>
      <c r="E4757" t="s">
        <v>24074</v>
      </c>
      <c r="G4757" t="s">
        <v>24075</v>
      </c>
      <c r="L4757" t="s">
        <v>83</v>
      </c>
      <c r="M4757" t="s">
        <v>85</v>
      </c>
      <c r="R4757" t="s">
        <v>24074</v>
      </c>
      <c r="W4757" t="s">
        <v>24074</v>
      </c>
      <c r="X4757" t="s">
        <v>24074</v>
      </c>
      <c r="Y4757" t="s">
        <v>97</v>
      </c>
      <c r="Z4757" t="s">
        <v>77</v>
      </c>
      <c r="AA4757" t="str">
        <f>"10019-1147"</f>
        <v>10019-1147</v>
      </c>
      <c r="AB4757" t="s">
        <v>78</v>
      </c>
      <c r="AC4757" t="s">
        <v>79</v>
      </c>
      <c r="AD4757" t="s">
        <v>75</v>
      </c>
      <c r="AE4757" t="s">
        <v>80</v>
      </c>
      <c r="AG4757" t="s">
        <v>81</v>
      </c>
    </row>
    <row r="4758" spans="1:33" x14ac:dyDescent="0.25">
      <c r="A4758" t="str">
        <f>"1679667984"</f>
        <v>1679667984</v>
      </c>
      <c r="B4758" t="str">
        <f>"03180930"</f>
        <v>03180930</v>
      </c>
      <c r="C4758" t="s">
        <v>13436</v>
      </c>
      <c r="D4758" t="s">
        <v>24076</v>
      </c>
      <c r="E4758" t="s">
        <v>24077</v>
      </c>
      <c r="G4758" t="s">
        <v>24078</v>
      </c>
      <c r="L4758" t="s">
        <v>105</v>
      </c>
      <c r="M4758" t="s">
        <v>85</v>
      </c>
      <c r="R4758" t="s">
        <v>24079</v>
      </c>
      <c r="W4758" t="s">
        <v>24077</v>
      </c>
      <c r="X4758" t="s">
        <v>5911</v>
      </c>
      <c r="Y4758" t="s">
        <v>97</v>
      </c>
      <c r="Z4758" t="s">
        <v>77</v>
      </c>
      <c r="AA4758" t="str">
        <f>"10025-1737"</f>
        <v>10025-1737</v>
      </c>
      <c r="AB4758" t="s">
        <v>78</v>
      </c>
      <c r="AC4758" t="s">
        <v>79</v>
      </c>
      <c r="AD4758" t="s">
        <v>75</v>
      </c>
      <c r="AE4758" t="s">
        <v>80</v>
      </c>
      <c r="AG4758" t="s">
        <v>81</v>
      </c>
    </row>
    <row r="4759" spans="1:33" x14ac:dyDescent="0.25">
      <c r="A4759" t="str">
        <f>"1003917139"</f>
        <v>1003917139</v>
      </c>
      <c r="B4759" t="str">
        <f>"02007463"</f>
        <v>02007463</v>
      </c>
      <c r="C4759" t="s">
        <v>24080</v>
      </c>
      <c r="D4759" t="s">
        <v>24081</v>
      </c>
      <c r="E4759" t="s">
        <v>24082</v>
      </c>
      <c r="G4759" t="s">
        <v>13504</v>
      </c>
      <c r="H4759" t="s">
        <v>13505</v>
      </c>
      <c r="J4759" t="s">
        <v>13506</v>
      </c>
      <c r="L4759" t="s">
        <v>74</v>
      </c>
      <c r="M4759" t="s">
        <v>75</v>
      </c>
      <c r="R4759" t="s">
        <v>24083</v>
      </c>
      <c r="W4759" t="s">
        <v>24082</v>
      </c>
      <c r="X4759" t="s">
        <v>543</v>
      </c>
      <c r="Y4759" t="s">
        <v>87</v>
      </c>
      <c r="Z4759" t="s">
        <v>77</v>
      </c>
      <c r="AA4759" t="str">
        <f>"11206-5317"</f>
        <v>11206-5317</v>
      </c>
      <c r="AB4759" t="s">
        <v>82</v>
      </c>
      <c r="AC4759" t="s">
        <v>79</v>
      </c>
      <c r="AD4759" t="s">
        <v>75</v>
      </c>
      <c r="AE4759" t="s">
        <v>80</v>
      </c>
      <c r="AG4759" t="s">
        <v>81</v>
      </c>
    </row>
    <row r="4760" spans="1:33" x14ac:dyDescent="0.25">
      <c r="A4760" t="str">
        <f>"1982609939"</f>
        <v>1982609939</v>
      </c>
      <c r="C4760" t="s">
        <v>24084</v>
      </c>
      <c r="G4760" t="s">
        <v>13504</v>
      </c>
      <c r="H4760" t="s">
        <v>13505</v>
      </c>
      <c r="J4760" t="s">
        <v>13506</v>
      </c>
      <c r="K4760" t="s">
        <v>99</v>
      </c>
      <c r="L4760" t="s">
        <v>102</v>
      </c>
      <c r="M4760" t="s">
        <v>75</v>
      </c>
      <c r="R4760" t="s">
        <v>24085</v>
      </c>
      <c r="S4760" t="s">
        <v>24086</v>
      </c>
      <c r="T4760" t="s">
        <v>87</v>
      </c>
      <c r="U4760" t="s">
        <v>77</v>
      </c>
      <c r="V4760" t="str">
        <f>"112193919"</f>
        <v>112193919</v>
      </c>
      <c r="AC4760" t="s">
        <v>79</v>
      </c>
      <c r="AD4760" t="s">
        <v>75</v>
      </c>
      <c r="AE4760" t="s">
        <v>103</v>
      </c>
      <c r="AG4760" t="s">
        <v>81</v>
      </c>
    </row>
    <row r="4761" spans="1:33" x14ac:dyDescent="0.25">
      <c r="A4761" t="str">
        <f>"1871667402"</f>
        <v>1871667402</v>
      </c>
      <c r="C4761" t="s">
        <v>24087</v>
      </c>
      <c r="G4761" t="s">
        <v>13504</v>
      </c>
      <c r="H4761" t="s">
        <v>13505</v>
      </c>
      <c r="J4761" t="s">
        <v>13506</v>
      </c>
      <c r="K4761" t="s">
        <v>99</v>
      </c>
      <c r="L4761" t="s">
        <v>102</v>
      </c>
      <c r="M4761" t="s">
        <v>75</v>
      </c>
      <c r="R4761" t="s">
        <v>24088</v>
      </c>
      <c r="S4761" t="s">
        <v>24089</v>
      </c>
      <c r="T4761" t="s">
        <v>87</v>
      </c>
      <c r="U4761" t="s">
        <v>77</v>
      </c>
      <c r="V4761" t="str">
        <f>"112093310"</f>
        <v>112093310</v>
      </c>
      <c r="AC4761" t="s">
        <v>79</v>
      </c>
      <c r="AD4761" t="s">
        <v>75</v>
      </c>
      <c r="AE4761" t="s">
        <v>103</v>
      </c>
      <c r="AG4761" t="s">
        <v>81</v>
      </c>
    </row>
    <row r="4762" spans="1:33" x14ac:dyDescent="0.25">
      <c r="A4762" t="str">
        <f>"1598701963"</f>
        <v>1598701963</v>
      </c>
      <c r="B4762" t="str">
        <f>"01755357"</f>
        <v>01755357</v>
      </c>
      <c r="C4762" t="s">
        <v>24090</v>
      </c>
      <c r="D4762" t="s">
        <v>24091</v>
      </c>
      <c r="E4762" t="s">
        <v>24092</v>
      </c>
      <c r="G4762" t="s">
        <v>24090</v>
      </c>
      <c r="H4762" t="s">
        <v>24093</v>
      </c>
      <c r="J4762" t="s">
        <v>24094</v>
      </c>
      <c r="L4762" t="s">
        <v>74</v>
      </c>
      <c r="M4762" t="s">
        <v>75</v>
      </c>
      <c r="R4762" t="s">
        <v>24095</v>
      </c>
      <c r="W4762" t="s">
        <v>24092</v>
      </c>
      <c r="X4762" t="s">
        <v>24096</v>
      </c>
      <c r="Y4762" t="s">
        <v>97</v>
      </c>
      <c r="Z4762" t="s">
        <v>77</v>
      </c>
      <c r="AA4762" t="str">
        <f>"10019-6301"</f>
        <v>10019-6301</v>
      </c>
      <c r="AB4762" t="s">
        <v>78</v>
      </c>
      <c r="AC4762" t="s">
        <v>79</v>
      </c>
      <c r="AD4762" t="s">
        <v>75</v>
      </c>
      <c r="AE4762" t="s">
        <v>80</v>
      </c>
      <c r="AG4762" t="s">
        <v>81</v>
      </c>
    </row>
    <row r="4763" spans="1:33" x14ac:dyDescent="0.25">
      <c r="A4763" t="str">
        <f>"1477576205"</f>
        <v>1477576205</v>
      </c>
      <c r="B4763" t="str">
        <f>"02780110"</f>
        <v>02780110</v>
      </c>
      <c r="C4763" t="s">
        <v>13436</v>
      </c>
      <c r="D4763" t="s">
        <v>24097</v>
      </c>
      <c r="E4763" t="s">
        <v>24098</v>
      </c>
      <c r="G4763" t="s">
        <v>24099</v>
      </c>
      <c r="L4763" t="s">
        <v>83</v>
      </c>
      <c r="M4763" t="s">
        <v>85</v>
      </c>
      <c r="R4763" t="s">
        <v>24100</v>
      </c>
      <c r="W4763" t="s">
        <v>24098</v>
      </c>
      <c r="X4763" t="s">
        <v>3553</v>
      </c>
      <c r="Y4763" t="s">
        <v>97</v>
      </c>
      <c r="Z4763" t="s">
        <v>77</v>
      </c>
      <c r="AA4763" t="str">
        <f>"10003-3851"</f>
        <v>10003-3851</v>
      </c>
      <c r="AB4763" t="s">
        <v>78</v>
      </c>
      <c r="AC4763" t="s">
        <v>79</v>
      </c>
      <c r="AD4763" t="s">
        <v>75</v>
      </c>
      <c r="AE4763" t="s">
        <v>80</v>
      </c>
      <c r="AG4763" t="s">
        <v>81</v>
      </c>
    </row>
    <row r="4764" spans="1:33" x14ac:dyDescent="0.25">
      <c r="A4764" t="str">
        <f>"1477668697"</f>
        <v>1477668697</v>
      </c>
      <c r="B4764" t="str">
        <f>"02374656"</f>
        <v>02374656</v>
      </c>
      <c r="C4764" t="s">
        <v>13436</v>
      </c>
      <c r="D4764" t="s">
        <v>24101</v>
      </c>
      <c r="E4764" t="s">
        <v>24102</v>
      </c>
      <c r="G4764" t="s">
        <v>24103</v>
      </c>
      <c r="L4764" t="s">
        <v>105</v>
      </c>
      <c r="M4764" t="s">
        <v>85</v>
      </c>
      <c r="R4764" t="s">
        <v>24104</v>
      </c>
      <c r="W4764" t="s">
        <v>24105</v>
      </c>
      <c r="X4764" t="s">
        <v>5307</v>
      </c>
      <c r="Y4764" t="s">
        <v>97</v>
      </c>
      <c r="Z4764" t="s">
        <v>77</v>
      </c>
      <c r="AA4764" t="str">
        <f>"10003-1002"</f>
        <v>10003-1002</v>
      </c>
      <c r="AB4764" t="s">
        <v>78</v>
      </c>
      <c r="AC4764" t="s">
        <v>79</v>
      </c>
      <c r="AD4764" t="s">
        <v>75</v>
      </c>
      <c r="AE4764" t="s">
        <v>80</v>
      </c>
      <c r="AG4764" t="s">
        <v>81</v>
      </c>
    </row>
    <row r="4765" spans="1:33" x14ac:dyDescent="0.25">
      <c r="A4765" t="str">
        <f>"1477712719"</f>
        <v>1477712719</v>
      </c>
      <c r="B4765" t="str">
        <f>"03014124"</f>
        <v>03014124</v>
      </c>
      <c r="C4765" t="s">
        <v>13436</v>
      </c>
      <c r="D4765" t="s">
        <v>24106</v>
      </c>
      <c r="E4765" t="s">
        <v>24107</v>
      </c>
      <c r="G4765" t="s">
        <v>24108</v>
      </c>
      <c r="L4765" t="s">
        <v>84</v>
      </c>
      <c r="M4765" t="s">
        <v>85</v>
      </c>
      <c r="R4765" t="s">
        <v>24109</v>
      </c>
      <c r="W4765" t="s">
        <v>24110</v>
      </c>
      <c r="X4765" t="s">
        <v>5250</v>
      </c>
      <c r="Y4765" t="s">
        <v>131</v>
      </c>
      <c r="Z4765" t="s">
        <v>77</v>
      </c>
      <c r="AA4765" t="str">
        <f>"10467-2401"</f>
        <v>10467-2401</v>
      </c>
      <c r="AB4765" t="s">
        <v>78</v>
      </c>
      <c r="AC4765" t="s">
        <v>79</v>
      </c>
      <c r="AD4765" t="s">
        <v>75</v>
      </c>
      <c r="AE4765" t="s">
        <v>80</v>
      </c>
      <c r="AG4765" t="s">
        <v>81</v>
      </c>
    </row>
    <row r="4766" spans="1:33" x14ac:dyDescent="0.25">
      <c r="A4766" t="str">
        <f>"1043471022"</f>
        <v>1043471022</v>
      </c>
      <c r="B4766" t="str">
        <f>"03921771"</f>
        <v>03921771</v>
      </c>
      <c r="C4766" t="s">
        <v>24111</v>
      </c>
      <c r="D4766" t="s">
        <v>24112</v>
      </c>
      <c r="E4766" t="s">
        <v>24113</v>
      </c>
      <c r="G4766" t="s">
        <v>13504</v>
      </c>
      <c r="H4766" t="s">
        <v>13505</v>
      </c>
      <c r="J4766" t="s">
        <v>13506</v>
      </c>
      <c r="L4766" t="s">
        <v>83</v>
      </c>
      <c r="M4766" t="s">
        <v>75</v>
      </c>
      <c r="R4766" t="s">
        <v>24113</v>
      </c>
      <c r="W4766" t="s">
        <v>24113</v>
      </c>
      <c r="X4766" t="s">
        <v>202</v>
      </c>
      <c r="Y4766" t="s">
        <v>87</v>
      </c>
      <c r="Z4766" t="s">
        <v>77</v>
      </c>
      <c r="AA4766" t="str">
        <f>"11201-5425"</f>
        <v>11201-5425</v>
      </c>
      <c r="AB4766" t="s">
        <v>78</v>
      </c>
      <c r="AC4766" t="s">
        <v>79</v>
      </c>
      <c r="AD4766" t="s">
        <v>75</v>
      </c>
      <c r="AE4766" t="s">
        <v>80</v>
      </c>
      <c r="AG4766" t="s">
        <v>81</v>
      </c>
    </row>
    <row r="4767" spans="1:33" x14ac:dyDescent="0.25">
      <c r="A4767" t="str">
        <f>"1922018597"</f>
        <v>1922018597</v>
      </c>
      <c r="C4767" t="s">
        <v>24114</v>
      </c>
      <c r="G4767" t="s">
        <v>13504</v>
      </c>
      <c r="H4767" t="s">
        <v>13505</v>
      </c>
      <c r="J4767" t="s">
        <v>13506</v>
      </c>
      <c r="K4767" t="s">
        <v>99</v>
      </c>
      <c r="L4767" t="s">
        <v>102</v>
      </c>
      <c r="M4767" t="s">
        <v>75</v>
      </c>
      <c r="R4767" t="s">
        <v>24115</v>
      </c>
      <c r="S4767" t="s">
        <v>202</v>
      </c>
      <c r="T4767" t="s">
        <v>87</v>
      </c>
      <c r="U4767" t="s">
        <v>77</v>
      </c>
      <c r="V4767" t="str">
        <f>"112015425"</f>
        <v>112015425</v>
      </c>
      <c r="AC4767" t="s">
        <v>79</v>
      </c>
      <c r="AD4767" t="s">
        <v>75</v>
      </c>
      <c r="AE4767" t="s">
        <v>103</v>
      </c>
      <c r="AG4767" t="s">
        <v>81</v>
      </c>
    </row>
    <row r="4768" spans="1:33" x14ac:dyDescent="0.25">
      <c r="A4768" t="str">
        <f>"1659405835"</f>
        <v>1659405835</v>
      </c>
      <c r="B4768" t="str">
        <f>"02923760"</f>
        <v>02923760</v>
      </c>
      <c r="C4768" t="s">
        <v>24116</v>
      </c>
      <c r="D4768" t="s">
        <v>24117</v>
      </c>
      <c r="E4768" t="s">
        <v>24118</v>
      </c>
      <c r="G4768" t="s">
        <v>13504</v>
      </c>
      <c r="H4768" t="s">
        <v>13505</v>
      </c>
      <c r="J4768" t="s">
        <v>13506</v>
      </c>
      <c r="L4768" t="s">
        <v>84</v>
      </c>
      <c r="M4768" t="s">
        <v>75</v>
      </c>
      <c r="R4768" t="s">
        <v>24119</v>
      </c>
      <c r="W4768" t="s">
        <v>24118</v>
      </c>
      <c r="X4768" t="s">
        <v>202</v>
      </c>
      <c r="Y4768" t="s">
        <v>87</v>
      </c>
      <c r="Z4768" t="s">
        <v>77</v>
      </c>
      <c r="AA4768" t="str">
        <f>"11201-5425"</f>
        <v>11201-5425</v>
      </c>
      <c r="AB4768" t="s">
        <v>78</v>
      </c>
      <c r="AC4768" t="s">
        <v>79</v>
      </c>
      <c r="AD4768" t="s">
        <v>75</v>
      </c>
      <c r="AE4768" t="s">
        <v>80</v>
      </c>
      <c r="AG4768" t="s">
        <v>81</v>
      </c>
    </row>
    <row r="4769" spans="1:33" x14ac:dyDescent="0.25">
      <c r="A4769" t="str">
        <f>"1932400975"</f>
        <v>1932400975</v>
      </c>
      <c r="B4769" t="str">
        <f>"04325682"</f>
        <v>04325682</v>
      </c>
      <c r="C4769" t="s">
        <v>24120</v>
      </c>
      <c r="D4769" t="s">
        <v>24121</v>
      </c>
      <c r="E4769" t="s">
        <v>24122</v>
      </c>
      <c r="G4769" t="s">
        <v>13504</v>
      </c>
      <c r="H4769" t="s">
        <v>13505</v>
      </c>
      <c r="J4769" t="s">
        <v>13506</v>
      </c>
      <c r="L4769" t="s">
        <v>102</v>
      </c>
      <c r="M4769" t="s">
        <v>75</v>
      </c>
      <c r="R4769" t="s">
        <v>24123</v>
      </c>
      <c r="W4769" t="s">
        <v>24122</v>
      </c>
      <c r="X4769" t="s">
        <v>202</v>
      </c>
      <c r="Y4769" t="s">
        <v>87</v>
      </c>
      <c r="Z4769" t="s">
        <v>77</v>
      </c>
      <c r="AA4769" t="str">
        <f>"11201-5425"</f>
        <v>11201-5425</v>
      </c>
      <c r="AB4769" t="s">
        <v>78</v>
      </c>
      <c r="AC4769" t="s">
        <v>79</v>
      </c>
      <c r="AD4769" t="s">
        <v>75</v>
      </c>
      <c r="AE4769" t="s">
        <v>80</v>
      </c>
      <c r="AG4769" t="s">
        <v>81</v>
      </c>
    </row>
    <row r="4770" spans="1:33" x14ac:dyDescent="0.25">
      <c r="A4770" t="str">
        <f>"1992908529"</f>
        <v>1992908529</v>
      </c>
      <c r="B4770" t="str">
        <f>"01581144"</f>
        <v>01581144</v>
      </c>
      <c r="C4770" t="s">
        <v>13436</v>
      </c>
      <c r="D4770" t="s">
        <v>24124</v>
      </c>
      <c r="E4770" t="s">
        <v>24125</v>
      </c>
      <c r="G4770" t="s">
        <v>24126</v>
      </c>
      <c r="L4770" t="s">
        <v>83</v>
      </c>
      <c r="M4770" t="s">
        <v>85</v>
      </c>
      <c r="R4770" t="s">
        <v>24127</v>
      </c>
      <c r="W4770" t="s">
        <v>24125</v>
      </c>
      <c r="X4770" t="s">
        <v>185</v>
      </c>
      <c r="Y4770" t="s">
        <v>97</v>
      </c>
      <c r="Z4770" t="s">
        <v>77</v>
      </c>
      <c r="AA4770" t="str">
        <f>"10035-2709"</f>
        <v>10035-2709</v>
      </c>
      <c r="AB4770" t="s">
        <v>78</v>
      </c>
      <c r="AC4770" t="s">
        <v>79</v>
      </c>
      <c r="AD4770" t="s">
        <v>75</v>
      </c>
      <c r="AE4770" t="s">
        <v>80</v>
      </c>
      <c r="AG4770" t="s">
        <v>81</v>
      </c>
    </row>
    <row r="4771" spans="1:33" x14ac:dyDescent="0.25">
      <c r="A4771" t="str">
        <f>"1023243292"</f>
        <v>1023243292</v>
      </c>
      <c r="B4771" t="str">
        <f>"03557288"</f>
        <v>03557288</v>
      </c>
      <c r="C4771" t="s">
        <v>13436</v>
      </c>
      <c r="D4771" t="s">
        <v>24128</v>
      </c>
      <c r="E4771" t="s">
        <v>24129</v>
      </c>
      <c r="G4771" t="s">
        <v>24130</v>
      </c>
      <c r="L4771" t="s">
        <v>84</v>
      </c>
      <c r="M4771" t="s">
        <v>85</v>
      </c>
      <c r="R4771" t="s">
        <v>24129</v>
      </c>
      <c r="W4771" t="s">
        <v>24129</v>
      </c>
      <c r="X4771" t="s">
        <v>24131</v>
      </c>
      <c r="Y4771" t="s">
        <v>97</v>
      </c>
      <c r="Z4771" t="s">
        <v>77</v>
      </c>
      <c r="AA4771" t="str">
        <f>"10003-3105"</f>
        <v>10003-3105</v>
      </c>
      <c r="AB4771" t="s">
        <v>78</v>
      </c>
      <c r="AC4771" t="s">
        <v>79</v>
      </c>
      <c r="AD4771" t="s">
        <v>75</v>
      </c>
      <c r="AE4771" t="s">
        <v>80</v>
      </c>
      <c r="AG4771" t="s">
        <v>81</v>
      </c>
    </row>
    <row r="4772" spans="1:33" x14ac:dyDescent="0.25">
      <c r="A4772" t="str">
        <f>"1023253572"</f>
        <v>1023253572</v>
      </c>
      <c r="B4772" t="str">
        <f>"03363839"</f>
        <v>03363839</v>
      </c>
      <c r="C4772" t="s">
        <v>13436</v>
      </c>
      <c r="D4772" t="s">
        <v>24132</v>
      </c>
      <c r="E4772" t="s">
        <v>24133</v>
      </c>
      <c r="G4772" t="s">
        <v>24134</v>
      </c>
      <c r="L4772" t="s">
        <v>94</v>
      </c>
      <c r="M4772" t="s">
        <v>85</v>
      </c>
      <c r="R4772" t="s">
        <v>24135</v>
      </c>
      <c r="W4772" t="s">
        <v>24136</v>
      </c>
      <c r="X4772" t="s">
        <v>258</v>
      </c>
      <c r="Y4772" t="s">
        <v>131</v>
      </c>
      <c r="Z4772" t="s">
        <v>77</v>
      </c>
      <c r="AA4772" t="str">
        <f>"10467-2401"</f>
        <v>10467-2401</v>
      </c>
      <c r="AB4772" t="s">
        <v>78</v>
      </c>
      <c r="AC4772" t="s">
        <v>79</v>
      </c>
      <c r="AD4772" t="s">
        <v>75</v>
      </c>
      <c r="AE4772" t="s">
        <v>80</v>
      </c>
      <c r="AG4772" t="s">
        <v>81</v>
      </c>
    </row>
    <row r="4773" spans="1:33" x14ac:dyDescent="0.25">
      <c r="A4773" t="str">
        <f>"1073505384"</f>
        <v>1073505384</v>
      </c>
      <c r="B4773" t="str">
        <f>"01477807"</f>
        <v>01477807</v>
      </c>
      <c r="C4773" t="s">
        <v>13436</v>
      </c>
      <c r="D4773" t="s">
        <v>24137</v>
      </c>
      <c r="E4773" t="s">
        <v>24138</v>
      </c>
      <c r="G4773" t="s">
        <v>24139</v>
      </c>
      <c r="L4773" t="s">
        <v>83</v>
      </c>
      <c r="M4773" t="s">
        <v>85</v>
      </c>
      <c r="R4773" t="s">
        <v>24140</v>
      </c>
      <c r="W4773" t="s">
        <v>24138</v>
      </c>
      <c r="X4773" t="s">
        <v>2608</v>
      </c>
      <c r="Y4773" t="s">
        <v>97</v>
      </c>
      <c r="Z4773" t="s">
        <v>77</v>
      </c>
      <c r="AA4773" t="str">
        <f>"10003-4201"</f>
        <v>10003-4201</v>
      </c>
      <c r="AB4773" t="s">
        <v>78</v>
      </c>
      <c r="AC4773" t="s">
        <v>79</v>
      </c>
      <c r="AD4773" t="s">
        <v>75</v>
      </c>
      <c r="AE4773" t="s">
        <v>80</v>
      </c>
      <c r="AG4773" t="s">
        <v>81</v>
      </c>
    </row>
    <row r="4774" spans="1:33" x14ac:dyDescent="0.25">
      <c r="A4774" t="str">
        <f>"1073575981"</f>
        <v>1073575981</v>
      </c>
      <c r="B4774" t="str">
        <f>"01860035"</f>
        <v>01860035</v>
      </c>
      <c r="C4774" t="s">
        <v>13436</v>
      </c>
      <c r="D4774" t="s">
        <v>24141</v>
      </c>
      <c r="E4774" t="s">
        <v>24142</v>
      </c>
      <c r="G4774" t="s">
        <v>24143</v>
      </c>
      <c r="L4774" t="s">
        <v>84</v>
      </c>
      <c r="M4774" t="s">
        <v>85</v>
      </c>
      <c r="R4774" t="s">
        <v>24144</v>
      </c>
      <c r="W4774" t="s">
        <v>24142</v>
      </c>
      <c r="X4774" t="s">
        <v>225</v>
      </c>
      <c r="Y4774" t="s">
        <v>131</v>
      </c>
      <c r="Z4774" t="s">
        <v>77</v>
      </c>
      <c r="AA4774" t="str">
        <f>"10457-2545"</f>
        <v>10457-2545</v>
      </c>
      <c r="AB4774" t="s">
        <v>78</v>
      </c>
      <c r="AC4774" t="s">
        <v>79</v>
      </c>
      <c r="AD4774" t="s">
        <v>75</v>
      </c>
      <c r="AE4774" t="s">
        <v>80</v>
      </c>
      <c r="AG4774" t="s">
        <v>81</v>
      </c>
    </row>
    <row r="4775" spans="1:33" x14ac:dyDescent="0.25">
      <c r="A4775" t="str">
        <f>"1114903465"</f>
        <v>1114903465</v>
      </c>
      <c r="B4775" t="str">
        <f>"01619630"</f>
        <v>01619630</v>
      </c>
      <c r="C4775" t="s">
        <v>13436</v>
      </c>
      <c r="D4775" t="s">
        <v>24145</v>
      </c>
      <c r="E4775" t="s">
        <v>24146</v>
      </c>
      <c r="G4775" t="s">
        <v>24147</v>
      </c>
      <c r="L4775" t="s">
        <v>105</v>
      </c>
      <c r="M4775" t="s">
        <v>85</v>
      </c>
      <c r="R4775" t="s">
        <v>24148</v>
      </c>
      <c r="W4775" t="s">
        <v>24149</v>
      </c>
      <c r="X4775" t="s">
        <v>181</v>
      </c>
      <c r="Y4775" t="s">
        <v>97</v>
      </c>
      <c r="Z4775" t="s">
        <v>77</v>
      </c>
      <c r="AA4775" t="str">
        <f>"10025-1716"</f>
        <v>10025-1716</v>
      </c>
      <c r="AB4775" t="s">
        <v>78</v>
      </c>
      <c r="AC4775" t="s">
        <v>79</v>
      </c>
      <c r="AD4775" t="s">
        <v>75</v>
      </c>
      <c r="AE4775" t="s">
        <v>80</v>
      </c>
      <c r="AG4775" t="s">
        <v>81</v>
      </c>
    </row>
    <row r="4776" spans="1:33" x14ac:dyDescent="0.25">
      <c r="A4776" t="str">
        <f>"1134348857"</f>
        <v>1134348857</v>
      </c>
      <c r="C4776" t="s">
        <v>13436</v>
      </c>
      <c r="G4776" t="s">
        <v>24150</v>
      </c>
      <c r="K4776" t="s">
        <v>99</v>
      </c>
      <c r="L4776" t="s">
        <v>102</v>
      </c>
      <c r="M4776" t="s">
        <v>85</v>
      </c>
      <c r="R4776" t="s">
        <v>24151</v>
      </c>
      <c r="S4776" t="s">
        <v>169</v>
      </c>
      <c r="T4776" t="s">
        <v>155</v>
      </c>
      <c r="U4776" t="s">
        <v>77</v>
      </c>
      <c r="V4776" t="str">
        <f>"103053436"</f>
        <v>103053436</v>
      </c>
      <c r="AC4776" t="s">
        <v>79</v>
      </c>
      <c r="AD4776" t="s">
        <v>75</v>
      </c>
      <c r="AE4776" t="s">
        <v>103</v>
      </c>
      <c r="AG4776" t="s">
        <v>81</v>
      </c>
    </row>
    <row r="4777" spans="1:33" x14ac:dyDescent="0.25">
      <c r="A4777" t="str">
        <f>"1033487673"</f>
        <v>1033487673</v>
      </c>
      <c r="B4777" t="str">
        <f>"03551342"</f>
        <v>03551342</v>
      </c>
      <c r="C4777" t="s">
        <v>24152</v>
      </c>
      <c r="D4777" t="s">
        <v>6071</v>
      </c>
      <c r="E4777" t="s">
        <v>6072</v>
      </c>
      <c r="G4777" t="s">
        <v>6513</v>
      </c>
      <c r="H4777" t="s">
        <v>6514</v>
      </c>
      <c r="J4777" t="s">
        <v>6515</v>
      </c>
      <c r="L4777" t="s">
        <v>74</v>
      </c>
      <c r="M4777" t="s">
        <v>85</v>
      </c>
      <c r="R4777" t="s">
        <v>6073</v>
      </c>
      <c r="W4777" t="s">
        <v>6072</v>
      </c>
      <c r="X4777" t="s">
        <v>2093</v>
      </c>
      <c r="Y4777" t="s">
        <v>97</v>
      </c>
      <c r="Z4777" t="s">
        <v>77</v>
      </c>
      <c r="AA4777" t="str">
        <f>"10025-1715"</f>
        <v>10025-1715</v>
      </c>
      <c r="AB4777" t="s">
        <v>78</v>
      </c>
      <c r="AC4777" t="s">
        <v>79</v>
      </c>
      <c r="AD4777" t="s">
        <v>75</v>
      </c>
      <c r="AE4777" t="s">
        <v>80</v>
      </c>
      <c r="AG4777" t="s">
        <v>81</v>
      </c>
    </row>
    <row r="4778" spans="1:33" x14ac:dyDescent="0.25">
      <c r="A4778" t="str">
        <f>"1841345469"</f>
        <v>1841345469</v>
      </c>
      <c r="B4778" t="str">
        <f>"01947680"</f>
        <v>01947680</v>
      </c>
      <c r="C4778" t="s">
        <v>24153</v>
      </c>
      <c r="D4778" t="s">
        <v>6084</v>
      </c>
      <c r="E4778" t="s">
        <v>6085</v>
      </c>
      <c r="G4778" t="s">
        <v>6513</v>
      </c>
      <c r="H4778" t="s">
        <v>6514</v>
      </c>
      <c r="J4778" t="s">
        <v>6515</v>
      </c>
      <c r="L4778" t="s">
        <v>83</v>
      </c>
      <c r="M4778" t="s">
        <v>85</v>
      </c>
      <c r="R4778" t="s">
        <v>6086</v>
      </c>
      <c r="W4778" t="s">
        <v>6085</v>
      </c>
      <c r="X4778" t="s">
        <v>168</v>
      </c>
      <c r="Y4778" t="s">
        <v>155</v>
      </c>
      <c r="Z4778" t="s">
        <v>77</v>
      </c>
      <c r="AA4778" t="str">
        <f>"10310-1664"</f>
        <v>10310-1664</v>
      </c>
      <c r="AB4778" t="s">
        <v>78</v>
      </c>
      <c r="AC4778" t="s">
        <v>79</v>
      </c>
      <c r="AD4778" t="s">
        <v>75</v>
      </c>
      <c r="AE4778" t="s">
        <v>80</v>
      </c>
      <c r="AG4778" t="s">
        <v>81</v>
      </c>
    </row>
    <row r="4779" spans="1:33" x14ac:dyDescent="0.25">
      <c r="A4779" t="str">
        <f>"1073632428"</f>
        <v>1073632428</v>
      </c>
      <c r="B4779" t="str">
        <f>"02151288"</f>
        <v>02151288</v>
      </c>
      <c r="C4779" t="s">
        <v>24154</v>
      </c>
      <c r="D4779" t="s">
        <v>5709</v>
      </c>
      <c r="E4779" t="s">
        <v>5710</v>
      </c>
      <c r="G4779" t="s">
        <v>6513</v>
      </c>
      <c r="H4779" t="s">
        <v>6514</v>
      </c>
      <c r="J4779" t="s">
        <v>6515</v>
      </c>
      <c r="L4779" t="s">
        <v>105</v>
      </c>
      <c r="M4779" t="s">
        <v>75</v>
      </c>
      <c r="R4779" t="s">
        <v>5711</v>
      </c>
      <c r="W4779" t="s">
        <v>5710</v>
      </c>
      <c r="X4779" t="s">
        <v>264</v>
      </c>
      <c r="Y4779" t="s">
        <v>131</v>
      </c>
      <c r="Z4779" t="s">
        <v>77</v>
      </c>
      <c r="AA4779" t="str">
        <f>"10461-1197"</f>
        <v>10461-1197</v>
      </c>
      <c r="AB4779" t="s">
        <v>78</v>
      </c>
      <c r="AC4779" t="s">
        <v>79</v>
      </c>
      <c r="AD4779" t="s">
        <v>75</v>
      </c>
      <c r="AE4779" t="s">
        <v>80</v>
      </c>
      <c r="AG4779" t="s">
        <v>81</v>
      </c>
    </row>
    <row r="4780" spans="1:33" x14ac:dyDescent="0.25">
      <c r="A4780" t="str">
        <f>"1063509131"</f>
        <v>1063509131</v>
      </c>
      <c r="B4780" t="str">
        <f>"01205325"</f>
        <v>01205325</v>
      </c>
      <c r="C4780" t="s">
        <v>24155</v>
      </c>
      <c r="D4780" t="s">
        <v>24156</v>
      </c>
      <c r="E4780" t="s">
        <v>24157</v>
      </c>
      <c r="G4780" t="s">
        <v>6513</v>
      </c>
      <c r="H4780" t="s">
        <v>6514</v>
      </c>
      <c r="J4780" t="s">
        <v>6515</v>
      </c>
      <c r="L4780" t="s">
        <v>94</v>
      </c>
      <c r="M4780" t="s">
        <v>75</v>
      </c>
      <c r="R4780" t="s">
        <v>24158</v>
      </c>
      <c r="W4780" t="s">
        <v>24157</v>
      </c>
      <c r="X4780" t="s">
        <v>24159</v>
      </c>
      <c r="Y4780" t="s">
        <v>97</v>
      </c>
      <c r="Z4780" t="s">
        <v>77</v>
      </c>
      <c r="AA4780" t="str">
        <f>"10128-6904"</f>
        <v>10128-6904</v>
      </c>
      <c r="AB4780" t="s">
        <v>78</v>
      </c>
      <c r="AC4780" t="s">
        <v>79</v>
      </c>
      <c r="AD4780" t="s">
        <v>75</v>
      </c>
      <c r="AE4780" t="s">
        <v>80</v>
      </c>
      <c r="AG4780" t="s">
        <v>81</v>
      </c>
    </row>
    <row r="4781" spans="1:33" x14ac:dyDescent="0.25">
      <c r="A4781" t="str">
        <f>"1972525418"</f>
        <v>1972525418</v>
      </c>
      <c r="B4781" t="str">
        <f>"01178954"</f>
        <v>01178954</v>
      </c>
      <c r="C4781" t="s">
        <v>24160</v>
      </c>
      <c r="D4781" t="s">
        <v>5001</v>
      </c>
      <c r="E4781" t="s">
        <v>5002</v>
      </c>
      <c r="G4781" t="s">
        <v>6513</v>
      </c>
      <c r="H4781" t="s">
        <v>6514</v>
      </c>
      <c r="J4781" t="s">
        <v>6515</v>
      </c>
      <c r="L4781" t="s">
        <v>83</v>
      </c>
      <c r="M4781" t="s">
        <v>75</v>
      </c>
      <c r="R4781" t="s">
        <v>5003</v>
      </c>
      <c r="W4781" t="s">
        <v>5002</v>
      </c>
      <c r="X4781" t="s">
        <v>5004</v>
      </c>
      <c r="Y4781" t="s">
        <v>207</v>
      </c>
      <c r="Z4781" t="s">
        <v>77</v>
      </c>
      <c r="AA4781" t="str">
        <f>"11581-1015"</f>
        <v>11581-1015</v>
      </c>
      <c r="AB4781" t="s">
        <v>128</v>
      </c>
      <c r="AC4781" t="s">
        <v>79</v>
      </c>
      <c r="AD4781" t="s">
        <v>75</v>
      </c>
      <c r="AE4781" t="s">
        <v>80</v>
      </c>
      <c r="AG4781" t="s">
        <v>81</v>
      </c>
    </row>
    <row r="4782" spans="1:33" x14ac:dyDescent="0.25">
      <c r="A4782" t="str">
        <f>"1003220971"</f>
        <v>1003220971</v>
      </c>
      <c r="C4782" t="s">
        <v>13436</v>
      </c>
      <c r="G4782" t="s">
        <v>24161</v>
      </c>
      <c r="K4782" t="s">
        <v>99</v>
      </c>
      <c r="L4782" t="s">
        <v>102</v>
      </c>
      <c r="M4782" t="s">
        <v>75</v>
      </c>
      <c r="R4782" t="s">
        <v>24162</v>
      </c>
      <c r="S4782" t="s">
        <v>12769</v>
      </c>
      <c r="T4782" t="s">
        <v>4861</v>
      </c>
      <c r="U4782" t="s">
        <v>156</v>
      </c>
      <c r="V4782" t="str">
        <f>"076311808"</f>
        <v>076311808</v>
      </c>
      <c r="AC4782" t="s">
        <v>79</v>
      </c>
      <c r="AD4782" t="s">
        <v>75</v>
      </c>
      <c r="AE4782" t="s">
        <v>103</v>
      </c>
      <c r="AG4782" t="s">
        <v>81</v>
      </c>
    </row>
    <row r="4783" spans="1:33" x14ac:dyDescent="0.25">
      <c r="A4783" t="str">
        <f>"1003801903"</f>
        <v>1003801903</v>
      </c>
      <c r="B4783" t="str">
        <f>"02331744"</f>
        <v>02331744</v>
      </c>
      <c r="C4783" t="s">
        <v>13436</v>
      </c>
      <c r="D4783" t="s">
        <v>24163</v>
      </c>
      <c r="E4783" t="s">
        <v>24164</v>
      </c>
      <c r="G4783" t="s">
        <v>24165</v>
      </c>
      <c r="L4783" t="s">
        <v>102</v>
      </c>
      <c r="M4783" t="s">
        <v>85</v>
      </c>
      <c r="R4783" t="s">
        <v>24166</v>
      </c>
      <c r="W4783" t="s">
        <v>24167</v>
      </c>
      <c r="X4783" t="s">
        <v>842</v>
      </c>
      <c r="Y4783" t="s">
        <v>97</v>
      </c>
      <c r="Z4783" t="s">
        <v>77</v>
      </c>
      <c r="AA4783" t="str">
        <f>"10029-6501"</f>
        <v>10029-6501</v>
      </c>
      <c r="AB4783" t="s">
        <v>78</v>
      </c>
      <c r="AC4783" t="s">
        <v>79</v>
      </c>
      <c r="AD4783" t="s">
        <v>75</v>
      </c>
      <c r="AE4783" t="s">
        <v>80</v>
      </c>
      <c r="AG4783" t="s">
        <v>81</v>
      </c>
    </row>
    <row r="4784" spans="1:33" x14ac:dyDescent="0.25">
      <c r="A4784" t="str">
        <f>"1003840760"</f>
        <v>1003840760</v>
      </c>
      <c r="B4784" t="str">
        <f>"03491307"</f>
        <v>03491307</v>
      </c>
      <c r="C4784" t="s">
        <v>13436</v>
      </c>
      <c r="D4784" t="s">
        <v>24168</v>
      </c>
      <c r="E4784" t="s">
        <v>24169</v>
      </c>
      <c r="G4784" t="s">
        <v>24170</v>
      </c>
      <c r="L4784" t="s">
        <v>74</v>
      </c>
      <c r="M4784" t="s">
        <v>85</v>
      </c>
      <c r="R4784" t="s">
        <v>24169</v>
      </c>
      <c r="W4784" t="s">
        <v>24169</v>
      </c>
      <c r="X4784" t="s">
        <v>329</v>
      </c>
      <c r="Y4784" t="s">
        <v>97</v>
      </c>
      <c r="Z4784" t="s">
        <v>77</v>
      </c>
      <c r="AA4784" t="str">
        <f>"10029-6500"</f>
        <v>10029-6500</v>
      </c>
      <c r="AB4784" t="s">
        <v>78</v>
      </c>
      <c r="AC4784" t="s">
        <v>79</v>
      </c>
      <c r="AD4784" t="s">
        <v>75</v>
      </c>
      <c r="AE4784" t="s">
        <v>80</v>
      </c>
      <c r="AG4784" t="s">
        <v>81</v>
      </c>
    </row>
    <row r="4785" spans="1:33" x14ac:dyDescent="0.25">
      <c r="A4785" t="str">
        <f>"1881005478"</f>
        <v>1881005478</v>
      </c>
      <c r="B4785" t="str">
        <f>"04008408"</f>
        <v>04008408</v>
      </c>
      <c r="C4785" t="s">
        <v>24171</v>
      </c>
      <c r="D4785" t="s">
        <v>6263</v>
      </c>
      <c r="E4785" t="s">
        <v>6264</v>
      </c>
      <c r="G4785" t="s">
        <v>23951</v>
      </c>
      <c r="H4785" t="s">
        <v>23952</v>
      </c>
      <c r="J4785" t="s">
        <v>23953</v>
      </c>
      <c r="L4785" t="s">
        <v>83</v>
      </c>
      <c r="M4785" t="s">
        <v>75</v>
      </c>
      <c r="R4785" t="s">
        <v>6265</v>
      </c>
      <c r="W4785" t="s">
        <v>6264</v>
      </c>
      <c r="X4785" t="s">
        <v>6266</v>
      </c>
      <c r="Y4785" t="s">
        <v>77</v>
      </c>
      <c r="Z4785" t="s">
        <v>77</v>
      </c>
      <c r="AA4785" t="str">
        <f>"10027-4990"</f>
        <v>10027-4990</v>
      </c>
      <c r="AB4785" t="s">
        <v>78</v>
      </c>
      <c r="AC4785" t="s">
        <v>79</v>
      </c>
      <c r="AD4785" t="s">
        <v>75</v>
      </c>
      <c r="AE4785" t="s">
        <v>80</v>
      </c>
      <c r="AG4785" t="s">
        <v>81</v>
      </c>
    </row>
    <row r="4786" spans="1:33" x14ac:dyDescent="0.25">
      <c r="A4786" t="str">
        <f>"1619266897"</f>
        <v>1619266897</v>
      </c>
      <c r="B4786" t="str">
        <f>"03714918"</f>
        <v>03714918</v>
      </c>
      <c r="C4786" t="s">
        <v>24172</v>
      </c>
      <c r="D4786" t="s">
        <v>24173</v>
      </c>
      <c r="E4786" t="s">
        <v>24174</v>
      </c>
      <c r="G4786" t="s">
        <v>23951</v>
      </c>
      <c r="H4786" t="s">
        <v>23952</v>
      </c>
      <c r="J4786" t="s">
        <v>23953</v>
      </c>
      <c r="L4786" t="s">
        <v>74</v>
      </c>
      <c r="M4786" t="s">
        <v>75</v>
      </c>
      <c r="R4786" t="s">
        <v>24175</v>
      </c>
      <c r="W4786" t="s">
        <v>24174</v>
      </c>
      <c r="X4786" t="s">
        <v>6205</v>
      </c>
      <c r="Y4786" t="s">
        <v>97</v>
      </c>
      <c r="Z4786" t="s">
        <v>77</v>
      </c>
      <c r="AA4786" t="str">
        <f>"10029-0313"</f>
        <v>10029-0313</v>
      </c>
      <c r="AB4786" t="s">
        <v>78</v>
      </c>
      <c r="AC4786" t="s">
        <v>79</v>
      </c>
      <c r="AD4786" t="s">
        <v>75</v>
      </c>
      <c r="AE4786" t="s">
        <v>80</v>
      </c>
      <c r="AG4786" t="s">
        <v>81</v>
      </c>
    </row>
    <row r="4787" spans="1:33" x14ac:dyDescent="0.25">
      <c r="A4787" t="str">
        <f>"1083762587"</f>
        <v>1083762587</v>
      </c>
      <c r="B4787" t="str">
        <f>"01846060"</f>
        <v>01846060</v>
      </c>
      <c r="C4787" t="s">
        <v>24176</v>
      </c>
      <c r="D4787" t="s">
        <v>24177</v>
      </c>
      <c r="E4787" t="s">
        <v>24178</v>
      </c>
      <c r="G4787" t="s">
        <v>23951</v>
      </c>
      <c r="H4787" t="s">
        <v>23952</v>
      </c>
      <c r="J4787" t="s">
        <v>23953</v>
      </c>
      <c r="L4787" t="s">
        <v>105</v>
      </c>
      <c r="M4787" t="s">
        <v>75</v>
      </c>
      <c r="R4787" t="s">
        <v>24179</v>
      </c>
      <c r="W4787" t="s">
        <v>24180</v>
      </c>
      <c r="X4787" t="s">
        <v>24181</v>
      </c>
      <c r="Y4787" t="s">
        <v>131</v>
      </c>
      <c r="Z4787" t="s">
        <v>77</v>
      </c>
      <c r="AA4787" t="str">
        <f>"10455-4048"</f>
        <v>10455-4048</v>
      </c>
      <c r="AB4787" t="s">
        <v>78</v>
      </c>
      <c r="AC4787" t="s">
        <v>79</v>
      </c>
      <c r="AD4787" t="s">
        <v>75</v>
      </c>
      <c r="AE4787" t="s">
        <v>80</v>
      </c>
      <c r="AG4787" t="s">
        <v>81</v>
      </c>
    </row>
    <row r="4788" spans="1:33" x14ac:dyDescent="0.25">
      <c r="A4788" t="str">
        <f>"1861530446"</f>
        <v>1861530446</v>
      </c>
      <c r="B4788" t="str">
        <f>"00423294"</f>
        <v>00423294</v>
      </c>
      <c r="C4788" t="s">
        <v>6395</v>
      </c>
      <c r="D4788" t="s">
        <v>24182</v>
      </c>
      <c r="E4788" t="s">
        <v>24183</v>
      </c>
      <c r="G4788" t="s">
        <v>6396</v>
      </c>
      <c r="H4788" t="s">
        <v>3150</v>
      </c>
      <c r="I4788">
        <v>3118</v>
      </c>
      <c r="J4788" t="s">
        <v>6397</v>
      </c>
      <c r="L4788" t="s">
        <v>105</v>
      </c>
      <c r="M4788" t="s">
        <v>75</v>
      </c>
      <c r="R4788" t="s">
        <v>24184</v>
      </c>
      <c r="W4788" t="s">
        <v>24183</v>
      </c>
      <c r="X4788" t="s">
        <v>24185</v>
      </c>
      <c r="Y4788" t="s">
        <v>3152</v>
      </c>
      <c r="Z4788" t="s">
        <v>77</v>
      </c>
      <c r="AA4788" t="str">
        <f>"10533-1254"</f>
        <v>10533-1254</v>
      </c>
      <c r="AB4788" t="s">
        <v>78</v>
      </c>
      <c r="AC4788" t="s">
        <v>79</v>
      </c>
      <c r="AD4788" t="s">
        <v>75</v>
      </c>
      <c r="AE4788" t="s">
        <v>80</v>
      </c>
      <c r="AG4788" t="s">
        <v>81</v>
      </c>
    </row>
    <row r="4789" spans="1:33" x14ac:dyDescent="0.25">
      <c r="A4789" t="str">
        <f>"1083873723"</f>
        <v>1083873723</v>
      </c>
      <c r="B4789" t="str">
        <f>"03689489"</f>
        <v>03689489</v>
      </c>
      <c r="C4789" t="s">
        <v>6416</v>
      </c>
      <c r="D4789" t="s">
        <v>24186</v>
      </c>
      <c r="E4789" t="s">
        <v>24187</v>
      </c>
      <c r="G4789" t="s">
        <v>6417</v>
      </c>
      <c r="H4789" t="s">
        <v>3150</v>
      </c>
      <c r="I4789">
        <v>3118</v>
      </c>
      <c r="J4789" t="s">
        <v>6418</v>
      </c>
      <c r="L4789" t="s">
        <v>102</v>
      </c>
      <c r="M4789" t="s">
        <v>75</v>
      </c>
      <c r="R4789" t="s">
        <v>24188</v>
      </c>
      <c r="W4789" t="s">
        <v>24187</v>
      </c>
      <c r="X4789" t="s">
        <v>24185</v>
      </c>
      <c r="Y4789" t="s">
        <v>3152</v>
      </c>
      <c r="Z4789" t="s">
        <v>77</v>
      </c>
      <c r="AA4789" t="str">
        <f>"10533-1254"</f>
        <v>10533-1254</v>
      </c>
      <c r="AB4789" t="s">
        <v>78</v>
      </c>
      <c r="AC4789" t="s">
        <v>79</v>
      </c>
      <c r="AD4789" t="s">
        <v>75</v>
      </c>
      <c r="AE4789" t="s">
        <v>80</v>
      </c>
      <c r="AG4789" t="s">
        <v>81</v>
      </c>
    </row>
    <row r="4790" spans="1:33" x14ac:dyDescent="0.25">
      <c r="C4790" t="s">
        <v>24189</v>
      </c>
      <c r="G4790" t="s">
        <v>24189</v>
      </c>
      <c r="H4790" t="s">
        <v>3639</v>
      </c>
      <c r="K4790" t="s">
        <v>99</v>
      </c>
      <c r="L4790" t="s">
        <v>100</v>
      </c>
      <c r="M4790" t="s">
        <v>75</v>
      </c>
      <c r="N4790" t="s">
        <v>24190</v>
      </c>
      <c r="O4790" t="s">
        <v>9984</v>
      </c>
      <c r="P4790" t="s">
        <v>77</v>
      </c>
      <c r="Q4790" t="str">
        <f>"10803"</f>
        <v>10803</v>
      </c>
      <c r="AC4790" t="s">
        <v>79</v>
      </c>
      <c r="AD4790" t="s">
        <v>75</v>
      </c>
      <c r="AE4790" t="s">
        <v>101</v>
      </c>
      <c r="AG4790" t="s">
        <v>81</v>
      </c>
    </row>
    <row r="4791" spans="1:33" x14ac:dyDescent="0.25">
      <c r="A4791" t="str">
        <f>"1689766537"</f>
        <v>1689766537</v>
      </c>
      <c r="B4791" t="str">
        <f>"00699683"</f>
        <v>00699683</v>
      </c>
      <c r="C4791" t="s">
        <v>24191</v>
      </c>
      <c r="D4791" t="s">
        <v>2482</v>
      </c>
      <c r="E4791" t="s">
        <v>2483</v>
      </c>
      <c r="G4791" t="s">
        <v>24191</v>
      </c>
      <c r="H4791" t="s">
        <v>24192</v>
      </c>
      <c r="L4791" t="s">
        <v>83</v>
      </c>
      <c r="M4791" t="s">
        <v>75</v>
      </c>
      <c r="R4791" t="s">
        <v>2481</v>
      </c>
      <c r="W4791" t="s">
        <v>2484</v>
      </c>
      <c r="X4791" t="s">
        <v>2485</v>
      </c>
      <c r="Y4791" t="s">
        <v>209</v>
      </c>
      <c r="Z4791" t="s">
        <v>77</v>
      </c>
      <c r="AA4791" t="str">
        <f>"11794-0001"</f>
        <v>11794-0001</v>
      </c>
      <c r="AB4791" t="s">
        <v>78</v>
      </c>
      <c r="AC4791" t="s">
        <v>79</v>
      </c>
      <c r="AD4791" t="s">
        <v>75</v>
      </c>
      <c r="AE4791" t="s">
        <v>80</v>
      </c>
      <c r="AG4791" t="s">
        <v>81</v>
      </c>
    </row>
    <row r="4792" spans="1:33" x14ac:dyDescent="0.25">
      <c r="A4792" t="str">
        <f>"1366531311"</f>
        <v>1366531311</v>
      </c>
      <c r="B4792" t="str">
        <f>"01038251"</f>
        <v>01038251</v>
      </c>
      <c r="C4792" t="s">
        <v>24193</v>
      </c>
      <c r="D4792" t="s">
        <v>2487</v>
      </c>
      <c r="E4792" t="s">
        <v>2488</v>
      </c>
      <c r="G4792" t="s">
        <v>24193</v>
      </c>
      <c r="H4792" t="s">
        <v>24194</v>
      </c>
      <c r="L4792" t="s">
        <v>83</v>
      </c>
      <c r="M4792" t="s">
        <v>75</v>
      </c>
      <c r="R4792" t="s">
        <v>2486</v>
      </c>
      <c r="W4792" t="s">
        <v>2489</v>
      </c>
      <c r="X4792" t="s">
        <v>2490</v>
      </c>
      <c r="Y4792" t="s">
        <v>2491</v>
      </c>
      <c r="Z4792" t="s">
        <v>77</v>
      </c>
      <c r="AA4792" t="str">
        <f>"11720-4440"</f>
        <v>11720-4440</v>
      </c>
      <c r="AB4792" t="s">
        <v>78</v>
      </c>
      <c r="AC4792" t="s">
        <v>79</v>
      </c>
      <c r="AD4792" t="s">
        <v>75</v>
      </c>
      <c r="AE4792" t="s">
        <v>80</v>
      </c>
      <c r="AG4792" t="s">
        <v>81</v>
      </c>
    </row>
    <row r="4793" spans="1:33" x14ac:dyDescent="0.25">
      <c r="A4793" t="str">
        <f>"1164457958"</f>
        <v>1164457958</v>
      </c>
      <c r="B4793" t="str">
        <f>"00277945"</f>
        <v>00277945</v>
      </c>
      <c r="C4793" t="s">
        <v>24195</v>
      </c>
      <c r="D4793" t="s">
        <v>2493</v>
      </c>
      <c r="E4793" t="s">
        <v>2494</v>
      </c>
      <c r="G4793" t="s">
        <v>24195</v>
      </c>
      <c r="H4793" t="s">
        <v>24196</v>
      </c>
      <c r="L4793" t="s">
        <v>84</v>
      </c>
      <c r="M4793" t="s">
        <v>75</v>
      </c>
      <c r="R4793" t="s">
        <v>2492</v>
      </c>
      <c r="W4793" t="s">
        <v>2495</v>
      </c>
      <c r="X4793" t="s">
        <v>2496</v>
      </c>
      <c r="Y4793" t="s">
        <v>1818</v>
      </c>
      <c r="Z4793" t="s">
        <v>77</v>
      </c>
      <c r="AA4793" t="str">
        <f>"11787-3400"</f>
        <v>11787-3400</v>
      </c>
      <c r="AB4793" t="s">
        <v>78</v>
      </c>
      <c r="AC4793" t="s">
        <v>79</v>
      </c>
      <c r="AD4793" t="s">
        <v>75</v>
      </c>
      <c r="AE4793" t="s">
        <v>80</v>
      </c>
      <c r="AG4793" t="s">
        <v>81</v>
      </c>
    </row>
    <row r="4794" spans="1:33" x14ac:dyDescent="0.25">
      <c r="A4794" t="str">
        <f>"1881784817"</f>
        <v>1881784817</v>
      </c>
      <c r="B4794" t="str">
        <f>"00620517"</f>
        <v>00620517</v>
      </c>
      <c r="C4794" t="s">
        <v>24197</v>
      </c>
      <c r="D4794" t="s">
        <v>1852</v>
      </c>
      <c r="E4794" t="s">
        <v>1853</v>
      </c>
      <c r="G4794" t="s">
        <v>24197</v>
      </c>
      <c r="H4794" t="s">
        <v>24198</v>
      </c>
      <c r="L4794" t="s">
        <v>83</v>
      </c>
      <c r="M4794" t="s">
        <v>75</v>
      </c>
      <c r="R4794" t="s">
        <v>1851</v>
      </c>
      <c r="W4794" t="s">
        <v>1853</v>
      </c>
      <c r="X4794" t="s">
        <v>1854</v>
      </c>
      <c r="Y4794" t="s">
        <v>1818</v>
      </c>
      <c r="Z4794" t="s">
        <v>77</v>
      </c>
      <c r="AA4794" t="str">
        <f>"11787-3618"</f>
        <v>11787-3618</v>
      </c>
      <c r="AB4794" t="s">
        <v>78</v>
      </c>
      <c r="AC4794" t="s">
        <v>79</v>
      </c>
      <c r="AD4794" t="s">
        <v>75</v>
      </c>
      <c r="AE4794" t="s">
        <v>80</v>
      </c>
      <c r="AG4794" t="s">
        <v>81</v>
      </c>
    </row>
    <row r="4795" spans="1:33" x14ac:dyDescent="0.25">
      <c r="A4795" t="str">
        <f>"1437241890"</f>
        <v>1437241890</v>
      </c>
      <c r="B4795" t="str">
        <f>"00644413"</f>
        <v>00644413</v>
      </c>
      <c r="C4795" t="s">
        <v>24199</v>
      </c>
      <c r="D4795" t="s">
        <v>1856</v>
      </c>
      <c r="E4795" t="s">
        <v>1857</v>
      </c>
      <c r="G4795" t="s">
        <v>24199</v>
      </c>
      <c r="H4795" t="s">
        <v>24200</v>
      </c>
      <c r="L4795" t="s">
        <v>74</v>
      </c>
      <c r="M4795" t="s">
        <v>75</v>
      </c>
      <c r="R4795" t="s">
        <v>1855</v>
      </c>
      <c r="W4795" t="s">
        <v>1857</v>
      </c>
      <c r="X4795" t="s">
        <v>1858</v>
      </c>
      <c r="Y4795" t="s">
        <v>1859</v>
      </c>
      <c r="Z4795" t="s">
        <v>77</v>
      </c>
      <c r="AA4795" t="str">
        <f>"11777"</f>
        <v>11777</v>
      </c>
      <c r="AB4795" t="s">
        <v>78</v>
      </c>
      <c r="AC4795" t="s">
        <v>79</v>
      </c>
      <c r="AD4795" t="s">
        <v>75</v>
      </c>
      <c r="AE4795" t="s">
        <v>80</v>
      </c>
      <c r="AG4795" t="s">
        <v>81</v>
      </c>
    </row>
    <row r="4796" spans="1:33" x14ac:dyDescent="0.25">
      <c r="A4796" t="str">
        <f>"1518969880"</f>
        <v>1518969880</v>
      </c>
      <c r="B4796" t="str">
        <f>"00693036"</f>
        <v>00693036</v>
      </c>
      <c r="C4796" t="s">
        <v>24201</v>
      </c>
      <c r="D4796" t="s">
        <v>1861</v>
      </c>
      <c r="E4796" t="s">
        <v>1862</v>
      </c>
      <c r="G4796" t="s">
        <v>24201</v>
      </c>
      <c r="H4796" t="s">
        <v>23731</v>
      </c>
      <c r="L4796" t="s">
        <v>84</v>
      </c>
      <c r="M4796" t="s">
        <v>75</v>
      </c>
      <c r="R4796" t="s">
        <v>1860</v>
      </c>
      <c r="W4796" t="s">
        <v>1863</v>
      </c>
      <c r="X4796" t="s">
        <v>1864</v>
      </c>
      <c r="Y4796" t="s">
        <v>231</v>
      </c>
      <c r="Z4796" t="s">
        <v>77</v>
      </c>
      <c r="AA4796" t="str">
        <f>"11779-4280"</f>
        <v>11779-4280</v>
      </c>
      <c r="AB4796" t="s">
        <v>78</v>
      </c>
      <c r="AC4796" t="s">
        <v>79</v>
      </c>
      <c r="AD4796" t="s">
        <v>75</v>
      </c>
      <c r="AE4796" t="s">
        <v>80</v>
      </c>
      <c r="AG4796" t="s">
        <v>81</v>
      </c>
    </row>
    <row r="4797" spans="1:33" x14ac:dyDescent="0.25">
      <c r="A4797" t="str">
        <f>"1629295571"</f>
        <v>1629295571</v>
      </c>
      <c r="B4797" t="str">
        <f>"01018831"</f>
        <v>01018831</v>
      </c>
      <c r="C4797" t="s">
        <v>24202</v>
      </c>
      <c r="D4797" t="s">
        <v>1866</v>
      </c>
      <c r="E4797" t="s">
        <v>1867</v>
      </c>
      <c r="G4797" t="s">
        <v>24202</v>
      </c>
      <c r="H4797" t="s">
        <v>19336</v>
      </c>
      <c r="L4797" t="s">
        <v>84</v>
      </c>
      <c r="M4797" t="s">
        <v>75</v>
      </c>
      <c r="R4797" t="s">
        <v>1865</v>
      </c>
      <c r="W4797" t="s">
        <v>1868</v>
      </c>
      <c r="X4797" t="s">
        <v>1869</v>
      </c>
      <c r="Y4797" t="s">
        <v>1818</v>
      </c>
      <c r="Z4797" t="s">
        <v>77</v>
      </c>
      <c r="AA4797" t="str">
        <f>"11787-1454"</f>
        <v>11787-1454</v>
      </c>
      <c r="AB4797" t="s">
        <v>78</v>
      </c>
      <c r="AC4797" t="s">
        <v>79</v>
      </c>
      <c r="AD4797" t="s">
        <v>75</v>
      </c>
      <c r="AE4797" t="s">
        <v>80</v>
      </c>
      <c r="AG4797" t="s">
        <v>81</v>
      </c>
    </row>
    <row r="4798" spans="1:33" x14ac:dyDescent="0.25">
      <c r="A4798" t="str">
        <f>"1720165475"</f>
        <v>1720165475</v>
      </c>
      <c r="B4798" t="str">
        <f>"03629903"</f>
        <v>03629903</v>
      </c>
      <c r="C4798" t="s">
        <v>24203</v>
      </c>
      <c r="D4798" t="s">
        <v>1911</v>
      </c>
      <c r="E4798" t="s">
        <v>1912</v>
      </c>
      <c r="G4798" t="s">
        <v>24203</v>
      </c>
      <c r="H4798" t="s">
        <v>24204</v>
      </c>
      <c r="L4798" t="s">
        <v>74</v>
      </c>
      <c r="M4798" t="s">
        <v>75</v>
      </c>
      <c r="R4798" t="s">
        <v>1910</v>
      </c>
      <c r="W4798" t="s">
        <v>1912</v>
      </c>
      <c r="X4798" t="s">
        <v>1758</v>
      </c>
      <c r="Y4798" t="s">
        <v>1759</v>
      </c>
      <c r="Z4798" t="s">
        <v>77</v>
      </c>
      <c r="AA4798" t="str">
        <f>"11780-2117"</f>
        <v>11780-2117</v>
      </c>
      <c r="AB4798" t="s">
        <v>78</v>
      </c>
      <c r="AC4798" t="s">
        <v>79</v>
      </c>
      <c r="AD4798" t="s">
        <v>75</v>
      </c>
      <c r="AE4798" t="s">
        <v>80</v>
      </c>
      <c r="AG4798" t="s">
        <v>81</v>
      </c>
    </row>
    <row r="4799" spans="1:33" x14ac:dyDescent="0.25">
      <c r="A4799" t="str">
        <f>"1871600510"</f>
        <v>1871600510</v>
      </c>
      <c r="B4799" t="str">
        <f>"01496340"</f>
        <v>01496340</v>
      </c>
      <c r="C4799" t="s">
        <v>13436</v>
      </c>
      <c r="D4799" t="s">
        <v>24205</v>
      </c>
      <c r="E4799" t="s">
        <v>24206</v>
      </c>
      <c r="G4799" t="s">
        <v>24207</v>
      </c>
      <c r="L4799" t="s">
        <v>83</v>
      </c>
      <c r="M4799" t="s">
        <v>85</v>
      </c>
      <c r="R4799" t="s">
        <v>24208</v>
      </c>
      <c r="W4799" t="s">
        <v>24209</v>
      </c>
      <c r="X4799" t="s">
        <v>24210</v>
      </c>
      <c r="Y4799" t="s">
        <v>97</v>
      </c>
      <c r="Z4799" t="s">
        <v>77</v>
      </c>
      <c r="AA4799" t="str">
        <f>"10003-4201"</f>
        <v>10003-4201</v>
      </c>
      <c r="AB4799" t="s">
        <v>78</v>
      </c>
      <c r="AC4799" t="s">
        <v>79</v>
      </c>
      <c r="AD4799" t="s">
        <v>75</v>
      </c>
      <c r="AE4799" t="s">
        <v>80</v>
      </c>
      <c r="AG4799" t="s">
        <v>81</v>
      </c>
    </row>
    <row r="4800" spans="1:33" x14ac:dyDescent="0.25">
      <c r="A4800" t="str">
        <f>"1871601880"</f>
        <v>1871601880</v>
      </c>
      <c r="C4800" t="s">
        <v>13436</v>
      </c>
      <c r="G4800" t="s">
        <v>24211</v>
      </c>
      <c r="K4800" t="s">
        <v>99</v>
      </c>
      <c r="L4800" t="s">
        <v>102</v>
      </c>
      <c r="M4800" t="s">
        <v>85</v>
      </c>
      <c r="R4800" t="s">
        <v>24212</v>
      </c>
      <c r="S4800" t="s">
        <v>181</v>
      </c>
      <c r="T4800" t="s">
        <v>97</v>
      </c>
      <c r="U4800" t="s">
        <v>77</v>
      </c>
      <c r="V4800" t="str">
        <f>"100251716"</f>
        <v>100251716</v>
      </c>
      <c r="AC4800" t="s">
        <v>79</v>
      </c>
      <c r="AD4800" t="s">
        <v>75</v>
      </c>
      <c r="AE4800" t="s">
        <v>103</v>
      </c>
      <c r="AG4800" t="s">
        <v>81</v>
      </c>
    </row>
    <row r="4801" spans="1:33" x14ac:dyDescent="0.25">
      <c r="A4801" t="str">
        <f>"1871612853"</f>
        <v>1871612853</v>
      </c>
      <c r="B4801" t="str">
        <f>"02875538"</f>
        <v>02875538</v>
      </c>
      <c r="C4801" t="s">
        <v>13436</v>
      </c>
      <c r="D4801" t="s">
        <v>24213</v>
      </c>
      <c r="E4801" t="s">
        <v>24214</v>
      </c>
      <c r="G4801" t="s">
        <v>24215</v>
      </c>
      <c r="L4801" t="s">
        <v>74</v>
      </c>
      <c r="M4801" t="s">
        <v>85</v>
      </c>
      <c r="R4801" t="s">
        <v>24216</v>
      </c>
      <c r="W4801" t="s">
        <v>24214</v>
      </c>
      <c r="X4801" t="s">
        <v>24217</v>
      </c>
      <c r="Y4801" t="s">
        <v>131</v>
      </c>
      <c r="Z4801" t="s">
        <v>77</v>
      </c>
      <c r="AA4801" t="str">
        <f>"10457"</f>
        <v>10457</v>
      </c>
      <c r="AB4801" t="s">
        <v>114</v>
      </c>
      <c r="AC4801" t="s">
        <v>79</v>
      </c>
      <c r="AD4801" t="s">
        <v>75</v>
      </c>
      <c r="AE4801" t="s">
        <v>80</v>
      </c>
      <c r="AG4801" t="s">
        <v>81</v>
      </c>
    </row>
    <row r="4802" spans="1:33" x14ac:dyDescent="0.25">
      <c r="A4802" t="str">
        <f>"1871623728"</f>
        <v>1871623728</v>
      </c>
      <c r="B4802" t="str">
        <f>"03176441"</f>
        <v>03176441</v>
      </c>
      <c r="C4802" t="s">
        <v>13436</v>
      </c>
      <c r="D4802" t="s">
        <v>24218</v>
      </c>
      <c r="E4802" t="s">
        <v>24219</v>
      </c>
      <c r="G4802" t="s">
        <v>24220</v>
      </c>
      <c r="L4802" t="s">
        <v>74</v>
      </c>
      <c r="M4802" t="s">
        <v>85</v>
      </c>
      <c r="R4802" t="s">
        <v>24221</v>
      </c>
      <c r="W4802" t="s">
        <v>24222</v>
      </c>
      <c r="X4802" t="s">
        <v>181</v>
      </c>
      <c r="Y4802" t="s">
        <v>97</v>
      </c>
      <c r="Z4802" t="s">
        <v>77</v>
      </c>
      <c r="AA4802" t="str">
        <f>"10025-1716"</f>
        <v>10025-1716</v>
      </c>
      <c r="AB4802" t="s">
        <v>78</v>
      </c>
      <c r="AC4802" t="s">
        <v>79</v>
      </c>
      <c r="AD4802" t="s">
        <v>75</v>
      </c>
      <c r="AE4802" t="s">
        <v>80</v>
      </c>
      <c r="AG4802" t="s">
        <v>81</v>
      </c>
    </row>
    <row r="4803" spans="1:33" x14ac:dyDescent="0.25">
      <c r="A4803" t="str">
        <f>"1871626754"</f>
        <v>1871626754</v>
      </c>
      <c r="B4803" t="str">
        <f>"02799782"</f>
        <v>02799782</v>
      </c>
      <c r="C4803" t="s">
        <v>13436</v>
      </c>
      <c r="D4803" t="s">
        <v>24223</v>
      </c>
      <c r="E4803" t="s">
        <v>24224</v>
      </c>
      <c r="G4803" t="s">
        <v>24225</v>
      </c>
      <c r="L4803" t="s">
        <v>83</v>
      </c>
      <c r="M4803" t="s">
        <v>85</v>
      </c>
      <c r="R4803" t="s">
        <v>24226</v>
      </c>
      <c r="W4803" t="s">
        <v>24226</v>
      </c>
      <c r="X4803" t="s">
        <v>191</v>
      </c>
      <c r="Y4803" t="s">
        <v>97</v>
      </c>
      <c r="Z4803" t="s">
        <v>77</v>
      </c>
      <c r="AA4803" t="str">
        <f>"10019-1147"</f>
        <v>10019-1147</v>
      </c>
      <c r="AB4803" t="s">
        <v>78</v>
      </c>
      <c r="AC4803" t="s">
        <v>79</v>
      </c>
      <c r="AD4803" t="s">
        <v>75</v>
      </c>
      <c r="AE4803" t="s">
        <v>80</v>
      </c>
      <c r="AG4803" t="s">
        <v>81</v>
      </c>
    </row>
    <row r="4804" spans="1:33" x14ac:dyDescent="0.25">
      <c r="A4804" t="str">
        <f>"1871632414"</f>
        <v>1871632414</v>
      </c>
      <c r="B4804" t="str">
        <f>"03851769"</f>
        <v>03851769</v>
      </c>
      <c r="C4804" t="s">
        <v>13436</v>
      </c>
      <c r="D4804" t="s">
        <v>24227</v>
      </c>
      <c r="E4804" t="s">
        <v>24228</v>
      </c>
      <c r="G4804" t="s">
        <v>24229</v>
      </c>
      <c r="L4804" t="s">
        <v>74</v>
      </c>
      <c r="M4804" t="s">
        <v>85</v>
      </c>
      <c r="R4804" t="s">
        <v>24230</v>
      </c>
      <c r="W4804" t="s">
        <v>24231</v>
      </c>
      <c r="X4804" t="s">
        <v>1076</v>
      </c>
      <c r="Y4804" t="s">
        <v>97</v>
      </c>
      <c r="Z4804" t="s">
        <v>77</v>
      </c>
      <c r="AA4804" t="str">
        <f>"10025-1737"</f>
        <v>10025-1737</v>
      </c>
      <c r="AB4804" t="s">
        <v>78</v>
      </c>
      <c r="AC4804" t="s">
        <v>79</v>
      </c>
      <c r="AD4804" t="s">
        <v>75</v>
      </c>
      <c r="AE4804" t="s">
        <v>80</v>
      </c>
      <c r="AG4804" t="s">
        <v>81</v>
      </c>
    </row>
    <row r="4805" spans="1:33" x14ac:dyDescent="0.25">
      <c r="A4805" t="str">
        <f>"1023065802"</f>
        <v>1023065802</v>
      </c>
      <c r="B4805" t="str">
        <f>"01625983"</f>
        <v>01625983</v>
      </c>
      <c r="C4805" t="s">
        <v>24232</v>
      </c>
      <c r="D4805" t="s">
        <v>24233</v>
      </c>
      <c r="E4805" t="s">
        <v>24234</v>
      </c>
      <c r="G4805" t="s">
        <v>13504</v>
      </c>
      <c r="H4805" t="s">
        <v>13505</v>
      </c>
      <c r="J4805" t="s">
        <v>13506</v>
      </c>
      <c r="L4805" t="s">
        <v>74</v>
      </c>
      <c r="M4805" t="s">
        <v>75</v>
      </c>
      <c r="R4805" t="s">
        <v>24235</v>
      </c>
      <c r="W4805" t="s">
        <v>24234</v>
      </c>
      <c r="Y4805" t="s">
        <v>87</v>
      </c>
      <c r="Z4805" t="s">
        <v>77</v>
      </c>
      <c r="AA4805" t="str">
        <f>"11201-5493"</f>
        <v>11201-5493</v>
      </c>
      <c r="AB4805" t="s">
        <v>78</v>
      </c>
      <c r="AC4805" t="s">
        <v>79</v>
      </c>
      <c r="AD4805" t="s">
        <v>75</v>
      </c>
      <c r="AE4805" t="s">
        <v>80</v>
      </c>
      <c r="AG4805" t="s">
        <v>81</v>
      </c>
    </row>
    <row r="4806" spans="1:33" x14ac:dyDescent="0.25">
      <c r="A4806" t="str">
        <f>"1124317342"</f>
        <v>1124317342</v>
      </c>
      <c r="B4806" t="str">
        <f>"03988305"</f>
        <v>03988305</v>
      </c>
      <c r="C4806" t="s">
        <v>13436</v>
      </c>
      <c r="D4806" t="s">
        <v>24236</v>
      </c>
      <c r="E4806" t="s">
        <v>24237</v>
      </c>
      <c r="L4806" t="s">
        <v>74</v>
      </c>
      <c r="M4806" t="s">
        <v>75</v>
      </c>
      <c r="R4806" t="s">
        <v>24238</v>
      </c>
      <c r="W4806" t="s">
        <v>24237</v>
      </c>
      <c r="X4806" t="s">
        <v>159</v>
      </c>
      <c r="Y4806" t="s">
        <v>160</v>
      </c>
      <c r="Z4806" t="s">
        <v>77</v>
      </c>
      <c r="AA4806" t="str">
        <f>"11030-3816"</f>
        <v>11030-3816</v>
      </c>
      <c r="AB4806" t="s">
        <v>78</v>
      </c>
      <c r="AC4806" t="s">
        <v>79</v>
      </c>
      <c r="AD4806" t="s">
        <v>75</v>
      </c>
      <c r="AE4806" t="s">
        <v>80</v>
      </c>
      <c r="AG4806" t="s">
        <v>81</v>
      </c>
    </row>
    <row r="4807" spans="1:33" x14ac:dyDescent="0.25">
      <c r="A4807" t="str">
        <f>"1124317532"</f>
        <v>1124317532</v>
      </c>
      <c r="C4807" t="s">
        <v>13436</v>
      </c>
      <c r="K4807" t="s">
        <v>99</v>
      </c>
      <c r="L4807" t="s">
        <v>74</v>
      </c>
      <c r="M4807" t="s">
        <v>75</v>
      </c>
      <c r="R4807" t="s">
        <v>24239</v>
      </c>
      <c r="S4807" t="s">
        <v>24240</v>
      </c>
      <c r="T4807" t="s">
        <v>24241</v>
      </c>
      <c r="U4807" t="s">
        <v>351</v>
      </c>
      <c r="V4807" t="str">
        <f>"326102610"</f>
        <v>326102610</v>
      </c>
      <c r="AC4807" t="s">
        <v>79</v>
      </c>
      <c r="AD4807" t="s">
        <v>75</v>
      </c>
      <c r="AE4807" t="s">
        <v>103</v>
      </c>
      <c r="AG4807" t="s">
        <v>81</v>
      </c>
    </row>
    <row r="4808" spans="1:33" x14ac:dyDescent="0.25">
      <c r="A4808" t="str">
        <f>"1124324645"</f>
        <v>1124324645</v>
      </c>
      <c r="B4808" t="str">
        <f>"03766630"</f>
        <v>03766630</v>
      </c>
      <c r="C4808" t="s">
        <v>13436</v>
      </c>
      <c r="D4808" t="s">
        <v>24242</v>
      </c>
      <c r="E4808" t="s">
        <v>24243</v>
      </c>
      <c r="L4808" t="s">
        <v>102</v>
      </c>
      <c r="M4808" t="s">
        <v>75</v>
      </c>
      <c r="R4808" t="s">
        <v>24244</v>
      </c>
      <c r="W4808" t="s">
        <v>24243</v>
      </c>
      <c r="X4808" t="s">
        <v>329</v>
      </c>
      <c r="Y4808" t="s">
        <v>97</v>
      </c>
      <c r="Z4808" t="s">
        <v>77</v>
      </c>
      <c r="AA4808" t="str">
        <f>"10029-6504"</f>
        <v>10029-6504</v>
      </c>
      <c r="AB4808" t="s">
        <v>78</v>
      </c>
      <c r="AC4808" t="s">
        <v>79</v>
      </c>
      <c r="AD4808" t="s">
        <v>75</v>
      </c>
      <c r="AE4808" t="s">
        <v>80</v>
      </c>
      <c r="AG4808" t="s">
        <v>81</v>
      </c>
    </row>
    <row r="4809" spans="1:33" x14ac:dyDescent="0.25">
      <c r="A4809" t="str">
        <f>"1255667077"</f>
        <v>1255667077</v>
      </c>
      <c r="C4809" t="s">
        <v>13436</v>
      </c>
      <c r="G4809" t="s">
        <v>24245</v>
      </c>
      <c r="K4809" t="s">
        <v>99</v>
      </c>
      <c r="L4809" t="s">
        <v>102</v>
      </c>
      <c r="M4809" t="s">
        <v>75</v>
      </c>
      <c r="R4809" t="s">
        <v>24246</v>
      </c>
      <c r="S4809" t="s">
        <v>24247</v>
      </c>
      <c r="T4809" t="s">
        <v>97</v>
      </c>
      <c r="U4809" t="s">
        <v>77</v>
      </c>
      <c r="V4809" t="str">
        <f>"10003"</f>
        <v>10003</v>
      </c>
      <c r="AC4809" t="s">
        <v>79</v>
      </c>
      <c r="AD4809" t="s">
        <v>75</v>
      </c>
      <c r="AE4809" t="s">
        <v>103</v>
      </c>
      <c r="AG4809" t="s">
        <v>81</v>
      </c>
    </row>
    <row r="4810" spans="1:33" x14ac:dyDescent="0.25">
      <c r="A4810" t="str">
        <f>"1265502553"</f>
        <v>1265502553</v>
      </c>
      <c r="B4810" t="str">
        <f>"00830740"</f>
        <v>00830740</v>
      </c>
      <c r="C4810" t="s">
        <v>13436</v>
      </c>
      <c r="D4810" t="s">
        <v>24248</v>
      </c>
      <c r="E4810" t="s">
        <v>24249</v>
      </c>
      <c r="G4810" t="s">
        <v>24250</v>
      </c>
      <c r="L4810" t="s">
        <v>83</v>
      </c>
      <c r="M4810" t="s">
        <v>75</v>
      </c>
      <c r="R4810" t="s">
        <v>24251</v>
      </c>
      <c r="W4810" t="s">
        <v>24249</v>
      </c>
      <c r="X4810" t="s">
        <v>1026</v>
      </c>
      <c r="Y4810" t="s">
        <v>87</v>
      </c>
      <c r="Z4810" t="s">
        <v>77</v>
      </c>
      <c r="AA4810" t="str">
        <f>"11201-5591"</f>
        <v>11201-5591</v>
      </c>
      <c r="AB4810" t="s">
        <v>78</v>
      </c>
      <c r="AC4810" t="s">
        <v>79</v>
      </c>
      <c r="AD4810" t="s">
        <v>75</v>
      </c>
      <c r="AE4810" t="s">
        <v>80</v>
      </c>
      <c r="AG4810" t="s">
        <v>81</v>
      </c>
    </row>
    <row r="4811" spans="1:33" x14ac:dyDescent="0.25">
      <c r="A4811" t="str">
        <f>"1265523294"</f>
        <v>1265523294</v>
      </c>
      <c r="B4811" t="str">
        <f>"02533737"</f>
        <v>02533737</v>
      </c>
      <c r="C4811" t="s">
        <v>13436</v>
      </c>
      <c r="D4811" t="s">
        <v>24252</v>
      </c>
      <c r="E4811" t="s">
        <v>24253</v>
      </c>
      <c r="G4811" t="s">
        <v>24254</v>
      </c>
      <c r="L4811" t="s">
        <v>84</v>
      </c>
      <c r="M4811" t="s">
        <v>85</v>
      </c>
      <c r="R4811" t="s">
        <v>24255</v>
      </c>
      <c r="W4811" t="s">
        <v>24253</v>
      </c>
      <c r="X4811" t="s">
        <v>24256</v>
      </c>
      <c r="Y4811" t="s">
        <v>97</v>
      </c>
      <c r="Z4811" t="s">
        <v>77</v>
      </c>
      <c r="AA4811" t="str">
        <f>"10032-3720"</f>
        <v>10032-3720</v>
      </c>
      <c r="AB4811" t="s">
        <v>78</v>
      </c>
      <c r="AC4811" t="s">
        <v>79</v>
      </c>
      <c r="AD4811" t="s">
        <v>75</v>
      </c>
      <c r="AE4811" t="s">
        <v>80</v>
      </c>
      <c r="AG4811" t="s">
        <v>81</v>
      </c>
    </row>
    <row r="4812" spans="1:33" x14ac:dyDescent="0.25">
      <c r="A4812" t="str">
        <f>"1265579858"</f>
        <v>1265579858</v>
      </c>
      <c r="B4812" t="str">
        <f>"02968216"</f>
        <v>02968216</v>
      </c>
      <c r="C4812" t="s">
        <v>13436</v>
      </c>
      <c r="D4812" t="s">
        <v>24257</v>
      </c>
      <c r="E4812" t="s">
        <v>24258</v>
      </c>
      <c r="G4812" t="s">
        <v>24259</v>
      </c>
      <c r="L4812" t="s">
        <v>102</v>
      </c>
      <c r="M4812" t="s">
        <v>75</v>
      </c>
      <c r="R4812" t="s">
        <v>24260</v>
      </c>
      <c r="W4812" t="s">
        <v>24258</v>
      </c>
      <c r="X4812" t="s">
        <v>2587</v>
      </c>
      <c r="Y4812" t="s">
        <v>97</v>
      </c>
      <c r="Z4812" t="s">
        <v>77</v>
      </c>
      <c r="AA4812" t="str">
        <f>"10003-3314"</f>
        <v>10003-3314</v>
      </c>
      <c r="AB4812" t="s">
        <v>78</v>
      </c>
      <c r="AC4812" t="s">
        <v>79</v>
      </c>
      <c r="AD4812" t="s">
        <v>75</v>
      </c>
      <c r="AE4812" t="s">
        <v>80</v>
      </c>
      <c r="AG4812" t="s">
        <v>81</v>
      </c>
    </row>
    <row r="4813" spans="1:33" x14ac:dyDescent="0.25">
      <c r="A4813" t="str">
        <f>"1265583629"</f>
        <v>1265583629</v>
      </c>
      <c r="C4813" t="s">
        <v>13436</v>
      </c>
      <c r="G4813" t="s">
        <v>24261</v>
      </c>
      <c r="K4813" t="s">
        <v>99</v>
      </c>
      <c r="L4813" t="s">
        <v>102</v>
      </c>
      <c r="M4813" t="s">
        <v>75</v>
      </c>
      <c r="R4813" t="s">
        <v>24262</v>
      </c>
      <c r="S4813" t="s">
        <v>24263</v>
      </c>
      <c r="T4813" t="s">
        <v>227</v>
      </c>
      <c r="U4813" t="s">
        <v>77</v>
      </c>
      <c r="V4813" t="str">
        <f>"106055202"</f>
        <v>106055202</v>
      </c>
      <c r="AC4813" t="s">
        <v>79</v>
      </c>
      <c r="AD4813" t="s">
        <v>75</v>
      </c>
      <c r="AE4813" t="s">
        <v>103</v>
      </c>
      <c r="AG4813" t="s">
        <v>81</v>
      </c>
    </row>
    <row r="4814" spans="1:33" x14ac:dyDescent="0.25">
      <c r="A4814" t="str">
        <f>"1265738017"</f>
        <v>1265738017</v>
      </c>
      <c r="B4814" t="str">
        <f>"03782414"</f>
        <v>03782414</v>
      </c>
      <c r="C4814" t="s">
        <v>13436</v>
      </c>
      <c r="D4814" t="s">
        <v>24264</v>
      </c>
      <c r="E4814" t="s">
        <v>24265</v>
      </c>
      <c r="G4814" t="s">
        <v>24266</v>
      </c>
      <c r="L4814" t="s">
        <v>74</v>
      </c>
      <c r="M4814" t="s">
        <v>85</v>
      </c>
      <c r="R4814" t="s">
        <v>24267</v>
      </c>
      <c r="W4814" t="s">
        <v>24265</v>
      </c>
      <c r="X4814" t="s">
        <v>11379</v>
      </c>
      <c r="Y4814" t="s">
        <v>97</v>
      </c>
      <c r="Z4814" t="s">
        <v>77</v>
      </c>
      <c r="AA4814" t="str">
        <f>"10029-6504"</f>
        <v>10029-6504</v>
      </c>
      <c r="AB4814" t="s">
        <v>78</v>
      </c>
      <c r="AC4814" t="s">
        <v>79</v>
      </c>
      <c r="AD4814" t="s">
        <v>75</v>
      </c>
      <c r="AE4814" t="s">
        <v>80</v>
      </c>
      <c r="AG4814" t="s">
        <v>81</v>
      </c>
    </row>
    <row r="4815" spans="1:33" x14ac:dyDescent="0.25">
      <c r="A4815" t="str">
        <f>"1376543017"</f>
        <v>1376543017</v>
      </c>
      <c r="B4815" t="str">
        <f>"00155660"</f>
        <v>00155660</v>
      </c>
      <c r="C4815" t="s">
        <v>13436</v>
      </c>
      <c r="D4815" t="s">
        <v>24268</v>
      </c>
      <c r="E4815" t="s">
        <v>24269</v>
      </c>
      <c r="G4815" t="s">
        <v>24270</v>
      </c>
      <c r="L4815" t="s">
        <v>83</v>
      </c>
      <c r="M4815" t="s">
        <v>85</v>
      </c>
      <c r="R4815" t="s">
        <v>24271</v>
      </c>
      <c r="W4815" t="s">
        <v>24269</v>
      </c>
      <c r="X4815" t="s">
        <v>24272</v>
      </c>
      <c r="Y4815" t="s">
        <v>316</v>
      </c>
      <c r="Z4815" t="s">
        <v>77</v>
      </c>
      <c r="AA4815" t="str">
        <f>"10801-1024"</f>
        <v>10801-1024</v>
      </c>
      <c r="AB4815" t="s">
        <v>78</v>
      </c>
      <c r="AC4815" t="s">
        <v>79</v>
      </c>
      <c r="AD4815" t="s">
        <v>75</v>
      </c>
      <c r="AE4815" t="s">
        <v>80</v>
      </c>
      <c r="AG4815" t="s">
        <v>81</v>
      </c>
    </row>
    <row r="4816" spans="1:33" x14ac:dyDescent="0.25">
      <c r="A4816" t="str">
        <f>"1376633123"</f>
        <v>1376633123</v>
      </c>
      <c r="B4816" t="str">
        <f>"02944310"</f>
        <v>02944310</v>
      </c>
      <c r="C4816" t="s">
        <v>13436</v>
      </c>
      <c r="D4816" t="s">
        <v>24273</v>
      </c>
      <c r="E4816" t="s">
        <v>24274</v>
      </c>
      <c r="G4816" t="s">
        <v>24275</v>
      </c>
      <c r="L4816" t="s">
        <v>83</v>
      </c>
      <c r="M4816" t="s">
        <v>85</v>
      </c>
      <c r="R4816" t="s">
        <v>24276</v>
      </c>
      <c r="W4816" t="s">
        <v>24277</v>
      </c>
      <c r="X4816" t="s">
        <v>5295</v>
      </c>
      <c r="Y4816" t="s">
        <v>97</v>
      </c>
      <c r="Z4816" t="s">
        <v>77</v>
      </c>
      <c r="AA4816" t="str">
        <f>"10003-2719"</f>
        <v>10003-2719</v>
      </c>
      <c r="AB4816" t="s">
        <v>78</v>
      </c>
      <c r="AC4816" t="s">
        <v>79</v>
      </c>
      <c r="AD4816" t="s">
        <v>75</v>
      </c>
      <c r="AE4816" t="s">
        <v>80</v>
      </c>
      <c r="AG4816" t="s">
        <v>81</v>
      </c>
    </row>
    <row r="4817" spans="1:33" x14ac:dyDescent="0.25">
      <c r="A4817" t="str">
        <f>"1376704585"</f>
        <v>1376704585</v>
      </c>
      <c r="B4817" t="str">
        <f>"03405016"</f>
        <v>03405016</v>
      </c>
      <c r="C4817" t="s">
        <v>13436</v>
      </c>
      <c r="D4817" t="s">
        <v>24278</v>
      </c>
      <c r="E4817" t="s">
        <v>24279</v>
      </c>
      <c r="G4817" t="s">
        <v>24280</v>
      </c>
      <c r="L4817" t="s">
        <v>84</v>
      </c>
      <c r="M4817" t="s">
        <v>85</v>
      </c>
      <c r="R4817" t="s">
        <v>24281</v>
      </c>
      <c r="W4817" t="s">
        <v>24282</v>
      </c>
      <c r="X4817" t="s">
        <v>2838</v>
      </c>
      <c r="Y4817" t="s">
        <v>97</v>
      </c>
      <c r="Z4817" t="s">
        <v>77</v>
      </c>
      <c r="AA4817" t="str">
        <f>"10003-3105"</f>
        <v>10003-3105</v>
      </c>
      <c r="AB4817" t="s">
        <v>78</v>
      </c>
      <c r="AC4817" t="s">
        <v>79</v>
      </c>
      <c r="AD4817" t="s">
        <v>75</v>
      </c>
      <c r="AE4817" t="s">
        <v>80</v>
      </c>
      <c r="AG4817" t="s">
        <v>81</v>
      </c>
    </row>
    <row r="4818" spans="1:33" x14ac:dyDescent="0.25">
      <c r="A4818" t="str">
        <f>"1376792382"</f>
        <v>1376792382</v>
      </c>
      <c r="B4818" t="str">
        <f>"03643116"</f>
        <v>03643116</v>
      </c>
      <c r="C4818" t="s">
        <v>13436</v>
      </c>
      <c r="D4818" t="s">
        <v>24283</v>
      </c>
      <c r="E4818" t="s">
        <v>24284</v>
      </c>
      <c r="G4818" t="s">
        <v>24285</v>
      </c>
      <c r="L4818" t="s">
        <v>83</v>
      </c>
      <c r="M4818" t="s">
        <v>85</v>
      </c>
      <c r="R4818" t="s">
        <v>24286</v>
      </c>
      <c r="W4818" t="s">
        <v>24284</v>
      </c>
      <c r="X4818" t="s">
        <v>995</v>
      </c>
      <c r="Y4818" t="s">
        <v>97</v>
      </c>
      <c r="Z4818" t="s">
        <v>77</v>
      </c>
      <c r="AA4818" t="str">
        <f>"10013-4554"</f>
        <v>10013-4554</v>
      </c>
      <c r="AB4818" t="s">
        <v>78</v>
      </c>
      <c r="AC4818" t="s">
        <v>79</v>
      </c>
      <c r="AD4818" t="s">
        <v>75</v>
      </c>
      <c r="AE4818" t="s">
        <v>80</v>
      </c>
      <c r="AG4818" t="s">
        <v>81</v>
      </c>
    </row>
    <row r="4819" spans="1:33" x14ac:dyDescent="0.25">
      <c r="A4819" t="str">
        <f>"1376832758"</f>
        <v>1376832758</v>
      </c>
      <c r="B4819" t="str">
        <f>"03461649"</f>
        <v>03461649</v>
      </c>
      <c r="C4819" t="s">
        <v>13436</v>
      </c>
      <c r="D4819" t="s">
        <v>24287</v>
      </c>
      <c r="E4819" t="s">
        <v>24288</v>
      </c>
      <c r="G4819" t="s">
        <v>24289</v>
      </c>
      <c r="L4819" t="s">
        <v>83</v>
      </c>
      <c r="M4819" t="s">
        <v>85</v>
      </c>
      <c r="R4819" t="s">
        <v>24290</v>
      </c>
      <c r="W4819" t="s">
        <v>24288</v>
      </c>
      <c r="X4819" t="s">
        <v>181</v>
      </c>
      <c r="Y4819" t="s">
        <v>97</v>
      </c>
      <c r="Z4819" t="s">
        <v>77</v>
      </c>
      <c r="AA4819" t="str">
        <f>"10025-1716"</f>
        <v>10025-1716</v>
      </c>
      <c r="AB4819" t="s">
        <v>78</v>
      </c>
      <c r="AC4819" t="s">
        <v>79</v>
      </c>
      <c r="AD4819" t="s">
        <v>75</v>
      </c>
      <c r="AE4819" t="s">
        <v>80</v>
      </c>
      <c r="AG4819" t="s">
        <v>81</v>
      </c>
    </row>
    <row r="4820" spans="1:33" x14ac:dyDescent="0.25">
      <c r="A4820" t="str">
        <f>"1386756146"</f>
        <v>1386756146</v>
      </c>
      <c r="B4820" t="str">
        <f>"01636277"</f>
        <v>01636277</v>
      </c>
      <c r="C4820" t="s">
        <v>13436</v>
      </c>
      <c r="D4820" t="s">
        <v>24291</v>
      </c>
      <c r="E4820" t="s">
        <v>24292</v>
      </c>
      <c r="G4820" t="s">
        <v>24293</v>
      </c>
      <c r="L4820" t="s">
        <v>83</v>
      </c>
      <c r="M4820" t="s">
        <v>85</v>
      </c>
      <c r="R4820" t="s">
        <v>24294</v>
      </c>
      <c r="W4820" t="s">
        <v>24292</v>
      </c>
      <c r="X4820" t="s">
        <v>304</v>
      </c>
      <c r="Y4820" t="s">
        <v>2674</v>
      </c>
      <c r="Z4820" t="s">
        <v>77</v>
      </c>
      <c r="AA4820" t="str">
        <f>"11733-3327"</f>
        <v>11733-3327</v>
      </c>
      <c r="AB4820" t="s">
        <v>78</v>
      </c>
      <c r="AC4820" t="s">
        <v>79</v>
      </c>
      <c r="AD4820" t="s">
        <v>75</v>
      </c>
      <c r="AE4820" t="s">
        <v>80</v>
      </c>
      <c r="AG4820" t="s">
        <v>81</v>
      </c>
    </row>
    <row r="4821" spans="1:33" x14ac:dyDescent="0.25">
      <c r="A4821" t="str">
        <f>"1396778221"</f>
        <v>1396778221</v>
      </c>
      <c r="B4821" t="str">
        <f>"01892891"</f>
        <v>01892891</v>
      </c>
      <c r="C4821" t="s">
        <v>13436</v>
      </c>
      <c r="D4821" t="s">
        <v>24295</v>
      </c>
      <c r="E4821" t="s">
        <v>24296</v>
      </c>
      <c r="G4821" t="s">
        <v>24297</v>
      </c>
      <c r="L4821" t="s">
        <v>83</v>
      </c>
      <c r="M4821" t="s">
        <v>85</v>
      </c>
      <c r="R4821" t="s">
        <v>24298</v>
      </c>
      <c r="W4821" t="s">
        <v>24296</v>
      </c>
      <c r="X4821" t="s">
        <v>19909</v>
      </c>
      <c r="Y4821" t="s">
        <v>97</v>
      </c>
      <c r="Z4821" t="s">
        <v>77</v>
      </c>
      <c r="AA4821" t="str">
        <f>"10032-3725"</f>
        <v>10032-3725</v>
      </c>
      <c r="AB4821" t="s">
        <v>78</v>
      </c>
      <c r="AC4821" t="s">
        <v>79</v>
      </c>
      <c r="AD4821" t="s">
        <v>75</v>
      </c>
      <c r="AE4821" t="s">
        <v>80</v>
      </c>
      <c r="AG4821" t="s">
        <v>81</v>
      </c>
    </row>
    <row r="4822" spans="1:33" x14ac:dyDescent="0.25">
      <c r="A4822" t="str">
        <f>"1497946644"</f>
        <v>1497946644</v>
      </c>
      <c r="B4822" t="str">
        <f>"04384956"</f>
        <v>04384956</v>
      </c>
      <c r="C4822" t="s">
        <v>13436</v>
      </c>
      <c r="D4822" t="s">
        <v>4833</v>
      </c>
      <c r="E4822" t="s">
        <v>4834</v>
      </c>
      <c r="L4822" t="s">
        <v>74</v>
      </c>
      <c r="M4822" t="s">
        <v>75</v>
      </c>
      <c r="R4822" t="s">
        <v>4835</v>
      </c>
      <c r="W4822" t="s">
        <v>4834</v>
      </c>
      <c r="X4822" t="s">
        <v>253</v>
      </c>
      <c r="Y4822" t="s">
        <v>131</v>
      </c>
      <c r="Z4822" t="s">
        <v>77</v>
      </c>
      <c r="AA4822" t="str">
        <f>"10466-2604"</f>
        <v>10466-2604</v>
      </c>
      <c r="AB4822" t="s">
        <v>78</v>
      </c>
      <c r="AC4822" t="s">
        <v>79</v>
      </c>
      <c r="AD4822" t="s">
        <v>75</v>
      </c>
      <c r="AE4822" t="s">
        <v>80</v>
      </c>
      <c r="AG4822" t="s">
        <v>81</v>
      </c>
    </row>
    <row r="4823" spans="1:33" x14ac:dyDescent="0.25">
      <c r="A4823" t="str">
        <f>"1164665238"</f>
        <v>1164665238</v>
      </c>
      <c r="C4823" t="s">
        <v>13436</v>
      </c>
      <c r="K4823" t="s">
        <v>99</v>
      </c>
      <c r="L4823" t="s">
        <v>102</v>
      </c>
      <c r="M4823" t="s">
        <v>75</v>
      </c>
      <c r="R4823" t="s">
        <v>24299</v>
      </c>
      <c r="S4823" t="s">
        <v>24300</v>
      </c>
      <c r="T4823" t="s">
        <v>4483</v>
      </c>
      <c r="U4823" t="s">
        <v>1842</v>
      </c>
      <c r="V4823" t="str">
        <f>"065191369"</f>
        <v>065191369</v>
      </c>
      <c r="AC4823" t="s">
        <v>79</v>
      </c>
      <c r="AD4823" t="s">
        <v>75</v>
      </c>
      <c r="AE4823" t="s">
        <v>103</v>
      </c>
      <c r="AG4823" t="s">
        <v>81</v>
      </c>
    </row>
    <row r="4824" spans="1:33" x14ac:dyDescent="0.25">
      <c r="A4824" t="str">
        <f>"1164671723"</f>
        <v>1164671723</v>
      </c>
      <c r="C4824" t="s">
        <v>13436</v>
      </c>
      <c r="K4824" t="s">
        <v>99</v>
      </c>
      <c r="L4824" t="s">
        <v>102</v>
      </c>
      <c r="M4824" t="s">
        <v>75</v>
      </c>
      <c r="R4824" t="s">
        <v>24301</v>
      </c>
      <c r="S4824" t="s">
        <v>24302</v>
      </c>
      <c r="T4824" t="s">
        <v>97</v>
      </c>
      <c r="U4824" t="s">
        <v>77</v>
      </c>
      <c r="V4824" t="str">
        <f>"100296500"</f>
        <v>100296500</v>
      </c>
      <c r="AC4824" t="s">
        <v>79</v>
      </c>
      <c r="AD4824" t="s">
        <v>75</v>
      </c>
      <c r="AE4824" t="s">
        <v>103</v>
      </c>
      <c r="AG4824" t="s">
        <v>81</v>
      </c>
    </row>
    <row r="4825" spans="1:33" x14ac:dyDescent="0.25">
      <c r="A4825" t="str">
        <f>"1164675245"</f>
        <v>1164675245</v>
      </c>
      <c r="B4825" t="str">
        <f>"03845452"</f>
        <v>03845452</v>
      </c>
      <c r="C4825" t="s">
        <v>13436</v>
      </c>
      <c r="D4825" t="s">
        <v>24303</v>
      </c>
      <c r="E4825" t="s">
        <v>24304</v>
      </c>
      <c r="L4825" t="s">
        <v>74</v>
      </c>
      <c r="M4825" t="s">
        <v>75</v>
      </c>
      <c r="R4825" t="s">
        <v>24305</v>
      </c>
      <c r="W4825" t="s">
        <v>24304</v>
      </c>
      <c r="X4825" t="s">
        <v>24306</v>
      </c>
      <c r="Y4825" t="s">
        <v>97</v>
      </c>
      <c r="Z4825" t="s">
        <v>77</v>
      </c>
      <c r="AA4825" t="str">
        <f>"10032-3733"</f>
        <v>10032-3733</v>
      </c>
      <c r="AB4825" t="s">
        <v>78</v>
      </c>
      <c r="AC4825" t="s">
        <v>79</v>
      </c>
      <c r="AD4825" t="s">
        <v>75</v>
      </c>
      <c r="AE4825" t="s">
        <v>80</v>
      </c>
      <c r="AG4825" t="s">
        <v>81</v>
      </c>
    </row>
    <row r="4826" spans="1:33" x14ac:dyDescent="0.25">
      <c r="A4826" t="str">
        <f>"1619054723"</f>
        <v>1619054723</v>
      </c>
      <c r="B4826" t="str">
        <f>"02846151"</f>
        <v>02846151</v>
      </c>
      <c r="C4826" t="s">
        <v>13436</v>
      </c>
      <c r="D4826" t="s">
        <v>24307</v>
      </c>
      <c r="E4826" t="s">
        <v>24308</v>
      </c>
      <c r="L4826" t="s">
        <v>83</v>
      </c>
      <c r="M4826" t="s">
        <v>75</v>
      </c>
      <c r="R4826" t="s">
        <v>24309</v>
      </c>
      <c r="W4826" t="s">
        <v>24308</v>
      </c>
      <c r="X4826" t="s">
        <v>287</v>
      </c>
      <c r="Y4826" t="s">
        <v>152</v>
      </c>
      <c r="Z4826" t="s">
        <v>77</v>
      </c>
      <c r="AA4826" t="str">
        <f>"11375-6625"</f>
        <v>11375-6625</v>
      </c>
      <c r="AB4826" t="s">
        <v>78</v>
      </c>
      <c r="AC4826" t="s">
        <v>79</v>
      </c>
      <c r="AD4826" t="s">
        <v>75</v>
      </c>
      <c r="AE4826" t="s">
        <v>80</v>
      </c>
      <c r="AG4826" t="s">
        <v>81</v>
      </c>
    </row>
    <row r="4827" spans="1:33" x14ac:dyDescent="0.25">
      <c r="A4827" t="str">
        <f>"1487627824"</f>
        <v>1487627824</v>
      </c>
      <c r="B4827" t="str">
        <f>"00701813"</f>
        <v>00701813</v>
      </c>
      <c r="C4827" t="s">
        <v>13436</v>
      </c>
      <c r="D4827" t="s">
        <v>24310</v>
      </c>
      <c r="E4827" t="s">
        <v>24311</v>
      </c>
      <c r="G4827" t="s">
        <v>24312</v>
      </c>
      <c r="L4827" t="s">
        <v>74</v>
      </c>
      <c r="M4827" t="s">
        <v>85</v>
      </c>
      <c r="R4827" t="s">
        <v>24313</v>
      </c>
      <c r="W4827" t="s">
        <v>24311</v>
      </c>
      <c r="X4827" t="s">
        <v>24314</v>
      </c>
      <c r="Y4827" t="s">
        <v>87</v>
      </c>
      <c r="Z4827" t="s">
        <v>77</v>
      </c>
      <c r="AA4827" t="str">
        <f>"11211-5607"</f>
        <v>11211-5607</v>
      </c>
      <c r="AB4827" t="s">
        <v>78</v>
      </c>
      <c r="AC4827" t="s">
        <v>79</v>
      </c>
      <c r="AD4827" t="s">
        <v>75</v>
      </c>
      <c r="AE4827" t="s">
        <v>80</v>
      </c>
      <c r="AG4827" t="s">
        <v>81</v>
      </c>
    </row>
    <row r="4828" spans="1:33" x14ac:dyDescent="0.25">
      <c r="A4828" t="str">
        <f>"1487639035"</f>
        <v>1487639035</v>
      </c>
      <c r="B4828" t="str">
        <f>"01075745"</f>
        <v>01075745</v>
      </c>
      <c r="C4828" t="s">
        <v>13436</v>
      </c>
      <c r="D4828" t="s">
        <v>24315</v>
      </c>
      <c r="E4828" t="s">
        <v>24316</v>
      </c>
      <c r="G4828" t="s">
        <v>24317</v>
      </c>
      <c r="L4828" t="s">
        <v>74</v>
      </c>
      <c r="M4828" t="s">
        <v>85</v>
      </c>
      <c r="R4828" t="s">
        <v>24318</v>
      </c>
      <c r="W4828" t="s">
        <v>24319</v>
      </c>
      <c r="X4828" t="s">
        <v>14871</v>
      </c>
      <c r="Y4828" t="s">
        <v>97</v>
      </c>
      <c r="Z4828" t="s">
        <v>77</v>
      </c>
      <c r="AA4828" t="str">
        <f>"10003"</f>
        <v>10003</v>
      </c>
      <c r="AB4828" t="s">
        <v>78</v>
      </c>
      <c r="AC4828" t="s">
        <v>79</v>
      </c>
      <c r="AD4828" t="s">
        <v>75</v>
      </c>
      <c r="AE4828" t="s">
        <v>80</v>
      </c>
      <c r="AG4828" t="s">
        <v>81</v>
      </c>
    </row>
    <row r="4829" spans="1:33" x14ac:dyDescent="0.25">
      <c r="A4829" t="str">
        <f>"1487645693"</f>
        <v>1487645693</v>
      </c>
      <c r="B4829" t="str">
        <f>"01524767"</f>
        <v>01524767</v>
      </c>
      <c r="C4829" t="s">
        <v>13436</v>
      </c>
      <c r="D4829" t="s">
        <v>5147</v>
      </c>
      <c r="E4829" t="s">
        <v>5148</v>
      </c>
      <c r="G4829" t="s">
        <v>24320</v>
      </c>
      <c r="L4829" t="s">
        <v>83</v>
      </c>
      <c r="M4829" t="s">
        <v>85</v>
      </c>
      <c r="R4829" t="s">
        <v>4519</v>
      </c>
      <c r="W4829" t="s">
        <v>5148</v>
      </c>
      <c r="X4829" t="s">
        <v>2344</v>
      </c>
      <c r="Y4829" t="s">
        <v>131</v>
      </c>
      <c r="Z4829" t="s">
        <v>77</v>
      </c>
      <c r="AA4829" t="str">
        <f>"10467-2401"</f>
        <v>10467-2401</v>
      </c>
      <c r="AB4829" t="s">
        <v>78</v>
      </c>
      <c r="AC4829" t="s">
        <v>79</v>
      </c>
      <c r="AD4829" t="s">
        <v>75</v>
      </c>
      <c r="AE4829" t="s">
        <v>80</v>
      </c>
      <c r="AG4829" t="s">
        <v>81</v>
      </c>
    </row>
    <row r="4830" spans="1:33" x14ac:dyDescent="0.25">
      <c r="A4830" t="str">
        <f>"1790785087"</f>
        <v>1790785087</v>
      </c>
      <c r="B4830" t="str">
        <f>"02692611"</f>
        <v>02692611</v>
      </c>
      <c r="C4830" t="s">
        <v>24321</v>
      </c>
      <c r="D4830" t="s">
        <v>2115</v>
      </c>
      <c r="E4830" t="s">
        <v>2116</v>
      </c>
      <c r="G4830" t="s">
        <v>13504</v>
      </c>
      <c r="H4830" t="s">
        <v>13505</v>
      </c>
      <c r="J4830" t="s">
        <v>13506</v>
      </c>
      <c r="L4830" t="s">
        <v>83</v>
      </c>
      <c r="M4830" t="s">
        <v>75</v>
      </c>
      <c r="R4830" t="s">
        <v>2114</v>
      </c>
      <c r="W4830" t="s">
        <v>2116</v>
      </c>
      <c r="X4830" t="s">
        <v>2117</v>
      </c>
      <c r="Y4830" t="s">
        <v>2118</v>
      </c>
      <c r="Z4830" t="s">
        <v>77</v>
      </c>
      <c r="AA4830" t="str">
        <f>"11730-2800"</f>
        <v>11730-2800</v>
      </c>
      <c r="AB4830" t="s">
        <v>78</v>
      </c>
      <c r="AC4830" t="s">
        <v>79</v>
      </c>
      <c r="AD4830" t="s">
        <v>75</v>
      </c>
      <c r="AE4830" t="s">
        <v>80</v>
      </c>
      <c r="AG4830" t="s">
        <v>81</v>
      </c>
    </row>
    <row r="4831" spans="1:33" x14ac:dyDescent="0.25">
      <c r="A4831" t="str">
        <f>"1528228343"</f>
        <v>1528228343</v>
      </c>
      <c r="B4831" t="str">
        <f>"02398176"</f>
        <v>02398176</v>
      </c>
      <c r="C4831" t="s">
        <v>24322</v>
      </c>
      <c r="D4831" t="s">
        <v>24323</v>
      </c>
      <c r="E4831" t="s">
        <v>24324</v>
      </c>
      <c r="G4831" t="s">
        <v>13504</v>
      </c>
      <c r="H4831" t="s">
        <v>13505</v>
      </c>
      <c r="J4831" t="s">
        <v>13506</v>
      </c>
      <c r="L4831" t="s">
        <v>74</v>
      </c>
      <c r="M4831" t="s">
        <v>85</v>
      </c>
      <c r="R4831" t="s">
        <v>24325</v>
      </c>
      <c r="W4831" t="s">
        <v>24326</v>
      </c>
      <c r="X4831" t="s">
        <v>202</v>
      </c>
      <c r="Y4831" t="s">
        <v>87</v>
      </c>
      <c r="Z4831" t="s">
        <v>77</v>
      </c>
      <c r="AA4831" t="str">
        <f>"11201-5425"</f>
        <v>11201-5425</v>
      </c>
      <c r="AB4831" t="s">
        <v>78</v>
      </c>
      <c r="AC4831" t="s">
        <v>79</v>
      </c>
      <c r="AD4831" t="s">
        <v>75</v>
      </c>
      <c r="AE4831" t="s">
        <v>80</v>
      </c>
      <c r="AG4831" t="s">
        <v>81</v>
      </c>
    </row>
    <row r="4832" spans="1:33" x14ac:dyDescent="0.25">
      <c r="A4832" t="str">
        <f>"1710928163"</f>
        <v>1710928163</v>
      </c>
      <c r="B4832" t="str">
        <f>"02548043"</f>
        <v>02548043</v>
      </c>
      <c r="C4832" t="s">
        <v>24327</v>
      </c>
      <c r="D4832" t="s">
        <v>24328</v>
      </c>
      <c r="E4832" t="s">
        <v>24329</v>
      </c>
      <c r="G4832" t="s">
        <v>13504</v>
      </c>
      <c r="H4832" t="s">
        <v>13505</v>
      </c>
      <c r="J4832" t="s">
        <v>13506</v>
      </c>
      <c r="L4832" t="s">
        <v>83</v>
      </c>
      <c r="M4832" t="s">
        <v>75</v>
      </c>
      <c r="R4832" t="s">
        <v>24330</v>
      </c>
      <c r="W4832" t="s">
        <v>24329</v>
      </c>
      <c r="X4832" t="s">
        <v>202</v>
      </c>
      <c r="Y4832" t="s">
        <v>87</v>
      </c>
      <c r="Z4832" t="s">
        <v>77</v>
      </c>
      <c r="AA4832" t="str">
        <f>"11201-5425"</f>
        <v>11201-5425</v>
      </c>
      <c r="AB4832" t="s">
        <v>78</v>
      </c>
      <c r="AC4832" t="s">
        <v>79</v>
      </c>
      <c r="AD4832" t="s">
        <v>75</v>
      </c>
      <c r="AE4832" t="s">
        <v>80</v>
      </c>
      <c r="AG4832" t="s">
        <v>81</v>
      </c>
    </row>
    <row r="4833" spans="1:33" x14ac:dyDescent="0.25">
      <c r="A4833" t="str">
        <f>"1043258726"</f>
        <v>1043258726</v>
      </c>
      <c r="B4833" t="str">
        <f>"02753244"</f>
        <v>02753244</v>
      </c>
      <c r="C4833" t="s">
        <v>24331</v>
      </c>
      <c r="D4833" t="s">
        <v>24332</v>
      </c>
      <c r="E4833" t="s">
        <v>24333</v>
      </c>
      <c r="G4833" t="s">
        <v>13504</v>
      </c>
      <c r="H4833" t="s">
        <v>13505</v>
      </c>
      <c r="J4833" t="s">
        <v>13506</v>
      </c>
      <c r="L4833" t="s">
        <v>74</v>
      </c>
      <c r="M4833" t="s">
        <v>75</v>
      </c>
      <c r="R4833" t="s">
        <v>24334</v>
      </c>
      <c r="W4833" t="s">
        <v>24333</v>
      </c>
      <c r="X4833" t="s">
        <v>173</v>
      </c>
      <c r="Y4833" t="s">
        <v>87</v>
      </c>
      <c r="Z4833" t="s">
        <v>77</v>
      </c>
      <c r="AA4833" t="str">
        <f>"11219-2916"</f>
        <v>11219-2916</v>
      </c>
      <c r="AB4833" t="s">
        <v>78</v>
      </c>
      <c r="AC4833" t="s">
        <v>79</v>
      </c>
      <c r="AD4833" t="s">
        <v>75</v>
      </c>
      <c r="AE4833" t="s">
        <v>80</v>
      </c>
      <c r="AG4833" t="s">
        <v>81</v>
      </c>
    </row>
    <row r="4834" spans="1:33" x14ac:dyDescent="0.25">
      <c r="A4834" t="str">
        <f>"1881644359"</f>
        <v>1881644359</v>
      </c>
      <c r="B4834" t="str">
        <f>"03101237"</f>
        <v>03101237</v>
      </c>
      <c r="C4834" t="s">
        <v>24335</v>
      </c>
      <c r="D4834" t="s">
        <v>24336</v>
      </c>
      <c r="E4834" t="s">
        <v>24337</v>
      </c>
      <c r="G4834" t="s">
        <v>13504</v>
      </c>
      <c r="H4834" t="s">
        <v>13505</v>
      </c>
      <c r="J4834" t="s">
        <v>13506</v>
      </c>
      <c r="L4834" t="s">
        <v>83</v>
      </c>
      <c r="M4834" t="s">
        <v>75</v>
      </c>
      <c r="R4834" t="s">
        <v>24337</v>
      </c>
      <c r="W4834" t="s">
        <v>24337</v>
      </c>
      <c r="X4834" t="s">
        <v>202</v>
      </c>
      <c r="Y4834" t="s">
        <v>87</v>
      </c>
      <c r="Z4834" t="s">
        <v>77</v>
      </c>
      <c r="AA4834" t="str">
        <f>"11201-5425"</f>
        <v>11201-5425</v>
      </c>
      <c r="AB4834" t="s">
        <v>78</v>
      </c>
      <c r="AC4834" t="s">
        <v>79</v>
      </c>
      <c r="AD4834" t="s">
        <v>75</v>
      </c>
      <c r="AE4834" t="s">
        <v>80</v>
      </c>
      <c r="AG4834" t="s">
        <v>81</v>
      </c>
    </row>
    <row r="4835" spans="1:33" x14ac:dyDescent="0.25">
      <c r="A4835" t="str">
        <f>"1235177668"</f>
        <v>1235177668</v>
      </c>
      <c r="B4835" t="str">
        <f>"02519919"</f>
        <v>02519919</v>
      </c>
      <c r="C4835" t="s">
        <v>24338</v>
      </c>
      <c r="D4835" t="s">
        <v>24339</v>
      </c>
      <c r="E4835" t="s">
        <v>24340</v>
      </c>
      <c r="G4835" t="s">
        <v>13504</v>
      </c>
      <c r="H4835" t="s">
        <v>13505</v>
      </c>
      <c r="J4835" t="s">
        <v>13506</v>
      </c>
      <c r="L4835" t="s">
        <v>84</v>
      </c>
      <c r="M4835" t="s">
        <v>85</v>
      </c>
      <c r="R4835" t="s">
        <v>24341</v>
      </c>
      <c r="W4835" t="s">
        <v>24340</v>
      </c>
      <c r="X4835" t="s">
        <v>642</v>
      </c>
      <c r="Y4835" t="s">
        <v>87</v>
      </c>
      <c r="Z4835" t="s">
        <v>77</v>
      </c>
      <c r="AA4835" t="str">
        <f>"11201-5493"</f>
        <v>11201-5493</v>
      </c>
      <c r="AB4835" t="s">
        <v>78</v>
      </c>
      <c r="AC4835" t="s">
        <v>79</v>
      </c>
      <c r="AD4835" t="s">
        <v>75</v>
      </c>
      <c r="AE4835" t="s">
        <v>80</v>
      </c>
      <c r="AG4835" t="s">
        <v>81</v>
      </c>
    </row>
    <row r="4836" spans="1:33" x14ac:dyDescent="0.25">
      <c r="A4836" t="str">
        <f>"1841252467"</f>
        <v>1841252467</v>
      </c>
      <c r="B4836" t="str">
        <f>"02881212"</f>
        <v>02881212</v>
      </c>
      <c r="C4836" t="s">
        <v>24342</v>
      </c>
      <c r="D4836" t="s">
        <v>24343</v>
      </c>
      <c r="E4836" t="s">
        <v>24344</v>
      </c>
      <c r="G4836" t="s">
        <v>13504</v>
      </c>
      <c r="H4836" t="s">
        <v>13505</v>
      </c>
      <c r="J4836" t="s">
        <v>13506</v>
      </c>
      <c r="L4836" t="s">
        <v>83</v>
      </c>
      <c r="M4836" t="s">
        <v>75</v>
      </c>
      <c r="R4836" t="s">
        <v>24345</v>
      </c>
      <c r="W4836" t="s">
        <v>24344</v>
      </c>
      <c r="X4836" t="s">
        <v>4536</v>
      </c>
      <c r="Y4836" t="s">
        <v>4537</v>
      </c>
      <c r="Z4836" t="s">
        <v>1784</v>
      </c>
      <c r="AA4836" t="str">
        <f>"16550-0002"</f>
        <v>16550-0002</v>
      </c>
      <c r="AB4836" t="s">
        <v>78</v>
      </c>
      <c r="AC4836" t="s">
        <v>79</v>
      </c>
      <c r="AD4836" t="s">
        <v>75</v>
      </c>
      <c r="AE4836" t="s">
        <v>80</v>
      </c>
      <c r="AG4836" t="s">
        <v>81</v>
      </c>
    </row>
    <row r="4837" spans="1:33" x14ac:dyDescent="0.25">
      <c r="A4837" t="str">
        <f>"1578505392"</f>
        <v>1578505392</v>
      </c>
      <c r="B4837" t="str">
        <f>"02424606"</f>
        <v>02424606</v>
      </c>
      <c r="C4837" t="s">
        <v>24346</v>
      </c>
      <c r="D4837" t="s">
        <v>24347</v>
      </c>
      <c r="E4837" t="s">
        <v>24348</v>
      </c>
      <c r="G4837" t="s">
        <v>13504</v>
      </c>
      <c r="H4837" t="s">
        <v>13505</v>
      </c>
      <c r="J4837" t="s">
        <v>13506</v>
      </c>
      <c r="L4837" t="s">
        <v>84</v>
      </c>
      <c r="M4837" t="s">
        <v>85</v>
      </c>
      <c r="R4837" t="s">
        <v>24349</v>
      </c>
      <c r="W4837" t="s">
        <v>24348</v>
      </c>
      <c r="X4837" t="s">
        <v>1719</v>
      </c>
      <c r="Y4837" t="s">
        <v>131</v>
      </c>
      <c r="Z4837" t="s">
        <v>77</v>
      </c>
      <c r="AA4837" t="str">
        <f>"10462-6402"</f>
        <v>10462-6402</v>
      </c>
      <c r="AB4837" t="s">
        <v>78</v>
      </c>
      <c r="AC4837" t="s">
        <v>79</v>
      </c>
      <c r="AD4837" t="s">
        <v>75</v>
      </c>
      <c r="AE4837" t="s">
        <v>80</v>
      </c>
      <c r="AG4837" t="s">
        <v>81</v>
      </c>
    </row>
    <row r="4838" spans="1:33" x14ac:dyDescent="0.25">
      <c r="A4838" t="str">
        <f>"1215028964"</f>
        <v>1215028964</v>
      </c>
      <c r="B4838" t="str">
        <f>"02493465"</f>
        <v>02493465</v>
      </c>
      <c r="C4838" t="s">
        <v>24350</v>
      </c>
      <c r="D4838" t="s">
        <v>24351</v>
      </c>
      <c r="E4838" t="s">
        <v>24352</v>
      </c>
      <c r="G4838" t="s">
        <v>13504</v>
      </c>
      <c r="H4838" t="s">
        <v>13505</v>
      </c>
      <c r="J4838" t="s">
        <v>13506</v>
      </c>
      <c r="L4838" t="s">
        <v>84</v>
      </c>
      <c r="M4838" t="s">
        <v>75</v>
      </c>
      <c r="R4838" t="s">
        <v>24353</v>
      </c>
      <c r="W4838" t="s">
        <v>24352</v>
      </c>
      <c r="X4838" t="s">
        <v>24354</v>
      </c>
      <c r="Y4838" t="s">
        <v>87</v>
      </c>
      <c r="Z4838" t="s">
        <v>77</v>
      </c>
      <c r="AA4838" t="str">
        <f>"11226-6525"</f>
        <v>11226-6525</v>
      </c>
      <c r="AB4838" t="s">
        <v>78</v>
      </c>
      <c r="AC4838" t="s">
        <v>79</v>
      </c>
      <c r="AD4838" t="s">
        <v>75</v>
      </c>
      <c r="AE4838" t="s">
        <v>80</v>
      </c>
      <c r="AG4838" t="s">
        <v>81</v>
      </c>
    </row>
    <row r="4839" spans="1:33" x14ac:dyDescent="0.25">
      <c r="A4839" t="str">
        <f>"1356576722"</f>
        <v>1356576722</v>
      </c>
      <c r="B4839" t="str">
        <f>"03722910"</f>
        <v>03722910</v>
      </c>
      <c r="C4839" t="s">
        <v>13436</v>
      </c>
      <c r="D4839" t="s">
        <v>24355</v>
      </c>
      <c r="E4839" t="s">
        <v>24356</v>
      </c>
      <c r="L4839" t="s">
        <v>105</v>
      </c>
      <c r="M4839" t="s">
        <v>75</v>
      </c>
      <c r="R4839" t="s">
        <v>24357</v>
      </c>
      <c r="W4839" t="s">
        <v>24356</v>
      </c>
      <c r="X4839" t="s">
        <v>329</v>
      </c>
      <c r="Y4839" t="s">
        <v>97</v>
      </c>
      <c r="Z4839" t="s">
        <v>77</v>
      </c>
      <c r="AA4839" t="str">
        <f>"10029-6504"</f>
        <v>10029-6504</v>
      </c>
      <c r="AB4839" t="s">
        <v>78</v>
      </c>
      <c r="AC4839" t="s">
        <v>79</v>
      </c>
      <c r="AD4839" t="s">
        <v>75</v>
      </c>
      <c r="AE4839" t="s">
        <v>80</v>
      </c>
      <c r="AG4839" t="s">
        <v>81</v>
      </c>
    </row>
    <row r="4840" spans="1:33" x14ac:dyDescent="0.25">
      <c r="A4840" t="str">
        <f>"1407160138"</f>
        <v>1407160138</v>
      </c>
      <c r="B4840" t="str">
        <f>"04102347"</f>
        <v>04102347</v>
      </c>
      <c r="C4840" t="s">
        <v>13436</v>
      </c>
      <c r="D4840" t="s">
        <v>24358</v>
      </c>
      <c r="E4840" t="s">
        <v>24359</v>
      </c>
      <c r="L4840" t="s">
        <v>74</v>
      </c>
      <c r="M4840" t="s">
        <v>75</v>
      </c>
      <c r="R4840" t="s">
        <v>24360</v>
      </c>
      <c r="W4840" t="s">
        <v>24359</v>
      </c>
      <c r="X4840" t="s">
        <v>24361</v>
      </c>
      <c r="Y4840" t="s">
        <v>97</v>
      </c>
      <c r="Z4840" t="s">
        <v>77</v>
      </c>
      <c r="AA4840" t="str">
        <f>"10017-5612"</f>
        <v>10017-5612</v>
      </c>
      <c r="AB4840" t="s">
        <v>78</v>
      </c>
      <c r="AC4840" t="s">
        <v>79</v>
      </c>
      <c r="AD4840" t="s">
        <v>75</v>
      </c>
      <c r="AE4840" t="s">
        <v>80</v>
      </c>
      <c r="AG4840" t="s">
        <v>81</v>
      </c>
    </row>
    <row r="4841" spans="1:33" x14ac:dyDescent="0.25">
      <c r="A4841" t="str">
        <f>"1407172158"</f>
        <v>1407172158</v>
      </c>
      <c r="C4841" t="s">
        <v>13436</v>
      </c>
      <c r="K4841" t="s">
        <v>99</v>
      </c>
      <c r="L4841" t="s">
        <v>102</v>
      </c>
      <c r="M4841" t="s">
        <v>75</v>
      </c>
      <c r="R4841" t="s">
        <v>24362</v>
      </c>
      <c r="S4841" t="s">
        <v>24363</v>
      </c>
      <c r="T4841" t="s">
        <v>24364</v>
      </c>
      <c r="U4841" t="s">
        <v>739</v>
      </c>
      <c r="V4841" t="str">
        <f>"441062882"</f>
        <v>441062882</v>
      </c>
      <c r="AC4841" t="s">
        <v>79</v>
      </c>
      <c r="AD4841" t="s">
        <v>75</v>
      </c>
      <c r="AE4841" t="s">
        <v>103</v>
      </c>
      <c r="AG4841" t="s">
        <v>81</v>
      </c>
    </row>
    <row r="4842" spans="1:33" x14ac:dyDescent="0.25">
      <c r="A4842" t="str">
        <f>"1194091660"</f>
        <v>1194091660</v>
      </c>
      <c r="C4842" t="s">
        <v>13436</v>
      </c>
      <c r="K4842" t="s">
        <v>99</v>
      </c>
      <c r="L4842" t="s">
        <v>102</v>
      </c>
      <c r="M4842" t="s">
        <v>75</v>
      </c>
      <c r="R4842" t="s">
        <v>24365</v>
      </c>
      <c r="S4842" t="s">
        <v>24366</v>
      </c>
      <c r="T4842" t="s">
        <v>6154</v>
      </c>
      <c r="U4842" t="s">
        <v>156</v>
      </c>
      <c r="V4842" t="str">
        <f>"070524857"</f>
        <v>070524857</v>
      </c>
      <c r="AC4842" t="s">
        <v>79</v>
      </c>
      <c r="AD4842" t="s">
        <v>75</v>
      </c>
      <c r="AE4842" t="s">
        <v>103</v>
      </c>
      <c r="AG4842" t="s">
        <v>81</v>
      </c>
    </row>
    <row r="4843" spans="1:33" x14ac:dyDescent="0.25">
      <c r="A4843" t="str">
        <f>"1194091728"</f>
        <v>1194091728</v>
      </c>
      <c r="B4843" t="str">
        <f>"04628680"</f>
        <v>04628680</v>
      </c>
      <c r="C4843" t="s">
        <v>13436</v>
      </c>
      <c r="D4843" t="s">
        <v>24367</v>
      </c>
      <c r="E4843" t="s">
        <v>24368</v>
      </c>
      <c r="L4843" t="s">
        <v>102</v>
      </c>
      <c r="M4843" t="s">
        <v>75</v>
      </c>
      <c r="R4843" t="s">
        <v>24369</v>
      </c>
      <c r="W4843" t="s">
        <v>24368</v>
      </c>
      <c r="AB4843" t="s">
        <v>78</v>
      </c>
      <c r="AC4843" t="s">
        <v>79</v>
      </c>
      <c r="AD4843" t="s">
        <v>75</v>
      </c>
      <c r="AE4843" t="s">
        <v>80</v>
      </c>
      <c r="AG4843" t="s">
        <v>81</v>
      </c>
    </row>
    <row r="4844" spans="1:33" x14ac:dyDescent="0.25">
      <c r="A4844" t="str">
        <f>"1194091959"</f>
        <v>1194091959</v>
      </c>
      <c r="B4844" t="str">
        <f>"04425678"</f>
        <v>04425678</v>
      </c>
      <c r="C4844" t="s">
        <v>13436</v>
      </c>
      <c r="D4844" t="s">
        <v>24370</v>
      </c>
      <c r="E4844" t="s">
        <v>24371</v>
      </c>
      <c r="L4844" t="s">
        <v>102</v>
      </c>
      <c r="M4844" t="s">
        <v>75</v>
      </c>
      <c r="R4844" t="s">
        <v>24372</v>
      </c>
      <c r="W4844" t="s">
        <v>24373</v>
      </c>
      <c r="X4844" t="s">
        <v>24374</v>
      </c>
      <c r="Y4844" t="s">
        <v>97</v>
      </c>
      <c r="Z4844" t="s">
        <v>77</v>
      </c>
      <c r="AA4844" t="str">
        <f>"10065-4870"</f>
        <v>10065-4870</v>
      </c>
      <c r="AB4844" t="s">
        <v>78</v>
      </c>
      <c r="AC4844" t="s">
        <v>79</v>
      </c>
      <c r="AD4844" t="s">
        <v>75</v>
      </c>
      <c r="AE4844" t="s">
        <v>80</v>
      </c>
      <c r="AG4844" t="s">
        <v>81</v>
      </c>
    </row>
    <row r="4845" spans="1:33" x14ac:dyDescent="0.25">
      <c r="A4845" t="str">
        <f>"1194141895"</f>
        <v>1194141895</v>
      </c>
      <c r="C4845" t="s">
        <v>13436</v>
      </c>
      <c r="K4845" t="s">
        <v>99</v>
      </c>
      <c r="L4845" t="s">
        <v>102</v>
      </c>
      <c r="M4845" t="s">
        <v>75</v>
      </c>
      <c r="R4845" t="s">
        <v>24375</v>
      </c>
      <c r="S4845" t="s">
        <v>24376</v>
      </c>
      <c r="T4845" t="s">
        <v>24377</v>
      </c>
      <c r="U4845" t="s">
        <v>3878</v>
      </c>
      <c r="V4845" t="str">
        <f>"773383963"</f>
        <v>773383963</v>
      </c>
      <c r="AC4845" t="s">
        <v>79</v>
      </c>
      <c r="AD4845" t="s">
        <v>75</v>
      </c>
      <c r="AE4845" t="s">
        <v>103</v>
      </c>
      <c r="AG4845" t="s">
        <v>81</v>
      </c>
    </row>
    <row r="4846" spans="1:33" x14ac:dyDescent="0.25">
      <c r="A4846" t="str">
        <f>"1194142430"</f>
        <v>1194142430</v>
      </c>
      <c r="C4846" t="s">
        <v>13436</v>
      </c>
      <c r="K4846" t="s">
        <v>99</v>
      </c>
      <c r="L4846" t="s">
        <v>102</v>
      </c>
      <c r="M4846" t="s">
        <v>75</v>
      </c>
      <c r="R4846" t="s">
        <v>24378</v>
      </c>
      <c r="S4846" t="s">
        <v>330</v>
      </c>
      <c r="T4846" t="s">
        <v>97</v>
      </c>
      <c r="U4846" t="s">
        <v>77</v>
      </c>
      <c r="V4846" t="str">
        <f>"100295204"</f>
        <v>100295204</v>
      </c>
      <c r="AC4846" t="s">
        <v>79</v>
      </c>
      <c r="AD4846" t="s">
        <v>75</v>
      </c>
      <c r="AE4846" t="s">
        <v>103</v>
      </c>
      <c r="AG4846" t="s">
        <v>81</v>
      </c>
    </row>
    <row r="4847" spans="1:33" x14ac:dyDescent="0.25">
      <c r="A4847" t="str">
        <f>"1194143180"</f>
        <v>1194143180</v>
      </c>
      <c r="C4847" t="s">
        <v>13436</v>
      </c>
      <c r="K4847" t="s">
        <v>99</v>
      </c>
      <c r="L4847" t="s">
        <v>102</v>
      </c>
      <c r="M4847" t="s">
        <v>75</v>
      </c>
      <c r="R4847" t="s">
        <v>24379</v>
      </c>
      <c r="S4847" t="s">
        <v>19122</v>
      </c>
      <c r="T4847" t="s">
        <v>97</v>
      </c>
      <c r="U4847" t="s">
        <v>77</v>
      </c>
      <c r="V4847" t="str">
        <f>"100191147"</f>
        <v>100191147</v>
      </c>
      <c r="AC4847" t="s">
        <v>79</v>
      </c>
      <c r="AD4847" t="s">
        <v>75</v>
      </c>
      <c r="AE4847" t="s">
        <v>103</v>
      </c>
      <c r="AG4847" t="s">
        <v>81</v>
      </c>
    </row>
    <row r="4848" spans="1:33" x14ac:dyDescent="0.25">
      <c r="A4848" t="str">
        <f>"1194160960"</f>
        <v>1194160960</v>
      </c>
      <c r="C4848" t="s">
        <v>13436</v>
      </c>
      <c r="K4848" t="s">
        <v>99</v>
      </c>
      <c r="L4848" t="s">
        <v>102</v>
      </c>
      <c r="M4848" t="s">
        <v>75</v>
      </c>
      <c r="R4848" t="s">
        <v>24380</v>
      </c>
      <c r="S4848" t="s">
        <v>24381</v>
      </c>
      <c r="T4848" t="s">
        <v>97</v>
      </c>
      <c r="U4848" t="s">
        <v>77</v>
      </c>
      <c r="V4848" t="str">
        <f>"100296503"</f>
        <v>100296503</v>
      </c>
      <c r="AC4848" t="s">
        <v>79</v>
      </c>
      <c r="AD4848" t="s">
        <v>75</v>
      </c>
      <c r="AE4848" t="s">
        <v>103</v>
      </c>
      <c r="AG4848" t="s">
        <v>81</v>
      </c>
    </row>
    <row r="4849" spans="1:33" x14ac:dyDescent="0.25">
      <c r="A4849" t="str">
        <f>"1275573644"</f>
        <v>1275573644</v>
      </c>
      <c r="B4849" t="str">
        <f>"02568638"</f>
        <v>02568638</v>
      </c>
      <c r="C4849" t="s">
        <v>13436</v>
      </c>
      <c r="D4849" t="s">
        <v>24382</v>
      </c>
      <c r="E4849" t="s">
        <v>24383</v>
      </c>
      <c r="G4849" t="s">
        <v>24384</v>
      </c>
      <c r="L4849" t="s">
        <v>83</v>
      </c>
      <c r="M4849" t="s">
        <v>85</v>
      </c>
      <c r="R4849" t="s">
        <v>24385</v>
      </c>
      <c r="W4849" t="s">
        <v>24385</v>
      </c>
      <c r="X4849" t="s">
        <v>24386</v>
      </c>
      <c r="Y4849" t="s">
        <v>97</v>
      </c>
      <c r="Z4849" t="s">
        <v>77</v>
      </c>
      <c r="AA4849" t="str">
        <f>"10010-5648"</f>
        <v>10010-5648</v>
      </c>
      <c r="AB4849" t="s">
        <v>78</v>
      </c>
      <c r="AC4849" t="s">
        <v>79</v>
      </c>
      <c r="AD4849" t="s">
        <v>75</v>
      </c>
      <c r="AE4849" t="s">
        <v>80</v>
      </c>
      <c r="AG4849" t="s">
        <v>81</v>
      </c>
    </row>
    <row r="4850" spans="1:33" x14ac:dyDescent="0.25">
      <c r="A4850" t="str">
        <f>"1275575466"</f>
        <v>1275575466</v>
      </c>
      <c r="B4850" t="str">
        <f>"01598741"</f>
        <v>01598741</v>
      </c>
      <c r="C4850" t="s">
        <v>13436</v>
      </c>
      <c r="D4850" t="s">
        <v>24387</v>
      </c>
      <c r="E4850" t="s">
        <v>24388</v>
      </c>
      <c r="G4850" t="s">
        <v>24389</v>
      </c>
      <c r="L4850" t="s">
        <v>83</v>
      </c>
      <c r="M4850" t="s">
        <v>85</v>
      </c>
      <c r="R4850" t="s">
        <v>24390</v>
      </c>
      <c r="W4850" t="s">
        <v>24388</v>
      </c>
      <c r="X4850" t="s">
        <v>24391</v>
      </c>
      <c r="Y4850" t="s">
        <v>97</v>
      </c>
      <c r="Z4850" t="s">
        <v>77</v>
      </c>
      <c r="AA4850" t="str">
        <f>"10019-1147"</f>
        <v>10019-1147</v>
      </c>
      <c r="AB4850" t="s">
        <v>78</v>
      </c>
      <c r="AC4850" t="s">
        <v>79</v>
      </c>
      <c r="AD4850" t="s">
        <v>75</v>
      </c>
      <c r="AE4850" t="s">
        <v>80</v>
      </c>
      <c r="AG4850" t="s">
        <v>81</v>
      </c>
    </row>
    <row r="4851" spans="1:33" x14ac:dyDescent="0.25">
      <c r="A4851" t="str">
        <f>"1275608341"</f>
        <v>1275608341</v>
      </c>
      <c r="B4851" t="str">
        <f>"01242075"</f>
        <v>01242075</v>
      </c>
      <c r="C4851" t="s">
        <v>13436</v>
      </c>
      <c r="D4851" t="s">
        <v>24392</v>
      </c>
      <c r="E4851" t="s">
        <v>24393</v>
      </c>
      <c r="G4851" t="s">
        <v>24394</v>
      </c>
      <c r="L4851" t="s">
        <v>83</v>
      </c>
      <c r="M4851" t="s">
        <v>85</v>
      </c>
      <c r="R4851" t="s">
        <v>24395</v>
      </c>
      <c r="W4851" t="s">
        <v>24393</v>
      </c>
      <c r="X4851" t="s">
        <v>1333</v>
      </c>
      <c r="Y4851" t="s">
        <v>97</v>
      </c>
      <c r="Z4851" t="s">
        <v>77</v>
      </c>
      <c r="AA4851" t="str">
        <f>"10025"</f>
        <v>10025</v>
      </c>
      <c r="AB4851" t="s">
        <v>78</v>
      </c>
      <c r="AC4851" t="s">
        <v>79</v>
      </c>
      <c r="AD4851" t="s">
        <v>75</v>
      </c>
      <c r="AE4851" t="s">
        <v>80</v>
      </c>
      <c r="AG4851" t="s">
        <v>81</v>
      </c>
    </row>
    <row r="4852" spans="1:33" x14ac:dyDescent="0.25">
      <c r="A4852" t="str">
        <f>"1275667875"</f>
        <v>1275667875</v>
      </c>
      <c r="B4852" t="str">
        <f>"01366687"</f>
        <v>01366687</v>
      </c>
      <c r="C4852" t="s">
        <v>13436</v>
      </c>
      <c r="D4852" t="s">
        <v>24396</v>
      </c>
      <c r="E4852" t="s">
        <v>24397</v>
      </c>
      <c r="G4852" t="s">
        <v>24398</v>
      </c>
      <c r="L4852" t="s">
        <v>83</v>
      </c>
      <c r="M4852" t="s">
        <v>85</v>
      </c>
      <c r="R4852" t="s">
        <v>24399</v>
      </c>
      <c r="W4852" t="s">
        <v>24397</v>
      </c>
      <c r="X4852" t="s">
        <v>2121</v>
      </c>
      <c r="Y4852" t="s">
        <v>97</v>
      </c>
      <c r="Z4852" t="s">
        <v>77</v>
      </c>
      <c r="AA4852" t="str">
        <f>"10016-6901"</f>
        <v>10016-6901</v>
      </c>
      <c r="AB4852" t="s">
        <v>78</v>
      </c>
      <c r="AC4852" t="s">
        <v>79</v>
      </c>
      <c r="AD4852" t="s">
        <v>75</v>
      </c>
      <c r="AE4852" t="s">
        <v>80</v>
      </c>
      <c r="AG4852" t="s">
        <v>81</v>
      </c>
    </row>
    <row r="4853" spans="1:33" x14ac:dyDescent="0.25">
      <c r="A4853" t="str">
        <f>"1295827046"</f>
        <v>1295827046</v>
      </c>
      <c r="B4853" t="str">
        <f>"02159075"</f>
        <v>02159075</v>
      </c>
      <c r="C4853" t="s">
        <v>13436</v>
      </c>
      <c r="D4853" t="s">
        <v>24400</v>
      </c>
      <c r="E4853" t="s">
        <v>24401</v>
      </c>
      <c r="G4853" t="s">
        <v>24402</v>
      </c>
      <c r="L4853" t="s">
        <v>83</v>
      </c>
      <c r="M4853" t="s">
        <v>75</v>
      </c>
      <c r="R4853" t="s">
        <v>24403</v>
      </c>
      <c r="W4853" t="s">
        <v>24401</v>
      </c>
      <c r="X4853" t="s">
        <v>24404</v>
      </c>
      <c r="Y4853" t="s">
        <v>87</v>
      </c>
      <c r="Z4853" t="s">
        <v>77</v>
      </c>
      <c r="AA4853" t="str">
        <f>"11234-2698"</f>
        <v>11234-2698</v>
      </c>
      <c r="AB4853" t="s">
        <v>78</v>
      </c>
      <c r="AC4853" t="s">
        <v>79</v>
      </c>
      <c r="AD4853" t="s">
        <v>75</v>
      </c>
      <c r="AE4853" t="s">
        <v>80</v>
      </c>
      <c r="AG4853" t="s">
        <v>81</v>
      </c>
    </row>
    <row r="4854" spans="1:33" x14ac:dyDescent="0.25">
      <c r="A4854" t="str">
        <f>"1295829240"</f>
        <v>1295829240</v>
      </c>
      <c r="B4854" t="str">
        <f>"01424166"</f>
        <v>01424166</v>
      </c>
      <c r="C4854" t="s">
        <v>13436</v>
      </c>
      <c r="D4854" t="s">
        <v>5622</v>
      </c>
      <c r="E4854" t="s">
        <v>5623</v>
      </c>
      <c r="G4854" t="s">
        <v>24405</v>
      </c>
      <c r="L4854" t="s">
        <v>94</v>
      </c>
      <c r="M4854" t="s">
        <v>85</v>
      </c>
      <c r="R4854" t="s">
        <v>5624</v>
      </c>
      <c r="W4854" t="s">
        <v>5625</v>
      </c>
      <c r="X4854" t="s">
        <v>272</v>
      </c>
      <c r="Y4854" t="s">
        <v>97</v>
      </c>
      <c r="Z4854" t="s">
        <v>77</v>
      </c>
      <c r="AA4854" t="str">
        <f>"10029-6501"</f>
        <v>10029-6501</v>
      </c>
      <c r="AB4854" t="s">
        <v>78</v>
      </c>
      <c r="AC4854" t="s">
        <v>79</v>
      </c>
      <c r="AD4854" t="s">
        <v>75</v>
      </c>
      <c r="AE4854" t="s">
        <v>80</v>
      </c>
      <c r="AG4854" t="s">
        <v>81</v>
      </c>
    </row>
    <row r="4855" spans="1:33" x14ac:dyDescent="0.25">
      <c r="A4855" t="str">
        <f>"1316213135"</f>
        <v>1316213135</v>
      </c>
      <c r="B4855" t="str">
        <f>"04180883"</f>
        <v>04180883</v>
      </c>
      <c r="C4855" t="s">
        <v>13436</v>
      </c>
      <c r="D4855" t="s">
        <v>24406</v>
      </c>
      <c r="E4855" t="s">
        <v>24407</v>
      </c>
      <c r="G4855" t="s">
        <v>24408</v>
      </c>
      <c r="L4855" t="s">
        <v>74</v>
      </c>
      <c r="M4855" t="s">
        <v>75</v>
      </c>
      <c r="R4855" t="s">
        <v>24409</v>
      </c>
      <c r="W4855" t="s">
        <v>24407</v>
      </c>
      <c r="X4855" t="s">
        <v>3021</v>
      </c>
      <c r="Y4855" t="s">
        <v>182</v>
      </c>
      <c r="Z4855" t="s">
        <v>77</v>
      </c>
      <c r="AA4855" t="str">
        <f>"11501-3957"</f>
        <v>11501-3957</v>
      </c>
      <c r="AB4855" t="s">
        <v>78</v>
      </c>
      <c r="AC4855" t="s">
        <v>79</v>
      </c>
      <c r="AD4855" t="s">
        <v>75</v>
      </c>
      <c r="AE4855" t="s">
        <v>80</v>
      </c>
      <c r="AG4855" t="s">
        <v>81</v>
      </c>
    </row>
    <row r="4856" spans="1:33" x14ac:dyDescent="0.25">
      <c r="A4856" t="str">
        <f>"1316968530"</f>
        <v>1316968530</v>
      </c>
      <c r="B4856" t="str">
        <f>"02496362"</f>
        <v>02496362</v>
      </c>
      <c r="C4856" t="s">
        <v>13436</v>
      </c>
      <c r="D4856" t="s">
        <v>24410</v>
      </c>
      <c r="E4856" t="s">
        <v>24411</v>
      </c>
      <c r="G4856" t="s">
        <v>24412</v>
      </c>
      <c r="L4856" t="s">
        <v>84</v>
      </c>
      <c r="M4856" t="s">
        <v>85</v>
      </c>
      <c r="R4856" t="s">
        <v>24413</v>
      </c>
      <c r="W4856" t="s">
        <v>24411</v>
      </c>
      <c r="X4856" t="s">
        <v>329</v>
      </c>
      <c r="Y4856" t="s">
        <v>97</v>
      </c>
      <c r="Z4856" t="s">
        <v>77</v>
      </c>
      <c r="AA4856" t="str">
        <f>"10029-6500"</f>
        <v>10029-6500</v>
      </c>
      <c r="AB4856" t="s">
        <v>78</v>
      </c>
      <c r="AC4856" t="s">
        <v>79</v>
      </c>
      <c r="AD4856" t="s">
        <v>75</v>
      </c>
      <c r="AE4856" t="s">
        <v>80</v>
      </c>
      <c r="AG4856" t="s">
        <v>81</v>
      </c>
    </row>
    <row r="4857" spans="1:33" x14ac:dyDescent="0.25">
      <c r="A4857" t="str">
        <f>"1326056326"</f>
        <v>1326056326</v>
      </c>
      <c r="B4857" t="str">
        <f>"02359084"</f>
        <v>02359084</v>
      </c>
      <c r="C4857" t="s">
        <v>13436</v>
      </c>
      <c r="D4857" t="s">
        <v>24414</v>
      </c>
      <c r="E4857" t="s">
        <v>24415</v>
      </c>
      <c r="G4857" t="s">
        <v>24416</v>
      </c>
      <c r="L4857" t="s">
        <v>84</v>
      </c>
      <c r="M4857" t="s">
        <v>85</v>
      </c>
      <c r="R4857" t="s">
        <v>24417</v>
      </c>
      <c r="W4857" t="s">
        <v>24415</v>
      </c>
      <c r="X4857" t="s">
        <v>329</v>
      </c>
      <c r="Y4857" t="s">
        <v>97</v>
      </c>
      <c r="Z4857" t="s">
        <v>77</v>
      </c>
      <c r="AA4857" t="str">
        <f>"10029-6500"</f>
        <v>10029-6500</v>
      </c>
      <c r="AB4857" t="s">
        <v>78</v>
      </c>
      <c r="AC4857" t="s">
        <v>79</v>
      </c>
      <c r="AD4857" t="s">
        <v>75</v>
      </c>
      <c r="AE4857" t="s">
        <v>80</v>
      </c>
      <c r="AG4857" t="s">
        <v>81</v>
      </c>
    </row>
    <row r="4858" spans="1:33" x14ac:dyDescent="0.25">
      <c r="A4858" t="str">
        <f>"1326062753"</f>
        <v>1326062753</v>
      </c>
      <c r="B4858" t="str">
        <f>"01272086"</f>
        <v>01272086</v>
      </c>
      <c r="C4858" t="s">
        <v>13436</v>
      </c>
      <c r="D4858" t="s">
        <v>24418</v>
      </c>
      <c r="E4858" t="s">
        <v>24419</v>
      </c>
      <c r="G4858" t="s">
        <v>24420</v>
      </c>
      <c r="L4858" t="s">
        <v>84</v>
      </c>
      <c r="M4858" t="s">
        <v>75</v>
      </c>
      <c r="R4858" t="s">
        <v>24421</v>
      </c>
      <c r="W4858" t="s">
        <v>24419</v>
      </c>
      <c r="X4858" t="s">
        <v>24422</v>
      </c>
      <c r="Y4858" t="s">
        <v>209</v>
      </c>
      <c r="Z4858" t="s">
        <v>77</v>
      </c>
      <c r="AA4858" t="str">
        <f>"11794-0001"</f>
        <v>11794-0001</v>
      </c>
      <c r="AB4858" t="s">
        <v>78</v>
      </c>
      <c r="AC4858" t="s">
        <v>79</v>
      </c>
      <c r="AD4858" t="s">
        <v>75</v>
      </c>
      <c r="AE4858" t="s">
        <v>80</v>
      </c>
      <c r="AG4858" t="s">
        <v>81</v>
      </c>
    </row>
    <row r="4859" spans="1:33" x14ac:dyDescent="0.25">
      <c r="A4859" t="str">
        <f>"1326078833"</f>
        <v>1326078833</v>
      </c>
      <c r="B4859" t="str">
        <f>"01566912"</f>
        <v>01566912</v>
      </c>
      <c r="C4859" t="s">
        <v>13436</v>
      </c>
      <c r="D4859" t="s">
        <v>24423</v>
      </c>
      <c r="E4859" t="s">
        <v>24424</v>
      </c>
      <c r="G4859" t="s">
        <v>24425</v>
      </c>
      <c r="L4859" t="s">
        <v>94</v>
      </c>
      <c r="M4859" t="s">
        <v>85</v>
      </c>
      <c r="R4859" t="s">
        <v>24426</v>
      </c>
      <c r="W4859" t="s">
        <v>24424</v>
      </c>
      <c r="X4859" t="s">
        <v>5864</v>
      </c>
      <c r="Y4859" t="s">
        <v>97</v>
      </c>
      <c r="Z4859" t="s">
        <v>77</v>
      </c>
      <c r="AA4859" t="str">
        <f>"10029-5208"</f>
        <v>10029-5208</v>
      </c>
      <c r="AB4859" t="s">
        <v>78</v>
      </c>
      <c r="AC4859" t="s">
        <v>79</v>
      </c>
      <c r="AD4859" t="s">
        <v>75</v>
      </c>
      <c r="AE4859" t="s">
        <v>80</v>
      </c>
      <c r="AG4859" t="s">
        <v>81</v>
      </c>
    </row>
    <row r="4860" spans="1:33" x14ac:dyDescent="0.25">
      <c r="A4860" t="str">
        <f>"1578554952"</f>
        <v>1578554952</v>
      </c>
      <c r="B4860" t="str">
        <f>"01221865"</f>
        <v>01221865</v>
      </c>
      <c r="C4860" t="s">
        <v>13436</v>
      </c>
      <c r="D4860" t="s">
        <v>24427</v>
      </c>
      <c r="E4860" t="s">
        <v>24428</v>
      </c>
      <c r="G4860" t="s">
        <v>24429</v>
      </c>
      <c r="L4860" t="s">
        <v>74</v>
      </c>
      <c r="M4860" t="s">
        <v>75</v>
      </c>
      <c r="R4860" t="s">
        <v>24430</v>
      </c>
      <c r="W4860" t="s">
        <v>24428</v>
      </c>
      <c r="X4860" t="s">
        <v>24431</v>
      </c>
      <c r="Y4860" t="s">
        <v>97</v>
      </c>
      <c r="Z4860" t="s">
        <v>77</v>
      </c>
      <c r="AA4860" t="str">
        <f>"10019-1108"</f>
        <v>10019-1108</v>
      </c>
      <c r="AB4860" t="s">
        <v>78</v>
      </c>
      <c r="AC4860" t="s">
        <v>79</v>
      </c>
      <c r="AD4860" t="s">
        <v>75</v>
      </c>
      <c r="AE4860" t="s">
        <v>80</v>
      </c>
      <c r="AG4860" t="s">
        <v>81</v>
      </c>
    </row>
    <row r="4861" spans="1:33" x14ac:dyDescent="0.25">
      <c r="A4861" t="str">
        <f>"1578625976"</f>
        <v>1578625976</v>
      </c>
      <c r="B4861" t="str">
        <f>"02981455"</f>
        <v>02981455</v>
      </c>
      <c r="C4861" t="s">
        <v>13436</v>
      </c>
      <c r="D4861" t="s">
        <v>24432</v>
      </c>
      <c r="E4861" t="s">
        <v>24433</v>
      </c>
      <c r="G4861" t="s">
        <v>24434</v>
      </c>
      <c r="L4861" t="s">
        <v>74</v>
      </c>
      <c r="M4861" t="s">
        <v>85</v>
      </c>
      <c r="R4861" t="s">
        <v>24435</v>
      </c>
      <c r="W4861" t="s">
        <v>24436</v>
      </c>
      <c r="X4861" t="s">
        <v>843</v>
      </c>
      <c r="Y4861" t="s">
        <v>97</v>
      </c>
      <c r="Z4861" t="s">
        <v>77</v>
      </c>
      <c r="AA4861" t="str">
        <f>"10016-6402"</f>
        <v>10016-6402</v>
      </c>
      <c r="AB4861" t="s">
        <v>78</v>
      </c>
      <c r="AC4861" t="s">
        <v>79</v>
      </c>
      <c r="AD4861" t="s">
        <v>75</v>
      </c>
      <c r="AE4861" t="s">
        <v>80</v>
      </c>
      <c r="AG4861" t="s">
        <v>81</v>
      </c>
    </row>
    <row r="4862" spans="1:33" x14ac:dyDescent="0.25">
      <c r="A4862" t="str">
        <f>"1588644991"</f>
        <v>1588644991</v>
      </c>
      <c r="B4862" t="str">
        <f>"01467918"</f>
        <v>01467918</v>
      </c>
      <c r="C4862" t="s">
        <v>13436</v>
      </c>
      <c r="D4862" t="s">
        <v>24437</v>
      </c>
      <c r="E4862" t="s">
        <v>24438</v>
      </c>
      <c r="G4862" t="s">
        <v>24439</v>
      </c>
      <c r="L4862" t="s">
        <v>84</v>
      </c>
      <c r="M4862" t="s">
        <v>75</v>
      </c>
      <c r="R4862" t="s">
        <v>24440</v>
      </c>
      <c r="W4862" t="s">
        <v>24438</v>
      </c>
      <c r="X4862" t="s">
        <v>22085</v>
      </c>
      <c r="Y4862" t="s">
        <v>97</v>
      </c>
      <c r="Z4862" t="s">
        <v>77</v>
      </c>
      <c r="AA4862" t="str">
        <f>"10025"</f>
        <v>10025</v>
      </c>
      <c r="AB4862" t="s">
        <v>78</v>
      </c>
      <c r="AC4862" t="s">
        <v>79</v>
      </c>
      <c r="AD4862" t="s">
        <v>75</v>
      </c>
      <c r="AE4862" t="s">
        <v>80</v>
      </c>
      <c r="AG4862" t="s">
        <v>81</v>
      </c>
    </row>
    <row r="4863" spans="1:33" x14ac:dyDescent="0.25">
      <c r="A4863" t="str">
        <f>"1275777039"</f>
        <v>1275777039</v>
      </c>
      <c r="C4863" t="s">
        <v>13436</v>
      </c>
      <c r="G4863" t="s">
        <v>24441</v>
      </c>
      <c r="K4863" t="s">
        <v>99</v>
      </c>
      <c r="L4863" t="s">
        <v>102</v>
      </c>
      <c r="M4863" t="s">
        <v>85</v>
      </c>
      <c r="R4863" t="s">
        <v>24442</v>
      </c>
      <c r="S4863" t="s">
        <v>2886</v>
      </c>
      <c r="T4863" t="s">
        <v>87</v>
      </c>
      <c r="U4863" t="s">
        <v>77</v>
      </c>
      <c r="V4863" t="str">
        <f>"112097104"</f>
        <v>112097104</v>
      </c>
      <c r="AC4863" t="s">
        <v>79</v>
      </c>
      <c r="AD4863" t="s">
        <v>75</v>
      </c>
      <c r="AE4863" t="s">
        <v>103</v>
      </c>
      <c r="AG4863" t="s">
        <v>81</v>
      </c>
    </row>
    <row r="4864" spans="1:33" x14ac:dyDescent="0.25">
      <c r="A4864" t="str">
        <f>"1285909630"</f>
        <v>1285909630</v>
      </c>
      <c r="B4864" t="str">
        <f>"03942743"</f>
        <v>03942743</v>
      </c>
      <c r="C4864" t="s">
        <v>13436</v>
      </c>
      <c r="D4864" t="s">
        <v>24443</v>
      </c>
      <c r="E4864" t="s">
        <v>24444</v>
      </c>
      <c r="G4864" t="s">
        <v>24445</v>
      </c>
      <c r="L4864" t="s">
        <v>74</v>
      </c>
      <c r="M4864" t="s">
        <v>85</v>
      </c>
      <c r="R4864" t="s">
        <v>24446</v>
      </c>
      <c r="W4864" t="s">
        <v>24444</v>
      </c>
      <c r="X4864" t="s">
        <v>181</v>
      </c>
      <c r="Y4864" t="s">
        <v>97</v>
      </c>
      <c r="Z4864" t="s">
        <v>77</v>
      </c>
      <c r="AA4864" t="str">
        <f>"10025-1716"</f>
        <v>10025-1716</v>
      </c>
      <c r="AB4864" t="s">
        <v>78</v>
      </c>
      <c r="AC4864" t="s">
        <v>79</v>
      </c>
      <c r="AD4864" t="s">
        <v>75</v>
      </c>
      <c r="AE4864" t="s">
        <v>80</v>
      </c>
      <c r="AG4864" t="s">
        <v>81</v>
      </c>
    </row>
    <row r="4865" spans="1:33" x14ac:dyDescent="0.25">
      <c r="A4865" t="str">
        <f>"1295763902"</f>
        <v>1295763902</v>
      </c>
      <c r="B4865" t="str">
        <f>"02579871"</f>
        <v>02579871</v>
      </c>
      <c r="C4865" t="s">
        <v>13436</v>
      </c>
      <c r="D4865" t="s">
        <v>24447</v>
      </c>
      <c r="E4865" t="s">
        <v>24448</v>
      </c>
      <c r="G4865" t="s">
        <v>24449</v>
      </c>
      <c r="L4865" t="s">
        <v>83</v>
      </c>
      <c r="M4865" t="s">
        <v>85</v>
      </c>
      <c r="R4865" t="s">
        <v>24450</v>
      </c>
      <c r="W4865" t="s">
        <v>24448</v>
      </c>
      <c r="X4865" t="s">
        <v>4889</v>
      </c>
      <c r="Y4865" t="s">
        <v>87</v>
      </c>
      <c r="Z4865" t="s">
        <v>77</v>
      </c>
      <c r="AA4865" t="str">
        <f>"11219-2923"</f>
        <v>11219-2923</v>
      </c>
      <c r="AB4865" t="s">
        <v>78</v>
      </c>
      <c r="AC4865" t="s">
        <v>79</v>
      </c>
      <c r="AD4865" t="s">
        <v>75</v>
      </c>
      <c r="AE4865" t="s">
        <v>80</v>
      </c>
      <c r="AG4865" t="s">
        <v>81</v>
      </c>
    </row>
    <row r="4866" spans="1:33" x14ac:dyDescent="0.25">
      <c r="A4866" t="str">
        <f>"1336107325"</f>
        <v>1336107325</v>
      </c>
      <c r="C4866" t="s">
        <v>13436</v>
      </c>
      <c r="G4866" t="s">
        <v>24451</v>
      </c>
      <c r="K4866" t="s">
        <v>99</v>
      </c>
      <c r="L4866" t="s">
        <v>102</v>
      </c>
      <c r="M4866" t="s">
        <v>85</v>
      </c>
      <c r="R4866" t="s">
        <v>24452</v>
      </c>
      <c r="S4866" t="s">
        <v>24453</v>
      </c>
      <c r="T4866" t="s">
        <v>24454</v>
      </c>
      <c r="U4866" t="s">
        <v>156</v>
      </c>
      <c r="V4866" t="str">
        <f>"074103963"</f>
        <v>074103963</v>
      </c>
      <c r="AC4866" t="s">
        <v>79</v>
      </c>
      <c r="AD4866" t="s">
        <v>75</v>
      </c>
      <c r="AE4866" t="s">
        <v>103</v>
      </c>
      <c r="AG4866" t="s">
        <v>81</v>
      </c>
    </row>
    <row r="4867" spans="1:33" x14ac:dyDescent="0.25">
      <c r="A4867" t="str">
        <f>"1336335710"</f>
        <v>1336335710</v>
      </c>
      <c r="B4867" t="str">
        <f>"03398170"</f>
        <v>03398170</v>
      </c>
      <c r="C4867" t="s">
        <v>13436</v>
      </c>
      <c r="D4867" t="s">
        <v>24455</v>
      </c>
      <c r="E4867" t="s">
        <v>24456</v>
      </c>
      <c r="G4867" t="s">
        <v>24457</v>
      </c>
      <c r="L4867" t="s">
        <v>83</v>
      </c>
      <c r="M4867" t="s">
        <v>85</v>
      </c>
      <c r="R4867" t="s">
        <v>24458</v>
      </c>
      <c r="W4867" t="s">
        <v>24456</v>
      </c>
      <c r="X4867" t="s">
        <v>1809</v>
      </c>
      <c r="Y4867" t="s">
        <v>140</v>
      </c>
      <c r="Z4867" t="s">
        <v>77</v>
      </c>
      <c r="AA4867" t="str">
        <f>"11772-4870"</f>
        <v>11772-4870</v>
      </c>
      <c r="AB4867" t="s">
        <v>78</v>
      </c>
      <c r="AC4867" t="s">
        <v>79</v>
      </c>
      <c r="AD4867" t="s">
        <v>75</v>
      </c>
      <c r="AE4867" t="s">
        <v>80</v>
      </c>
      <c r="AG4867" t="s">
        <v>81</v>
      </c>
    </row>
    <row r="4868" spans="1:33" x14ac:dyDescent="0.25">
      <c r="A4868" t="str">
        <f>"1366478372"</f>
        <v>1366478372</v>
      </c>
      <c r="B4868" t="str">
        <f>"03464404"</f>
        <v>03464404</v>
      </c>
      <c r="C4868" t="s">
        <v>13436</v>
      </c>
      <c r="D4868" t="s">
        <v>24459</v>
      </c>
      <c r="E4868" t="s">
        <v>24460</v>
      </c>
      <c r="G4868" t="s">
        <v>24461</v>
      </c>
      <c r="L4868" t="s">
        <v>74</v>
      </c>
      <c r="M4868" t="s">
        <v>85</v>
      </c>
      <c r="R4868" t="s">
        <v>24462</v>
      </c>
      <c r="W4868" t="s">
        <v>24463</v>
      </c>
      <c r="X4868" t="s">
        <v>3433</v>
      </c>
      <c r="Y4868" t="s">
        <v>97</v>
      </c>
      <c r="Z4868" t="s">
        <v>77</v>
      </c>
      <c r="AA4868" t="str">
        <f>"10003-3805"</f>
        <v>10003-3805</v>
      </c>
      <c r="AB4868" t="s">
        <v>78</v>
      </c>
      <c r="AC4868" t="s">
        <v>79</v>
      </c>
      <c r="AD4868" t="s">
        <v>75</v>
      </c>
      <c r="AE4868" t="s">
        <v>80</v>
      </c>
      <c r="AG4868" t="s">
        <v>81</v>
      </c>
    </row>
    <row r="4869" spans="1:33" x14ac:dyDescent="0.25">
      <c r="A4869" t="str">
        <f>"1427148469"</f>
        <v>1427148469</v>
      </c>
      <c r="B4869" t="str">
        <f>"03120138"</f>
        <v>03120138</v>
      </c>
      <c r="C4869" t="s">
        <v>13436</v>
      </c>
      <c r="D4869" t="s">
        <v>24464</v>
      </c>
      <c r="E4869" t="s">
        <v>24465</v>
      </c>
      <c r="G4869" t="s">
        <v>24466</v>
      </c>
      <c r="L4869" t="s">
        <v>74</v>
      </c>
      <c r="M4869" t="s">
        <v>85</v>
      </c>
      <c r="R4869" t="s">
        <v>24467</v>
      </c>
      <c r="W4869" t="s">
        <v>24465</v>
      </c>
      <c r="X4869" t="s">
        <v>3021</v>
      </c>
      <c r="Y4869" t="s">
        <v>182</v>
      </c>
      <c r="Z4869" t="s">
        <v>77</v>
      </c>
      <c r="AA4869" t="str">
        <f>"11501-3957"</f>
        <v>11501-3957</v>
      </c>
      <c r="AB4869" t="s">
        <v>78</v>
      </c>
      <c r="AC4869" t="s">
        <v>79</v>
      </c>
      <c r="AD4869" t="s">
        <v>75</v>
      </c>
      <c r="AE4869" t="s">
        <v>80</v>
      </c>
      <c r="AG4869" t="s">
        <v>81</v>
      </c>
    </row>
    <row r="4870" spans="1:33" x14ac:dyDescent="0.25">
      <c r="A4870" t="str">
        <f>"1437171683"</f>
        <v>1437171683</v>
      </c>
      <c r="B4870" t="str">
        <f>"02577640"</f>
        <v>02577640</v>
      </c>
      <c r="C4870" t="s">
        <v>13436</v>
      </c>
      <c r="D4870" t="s">
        <v>1210</v>
      </c>
      <c r="E4870" t="s">
        <v>1211</v>
      </c>
      <c r="G4870" t="s">
        <v>24468</v>
      </c>
      <c r="L4870" t="s">
        <v>83</v>
      </c>
      <c r="M4870" t="s">
        <v>85</v>
      </c>
      <c r="R4870" t="s">
        <v>1211</v>
      </c>
      <c r="W4870" t="s">
        <v>1211</v>
      </c>
      <c r="X4870" t="s">
        <v>1212</v>
      </c>
      <c r="Y4870" t="s">
        <v>1213</v>
      </c>
      <c r="Z4870" t="s">
        <v>1214</v>
      </c>
      <c r="AA4870" t="str">
        <f>"27834-0000"</f>
        <v>27834-0000</v>
      </c>
      <c r="AB4870" t="s">
        <v>78</v>
      </c>
      <c r="AC4870" t="s">
        <v>79</v>
      </c>
      <c r="AD4870" t="s">
        <v>75</v>
      </c>
      <c r="AE4870" t="s">
        <v>80</v>
      </c>
      <c r="AG4870" t="s">
        <v>81</v>
      </c>
    </row>
    <row r="4871" spans="1:33" x14ac:dyDescent="0.25">
      <c r="A4871" t="str">
        <f>"1447596697"</f>
        <v>1447596697</v>
      </c>
      <c r="B4871" t="str">
        <f>"03794098"</f>
        <v>03794098</v>
      </c>
      <c r="C4871" t="s">
        <v>13436</v>
      </c>
      <c r="D4871" t="s">
        <v>24469</v>
      </c>
      <c r="E4871" t="s">
        <v>24470</v>
      </c>
      <c r="G4871" t="s">
        <v>24471</v>
      </c>
      <c r="L4871" t="s">
        <v>102</v>
      </c>
      <c r="M4871" t="s">
        <v>85</v>
      </c>
      <c r="R4871" t="s">
        <v>24472</v>
      </c>
      <c r="W4871" t="s">
        <v>24470</v>
      </c>
      <c r="X4871" t="s">
        <v>24473</v>
      </c>
      <c r="Y4871" t="s">
        <v>97</v>
      </c>
      <c r="Z4871" t="s">
        <v>77</v>
      </c>
      <c r="AA4871" t="str">
        <f>"10035-1641"</f>
        <v>10035-1641</v>
      </c>
      <c r="AB4871" t="s">
        <v>78</v>
      </c>
      <c r="AC4871" t="s">
        <v>79</v>
      </c>
      <c r="AD4871" t="s">
        <v>75</v>
      </c>
      <c r="AE4871" t="s">
        <v>80</v>
      </c>
      <c r="AG4871" t="s">
        <v>81</v>
      </c>
    </row>
    <row r="4872" spans="1:33" x14ac:dyDescent="0.25">
      <c r="A4872" t="str">
        <f>"1508832304"</f>
        <v>1508832304</v>
      </c>
      <c r="B4872" t="str">
        <f>"02257569"</f>
        <v>02257569</v>
      </c>
      <c r="C4872" t="s">
        <v>13436</v>
      </c>
      <c r="D4872" t="s">
        <v>24474</v>
      </c>
      <c r="E4872" t="s">
        <v>24475</v>
      </c>
      <c r="G4872" t="s">
        <v>24476</v>
      </c>
      <c r="L4872" t="s">
        <v>74</v>
      </c>
      <c r="M4872" t="s">
        <v>85</v>
      </c>
      <c r="R4872" t="s">
        <v>24477</v>
      </c>
      <c r="W4872" t="s">
        <v>24475</v>
      </c>
      <c r="X4872" t="s">
        <v>24478</v>
      </c>
      <c r="Y4872" t="s">
        <v>97</v>
      </c>
      <c r="Z4872" t="s">
        <v>77</v>
      </c>
      <c r="AA4872" t="str">
        <f>"10029"</f>
        <v>10029</v>
      </c>
      <c r="AB4872" t="s">
        <v>78</v>
      </c>
      <c r="AC4872" t="s">
        <v>79</v>
      </c>
      <c r="AD4872" t="s">
        <v>75</v>
      </c>
      <c r="AE4872" t="s">
        <v>80</v>
      </c>
      <c r="AG4872" t="s">
        <v>81</v>
      </c>
    </row>
    <row r="4873" spans="1:33" x14ac:dyDescent="0.25">
      <c r="A4873" t="str">
        <f>"1689637951"</f>
        <v>1689637951</v>
      </c>
      <c r="C4873" t="s">
        <v>24479</v>
      </c>
      <c r="G4873" t="s">
        <v>13504</v>
      </c>
      <c r="H4873" t="s">
        <v>13505</v>
      </c>
      <c r="J4873" t="s">
        <v>13506</v>
      </c>
      <c r="K4873" t="s">
        <v>99</v>
      </c>
      <c r="L4873" t="s">
        <v>102</v>
      </c>
      <c r="M4873" t="s">
        <v>75</v>
      </c>
      <c r="R4873" t="s">
        <v>4595</v>
      </c>
      <c r="S4873" t="s">
        <v>4596</v>
      </c>
      <c r="T4873" t="s">
        <v>4597</v>
      </c>
      <c r="U4873" t="s">
        <v>4454</v>
      </c>
      <c r="V4873" t="str">
        <f>"8008"</f>
        <v>8008</v>
      </c>
      <c r="AC4873" t="s">
        <v>79</v>
      </c>
      <c r="AD4873" t="s">
        <v>75</v>
      </c>
      <c r="AE4873" t="s">
        <v>103</v>
      </c>
      <c r="AG4873" t="s">
        <v>81</v>
      </c>
    </row>
    <row r="4874" spans="1:33" x14ac:dyDescent="0.25">
      <c r="A4874" t="str">
        <f>"1336312727"</f>
        <v>1336312727</v>
      </c>
      <c r="B4874" t="str">
        <f>"03146701"</f>
        <v>03146701</v>
      </c>
      <c r="C4874" t="s">
        <v>24480</v>
      </c>
      <c r="D4874" t="s">
        <v>24481</v>
      </c>
      <c r="E4874" t="s">
        <v>24482</v>
      </c>
      <c r="G4874" t="s">
        <v>13504</v>
      </c>
      <c r="H4874" t="s">
        <v>13505</v>
      </c>
      <c r="J4874" t="s">
        <v>13506</v>
      </c>
      <c r="L4874" t="s">
        <v>74</v>
      </c>
      <c r="M4874" t="s">
        <v>85</v>
      </c>
      <c r="R4874" t="s">
        <v>24483</v>
      </c>
      <c r="W4874" t="s">
        <v>24482</v>
      </c>
      <c r="X4874" t="s">
        <v>24484</v>
      </c>
      <c r="Y4874" t="s">
        <v>2360</v>
      </c>
      <c r="Z4874" t="s">
        <v>77</v>
      </c>
      <c r="AA4874" t="str">
        <f>"10583-5013"</f>
        <v>10583-5013</v>
      </c>
      <c r="AB4874" t="s">
        <v>78</v>
      </c>
      <c r="AC4874" t="s">
        <v>79</v>
      </c>
      <c r="AD4874" t="s">
        <v>75</v>
      </c>
      <c r="AE4874" t="s">
        <v>80</v>
      </c>
      <c r="AG4874" t="s">
        <v>81</v>
      </c>
    </row>
    <row r="4875" spans="1:33" x14ac:dyDescent="0.25">
      <c r="A4875" t="str">
        <f>"1205942000"</f>
        <v>1205942000</v>
      </c>
      <c r="B4875" t="str">
        <f>"02643630"</f>
        <v>02643630</v>
      </c>
      <c r="C4875" t="s">
        <v>24485</v>
      </c>
      <c r="D4875" t="s">
        <v>24486</v>
      </c>
      <c r="E4875" t="s">
        <v>24487</v>
      </c>
      <c r="G4875" t="s">
        <v>13504</v>
      </c>
      <c r="H4875" t="s">
        <v>13505</v>
      </c>
      <c r="J4875" t="s">
        <v>13506</v>
      </c>
      <c r="L4875" t="s">
        <v>94</v>
      </c>
      <c r="M4875" t="s">
        <v>75</v>
      </c>
      <c r="R4875" t="s">
        <v>24488</v>
      </c>
      <c r="W4875" t="s">
        <v>24487</v>
      </c>
      <c r="X4875" t="s">
        <v>24489</v>
      </c>
      <c r="Y4875" t="s">
        <v>87</v>
      </c>
      <c r="Z4875" t="s">
        <v>77</v>
      </c>
      <c r="AA4875" t="str">
        <f>"11201"</f>
        <v>11201</v>
      </c>
      <c r="AB4875" t="s">
        <v>78</v>
      </c>
      <c r="AC4875" t="s">
        <v>79</v>
      </c>
      <c r="AD4875" t="s">
        <v>75</v>
      </c>
      <c r="AE4875" t="s">
        <v>80</v>
      </c>
      <c r="AG4875" t="s">
        <v>81</v>
      </c>
    </row>
    <row r="4876" spans="1:33" x14ac:dyDescent="0.25">
      <c r="A4876" t="str">
        <f>"1588660583"</f>
        <v>1588660583</v>
      </c>
      <c r="B4876" t="str">
        <f>"02645063"</f>
        <v>02645063</v>
      </c>
      <c r="C4876" t="s">
        <v>24490</v>
      </c>
      <c r="D4876" t="s">
        <v>24491</v>
      </c>
      <c r="E4876" t="s">
        <v>24492</v>
      </c>
      <c r="G4876" t="s">
        <v>13504</v>
      </c>
      <c r="H4876" t="s">
        <v>13505</v>
      </c>
      <c r="J4876" t="s">
        <v>13506</v>
      </c>
      <c r="L4876" t="s">
        <v>83</v>
      </c>
      <c r="M4876" t="s">
        <v>75</v>
      </c>
      <c r="R4876" t="s">
        <v>24493</v>
      </c>
      <c r="W4876" t="s">
        <v>24494</v>
      </c>
      <c r="X4876" t="s">
        <v>19509</v>
      </c>
      <c r="Y4876" t="s">
        <v>161</v>
      </c>
      <c r="Z4876" t="s">
        <v>77</v>
      </c>
      <c r="AA4876" t="str">
        <f>"11040-1402"</f>
        <v>11040-1402</v>
      </c>
      <c r="AB4876" t="s">
        <v>78</v>
      </c>
      <c r="AC4876" t="s">
        <v>79</v>
      </c>
      <c r="AD4876" t="s">
        <v>75</v>
      </c>
      <c r="AE4876" t="s">
        <v>80</v>
      </c>
      <c r="AG4876" t="s">
        <v>81</v>
      </c>
    </row>
    <row r="4877" spans="1:33" x14ac:dyDescent="0.25">
      <c r="A4877" t="str">
        <f>"1164625745"</f>
        <v>1164625745</v>
      </c>
      <c r="B4877" t="str">
        <f>"02941308"</f>
        <v>02941308</v>
      </c>
      <c r="C4877" t="s">
        <v>24495</v>
      </c>
      <c r="D4877" t="s">
        <v>24496</v>
      </c>
      <c r="E4877" t="s">
        <v>24497</v>
      </c>
      <c r="G4877" t="s">
        <v>13504</v>
      </c>
      <c r="H4877" t="s">
        <v>13505</v>
      </c>
      <c r="J4877" t="s">
        <v>13506</v>
      </c>
      <c r="L4877" t="s">
        <v>83</v>
      </c>
      <c r="M4877" t="s">
        <v>85</v>
      </c>
      <c r="R4877" t="s">
        <v>24498</v>
      </c>
      <c r="W4877" t="s">
        <v>24499</v>
      </c>
      <c r="X4877" t="s">
        <v>202</v>
      </c>
      <c r="Y4877" t="s">
        <v>87</v>
      </c>
      <c r="Z4877" t="s">
        <v>77</v>
      </c>
      <c r="AA4877" t="str">
        <f>"11201-5425"</f>
        <v>11201-5425</v>
      </c>
      <c r="AB4877" t="s">
        <v>78</v>
      </c>
      <c r="AC4877" t="s">
        <v>79</v>
      </c>
      <c r="AD4877" t="s">
        <v>75</v>
      </c>
      <c r="AE4877" t="s">
        <v>80</v>
      </c>
      <c r="AG4877" t="s">
        <v>81</v>
      </c>
    </row>
    <row r="4878" spans="1:33" x14ac:dyDescent="0.25">
      <c r="A4878" t="str">
        <f>"1982721742"</f>
        <v>1982721742</v>
      </c>
      <c r="B4878" t="str">
        <f>"03070317"</f>
        <v>03070317</v>
      </c>
      <c r="C4878" t="s">
        <v>24500</v>
      </c>
      <c r="D4878" t="s">
        <v>24501</v>
      </c>
      <c r="E4878" t="s">
        <v>24502</v>
      </c>
      <c r="G4878" t="s">
        <v>13504</v>
      </c>
      <c r="H4878" t="s">
        <v>13505</v>
      </c>
      <c r="J4878" t="s">
        <v>13506</v>
      </c>
      <c r="L4878" t="s">
        <v>84</v>
      </c>
      <c r="M4878" t="s">
        <v>75</v>
      </c>
      <c r="R4878" t="s">
        <v>24503</v>
      </c>
      <c r="W4878" t="s">
        <v>24504</v>
      </c>
      <c r="X4878" t="s">
        <v>23748</v>
      </c>
      <c r="Y4878" t="s">
        <v>87</v>
      </c>
      <c r="Z4878" t="s">
        <v>77</v>
      </c>
      <c r="AA4878" t="str">
        <f>"11203-3513"</f>
        <v>11203-3513</v>
      </c>
      <c r="AB4878" t="s">
        <v>78</v>
      </c>
      <c r="AC4878" t="s">
        <v>79</v>
      </c>
      <c r="AD4878" t="s">
        <v>75</v>
      </c>
      <c r="AE4878" t="s">
        <v>80</v>
      </c>
      <c r="AG4878" t="s">
        <v>81</v>
      </c>
    </row>
    <row r="4879" spans="1:33" x14ac:dyDescent="0.25">
      <c r="A4879" t="str">
        <f>"1740257393"</f>
        <v>1740257393</v>
      </c>
      <c r="B4879" t="str">
        <f>"02889976"</f>
        <v>02889976</v>
      </c>
      <c r="C4879" t="s">
        <v>24505</v>
      </c>
      <c r="D4879" t="s">
        <v>24506</v>
      </c>
      <c r="E4879" t="s">
        <v>24507</v>
      </c>
      <c r="G4879" t="s">
        <v>13504</v>
      </c>
      <c r="H4879" t="s">
        <v>13505</v>
      </c>
      <c r="J4879" t="s">
        <v>13506</v>
      </c>
      <c r="L4879" t="s">
        <v>74</v>
      </c>
      <c r="M4879" t="s">
        <v>75</v>
      </c>
      <c r="R4879" t="s">
        <v>24508</v>
      </c>
      <c r="W4879" t="s">
        <v>24507</v>
      </c>
      <c r="X4879" t="s">
        <v>24509</v>
      </c>
      <c r="Y4879" t="s">
        <v>97</v>
      </c>
      <c r="Z4879" t="s">
        <v>77</v>
      </c>
      <c r="AA4879" t="str">
        <f>"10016-4972"</f>
        <v>10016-4972</v>
      </c>
      <c r="AB4879" t="s">
        <v>78</v>
      </c>
      <c r="AC4879" t="s">
        <v>79</v>
      </c>
      <c r="AD4879" t="s">
        <v>75</v>
      </c>
      <c r="AE4879" t="s">
        <v>80</v>
      </c>
      <c r="AG4879" t="s">
        <v>81</v>
      </c>
    </row>
    <row r="4880" spans="1:33" x14ac:dyDescent="0.25">
      <c r="A4880" t="str">
        <f>"1275636169"</f>
        <v>1275636169</v>
      </c>
      <c r="B4880" t="str">
        <f>"02747964"</f>
        <v>02747964</v>
      </c>
      <c r="C4880" t="s">
        <v>24510</v>
      </c>
      <c r="D4880" t="s">
        <v>24511</v>
      </c>
      <c r="E4880" t="s">
        <v>24512</v>
      </c>
      <c r="G4880" t="s">
        <v>13504</v>
      </c>
      <c r="H4880" t="s">
        <v>13505</v>
      </c>
      <c r="J4880" t="s">
        <v>13506</v>
      </c>
      <c r="L4880" t="s">
        <v>74</v>
      </c>
      <c r="M4880" t="s">
        <v>75</v>
      </c>
      <c r="R4880" t="s">
        <v>24513</v>
      </c>
      <c r="W4880" t="s">
        <v>24512</v>
      </c>
      <c r="X4880" t="s">
        <v>1780</v>
      </c>
      <c r="Y4880" t="s">
        <v>124</v>
      </c>
      <c r="Z4880" t="s">
        <v>77</v>
      </c>
      <c r="AA4880" t="str">
        <f>"14642-0001"</f>
        <v>14642-0001</v>
      </c>
      <c r="AB4880" t="s">
        <v>78</v>
      </c>
      <c r="AC4880" t="s">
        <v>79</v>
      </c>
      <c r="AD4880" t="s">
        <v>75</v>
      </c>
      <c r="AE4880" t="s">
        <v>80</v>
      </c>
      <c r="AG4880" t="s">
        <v>81</v>
      </c>
    </row>
    <row r="4881" spans="1:33" x14ac:dyDescent="0.25">
      <c r="A4881" t="str">
        <f>"1457335051"</f>
        <v>1457335051</v>
      </c>
      <c r="B4881" t="str">
        <f>"02683787"</f>
        <v>02683787</v>
      </c>
      <c r="C4881" t="s">
        <v>24514</v>
      </c>
      <c r="D4881" t="s">
        <v>24515</v>
      </c>
      <c r="E4881" t="s">
        <v>24516</v>
      </c>
      <c r="G4881" t="s">
        <v>13504</v>
      </c>
      <c r="H4881" t="s">
        <v>13505</v>
      </c>
      <c r="J4881" t="s">
        <v>13506</v>
      </c>
      <c r="L4881" t="s">
        <v>83</v>
      </c>
      <c r="M4881" t="s">
        <v>75</v>
      </c>
      <c r="R4881" t="s">
        <v>24517</v>
      </c>
      <c r="W4881" t="s">
        <v>24516</v>
      </c>
      <c r="X4881" t="s">
        <v>329</v>
      </c>
      <c r="Y4881" t="s">
        <v>97</v>
      </c>
      <c r="Z4881" t="s">
        <v>77</v>
      </c>
      <c r="AA4881" t="str">
        <f>"10029-6500"</f>
        <v>10029-6500</v>
      </c>
      <c r="AB4881" t="s">
        <v>78</v>
      </c>
      <c r="AC4881" t="s">
        <v>79</v>
      </c>
      <c r="AD4881" t="s">
        <v>75</v>
      </c>
      <c r="AE4881" t="s">
        <v>80</v>
      </c>
      <c r="AG4881" t="s">
        <v>81</v>
      </c>
    </row>
    <row r="4882" spans="1:33" x14ac:dyDescent="0.25">
      <c r="A4882" t="str">
        <f>"1205912524"</f>
        <v>1205912524</v>
      </c>
      <c r="B4882" t="str">
        <f>"02984765"</f>
        <v>02984765</v>
      </c>
      <c r="C4882" t="s">
        <v>24518</v>
      </c>
      <c r="D4882" t="s">
        <v>4064</v>
      </c>
      <c r="E4882" t="s">
        <v>4065</v>
      </c>
      <c r="G4882" t="s">
        <v>13504</v>
      </c>
      <c r="H4882" t="s">
        <v>13505</v>
      </c>
      <c r="J4882" t="s">
        <v>13506</v>
      </c>
      <c r="L4882" t="s">
        <v>94</v>
      </c>
      <c r="M4882" t="s">
        <v>85</v>
      </c>
      <c r="R4882" t="s">
        <v>4066</v>
      </c>
      <c r="W4882" t="s">
        <v>4065</v>
      </c>
      <c r="X4882" t="s">
        <v>202</v>
      </c>
      <c r="Y4882" t="s">
        <v>87</v>
      </c>
      <c r="Z4882" t="s">
        <v>77</v>
      </c>
      <c r="AA4882" t="str">
        <f>"11201-5425"</f>
        <v>11201-5425</v>
      </c>
      <c r="AB4882" t="s">
        <v>78</v>
      </c>
      <c r="AC4882" t="s">
        <v>79</v>
      </c>
      <c r="AD4882" t="s">
        <v>75</v>
      </c>
      <c r="AE4882" t="s">
        <v>80</v>
      </c>
      <c r="AG4882" t="s">
        <v>81</v>
      </c>
    </row>
    <row r="4883" spans="1:33" x14ac:dyDescent="0.25">
      <c r="A4883" t="str">
        <f>"1619105111"</f>
        <v>1619105111</v>
      </c>
      <c r="B4883" t="str">
        <f>"04499161"</f>
        <v>04499161</v>
      </c>
      <c r="C4883" t="s">
        <v>13436</v>
      </c>
      <c r="D4883" t="s">
        <v>24519</v>
      </c>
      <c r="E4883" t="s">
        <v>24520</v>
      </c>
      <c r="L4883" t="s">
        <v>102</v>
      </c>
      <c r="M4883" t="s">
        <v>75</v>
      </c>
      <c r="R4883" t="s">
        <v>24520</v>
      </c>
      <c r="W4883" t="s">
        <v>24520</v>
      </c>
      <c r="AB4883" t="s">
        <v>78</v>
      </c>
      <c r="AC4883" t="s">
        <v>79</v>
      </c>
      <c r="AD4883" t="s">
        <v>75</v>
      </c>
      <c r="AE4883" t="s">
        <v>80</v>
      </c>
      <c r="AG4883" t="s">
        <v>81</v>
      </c>
    </row>
    <row r="4884" spans="1:33" x14ac:dyDescent="0.25">
      <c r="A4884" t="str">
        <f>"1669552261"</f>
        <v>1669552261</v>
      </c>
      <c r="C4884" t="s">
        <v>13436</v>
      </c>
      <c r="G4884" t="s">
        <v>24521</v>
      </c>
      <c r="K4884" t="s">
        <v>99</v>
      </c>
      <c r="L4884" t="s">
        <v>74</v>
      </c>
      <c r="M4884" t="s">
        <v>75</v>
      </c>
      <c r="R4884" t="s">
        <v>24522</v>
      </c>
      <c r="S4884" t="s">
        <v>24523</v>
      </c>
      <c r="T4884" t="s">
        <v>97</v>
      </c>
      <c r="U4884" t="s">
        <v>77</v>
      </c>
      <c r="V4884" t="str">
        <f>"100382612"</f>
        <v>100382612</v>
      </c>
      <c r="AC4884" t="s">
        <v>79</v>
      </c>
      <c r="AD4884" t="s">
        <v>75</v>
      </c>
      <c r="AE4884" t="s">
        <v>103</v>
      </c>
      <c r="AG4884" t="s">
        <v>81</v>
      </c>
    </row>
    <row r="4885" spans="1:33" x14ac:dyDescent="0.25">
      <c r="A4885" t="str">
        <f>"1669601910"</f>
        <v>1669601910</v>
      </c>
      <c r="B4885" t="str">
        <f>"03127924"</f>
        <v>03127924</v>
      </c>
      <c r="C4885" t="s">
        <v>13436</v>
      </c>
      <c r="D4885" t="s">
        <v>24524</v>
      </c>
      <c r="E4885" t="s">
        <v>24525</v>
      </c>
      <c r="G4885" t="s">
        <v>24526</v>
      </c>
      <c r="L4885" t="s">
        <v>83</v>
      </c>
      <c r="M4885" t="s">
        <v>75</v>
      </c>
      <c r="R4885" t="s">
        <v>24525</v>
      </c>
      <c r="W4885" t="s">
        <v>24527</v>
      </c>
      <c r="X4885" t="s">
        <v>174</v>
      </c>
      <c r="Y4885" t="s">
        <v>131</v>
      </c>
      <c r="Z4885" t="s">
        <v>77</v>
      </c>
      <c r="AA4885" t="str">
        <f>"10461-2301"</f>
        <v>10461-2301</v>
      </c>
      <c r="AB4885" t="s">
        <v>78</v>
      </c>
      <c r="AC4885" t="s">
        <v>79</v>
      </c>
      <c r="AD4885" t="s">
        <v>75</v>
      </c>
      <c r="AE4885" t="s">
        <v>80</v>
      </c>
      <c r="AG4885" t="s">
        <v>81</v>
      </c>
    </row>
    <row r="4886" spans="1:33" x14ac:dyDescent="0.25">
      <c r="A4886" t="str">
        <f>"1669603510"</f>
        <v>1669603510</v>
      </c>
      <c r="C4886" t="s">
        <v>13436</v>
      </c>
      <c r="K4886" t="s">
        <v>99</v>
      </c>
      <c r="L4886" t="s">
        <v>102</v>
      </c>
      <c r="M4886" t="s">
        <v>75</v>
      </c>
      <c r="R4886" t="s">
        <v>24528</v>
      </c>
      <c r="S4886" t="s">
        <v>4605</v>
      </c>
      <c r="T4886" t="s">
        <v>4606</v>
      </c>
      <c r="U4886" t="s">
        <v>3878</v>
      </c>
      <c r="V4886" t="str">
        <f>"752357708"</f>
        <v>752357708</v>
      </c>
      <c r="AC4886" t="s">
        <v>79</v>
      </c>
      <c r="AD4886" t="s">
        <v>75</v>
      </c>
      <c r="AE4886" t="s">
        <v>103</v>
      </c>
      <c r="AG4886" t="s">
        <v>81</v>
      </c>
    </row>
    <row r="4887" spans="1:33" x14ac:dyDescent="0.25">
      <c r="A4887" t="str">
        <f>"1568889418"</f>
        <v>1568889418</v>
      </c>
      <c r="C4887" t="s">
        <v>13436</v>
      </c>
      <c r="K4887" t="s">
        <v>99</v>
      </c>
      <c r="L4887" t="s">
        <v>102</v>
      </c>
      <c r="M4887" t="s">
        <v>75</v>
      </c>
      <c r="R4887" t="s">
        <v>24529</v>
      </c>
      <c r="S4887" t="s">
        <v>24530</v>
      </c>
      <c r="T4887" t="s">
        <v>97</v>
      </c>
      <c r="U4887" t="s">
        <v>77</v>
      </c>
      <c r="V4887" t="str">
        <f>"100096574"</f>
        <v>100096574</v>
      </c>
      <c r="AC4887" t="s">
        <v>79</v>
      </c>
      <c r="AD4887" t="s">
        <v>75</v>
      </c>
      <c r="AE4887" t="s">
        <v>103</v>
      </c>
      <c r="AG4887" t="s">
        <v>81</v>
      </c>
    </row>
    <row r="4888" spans="1:33" x14ac:dyDescent="0.25">
      <c r="A4888" t="str">
        <f>"1568892321"</f>
        <v>1568892321</v>
      </c>
      <c r="B4888" t="str">
        <f>"03798354"</f>
        <v>03798354</v>
      </c>
      <c r="C4888" t="s">
        <v>13436</v>
      </c>
      <c r="D4888" t="s">
        <v>3035</v>
      </c>
      <c r="E4888" t="s">
        <v>3036</v>
      </c>
      <c r="L4888" t="s">
        <v>74</v>
      </c>
      <c r="M4888" t="s">
        <v>75</v>
      </c>
      <c r="R4888" t="s">
        <v>3036</v>
      </c>
      <c r="W4888" t="s">
        <v>3036</v>
      </c>
      <c r="X4888" t="s">
        <v>235</v>
      </c>
      <c r="Y4888" t="s">
        <v>190</v>
      </c>
      <c r="Z4888" t="s">
        <v>77</v>
      </c>
      <c r="AA4888" t="str">
        <f>"11102-2448"</f>
        <v>11102-2448</v>
      </c>
      <c r="AB4888" t="s">
        <v>78</v>
      </c>
      <c r="AC4888" t="s">
        <v>79</v>
      </c>
      <c r="AD4888" t="s">
        <v>75</v>
      </c>
      <c r="AE4888" t="s">
        <v>80</v>
      </c>
      <c r="AG4888" t="s">
        <v>81</v>
      </c>
    </row>
    <row r="4889" spans="1:33" x14ac:dyDescent="0.25">
      <c r="A4889" t="str">
        <f>"1841599651"</f>
        <v>1841599651</v>
      </c>
      <c r="B4889" t="str">
        <f>"03972209"</f>
        <v>03972209</v>
      </c>
      <c r="C4889" t="s">
        <v>13436</v>
      </c>
      <c r="D4889" t="s">
        <v>24531</v>
      </c>
      <c r="E4889" t="s">
        <v>24532</v>
      </c>
      <c r="G4889" t="s">
        <v>24533</v>
      </c>
      <c r="L4889" t="s">
        <v>74</v>
      </c>
      <c r="M4889" t="s">
        <v>75</v>
      </c>
      <c r="R4889" t="s">
        <v>24534</v>
      </c>
      <c r="W4889" t="s">
        <v>24532</v>
      </c>
      <c r="X4889" t="s">
        <v>329</v>
      </c>
      <c r="Y4889" t="s">
        <v>97</v>
      </c>
      <c r="Z4889" t="s">
        <v>77</v>
      </c>
      <c r="AA4889" t="str">
        <f>"10029-6504"</f>
        <v>10029-6504</v>
      </c>
      <c r="AB4889" t="s">
        <v>78</v>
      </c>
      <c r="AC4889" t="s">
        <v>79</v>
      </c>
      <c r="AD4889" t="s">
        <v>75</v>
      </c>
      <c r="AE4889" t="s">
        <v>80</v>
      </c>
      <c r="AG4889" t="s">
        <v>81</v>
      </c>
    </row>
    <row r="4890" spans="1:33" x14ac:dyDescent="0.25">
      <c r="A4890" t="str">
        <f>"1174733661"</f>
        <v>1174733661</v>
      </c>
      <c r="B4890" t="str">
        <f>"03230908"</f>
        <v>03230908</v>
      </c>
      <c r="C4890" t="s">
        <v>13436</v>
      </c>
      <c r="D4890" t="s">
        <v>24535</v>
      </c>
      <c r="E4890" t="s">
        <v>24536</v>
      </c>
      <c r="G4890" t="s">
        <v>24537</v>
      </c>
      <c r="L4890" t="s">
        <v>105</v>
      </c>
      <c r="M4890" t="s">
        <v>85</v>
      </c>
      <c r="R4890" t="s">
        <v>24538</v>
      </c>
      <c r="W4890" t="s">
        <v>24539</v>
      </c>
      <c r="X4890" t="s">
        <v>329</v>
      </c>
      <c r="Y4890" t="s">
        <v>97</v>
      </c>
      <c r="Z4890" t="s">
        <v>77</v>
      </c>
      <c r="AA4890" t="str">
        <f>"10029-6500"</f>
        <v>10029-6500</v>
      </c>
      <c r="AB4890" t="s">
        <v>78</v>
      </c>
      <c r="AC4890" t="s">
        <v>79</v>
      </c>
      <c r="AD4890" t="s">
        <v>75</v>
      </c>
      <c r="AE4890" t="s">
        <v>80</v>
      </c>
      <c r="AG4890" t="s">
        <v>81</v>
      </c>
    </row>
    <row r="4891" spans="1:33" x14ac:dyDescent="0.25">
      <c r="A4891" t="str">
        <f>"1194731950"</f>
        <v>1194731950</v>
      </c>
      <c r="B4891" t="str">
        <f>"01175355"</f>
        <v>01175355</v>
      </c>
      <c r="C4891" t="s">
        <v>13436</v>
      </c>
      <c r="D4891" t="s">
        <v>4730</v>
      </c>
      <c r="E4891" t="s">
        <v>4731</v>
      </c>
      <c r="G4891" t="s">
        <v>24540</v>
      </c>
      <c r="L4891" t="s">
        <v>84</v>
      </c>
      <c r="M4891" t="s">
        <v>85</v>
      </c>
      <c r="R4891" t="s">
        <v>4732</v>
      </c>
      <c r="W4891" t="s">
        <v>4731</v>
      </c>
      <c r="X4891" t="s">
        <v>4733</v>
      </c>
      <c r="Y4891" t="s">
        <v>97</v>
      </c>
      <c r="Z4891" t="s">
        <v>77</v>
      </c>
      <c r="AA4891" t="str">
        <f>"10016-8329"</f>
        <v>10016-8329</v>
      </c>
      <c r="AB4891" t="s">
        <v>78</v>
      </c>
      <c r="AC4891" t="s">
        <v>79</v>
      </c>
      <c r="AD4891" t="s">
        <v>75</v>
      </c>
      <c r="AE4891" t="s">
        <v>80</v>
      </c>
      <c r="AG4891" t="s">
        <v>81</v>
      </c>
    </row>
    <row r="4892" spans="1:33" x14ac:dyDescent="0.25">
      <c r="A4892" t="str">
        <f>"1194767079"</f>
        <v>1194767079</v>
      </c>
      <c r="B4892" t="str">
        <f>"01579166"</f>
        <v>01579166</v>
      </c>
      <c r="C4892" t="s">
        <v>13436</v>
      </c>
      <c r="D4892" t="s">
        <v>24541</v>
      </c>
      <c r="E4892" t="s">
        <v>24542</v>
      </c>
      <c r="G4892" t="s">
        <v>24543</v>
      </c>
      <c r="L4892" t="s">
        <v>84</v>
      </c>
      <c r="M4892" t="s">
        <v>85</v>
      </c>
      <c r="R4892" t="s">
        <v>24544</v>
      </c>
      <c r="W4892" t="s">
        <v>24545</v>
      </c>
      <c r="X4892" t="s">
        <v>258</v>
      </c>
      <c r="Y4892" t="s">
        <v>131</v>
      </c>
      <c r="Z4892" t="s">
        <v>77</v>
      </c>
      <c r="AA4892" t="str">
        <f>"10467-2401"</f>
        <v>10467-2401</v>
      </c>
      <c r="AB4892" t="s">
        <v>78</v>
      </c>
      <c r="AC4892" t="s">
        <v>79</v>
      </c>
      <c r="AD4892" t="s">
        <v>75</v>
      </c>
      <c r="AE4892" t="s">
        <v>80</v>
      </c>
      <c r="AG4892" t="s">
        <v>81</v>
      </c>
    </row>
    <row r="4893" spans="1:33" x14ac:dyDescent="0.25">
      <c r="A4893" t="str">
        <f>"1194818740"</f>
        <v>1194818740</v>
      </c>
      <c r="B4893" t="str">
        <f>"03394612"</f>
        <v>03394612</v>
      </c>
      <c r="C4893" t="s">
        <v>13436</v>
      </c>
      <c r="D4893" t="s">
        <v>24546</v>
      </c>
      <c r="E4893" t="s">
        <v>24547</v>
      </c>
      <c r="G4893" t="s">
        <v>24548</v>
      </c>
      <c r="L4893" t="s">
        <v>74</v>
      </c>
      <c r="M4893" t="s">
        <v>85</v>
      </c>
      <c r="R4893" t="s">
        <v>24549</v>
      </c>
      <c r="W4893" t="s">
        <v>24547</v>
      </c>
      <c r="X4893" t="s">
        <v>329</v>
      </c>
      <c r="Y4893" t="s">
        <v>97</v>
      </c>
      <c r="Z4893" t="s">
        <v>77</v>
      </c>
      <c r="AA4893" t="str">
        <f>"10029-6500"</f>
        <v>10029-6500</v>
      </c>
      <c r="AB4893" t="s">
        <v>78</v>
      </c>
      <c r="AC4893" t="s">
        <v>79</v>
      </c>
      <c r="AD4893" t="s">
        <v>75</v>
      </c>
      <c r="AE4893" t="s">
        <v>80</v>
      </c>
      <c r="AG4893" t="s">
        <v>81</v>
      </c>
    </row>
    <row r="4894" spans="1:33" x14ac:dyDescent="0.25">
      <c r="A4894" t="str">
        <f>"1194893404"</f>
        <v>1194893404</v>
      </c>
      <c r="B4894" t="str">
        <f>"00183871"</f>
        <v>00183871</v>
      </c>
      <c r="C4894" t="s">
        <v>13436</v>
      </c>
      <c r="D4894" t="s">
        <v>24550</v>
      </c>
      <c r="E4894" t="s">
        <v>24551</v>
      </c>
      <c r="G4894" t="s">
        <v>24552</v>
      </c>
      <c r="L4894" t="s">
        <v>83</v>
      </c>
      <c r="M4894" t="s">
        <v>75</v>
      </c>
      <c r="W4894" t="s">
        <v>24551</v>
      </c>
      <c r="X4894" t="s">
        <v>7245</v>
      </c>
      <c r="Y4894" t="s">
        <v>87</v>
      </c>
      <c r="Z4894" t="s">
        <v>77</v>
      </c>
      <c r="AA4894" t="str">
        <f>"11234-2621"</f>
        <v>11234-2621</v>
      </c>
      <c r="AB4894" t="s">
        <v>78</v>
      </c>
      <c r="AC4894" t="s">
        <v>79</v>
      </c>
      <c r="AD4894" t="s">
        <v>75</v>
      </c>
      <c r="AE4894" t="s">
        <v>80</v>
      </c>
      <c r="AG4894" t="s">
        <v>81</v>
      </c>
    </row>
    <row r="4895" spans="1:33" x14ac:dyDescent="0.25">
      <c r="A4895" t="str">
        <f>"1194899807"</f>
        <v>1194899807</v>
      </c>
      <c r="B4895" t="str">
        <f>"00930447"</f>
        <v>00930447</v>
      </c>
      <c r="C4895" t="s">
        <v>13436</v>
      </c>
      <c r="D4895" t="s">
        <v>24553</v>
      </c>
      <c r="E4895" t="s">
        <v>24554</v>
      </c>
      <c r="G4895" t="s">
        <v>24555</v>
      </c>
      <c r="L4895" t="s">
        <v>83</v>
      </c>
      <c r="M4895" t="s">
        <v>75</v>
      </c>
      <c r="R4895" t="s">
        <v>24556</v>
      </c>
      <c r="W4895" t="s">
        <v>24554</v>
      </c>
      <c r="X4895" t="s">
        <v>24557</v>
      </c>
      <c r="Y4895" t="s">
        <v>87</v>
      </c>
      <c r="Z4895" t="s">
        <v>77</v>
      </c>
      <c r="AA4895" t="str">
        <f>"11212"</f>
        <v>11212</v>
      </c>
      <c r="AB4895" t="s">
        <v>78</v>
      </c>
      <c r="AC4895" t="s">
        <v>79</v>
      </c>
      <c r="AD4895" t="s">
        <v>75</v>
      </c>
      <c r="AE4895" t="s">
        <v>80</v>
      </c>
      <c r="AG4895" t="s">
        <v>81</v>
      </c>
    </row>
    <row r="4896" spans="1:33" x14ac:dyDescent="0.25">
      <c r="A4896" t="str">
        <f>"1548377096"</f>
        <v>1548377096</v>
      </c>
      <c r="B4896" t="str">
        <f>"00907924"</f>
        <v>00907924</v>
      </c>
      <c r="C4896" t="s">
        <v>13436</v>
      </c>
      <c r="D4896" t="s">
        <v>24558</v>
      </c>
      <c r="E4896" t="s">
        <v>24559</v>
      </c>
      <c r="G4896" t="s">
        <v>24560</v>
      </c>
      <c r="L4896" t="s">
        <v>74</v>
      </c>
      <c r="M4896" t="s">
        <v>85</v>
      </c>
      <c r="R4896" t="s">
        <v>24561</v>
      </c>
      <c r="W4896" t="s">
        <v>24562</v>
      </c>
      <c r="X4896" t="s">
        <v>3221</v>
      </c>
      <c r="Y4896" t="s">
        <v>97</v>
      </c>
      <c r="Z4896" t="s">
        <v>77</v>
      </c>
      <c r="AA4896" t="str">
        <f>"10003-4017"</f>
        <v>10003-4017</v>
      </c>
      <c r="AB4896" t="s">
        <v>78</v>
      </c>
      <c r="AC4896" t="s">
        <v>79</v>
      </c>
      <c r="AD4896" t="s">
        <v>75</v>
      </c>
      <c r="AE4896" t="s">
        <v>80</v>
      </c>
      <c r="AG4896" t="s">
        <v>81</v>
      </c>
    </row>
    <row r="4897" spans="1:33" x14ac:dyDescent="0.25">
      <c r="A4897" t="str">
        <f>"1194165290"</f>
        <v>1194165290</v>
      </c>
      <c r="B4897" t="str">
        <f>"04546214"</f>
        <v>04546214</v>
      </c>
      <c r="C4897" t="s">
        <v>13436</v>
      </c>
      <c r="D4897" t="s">
        <v>24563</v>
      </c>
      <c r="E4897" t="s">
        <v>24564</v>
      </c>
      <c r="L4897" t="s">
        <v>102</v>
      </c>
      <c r="M4897" t="s">
        <v>75</v>
      </c>
      <c r="R4897" t="s">
        <v>24565</v>
      </c>
      <c r="W4897" t="s">
        <v>24564</v>
      </c>
      <c r="AB4897" t="s">
        <v>78</v>
      </c>
      <c r="AC4897" t="s">
        <v>79</v>
      </c>
      <c r="AD4897" t="s">
        <v>75</v>
      </c>
      <c r="AE4897" t="s">
        <v>80</v>
      </c>
      <c r="AG4897" t="s">
        <v>81</v>
      </c>
    </row>
    <row r="4898" spans="1:33" x14ac:dyDescent="0.25">
      <c r="A4898" t="str">
        <f>"1528053964"</f>
        <v>1528053964</v>
      </c>
      <c r="B4898" t="str">
        <f>"02577324"</f>
        <v>02577324</v>
      </c>
      <c r="C4898" t="s">
        <v>13436</v>
      </c>
      <c r="D4898" t="s">
        <v>24566</v>
      </c>
      <c r="E4898" t="s">
        <v>24567</v>
      </c>
      <c r="G4898" t="s">
        <v>24568</v>
      </c>
      <c r="L4898" t="s">
        <v>74</v>
      </c>
      <c r="M4898" t="s">
        <v>75</v>
      </c>
      <c r="R4898" t="s">
        <v>24569</v>
      </c>
      <c r="W4898" t="s">
        <v>24567</v>
      </c>
      <c r="X4898" t="s">
        <v>24570</v>
      </c>
      <c r="Y4898" t="s">
        <v>97</v>
      </c>
      <c r="Z4898" t="s">
        <v>77</v>
      </c>
      <c r="AA4898" t="str">
        <f>"10025-1737"</f>
        <v>10025-1737</v>
      </c>
      <c r="AB4898" t="s">
        <v>78</v>
      </c>
      <c r="AC4898" t="s">
        <v>79</v>
      </c>
      <c r="AD4898" t="s">
        <v>75</v>
      </c>
      <c r="AE4898" t="s">
        <v>80</v>
      </c>
      <c r="AG4898" t="s">
        <v>81</v>
      </c>
    </row>
    <row r="4899" spans="1:33" x14ac:dyDescent="0.25">
      <c r="A4899" t="str">
        <f>"1528066925"</f>
        <v>1528066925</v>
      </c>
      <c r="B4899" t="str">
        <f>"00773226"</f>
        <v>00773226</v>
      </c>
      <c r="C4899" t="s">
        <v>13436</v>
      </c>
      <c r="D4899" t="s">
        <v>24571</v>
      </c>
      <c r="E4899" t="s">
        <v>24572</v>
      </c>
      <c r="G4899" t="s">
        <v>24573</v>
      </c>
      <c r="L4899" t="s">
        <v>74</v>
      </c>
      <c r="M4899" t="s">
        <v>75</v>
      </c>
      <c r="R4899" t="s">
        <v>24574</v>
      </c>
      <c r="W4899" t="s">
        <v>24572</v>
      </c>
      <c r="X4899" t="s">
        <v>24575</v>
      </c>
      <c r="Y4899" t="s">
        <v>3381</v>
      </c>
      <c r="Z4899" t="s">
        <v>77</v>
      </c>
      <c r="AA4899" t="str">
        <f>"10570-2122"</f>
        <v>10570-2122</v>
      </c>
      <c r="AB4899" t="s">
        <v>78</v>
      </c>
      <c r="AC4899" t="s">
        <v>79</v>
      </c>
      <c r="AD4899" t="s">
        <v>75</v>
      </c>
      <c r="AE4899" t="s">
        <v>80</v>
      </c>
      <c r="AG4899" t="s">
        <v>81</v>
      </c>
    </row>
    <row r="4900" spans="1:33" x14ac:dyDescent="0.25">
      <c r="A4900" t="str">
        <f>"1528172087"</f>
        <v>1528172087</v>
      </c>
      <c r="B4900" t="str">
        <f>"01935877"</f>
        <v>01935877</v>
      </c>
      <c r="C4900" t="s">
        <v>13436</v>
      </c>
      <c r="D4900" t="s">
        <v>24576</v>
      </c>
      <c r="E4900" t="s">
        <v>24577</v>
      </c>
      <c r="G4900" t="s">
        <v>24578</v>
      </c>
      <c r="L4900" t="s">
        <v>102</v>
      </c>
      <c r="M4900" t="s">
        <v>75</v>
      </c>
      <c r="R4900" t="s">
        <v>24579</v>
      </c>
      <c r="W4900" t="s">
        <v>24577</v>
      </c>
      <c r="Y4900" t="s">
        <v>87</v>
      </c>
      <c r="Z4900" t="s">
        <v>77</v>
      </c>
      <c r="AA4900" t="str">
        <f>"11234-2625"</f>
        <v>11234-2625</v>
      </c>
      <c r="AB4900" t="s">
        <v>78</v>
      </c>
      <c r="AC4900" t="s">
        <v>79</v>
      </c>
      <c r="AD4900" t="s">
        <v>75</v>
      </c>
      <c r="AE4900" t="s">
        <v>80</v>
      </c>
      <c r="AG4900" t="s">
        <v>81</v>
      </c>
    </row>
    <row r="4901" spans="1:33" x14ac:dyDescent="0.25">
      <c r="A4901" t="str">
        <f>"1548201619"</f>
        <v>1548201619</v>
      </c>
      <c r="B4901" t="str">
        <f>"02391835"</f>
        <v>02391835</v>
      </c>
      <c r="C4901" t="s">
        <v>13436</v>
      </c>
      <c r="D4901" t="s">
        <v>1292</v>
      </c>
      <c r="E4901" t="s">
        <v>1293</v>
      </c>
      <c r="G4901" t="s">
        <v>24580</v>
      </c>
      <c r="L4901" t="s">
        <v>83</v>
      </c>
      <c r="M4901" t="s">
        <v>75</v>
      </c>
      <c r="R4901" t="s">
        <v>1294</v>
      </c>
      <c r="W4901" t="s">
        <v>1295</v>
      </c>
      <c r="X4901" t="s">
        <v>1296</v>
      </c>
      <c r="Y4901" t="s">
        <v>97</v>
      </c>
      <c r="Z4901" t="s">
        <v>77</v>
      </c>
      <c r="AA4901" t="str">
        <f>"10019"</f>
        <v>10019</v>
      </c>
      <c r="AB4901" t="s">
        <v>78</v>
      </c>
      <c r="AC4901" t="s">
        <v>79</v>
      </c>
      <c r="AD4901" t="s">
        <v>75</v>
      </c>
      <c r="AE4901" t="s">
        <v>80</v>
      </c>
      <c r="AG4901" t="s">
        <v>81</v>
      </c>
    </row>
    <row r="4902" spans="1:33" x14ac:dyDescent="0.25">
      <c r="A4902" t="str">
        <f>"1326177262"</f>
        <v>1326177262</v>
      </c>
      <c r="B4902" t="str">
        <f>"01550581"</f>
        <v>01550581</v>
      </c>
      <c r="C4902" t="s">
        <v>13436</v>
      </c>
      <c r="D4902" t="s">
        <v>24581</v>
      </c>
      <c r="E4902" t="s">
        <v>24582</v>
      </c>
      <c r="G4902" t="s">
        <v>24583</v>
      </c>
      <c r="L4902" t="s">
        <v>102</v>
      </c>
      <c r="M4902" t="s">
        <v>75</v>
      </c>
      <c r="R4902" t="s">
        <v>24584</v>
      </c>
      <c r="W4902" t="s">
        <v>24582</v>
      </c>
      <c r="Y4902" t="s">
        <v>2613</v>
      </c>
      <c r="Z4902" t="s">
        <v>77</v>
      </c>
      <c r="AA4902" t="str">
        <f>"13126-2598"</f>
        <v>13126-2598</v>
      </c>
      <c r="AB4902" t="s">
        <v>78</v>
      </c>
      <c r="AC4902" t="s">
        <v>79</v>
      </c>
      <c r="AD4902" t="s">
        <v>75</v>
      </c>
      <c r="AE4902" t="s">
        <v>80</v>
      </c>
      <c r="AG4902" t="s">
        <v>81</v>
      </c>
    </row>
    <row r="4903" spans="1:33" x14ac:dyDescent="0.25">
      <c r="A4903" t="str">
        <f>"1326206285"</f>
        <v>1326206285</v>
      </c>
      <c r="B4903" t="str">
        <f>"03032551"</f>
        <v>03032551</v>
      </c>
      <c r="C4903" t="s">
        <v>13436</v>
      </c>
      <c r="D4903" t="s">
        <v>24585</v>
      </c>
      <c r="E4903" t="s">
        <v>24586</v>
      </c>
      <c r="G4903" t="s">
        <v>24587</v>
      </c>
      <c r="L4903" t="s">
        <v>74</v>
      </c>
      <c r="M4903" t="s">
        <v>75</v>
      </c>
      <c r="R4903" t="s">
        <v>24586</v>
      </c>
      <c r="W4903" t="s">
        <v>24588</v>
      </c>
      <c r="X4903" t="s">
        <v>24589</v>
      </c>
      <c r="Y4903" t="s">
        <v>97</v>
      </c>
      <c r="Z4903" t="s">
        <v>77</v>
      </c>
      <c r="AA4903" t="str">
        <f>"10019-1147"</f>
        <v>10019-1147</v>
      </c>
      <c r="AB4903" t="s">
        <v>78</v>
      </c>
      <c r="AC4903" t="s">
        <v>79</v>
      </c>
      <c r="AD4903" t="s">
        <v>75</v>
      </c>
      <c r="AE4903" t="s">
        <v>80</v>
      </c>
      <c r="AG4903" t="s">
        <v>81</v>
      </c>
    </row>
    <row r="4904" spans="1:33" x14ac:dyDescent="0.25">
      <c r="A4904" t="str">
        <f>"1326304593"</f>
        <v>1326304593</v>
      </c>
      <c r="C4904" t="s">
        <v>13436</v>
      </c>
      <c r="G4904" t="s">
        <v>24590</v>
      </c>
      <c r="K4904" t="s">
        <v>99</v>
      </c>
      <c r="L4904" t="s">
        <v>102</v>
      </c>
      <c r="M4904" t="s">
        <v>75</v>
      </c>
      <c r="R4904" t="s">
        <v>24591</v>
      </c>
      <c r="S4904" t="s">
        <v>24592</v>
      </c>
      <c r="T4904" t="s">
        <v>2640</v>
      </c>
      <c r="U4904" t="s">
        <v>77</v>
      </c>
      <c r="V4904" t="str">
        <f>"117681128"</f>
        <v>117681128</v>
      </c>
      <c r="AC4904" t="s">
        <v>79</v>
      </c>
      <c r="AD4904" t="s">
        <v>75</v>
      </c>
      <c r="AE4904" t="s">
        <v>103</v>
      </c>
      <c r="AG4904" t="s">
        <v>81</v>
      </c>
    </row>
    <row r="4905" spans="1:33" x14ac:dyDescent="0.25">
      <c r="A4905" t="str">
        <f>"1356373013"</f>
        <v>1356373013</v>
      </c>
      <c r="B4905" t="str">
        <f>"00845565"</f>
        <v>00845565</v>
      </c>
      <c r="C4905" t="s">
        <v>13436</v>
      </c>
      <c r="D4905" t="s">
        <v>520</v>
      </c>
      <c r="E4905" t="s">
        <v>521</v>
      </c>
      <c r="G4905" t="s">
        <v>24593</v>
      </c>
      <c r="L4905" t="s">
        <v>83</v>
      </c>
      <c r="M4905" t="s">
        <v>85</v>
      </c>
      <c r="R4905" t="s">
        <v>519</v>
      </c>
      <c r="W4905" t="s">
        <v>521</v>
      </c>
      <c r="X4905" t="s">
        <v>306</v>
      </c>
      <c r="Y4905" t="s">
        <v>97</v>
      </c>
      <c r="Z4905" t="s">
        <v>77</v>
      </c>
      <c r="AA4905" t="str">
        <f>"10003-4201"</f>
        <v>10003-4201</v>
      </c>
      <c r="AB4905" t="s">
        <v>78</v>
      </c>
      <c r="AC4905" t="s">
        <v>79</v>
      </c>
      <c r="AD4905" t="s">
        <v>75</v>
      </c>
      <c r="AE4905" t="s">
        <v>80</v>
      </c>
      <c r="AG4905" t="s">
        <v>81</v>
      </c>
    </row>
    <row r="4906" spans="1:33" x14ac:dyDescent="0.25">
      <c r="A4906" t="str">
        <f>"1356598973"</f>
        <v>1356598973</v>
      </c>
      <c r="B4906" t="str">
        <f>"03055447"</f>
        <v>03055447</v>
      </c>
      <c r="C4906" t="s">
        <v>13436</v>
      </c>
      <c r="D4906" t="s">
        <v>1019</v>
      </c>
      <c r="E4906" t="s">
        <v>1020</v>
      </c>
      <c r="G4906" t="s">
        <v>24594</v>
      </c>
      <c r="L4906" t="s">
        <v>84</v>
      </c>
      <c r="M4906" t="s">
        <v>85</v>
      </c>
      <c r="R4906" t="s">
        <v>1021</v>
      </c>
      <c r="W4906" t="s">
        <v>1022</v>
      </c>
      <c r="X4906" t="s">
        <v>480</v>
      </c>
      <c r="Y4906" t="s">
        <v>97</v>
      </c>
      <c r="Z4906" t="s">
        <v>77</v>
      </c>
      <c r="AA4906" t="str">
        <f>"10032-1131"</f>
        <v>10032-1131</v>
      </c>
      <c r="AB4906" t="s">
        <v>78</v>
      </c>
      <c r="AC4906" t="s">
        <v>79</v>
      </c>
      <c r="AD4906" t="s">
        <v>75</v>
      </c>
      <c r="AE4906" t="s">
        <v>80</v>
      </c>
      <c r="AG4906" t="s">
        <v>81</v>
      </c>
    </row>
    <row r="4907" spans="1:33" x14ac:dyDescent="0.25">
      <c r="A4907" t="str">
        <f>"1366530644"</f>
        <v>1366530644</v>
      </c>
      <c r="B4907" t="str">
        <f>"02082300"</f>
        <v>02082300</v>
      </c>
      <c r="C4907" t="s">
        <v>13436</v>
      </c>
      <c r="D4907" t="s">
        <v>24595</v>
      </c>
      <c r="E4907" t="s">
        <v>24596</v>
      </c>
      <c r="G4907" t="s">
        <v>24597</v>
      </c>
      <c r="L4907" t="s">
        <v>84</v>
      </c>
      <c r="M4907" t="s">
        <v>85</v>
      </c>
      <c r="R4907" t="s">
        <v>24598</v>
      </c>
      <c r="W4907" t="s">
        <v>24599</v>
      </c>
      <c r="X4907" t="s">
        <v>24600</v>
      </c>
      <c r="Y4907" t="s">
        <v>1742</v>
      </c>
      <c r="Z4907" t="s">
        <v>77</v>
      </c>
      <c r="AA4907" t="str">
        <f>"12307-1818"</f>
        <v>12307-1818</v>
      </c>
      <c r="AB4907" t="s">
        <v>78</v>
      </c>
      <c r="AC4907" t="s">
        <v>79</v>
      </c>
      <c r="AD4907" t="s">
        <v>75</v>
      </c>
      <c r="AE4907" t="s">
        <v>80</v>
      </c>
      <c r="AG4907" t="s">
        <v>81</v>
      </c>
    </row>
    <row r="4908" spans="1:33" x14ac:dyDescent="0.25">
      <c r="A4908" t="str">
        <f>"1447456108"</f>
        <v>1447456108</v>
      </c>
      <c r="B4908" t="str">
        <f>"02964881"</f>
        <v>02964881</v>
      </c>
      <c r="C4908" t="s">
        <v>13436</v>
      </c>
      <c r="D4908" t="s">
        <v>24601</v>
      </c>
      <c r="E4908" t="s">
        <v>24602</v>
      </c>
      <c r="G4908" t="s">
        <v>24603</v>
      </c>
      <c r="L4908" t="s">
        <v>83</v>
      </c>
      <c r="M4908" t="s">
        <v>85</v>
      </c>
      <c r="R4908" t="s">
        <v>24604</v>
      </c>
      <c r="W4908" t="s">
        <v>24605</v>
      </c>
      <c r="X4908" t="s">
        <v>2587</v>
      </c>
      <c r="Y4908" t="s">
        <v>97</v>
      </c>
      <c r="Z4908" t="s">
        <v>77</v>
      </c>
      <c r="AA4908" t="str">
        <f>"10003-3314"</f>
        <v>10003-3314</v>
      </c>
      <c r="AB4908" t="s">
        <v>78</v>
      </c>
      <c r="AC4908" t="s">
        <v>79</v>
      </c>
      <c r="AD4908" t="s">
        <v>75</v>
      </c>
      <c r="AE4908" t="s">
        <v>80</v>
      </c>
      <c r="AG4908" t="s">
        <v>81</v>
      </c>
    </row>
    <row r="4909" spans="1:33" x14ac:dyDescent="0.25">
      <c r="A4909" t="str">
        <f>"1457338345"</f>
        <v>1457338345</v>
      </c>
      <c r="B4909" t="str">
        <f>"00455138"</f>
        <v>00455138</v>
      </c>
      <c r="C4909" t="s">
        <v>13436</v>
      </c>
      <c r="D4909" t="s">
        <v>24606</v>
      </c>
      <c r="E4909" t="s">
        <v>24607</v>
      </c>
      <c r="G4909" t="s">
        <v>24608</v>
      </c>
      <c r="L4909" t="s">
        <v>83</v>
      </c>
      <c r="M4909" t="s">
        <v>85</v>
      </c>
      <c r="R4909" t="s">
        <v>24609</v>
      </c>
      <c r="W4909" t="s">
        <v>24607</v>
      </c>
      <c r="X4909" t="s">
        <v>24610</v>
      </c>
      <c r="Y4909" t="s">
        <v>97</v>
      </c>
      <c r="Z4909" t="s">
        <v>77</v>
      </c>
      <c r="AA4909" t="str">
        <f>"10003-3804"</f>
        <v>10003-3804</v>
      </c>
      <c r="AB4909" t="s">
        <v>78</v>
      </c>
      <c r="AC4909" t="s">
        <v>79</v>
      </c>
      <c r="AD4909" t="s">
        <v>75</v>
      </c>
      <c r="AE4909" t="s">
        <v>80</v>
      </c>
      <c r="AG4909" t="s">
        <v>81</v>
      </c>
    </row>
    <row r="4910" spans="1:33" x14ac:dyDescent="0.25">
      <c r="A4910" t="str">
        <f>"1457650210"</f>
        <v>1457650210</v>
      </c>
      <c r="B4910" t="str">
        <f>"03922781"</f>
        <v>03922781</v>
      </c>
      <c r="C4910" t="s">
        <v>13436</v>
      </c>
      <c r="D4910" t="s">
        <v>24611</v>
      </c>
      <c r="E4910" t="s">
        <v>24612</v>
      </c>
      <c r="G4910" t="s">
        <v>24613</v>
      </c>
      <c r="L4910" t="s">
        <v>84</v>
      </c>
      <c r="M4910" t="s">
        <v>75</v>
      </c>
      <c r="R4910" t="s">
        <v>24612</v>
      </c>
      <c r="W4910" t="s">
        <v>24612</v>
      </c>
      <c r="X4910" t="s">
        <v>330</v>
      </c>
      <c r="Y4910" t="s">
        <v>97</v>
      </c>
      <c r="Z4910" t="s">
        <v>77</v>
      </c>
      <c r="AA4910" t="str">
        <f>"10029-5204"</f>
        <v>10029-5204</v>
      </c>
      <c r="AB4910" t="s">
        <v>78</v>
      </c>
      <c r="AC4910" t="s">
        <v>79</v>
      </c>
      <c r="AD4910" t="s">
        <v>75</v>
      </c>
      <c r="AE4910" t="s">
        <v>80</v>
      </c>
      <c r="AG4910" t="s">
        <v>81</v>
      </c>
    </row>
    <row r="4911" spans="1:33" x14ac:dyDescent="0.25">
      <c r="A4911" t="str">
        <f>"1467609610"</f>
        <v>1467609610</v>
      </c>
      <c r="B4911" t="str">
        <f>"03406026"</f>
        <v>03406026</v>
      </c>
      <c r="C4911" t="s">
        <v>13436</v>
      </c>
      <c r="D4911" t="s">
        <v>24614</v>
      </c>
      <c r="E4911" t="s">
        <v>24615</v>
      </c>
      <c r="G4911" t="s">
        <v>24616</v>
      </c>
      <c r="L4911" t="s">
        <v>105</v>
      </c>
      <c r="M4911" t="s">
        <v>85</v>
      </c>
      <c r="R4911" t="s">
        <v>24617</v>
      </c>
      <c r="W4911" t="s">
        <v>24615</v>
      </c>
      <c r="X4911" t="s">
        <v>2831</v>
      </c>
      <c r="Y4911" t="s">
        <v>97</v>
      </c>
      <c r="Z4911" t="s">
        <v>77</v>
      </c>
      <c r="AA4911" t="str">
        <f>"10029-6500"</f>
        <v>10029-6500</v>
      </c>
      <c r="AB4911" t="s">
        <v>78</v>
      </c>
      <c r="AC4911" t="s">
        <v>79</v>
      </c>
      <c r="AD4911" t="s">
        <v>75</v>
      </c>
      <c r="AE4911" t="s">
        <v>80</v>
      </c>
      <c r="AG4911" t="s">
        <v>81</v>
      </c>
    </row>
    <row r="4912" spans="1:33" x14ac:dyDescent="0.25">
      <c r="A4912" t="str">
        <f>"1467741306"</f>
        <v>1467741306</v>
      </c>
      <c r="B4912" t="str">
        <f>"03972185"</f>
        <v>03972185</v>
      </c>
      <c r="C4912" t="s">
        <v>13436</v>
      </c>
      <c r="D4912" t="s">
        <v>24618</v>
      </c>
      <c r="E4912" t="s">
        <v>24619</v>
      </c>
      <c r="G4912" t="s">
        <v>24620</v>
      </c>
      <c r="L4912" t="s">
        <v>74</v>
      </c>
      <c r="M4912" t="s">
        <v>75</v>
      </c>
      <c r="R4912" t="s">
        <v>24621</v>
      </c>
      <c r="W4912" t="s">
        <v>24619</v>
      </c>
      <c r="X4912" t="s">
        <v>329</v>
      </c>
      <c r="Y4912" t="s">
        <v>97</v>
      </c>
      <c r="Z4912" t="s">
        <v>77</v>
      </c>
      <c r="AA4912" t="str">
        <f>"10029-6504"</f>
        <v>10029-6504</v>
      </c>
      <c r="AB4912" t="s">
        <v>78</v>
      </c>
      <c r="AC4912" t="s">
        <v>79</v>
      </c>
      <c r="AD4912" t="s">
        <v>75</v>
      </c>
      <c r="AE4912" t="s">
        <v>80</v>
      </c>
      <c r="AG4912" t="s">
        <v>81</v>
      </c>
    </row>
    <row r="4913" spans="1:33" x14ac:dyDescent="0.25">
      <c r="A4913" t="str">
        <f>"1477529857"</f>
        <v>1477529857</v>
      </c>
      <c r="B4913" t="str">
        <f>"02501288"</f>
        <v>02501288</v>
      </c>
      <c r="C4913" t="s">
        <v>13436</v>
      </c>
      <c r="D4913" t="s">
        <v>24622</v>
      </c>
      <c r="E4913" t="s">
        <v>24623</v>
      </c>
      <c r="G4913" t="s">
        <v>24624</v>
      </c>
      <c r="L4913" t="s">
        <v>74</v>
      </c>
      <c r="M4913" t="s">
        <v>85</v>
      </c>
      <c r="R4913" t="s">
        <v>24625</v>
      </c>
      <c r="W4913" t="s">
        <v>24623</v>
      </c>
      <c r="X4913" t="s">
        <v>24626</v>
      </c>
      <c r="Y4913" t="s">
        <v>97</v>
      </c>
      <c r="Z4913" t="s">
        <v>77</v>
      </c>
      <c r="AA4913" t="str">
        <f>"10029-6542"</f>
        <v>10029-6542</v>
      </c>
      <c r="AB4913" t="s">
        <v>78</v>
      </c>
      <c r="AC4913" t="s">
        <v>79</v>
      </c>
      <c r="AD4913" t="s">
        <v>75</v>
      </c>
      <c r="AE4913" t="s">
        <v>80</v>
      </c>
      <c r="AG4913" t="s">
        <v>81</v>
      </c>
    </row>
    <row r="4914" spans="1:33" x14ac:dyDescent="0.25">
      <c r="A4914" t="str">
        <f>"1891732772"</f>
        <v>1891732772</v>
      </c>
      <c r="B4914" t="str">
        <f>"02296660"</f>
        <v>02296660</v>
      </c>
      <c r="C4914" t="s">
        <v>24627</v>
      </c>
      <c r="D4914" t="s">
        <v>24628</v>
      </c>
      <c r="E4914" t="s">
        <v>24629</v>
      </c>
      <c r="G4914" t="s">
        <v>13504</v>
      </c>
      <c r="H4914" t="s">
        <v>13505</v>
      </c>
      <c r="J4914" t="s">
        <v>13506</v>
      </c>
      <c r="L4914" t="s">
        <v>84</v>
      </c>
      <c r="M4914" t="s">
        <v>85</v>
      </c>
      <c r="R4914" t="s">
        <v>24630</v>
      </c>
      <c r="W4914" t="s">
        <v>24629</v>
      </c>
      <c r="X4914" t="s">
        <v>642</v>
      </c>
      <c r="Y4914" t="s">
        <v>87</v>
      </c>
      <c r="Z4914" t="s">
        <v>77</v>
      </c>
      <c r="AA4914" t="str">
        <f>"11201-5493"</f>
        <v>11201-5493</v>
      </c>
      <c r="AB4914" t="s">
        <v>78</v>
      </c>
      <c r="AC4914" t="s">
        <v>79</v>
      </c>
      <c r="AD4914" t="s">
        <v>75</v>
      </c>
      <c r="AE4914" t="s">
        <v>80</v>
      </c>
      <c r="AG4914" t="s">
        <v>81</v>
      </c>
    </row>
    <row r="4915" spans="1:33" x14ac:dyDescent="0.25">
      <c r="A4915" t="str">
        <f>"1023060910"</f>
        <v>1023060910</v>
      </c>
      <c r="B4915" t="str">
        <f>"02610873"</f>
        <v>02610873</v>
      </c>
      <c r="C4915" t="s">
        <v>24631</v>
      </c>
      <c r="D4915" t="s">
        <v>24632</v>
      </c>
      <c r="E4915" t="s">
        <v>24633</v>
      </c>
      <c r="G4915" t="s">
        <v>13504</v>
      </c>
      <c r="H4915" t="s">
        <v>13505</v>
      </c>
      <c r="J4915" t="s">
        <v>13506</v>
      </c>
      <c r="L4915" t="s">
        <v>84</v>
      </c>
      <c r="M4915" t="s">
        <v>85</v>
      </c>
      <c r="R4915" t="s">
        <v>24634</v>
      </c>
      <c r="W4915" t="s">
        <v>24633</v>
      </c>
      <c r="X4915" t="s">
        <v>24635</v>
      </c>
      <c r="Y4915" t="s">
        <v>87</v>
      </c>
      <c r="Z4915" t="s">
        <v>77</v>
      </c>
      <c r="AA4915" t="str">
        <f>"11235-7791"</f>
        <v>11235-7791</v>
      </c>
      <c r="AB4915" t="s">
        <v>78</v>
      </c>
      <c r="AC4915" t="s">
        <v>79</v>
      </c>
      <c r="AD4915" t="s">
        <v>75</v>
      </c>
      <c r="AE4915" t="s">
        <v>80</v>
      </c>
      <c r="AG4915" t="s">
        <v>81</v>
      </c>
    </row>
    <row r="4916" spans="1:33" x14ac:dyDescent="0.25">
      <c r="A4916" t="str">
        <f>"1285642934"</f>
        <v>1285642934</v>
      </c>
      <c r="B4916" t="str">
        <f>"02631996"</f>
        <v>02631996</v>
      </c>
      <c r="C4916" t="s">
        <v>24636</v>
      </c>
      <c r="D4916" t="s">
        <v>24637</v>
      </c>
      <c r="E4916" t="s">
        <v>24638</v>
      </c>
      <c r="G4916" t="s">
        <v>13504</v>
      </c>
      <c r="H4916" t="s">
        <v>13505</v>
      </c>
      <c r="J4916" t="s">
        <v>13506</v>
      </c>
      <c r="L4916" t="s">
        <v>84</v>
      </c>
      <c r="M4916" t="s">
        <v>75</v>
      </c>
      <c r="R4916" t="s">
        <v>24639</v>
      </c>
      <c r="W4916" t="s">
        <v>24640</v>
      </c>
      <c r="X4916" t="s">
        <v>202</v>
      </c>
      <c r="Y4916" t="s">
        <v>87</v>
      </c>
      <c r="Z4916" t="s">
        <v>77</v>
      </c>
      <c r="AA4916" t="str">
        <f>"11201-5493"</f>
        <v>11201-5493</v>
      </c>
      <c r="AB4916" t="s">
        <v>78</v>
      </c>
      <c r="AC4916" t="s">
        <v>79</v>
      </c>
      <c r="AD4916" t="s">
        <v>75</v>
      </c>
      <c r="AE4916" t="s">
        <v>80</v>
      </c>
      <c r="AG4916" t="s">
        <v>81</v>
      </c>
    </row>
    <row r="4917" spans="1:33" x14ac:dyDescent="0.25">
      <c r="A4917" t="str">
        <f>"1104856822"</f>
        <v>1104856822</v>
      </c>
      <c r="B4917" t="str">
        <f>"02635041"</f>
        <v>02635041</v>
      </c>
      <c r="C4917" t="s">
        <v>24641</v>
      </c>
      <c r="D4917" t="s">
        <v>24642</v>
      </c>
      <c r="E4917" t="s">
        <v>24643</v>
      </c>
      <c r="G4917" t="s">
        <v>13504</v>
      </c>
      <c r="H4917" t="s">
        <v>13505</v>
      </c>
      <c r="J4917" t="s">
        <v>13506</v>
      </c>
      <c r="L4917" t="s">
        <v>83</v>
      </c>
      <c r="M4917" t="s">
        <v>75</v>
      </c>
      <c r="R4917" t="s">
        <v>24644</v>
      </c>
      <c r="W4917" t="s">
        <v>24643</v>
      </c>
      <c r="X4917" t="s">
        <v>24645</v>
      </c>
      <c r="Y4917" t="s">
        <v>87</v>
      </c>
      <c r="Z4917" t="s">
        <v>77</v>
      </c>
      <c r="AA4917" t="str">
        <f>"11237-4006"</f>
        <v>11237-4006</v>
      </c>
      <c r="AB4917" t="s">
        <v>78</v>
      </c>
      <c r="AC4917" t="s">
        <v>79</v>
      </c>
      <c r="AD4917" t="s">
        <v>75</v>
      </c>
      <c r="AE4917" t="s">
        <v>80</v>
      </c>
      <c r="AG4917" t="s">
        <v>81</v>
      </c>
    </row>
    <row r="4918" spans="1:33" x14ac:dyDescent="0.25">
      <c r="A4918" t="str">
        <f>"1447217302"</f>
        <v>1447217302</v>
      </c>
      <c r="B4918" t="str">
        <f>"02753088"</f>
        <v>02753088</v>
      </c>
      <c r="C4918" t="s">
        <v>24646</v>
      </c>
      <c r="D4918" t="s">
        <v>24647</v>
      </c>
      <c r="E4918" t="s">
        <v>24648</v>
      </c>
      <c r="G4918" t="s">
        <v>13504</v>
      </c>
      <c r="H4918" t="s">
        <v>13505</v>
      </c>
      <c r="J4918" t="s">
        <v>13506</v>
      </c>
      <c r="L4918" t="s">
        <v>83</v>
      </c>
      <c r="M4918" t="s">
        <v>75</v>
      </c>
      <c r="R4918" t="s">
        <v>24649</v>
      </c>
      <c r="W4918" t="s">
        <v>24648</v>
      </c>
      <c r="X4918" t="s">
        <v>2779</v>
      </c>
      <c r="Y4918" t="s">
        <v>87</v>
      </c>
      <c r="Z4918" t="s">
        <v>77</v>
      </c>
      <c r="AA4918" t="str">
        <f>"11217-1702"</f>
        <v>11217-1702</v>
      </c>
      <c r="AB4918" t="s">
        <v>78</v>
      </c>
      <c r="AC4918" t="s">
        <v>79</v>
      </c>
      <c r="AD4918" t="s">
        <v>75</v>
      </c>
      <c r="AE4918" t="s">
        <v>80</v>
      </c>
      <c r="AG4918" t="s">
        <v>81</v>
      </c>
    </row>
    <row r="4919" spans="1:33" x14ac:dyDescent="0.25">
      <c r="A4919" t="str">
        <f>"1528129970"</f>
        <v>1528129970</v>
      </c>
      <c r="B4919" t="str">
        <f>"02838824"</f>
        <v>02838824</v>
      </c>
      <c r="C4919" t="s">
        <v>13436</v>
      </c>
      <c r="D4919" t="s">
        <v>6146</v>
      </c>
      <c r="E4919" t="s">
        <v>6147</v>
      </c>
      <c r="G4919" t="s">
        <v>24650</v>
      </c>
      <c r="L4919" t="s">
        <v>105</v>
      </c>
      <c r="M4919" t="s">
        <v>75</v>
      </c>
      <c r="R4919" t="s">
        <v>6148</v>
      </c>
      <c r="W4919" t="s">
        <v>6149</v>
      </c>
      <c r="X4919" t="s">
        <v>6150</v>
      </c>
      <c r="Y4919" t="s">
        <v>129</v>
      </c>
      <c r="Z4919" t="s">
        <v>77</v>
      </c>
      <c r="AA4919" t="str">
        <f>"11372-3970"</f>
        <v>11372-3970</v>
      </c>
      <c r="AB4919" t="s">
        <v>125</v>
      </c>
      <c r="AC4919" t="s">
        <v>79</v>
      </c>
      <c r="AD4919" t="s">
        <v>75</v>
      </c>
      <c r="AE4919" t="s">
        <v>80</v>
      </c>
      <c r="AG4919" t="s">
        <v>81</v>
      </c>
    </row>
    <row r="4920" spans="1:33" x14ac:dyDescent="0.25">
      <c r="A4920" t="str">
        <f>"1629225479"</f>
        <v>1629225479</v>
      </c>
      <c r="B4920" t="str">
        <f>"03476588"</f>
        <v>03476588</v>
      </c>
      <c r="C4920" t="s">
        <v>13436</v>
      </c>
      <c r="D4920" t="s">
        <v>24651</v>
      </c>
      <c r="E4920" t="s">
        <v>24652</v>
      </c>
      <c r="G4920" t="s">
        <v>24653</v>
      </c>
      <c r="L4920" t="s">
        <v>83</v>
      </c>
      <c r="M4920" t="s">
        <v>85</v>
      </c>
      <c r="R4920" t="s">
        <v>24654</v>
      </c>
      <c r="W4920" t="s">
        <v>24652</v>
      </c>
      <c r="X4920" t="s">
        <v>181</v>
      </c>
      <c r="Y4920" t="s">
        <v>97</v>
      </c>
      <c r="Z4920" t="s">
        <v>77</v>
      </c>
      <c r="AA4920" t="str">
        <f>"10025-1716"</f>
        <v>10025-1716</v>
      </c>
      <c r="AB4920" t="s">
        <v>78</v>
      </c>
      <c r="AC4920" t="s">
        <v>79</v>
      </c>
      <c r="AD4920" t="s">
        <v>75</v>
      </c>
      <c r="AE4920" t="s">
        <v>80</v>
      </c>
      <c r="AG4920" t="s">
        <v>81</v>
      </c>
    </row>
    <row r="4921" spans="1:33" x14ac:dyDescent="0.25">
      <c r="A4921" t="str">
        <f>"1629321898"</f>
        <v>1629321898</v>
      </c>
      <c r="B4921" t="str">
        <f>"03795177"</f>
        <v>03795177</v>
      </c>
      <c r="C4921" t="s">
        <v>13436</v>
      </c>
      <c r="D4921" t="s">
        <v>24655</v>
      </c>
      <c r="E4921" t="s">
        <v>24656</v>
      </c>
      <c r="G4921" t="s">
        <v>24657</v>
      </c>
      <c r="L4921" t="s">
        <v>74</v>
      </c>
      <c r="M4921" t="s">
        <v>85</v>
      </c>
      <c r="R4921" t="s">
        <v>24658</v>
      </c>
      <c r="W4921" t="s">
        <v>24656</v>
      </c>
      <c r="X4921" t="s">
        <v>138</v>
      </c>
      <c r="Y4921" t="s">
        <v>139</v>
      </c>
      <c r="Z4921" t="s">
        <v>77</v>
      </c>
      <c r="AA4921" t="str">
        <f>"11355-5045"</f>
        <v>11355-5045</v>
      </c>
      <c r="AB4921" t="s">
        <v>78</v>
      </c>
      <c r="AC4921" t="s">
        <v>79</v>
      </c>
      <c r="AD4921" t="s">
        <v>75</v>
      </c>
      <c r="AE4921" t="s">
        <v>80</v>
      </c>
      <c r="AG4921" t="s">
        <v>81</v>
      </c>
    </row>
    <row r="4922" spans="1:33" x14ac:dyDescent="0.25">
      <c r="A4922" t="str">
        <f>"1629382395"</f>
        <v>1629382395</v>
      </c>
      <c r="B4922" t="str">
        <f>"03650608"</f>
        <v>03650608</v>
      </c>
      <c r="C4922" t="s">
        <v>13436</v>
      </c>
      <c r="D4922" t="s">
        <v>24659</v>
      </c>
      <c r="E4922" t="s">
        <v>24660</v>
      </c>
      <c r="G4922" t="s">
        <v>24661</v>
      </c>
      <c r="L4922" t="s">
        <v>84</v>
      </c>
      <c r="M4922" t="s">
        <v>85</v>
      </c>
      <c r="R4922" t="s">
        <v>24662</v>
      </c>
      <c r="W4922" t="s">
        <v>24660</v>
      </c>
      <c r="X4922" t="s">
        <v>2738</v>
      </c>
      <c r="Y4922" t="s">
        <v>97</v>
      </c>
      <c r="Z4922" t="s">
        <v>77</v>
      </c>
      <c r="AA4922" t="str">
        <f>"10039-3027"</f>
        <v>10039-3027</v>
      </c>
      <c r="AB4922" t="s">
        <v>78</v>
      </c>
      <c r="AC4922" t="s">
        <v>79</v>
      </c>
      <c r="AD4922" t="s">
        <v>75</v>
      </c>
      <c r="AE4922" t="s">
        <v>80</v>
      </c>
      <c r="AG4922" t="s">
        <v>81</v>
      </c>
    </row>
    <row r="4923" spans="1:33" x14ac:dyDescent="0.25">
      <c r="A4923" t="str">
        <f>"1629390315"</f>
        <v>1629390315</v>
      </c>
      <c r="B4923" t="str">
        <f>"03490255"</f>
        <v>03490255</v>
      </c>
      <c r="C4923" t="s">
        <v>13436</v>
      </c>
      <c r="D4923" t="s">
        <v>24663</v>
      </c>
      <c r="E4923" t="s">
        <v>24664</v>
      </c>
      <c r="G4923" t="s">
        <v>24665</v>
      </c>
      <c r="L4923" t="s">
        <v>74</v>
      </c>
      <c r="M4923" t="s">
        <v>85</v>
      </c>
      <c r="R4923" t="s">
        <v>24666</v>
      </c>
      <c r="W4923" t="s">
        <v>24664</v>
      </c>
      <c r="X4923" t="s">
        <v>23300</v>
      </c>
      <c r="Y4923" t="s">
        <v>97</v>
      </c>
      <c r="Z4923" t="s">
        <v>77</v>
      </c>
      <c r="AA4923" t="str">
        <f>"10038-4948"</f>
        <v>10038-4948</v>
      </c>
      <c r="AB4923" t="s">
        <v>78</v>
      </c>
      <c r="AC4923" t="s">
        <v>79</v>
      </c>
      <c r="AD4923" t="s">
        <v>75</v>
      </c>
      <c r="AE4923" t="s">
        <v>80</v>
      </c>
      <c r="AG4923" t="s">
        <v>81</v>
      </c>
    </row>
    <row r="4924" spans="1:33" x14ac:dyDescent="0.25">
      <c r="A4924" t="str">
        <f>"1639296056"</f>
        <v>1639296056</v>
      </c>
      <c r="B4924" t="str">
        <f>"01500590"</f>
        <v>01500590</v>
      </c>
      <c r="C4924" t="s">
        <v>13436</v>
      </c>
      <c r="D4924" t="s">
        <v>24667</v>
      </c>
      <c r="E4924" t="s">
        <v>24668</v>
      </c>
      <c r="G4924" t="s">
        <v>24669</v>
      </c>
      <c r="L4924" t="s">
        <v>84</v>
      </c>
      <c r="M4924" t="s">
        <v>85</v>
      </c>
      <c r="R4924" t="s">
        <v>24670</v>
      </c>
      <c r="W4924" t="s">
        <v>24668</v>
      </c>
      <c r="X4924" t="s">
        <v>2586</v>
      </c>
      <c r="Y4924" t="s">
        <v>131</v>
      </c>
      <c r="Z4924" t="s">
        <v>77</v>
      </c>
      <c r="AA4924" t="str">
        <f>"10467-2490"</f>
        <v>10467-2490</v>
      </c>
      <c r="AB4924" t="s">
        <v>78</v>
      </c>
      <c r="AC4924" t="s">
        <v>79</v>
      </c>
      <c r="AD4924" t="s">
        <v>75</v>
      </c>
      <c r="AE4924" t="s">
        <v>80</v>
      </c>
      <c r="AG4924" t="s">
        <v>81</v>
      </c>
    </row>
    <row r="4925" spans="1:33" x14ac:dyDescent="0.25">
      <c r="A4925" t="str">
        <f>"1639300361"</f>
        <v>1639300361</v>
      </c>
      <c r="B4925" t="str">
        <f>"03835678"</f>
        <v>03835678</v>
      </c>
      <c r="C4925" t="s">
        <v>13436</v>
      </c>
      <c r="D4925" t="s">
        <v>24671</v>
      </c>
      <c r="E4925" t="s">
        <v>24672</v>
      </c>
      <c r="G4925" t="s">
        <v>24673</v>
      </c>
      <c r="L4925" t="s">
        <v>94</v>
      </c>
      <c r="M4925" t="s">
        <v>85</v>
      </c>
      <c r="R4925" t="s">
        <v>24674</v>
      </c>
      <c r="W4925" t="s">
        <v>24672</v>
      </c>
      <c r="X4925" t="s">
        <v>191</v>
      </c>
      <c r="Y4925" t="s">
        <v>97</v>
      </c>
      <c r="Z4925" t="s">
        <v>77</v>
      </c>
      <c r="AA4925" t="str">
        <f>"10019-1147"</f>
        <v>10019-1147</v>
      </c>
      <c r="AB4925" t="s">
        <v>78</v>
      </c>
      <c r="AC4925" t="s">
        <v>79</v>
      </c>
      <c r="AD4925" t="s">
        <v>75</v>
      </c>
      <c r="AE4925" t="s">
        <v>80</v>
      </c>
      <c r="AG4925" t="s">
        <v>81</v>
      </c>
    </row>
    <row r="4926" spans="1:33" x14ac:dyDescent="0.25">
      <c r="A4926" t="str">
        <f>"1639361546"</f>
        <v>1639361546</v>
      </c>
      <c r="B4926" t="str">
        <f>"03257072"</f>
        <v>03257072</v>
      </c>
      <c r="C4926" t="s">
        <v>13436</v>
      </c>
      <c r="D4926" t="s">
        <v>24675</v>
      </c>
      <c r="E4926" t="s">
        <v>24676</v>
      </c>
      <c r="G4926" t="s">
        <v>24677</v>
      </c>
      <c r="L4926" t="s">
        <v>83</v>
      </c>
      <c r="M4926" t="s">
        <v>85</v>
      </c>
      <c r="R4926" t="s">
        <v>4510</v>
      </c>
      <c r="W4926" t="s">
        <v>24676</v>
      </c>
      <c r="X4926" t="s">
        <v>191</v>
      </c>
      <c r="Y4926" t="s">
        <v>97</v>
      </c>
      <c r="Z4926" t="s">
        <v>77</v>
      </c>
      <c r="AA4926" t="str">
        <f>"10019-1147"</f>
        <v>10019-1147</v>
      </c>
      <c r="AB4926" t="s">
        <v>78</v>
      </c>
      <c r="AC4926" t="s">
        <v>79</v>
      </c>
      <c r="AD4926" t="s">
        <v>75</v>
      </c>
      <c r="AE4926" t="s">
        <v>80</v>
      </c>
      <c r="AG4926" t="s">
        <v>81</v>
      </c>
    </row>
    <row r="4927" spans="1:33" x14ac:dyDescent="0.25">
      <c r="A4927" t="str">
        <f>"1639497399"</f>
        <v>1639497399</v>
      </c>
      <c r="B4927" t="str">
        <f>"03609607"</f>
        <v>03609607</v>
      </c>
      <c r="C4927" t="s">
        <v>13436</v>
      </c>
      <c r="D4927" t="s">
        <v>24678</v>
      </c>
      <c r="E4927" t="s">
        <v>24679</v>
      </c>
      <c r="G4927" t="s">
        <v>24680</v>
      </c>
      <c r="L4927" t="s">
        <v>83</v>
      </c>
      <c r="M4927" t="s">
        <v>85</v>
      </c>
      <c r="R4927" t="s">
        <v>24681</v>
      </c>
      <c r="W4927" t="s">
        <v>24679</v>
      </c>
      <c r="X4927" t="s">
        <v>24682</v>
      </c>
      <c r="Y4927" t="s">
        <v>1838</v>
      </c>
      <c r="Z4927" t="s">
        <v>77</v>
      </c>
      <c r="AA4927" t="str">
        <f>"12524-2269"</f>
        <v>12524-2269</v>
      </c>
      <c r="AB4927" t="s">
        <v>78</v>
      </c>
      <c r="AC4927" t="s">
        <v>79</v>
      </c>
      <c r="AD4927" t="s">
        <v>75</v>
      </c>
      <c r="AE4927" t="s">
        <v>80</v>
      </c>
      <c r="AG4927" t="s">
        <v>81</v>
      </c>
    </row>
    <row r="4928" spans="1:33" x14ac:dyDescent="0.25">
      <c r="A4928" t="str">
        <f>"1538309885"</f>
        <v>1538309885</v>
      </c>
      <c r="C4928" t="s">
        <v>13436</v>
      </c>
      <c r="G4928" t="s">
        <v>24683</v>
      </c>
      <c r="K4928" t="s">
        <v>99</v>
      </c>
      <c r="L4928" t="s">
        <v>102</v>
      </c>
      <c r="M4928" t="s">
        <v>75</v>
      </c>
      <c r="R4928" t="s">
        <v>24684</v>
      </c>
      <c r="S4928" t="s">
        <v>24685</v>
      </c>
      <c r="T4928" t="s">
        <v>87</v>
      </c>
      <c r="U4928" t="s">
        <v>77</v>
      </c>
      <c r="V4928" t="str">
        <f>"112266505"</f>
        <v>112266505</v>
      </c>
      <c r="AC4928" t="s">
        <v>79</v>
      </c>
      <c r="AD4928" t="s">
        <v>75</v>
      </c>
      <c r="AE4928" t="s">
        <v>103</v>
      </c>
      <c r="AG4928" t="s">
        <v>81</v>
      </c>
    </row>
    <row r="4929" spans="1:33" x14ac:dyDescent="0.25">
      <c r="A4929" t="str">
        <f>"1811058522"</f>
        <v>1811058522</v>
      </c>
      <c r="B4929" t="str">
        <f>"01552221"</f>
        <v>01552221</v>
      </c>
      <c r="C4929" t="s">
        <v>18360</v>
      </c>
      <c r="D4929" t="s">
        <v>3468</v>
      </c>
      <c r="E4929" t="s">
        <v>3469</v>
      </c>
      <c r="G4929" t="s">
        <v>18360</v>
      </c>
      <c r="H4929" t="s">
        <v>24686</v>
      </c>
      <c r="J4929" t="s">
        <v>18362</v>
      </c>
      <c r="L4929" t="s">
        <v>189</v>
      </c>
      <c r="M4929" t="s">
        <v>75</v>
      </c>
      <c r="R4929" t="s">
        <v>3471</v>
      </c>
      <c r="W4929" t="s">
        <v>3469</v>
      </c>
      <c r="X4929" t="s">
        <v>3472</v>
      </c>
      <c r="Y4929" t="s">
        <v>97</v>
      </c>
      <c r="Z4929" t="s">
        <v>77</v>
      </c>
      <c r="AA4929" t="str">
        <f>"10107-1513"</f>
        <v>10107-1513</v>
      </c>
      <c r="AB4929" t="s">
        <v>93</v>
      </c>
      <c r="AC4929" t="s">
        <v>79</v>
      </c>
      <c r="AD4929" t="s">
        <v>75</v>
      </c>
      <c r="AE4929" t="s">
        <v>80</v>
      </c>
      <c r="AG4929" t="s">
        <v>81</v>
      </c>
    </row>
    <row r="4930" spans="1:33" x14ac:dyDescent="0.25">
      <c r="A4930" t="str">
        <f>"1396739603"</f>
        <v>1396739603</v>
      </c>
      <c r="B4930" t="str">
        <f>"01723931"</f>
        <v>01723931</v>
      </c>
      <c r="C4930" t="s">
        <v>24687</v>
      </c>
      <c r="D4930" t="s">
        <v>24688</v>
      </c>
      <c r="E4930" t="s">
        <v>24689</v>
      </c>
      <c r="G4930" t="s">
        <v>18360</v>
      </c>
      <c r="H4930" t="s">
        <v>24686</v>
      </c>
      <c r="J4930" t="s">
        <v>24690</v>
      </c>
      <c r="L4930" t="s">
        <v>84</v>
      </c>
      <c r="M4930" t="s">
        <v>85</v>
      </c>
      <c r="R4930" t="s">
        <v>24691</v>
      </c>
      <c r="W4930" t="s">
        <v>24692</v>
      </c>
      <c r="X4930" t="s">
        <v>4502</v>
      </c>
      <c r="Y4930" t="s">
        <v>87</v>
      </c>
      <c r="Z4930" t="s">
        <v>77</v>
      </c>
      <c r="AA4930" t="str">
        <f>"11242-1107"</f>
        <v>11242-1107</v>
      </c>
      <c r="AB4930" t="s">
        <v>78</v>
      </c>
      <c r="AC4930" t="s">
        <v>79</v>
      </c>
      <c r="AD4930" t="s">
        <v>75</v>
      </c>
      <c r="AE4930" t="s">
        <v>80</v>
      </c>
      <c r="AG4930" t="s">
        <v>81</v>
      </c>
    </row>
    <row r="4931" spans="1:33" x14ac:dyDescent="0.25">
      <c r="A4931" t="str">
        <f>"1326029570"</f>
        <v>1326029570</v>
      </c>
      <c r="B4931" t="str">
        <f>"00696240"</f>
        <v>00696240</v>
      </c>
      <c r="C4931" t="s">
        <v>24693</v>
      </c>
      <c r="D4931" t="s">
        <v>1233</v>
      </c>
      <c r="E4931" t="s">
        <v>1234</v>
      </c>
      <c r="G4931" t="s">
        <v>24693</v>
      </c>
      <c r="H4931" t="s">
        <v>24694</v>
      </c>
      <c r="J4931" t="s">
        <v>24695</v>
      </c>
      <c r="L4931" t="s">
        <v>84</v>
      </c>
      <c r="M4931" t="s">
        <v>85</v>
      </c>
      <c r="R4931" t="s">
        <v>1232</v>
      </c>
      <c r="W4931" t="s">
        <v>1234</v>
      </c>
      <c r="X4931" t="s">
        <v>1235</v>
      </c>
      <c r="Y4931" t="s">
        <v>131</v>
      </c>
      <c r="Z4931" t="s">
        <v>77</v>
      </c>
      <c r="AA4931" t="str">
        <f>"10455-1911"</f>
        <v>10455-1911</v>
      </c>
      <c r="AB4931" t="s">
        <v>78</v>
      </c>
      <c r="AC4931" t="s">
        <v>79</v>
      </c>
      <c r="AD4931" t="s">
        <v>75</v>
      </c>
      <c r="AE4931" t="s">
        <v>80</v>
      </c>
      <c r="AG4931" t="s">
        <v>81</v>
      </c>
    </row>
    <row r="4932" spans="1:33" x14ac:dyDescent="0.25">
      <c r="A4932" t="str">
        <f>"1679668370"</f>
        <v>1679668370</v>
      </c>
      <c r="B4932" t="str">
        <f>"01532190"</f>
        <v>01532190</v>
      </c>
      <c r="C4932" t="s">
        <v>24696</v>
      </c>
      <c r="D4932" t="s">
        <v>5617</v>
      </c>
      <c r="E4932" t="s">
        <v>5618</v>
      </c>
      <c r="G4932" t="s">
        <v>24696</v>
      </c>
      <c r="H4932" t="s">
        <v>24697</v>
      </c>
      <c r="J4932" t="s">
        <v>24698</v>
      </c>
      <c r="L4932" t="s">
        <v>84</v>
      </c>
      <c r="M4932" t="s">
        <v>75</v>
      </c>
      <c r="R4932" t="s">
        <v>5619</v>
      </c>
      <c r="W4932" t="s">
        <v>5618</v>
      </c>
      <c r="X4932" t="s">
        <v>5620</v>
      </c>
      <c r="Y4932" t="s">
        <v>316</v>
      </c>
      <c r="Z4932" t="s">
        <v>77</v>
      </c>
      <c r="AA4932" t="str">
        <f>"10804-4609"</f>
        <v>10804-4609</v>
      </c>
      <c r="AB4932" t="s">
        <v>78</v>
      </c>
      <c r="AC4932" t="s">
        <v>79</v>
      </c>
      <c r="AD4932" t="s">
        <v>75</v>
      </c>
      <c r="AE4932" t="s">
        <v>80</v>
      </c>
      <c r="AG4932" t="s">
        <v>81</v>
      </c>
    </row>
    <row r="4933" spans="1:33" x14ac:dyDescent="0.25">
      <c r="A4933" t="str">
        <f>"1265858690"</f>
        <v>1265858690</v>
      </c>
      <c r="B4933" t="str">
        <f>"03821712"</f>
        <v>03821712</v>
      </c>
      <c r="C4933" t="s">
        <v>24699</v>
      </c>
      <c r="D4933" t="s">
        <v>24700</v>
      </c>
      <c r="E4933" t="s">
        <v>24701</v>
      </c>
      <c r="G4933" t="s">
        <v>24702</v>
      </c>
      <c r="H4933" t="s">
        <v>24703</v>
      </c>
      <c r="L4933" t="s">
        <v>74</v>
      </c>
      <c r="M4933" t="s">
        <v>75</v>
      </c>
      <c r="R4933" t="s">
        <v>24701</v>
      </c>
      <c r="W4933" t="s">
        <v>24701</v>
      </c>
      <c r="X4933" t="s">
        <v>638</v>
      </c>
      <c r="Y4933" t="s">
        <v>131</v>
      </c>
      <c r="Z4933" t="s">
        <v>77</v>
      </c>
      <c r="AA4933" t="str">
        <f>"10453-4303"</f>
        <v>10453-4303</v>
      </c>
      <c r="AB4933" t="s">
        <v>78</v>
      </c>
      <c r="AC4933" t="s">
        <v>79</v>
      </c>
      <c r="AD4933" t="s">
        <v>75</v>
      </c>
      <c r="AE4933" t="s">
        <v>80</v>
      </c>
      <c r="AG4933" t="s">
        <v>81</v>
      </c>
    </row>
    <row r="4934" spans="1:33" x14ac:dyDescent="0.25">
      <c r="A4934" t="str">
        <f>"1508905621"</f>
        <v>1508905621</v>
      </c>
      <c r="B4934" t="str">
        <f>"01832008"</f>
        <v>01832008</v>
      </c>
      <c r="C4934" t="s">
        <v>24704</v>
      </c>
      <c r="D4934" t="s">
        <v>24705</v>
      </c>
      <c r="E4934" t="s">
        <v>24706</v>
      </c>
      <c r="G4934" t="s">
        <v>24704</v>
      </c>
      <c r="H4934" t="s">
        <v>24707</v>
      </c>
      <c r="J4934" t="s">
        <v>24708</v>
      </c>
      <c r="L4934" t="s">
        <v>105</v>
      </c>
      <c r="M4934" t="s">
        <v>75</v>
      </c>
      <c r="R4934" t="s">
        <v>24709</v>
      </c>
      <c r="W4934" t="s">
        <v>24706</v>
      </c>
      <c r="X4934" t="s">
        <v>24710</v>
      </c>
      <c r="Y4934" t="s">
        <v>450</v>
      </c>
      <c r="Z4934" t="s">
        <v>77</v>
      </c>
      <c r="AA4934" t="str">
        <f>"11423-1131"</f>
        <v>11423-1131</v>
      </c>
      <c r="AB4934" t="s">
        <v>113</v>
      </c>
      <c r="AC4934" t="s">
        <v>79</v>
      </c>
      <c r="AD4934" t="s">
        <v>75</v>
      </c>
      <c r="AE4934" t="s">
        <v>80</v>
      </c>
      <c r="AG4934" t="s">
        <v>81</v>
      </c>
    </row>
    <row r="4935" spans="1:33" x14ac:dyDescent="0.25">
      <c r="A4935" t="str">
        <f>"1073630802"</f>
        <v>1073630802</v>
      </c>
      <c r="B4935" t="str">
        <f>"03041765"</f>
        <v>03041765</v>
      </c>
      <c r="C4935" t="s">
        <v>24711</v>
      </c>
      <c r="D4935" t="s">
        <v>24712</v>
      </c>
      <c r="E4935" t="s">
        <v>24713</v>
      </c>
      <c r="G4935" t="s">
        <v>24704</v>
      </c>
      <c r="H4935" t="s">
        <v>24707</v>
      </c>
      <c r="J4935" t="s">
        <v>24708</v>
      </c>
      <c r="L4935" t="s">
        <v>74</v>
      </c>
      <c r="M4935" t="s">
        <v>75</v>
      </c>
      <c r="R4935" t="s">
        <v>24714</v>
      </c>
      <c r="W4935" t="s">
        <v>24715</v>
      </c>
      <c r="X4935" t="s">
        <v>24710</v>
      </c>
      <c r="Y4935" t="s">
        <v>450</v>
      </c>
      <c r="Z4935" t="s">
        <v>77</v>
      </c>
      <c r="AA4935" t="str">
        <f>"11423-1131"</f>
        <v>11423-1131</v>
      </c>
      <c r="AB4935" t="s">
        <v>113</v>
      </c>
      <c r="AC4935" t="s">
        <v>79</v>
      </c>
      <c r="AD4935" t="s">
        <v>75</v>
      </c>
      <c r="AE4935" t="s">
        <v>80</v>
      </c>
      <c r="AG4935" t="s">
        <v>81</v>
      </c>
    </row>
    <row r="4936" spans="1:33" x14ac:dyDescent="0.25">
      <c r="A4936" t="str">
        <f>"1023413663"</f>
        <v>1023413663</v>
      </c>
      <c r="C4936" t="s">
        <v>24716</v>
      </c>
      <c r="G4936" t="s">
        <v>24704</v>
      </c>
      <c r="H4936" t="s">
        <v>24707</v>
      </c>
      <c r="J4936" t="s">
        <v>24708</v>
      </c>
      <c r="K4936" t="s">
        <v>99</v>
      </c>
      <c r="L4936" t="s">
        <v>102</v>
      </c>
      <c r="M4936" t="s">
        <v>75</v>
      </c>
      <c r="R4936" t="s">
        <v>24717</v>
      </c>
      <c r="S4936" t="s">
        <v>24718</v>
      </c>
      <c r="T4936" t="s">
        <v>87</v>
      </c>
      <c r="U4936" t="s">
        <v>77</v>
      </c>
      <c r="V4936" t="str">
        <f>"112261555"</f>
        <v>112261555</v>
      </c>
      <c r="AC4936" t="s">
        <v>79</v>
      </c>
      <c r="AD4936" t="s">
        <v>75</v>
      </c>
      <c r="AE4936" t="s">
        <v>103</v>
      </c>
      <c r="AG4936" t="s">
        <v>81</v>
      </c>
    </row>
    <row r="4937" spans="1:33" x14ac:dyDescent="0.25">
      <c r="A4937" t="str">
        <f>"1902056005"</f>
        <v>1902056005</v>
      </c>
      <c r="B4937" t="str">
        <f>"02855741"</f>
        <v>02855741</v>
      </c>
      <c r="C4937" t="s">
        <v>24719</v>
      </c>
      <c r="D4937" t="s">
        <v>4051</v>
      </c>
      <c r="E4937" t="s">
        <v>4052</v>
      </c>
      <c r="G4937" t="s">
        <v>24719</v>
      </c>
      <c r="H4937" t="s">
        <v>24720</v>
      </c>
      <c r="J4937" t="s">
        <v>24708</v>
      </c>
      <c r="L4937" t="s">
        <v>105</v>
      </c>
      <c r="M4937" t="s">
        <v>75</v>
      </c>
      <c r="R4937" t="s">
        <v>4053</v>
      </c>
      <c r="W4937" t="s">
        <v>4054</v>
      </c>
      <c r="X4937" t="s">
        <v>4055</v>
      </c>
      <c r="Y4937" t="s">
        <v>131</v>
      </c>
      <c r="Z4937" t="s">
        <v>77</v>
      </c>
      <c r="AA4937" t="str">
        <f>"10452-3203"</f>
        <v>10452-3203</v>
      </c>
      <c r="AB4937" t="s">
        <v>78</v>
      </c>
      <c r="AC4937" t="s">
        <v>79</v>
      </c>
      <c r="AD4937" t="s">
        <v>75</v>
      </c>
      <c r="AE4937" t="s">
        <v>80</v>
      </c>
      <c r="AG4937" t="s">
        <v>81</v>
      </c>
    </row>
    <row r="4938" spans="1:33" x14ac:dyDescent="0.25">
      <c r="A4938" t="str">
        <f>"1073500849"</f>
        <v>1073500849</v>
      </c>
      <c r="B4938" t="str">
        <f>"02913037"</f>
        <v>02913037</v>
      </c>
      <c r="C4938" t="s">
        <v>24721</v>
      </c>
      <c r="D4938" t="s">
        <v>24722</v>
      </c>
      <c r="E4938" t="s">
        <v>24723</v>
      </c>
      <c r="G4938" t="s">
        <v>13504</v>
      </c>
      <c r="H4938" t="s">
        <v>13505</v>
      </c>
      <c r="J4938" t="s">
        <v>13506</v>
      </c>
      <c r="L4938" t="s">
        <v>74</v>
      </c>
      <c r="M4938" t="s">
        <v>75</v>
      </c>
      <c r="R4938" t="s">
        <v>24724</v>
      </c>
      <c r="W4938" t="s">
        <v>24723</v>
      </c>
      <c r="X4938" t="s">
        <v>543</v>
      </c>
      <c r="Y4938" t="s">
        <v>87</v>
      </c>
      <c r="Z4938" t="s">
        <v>77</v>
      </c>
      <c r="AA4938" t="str">
        <f>"11206-5317"</f>
        <v>11206-5317</v>
      </c>
      <c r="AB4938" t="s">
        <v>82</v>
      </c>
      <c r="AC4938" t="s">
        <v>79</v>
      </c>
      <c r="AD4938" t="s">
        <v>75</v>
      </c>
      <c r="AE4938" t="s">
        <v>80</v>
      </c>
      <c r="AG4938" t="s">
        <v>81</v>
      </c>
    </row>
    <row r="4939" spans="1:33" x14ac:dyDescent="0.25">
      <c r="A4939" t="str">
        <f>"1245544360"</f>
        <v>1245544360</v>
      </c>
      <c r="B4939" t="str">
        <f>"03346412"</f>
        <v>03346412</v>
      </c>
      <c r="C4939" t="s">
        <v>24725</v>
      </c>
      <c r="D4939" t="s">
        <v>24726</v>
      </c>
      <c r="E4939" t="s">
        <v>24727</v>
      </c>
      <c r="L4939" t="s">
        <v>84</v>
      </c>
      <c r="M4939" t="s">
        <v>85</v>
      </c>
      <c r="R4939" t="s">
        <v>24728</v>
      </c>
      <c r="W4939" t="s">
        <v>24727</v>
      </c>
      <c r="X4939" t="s">
        <v>3184</v>
      </c>
      <c r="Y4939" t="s">
        <v>131</v>
      </c>
      <c r="Z4939" t="s">
        <v>77</v>
      </c>
      <c r="AA4939" t="str">
        <f>"10460-0001"</f>
        <v>10460-0001</v>
      </c>
      <c r="AB4939" t="s">
        <v>78</v>
      </c>
      <c r="AC4939" t="s">
        <v>79</v>
      </c>
      <c r="AD4939" t="s">
        <v>75</v>
      </c>
      <c r="AE4939" t="s">
        <v>80</v>
      </c>
      <c r="AG4939" t="s">
        <v>81</v>
      </c>
    </row>
    <row r="4940" spans="1:33" x14ac:dyDescent="0.25">
      <c r="A4940" t="str">
        <f>"1386861938"</f>
        <v>1386861938</v>
      </c>
      <c r="B4940" t="str">
        <f>"03549502"</f>
        <v>03549502</v>
      </c>
      <c r="C4940" t="s">
        <v>24729</v>
      </c>
      <c r="D4940" t="s">
        <v>24730</v>
      </c>
      <c r="E4940" t="s">
        <v>24731</v>
      </c>
      <c r="L4940" t="s">
        <v>83</v>
      </c>
      <c r="M4940" t="s">
        <v>75</v>
      </c>
      <c r="R4940" t="s">
        <v>24732</v>
      </c>
      <c r="W4940" t="s">
        <v>24731</v>
      </c>
      <c r="X4940" t="s">
        <v>24733</v>
      </c>
      <c r="Y4940" t="s">
        <v>97</v>
      </c>
      <c r="Z4940" t="s">
        <v>77</v>
      </c>
      <c r="AA4940" t="str">
        <f>"10026-1904"</f>
        <v>10026-1904</v>
      </c>
      <c r="AB4940" t="s">
        <v>78</v>
      </c>
      <c r="AC4940" t="s">
        <v>79</v>
      </c>
      <c r="AD4940" t="s">
        <v>75</v>
      </c>
      <c r="AE4940" t="s">
        <v>80</v>
      </c>
      <c r="AG4940" t="s">
        <v>81</v>
      </c>
    </row>
    <row r="4941" spans="1:33" x14ac:dyDescent="0.25">
      <c r="A4941" t="str">
        <f>"1184748006"</f>
        <v>1184748006</v>
      </c>
      <c r="B4941" t="str">
        <f>"03497665"</f>
        <v>03497665</v>
      </c>
      <c r="C4941" t="s">
        <v>24734</v>
      </c>
      <c r="D4941" t="s">
        <v>24735</v>
      </c>
      <c r="E4941" t="s">
        <v>24736</v>
      </c>
      <c r="L4941" t="s">
        <v>74</v>
      </c>
      <c r="M4941" t="s">
        <v>85</v>
      </c>
      <c r="R4941" t="s">
        <v>24736</v>
      </c>
      <c r="W4941" t="s">
        <v>24736</v>
      </c>
      <c r="X4941" t="s">
        <v>24737</v>
      </c>
      <c r="Y4941" t="s">
        <v>97</v>
      </c>
      <c r="Z4941" t="s">
        <v>77</v>
      </c>
      <c r="AA4941" t="str">
        <f>"10032-4351"</f>
        <v>10032-4351</v>
      </c>
      <c r="AB4941" t="s">
        <v>78</v>
      </c>
      <c r="AC4941" t="s">
        <v>79</v>
      </c>
      <c r="AD4941" t="s">
        <v>75</v>
      </c>
      <c r="AE4941" t="s">
        <v>80</v>
      </c>
      <c r="AG4941" t="s">
        <v>81</v>
      </c>
    </row>
    <row r="4942" spans="1:33" x14ac:dyDescent="0.25">
      <c r="A4942" t="str">
        <f>"1346493657"</f>
        <v>1346493657</v>
      </c>
      <c r="B4942" t="str">
        <f>"01844059"</f>
        <v>01844059</v>
      </c>
      <c r="C4942" t="s">
        <v>24738</v>
      </c>
      <c r="D4942" t="s">
        <v>24739</v>
      </c>
      <c r="E4942" t="s">
        <v>24740</v>
      </c>
      <c r="L4942" t="s">
        <v>74</v>
      </c>
      <c r="M4942" t="s">
        <v>85</v>
      </c>
      <c r="R4942" t="s">
        <v>24741</v>
      </c>
      <c r="W4942" t="s">
        <v>24740</v>
      </c>
      <c r="X4942" t="s">
        <v>24740</v>
      </c>
      <c r="Y4942" t="s">
        <v>97</v>
      </c>
      <c r="Z4942" t="s">
        <v>77</v>
      </c>
      <c r="AA4942" t="str">
        <f>"10016-9196"</f>
        <v>10016-9196</v>
      </c>
      <c r="AB4942" t="s">
        <v>78</v>
      </c>
      <c r="AC4942" t="s">
        <v>79</v>
      </c>
      <c r="AD4942" t="s">
        <v>75</v>
      </c>
      <c r="AE4942" t="s">
        <v>80</v>
      </c>
      <c r="AG4942" t="s">
        <v>81</v>
      </c>
    </row>
    <row r="4943" spans="1:33" x14ac:dyDescent="0.25">
      <c r="A4943" t="str">
        <f>"1659499614"</f>
        <v>1659499614</v>
      </c>
      <c r="B4943" t="str">
        <f>"03114541"</f>
        <v>03114541</v>
      </c>
      <c r="C4943" t="s">
        <v>24742</v>
      </c>
      <c r="D4943" t="s">
        <v>3627</v>
      </c>
      <c r="E4943" t="s">
        <v>3628</v>
      </c>
      <c r="G4943" t="s">
        <v>19876</v>
      </c>
      <c r="H4943" t="s">
        <v>3629</v>
      </c>
      <c r="J4943" t="s">
        <v>19877</v>
      </c>
      <c r="L4943" t="s">
        <v>74</v>
      </c>
      <c r="M4943" t="s">
        <v>75</v>
      </c>
      <c r="R4943" t="s">
        <v>3630</v>
      </c>
      <c r="W4943" t="s">
        <v>3631</v>
      </c>
      <c r="X4943" t="s">
        <v>258</v>
      </c>
      <c r="Y4943" t="s">
        <v>131</v>
      </c>
      <c r="Z4943" t="s">
        <v>77</v>
      </c>
      <c r="AA4943" t="str">
        <f>"10467-2401"</f>
        <v>10467-2401</v>
      </c>
      <c r="AB4943" t="s">
        <v>78</v>
      </c>
      <c r="AC4943" t="s">
        <v>79</v>
      </c>
      <c r="AD4943" t="s">
        <v>75</v>
      </c>
      <c r="AE4943" t="s">
        <v>80</v>
      </c>
      <c r="AG4943" t="s">
        <v>81</v>
      </c>
    </row>
    <row r="4944" spans="1:33" x14ac:dyDescent="0.25">
      <c r="A4944" t="str">
        <f>"1891891420"</f>
        <v>1891891420</v>
      </c>
      <c r="B4944" t="str">
        <f>"03032693"</f>
        <v>03032693</v>
      </c>
      <c r="C4944" t="s">
        <v>24743</v>
      </c>
      <c r="D4944" t="s">
        <v>3632</v>
      </c>
      <c r="E4944" t="s">
        <v>3633</v>
      </c>
      <c r="G4944" t="s">
        <v>19873</v>
      </c>
      <c r="H4944" t="s">
        <v>3634</v>
      </c>
      <c r="J4944" t="s">
        <v>19874</v>
      </c>
      <c r="L4944" t="s">
        <v>94</v>
      </c>
      <c r="M4944" t="s">
        <v>75</v>
      </c>
      <c r="R4944" t="s">
        <v>3635</v>
      </c>
      <c r="W4944" t="s">
        <v>3636</v>
      </c>
      <c r="X4944" t="s">
        <v>200</v>
      </c>
      <c r="Y4944" t="s">
        <v>97</v>
      </c>
      <c r="Z4944" t="s">
        <v>77</v>
      </c>
      <c r="AA4944" t="str">
        <f>"10032-3720"</f>
        <v>10032-3720</v>
      </c>
      <c r="AB4944" t="s">
        <v>78</v>
      </c>
      <c r="AC4944" t="s">
        <v>79</v>
      </c>
      <c r="AD4944" t="s">
        <v>75</v>
      </c>
      <c r="AE4944" t="s">
        <v>80</v>
      </c>
      <c r="AG4944" t="s">
        <v>81</v>
      </c>
    </row>
    <row r="4945" spans="1:33" x14ac:dyDescent="0.25">
      <c r="A4945" t="str">
        <f>"1053434407"</f>
        <v>1053434407</v>
      </c>
      <c r="B4945" t="str">
        <f>"04236302"</f>
        <v>04236302</v>
      </c>
      <c r="C4945" t="s">
        <v>24744</v>
      </c>
      <c r="D4945" t="s">
        <v>3637</v>
      </c>
      <c r="E4945" t="s">
        <v>3638</v>
      </c>
      <c r="G4945" t="s">
        <v>24745</v>
      </c>
      <c r="H4945" t="s">
        <v>3639</v>
      </c>
      <c r="I4945">
        <v>15</v>
      </c>
      <c r="J4945" t="s">
        <v>24746</v>
      </c>
      <c r="L4945" t="s">
        <v>102</v>
      </c>
      <c r="M4945" t="s">
        <v>75</v>
      </c>
      <c r="R4945" t="s">
        <v>3640</v>
      </c>
      <c r="W4945" t="s">
        <v>3638</v>
      </c>
      <c r="X4945" t="s">
        <v>3641</v>
      </c>
      <c r="Y4945" t="s">
        <v>3642</v>
      </c>
      <c r="Z4945" t="s">
        <v>77</v>
      </c>
      <c r="AA4945" t="str">
        <f>"11552-1095"</f>
        <v>11552-1095</v>
      </c>
      <c r="AB4945" t="s">
        <v>82</v>
      </c>
      <c r="AC4945" t="s">
        <v>79</v>
      </c>
      <c r="AD4945" t="s">
        <v>75</v>
      </c>
      <c r="AE4945" t="s">
        <v>80</v>
      </c>
      <c r="AG4945" t="s">
        <v>81</v>
      </c>
    </row>
    <row r="4946" spans="1:33" x14ac:dyDescent="0.25">
      <c r="A4946" t="str">
        <f>"1033274543"</f>
        <v>1033274543</v>
      </c>
      <c r="C4946" t="s">
        <v>24747</v>
      </c>
      <c r="G4946" t="s">
        <v>7218</v>
      </c>
      <c r="H4946" t="s">
        <v>6801</v>
      </c>
      <c r="I4946">
        <v>6136</v>
      </c>
      <c r="J4946" t="s">
        <v>7219</v>
      </c>
      <c r="K4946" t="s">
        <v>99</v>
      </c>
      <c r="L4946" t="s">
        <v>74</v>
      </c>
      <c r="M4946" t="s">
        <v>75</v>
      </c>
      <c r="R4946" t="s">
        <v>24748</v>
      </c>
      <c r="S4946" t="s">
        <v>6229</v>
      </c>
      <c r="T4946" t="s">
        <v>97</v>
      </c>
      <c r="U4946" t="s">
        <v>77</v>
      </c>
      <c r="V4946" t="str">
        <f>"100012320"</f>
        <v>100012320</v>
      </c>
      <c r="AC4946" t="s">
        <v>79</v>
      </c>
      <c r="AD4946" t="s">
        <v>75</v>
      </c>
      <c r="AE4946" t="s">
        <v>103</v>
      </c>
      <c r="AG4946" t="s">
        <v>81</v>
      </c>
    </row>
    <row r="4947" spans="1:33" x14ac:dyDescent="0.25">
      <c r="A4947" t="str">
        <f>"1033381470"</f>
        <v>1033381470</v>
      </c>
      <c r="C4947" t="s">
        <v>24749</v>
      </c>
      <c r="G4947" t="s">
        <v>7218</v>
      </c>
      <c r="H4947" t="s">
        <v>6801</v>
      </c>
      <c r="I4947">
        <v>6136</v>
      </c>
      <c r="J4947" t="s">
        <v>7219</v>
      </c>
      <c r="K4947" t="s">
        <v>99</v>
      </c>
      <c r="L4947" t="s">
        <v>102</v>
      </c>
      <c r="M4947" t="s">
        <v>75</v>
      </c>
      <c r="R4947" t="s">
        <v>24750</v>
      </c>
      <c r="S4947" t="s">
        <v>24751</v>
      </c>
      <c r="T4947" t="s">
        <v>97</v>
      </c>
      <c r="U4947" t="s">
        <v>77</v>
      </c>
      <c r="V4947" t="str">
        <f>"10016"</f>
        <v>10016</v>
      </c>
      <c r="AC4947" t="s">
        <v>79</v>
      </c>
      <c r="AD4947" t="s">
        <v>75</v>
      </c>
      <c r="AE4947" t="s">
        <v>103</v>
      </c>
      <c r="AG4947" t="s">
        <v>81</v>
      </c>
    </row>
    <row r="4948" spans="1:33" x14ac:dyDescent="0.25">
      <c r="A4948" t="str">
        <f>"1033442876"</f>
        <v>1033442876</v>
      </c>
      <c r="B4948" t="str">
        <f>"03899396"</f>
        <v>03899396</v>
      </c>
      <c r="C4948" t="s">
        <v>24752</v>
      </c>
      <c r="D4948" t="s">
        <v>24753</v>
      </c>
      <c r="E4948" t="s">
        <v>24754</v>
      </c>
      <c r="G4948" t="s">
        <v>7218</v>
      </c>
      <c r="H4948" t="s">
        <v>6801</v>
      </c>
      <c r="I4948">
        <v>6136</v>
      </c>
      <c r="J4948" t="s">
        <v>7219</v>
      </c>
      <c r="L4948" t="s">
        <v>74</v>
      </c>
      <c r="M4948" t="s">
        <v>75</v>
      </c>
      <c r="R4948" t="s">
        <v>24755</v>
      </c>
      <c r="W4948" t="s">
        <v>24754</v>
      </c>
      <c r="X4948" t="s">
        <v>8509</v>
      </c>
      <c r="Y4948" t="s">
        <v>145</v>
      </c>
      <c r="Z4948" t="s">
        <v>77</v>
      </c>
      <c r="AA4948" t="str">
        <f>"11361-3241"</f>
        <v>11361-3241</v>
      </c>
      <c r="AB4948" t="s">
        <v>113</v>
      </c>
      <c r="AC4948" t="s">
        <v>79</v>
      </c>
      <c r="AD4948" t="s">
        <v>75</v>
      </c>
      <c r="AE4948" t="s">
        <v>80</v>
      </c>
      <c r="AG4948" t="s">
        <v>81</v>
      </c>
    </row>
    <row r="4949" spans="1:33" x14ac:dyDescent="0.25">
      <c r="A4949" t="str">
        <f>"1043460884"</f>
        <v>1043460884</v>
      </c>
      <c r="C4949" t="s">
        <v>24756</v>
      </c>
      <c r="G4949" t="s">
        <v>7218</v>
      </c>
      <c r="H4949" t="s">
        <v>6801</v>
      </c>
      <c r="I4949">
        <v>6136</v>
      </c>
      <c r="J4949" t="s">
        <v>7219</v>
      </c>
      <c r="K4949" t="s">
        <v>99</v>
      </c>
      <c r="L4949" t="s">
        <v>102</v>
      </c>
      <c r="M4949" t="s">
        <v>75</v>
      </c>
      <c r="R4949" t="s">
        <v>24757</v>
      </c>
      <c r="S4949" t="s">
        <v>24758</v>
      </c>
      <c r="T4949" t="s">
        <v>97</v>
      </c>
      <c r="U4949" t="s">
        <v>77</v>
      </c>
      <c r="V4949" t="str">
        <f>"100324513"</f>
        <v>100324513</v>
      </c>
      <c r="AC4949" t="s">
        <v>79</v>
      </c>
      <c r="AD4949" t="s">
        <v>75</v>
      </c>
      <c r="AE4949" t="s">
        <v>103</v>
      </c>
      <c r="AG4949" t="s">
        <v>81</v>
      </c>
    </row>
    <row r="4950" spans="1:33" x14ac:dyDescent="0.25">
      <c r="A4950" t="str">
        <f>"1336307529"</f>
        <v>1336307529</v>
      </c>
      <c r="C4950" t="s">
        <v>13436</v>
      </c>
      <c r="G4950" t="s">
        <v>24759</v>
      </c>
      <c r="K4950" t="s">
        <v>99</v>
      </c>
      <c r="L4950" t="s">
        <v>74</v>
      </c>
      <c r="M4950" t="s">
        <v>75</v>
      </c>
      <c r="R4950" t="s">
        <v>24760</v>
      </c>
      <c r="S4950" t="s">
        <v>24761</v>
      </c>
      <c r="T4950" t="s">
        <v>24762</v>
      </c>
      <c r="U4950" t="s">
        <v>156</v>
      </c>
      <c r="V4950" t="str">
        <f>"08724"</f>
        <v>08724</v>
      </c>
      <c r="AC4950" t="s">
        <v>79</v>
      </c>
      <c r="AD4950" t="s">
        <v>75</v>
      </c>
      <c r="AE4950" t="s">
        <v>103</v>
      </c>
      <c r="AG4950" t="s">
        <v>81</v>
      </c>
    </row>
    <row r="4951" spans="1:33" x14ac:dyDescent="0.25">
      <c r="A4951" t="str">
        <f>"1902889330"</f>
        <v>1902889330</v>
      </c>
      <c r="B4951" t="str">
        <f>"00352901"</f>
        <v>00352901</v>
      </c>
      <c r="C4951" t="s">
        <v>13436</v>
      </c>
      <c r="D4951" t="s">
        <v>3077</v>
      </c>
      <c r="E4951" t="s">
        <v>3078</v>
      </c>
      <c r="G4951" t="s">
        <v>24763</v>
      </c>
      <c r="L4951" t="s">
        <v>83</v>
      </c>
      <c r="M4951" t="s">
        <v>85</v>
      </c>
      <c r="R4951" t="s">
        <v>3079</v>
      </c>
      <c r="W4951" t="s">
        <v>3080</v>
      </c>
      <c r="X4951" t="s">
        <v>3081</v>
      </c>
      <c r="Y4951" t="s">
        <v>310</v>
      </c>
      <c r="Z4951" t="s">
        <v>77</v>
      </c>
      <c r="AA4951" t="str">
        <f>"10512-0000"</f>
        <v>10512-0000</v>
      </c>
      <c r="AB4951" t="s">
        <v>78</v>
      </c>
      <c r="AC4951" t="s">
        <v>79</v>
      </c>
      <c r="AD4951" t="s">
        <v>75</v>
      </c>
      <c r="AE4951" t="s">
        <v>80</v>
      </c>
      <c r="AG4951" t="s">
        <v>81</v>
      </c>
    </row>
    <row r="4952" spans="1:33" x14ac:dyDescent="0.25">
      <c r="A4952" t="str">
        <f>"1902907587"</f>
        <v>1902907587</v>
      </c>
      <c r="B4952" t="str">
        <f>"01670213"</f>
        <v>01670213</v>
      </c>
      <c r="C4952" t="s">
        <v>13436</v>
      </c>
      <c r="D4952" t="s">
        <v>24764</v>
      </c>
      <c r="E4952" t="s">
        <v>24765</v>
      </c>
      <c r="G4952" t="s">
        <v>24766</v>
      </c>
      <c r="L4952" t="s">
        <v>83</v>
      </c>
      <c r="M4952" t="s">
        <v>85</v>
      </c>
      <c r="R4952" t="s">
        <v>24767</v>
      </c>
      <c r="W4952" t="s">
        <v>24765</v>
      </c>
      <c r="X4952" t="s">
        <v>24768</v>
      </c>
      <c r="Y4952" t="s">
        <v>97</v>
      </c>
      <c r="Z4952" t="s">
        <v>77</v>
      </c>
      <c r="AA4952" t="str">
        <f>"10128-1211"</f>
        <v>10128-1211</v>
      </c>
      <c r="AB4952" t="s">
        <v>78</v>
      </c>
      <c r="AC4952" t="s">
        <v>79</v>
      </c>
      <c r="AD4952" t="s">
        <v>75</v>
      </c>
      <c r="AE4952" t="s">
        <v>80</v>
      </c>
      <c r="AG4952" t="s">
        <v>81</v>
      </c>
    </row>
    <row r="4953" spans="1:33" x14ac:dyDescent="0.25">
      <c r="A4953" t="str">
        <f>"1902907686"</f>
        <v>1902907686</v>
      </c>
      <c r="B4953" t="str">
        <f>"00116298"</f>
        <v>00116298</v>
      </c>
      <c r="C4953" t="s">
        <v>13436</v>
      </c>
      <c r="D4953" t="s">
        <v>24769</v>
      </c>
      <c r="E4953" t="s">
        <v>24770</v>
      </c>
      <c r="G4953" t="s">
        <v>24771</v>
      </c>
      <c r="L4953" t="s">
        <v>74</v>
      </c>
      <c r="M4953" t="s">
        <v>85</v>
      </c>
      <c r="R4953" t="s">
        <v>24772</v>
      </c>
      <c r="W4953" t="s">
        <v>24770</v>
      </c>
      <c r="X4953" t="s">
        <v>24773</v>
      </c>
      <c r="Y4953" t="s">
        <v>97</v>
      </c>
      <c r="Z4953" t="s">
        <v>77</v>
      </c>
      <c r="AA4953" t="str">
        <f>"10128-1211"</f>
        <v>10128-1211</v>
      </c>
      <c r="AB4953" t="s">
        <v>78</v>
      </c>
      <c r="AC4953" t="s">
        <v>79</v>
      </c>
      <c r="AD4953" t="s">
        <v>75</v>
      </c>
      <c r="AE4953" t="s">
        <v>80</v>
      </c>
      <c r="AG4953" t="s">
        <v>81</v>
      </c>
    </row>
    <row r="4954" spans="1:33" x14ac:dyDescent="0.25">
      <c r="A4954" t="str">
        <f>"1912075391"</f>
        <v>1912075391</v>
      </c>
      <c r="B4954" t="str">
        <f>"02203703"</f>
        <v>02203703</v>
      </c>
      <c r="C4954" t="s">
        <v>13436</v>
      </c>
      <c r="D4954" t="s">
        <v>24774</v>
      </c>
      <c r="E4954" t="s">
        <v>24775</v>
      </c>
      <c r="G4954" t="s">
        <v>24776</v>
      </c>
      <c r="L4954" t="s">
        <v>84</v>
      </c>
      <c r="M4954" t="s">
        <v>85</v>
      </c>
      <c r="R4954" t="s">
        <v>24777</v>
      </c>
      <c r="W4954" t="s">
        <v>24778</v>
      </c>
      <c r="X4954" t="s">
        <v>15724</v>
      </c>
      <c r="Y4954" t="s">
        <v>97</v>
      </c>
      <c r="Z4954" t="s">
        <v>77</v>
      </c>
      <c r="AA4954" t="str">
        <f>"10011-2202"</f>
        <v>10011-2202</v>
      </c>
      <c r="AB4954" t="s">
        <v>78</v>
      </c>
      <c r="AC4954" t="s">
        <v>79</v>
      </c>
      <c r="AD4954" t="s">
        <v>75</v>
      </c>
      <c r="AE4954" t="s">
        <v>80</v>
      </c>
      <c r="AG4954" t="s">
        <v>81</v>
      </c>
    </row>
    <row r="4955" spans="1:33" x14ac:dyDescent="0.25">
      <c r="A4955" t="str">
        <f>"1912081050"</f>
        <v>1912081050</v>
      </c>
      <c r="B4955" t="str">
        <f>"04249381"</f>
        <v>04249381</v>
      </c>
      <c r="C4955" t="s">
        <v>13436</v>
      </c>
      <c r="D4955" t="s">
        <v>24779</v>
      </c>
      <c r="E4955" t="s">
        <v>24780</v>
      </c>
      <c r="G4955" t="s">
        <v>24781</v>
      </c>
      <c r="L4955" t="s">
        <v>74</v>
      </c>
      <c r="M4955" t="s">
        <v>85</v>
      </c>
      <c r="R4955" t="s">
        <v>24780</v>
      </c>
      <c r="W4955" t="s">
        <v>24780</v>
      </c>
      <c r="X4955" t="s">
        <v>24782</v>
      </c>
      <c r="Y4955" t="s">
        <v>97</v>
      </c>
      <c r="Z4955" t="s">
        <v>77</v>
      </c>
      <c r="AA4955" t="str">
        <f>"10017-2417"</f>
        <v>10017-2417</v>
      </c>
      <c r="AB4955" t="s">
        <v>78</v>
      </c>
      <c r="AC4955" t="s">
        <v>79</v>
      </c>
      <c r="AD4955" t="s">
        <v>75</v>
      </c>
      <c r="AE4955" t="s">
        <v>80</v>
      </c>
      <c r="AG4955" t="s">
        <v>81</v>
      </c>
    </row>
    <row r="4956" spans="1:33" x14ac:dyDescent="0.25">
      <c r="A4956" t="str">
        <f>"1578628145"</f>
        <v>1578628145</v>
      </c>
      <c r="B4956" t="str">
        <f>"00776861"</f>
        <v>00776861</v>
      </c>
      <c r="C4956" t="s">
        <v>13436</v>
      </c>
      <c r="D4956" t="s">
        <v>24783</v>
      </c>
      <c r="E4956" t="s">
        <v>24784</v>
      </c>
      <c r="G4956" t="s">
        <v>24785</v>
      </c>
      <c r="L4956" t="s">
        <v>84</v>
      </c>
      <c r="M4956" t="s">
        <v>85</v>
      </c>
      <c r="R4956" t="s">
        <v>24786</v>
      </c>
      <c r="W4956" t="s">
        <v>24784</v>
      </c>
      <c r="X4956" t="s">
        <v>306</v>
      </c>
      <c r="Y4956" t="s">
        <v>97</v>
      </c>
      <c r="Z4956" t="s">
        <v>77</v>
      </c>
      <c r="AA4956" t="str">
        <f>"10003-4201"</f>
        <v>10003-4201</v>
      </c>
      <c r="AB4956" t="s">
        <v>78</v>
      </c>
      <c r="AC4956" t="s">
        <v>79</v>
      </c>
      <c r="AD4956" t="s">
        <v>75</v>
      </c>
      <c r="AE4956" t="s">
        <v>80</v>
      </c>
      <c r="AG4956" t="s">
        <v>81</v>
      </c>
    </row>
    <row r="4957" spans="1:33" x14ac:dyDescent="0.25">
      <c r="A4957" t="str">
        <f>"1588618490"</f>
        <v>1588618490</v>
      </c>
      <c r="B4957" t="str">
        <f>"02912870"</f>
        <v>02912870</v>
      </c>
      <c r="C4957" t="s">
        <v>13436</v>
      </c>
      <c r="D4957" t="s">
        <v>24787</v>
      </c>
      <c r="E4957" t="s">
        <v>24788</v>
      </c>
      <c r="G4957" t="s">
        <v>24789</v>
      </c>
      <c r="L4957" t="s">
        <v>74</v>
      </c>
      <c r="M4957" t="s">
        <v>85</v>
      </c>
      <c r="R4957" t="s">
        <v>24790</v>
      </c>
      <c r="W4957" t="s">
        <v>24788</v>
      </c>
      <c r="X4957" t="s">
        <v>4640</v>
      </c>
      <c r="Y4957" t="s">
        <v>97</v>
      </c>
      <c r="Z4957" t="s">
        <v>77</v>
      </c>
      <c r="AA4957" t="str">
        <f>"10019-8022"</f>
        <v>10019-8022</v>
      </c>
      <c r="AB4957" t="s">
        <v>78</v>
      </c>
      <c r="AC4957" t="s">
        <v>79</v>
      </c>
      <c r="AD4957" t="s">
        <v>75</v>
      </c>
      <c r="AE4957" t="s">
        <v>80</v>
      </c>
      <c r="AG4957" t="s">
        <v>81</v>
      </c>
    </row>
    <row r="4958" spans="1:33" x14ac:dyDescent="0.25">
      <c r="A4958" t="str">
        <f>"1235131749"</f>
        <v>1235131749</v>
      </c>
      <c r="B4958" t="str">
        <f>"02351655"</f>
        <v>02351655</v>
      </c>
      <c r="C4958" t="s">
        <v>13436</v>
      </c>
      <c r="D4958" t="s">
        <v>24791</v>
      </c>
      <c r="E4958" t="s">
        <v>24792</v>
      </c>
      <c r="G4958" t="s">
        <v>24793</v>
      </c>
      <c r="L4958" t="s">
        <v>84</v>
      </c>
      <c r="M4958" t="s">
        <v>85</v>
      </c>
      <c r="R4958" t="s">
        <v>24794</v>
      </c>
      <c r="W4958" t="s">
        <v>24792</v>
      </c>
      <c r="X4958" t="s">
        <v>24795</v>
      </c>
      <c r="Y4958" t="s">
        <v>97</v>
      </c>
      <c r="Z4958" t="s">
        <v>77</v>
      </c>
      <c r="AA4958" t="str">
        <f>"10003-3105"</f>
        <v>10003-3105</v>
      </c>
      <c r="AB4958" t="s">
        <v>78</v>
      </c>
      <c r="AC4958" t="s">
        <v>79</v>
      </c>
      <c r="AD4958" t="s">
        <v>75</v>
      </c>
      <c r="AE4958" t="s">
        <v>80</v>
      </c>
      <c r="AG4958" t="s">
        <v>81</v>
      </c>
    </row>
    <row r="4959" spans="1:33" x14ac:dyDescent="0.25">
      <c r="A4959" t="str">
        <f>"1235154303"</f>
        <v>1235154303</v>
      </c>
      <c r="B4959" t="str">
        <f>"00963126"</f>
        <v>00963126</v>
      </c>
      <c r="C4959" t="s">
        <v>13436</v>
      </c>
      <c r="D4959" t="s">
        <v>24796</v>
      </c>
      <c r="E4959" t="s">
        <v>24797</v>
      </c>
      <c r="G4959" t="s">
        <v>24798</v>
      </c>
      <c r="L4959" t="s">
        <v>84</v>
      </c>
      <c r="M4959" t="s">
        <v>85</v>
      </c>
      <c r="R4959" t="s">
        <v>24799</v>
      </c>
      <c r="W4959" t="s">
        <v>24797</v>
      </c>
      <c r="X4959" t="s">
        <v>14692</v>
      </c>
      <c r="Y4959" t="s">
        <v>97</v>
      </c>
      <c r="Z4959" t="s">
        <v>77</v>
      </c>
      <c r="AA4959" t="str">
        <f>"10024-3666"</f>
        <v>10024-3666</v>
      </c>
      <c r="AB4959" t="s">
        <v>78</v>
      </c>
      <c r="AC4959" t="s">
        <v>79</v>
      </c>
      <c r="AD4959" t="s">
        <v>75</v>
      </c>
      <c r="AE4959" t="s">
        <v>80</v>
      </c>
      <c r="AG4959" t="s">
        <v>81</v>
      </c>
    </row>
    <row r="4960" spans="1:33" x14ac:dyDescent="0.25">
      <c r="A4960" t="str">
        <f>"1669655098"</f>
        <v>1669655098</v>
      </c>
      <c r="B4960" t="str">
        <f>"01159580"</f>
        <v>01159580</v>
      </c>
      <c r="C4960" t="s">
        <v>24800</v>
      </c>
      <c r="D4960" t="s">
        <v>24801</v>
      </c>
      <c r="E4960" t="s">
        <v>24802</v>
      </c>
      <c r="G4960" t="s">
        <v>13504</v>
      </c>
      <c r="H4960" t="s">
        <v>13505</v>
      </c>
      <c r="J4960" t="s">
        <v>13506</v>
      </c>
      <c r="L4960" t="s">
        <v>74</v>
      </c>
      <c r="M4960" t="s">
        <v>75</v>
      </c>
      <c r="R4960" t="s">
        <v>24803</v>
      </c>
      <c r="W4960" t="s">
        <v>24802</v>
      </c>
      <c r="X4960" t="s">
        <v>756</v>
      </c>
      <c r="Y4960" t="s">
        <v>87</v>
      </c>
      <c r="Z4960" t="s">
        <v>77</v>
      </c>
      <c r="AA4960" t="str">
        <f>"11216-2093"</f>
        <v>11216-2093</v>
      </c>
      <c r="AB4960" t="s">
        <v>82</v>
      </c>
      <c r="AC4960" t="s">
        <v>79</v>
      </c>
      <c r="AD4960" t="s">
        <v>75</v>
      </c>
      <c r="AE4960" t="s">
        <v>80</v>
      </c>
      <c r="AG4960" t="s">
        <v>81</v>
      </c>
    </row>
    <row r="4961" spans="1:33" x14ac:dyDescent="0.25">
      <c r="A4961" t="str">
        <f>"1790829653"</f>
        <v>1790829653</v>
      </c>
      <c r="B4961" t="str">
        <f>"00385020"</f>
        <v>00385020</v>
      </c>
      <c r="C4961" t="s">
        <v>24804</v>
      </c>
      <c r="D4961" t="s">
        <v>24805</v>
      </c>
      <c r="E4961" t="s">
        <v>24806</v>
      </c>
      <c r="G4961" t="s">
        <v>13504</v>
      </c>
      <c r="H4961" t="s">
        <v>13505</v>
      </c>
      <c r="J4961" t="s">
        <v>13506</v>
      </c>
      <c r="L4961" t="s">
        <v>102</v>
      </c>
      <c r="M4961" t="s">
        <v>75</v>
      </c>
      <c r="R4961" t="s">
        <v>6775</v>
      </c>
      <c r="W4961" t="s">
        <v>24806</v>
      </c>
      <c r="X4961" t="s">
        <v>24807</v>
      </c>
      <c r="Y4961" t="s">
        <v>1808</v>
      </c>
      <c r="Z4961" t="s">
        <v>77</v>
      </c>
      <c r="AA4961" t="str">
        <f>"13501-5924"</f>
        <v>13501-5924</v>
      </c>
      <c r="AB4961" t="s">
        <v>78</v>
      </c>
      <c r="AC4961" t="s">
        <v>79</v>
      </c>
      <c r="AD4961" t="s">
        <v>75</v>
      </c>
      <c r="AE4961" t="s">
        <v>80</v>
      </c>
      <c r="AG4961" t="s">
        <v>81</v>
      </c>
    </row>
    <row r="4962" spans="1:33" x14ac:dyDescent="0.25">
      <c r="A4962" t="str">
        <f>"1235273194"</f>
        <v>1235273194</v>
      </c>
      <c r="B4962" t="str">
        <f>"02015685"</f>
        <v>02015685</v>
      </c>
      <c r="C4962" t="s">
        <v>24808</v>
      </c>
      <c r="D4962" t="s">
        <v>24809</v>
      </c>
      <c r="E4962" t="s">
        <v>24810</v>
      </c>
      <c r="G4962" t="s">
        <v>13504</v>
      </c>
      <c r="H4962" t="s">
        <v>13505</v>
      </c>
      <c r="J4962" t="s">
        <v>13506</v>
      </c>
      <c r="L4962" t="s">
        <v>102</v>
      </c>
      <c r="M4962" t="s">
        <v>75</v>
      </c>
      <c r="R4962" t="s">
        <v>24811</v>
      </c>
      <c r="W4962" t="s">
        <v>24810</v>
      </c>
      <c r="X4962" t="s">
        <v>24810</v>
      </c>
      <c r="Y4962" t="s">
        <v>87</v>
      </c>
      <c r="Z4962" t="s">
        <v>77</v>
      </c>
      <c r="AA4962" t="str">
        <f>"11201-5425"</f>
        <v>11201-5425</v>
      </c>
      <c r="AB4962" t="s">
        <v>82</v>
      </c>
      <c r="AC4962" t="s">
        <v>79</v>
      </c>
      <c r="AD4962" t="s">
        <v>75</v>
      </c>
      <c r="AE4962" t="s">
        <v>80</v>
      </c>
      <c r="AG4962" t="s">
        <v>81</v>
      </c>
    </row>
    <row r="4963" spans="1:33" x14ac:dyDescent="0.25">
      <c r="C4963" t="s">
        <v>24812</v>
      </c>
      <c r="G4963" t="s">
        <v>13504</v>
      </c>
      <c r="H4963" t="s">
        <v>13505</v>
      </c>
      <c r="J4963" t="s">
        <v>13506</v>
      </c>
      <c r="K4963" t="s">
        <v>99</v>
      </c>
      <c r="L4963" t="s">
        <v>100</v>
      </c>
      <c r="M4963" t="s">
        <v>75</v>
      </c>
      <c r="N4963" t="s">
        <v>14458</v>
      </c>
      <c r="O4963" t="s">
        <v>431</v>
      </c>
      <c r="P4963" t="s">
        <v>77</v>
      </c>
      <c r="Q4963" t="str">
        <f>"11201"</f>
        <v>11201</v>
      </c>
      <c r="AC4963" t="s">
        <v>79</v>
      </c>
      <c r="AD4963" t="s">
        <v>75</v>
      </c>
      <c r="AE4963" t="s">
        <v>101</v>
      </c>
      <c r="AG4963" t="s">
        <v>81</v>
      </c>
    </row>
    <row r="4964" spans="1:33" x14ac:dyDescent="0.25">
      <c r="A4964" t="str">
        <f>"1093769317"</f>
        <v>1093769317</v>
      </c>
      <c r="B4964" t="str">
        <f>"02846308"</f>
        <v>02846308</v>
      </c>
      <c r="C4964" t="s">
        <v>24813</v>
      </c>
      <c r="D4964" t="s">
        <v>24814</v>
      </c>
      <c r="E4964" t="s">
        <v>24815</v>
      </c>
      <c r="G4964" t="s">
        <v>13504</v>
      </c>
      <c r="H4964" t="s">
        <v>13505</v>
      </c>
      <c r="J4964" t="s">
        <v>13506</v>
      </c>
      <c r="L4964" t="s">
        <v>74</v>
      </c>
      <c r="M4964" t="s">
        <v>75</v>
      </c>
      <c r="R4964" t="s">
        <v>24815</v>
      </c>
      <c r="W4964" t="s">
        <v>24816</v>
      </c>
      <c r="X4964" t="s">
        <v>24817</v>
      </c>
      <c r="Y4964" t="s">
        <v>87</v>
      </c>
      <c r="Z4964" t="s">
        <v>77</v>
      </c>
      <c r="AA4964" t="str">
        <f>"11201-5401"</f>
        <v>11201-5401</v>
      </c>
      <c r="AB4964" t="s">
        <v>82</v>
      </c>
      <c r="AC4964" t="s">
        <v>79</v>
      </c>
      <c r="AD4964" t="s">
        <v>75</v>
      </c>
      <c r="AE4964" t="s">
        <v>80</v>
      </c>
      <c r="AG4964" t="s">
        <v>81</v>
      </c>
    </row>
    <row r="4965" spans="1:33" x14ac:dyDescent="0.25">
      <c r="A4965" t="str">
        <f>"1346218146"</f>
        <v>1346218146</v>
      </c>
      <c r="B4965" t="str">
        <f>"03355548"</f>
        <v>03355548</v>
      </c>
      <c r="C4965" t="s">
        <v>13436</v>
      </c>
      <c r="D4965" t="s">
        <v>24818</v>
      </c>
      <c r="E4965" t="s">
        <v>24819</v>
      </c>
      <c r="G4965" t="s">
        <v>24820</v>
      </c>
      <c r="L4965" t="s">
        <v>74</v>
      </c>
      <c r="M4965" t="s">
        <v>85</v>
      </c>
      <c r="R4965" t="s">
        <v>24821</v>
      </c>
      <c r="W4965" t="s">
        <v>24822</v>
      </c>
      <c r="X4965" t="s">
        <v>24823</v>
      </c>
      <c r="Y4965" t="s">
        <v>97</v>
      </c>
      <c r="Z4965" t="s">
        <v>77</v>
      </c>
      <c r="AA4965" t="str">
        <f>"10024-6049"</f>
        <v>10024-6049</v>
      </c>
      <c r="AB4965" t="s">
        <v>78</v>
      </c>
      <c r="AC4965" t="s">
        <v>79</v>
      </c>
      <c r="AD4965" t="s">
        <v>75</v>
      </c>
      <c r="AE4965" t="s">
        <v>80</v>
      </c>
      <c r="AG4965" t="s">
        <v>81</v>
      </c>
    </row>
    <row r="4966" spans="1:33" x14ac:dyDescent="0.25">
      <c r="A4966" t="str">
        <f>"1346246675"</f>
        <v>1346246675</v>
      </c>
      <c r="B4966" t="str">
        <f>"01133191"</f>
        <v>01133191</v>
      </c>
      <c r="C4966" t="s">
        <v>13436</v>
      </c>
      <c r="D4966" t="s">
        <v>24824</v>
      </c>
      <c r="E4966" t="s">
        <v>24825</v>
      </c>
      <c r="G4966" t="s">
        <v>24826</v>
      </c>
      <c r="L4966" t="s">
        <v>74</v>
      </c>
      <c r="M4966" t="s">
        <v>85</v>
      </c>
      <c r="R4966" t="s">
        <v>24827</v>
      </c>
      <c r="W4966" t="s">
        <v>24825</v>
      </c>
      <c r="X4966" t="s">
        <v>24828</v>
      </c>
      <c r="Y4966" t="s">
        <v>97</v>
      </c>
      <c r="Z4966" t="s">
        <v>77</v>
      </c>
      <c r="AA4966" t="str">
        <f>"10011-8305"</f>
        <v>10011-8305</v>
      </c>
      <c r="AB4966" t="s">
        <v>78</v>
      </c>
      <c r="AC4966" t="s">
        <v>79</v>
      </c>
      <c r="AD4966" t="s">
        <v>75</v>
      </c>
      <c r="AE4966" t="s">
        <v>80</v>
      </c>
      <c r="AG4966" t="s">
        <v>81</v>
      </c>
    </row>
    <row r="4967" spans="1:33" x14ac:dyDescent="0.25">
      <c r="A4967" t="str">
        <f>"1346401320"</f>
        <v>1346401320</v>
      </c>
      <c r="B4967" t="str">
        <f>"03415327"</f>
        <v>03415327</v>
      </c>
      <c r="C4967" t="s">
        <v>13436</v>
      </c>
      <c r="D4967" t="s">
        <v>24829</v>
      </c>
      <c r="E4967" t="s">
        <v>24830</v>
      </c>
      <c r="G4967" t="s">
        <v>24831</v>
      </c>
      <c r="L4967" t="s">
        <v>84</v>
      </c>
      <c r="M4967" t="s">
        <v>85</v>
      </c>
      <c r="R4967" t="s">
        <v>24832</v>
      </c>
      <c r="W4967" t="s">
        <v>24830</v>
      </c>
      <c r="AB4967" t="s">
        <v>78</v>
      </c>
      <c r="AC4967" t="s">
        <v>79</v>
      </c>
      <c r="AD4967" t="s">
        <v>75</v>
      </c>
      <c r="AE4967" t="s">
        <v>80</v>
      </c>
      <c r="AG4967" t="s">
        <v>81</v>
      </c>
    </row>
    <row r="4968" spans="1:33" x14ac:dyDescent="0.25">
      <c r="A4968" t="str">
        <f>"1497879779"</f>
        <v>1497879779</v>
      </c>
      <c r="B4968" t="str">
        <f>"04389382"</f>
        <v>04389382</v>
      </c>
      <c r="C4968" t="s">
        <v>13436</v>
      </c>
      <c r="D4968" t="s">
        <v>24833</v>
      </c>
      <c r="E4968" t="s">
        <v>24834</v>
      </c>
      <c r="G4968" t="s">
        <v>24835</v>
      </c>
      <c r="L4968" t="s">
        <v>74</v>
      </c>
      <c r="M4968" t="s">
        <v>75</v>
      </c>
      <c r="R4968" t="s">
        <v>24836</v>
      </c>
      <c r="W4968" t="s">
        <v>24834</v>
      </c>
      <c r="X4968" t="s">
        <v>15010</v>
      </c>
      <c r="Y4968" t="s">
        <v>129</v>
      </c>
      <c r="Z4968" t="s">
        <v>77</v>
      </c>
      <c r="AA4968" t="str">
        <f>"11372-7032"</f>
        <v>11372-7032</v>
      </c>
      <c r="AB4968" t="s">
        <v>78</v>
      </c>
      <c r="AC4968" t="s">
        <v>79</v>
      </c>
      <c r="AD4968" t="s">
        <v>75</v>
      </c>
      <c r="AE4968" t="s">
        <v>80</v>
      </c>
      <c r="AG4968" t="s">
        <v>81</v>
      </c>
    </row>
    <row r="4969" spans="1:33" x14ac:dyDescent="0.25">
      <c r="A4969" t="str">
        <f>"1508827866"</f>
        <v>1508827866</v>
      </c>
      <c r="B4969" t="str">
        <f>"01457203"</f>
        <v>01457203</v>
      </c>
      <c r="C4969" t="s">
        <v>13436</v>
      </c>
      <c r="D4969" t="s">
        <v>24837</v>
      </c>
      <c r="E4969" t="s">
        <v>24838</v>
      </c>
      <c r="G4969" t="s">
        <v>24839</v>
      </c>
      <c r="L4969" t="s">
        <v>84</v>
      </c>
      <c r="M4969" t="s">
        <v>85</v>
      </c>
      <c r="R4969" t="s">
        <v>24840</v>
      </c>
      <c r="W4969" t="s">
        <v>24841</v>
      </c>
      <c r="X4969" t="s">
        <v>24842</v>
      </c>
      <c r="Y4969" t="s">
        <v>97</v>
      </c>
      <c r="Z4969" t="s">
        <v>77</v>
      </c>
      <c r="AA4969" t="str">
        <f>"10029-6500"</f>
        <v>10029-6500</v>
      </c>
      <c r="AB4969" t="s">
        <v>78</v>
      </c>
      <c r="AC4969" t="s">
        <v>79</v>
      </c>
      <c r="AD4969" t="s">
        <v>75</v>
      </c>
      <c r="AE4969" t="s">
        <v>80</v>
      </c>
      <c r="AG4969" t="s">
        <v>81</v>
      </c>
    </row>
    <row r="4970" spans="1:33" x14ac:dyDescent="0.25">
      <c r="A4970" t="str">
        <f>"1508832031"</f>
        <v>1508832031</v>
      </c>
      <c r="B4970" t="str">
        <f>"01870093"</f>
        <v>01870093</v>
      </c>
      <c r="C4970" t="s">
        <v>13436</v>
      </c>
      <c r="D4970" t="s">
        <v>24843</v>
      </c>
      <c r="E4970" t="s">
        <v>24844</v>
      </c>
      <c r="G4970" t="s">
        <v>24845</v>
      </c>
      <c r="L4970" t="s">
        <v>74</v>
      </c>
      <c r="M4970" t="s">
        <v>85</v>
      </c>
      <c r="R4970" t="s">
        <v>24846</v>
      </c>
      <c r="W4970" t="s">
        <v>24847</v>
      </c>
      <c r="X4970" t="s">
        <v>24848</v>
      </c>
      <c r="Y4970" t="s">
        <v>546</v>
      </c>
      <c r="Z4970" t="s">
        <v>77</v>
      </c>
      <c r="AA4970" t="str">
        <f>"10579-3505"</f>
        <v>10579-3505</v>
      </c>
      <c r="AB4970" t="s">
        <v>78</v>
      </c>
      <c r="AC4970" t="s">
        <v>79</v>
      </c>
      <c r="AD4970" t="s">
        <v>75</v>
      </c>
      <c r="AE4970" t="s">
        <v>80</v>
      </c>
      <c r="AG4970" t="s">
        <v>81</v>
      </c>
    </row>
    <row r="4971" spans="1:33" x14ac:dyDescent="0.25">
      <c r="A4971" t="str">
        <f>"1508849019"</f>
        <v>1508849019</v>
      </c>
      <c r="B4971" t="str">
        <f>"02364698"</f>
        <v>02364698</v>
      </c>
      <c r="C4971" t="s">
        <v>13436</v>
      </c>
      <c r="D4971" t="s">
        <v>24849</v>
      </c>
      <c r="E4971" t="s">
        <v>24850</v>
      </c>
      <c r="G4971" t="s">
        <v>24851</v>
      </c>
      <c r="L4971" t="s">
        <v>83</v>
      </c>
      <c r="M4971" t="s">
        <v>85</v>
      </c>
      <c r="R4971" t="s">
        <v>24852</v>
      </c>
      <c r="W4971" t="s">
        <v>24850</v>
      </c>
      <c r="X4971" t="s">
        <v>24853</v>
      </c>
      <c r="Y4971" t="s">
        <v>97</v>
      </c>
      <c r="Z4971" t="s">
        <v>77</v>
      </c>
      <c r="AA4971" t="str">
        <f>"10029-6500"</f>
        <v>10029-6500</v>
      </c>
      <c r="AB4971" t="s">
        <v>78</v>
      </c>
      <c r="AC4971" t="s">
        <v>79</v>
      </c>
      <c r="AD4971" t="s">
        <v>75</v>
      </c>
      <c r="AE4971" t="s">
        <v>80</v>
      </c>
      <c r="AG4971" t="s">
        <v>81</v>
      </c>
    </row>
    <row r="4972" spans="1:33" x14ac:dyDescent="0.25">
      <c r="A4972" t="str">
        <f>"1275572927"</f>
        <v>1275572927</v>
      </c>
      <c r="B4972" t="str">
        <f>"01035809"</f>
        <v>01035809</v>
      </c>
      <c r="C4972" t="s">
        <v>13436</v>
      </c>
      <c r="D4972" t="s">
        <v>24854</v>
      </c>
      <c r="E4972" t="s">
        <v>24855</v>
      </c>
      <c r="G4972" t="s">
        <v>24856</v>
      </c>
      <c r="L4972" t="s">
        <v>74</v>
      </c>
      <c r="M4972" t="s">
        <v>75</v>
      </c>
      <c r="R4972" t="s">
        <v>24857</v>
      </c>
      <c r="W4972" t="s">
        <v>24855</v>
      </c>
      <c r="X4972" t="s">
        <v>24858</v>
      </c>
      <c r="Y4972" t="s">
        <v>97</v>
      </c>
      <c r="Z4972" t="s">
        <v>77</v>
      </c>
      <c r="AA4972" t="str">
        <f>"10003-3804"</f>
        <v>10003-3804</v>
      </c>
      <c r="AB4972" t="s">
        <v>78</v>
      </c>
      <c r="AC4972" t="s">
        <v>79</v>
      </c>
      <c r="AD4972" t="s">
        <v>75</v>
      </c>
      <c r="AE4972" t="s">
        <v>80</v>
      </c>
      <c r="AG4972" t="s">
        <v>81</v>
      </c>
    </row>
    <row r="4973" spans="1:33" x14ac:dyDescent="0.25">
      <c r="A4973" t="str">
        <f>"1285733014"</f>
        <v>1285733014</v>
      </c>
      <c r="B4973" t="str">
        <f>"01873532"</f>
        <v>01873532</v>
      </c>
      <c r="C4973" t="s">
        <v>13436</v>
      </c>
      <c r="D4973" t="s">
        <v>4637</v>
      </c>
      <c r="E4973" t="s">
        <v>4638</v>
      </c>
      <c r="G4973" t="s">
        <v>24859</v>
      </c>
      <c r="L4973" t="s">
        <v>74</v>
      </c>
      <c r="M4973" t="s">
        <v>85</v>
      </c>
      <c r="R4973" t="s">
        <v>4639</v>
      </c>
      <c r="W4973" t="s">
        <v>4638</v>
      </c>
      <c r="X4973" t="s">
        <v>4640</v>
      </c>
      <c r="Y4973" t="s">
        <v>97</v>
      </c>
      <c r="Z4973" t="s">
        <v>77</v>
      </c>
      <c r="AA4973" t="str">
        <f>"10019-8022"</f>
        <v>10019-8022</v>
      </c>
      <c r="AB4973" t="s">
        <v>78</v>
      </c>
      <c r="AC4973" t="s">
        <v>79</v>
      </c>
      <c r="AD4973" t="s">
        <v>75</v>
      </c>
      <c r="AE4973" t="s">
        <v>80</v>
      </c>
      <c r="AG4973" t="s">
        <v>81</v>
      </c>
    </row>
    <row r="4974" spans="1:33" x14ac:dyDescent="0.25">
      <c r="A4974" t="str">
        <f>"1295034023"</f>
        <v>1295034023</v>
      </c>
      <c r="B4974" t="str">
        <f>"03923493"</f>
        <v>03923493</v>
      </c>
      <c r="C4974" t="s">
        <v>13436</v>
      </c>
      <c r="D4974" t="s">
        <v>24860</v>
      </c>
      <c r="E4974" t="s">
        <v>24861</v>
      </c>
      <c r="G4974" t="s">
        <v>24862</v>
      </c>
      <c r="L4974" t="s">
        <v>74</v>
      </c>
      <c r="M4974" t="s">
        <v>75</v>
      </c>
      <c r="R4974" t="s">
        <v>24861</v>
      </c>
      <c r="W4974" t="s">
        <v>24861</v>
      </c>
      <c r="X4974" t="s">
        <v>329</v>
      </c>
      <c r="Y4974" t="s">
        <v>97</v>
      </c>
      <c r="Z4974" t="s">
        <v>77</v>
      </c>
      <c r="AA4974" t="str">
        <f>"10029-6504"</f>
        <v>10029-6504</v>
      </c>
      <c r="AB4974" t="s">
        <v>78</v>
      </c>
      <c r="AC4974" t="s">
        <v>79</v>
      </c>
      <c r="AD4974" t="s">
        <v>75</v>
      </c>
      <c r="AE4974" t="s">
        <v>80</v>
      </c>
      <c r="AG4974" t="s">
        <v>81</v>
      </c>
    </row>
    <row r="4975" spans="1:33" x14ac:dyDescent="0.25">
      <c r="A4975" t="str">
        <f>"1295712438"</f>
        <v>1295712438</v>
      </c>
      <c r="B4975" t="str">
        <f>"01026833"</f>
        <v>01026833</v>
      </c>
      <c r="C4975" t="s">
        <v>13436</v>
      </c>
      <c r="D4975" t="s">
        <v>24863</v>
      </c>
      <c r="E4975" t="s">
        <v>24864</v>
      </c>
      <c r="G4975" t="s">
        <v>24865</v>
      </c>
      <c r="L4975" t="s">
        <v>83</v>
      </c>
      <c r="M4975" t="s">
        <v>75</v>
      </c>
      <c r="R4975" t="s">
        <v>24866</v>
      </c>
      <c r="W4975" t="s">
        <v>24864</v>
      </c>
      <c r="X4975" t="s">
        <v>24867</v>
      </c>
      <c r="Y4975" t="s">
        <v>97</v>
      </c>
      <c r="Z4975" t="s">
        <v>77</v>
      </c>
      <c r="AA4975" t="str">
        <f>"10019"</f>
        <v>10019</v>
      </c>
      <c r="AB4975" t="s">
        <v>78</v>
      </c>
      <c r="AC4975" t="s">
        <v>79</v>
      </c>
      <c r="AD4975" t="s">
        <v>75</v>
      </c>
      <c r="AE4975" t="s">
        <v>80</v>
      </c>
      <c r="AG4975" t="s">
        <v>81</v>
      </c>
    </row>
    <row r="4976" spans="1:33" x14ac:dyDescent="0.25">
      <c r="A4976" t="str">
        <f>"1295757797"</f>
        <v>1295757797</v>
      </c>
      <c r="B4976" t="str">
        <f>"03220179"</f>
        <v>03220179</v>
      </c>
      <c r="C4976" t="s">
        <v>13436</v>
      </c>
      <c r="D4976" t="s">
        <v>24868</v>
      </c>
      <c r="E4976" t="s">
        <v>24869</v>
      </c>
      <c r="G4976" t="s">
        <v>24870</v>
      </c>
      <c r="L4976" t="s">
        <v>84</v>
      </c>
      <c r="M4976" t="s">
        <v>85</v>
      </c>
      <c r="R4976" t="s">
        <v>24871</v>
      </c>
      <c r="W4976" t="s">
        <v>24872</v>
      </c>
      <c r="X4976" t="s">
        <v>11379</v>
      </c>
      <c r="Y4976" t="s">
        <v>97</v>
      </c>
      <c r="Z4976" t="s">
        <v>77</v>
      </c>
      <c r="AA4976" t="str">
        <f>"10029-6504"</f>
        <v>10029-6504</v>
      </c>
      <c r="AB4976" t="s">
        <v>78</v>
      </c>
      <c r="AC4976" t="s">
        <v>79</v>
      </c>
      <c r="AD4976" t="s">
        <v>75</v>
      </c>
      <c r="AE4976" t="s">
        <v>80</v>
      </c>
      <c r="AG4976" t="s">
        <v>81</v>
      </c>
    </row>
    <row r="4977" spans="1:33" x14ac:dyDescent="0.25">
      <c r="A4977" t="str">
        <f>"1295779908"</f>
        <v>1295779908</v>
      </c>
      <c r="B4977" t="str">
        <f>"03225463"</f>
        <v>03225463</v>
      </c>
      <c r="C4977" t="s">
        <v>13436</v>
      </c>
      <c r="D4977" t="s">
        <v>24873</v>
      </c>
      <c r="E4977" t="s">
        <v>24874</v>
      </c>
      <c r="G4977" t="s">
        <v>24875</v>
      </c>
      <c r="L4977" t="s">
        <v>84</v>
      </c>
      <c r="M4977" t="s">
        <v>75</v>
      </c>
      <c r="R4977" t="s">
        <v>24874</v>
      </c>
      <c r="W4977" t="s">
        <v>24874</v>
      </c>
      <c r="X4977" t="s">
        <v>329</v>
      </c>
      <c r="Y4977" t="s">
        <v>97</v>
      </c>
      <c r="Z4977" t="s">
        <v>77</v>
      </c>
      <c r="AA4977" t="str">
        <f>"10029-6504"</f>
        <v>10029-6504</v>
      </c>
      <c r="AB4977" t="s">
        <v>78</v>
      </c>
      <c r="AC4977" t="s">
        <v>79</v>
      </c>
      <c r="AD4977" t="s">
        <v>75</v>
      </c>
      <c r="AE4977" t="s">
        <v>80</v>
      </c>
      <c r="AG4977" t="s">
        <v>81</v>
      </c>
    </row>
    <row r="4978" spans="1:33" x14ac:dyDescent="0.25">
      <c r="A4978" t="str">
        <f>"1295820355"</f>
        <v>1295820355</v>
      </c>
      <c r="B4978" t="str">
        <f>"02315997"</f>
        <v>02315997</v>
      </c>
      <c r="C4978" t="s">
        <v>13436</v>
      </c>
      <c r="D4978" t="s">
        <v>24876</v>
      </c>
      <c r="E4978" t="s">
        <v>24877</v>
      </c>
      <c r="G4978" t="s">
        <v>24878</v>
      </c>
      <c r="L4978" t="s">
        <v>74</v>
      </c>
      <c r="M4978" t="s">
        <v>75</v>
      </c>
      <c r="R4978" t="s">
        <v>24879</v>
      </c>
      <c r="W4978" t="s">
        <v>24877</v>
      </c>
      <c r="X4978" t="s">
        <v>1734</v>
      </c>
      <c r="Y4978" t="s">
        <v>97</v>
      </c>
      <c r="Z4978" t="s">
        <v>77</v>
      </c>
      <c r="AA4978" t="str">
        <f>"10032-3726"</f>
        <v>10032-3726</v>
      </c>
      <c r="AB4978" t="s">
        <v>78</v>
      </c>
      <c r="AC4978" t="s">
        <v>79</v>
      </c>
      <c r="AD4978" t="s">
        <v>75</v>
      </c>
      <c r="AE4978" t="s">
        <v>80</v>
      </c>
      <c r="AG4978" t="s">
        <v>81</v>
      </c>
    </row>
    <row r="4979" spans="1:33" x14ac:dyDescent="0.25">
      <c r="A4979" t="str">
        <f>"1528098118"</f>
        <v>1528098118</v>
      </c>
      <c r="B4979" t="str">
        <f>"01947988"</f>
        <v>01947988</v>
      </c>
      <c r="C4979" t="s">
        <v>13436</v>
      </c>
      <c r="D4979" t="s">
        <v>24880</v>
      </c>
      <c r="E4979" t="s">
        <v>24881</v>
      </c>
      <c r="G4979" t="s">
        <v>24882</v>
      </c>
      <c r="L4979" t="s">
        <v>83</v>
      </c>
      <c r="M4979" t="s">
        <v>85</v>
      </c>
      <c r="R4979" t="s">
        <v>24883</v>
      </c>
      <c r="W4979" t="s">
        <v>24881</v>
      </c>
      <c r="X4979" t="s">
        <v>24884</v>
      </c>
      <c r="Y4979" t="s">
        <v>131</v>
      </c>
      <c r="Z4979" t="s">
        <v>77</v>
      </c>
      <c r="AA4979" t="str">
        <f>"10463"</f>
        <v>10463</v>
      </c>
      <c r="AB4979" t="s">
        <v>78</v>
      </c>
      <c r="AC4979" t="s">
        <v>79</v>
      </c>
      <c r="AD4979" t="s">
        <v>75</v>
      </c>
      <c r="AE4979" t="s">
        <v>80</v>
      </c>
      <c r="AG4979" t="s">
        <v>81</v>
      </c>
    </row>
    <row r="4980" spans="1:33" x14ac:dyDescent="0.25">
      <c r="A4980" t="str">
        <f>"1528142023"</f>
        <v>1528142023</v>
      </c>
      <c r="B4980" t="str">
        <f>"01345739"</f>
        <v>01345739</v>
      </c>
      <c r="C4980" t="s">
        <v>13436</v>
      </c>
      <c r="D4980" t="s">
        <v>24885</v>
      </c>
      <c r="E4980" t="s">
        <v>24886</v>
      </c>
      <c r="G4980" t="s">
        <v>24887</v>
      </c>
      <c r="L4980" t="s">
        <v>83</v>
      </c>
      <c r="M4980" t="s">
        <v>85</v>
      </c>
      <c r="R4980" t="s">
        <v>24886</v>
      </c>
      <c r="W4980" t="s">
        <v>24886</v>
      </c>
      <c r="X4980" t="s">
        <v>14871</v>
      </c>
      <c r="Y4980" t="s">
        <v>97</v>
      </c>
      <c r="Z4980" t="s">
        <v>77</v>
      </c>
      <c r="AA4980" t="str">
        <f>"10003"</f>
        <v>10003</v>
      </c>
      <c r="AB4980" t="s">
        <v>78</v>
      </c>
      <c r="AC4980" t="s">
        <v>79</v>
      </c>
      <c r="AD4980" t="s">
        <v>75</v>
      </c>
      <c r="AE4980" t="s">
        <v>80</v>
      </c>
      <c r="AG4980" t="s">
        <v>81</v>
      </c>
    </row>
    <row r="4981" spans="1:33" x14ac:dyDescent="0.25">
      <c r="A4981" t="str">
        <f>"1528165917"</f>
        <v>1528165917</v>
      </c>
      <c r="B4981" t="str">
        <f>"02944163"</f>
        <v>02944163</v>
      </c>
      <c r="C4981" t="s">
        <v>13436</v>
      </c>
      <c r="D4981" t="s">
        <v>24888</v>
      </c>
      <c r="E4981" t="s">
        <v>24889</v>
      </c>
      <c r="G4981" t="s">
        <v>24890</v>
      </c>
      <c r="L4981" t="s">
        <v>83</v>
      </c>
      <c r="M4981" t="s">
        <v>85</v>
      </c>
      <c r="R4981" t="s">
        <v>5548</v>
      </c>
      <c r="W4981" t="s">
        <v>24889</v>
      </c>
      <c r="X4981" t="s">
        <v>17704</v>
      </c>
      <c r="Y4981" t="s">
        <v>97</v>
      </c>
      <c r="Z4981" t="s">
        <v>77</v>
      </c>
      <c r="AA4981" t="str">
        <f>"10075-0319"</f>
        <v>10075-0319</v>
      </c>
      <c r="AB4981" t="s">
        <v>78</v>
      </c>
      <c r="AC4981" t="s">
        <v>79</v>
      </c>
      <c r="AD4981" t="s">
        <v>75</v>
      </c>
      <c r="AE4981" t="s">
        <v>80</v>
      </c>
      <c r="AG4981" t="s">
        <v>81</v>
      </c>
    </row>
    <row r="4982" spans="1:33" x14ac:dyDescent="0.25">
      <c r="A4982" t="str">
        <f>"1528155694"</f>
        <v>1528155694</v>
      </c>
      <c r="B4982" t="str">
        <f>"01665916"</f>
        <v>01665916</v>
      </c>
      <c r="C4982" t="s">
        <v>24891</v>
      </c>
      <c r="D4982" t="s">
        <v>2771</v>
      </c>
      <c r="E4982" t="s">
        <v>2772</v>
      </c>
      <c r="G4982" t="s">
        <v>12446</v>
      </c>
      <c r="H4982" t="s">
        <v>797</v>
      </c>
      <c r="J4982" t="s">
        <v>3051</v>
      </c>
      <c r="L4982" t="s">
        <v>84</v>
      </c>
      <c r="M4982" t="s">
        <v>75</v>
      </c>
      <c r="R4982" t="s">
        <v>2773</v>
      </c>
      <c r="W4982" t="s">
        <v>2772</v>
      </c>
      <c r="X4982" t="s">
        <v>2774</v>
      </c>
      <c r="Y4982" t="s">
        <v>97</v>
      </c>
      <c r="Z4982" t="s">
        <v>77</v>
      </c>
      <c r="AA4982" t="str">
        <f>"10021-4872"</f>
        <v>10021-4872</v>
      </c>
      <c r="AB4982" t="s">
        <v>78</v>
      </c>
      <c r="AC4982" t="s">
        <v>79</v>
      </c>
      <c r="AD4982" t="s">
        <v>75</v>
      </c>
      <c r="AE4982" t="s">
        <v>80</v>
      </c>
      <c r="AG4982" t="s">
        <v>81</v>
      </c>
    </row>
    <row r="4983" spans="1:33" x14ac:dyDescent="0.25">
      <c r="A4983" t="str">
        <f>"1528231016"</f>
        <v>1528231016</v>
      </c>
      <c r="B4983" t="str">
        <f>"03417856"</f>
        <v>03417856</v>
      </c>
      <c r="C4983" t="s">
        <v>24892</v>
      </c>
      <c r="D4983" t="s">
        <v>3455</v>
      </c>
      <c r="E4983" t="s">
        <v>3456</v>
      </c>
      <c r="G4983" t="s">
        <v>12446</v>
      </c>
      <c r="H4983" t="s">
        <v>797</v>
      </c>
      <c r="J4983" t="s">
        <v>3051</v>
      </c>
      <c r="L4983" t="s">
        <v>84</v>
      </c>
      <c r="M4983" t="s">
        <v>85</v>
      </c>
      <c r="R4983" t="s">
        <v>3457</v>
      </c>
      <c r="W4983" t="s">
        <v>3456</v>
      </c>
      <c r="X4983" t="s">
        <v>3458</v>
      </c>
      <c r="Y4983" t="s">
        <v>87</v>
      </c>
      <c r="Z4983" t="s">
        <v>77</v>
      </c>
      <c r="AA4983" t="str">
        <f>"11201-4300"</f>
        <v>11201-4300</v>
      </c>
      <c r="AB4983" t="s">
        <v>78</v>
      </c>
      <c r="AC4983" t="s">
        <v>79</v>
      </c>
      <c r="AD4983" t="s">
        <v>75</v>
      </c>
      <c r="AE4983" t="s">
        <v>80</v>
      </c>
      <c r="AG4983" t="s">
        <v>81</v>
      </c>
    </row>
    <row r="4984" spans="1:33" x14ac:dyDescent="0.25">
      <c r="A4984" t="str">
        <f>"1740204833"</f>
        <v>1740204833</v>
      </c>
      <c r="B4984" t="str">
        <f>"00977573"</f>
        <v>00977573</v>
      </c>
      <c r="C4984" t="s">
        <v>24893</v>
      </c>
      <c r="D4984" t="s">
        <v>3259</v>
      </c>
      <c r="E4984" t="s">
        <v>3260</v>
      </c>
      <c r="G4984" t="s">
        <v>12446</v>
      </c>
      <c r="H4984" t="s">
        <v>797</v>
      </c>
      <c r="J4984" t="s">
        <v>3051</v>
      </c>
      <c r="L4984" t="s">
        <v>84</v>
      </c>
      <c r="M4984" t="s">
        <v>85</v>
      </c>
      <c r="R4984" t="s">
        <v>3261</v>
      </c>
      <c r="W4984" t="s">
        <v>3260</v>
      </c>
      <c r="X4984" t="s">
        <v>3262</v>
      </c>
      <c r="Y4984" t="s">
        <v>97</v>
      </c>
      <c r="Z4984" t="s">
        <v>77</v>
      </c>
      <c r="AA4984" t="str">
        <f>"10011-6609"</f>
        <v>10011-6609</v>
      </c>
      <c r="AB4984" t="s">
        <v>78</v>
      </c>
      <c r="AC4984" t="s">
        <v>79</v>
      </c>
      <c r="AD4984" t="s">
        <v>75</v>
      </c>
      <c r="AE4984" t="s">
        <v>80</v>
      </c>
      <c r="AG4984" t="s">
        <v>81</v>
      </c>
    </row>
    <row r="4985" spans="1:33" x14ac:dyDescent="0.25">
      <c r="A4985" t="str">
        <f>"1821356494"</f>
        <v>1821356494</v>
      </c>
      <c r="B4985" t="str">
        <f>"03484026"</f>
        <v>03484026</v>
      </c>
      <c r="C4985" t="s">
        <v>24894</v>
      </c>
      <c r="D4985" t="s">
        <v>2711</v>
      </c>
      <c r="E4985" t="s">
        <v>2712</v>
      </c>
      <c r="G4985" t="s">
        <v>12446</v>
      </c>
      <c r="H4985" t="s">
        <v>797</v>
      </c>
      <c r="J4985" t="s">
        <v>3051</v>
      </c>
      <c r="L4985" t="s">
        <v>84</v>
      </c>
      <c r="M4985" t="s">
        <v>85</v>
      </c>
      <c r="R4985" t="s">
        <v>2713</v>
      </c>
      <c r="W4985" t="s">
        <v>2713</v>
      </c>
      <c r="X4985" t="s">
        <v>2714</v>
      </c>
      <c r="Y4985" t="s">
        <v>97</v>
      </c>
      <c r="Z4985" t="s">
        <v>77</v>
      </c>
      <c r="AA4985" t="str">
        <f>"10032-5058"</f>
        <v>10032-5058</v>
      </c>
      <c r="AB4985" t="s">
        <v>78</v>
      </c>
      <c r="AC4985" t="s">
        <v>79</v>
      </c>
      <c r="AD4985" t="s">
        <v>75</v>
      </c>
      <c r="AE4985" t="s">
        <v>80</v>
      </c>
      <c r="AG4985" t="s">
        <v>81</v>
      </c>
    </row>
    <row r="4986" spans="1:33" x14ac:dyDescent="0.25">
      <c r="A4986" t="str">
        <f>"1376759928"</f>
        <v>1376759928</v>
      </c>
      <c r="B4986" t="str">
        <f>"04160812"</f>
        <v>04160812</v>
      </c>
      <c r="C4986" t="s">
        <v>24895</v>
      </c>
      <c r="D4986" t="s">
        <v>24896</v>
      </c>
      <c r="E4986" t="s">
        <v>24897</v>
      </c>
      <c r="G4986" t="s">
        <v>6513</v>
      </c>
      <c r="H4986" t="s">
        <v>6514</v>
      </c>
      <c r="J4986" t="s">
        <v>6515</v>
      </c>
      <c r="L4986" t="s">
        <v>102</v>
      </c>
      <c r="M4986" t="s">
        <v>75</v>
      </c>
      <c r="R4986" t="s">
        <v>24898</v>
      </c>
      <c r="W4986" t="s">
        <v>24897</v>
      </c>
      <c r="X4986" t="s">
        <v>1881</v>
      </c>
      <c r="Y4986" t="s">
        <v>97</v>
      </c>
      <c r="Z4986" t="s">
        <v>77</v>
      </c>
      <c r="AA4986" t="str">
        <f>"10119-0206"</f>
        <v>10119-0206</v>
      </c>
      <c r="AB4986" t="s">
        <v>78</v>
      </c>
      <c r="AC4986" t="s">
        <v>79</v>
      </c>
      <c r="AD4986" t="s">
        <v>75</v>
      </c>
      <c r="AE4986" t="s">
        <v>80</v>
      </c>
      <c r="AG4986" t="s">
        <v>81</v>
      </c>
    </row>
    <row r="4987" spans="1:33" x14ac:dyDescent="0.25">
      <c r="A4987" t="str">
        <f>"1922111954"</f>
        <v>1922111954</v>
      </c>
      <c r="B4987" t="str">
        <f>"02080817"</f>
        <v>02080817</v>
      </c>
      <c r="C4987" t="s">
        <v>24899</v>
      </c>
      <c r="D4987" t="s">
        <v>4310</v>
      </c>
      <c r="E4987" t="s">
        <v>4311</v>
      </c>
      <c r="G4987" t="s">
        <v>6513</v>
      </c>
      <c r="H4987" t="s">
        <v>6514</v>
      </c>
      <c r="J4987" t="s">
        <v>6515</v>
      </c>
      <c r="L4987" t="s">
        <v>94</v>
      </c>
      <c r="M4987" t="s">
        <v>85</v>
      </c>
      <c r="R4987" t="s">
        <v>4312</v>
      </c>
      <c r="W4987" t="s">
        <v>4311</v>
      </c>
      <c r="X4987" t="s">
        <v>1226</v>
      </c>
      <c r="Y4987" t="s">
        <v>87</v>
      </c>
      <c r="Z4987" t="s">
        <v>77</v>
      </c>
      <c r="AA4987" t="str">
        <f>"11201-3904"</f>
        <v>11201-3904</v>
      </c>
      <c r="AB4987" t="s">
        <v>78</v>
      </c>
      <c r="AC4987" t="s">
        <v>79</v>
      </c>
      <c r="AD4987" t="s">
        <v>75</v>
      </c>
      <c r="AE4987" t="s">
        <v>80</v>
      </c>
      <c r="AG4987" t="s">
        <v>81</v>
      </c>
    </row>
    <row r="4988" spans="1:33" x14ac:dyDescent="0.25">
      <c r="C4988" t="s">
        <v>24900</v>
      </c>
      <c r="G4988" t="s">
        <v>6513</v>
      </c>
      <c r="H4988" t="s">
        <v>6514</v>
      </c>
      <c r="J4988" t="s">
        <v>6515</v>
      </c>
      <c r="K4988" t="s">
        <v>99</v>
      </c>
      <c r="L4988" t="s">
        <v>100</v>
      </c>
      <c r="M4988" t="s">
        <v>75</v>
      </c>
      <c r="N4988" t="s">
        <v>24901</v>
      </c>
      <c r="O4988" t="s">
        <v>6410</v>
      </c>
      <c r="P4988" t="s">
        <v>77</v>
      </c>
      <c r="Q4988" t="str">
        <f>"10025"</f>
        <v>10025</v>
      </c>
      <c r="AC4988" t="s">
        <v>79</v>
      </c>
      <c r="AD4988" t="s">
        <v>75</v>
      </c>
      <c r="AE4988" t="s">
        <v>101</v>
      </c>
      <c r="AG4988" t="s">
        <v>81</v>
      </c>
    </row>
    <row r="4989" spans="1:33" x14ac:dyDescent="0.25">
      <c r="A4989" t="str">
        <f>"1225007271"</f>
        <v>1225007271</v>
      </c>
      <c r="B4989" t="str">
        <f>"02751242"</f>
        <v>02751242</v>
      </c>
      <c r="C4989" t="s">
        <v>24902</v>
      </c>
      <c r="D4989" t="s">
        <v>24903</v>
      </c>
      <c r="E4989" t="s">
        <v>24904</v>
      </c>
      <c r="G4989" t="s">
        <v>15545</v>
      </c>
      <c r="H4989" t="s">
        <v>7060</v>
      </c>
      <c r="J4989" t="s">
        <v>7061</v>
      </c>
      <c r="L4989" t="s">
        <v>143</v>
      </c>
      <c r="M4989" t="s">
        <v>85</v>
      </c>
      <c r="R4989" t="s">
        <v>24905</v>
      </c>
      <c r="W4989" t="s">
        <v>24906</v>
      </c>
      <c r="X4989" t="s">
        <v>24907</v>
      </c>
      <c r="Y4989" t="s">
        <v>97</v>
      </c>
      <c r="Z4989" t="s">
        <v>77</v>
      </c>
      <c r="AA4989" t="str">
        <f>"10019-2002"</f>
        <v>10019-2002</v>
      </c>
      <c r="AB4989" t="s">
        <v>78</v>
      </c>
      <c r="AC4989" t="s">
        <v>79</v>
      </c>
      <c r="AD4989" t="s">
        <v>75</v>
      </c>
      <c r="AE4989" t="s">
        <v>80</v>
      </c>
      <c r="AG4989" t="s">
        <v>81</v>
      </c>
    </row>
    <row r="4990" spans="1:33" x14ac:dyDescent="0.25">
      <c r="A4990" t="str">
        <f>"1750456166"</f>
        <v>1750456166</v>
      </c>
      <c r="B4990" t="str">
        <f>"01060131"</f>
        <v>01060131</v>
      </c>
      <c r="C4990" t="s">
        <v>24908</v>
      </c>
      <c r="D4990" t="s">
        <v>24909</v>
      </c>
      <c r="E4990" t="s">
        <v>24910</v>
      </c>
      <c r="G4990" t="s">
        <v>15545</v>
      </c>
      <c r="H4990" t="s">
        <v>7060</v>
      </c>
      <c r="J4990" t="s">
        <v>7061</v>
      </c>
      <c r="L4990" t="s">
        <v>84</v>
      </c>
      <c r="M4990" t="s">
        <v>75</v>
      </c>
      <c r="R4990" t="s">
        <v>24911</v>
      </c>
      <c r="W4990" t="s">
        <v>24912</v>
      </c>
      <c r="X4990" t="s">
        <v>24913</v>
      </c>
      <c r="Y4990" t="s">
        <v>97</v>
      </c>
      <c r="Z4990" t="s">
        <v>77</v>
      </c>
      <c r="AA4990" t="str">
        <f>"10040-1604"</f>
        <v>10040-1604</v>
      </c>
      <c r="AB4990" t="s">
        <v>78</v>
      </c>
      <c r="AC4990" t="s">
        <v>79</v>
      </c>
      <c r="AD4990" t="s">
        <v>75</v>
      </c>
      <c r="AE4990" t="s">
        <v>80</v>
      </c>
      <c r="AG4990" t="s">
        <v>81</v>
      </c>
    </row>
    <row r="4991" spans="1:33" x14ac:dyDescent="0.25">
      <c r="A4991" t="str">
        <f>"1932297538"</f>
        <v>1932297538</v>
      </c>
      <c r="B4991" t="str">
        <f>"01523344"</f>
        <v>01523344</v>
      </c>
      <c r="C4991" t="s">
        <v>24914</v>
      </c>
      <c r="D4991" t="s">
        <v>24915</v>
      </c>
      <c r="E4991" t="s">
        <v>24916</v>
      </c>
      <c r="G4991" t="s">
        <v>13504</v>
      </c>
      <c r="H4991" t="s">
        <v>13505</v>
      </c>
      <c r="J4991" t="s">
        <v>13506</v>
      </c>
      <c r="L4991" t="s">
        <v>84</v>
      </c>
      <c r="M4991" t="s">
        <v>75</v>
      </c>
      <c r="R4991" t="s">
        <v>24917</v>
      </c>
      <c r="W4991" t="s">
        <v>24916</v>
      </c>
      <c r="X4991" t="s">
        <v>24918</v>
      </c>
      <c r="Y4991" t="s">
        <v>87</v>
      </c>
      <c r="Z4991" t="s">
        <v>77</v>
      </c>
      <c r="AA4991" t="str">
        <f>"11212"</f>
        <v>11212</v>
      </c>
      <c r="AB4991" t="s">
        <v>78</v>
      </c>
      <c r="AC4991" t="s">
        <v>79</v>
      </c>
      <c r="AD4991" t="s">
        <v>75</v>
      </c>
      <c r="AE4991" t="s">
        <v>80</v>
      </c>
      <c r="AG4991" t="s">
        <v>81</v>
      </c>
    </row>
    <row r="4992" spans="1:33" x14ac:dyDescent="0.25">
      <c r="A4992" t="str">
        <f>"1164497913"</f>
        <v>1164497913</v>
      </c>
      <c r="B4992" t="str">
        <f>"01155691"</f>
        <v>01155691</v>
      </c>
      <c r="C4992" t="s">
        <v>24919</v>
      </c>
      <c r="D4992" t="s">
        <v>24920</v>
      </c>
      <c r="E4992" t="s">
        <v>24921</v>
      </c>
      <c r="G4992" t="s">
        <v>13504</v>
      </c>
      <c r="H4992" t="s">
        <v>13505</v>
      </c>
      <c r="J4992" t="s">
        <v>13506</v>
      </c>
      <c r="L4992" t="s">
        <v>84</v>
      </c>
      <c r="M4992" t="s">
        <v>75</v>
      </c>
      <c r="R4992" t="s">
        <v>24922</v>
      </c>
      <c r="W4992" t="s">
        <v>24921</v>
      </c>
      <c r="X4992" t="s">
        <v>24923</v>
      </c>
      <c r="Y4992" t="s">
        <v>87</v>
      </c>
      <c r="Z4992" t="s">
        <v>77</v>
      </c>
      <c r="AA4992" t="str">
        <f>"11235-8519"</f>
        <v>11235-8519</v>
      </c>
      <c r="AB4992" t="s">
        <v>78</v>
      </c>
      <c r="AC4992" t="s">
        <v>79</v>
      </c>
      <c r="AD4992" t="s">
        <v>75</v>
      </c>
      <c r="AE4992" t="s">
        <v>80</v>
      </c>
      <c r="AG4992" t="s">
        <v>81</v>
      </c>
    </row>
    <row r="4993" spans="1:33" x14ac:dyDescent="0.25">
      <c r="A4993" t="str">
        <f>"1043565625"</f>
        <v>1043565625</v>
      </c>
      <c r="B4993" t="str">
        <f>"04228222"</f>
        <v>04228222</v>
      </c>
      <c r="C4993" t="s">
        <v>24924</v>
      </c>
      <c r="D4993" t="s">
        <v>24925</v>
      </c>
      <c r="E4993" t="s">
        <v>24926</v>
      </c>
      <c r="G4993" t="s">
        <v>7218</v>
      </c>
      <c r="H4993" t="s">
        <v>6801</v>
      </c>
      <c r="I4993">
        <v>6136</v>
      </c>
      <c r="J4993" t="s">
        <v>7219</v>
      </c>
      <c r="L4993" t="s">
        <v>74</v>
      </c>
      <c r="M4993" t="s">
        <v>75</v>
      </c>
      <c r="R4993" t="s">
        <v>24927</v>
      </c>
      <c r="W4993" t="s">
        <v>24926</v>
      </c>
      <c r="X4993" t="s">
        <v>4869</v>
      </c>
      <c r="Y4993" t="s">
        <v>97</v>
      </c>
      <c r="Z4993" t="s">
        <v>77</v>
      </c>
      <c r="AA4993" t="str">
        <f>"10011-6701"</f>
        <v>10011-6701</v>
      </c>
      <c r="AB4993" t="s">
        <v>113</v>
      </c>
      <c r="AC4993" t="s">
        <v>79</v>
      </c>
      <c r="AD4993" t="s">
        <v>75</v>
      </c>
      <c r="AE4993" t="s">
        <v>80</v>
      </c>
      <c r="AG4993" t="s">
        <v>81</v>
      </c>
    </row>
    <row r="4994" spans="1:33" x14ac:dyDescent="0.25">
      <c r="A4994" t="str">
        <f>"1053510164"</f>
        <v>1053510164</v>
      </c>
      <c r="B4994" t="str">
        <f>"03635921"</f>
        <v>03635921</v>
      </c>
      <c r="C4994" t="s">
        <v>24928</v>
      </c>
      <c r="D4994" t="s">
        <v>24929</v>
      </c>
      <c r="E4994" t="s">
        <v>24930</v>
      </c>
      <c r="G4994" t="s">
        <v>7218</v>
      </c>
      <c r="H4994" t="s">
        <v>6801</v>
      </c>
      <c r="I4994">
        <v>6136</v>
      </c>
      <c r="J4994" t="s">
        <v>7219</v>
      </c>
      <c r="L4994" t="s">
        <v>74</v>
      </c>
      <c r="M4994" t="s">
        <v>75</v>
      </c>
      <c r="R4994" t="s">
        <v>24931</v>
      </c>
      <c r="W4994" t="s">
        <v>24930</v>
      </c>
      <c r="X4994" t="s">
        <v>24932</v>
      </c>
      <c r="Y4994" t="s">
        <v>171</v>
      </c>
      <c r="Z4994" t="s">
        <v>77</v>
      </c>
      <c r="AA4994" t="str">
        <f>"11432-1120"</f>
        <v>11432-1120</v>
      </c>
      <c r="AB4994" t="s">
        <v>109</v>
      </c>
      <c r="AC4994" t="s">
        <v>79</v>
      </c>
      <c r="AD4994" t="s">
        <v>75</v>
      </c>
      <c r="AE4994" t="s">
        <v>80</v>
      </c>
      <c r="AG4994" t="s">
        <v>81</v>
      </c>
    </row>
    <row r="4995" spans="1:33" x14ac:dyDescent="0.25">
      <c r="A4995" t="str">
        <f>"1053677955"</f>
        <v>1053677955</v>
      </c>
      <c r="B4995" t="str">
        <f>"04317644"</f>
        <v>04317644</v>
      </c>
      <c r="C4995" t="s">
        <v>24933</v>
      </c>
      <c r="D4995" t="s">
        <v>24934</v>
      </c>
      <c r="E4995" t="s">
        <v>24935</v>
      </c>
      <c r="G4995" t="s">
        <v>7218</v>
      </c>
      <c r="H4995" t="s">
        <v>6801</v>
      </c>
      <c r="I4995">
        <v>6136</v>
      </c>
      <c r="J4995" t="s">
        <v>7219</v>
      </c>
      <c r="L4995" t="s">
        <v>74</v>
      </c>
      <c r="M4995" t="s">
        <v>75</v>
      </c>
      <c r="R4995" t="s">
        <v>24936</v>
      </c>
      <c r="W4995" t="s">
        <v>24935</v>
      </c>
      <c r="X4995" t="s">
        <v>2997</v>
      </c>
      <c r="Y4995" t="s">
        <v>87</v>
      </c>
      <c r="Z4995" t="s">
        <v>77</v>
      </c>
      <c r="AA4995" t="str">
        <f>"11201-4333"</f>
        <v>11201-4333</v>
      </c>
      <c r="AB4995" t="s">
        <v>113</v>
      </c>
      <c r="AC4995" t="s">
        <v>79</v>
      </c>
      <c r="AD4995" t="s">
        <v>75</v>
      </c>
      <c r="AE4995" t="s">
        <v>80</v>
      </c>
      <c r="AG4995" t="s">
        <v>81</v>
      </c>
    </row>
    <row r="4996" spans="1:33" x14ac:dyDescent="0.25">
      <c r="A4996" t="str">
        <f>"1063786549"</f>
        <v>1063786549</v>
      </c>
      <c r="B4996" t="str">
        <f>"03808028"</f>
        <v>03808028</v>
      </c>
      <c r="C4996" t="s">
        <v>24937</v>
      </c>
      <c r="D4996" t="s">
        <v>24938</v>
      </c>
      <c r="E4996" t="s">
        <v>24939</v>
      </c>
      <c r="G4996" t="s">
        <v>7218</v>
      </c>
      <c r="H4996" t="s">
        <v>6801</v>
      </c>
      <c r="I4996">
        <v>6136</v>
      </c>
      <c r="J4996" t="s">
        <v>7219</v>
      </c>
      <c r="L4996" t="s">
        <v>74</v>
      </c>
      <c r="M4996" t="s">
        <v>75</v>
      </c>
      <c r="R4996" t="s">
        <v>24939</v>
      </c>
      <c r="W4996" t="s">
        <v>24939</v>
      </c>
      <c r="X4996" t="s">
        <v>3538</v>
      </c>
      <c r="Y4996" t="s">
        <v>131</v>
      </c>
      <c r="Z4996" t="s">
        <v>77</v>
      </c>
      <c r="AA4996" t="str">
        <f>"10461-5726"</f>
        <v>10461-5726</v>
      </c>
      <c r="AB4996" t="s">
        <v>109</v>
      </c>
      <c r="AC4996" t="s">
        <v>79</v>
      </c>
      <c r="AD4996" t="s">
        <v>75</v>
      </c>
      <c r="AE4996" t="s">
        <v>80</v>
      </c>
      <c r="AG4996" t="s">
        <v>81</v>
      </c>
    </row>
    <row r="4997" spans="1:33" x14ac:dyDescent="0.25">
      <c r="A4997" t="str">
        <f>"1407171424"</f>
        <v>1407171424</v>
      </c>
      <c r="B4997" t="str">
        <f>"03368792"</f>
        <v>03368792</v>
      </c>
      <c r="C4997" t="s">
        <v>13436</v>
      </c>
      <c r="D4997" t="s">
        <v>24940</v>
      </c>
      <c r="E4997" t="s">
        <v>24941</v>
      </c>
      <c r="G4997" t="s">
        <v>24942</v>
      </c>
      <c r="L4997" t="s">
        <v>105</v>
      </c>
      <c r="M4997" t="s">
        <v>75</v>
      </c>
      <c r="R4997" t="s">
        <v>24943</v>
      </c>
      <c r="W4997" t="s">
        <v>24944</v>
      </c>
      <c r="X4997" t="s">
        <v>272</v>
      </c>
      <c r="Y4997" t="s">
        <v>97</v>
      </c>
      <c r="Z4997" t="s">
        <v>77</v>
      </c>
      <c r="AA4997" t="str">
        <f>"10029-6501"</f>
        <v>10029-6501</v>
      </c>
      <c r="AB4997" t="s">
        <v>125</v>
      </c>
      <c r="AC4997" t="s">
        <v>79</v>
      </c>
      <c r="AD4997" t="s">
        <v>75</v>
      </c>
      <c r="AE4997" t="s">
        <v>80</v>
      </c>
      <c r="AG4997" t="s">
        <v>81</v>
      </c>
    </row>
    <row r="4998" spans="1:33" x14ac:dyDescent="0.25">
      <c r="A4998" t="str">
        <f>"1407189079"</f>
        <v>1407189079</v>
      </c>
      <c r="C4998" t="s">
        <v>13436</v>
      </c>
      <c r="G4998" t="s">
        <v>24945</v>
      </c>
      <c r="K4998" t="s">
        <v>99</v>
      </c>
      <c r="L4998" t="s">
        <v>102</v>
      </c>
      <c r="M4998" t="s">
        <v>75</v>
      </c>
      <c r="R4998" t="s">
        <v>24946</v>
      </c>
      <c r="S4998" t="s">
        <v>329</v>
      </c>
      <c r="T4998" t="s">
        <v>77</v>
      </c>
      <c r="U4998" t="s">
        <v>77</v>
      </c>
      <c r="V4998" t="str">
        <f>"10029"</f>
        <v>10029</v>
      </c>
      <c r="AC4998" t="s">
        <v>79</v>
      </c>
      <c r="AD4998" t="s">
        <v>75</v>
      </c>
      <c r="AE4998" t="s">
        <v>103</v>
      </c>
      <c r="AG4998" t="s">
        <v>81</v>
      </c>
    </row>
    <row r="4999" spans="1:33" x14ac:dyDescent="0.25">
      <c r="A4999" t="str">
        <f>"1831489178"</f>
        <v>1831489178</v>
      </c>
      <c r="C4999" t="s">
        <v>24947</v>
      </c>
      <c r="G4999" t="s">
        <v>7218</v>
      </c>
      <c r="H4999" t="s">
        <v>6801</v>
      </c>
      <c r="I4999">
        <v>6136</v>
      </c>
      <c r="J4999" t="s">
        <v>7219</v>
      </c>
      <c r="K4999" t="s">
        <v>99</v>
      </c>
      <c r="L4999" t="s">
        <v>102</v>
      </c>
      <c r="M4999" t="s">
        <v>75</v>
      </c>
      <c r="R4999" t="s">
        <v>24948</v>
      </c>
      <c r="S4999" t="s">
        <v>24949</v>
      </c>
      <c r="T4999" t="s">
        <v>87</v>
      </c>
      <c r="U4999" t="s">
        <v>77</v>
      </c>
      <c r="V4999" t="str">
        <f>"112294730"</f>
        <v>112294730</v>
      </c>
      <c r="AC4999" t="s">
        <v>79</v>
      </c>
      <c r="AD4999" t="s">
        <v>75</v>
      </c>
      <c r="AE4999" t="s">
        <v>103</v>
      </c>
      <c r="AG4999" t="s">
        <v>81</v>
      </c>
    </row>
    <row r="5000" spans="1:33" x14ac:dyDescent="0.25">
      <c r="A5000" t="str">
        <f>"1841358033"</f>
        <v>1841358033</v>
      </c>
      <c r="C5000" t="s">
        <v>24950</v>
      </c>
      <c r="G5000" t="s">
        <v>7218</v>
      </c>
      <c r="H5000" t="s">
        <v>6801</v>
      </c>
      <c r="I5000">
        <v>6136</v>
      </c>
      <c r="J5000" t="s">
        <v>7219</v>
      </c>
      <c r="K5000" t="s">
        <v>99</v>
      </c>
      <c r="L5000" t="s">
        <v>102</v>
      </c>
      <c r="M5000" t="s">
        <v>75</v>
      </c>
      <c r="R5000" t="s">
        <v>24951</v>
      </c>
      <c r="S5000" t="s">
        <v>24952</v>
      </c>
      <c r="T5000" t="s">
        <v>97</v>
      </c>
      <c r="U5000" t="s">
        <v>77</v>
      </c>
      <c r="V5000" t="str">
        <f>"100384812"</f>
        <v>100384812</v>
      </c>
      <c r="AC5000" t="s">
        <v>79</v>
      </c>
      <c r="AD5000" t="s">
        <v>75</v>
      </c>
      <c r="AE5000" t="s">
        <v>103</v>
      </c>
      <c r="AG5000" t="s">
        <v>81</v>
      </c>
    </row>
    <row r="5001" spans="1:33" x14ac:dyDescent="0.25">
      <c r="A5001" t="str">
        <f>"1841597655"</f>
        <v>1841597655</v>
      </c>
      <c r="C5001" t="s">
        <v>24953</v>
      </c>
      <c r="G5001" t="s">
        <v>7218</v>
      </c>
      <c r="H5001" t="s">
        <v>6801</v>
      </c>
      <c r="I5001">
        <v>6136</v>
      </c>
      <c r="J5001" t="s">
        <v>7219</v>
      </c>
      <c r="K5001" t="s">
        <v>99</v>
      </c>
      <c r="L5001" t="s">
        <v>102</v>
      </c>
      <c r="M5001" t="s">
        <v>75</v>
      </c>
      <c r="R5001" t="s">
        <v>24954</v>
      </c>
      <c r="S5001" t="s">
        <v>24955</v>
      </c>
      <c r="T5001" t="s">
        <v>131</v>
      </c>
      <c r="U5001" t="s">
        <v>77</v>
      </c>
      <c r="V5001" t="str">
        <f>"104611314"</f>
        <v>104611314</v>
      </c>
      <c r="AC5001" t="s">
        <v>79</v>
      </c>
      <c r="AD5001" t="s">
        <v>75</v>
      </c>
      <c r="AE5001" t="s">
        <v>103</v>
      </c>
      <c r="AG5001" t="s">
        <v>81</v>
      </c>
    </row>
    <row r="5002" spans="1:33" x14ac:dyDescent="0.25">
      <c r="A5002" t="str">
        <f>"1295773174"</f>
        <v>1295773174</v>
      </c>
      <c r="B5002" t="str">
        <f>"01007721"</f>
        <v>01007721</v>
      </c>
      <c r="C5002" t="s">
        <v>13436</v>
      </c>
      <c r="D5002" t="s">
        <v>24956</v>
      </c>
      <c r="E5002" t="s">
        <v>24957</v>
      </c>
      <c r="G5002" t="s">
        <v>24958</v>
      </c>
      <c r="L5002" t="s">
        <v>83</v>
      </c>
      <c r="M5002" t="s">
        <v>85</v>
      </c>
      <c r="R5002" t="s">
        <v>24959</v>
      </c>
      <c r="W5002" t="s">
        <v>24957</v>
      </c>
      <c r="X5002" t="s">
        <v>2770</v>
      </c>
      <c r="Y5002" t="s">
        <v>97</v>
      </c>
      <c r="Z5002" t="s">
        <v>77</v>
      </c>
      <c r="AA5002" t="str">
        <f>"10003-2674"</f>
        <v>10003-2674</v>
      </c>
      <c r="AB5002" t="s">
        <v>78</v>
      </c>
      <c r="AC5002" t="s">
        <v>79</v>
      </c>
      <c r="AD5002" t="s">
        <v>75</v>
      </c>
      <c r="AE5002" t="s">
        <v>80</v>
      </c>
      <c r="AG5002" t="s">
        <v>81</v>
      </c>
    </row>
    <row r="5003" spans="1:33" x14ac:dyDescent="0.25">
      <c r="A5003" t="str">
        <f>"1295793933"</f>
        <v>1295793933</v>
      </c>
      <c r="B5003" t="str">
        <f>"02008280"</f>
        <v>02008280</v>
      </c>
      <c r="C5003" t="s">
        <v>13436</v>
      </c>
      <c r="D5003" t="s">
        <v>24960</v>
      </c>
      <c r="E5003" t="s">
        <v>24961</v>
      </c>
      <c r="G5003" t="s">
        <v>24962</v>
      </c>
      <c r="L5003" t="s">
        <v>83</v>
      </c>
      <c r="M5003" t="s">
        <v>85</v>
      </c>
      <c r="R5003" t="s">
        <v>24963</v>
      </c>
      <c r="W5003" t="s">
        <v>24964</v>
      </c>
      <c r="X5003" t="s">
        <v>15724</v>
      </c>
      <c r="Y5003" t="s">
        <v>97</v>
      </c>
      <c r="Z5003" t="s">
        <v>77</v>
      </c>
      <c r="AA5003" t="str">
        <f>"10011-2202"</f>
        <v>10011-2202</v>
      </c>
      <c r="AB5003" t="s">
        <v>78</v>
      </c>
      <c r="AC5003" t="s">
        <v>79</v>
      </c>
      <c r="AD5003" t="s">
        <v>75</v>
      </c>
      <c r="AE5003" t="s">
        <v>80</v>
      </c>
      <c r="AG5003" t="s">
        <v>81</v>
      </c>
    </row>
    <row r="5004" spans="1:33" x14ac:dyDescent="0.25">
      <c r="A5004" t="str">
        <f>"1295887784"</f>
        <v>1295887784</v>
      </c>
      <c r="B5004" t="str">
        <f>"01016513"</f>
        <v>01016513</v>
      </c>
      <c r="C5004" t="s">
        <v>13436</v>
      </c>
      <c r="D5004" t="s">
        <v>24965</v>
      </c>
      <c r="E5004" t="s">
        <v>24966</v>
      </c>
      <c r="G5004" t="s">
        <v>24967</v>
      </c>
      <c r="L5004" t="s">
        <v>83</v>
      </c>
      <c r="M5004" t="s">
        <v>85</v>
      </c>
      <c r="R5004" t="s">
        <v>24968</v>
      </c>
      <c r="W5004" t="s">
        <v>24969</v>
      </c>
      <c r="X5004" t="s">
        <v>3553</v>
      </c>
      <c r="Y5004" t="s">
        <v>97</v>
      </c>
      <c r="Z5004" t="s">
        <v>77</v>
      </c>
      <c r="AA5004" t="str">
        <f>"10003-3851"</f>
        <v>10003-3851</v>
      </c>
      <c r="AB5004" t="s">
        <v>78</v>
      </c>
      <c r="AC5004" t="s">
        <v>79</v>
      </c>
      <c r="AD5004" t="s">
        <v>75</v>
      </c>
      <c r="AE5004" t="s">
        <v>80</v>
      </c>
      <c r="AG5004" t="s">
        <v>81</v>
      </c>
    </row>
    <row r="5005" spans="1:33" x14ac:dyDescent="0.25">
      <c r="A5005" t="str">
        <f>"1295900447"</f>
        <v>1295900447</v>
      </c>
      <c r="B5005" t="str">
        <f>"03235485"</f>
        <v>03235485</v>
      </c>
      <c r="C5005" t="s">
        <v>13436</v>
      </c>
      <c r="D5005" t="s">
        <v>24970</v>
      </c>
      <c r="E5005" t="s">
        <v>24971</v>
      </c>
      <c r="G5005" t="s">
        <v>24972</v>
      </c>
      <c r="L5005" t="s">
        <v>83</v>
      </c>
      <c r="M5005" t="s">
        <v>85</v>
      </c>
      <c r="R5005" t="s">
        <v>24973</v>
      </c>
      <c r="W5005" t="s">
        <v>24971</v>
      </c>
      <c r="X5005" t="s">
        <v>3433</v>
      </c>
      <c r="Y5005" t="s">
        <v>97</v>
      </c>
      <c r="Z5005" t="s">
        <v>77</v>
      </c>
      <c r="AA5005" t="str">
        <f>"10003-3805"</f>
        <v>10003-3805</v>
      </c>
      <c r="AB5005" t="s">
        <v>78</v>
      </c>
      <c r="AC5005" t="s">
        <v>79</v>
      </c>
      <c r="AD5005" t="s">
        <v>75</v>
      </c>
      <c r="AE5005" t="s">
        <v>80</v>
      </c>
      <c r="AG5005" t="s">
        <v>81</v>
      </c>
    </row>
    <row r="5006" spans="1:33" x14ac:dyDescent="0.25">
      <c r="A5006" t="str">
        <f>"1306017918"</f>
        <v>1306017918</v>
      </c>
      <c r="C5006" t="s">
        <v>13436</v>
      </c>
      <c r="G5006" t="s">
        <v>24974</v>
      </c>
      <c r="K5006" t="s">
        <v>99</v>
      </c>
      <c r="L5006" t="s">
        <v>102</v>
      </c>
      <c r="M5006" t="s">
        <v>85</v>
      </c>
      <c r="R5006" t="s">
        <v>24975</v>
      </c>
      <c r="S5006" t="s">
        <v>24976</v>
      </c>
      <c r="T5006" t="s">
        <v>97</v>
      </c>
      <c r="U5006" t="s">
        <v>77</v>
      </c>
      <c r="V5006" t="str">
        <f>"100037707"</f>
        <v>100037707</v>
      </c>
      <c r="AC5006" t="s">
        <v>79</v>
      </c>
      <c r="AD5006" t="s">
        <v>75</v>
      </c>
      <c r="AE5006" t="s">
        <v>103</v>
      </c>
      <c r="AG5006" t="s">
        <v>81</v>
      </c>
    </row>
    <row r="5007" spans="1:33" x14ac:dyDescent="0.25">
      <c r="A5007" t="str">
        <f>"1306839097"</f>
        <v>1306839097</v>
      </c>
      <c r="B5007" t="str">
        <f>"01863767"</f>
        <v>01863767</v>
      </c>
      <c r="C5007" t="s">
        <v>13436</v>
      </c>
      <c r="D5007" t="s">
        <v>24977</v>
      </c>
      <c r="E5007" t="s">
        <v>24978</v>
      </c>
      <c r="G5007" t="s">
        <v>24979</v>
      </c>
      <c r="L5007" t="s">
        <v>84</v>
      </c>
      <c r="M5007" t="s">
        <v>85</v>
      </c>
      <c r="R5007" t="s">
        <v>24980</v>
      </c>
      <c r="W5007" t="s">
        <v>24978</v>
      </c>
      <c r="X5007" t="s">
        <v>181</v>
      </c>
      <c r="Y5007" t="s">
        <v>97</v>
      </c>
      <c r="Z5007" t="s">
        <v>77</v>
      </c>
      <c r="AA5007" t="str">
        <f>"10025-1716"</f>
        <v>10025-1716</v>
      </c>
      <c r="AB5007" t="s">
        <v>78</v>
      </c>
      <c r="AC5007" t="s">
        <v>79</v>
      </c>
      <c r="AD5007" t="s">
        <v>75</v>
      </c>
      <c r="AE5007" t="s">
        <v>80</v>
      </c>
      <c r="AG5007" t="s">
        <v>81</v>
      </c>
    </row>
    <row r="5008" spans="1:33" x14ac:dyDescent="0.25">
      <c r="A5008" t="str">
        <f>"1306839394"</f>
        <v>1306839394</v>
      </c>
      <c r="B5008" t="str">
        <f>"01506156"</f>
        <v>01506156</v>
      </c>
      <c r="C5008" t="s">
        <v>13436</v>
      </c>
      <c r="D5008" t="s">
        <v>24981</v>
      </c>
      <c r="E5008" t="s">
        <v>24982</v>
      </c>
      <c r="G5008" t="s">
        <v>24983</v>
      </c>
      <c r="L5008" t="s">
        <v>84</v>
      </c>
      <c r="M5008" t="s">
        <v>85</v>
      </c>
      <c r="R5008" t="s">
        <v>24984</v>
      </c>
      <c r="W5008" t="s">
        <v>24982</v>
      </c>
      <c r="X5008" t="s">
        <v>24391</v>
      </c>
      <c r="Y5008" t="s">
        <v>97</v>
      </c>
      <c r="Z5008" t="s">
        <v>77</v>
      </c>
      <c r="AA5008" t="str">
        <f>"10019-1147"</f>
        <v>10019-1147</v>
      </c>
      <c r="AB5008" t="s">
        <v>78</v>
      </c>
      <c r="AC5008" t="s">
        <v>79</v>
      </c>
      <c r="AD5008" t="s">
        <v>75</v>
      </c>
      <c r="AE5008" t="s">
        <v>80</v>
      </c>
      <c r="AG5008" t="s">
        <v>81</v>
      </c>
    </row>
    <row r="5009" spans="1:33" x14ac:dyDescent="0.25">
      <c r="A5009" t="str">
        <f>"1922012657"</f>
        <v>1922012657</v>
      </c>
      <c r="B5009" t="str">
        <f>"00436159"</f>
        <v>00436159</v>
      </c>
      <c r="C5009" t="s">
        <v>24985</v>
      </c>
      <c r="D5009" t="s">
        <v>24986</v>
      </c>
      <c r="E5009" t="s">
        <v>24987</v>
      </c>
      <c r="G5009" t="s">
        <v>13504</v>
      </c>
      <c r="H5009" t="s">
        <v>13505</v>
      </c>
      <c r="J5009" t="s">
        <v>13506</v>
      </c>
      <c r="L5009" t="s">
        <v>84</v>
      </c>
      <c r="M5009" t="s">
        <v>85</v>
      </c>
      <c r="R5009" t="s">
        <v>24988</v>
      </c>
      <c r="W5009" t="s">
        <v>24987</v>
      </c>
      <c r="X5009" t="s">
        <v>24989</v>
      </c>
      <c r="Y5009" t="s">
        <v>87</v>
      </c>
      <c r="Z5009" t="s">
        <v>77</v>
      </c>
      <c r="AA5009" t="str">
        <f>"11201-5493"</f>
        <v>11201-5493</v>
      </c>
      <c r="AB5009" t="s">
        <v>78</v>
      </c>
      <c r="AC5009" t="s">
        <v>79</v>
      </c>
      <c r="AD5009" t="s">
        <v>75</v>
      </c>
      <c r="AE5009" t="s">
        <v>80</v>
      </c>
      <c r="AG5009" t="s">
        <v>81</v>
      </c>
    </row>
    <row r="5010" spans="1:33" x14ac:dyDescent="0.25">
      <c r="A5010" t="str">
        <f>"1235176355"</f>
        <v>1235176355</v>
      </c>
      <c r="B5010" t="str">
        <f>"00199748"</f>
        <v>00199748</v>
      </c>
      <c r="C5010" t="s">
        <v>24990</v>
      </c>
      <c r="D5010" t="s">
        <v>24991</v>
      </c>
      <c r="E5010" t="s">
        <v>24992</v>
      </c>
      <c r="G5010" t="s">
        <v>13504</v>
      </c>
      <c r="H5010" t="s">
        <v>13505</v>
      </c>
      <c r="J5010" t="s">
        <v>13506</v>
      </c>
      <c r="L5010" t="s">
        <v>83</v>
      </c>
      <c r="M5010" t="s">
        <v>85</v>
      </c>
      <c r="R5010" t="s">
        <v>24993</v>
      </c>
      <c r="W5010" t="s">
        <v>24992</v>
      </c>
      <c r="X5010" t="s">
        <v>24994</v>
      </c>
      <c r="Y5010" t="s">
        <v>87</v>
      </c>
      <c r="Z5010" t="s">
        <v>77</v>
      </c>
      <c r="AA5010" t="str">
        <f>"11211-4853"</f>
        <v>11211-4853</v>
      </c>
      <c r="AB5010" t="s">
        <v>78</v>
      </c>
      <c r="AC5010" t="s">
        <v>79</v>
      </c>
      <c r="AD5010" t="s">
        <v>75</v>
      </c>
      <c r="AE5010" t="s">
        <v>80</v>
      </c>
      <c r="AG5010" t="s">
        <v>81</v>
      </c>
    </row>
    <row r="5011" spans="1:33" x14ac:dyDescent="0.25">
      <c r="A5011" t="str">
        <f>"1679582456"</f>
        <v>1679582456</v>
      </c>
      <c r="B5011" t="str">
        <f>"00200115"</f>
        <v>00200115</v>
      </c>
      <c r="C5011" t="s">
        <v>24995</v>
      </c>
      <c r="D5011" t="s">
        <v>1217</v>
      </c>
      <c r="E5011" t="s">
        <v>1218</v>
      </c>
      <c r="G5011" t="s">
        <v>13504</v>
      </c>
      <c r="H5011" t="s">
        <v>13505</v>
      </c>
      <c r="J5011" t="s">
        <v>13506</v>
      </c>
      <c r="L5011" t="s">
        <v>83</v>
      </c>
      <c r="M5011" t="s">
        <v>85</v>
      </c>
      <c r="R5011" t="s">
        <v>1219</v>
      </c>
      <c r="W5011" t="s">
        <v>1220</v>
      </c>
      <c r="X5011" t="s">
        <v>202</v>
      </c>
      <c r="Y5011" t="s">
        <v>87</v>
      </c>
      <c r="Z5011" t="s">
        <v>77</v>
      </c>
      <c r="AA5011" t="str">
        <f>"11201-5425"</f>
        <v>11201-5425</v>
      </c>
      <c r="AB5011" t="s">
        <v>78</v>
      </c>
      <c r="AC5011" t="s">
        <v>79</v>
      </c>
      <c r="AD5011" t="s">
        <v>75</v>
      </c>
      <c r="AE5011" t="s">
        <v>80</v>
      </c>
      <c r="AG5011" t="s">
        <v>81</v>
      </c>
    </row>
    <row r="5012" spans="1:33" x14ac:dyDescent="0.25">
      <c r="A5012" t="str">
        <f>"1558563445"</f>
        <v>1558563445</v>
      </c>
      <c r="B5012" t="str">
        <f>"03439163"</f>
        <v>03439163</v>
      </c>
      <c r="C5012" t="s">
        <v>13436</v>
      </c>
      <c r="D5012" t="s">
        <v>24996</v>
      </c>
      <c r="E5012" t="s">
        <v>24997</v>
      </c>
      <c r="G5012" t="s">
        <v>24998</v>
      </c>
      <c r="L5012" t="s">
        <v>74</v>
      </c>
      <c r="M5012" t="s">
        <v>85</v>
      </c>
      <c r="R5012" t="s">
        <v>24999</v>
      </c>
      <c r="W5012" t="s">
        <v>24997</v>
      </c>
      <c r="X5012" t="s">
        <v>25000</v>
      </c>
      <c r="Y5012" t="s">
        <v>97</v>
      </c>
      <c r="Z5012" t="s">
        <v>77</v>
      </c>
      <c r="AA5012" t="str">
        <f>"10019-8022"</f>
        <v>10019-8022</v>
      </c>
      <c r="AB5012" t="s">
        <v>78</v>
      </c>
      <c r="AC5012" t="s">
        <v>79</v>
      </c>
      <c r="AD5012" t="s">
        <v>75</v>
      </c>
      <c r="AE5012" t="s">
        <v>80</v>
      </c>
      <c r="AG5012" t="s">
        <v>81</v>
      </c>
    </row>
    <row r="5013" spans="1:33" x14ac:dyDescent="0.25">
      <c r="A5013" t="str">
        <f>"1568618809"</f>
        <v>1568618809</v>
      </c>
      <c r="B5013" t="str">
        <f>"03455781"</f>
        <v>03455781</v>
      </c>
      <c r="C5013" t="s">
        <v>13436</v>
      </c>
      <c r="D5013" t="s">
        <v>5609</v>
      </c>
      <c r="E5013" t="s">
        <v>5610</v>
      </c>
      <c r="G5013" t="s">
        <v>25001</v>
      </c>
      <c r="L5013" t="s">
        <v>83</v>
      </c>
      <c r="M5013" t="s">
        <v>85</v>
      </c>
      <c r="R5013" t="s">
        <v>5611</v>
      </c>
      <c r="W5013" t="s">
        <v>5610</v>
      </c>
      <c r="X5013" t="s">
        <v>3392</v>
      </c>
      <c r="Y5013" t="s">
        <v>97</v>
      </c>
      <c r="Z5013" t="s">
        <v>77</v>
      </c>
      <c r="AA5013" t="str">
        <f>"10003-0001"</f>
        <v>10003-0001</v>
      </c>
      <c r="AB5013" t="s">
        <v>78</v>
      </c>
      <c r="AC5013" t="s">
        <v>79</v>
      </c>
      <c r="AD5013" t="s">
        <v>75</v>
      </c>
      <c r="AE5013" t="s">
        <v>80</v>
      </c>
      <c r="AG5013" t="s">
        <v>81</v>
      </c>
    </row>
    <row r="5014" spans="1:33" x14ac:dyDescent="0.25">
      <c r="A5014" t="str">
        <f>"1568692408"</f>
        <v>1568692408</v>
      </c>
      <c r="B5014" t="str">
        <f>"03364129"</f>
        <v>03364129</v>
      </c>
      <c r="C5014" t="s">
        <v>13436</v>
      </c>
      <c r="D5014" t="s">
        <v>25002</v>
      </c>
      <c r="E5014" t="s">
        <v>25003</v>
      </c>
      <c r="G5014" t="s">
        <v>25004</v>
      </c>
      <c r="L5014" t="s">
        <v>105</v>
      </c>
      <c r="M5014" t="s">
        <v>85</v>
      </c>
      <c r="R5014" t="s">
        <v>25003</v>
      </c>
      <c r="W5014" t="s">
        <v>25003</v>
      </c>
      <c r="X5014" t="s">
        <v>181</v>
      </c>
      <c r="Y5014" t="s">
        <v>97</v>
      </c>
      <c r="Z5014" t="s">
        <v>77</v>
      </c>
      <c r="AA5014" t="str">
        <f>"10025-1716"</f>
        <v>10025-1716</v>
      </c>
      <c r="AB5014" t="s">
        <v>78</v>
      </c>
      <c r="AC5014" t="s">
        <v>79</v>
      </c>
      <c r="AD5014" t="s">
        <v>75</v>
      </c>
      <c r="AE5014" t="s">
        <v>80</v>
      </c>
      <c r="AG5014" t="s">
        <v>81</v>
      </c>
    </row>
    <row r="5015" spans="1:33" x14ac:dyDescent="0.25">
      <c r="A5015" t="str">
        <f>"1568745016"</f>
        <v>1568745016</v>
      </c>
      <c r="B5015" t="str">
        <f>"03378663"</f>
        <v>03378663</v>
      </c>
      <c r="C5015" t="s">
        <v>13436</v>
      </c>
      <c r="D5015" t="s">
        <v>25005</v>
      </c>
      <c r="E5015" t="s">
        <v>25006</v>
      </c>
      <c r="G5015" t="s">
        <v>25007</v>
      </c>
      <c r="L5015" t="s">
        <v>83</v>
      </c>
      <c r="M5015" t="s">
        <v>85</v>
      </c>
      <c r="R5015" t="s">
        <v>25008</v>
      </c>
      <c r="W5015" t="s">
        <v>25009</v>
      </c>
      <c r="X5015" t="s">
        <v>25010</v>
      </c>
      <c r="Y5015" t="s">
        <v>97</v>
      </c>
      <c r="Z5015" t="s">
        <v>77</v>
      </c>
      <c r="AA5015" t="str">
        <f>"10019-8022"</f>
        <v>10019-8022</v>
      </c>
      <c r="AB5015" t="s">
        <v>78</v>
      </c>
      <c r="AC5015" t="s">
        <v>79</v>
      </c>
      <c r="AD5015" t="s">
        <v>75</v>
      </c>
      <c r="AE5015" t="s">
        <v>80</v>
      </c>
      <c r="AG5015" t="s">
        <v>81</v>
      </c>
    </row>
    <row r="5016" spans="1:33" x14ac:dyDescent="0.25">
      <c r="A5016" t="str">
        <f>"1154527695"</f>
        <v>1154527695</v>
      </c>
      <c r="B5016" t="str">
        <f>"02885830"</f>
        <v>02885830</v>
      </c>
      <c r="C5016" t="s">
        <v>13436</v>
      </c>
      <c r="D5016" t="s">
        <v>25011</v>
      </c>
      <c r="E5016" t="s">
        <v>25012</v>
      </c>
      <c r="G5016" t="s">
        <v>25013</v>
      </c>
      <c r="L5016" t="s">
        <v>83</v>
      </c>
      <c r="M5016" t="s">
        <v>85</v>
      </c>
      <c r="R5016" t="s">
        <v>25014</v>
      </c>
      <c r="W5016" t="s">
        <v>25012</v>
      </c>
      <c r="X5016" t="s">
        <v>329</v>
      </c>
      <c r="Y5016" t="s">
        <v>97</v>
      </c>
      <c r="Z5016" t="s">
        <v>77</v>
      </c>
      <c r="AA5016" t="str">
        <f>"10029-6500"</f>
        <v>10029-6500</v>
      </c>
      <c r="AB5016" t="s">
        <v>78</v>
      </c>
      <c r="AC5016" t="s">
        <v>79</v>
      </c>
      <c r="AD5016" t="s">
        <v>75</v>
      </c>
      <c r="AE5016" t="s">
        <v>80</v>
      </c>
      <c r="AG5016" t="s">
        <v>81</v>
      </c>
    </row>
    <row r="5017" spans="1:33" x14ac:dyDescent="0.25">
      <c r="A5017" t="str">
        <f>"1154552032"</f>
        <v>1154552032</v>
      </c>
      <c r="B5017" t="str">
        <f>"03778594"</f>
        <v>03778594</v>
      </c>
      <c r="C5017" t="s">
        <v>13436</v>
      </c>
      <c r="D5017" t="s">
        <v>25015</v>
      </c>
      <c r="E5017" t="s">
        <v>25016</v>
      </c>
      <c r="G5017" t="s">
        <v>25017</v>
      </c>
      <c r="L5017" t="s">
        <v>102</v>
      </c>
      <c r="M5017" t="s">
        <v>75</v>
      </c>
      <c r="R5017" t="s">
        <v>25018</v>
      </c>
      <c r="W5017" t="s">
        <v>25016</v>
      </c>
      <c r="X5017" t="s">
        <v>11156</v>
      </c>
      <c r="Y5017" t="s">
        <v>97</v>
      </c>
      <c r="Z5017" t="s">
        <v>77</v>
      </c>
      <c r="AA5017" t="str">
        <f>"10029-6504"</f>
        <v>10029-6504</v>
      </c>
      <c r="AB5017" t="s">
        <v>78</v>
      </c>
      <c r="AC5017" t="s">
        <v>79</v>
      </c>
      <c r="AD5017" t="s">
        <v>75</v>
      </c>
      <c r="AE5017" t="s">
        <v>80</v>
      </c>
      <c r="AG5017" t="s">
        <v>81</v>
      </c>
    </row>
    <row r="5018" spans="1:33" x14ac:dyDescent="0.25">
      <c r="A5018" t="str">
        <f>"1508882127"</f>
        <v>1508882127</v>
      </c>
      <c r="B5018" t="str">
        <f>"01159700"</f>
        <v>01159700</v>
      </c>
      <c r="C5018" t="s">
        <v>13436</v>
      </c>
      <c r="D5018" t="s">
        <v>25019</v>
      </c>
      <c r="E5018" t="s">
        <v>25020</v>
      </c>
      <c r="G5018" t="s">
        <v>25021</v>
      </c>
      <c r="L5018" t="s">
        <v>83</v>
      </c>
      <c r="M5018" t="s">
        <v>75</v>
      </c>
      <c r="R5018" t="s">
        <v>25022</v>
      </c>
      <c r="W5018" t="s">
        <v>25023</v>
      </c>
      <c r="X5018" t="s">
        <v>11195</v>
      </c>
      <c r="Y5018" t="s">
        <v>97</v>
      </c>
      <c r="Z5018" t="s">
        <v>77</v>
      </c>
      <c r="AA5018" t="str">
        <f>"10029-6030"</f>
        <v>10029-6030</v>
      </c>
      <c r="AB5018" t="s">
        <v>78</v>
      </c>
      <c r="AC5018" t="s">
        <v>79</v>
      </c>
      <c r="AD5018" t="s">
        <v>75</v>
      </c>
      <c r="AE5018" t="s">
        <v>80</v>
      </c>
      <c r="AG5018" t="s">
        <v>81</v>
      </c>
    </row>
    <row r="5019" spans="1:33" x14ac:dyDescent="0.25">
      <c r="A5019" t="str">
        <f>"1508897521"</f>
        <v>1508897521</v>
      </c>
      <c r="B5019" t="str">
        <f>"02840242"</f>
        <v>02840242</v>
      </c>
      <c r="C5019" t="s">
        <v>13436</v>
      </c>
      <c r="D5019" t="s">
        <v>25024</v>
      </c>
      <c r="E5019" t="s">
        <v>25025</v>
      </c>
      <c r="G5019" t="s">
        <v>25026</v>
      </c>
      <c r="L5019" t="s">
        <v>83</v>
      </c>
      <c r="M5019" t="s">
        <v>85</v>
      </c>
      <c r="R5019" t="s">
        <v>25027</v>
      </c>
      <c r="W5019" t="s">
        <v>25025</v>
      </c>
      <c r="X5019" t="s">
        <v>7850</v>
      </c>
      <c r="Y5019" t="s">
        <v>97</v>
      </c>
      <c r="Z5019" t="s">
        <v>77</v>
      </c>
      <c r="AA5019" t="str">
        <f>"10029-6501"</f>
        <v>10029-6501</v>
      </c>
      <c r="AB5019" t="s">
        <v>78</v>
      </c>
      <c r="AC5019" t="s">
        <v>79</v>
      </c>
      <c r="AD5019" t="s">
        <v>75</v>
      </c>
      <c r="AE5019" t="s">
        <v>80</v>
      </c>
      <c r="AG5019" t="s">
        <v>81</v>
      </c>
    </row>
    <row r="5020" spans="1:33" x14ac:dyDescent="0.25">
      <c r="A5020" t="str">
        <f>"1508285305"</f>
        <v>1508285305</v>
      </c>
      <c r="C5020" t="s">
        <v>13436</v>
      </c>
      <c r="K5020" t="s">
        <v>99</v>
      </c>
      <c r="L5020" t="s">
        <v>102</v>
      </c>
      <c r="M5020" t="s">
        <v>75</v>
      </c>
      <c r="R5020" t="s">
        <v>25028</v>
      </c>
      <c r="S5020" t="s">
        <v>191</v>
      </c>
      <c r="T5020" t="s">
        <v>97</v>
      </c>
      <c r="U5020" t="s">
        <v>77</v>
      </c>
      <c r="V5020" t="str">
        <f>"100191147"</f>
        <v>100191147</v>
      </c>
      <c r="AC5020" t="s">
        <v>79</v>
      </c>
      <c r="AD5020" t="s">
        <v>75</v>
      </c>
      <c r="AE5020" t="s">
        <v>103</v>
      </c>
      <c r="AG5020" t="s">
        <v>81</v>
      </c>
    </row>
    <row r="5021" spans="1:33" x14ac:dyDescent="0.25">
      <c r="A5021" t="str">
        <f>"1508293788"</f>
        <v>1508293788</v>
      </c>
      <c r="B5021" t="str">
        <f>"03806571"</f>
        <v>03806571</v>
      </c>
      <c r="C5021" t="s">
        <v>13436</v>
      </c>
      <c r="D5021" t="s">
        <v>3362</v>
      </c>
      <c r="E5021" t="s">
        <v>3363</v>
      </c>
      <c r="L5021" t="s">
        <v>83</v>
      </c>
      <c r="M5021" t="s">
        <v>75</v>
      </c>
      <c r="R5021" t="s">
        <v>3364</v>
      </c>
      <c r="W5021" t="s">
        <v>3363</v>
      </c>
      <c r="X5021" t="s">
        <v>2693</v>
      </c>
      <c r="Y5021" t="s">
        <v>131</v>
      </c>
      <c r="Z5021" t="s">
        <v>77</v>
      </c>
      <c r="AA5021" t="str">
        <f>"10456-3501"</f>
        <v>10456-3501</v>
      </c>
      <c r="AB5021" t="s">
        <v>114</v>
      </c>
      <c r="AC5021" t="s">
        <v>79</v>
      </c>
      <c r="AD5021" t="s">
        <v>75</v>
      </c>
      <c r="AE5021" t="s">
        <v>80</v>
      </c>
      <c r="AG5021" t="s">
        <v>81</v>
      </c>
    </row>
    <row r="5022" spans="1:33" x14ac:dyDescent="0.25">
      <c r="A5022" t="str">
        <f>"1508812538"</f>
        <v>1508812538</v>
      </c>
      <c r="C5022" t="s">
        <v>13436</v>
      </c>
      <c r="G5022" t="s">
        <v>25029</v>
      </c>
      <c r="K5022" t="s">
        <v>99</v>
      </c>
      <c r="L5022" t="s">
        <v>102</v>
      </c>
      <c r="M5022" t="s">
        <v>75</v>
      </c>
      <c r="R5022" t="s">
        <v>25030</v>
      </c>
      <c r="S5022" t="s">
        <v>25031</v>
      </c>
      <c r="T5022" t="s">
        <v>4557</v>
      </c>
      <c r="U5022" t="s">
        <v>739</v>
      </c>
      <c r="V5022" t="str">
        <f>"452383325"</f>
        <v>452383325</v>
      </c>
      <c r="AC5022" t="s">
        <v>79</v>
      </c>
      <c r="AD5022" t="s">
        <v>75</v>
      </c>
      <c r="AE5022" t="s">
        <v>103</v>
      </c>
      <c r="AG5022" t="s">
        <v>81</v>
      </c>
    </row>
    <row r="5023" spans="1:33" x14ac:dyDescent="0.25">
      <c r="A5023" t="str">
        <f>"1497987093"</f>
        <v>1497987093</v>
      </c>
      <c r="B5023" t="str">
        <f>"04165642"</f>
        <v>04165642</v>
      </c>
      <c r="C5023" t="s">
        <v>13436</v>
      </c>
      <c r="D5023" t="s">
        <v>25032</v>
      </c>
      <c r="E5023" t="s">
        <v>25033</v>
      </c>
      <c r="L5023" t="s">
        <v>74</v>
      </c>
      <c r="M5023" t="s">
        <v>75</v>
      </c>
      <c r="R5023" t="s">
        <v>25034</v>
      </c>
      <c r="W5023" t="s">
        <v>25033</v>
      </c>
      <c r="X5023" t="s">
        <v>4514</v>
      </c>
      <c r="Y5023" t="s">
        <v>135</v>
      </c>
      <c r="Z5023" t="s">
        <v>77</v>
      </c>
      <c r="AA5023" t="str">
        <f>"14215-3021"</f>
        <v>14215-3021</v>
      </c>
      <c r="AB5023" t="s">
        <v>78</v>
      </c>
      <c r="AC5023" t="s">
        <v>79</v>
      </c>
      <c r="AD5023" t="s">
        <v>75</v>
      </c>
      <c r="AE5023" t="s">
        <v>80</v>
      </c>
      <c r="AG5023" t="s">
        <v>81</v>
      </c>
    </row>
    <row r="5024" spans="1:33" x14ac:dyDescent="0.25">
      <c r="A5024" t="str">
        <f>"1427087915"</f>
        <v>1427087915</v>
      </c>
      <c r="B5024" t="str">
        <f>"00288257"</f>
        <v>00288257</v>
      </c>
      <c r="C5024" t="s">
        <v>25035</v>
      </c>
      <c r="D5024" t="s">
        <v>25036</v>
      </c>
      <c r="E5024" t="s">
        <v>25037</v>
      </c>
      <c r="G5024" t="s">
        <v>13504</v>
      </c>
      <c r="H5024" t="s">
        <v>13505</v>
      </c>
      <c r="J5024" t="s">
        <v>13506</v>
      </c>
      <c r="L5024" t="s">
        <v>74</v>
      </c>
      <c r="M5024" t="s">
        <v>75</v>
      </c>
      <c r="R5024" t="s">
        <v>25038</v>
      </c>
      <c r="W5024" t="s">
        <v>25037</v>
      </c>
      <c r="X5024" t="s">
        <v>543</v>
      </c>
      <c r="Y5024" t="s">
        <v>87</v>
      </c>
      <c r="Z5024" t="s">
        <v>77</v>
      </c>
      <c r="AA5024" t="str">
        <f>"11206-5317"</f>
        <v>11206-5317</v>
      </c>
      <c r="AB5024" t="s">
        <v>82</v>
      </c>
      <c r="AC5024" t="s">
        <v>79</v>
      </c>
      <c r="AD5024" t="s">
        <v>75</v>
      </c>
      <c r="AE5024" t="s">
        <v>80</v>
      </c>
      <c r="AG5024" t="s">
        <v>81</v>
      </c>
    </row>
    <row r="5025" spans="1:33" x14ac:dyDescent="0.25">
      <c r="A5025" t="str">
        <f>"1194827436"</f>
        <v>1194827436</v>
      </c>
      <c r="B5025" t="str">
        <f>"01888980"</f>
        <v>01888980</v>
      </c>
      <c r="C5025" t="s">
        <v>25039</v>
      </c>
      <c r="D5025" t="s">
        <v>25040</v>
      </c>
      <c r="E5025" t="s">
        <v>25041</v>
      </c>
      <c r="G5025" t="s">
        <v>25042</v>
      </c>
      <c r="H5025" t="s">
        <v>25043</v>
      </c>
      <c r="J5025" t="s">
        <v>3675</v>
      </c>
      <c r="L5025" t="s">
        <v>102</v>
      </c>
      <c r="M5025" t="s">
        <v>75</v>
      </c>
      <c r="R5025" t="s">
        <v>25044</v>
      </c>
      <c r="W5025" t="s">
        <v>25041</v>
      </c>
      <c r="X5025" t="s">
        <v>311</v>
      </c>
      <c r="Y5025" t="s">
        <v>87</v>
      </c>
      <c r="Z5025" t="s">
        <v>77</v>
      </c>
      <c r="AA5025" t="str">
        <f>"11220"</f>
        <v>11220</v>
      </c>
      <c r="AB5025" t="s">
        <v>78</v>
      </c>
      <c r="AC5025" t="s">
        <v>79</v>
      </c>
      <c r="AD5025" t="s">
        <v>75</v>
      </c>
      <c r="AE5025" t="s">
        <v>80</v>
      </c>
      <c r="AG5025" t="s">
        <v>81</v>
      </c>
    </row>
    <row r="5026" spans="1:33" x14ac:dyDescent="0.25">
      <c r="C5026" t="s">
        <v>25045</v>
      </c>
      <c r="K5026" t="s">
        <v>99</v>
      </c>
      <c r="L5026" t="s">
        <v>100</v>
      </c>
      <c r="M5026" t="s">
        <v>75</v>
      </c>
      <c r="N5026" t="s">
        <v>6409</v>
      </c>
      <c r="O5026" t="s">
        <v>296</v>
      </c>
      <c r="P5026" t="s">
        <v>77</v>
      </c>
      <c r="Q5026" t="str">
        <f>"10455"</f>
        <v>10455</v>
      </c>
      <c r="AC5026" t="s">
        <v>79</v>
      </c>
      <c r="AD5026" t="s">
        <v>75</v>
      </c>
      <c r="AE5026" t="s">
        <v>101</v>
      </c>
      <c r="AG5026" t="s">
        <v>81</v>
      </c>
    </row>
    <row r="5027" spans="1:33" x14ac:dyDescent="0.25">
      <c r="C5027" t="s">
        <v>25046</v>
      </c>
      <c r="K5027" t="s">
        <v>99</v>
      </c>
      <c r="L5027" t="s">
        <v>100</v>
      </c>
      <c r="M5027" t="s">
        <v>75</v>
      </c>
      <c r="N5027" t="s">
        <v>6409</v>
      </c>
      <c r="O5027" t="s">
        <v>296</v>
      </c>
      <c r="P5027" t="s">
        <v>77</v>
      </c>
      <c r="Q5027" t="str">
        <f>"10455"</f>
        <v>10455</v>
      </c>
      <c r="AC5027" t="s">
        <v>79</v>
      </c>
      <c r="AD5027" t="s">
        <v>75</v>
      </c>
      <c r="AE5027" t="s">
        <v>101</v>
      </c>
      <c r="AG5027" t="s">
        <v>81</v>
      </c>
    </row>
    <row r="5028" spans="1:33" x14ac:dyDescent="0.25">
      <c r="A5028" t="str">
        <f>"1326287921"</f>
        <v>1326287921</v>
      </c>
      <c r="B5028" t="str">
        <f>"03482428"</f>
        <v>03482428</v>
      </c>
      <c r="C5028" t="s">
        <v>25047</v>
      </c>
      <c r="D5028" t="s">
        <v>25048</v>
      </c>
      <c r="E5028" t="s">
        <v>25049</v>
      </c>
      <c r="G5028" t="s">
        <v>23941</v>
      </c>
      <c r="H5028" t="s">
        <v>23942</v>
      </c>
      <c r="J5028" t="s">
        <v>23943</v>
      </c>
      <c r="L5028" t="s">
        <v>105</v>
      </c>
      <c r="M5028" t="s">
        <v>75</v>
      </c>
      <c r="R5028" t="s">
        <v>25050</v>
      </c>
      <c r="W5028" t="s">
        <v>25049</v>
      </c>
      <c r="AB5028" t="s">
        <v>78</v>
      </c>
      <c r="AC5028" t="s">
        <v>79</v>
      </c>
      <c r="AD5028" t="s">
        <v>75</v>
      </c>
      <c r="AE5028" t="s">
        <v>80</v>
      </c>
      <c r="AG5028" t="s">
        <v>81</v>
      </c>
    </row>
    <row r="5029" spans="1:33" x14ac:dyDescent="0.25">
      <c r="A5029" t="str">
        <f>"1265587489"</f>
        <v>1265587489</v>
      </c>
      <c r="B5029" t="str">
        <f>"03792716"</f>
        <v>03792716</v>
      </c>
      <c r="C5029" t="s">
        <v>25051</v>
      </c>
      <c r="D5029" t="s">
        <v>25052</v>
      </c>
      <c r="E5029" t="s">
        <v>25053</v>
      </c>
      <c r="G5029" t="s">
        <v>23941</v>
      </c>
      <c r="H5029" t="s">
        <v>23942</v>
      </c>
      <c r="J5029" t="s">
        <v>23943</v>
      </c>
      <c r="L5029" t="s">
        <v>74</v>
      </c>
      <c r="M5029" t="s">
        <v>75</v>
      </c>
      <c r="R5029" t="s">
        <v>25053</v>
      </c>
      <c r="W5029" t="s">
        <v>25053</v>
      </c>
      <c r="X5029" t="s">
        <v>8080</v>
      </c>
      <c r="Y5029" t="s">
        <v>97</v>
      </c>
      <c r="Z5029" t="s">
        <v>77</v>
      </c>
      <c r="AA5029" t="str">
        <f>"10018-7598"</f>
        <v>10018-7598</v>
      </c>
      <c r="AB5029" t="s">
        <v>78</v>
      </c>
      <c r="AC5029" t="s">
        <v>79</v>
      </c>
      <c r="AD5029" t="s">
        <v>75</v>
      </c>
      <c r="AE5029" t="s">
        <v>80</v>
      </c>
      <c r="AG5029" t="s">
        <v>81</v>
      </c>
    </row>
    <row r="5030" spans="1:33" x14ac:dyDescent="0.25">
      <c r="A5030" t="str">
        <f>"1790018059"</f>
        <v>1790018059</v>
      </c>
      <c r="B5030" t="str">
        <f>"03195168"</f>
        <v>03195168</v>
      </c>
      <c r="C5030" t="s">
        <v>25054</v>
      </c>
      <c r="D5030" t="s">
        <v>25055</v>
      </c>
      <c r="E5030" t="s">
        <v>25056</v>
      </c>
      <c r="G5030" t="s">
        <v>13504</v>
      </c>
      <c r="H5030" t="s">
        <v>13505</v>
      </c>
      <c r="J5030" t="s">
        <v>13506</v>
      </c>
      <c r="L5030" t="s">
        <v>83</v>
      </c>
      <c r="M5030" t="s">
        <v>75</v>
      </c>
      <c r="R5030" t="s">
        <v>25057</v>
      </c>
      <c r="W5030" t="s">
        <v>25056</v>
      </c>
      <c r="X5030" t="s">
        <v>25058</v>
      </c>
      <c r="Y5030" t="s">
        <v>87</v>
      </c>
      <c r="Z5030" t="s">
        <v>77</v>
      </c>
      <c r="AA5030" t="str">
        <f>"11237-3491"</f>
        <v>11237-3491</v>
      </c>
      <c r="AB5030" t="s">
        <v>128</v>
      </c>
      <c r="AC5030" t="s">
        <v>79</v>
      </c>
      <c r="AD5030" t="s">
        <v>75</v>
      </c>
      <c r="AE5030" t="s">
        <v>80</v>
      </c>
      <c r="AG5030" t="s">
        <v>81</v>
      </c>
    </row>
    <row r="5031" spans="1:33" x14ac:dyDescent="0.25">
      <c r="A5031" t="str">
        <f>"1184805616"</f>
        <v>1184805616</v>
      </c>
      <c r="B5031" t="str">
        <f>"03305626"</f>
        <v>03305626</v>
      </c>
      <c r="C5031" t="s">
        <v>25059</v>
      </c>
      <c r="D5031" t="s">
        <v>25060</v>
      </c>
      <c r="E5031" t="s">
        <v>25061</v>
      </c>
      <c r="G5031" t="s">
        <v>13504</v>
      </c>
      <c r="H5031" t="s">
        <v>13505</v>
      </c>
      <c r="J5031" t="s">
        <v>13506</v>
      </c>
      <c r="L5031" t="s">
        <v>83</v>
      </c>
      <c r="M5031" t="s">
        <v>75</v>
      </c>
      <c r="R5031" t="s">
        <v>25062</v>
      </c>
      <c r="W5031" t="s">
        <v>25063</v>
      </c>
      <c r="X5031" t="s">
        <v>202</v>
      </c>
      <c r="Y5031" t="s">
        <v>87</v>
      </c>
      <c r="Z5031" t="s">
        <v>77</v>
      </c>
      <c r="AA5031" t="str">
        <f>"11201-5425"</f>
        <v>11201-5425</v>
      </c>
      <c r="AB5031" t="s">
        <v>78</v>
      </c>
      <c r="AC5031" t="s">
        <v>79</v>
      </c>
      <c r="AD5031" t="s">
        <v>75</v>
      </c>
      <c r="AE5031" t="s">
        <v>80</v>
      </c>
      <c r="AG5031" t="s">
        <v>81</v>
      </c>
    </row>
    <row r="5032" spans="1:33" x14ac:dyDescent="0.25">
      <c r="A5032" t="str">
        <f>"1770883415"</f>
        <v>1770883415</v>
      </c>
      <c r="B5032" t="str">
        <f>"03369064"</f>
        <v>03369064</v>
      </c>
      <c r="C5032" t="s">
        <v>25064</v>
      </c>
      <c r="D5032" t="s">
        <v>25065</v>
      </c>
      <c r="E5032" t="s">
        <v>25066</v>
      </c>
      <c r="G5032" t="s">
        <v>13504</v>
      </c>
      <c r="H5032" t="s">
        <v>13505</v>
      </c>
      <c r="J5032" t="s">
        <v>13506</v>
      </c>
      <c r="L5032" t="s">
        <v>83</v>
      </c>
      <c r="M5032" t="s">
        <v>75</v>
      </c>
      <c r="R5032" t="s">
        <v>25067</v>
      </c>
      <c r="W5032" t="s">
        <v>25066</v>
      </c>
      <c r="X5032" t="s">
        <v>3846</v>
      </c>
      <c r="Y5032" t="s">
        <v>87</v>
      </c>
      <c r="Z5032" t="s">
        <v>77</v>
      </c>
      <c r="AA5032" t="str">
        <f>"11235-6317"</f>
        <v>11235-6317</v>
      </c>
      <c r="AB5032" t="s">
        <v>128</v>
      </c>
      <c r="AC5032" t="s">
        <v>79</v>
      </c>
      <c r="AD5032" t="s">
        <v>75</v>
      </c>
      <c r="AE5032" t="s">
        <v>80</v>
      </c>
      <c r="AG5032" t="s">
        <v>81</v>
      </c>
    </row>
    <row r="5033" spans="1:33" x14ac:dyDescent="0.25">
      <c r="A5033" t="str">
        <f>"1306129341"</f>
        <v>1306129341</v>
      </c>
      <c r="B5033" t="str">
        <f>"03618760"</f>
        <v>03618760</v>
      </c>
      <c r="C5033" t="s">
        <v>25068</v>
      </c>
      <c r="D5033" t="s">
        <v>25069</v>
      </c>
      <c r="E5033" t="s">
        <v>25070</v>
      </c>
      <c r="G5033" t="s">
        <v>13504</v>
      </c>
      <c r="H5033" t="s">
        <v>13505</v>
      </c>
      <c r="J5033" t="s">
        <v>13506</v>
      </c>
      <c r="L5033" t="s">
        <v>83</v>
      </c>
      <c r="M5033" t="s">
        <v>75</v>
      </c>
      <c r="R5033" t="s">
        <v>25071</v>
      </c>
      <c r="W5033" t="s">
        <v>25070</v>
      </c>
      <c r="X5033" t="s">
        <v>25072</v>
      </c>
      <c r="Y5033" t="s">
        <v>87</v>
      </c>
      <c r="Z5033" t="s">
        <v>77</v>
      </c>
      <c r="AA5033" t="str">
        <f>"11206-7121"</f>
        <v>11206-7121</v>
      </c>
      <c r="AB5033" t="s">
        <v>128</v>
      </c>
      <c r="AC5033" t="s">
        <v>79</v>
      </c>
      <c r="AD5033" t="s">
        <v>75</v>
      </c>
      <c r="AE5033" t="s">
        <v>80</v>
      </c>
      <c r="AG5033" t="s">
        <v>81</v>
      </c>
    </row>
    <row r="5034" spans="1:33" x14ac:dyDescent="0.25">
      <c r="A5034" t="str">
        <f>"1710161864"</f>
        <v>1710161864</v>
      </c>
      <c r="B5034" t="str">
        <f>"03788896"</f>
        <v>03788896</v>
      </c>
      <c r="C5034" t="s">
        <v>25073</v>
      </c>
      <c r="D5034" t="s">
        <v>25074</v>
      </c>
      <c r="E5034" t="s">
        <v>25075</v>
      </c>
      <c r="G5034" t="s">
        <v>13504</v>
      </c>
      <c r="H5034" t="s">
        <v>13505</v>
      </c>
      <c r="J5034" t="s">
        <v>13506</v>
      </c>
      <c r="L5034" t="s">
        <v>74</v>
      </c>
      <c r="M5034" t="s">
        <v>75</v>
      </c>
      <c r="R5034" t="s">
        <v>25076</v>
      </c>
      <c r="W5034" t="s">
        <v>25075</v>
      </c>
      <c r="X5034" t="s">
        <v>202</v>
      </c>
      <c r="Y5034" t="s">
        <v>87</v>
      </c>
      <c r="Z5034" t="s">
        <v>77</v>
      </c>
      <c r="AA5034" t="str">
        <f>"11201-5425"</f>
        <v>11201-5425</v>
      </c>
      <c r="AB5034" t="s">
        <v>78</v>
      </c>
      <c r="AC5034" t="s">
        <v>79</v>
      </c>
      <c r="AD5034" t="s">
        <v>75</v>
      </c>
      <c r="AE5034" t="s">
        <v>80</v>
      </c>
      <c r="AG5034" t="s">
        <v>81</v>
      </c>
    </row>
    <row r="5035" spans="1:33" x14ac:dyDescent="0.25">
      <c r="A5035" t="str">
        <f>"1528364353"</f>
        <v>1528364353</v>
      </c>
      <c r="B5035" t="str">
        <f>"03593964"</f>
        <v>03593964</v>
      </c>
      <c r="C5035" t="s">
        <v>25077</v>
      </c>
      <c r="D5035" t="s">
        <v>25078</v>
      </c>
      <c r="E5035" t="s">
        <v>25079</v>
      </c>
      <c r="G5035" t="s">
        <v>13504</v>
      </c>
      <c r="H5035" t="s">
        <v>13505</v>
      </c>
      <c r="J5035" t="s">
        <v>13506</v>
      </c>
      <c r="L5035" t="s">
        <v>83</v>
      </c>
      <c r="M5035" t="s">
        <v>75</v>
      </c>
      <c r="R5035" t="s">
        <v>25080</v>
      </c>
      <c r="W5035" t="s">
        <v>25079</v>
      </c>
      <c r="X5035" t="s">
        <v>25081</v>
      </c>
      <c r="Y5035" t="s">
        <v>254</v>
      </c>
      <c r="Z5035" t="s">
        <v>77</v>
      </c>
      <c r="AA5035" t="str">
        <f>"11374-2645"</f>
        <v>11374-2645</v>
      </c>
      <c r="AB5035" t="s">
        <v>128</v>
      </c>
      <c r="AC5035" t="s">
        <v>79</v>
      </c>
      <c r="AD5035" t="s">
        <v>75</v>
      </c>
      <c r="AE5035" t="s">
        <v>80</v>
      </c>
      <c r="AG5035" t="s">
        <v>81</v>
      </c>
    </row>
    <row r="5036" spans="1:33" x14ac:dyDescent="0.25">
      <c r="A5036" t="str">
        <f>"1447358197"</f>
        <v>1447358197</v>
      </c>
      <c r="B5036" t="str">
        <f>"03177222"</f>
        <v>03177222</v>
      </c>
      <c r="C5036" t="s">
        <v>13436</v>
      </c>
      <c r="D5036" t="s">
        <v>25082</v>
      </c>
      <c r="E5036" t="s">
        <v>25083</v>
      </c>
      <c r="G5036" t="s">
        <v>25084</v>
      </c>
      <c r="L5036" t="s">
        <v>143</v>
      </c>
      <c r="M5036" t="s">
        <v>75</v>
      </c>
      <c r="R5036" t="s">
        <v>25085</v>
      </c>
      <c r="W5036" t="s">
        <v>25083</v>
      </c>
      <c r="X5036" t="s">
        <v>3038</v>
      </c>
      <c r="Y5036" t="s">
        <v>97</v>
      </c>
      <c r="Z5036" t="s">
        <v>77</v>
      </c>
      <c r="AA5036" t="str">
        <f>"10003-3314"</f>
        <v>10003-3314</v>
      </c>
      <c r="AB5036" t="s">
        <v>78</v>
      </c>
      <c r="AC5036" t="s">
        <v>79</v>
      </c>
      <c r="AD5036" t="s">
        <v>75</v>
      </c>
      <c r="AE5036" t="s">
        <v>80</v>
      </c>
      <c r="AG5036" t="s">
        <v>81</v>
      </c>
    </row>
    <row r="5037" spans="1:33" x14ac:dyDescent="0.25">
      <c r="A5037" t="str">
        <f>"1447364922"</f>
        <v>1447364922</v>
      </c>
      <c r="B5037" t="str">
        <f>"01551688"</f>
        <v>01551688</v>
      </c>
      <c r="C5037" t="s">
        <v>13436</v>
      </c>
      <c r="D5037" t="s">
        <v>25086</v>
      </c>
      <c r="E5037" t="s">
        <v>25087</v>
      </c>
      <c r="G5037" t="s">
        <v>25088</v>
      </c>
      <c r="L5037" t="s">
        <v>74</v>
      </c>
      <c r="M5037" t="s">
        <v>75</v>
      </c>
      <c r="R5037" t="s">
        <v>25089</v>
      </c>
      <c r="W5037" t="s">
        <v>25090</v>
      </c>
      <c r="X5037" t="s">
        <v>25091</v>
      </c>
      <c r="Y5037" t="s">
        <v>87</v>
      </c>
      <c r="Z5037" t="s">
        <v>77</v>
      </c>
      <c r="AA5037" t="str">
        <f>"11228-3625"</f>
        <v>11228-3625</v>
      </c>
      <c r="AB5037" t="s">
        <v>78</v>
      </c>
      <c r="AC5037" t="s">
        <v>79</v>
      </c>
      <c r="AD5037" t="s">
        <v>75</v>
      </c>
      <c r="AE5037" t="s">
        <v>80</v>
      </c>
      <c r="AG5037" t="s">
        <v>81</v>
      </c>
    </row>
    <row r="5038" spans="1:33" x14ac:dyDescent="0.25">
      <c r="A5038" t="str">
        <f>"1447416078"</f>
        <v>1447416078</v>
      </c>
      <c r="B5038" t="str">
        <f>"03524238"</f>
        <v>03524238</v>
      </c>
      <c r="C5038" t="s">
        <v>13436</v>
      </c>
      <c r="D5038" t="s">
        <v>25092</v>
      </c>
      <c r="E5038" t="s">
        <v>25093</v>
      </c>
      <c r="G5038" t="s">
        <v>25094</v>
      </c>
      <c r="L5038" t="s">
        <v>83</v>
      </c>
      <c r="M5038" t="s">
        <v>85</v>
      </c>
      <c r="R5038" t="s">
        <v>25095</v>
      </c>
      <c r="W5038" t="s">
        <v>25093</v>
      </c>
      <c r="X5038" t="s">
        <v>11195</v>
      </c>
      <c r="Y5038" t="s">
        <v>97</v>
      </c>
      <c r="Z5038" t="s">
        <v>77</v>
      </c>
      <c r="AA5038" t="str">
        <f>"10029-6030"</f>
        <v>10029-6030</v>
      </c>
      <c r="AB5038" t="s">
        <v>78</v>
      </c>
      <c r="AC5038" t="s">
        <v>79</v>
      </c>
      <c r="AD5038" t="s">
        <v>75</v>
      </c>
      <c r="AE5038" t="s">
        <v>80</v>
      </c>
      <c r="AG5038" t="s">
        <v>81</v>
      </c>
    </row>
    <row r="5039" spans="1:33" x14ac:dyDescent="0.25">
      <c r="A5039" t="str">
        <f>"1568493724"</f>
        <v>1568493724</v>
      </c>
      <c r="B5039" t="str">
        <f>"01195317"</f>
        <v>01195317</v>
      </c>
      <c r="C5039" t="s">
        <v>13436</v>
      </c>
      <c r="D5039" t="s">
        <v>25096</v>
      </c>
      <c r="E5039" t="s">
        <v>25097</v>
      </c>
      <c r="G5039" t="s">
        <v>25098</v>
      </c>
      <c r="L5039" t="s">
        <v>83</v>
      </c>
      <c r="M5039" t="s">
        <v>75</v>
      </c>
      <c r="R5039" t="s">
        <v>25099</v>
      </c>
      <c r="W5039" t="s">
        <v>25097</v>
      </c>
      <c r="X5039" t="s">
        <v>191</v>
      </c>
      <c r="Y5039" t="s">
        <v>97</v>
      </c>
      <c r="Z5039" t="s">
        <v>77</v>
      </c>
      <c r="AA5039" t="str">
        <f>"10019-1147"</f>
        <v>10019-1147</v>
      </c>
      <c r="AB5039" t="s">
        <v>78</v>
      </c>
      <c r="AC5039" t="s">
        <v>79</v>
      </c>
      <c r="AD5039" t="s">
        <v>75</v>
      </c>
      <c r="AE5039" t="s">
        <v>80</v>
      </c>
      <c r="AG5039" t="s">
        <v>81</v>
      </c>
    </row>
    <row r="5040" spans="1:33" x14ac:dyDescent="0.25">
      <c r="A5040" t="str">
        <f>"1568508497"</f>
        <v>1568508497</v>
      </c>
      <c r="B5040" t="str">
        <f>"01765291"</f>
        <v>01765291</v>
      </c>
      <c r="C5040" t="s">
        <v>13436</v>
      </c>
      <c r="D5040" t="s">
        <v>25100</v>
      </c>
      <c r="E5040" t="s">
        <v>25101</v>
      </c>
      <c r="G5040" t="s">
        <v>25102</v>
      </c>
      <c r="L5040" t="s">
        <v>74</v>
      </c>
      <c r="M5040" t="s">
        <v>75</v>
      </c>
      <c r="R5040" t="s">
        <v>25103</v>
      </c>
      <c r="W5040" t="s">
        <v>25104</v>
      </c>
      <c r="X5040" t="s">
        <v>25105</v>
      </c>
      <c r="Y5040" t="s">
        <v>97</v>
      </c>
      <c r="Z5040" t="s">
        <v>77</v>
      </c>
      <c r="AA5040" t="str">
        <f>"10029-6500"</f>
        <v>10029-6500</v>
      </c>
      <c r="AB5040" t="s">
        <v>78</v>
      </c>
      <c r="AC5040" t="s">
        <v>79</v>
      </c>
      <c r="AD5040" t="s">
        <v>75</v>
      </c>
      <c r="AE5040" t="s">
        <v>80</v>
      </c>
      <c r="AG5040" t="s">
        <v>81</v>
      </c>
    </row>
    <row r="5041" spans="1:33" x14ac:dyDescent="0.25">
      <c r="A5041" t="str">
        <f>"1568704179"</f>
        <v>1568704179</v>
      </c>
      <c r="C5041" t="s">
        <v>13436</v>
      </c>
      <c r="G5041" t="s">
        <v>25106</v>
      </c>
      <c r="K5041" t="s">
        <v>99</v>
      </c>
      <c r="L5041" t="s">
        <v>102</v>
      </c>
      <c r="M5041" t="s">
        <v>75</v>
      </c>
      <c r="R5041" t="s">
        <v>25107</v>
      </c>
      <c r="S5041" t="s">
        <v>329</v>
      </c>
      <c r="T5041" t="s">
        <v>97</v>
      </c>
      <c r="U5041" t="s">
        <v>77</v>
      </c>
      <c r="V5041" t="str">
        <f>"100296500"</f>
        <v>100296500</v>
      </c>
      <c r="AC5041" t="s">
        <v>79</v>
      </c>
      <c r="AD5041" t="s">
        <v>75</v>
      </c>
      <c r="AE5041" t="s">
        <v>103</v>
      </c>
      <c r="AG5041" t="s">
        <v>81</v>
      </c>
    </row>
    <row r="5042" spans="1:33" x14ac:dyDescent="0.25">
      <c r="A5042" t="str">
        <f>"1578581138"</f>
        <v>1578581138</v>
      </c>
      <c r="B5042" t="str">
        <f>"01566458"</f>
        <v>01566458</v>
      </c>
      <c r="C5042" t="s">
        <v>13436</v>
      </c>
      <c r="D5042" t="s">
        <v>25108</v>
      </c>
      <c r="E5042" t="s">
        <v>25109</v>
      </c>
      <c r="G5042" t="s">
        <v>25110</v>
      </c>
      <c r="L5042" t="s">
        <v>94</v>
      </c>
      <c r="M5042" t="s">
        <v>85</v>
      </c>
      <c r="R5042" t="s">
        <v>25109</v>
      </c>
      <c r="W5042" t="s">
        <v>25109</v>
      </c>
      <c r="X5042" t="s">
        <v>25111</v>
      </c>
      <c r="Y5042" t="s">
        <v>97</v>
      </c>
      <c r="Z5042" t="s">
        <v>77</v>
      </c>
      <c r="AA5042" t="str">
        <f>"10029-5208"</f>
        <v>10029-5208</v>
      </c>
      <c r="AB5042" t="s">
        <v>78</v>
      </c>
      <c r="AC5042" t="s">
        <v>79</v>
      </c>
      <c r="AD5042" t="s">
        <v>75</v>
      </c>
      <c r="AE5042" t="s">
        <v>80</v>
      </c>
      <c r="AG5042" t="s">
        <v>81</v>
      </c>
    </row>
    <row r="5043" spans="1:33" x14ac:dyDescent="0.25">
      <c r="A5043" t="str">
        <f>"1578611919"</f>
        <v>1578611919</v>
      </c>
      <c r="B5043" t="str">
        <f>"02439449"</f>
        <v>02439449</v>
      </c>
      <c r="C5043" t="s">
        <v>13436</v>
      </c>
      <c r="D5043" t="s">
        <v>25112</v>
      </c>
      <c r="E5043" t="s">
        <v>25113</v>
      </c>
      <c r="G5043" t="s">
        <v>25114</v>
      </c>
      <c r="L5043" t="s">
        <v>84</v>
      </c>
      <c r="M5043" t="s">
        <v>75</v>
      </c>
      <c r="R5043" t="s">
        <v>25115</v>
      </c>
      <c r="W5043" t="s">
        <v>25113</v>
      </c>
      <c r="X5043" t="s">
        <v>25116</v>
      </c>
      <c r="Y5043" t="s">
        <v>97</v>
      </c>
      <c r="Z5043" t="s">
        <v>77</v>
      </c>
      <c r="AA5043" t="str">
        <f>"10019-5504"</f>
        <v>10019-5504</v>
      </c>
      <c r="AB5043" t="s">
        <v>78</v>
      </c>
      <c r="AC5043" t="s">
        <v>79</v>
      </c>
      <c r="AD5043" t="s">
        <v>75</v>
      </c>
      <c r="AE5043" t="s">
        <v>80</v>
      </c>
      <c r="AG5043" t="s">
        <v>81</v>
      </c>
    </row>
    <row r="5044" spans="1:33" x14ac:dyDescent="0.25">
      <c r="A5044" t="str">
        <f>"1902018872"</f>
        <v>1902018872</v>
      </c>
      <c r="B5044" t="str">
        <f>"01845183"</f>
        <v>01845183</v>
      </c>
      <c r="C5044" t="s">
        <v>25117</v>
      </c>
      <c r="D5044" t="s">
        <v>25118</v>
      </c>
      <c r="E5044" t="s">
        <v>25119</v>
      </c>
      <c r="G5044" t="s">
        <v>13504</v>
      </c>
      <c r="H5044" t="s">
        <v>13505</v>
      </c>
      <c r="J5044" t="s">
        <v>13506</v>
      </c>
      <c r="L5044" t="s">
        <v>84</v>
      </c>
      <c r="M5044" t="s">
        <v>75</v>
      </c>
      <c r="R5044" t="s">
        <v>25120</v>
      </c>
      <c r="W5044" t="s">
        <v>25119</v>
      </c>
      <c r="X5044" t="s">
        <v>1006</v>
      </c>
      <c r="Y5044" t="s">
        <v>131</v>
      </c>
      <c r="Z5044" t="s">
        <v>77</v>
      </c>
      <c r="AA5044" t="str">
        <f>"10451-5589"</f>
        <v>10451-5589</v>
      </c>
      <c r="AB5044" t="s">
        <v>78</v>
      </c>
      <c r="AC5044" t="s">
        <v>79</v>
      </c>
      <c r="AD5044" t="s">
        <v>75</v>
      </c>
      <c r="AE5044" t="s">
        <v>80</v>
      </c>
      <c r="AG5044" t="s">
        <v>81</v>
      </c>
    </row>
    <row r="5045" spans="1:33" x14ac:dyDescent="0.25">
      <c r="A5045" t="str">
        <f>"1063476232"</f>
        <v>1063476232</v>
      </c>
      <c r="B5045" t="str">
        <f>"01723835"</f>
        <v>01723835</v>
      </c>
      <c r="C5045" t="s">
        <v>25121</v>
      </c>
      <c r="D5045" t="s">
        <v>25122</v>
      </c>
      <c r="E5045" t="s">
        <v>25123</v>
      </c>
      <c r="G5045" t="s">
        <v>13504</v>
      </c>
      <c r="H5045" t="s">
        <v>13505</v>
      </c>
      <c r="J5045" t="s">
        <v>13506</v>
      </c>
      <c r="L5045" t="s">
        <v>84</v>
      </c>
      <c r="M5045" t="s">
        <v>75</v>
      </c>
      <c r="R5045" t="s">
        <v>25124</v>
      </c>
      <c r="W5045" t="s">
        <v>25123</v>
      </c>
      <c r="X5045" t="s">
        <v>14532</v>
      </c>
      <c r="Y5045" t="s">
        <v>87</v>
      </c>
      <c r="Z5045" t="s">
        <v>77</v>
      </c>
      <c r="AA5045" t="str">
        <f>"11205-4924"</f>
        <v>11205-4924</v>
      </c>
      <c r="AB5045" t="s">
        <v>78</v>
      </c>
      <c r="AC5045" t="s">
        <v>79</v>
      </c>
      <c r="AD5045" t="s">
        <v>75</v>
      </c>
      <c r="AE5045" t="s">
        <v>80</v>
      </c>
      <c r="AG5045" t="s">
        <v>81</v>
      </c>
    </row>
    <row r="5046" spans="1:33" x14ac:dyDescent="0.25">
      <c r="A5046" t="str">
        <f>"1992754410"</f>
        <v>1992754410</v>
      </c>
      <c r="B5046" t="str">
        <f>"01454920"</f>
        <v>01454920</v>
      </c>
      <c r="C5046" t="s">
        <v>25125</v>
      </c>
      <c r="D5046" t="s">
        <v>25126</v>
      </c>
      <c r="E5046" t="s">
        <v>25127</v>
      </c>
      <c r="G5046" t="s">
        <v>13504</v>
      </c>
      <c r="H5046" t="s">
        <v>13505</v>
      </c>
      <c r="J5046" t="s">
        <v>13506</v>
      </c>
      <c r="L5046" t="s">
        <v>83</v>
      </c>
      <c r="M5046" t="s">
        <v>85</v>
      </c>
      <c r="R5046" t="s">
        <v>25128</v>
      </c>
      <c r="W5046" t="s">
        <v>25127</v>
      </c>
      <c r="X5046" t="s">
        <v>306</v>
      </c>
      <c r="Y5046" t="s">
        <v>97</v>
      </c>
      <c r="Z5046" t="s">
        <v>77</v>
      </c>
      <c r="AA5046" t="str">
        <f>"10003-4201"</f>
        <v>10003-4201</v>
      </c>
      <c r="AB5046" t="s">
        <v>78</v>
      </c>
      <c r="AC5046" t="s">
        <v>79</v>
      </c>
      <c r="AD5046" t="s">
        <v>75</v>
      </c>
      <c r="AE5046" t="s">
        <v>80</v>
      </c>
      <c r="AG5046" t="s">
        <v>81</v>
      </c>
    </row>
    <row r="5047" spans="1:33" x14ac:dyDescent="0.25">
      <c r="A5047" t="str">
        <f>"1245242650"</f>
        <v>1245242650</v>
      </c>
      <c r="B5047" t="str">
        <f>"01134505"</f>
        <v>01134505</v>
      </c>
      <c r="C5047" t="s">
        <v>25129</v>
      </c>
      <c r="D5047" t="s">
        <v>25130</v>
      </c>
      <c r="E5047" t="s">
        <v>25131</v>
      </c>
      <c r="G5047" t="s">
        <v>13504</v>
      </c>
      <c r="H5047" t="s">
        <v>13505</v>
      </c>
      <c r="J5047" t="s">
        <v>13506</v>
      </c>
      <c r="L5047" t="s">
        <v>84</v>
      </c>
      <c r="M5047" t="s">
        <v>85</v>
      </c>
      <c r="R5047" t="s">
        <v>25132</v>
      </c>
      <c r="W5047" t="s">
        <v>25131</v>
      </c>
      <c r="X5047" t="s">
        <v>25133</v>
      </c>
      <c r="Y5047" t="s">
        <v>87</v>
      </c>
      <c r="Z5047" t="s">
        <v>77</v>
      </c>
      <c r="AA5047" t="str">
        <f>"11237-5303"</f>
        <v>11237-5303</v>
      </c>
      <c r="AB5047" t="s">
        <v>78</v>
      </c>
      <c r="AC5047" t="s">
        <v>79</v>
      </c>
      <c r="AD5047" t="s">
        <v>75</v>
      </c>
      <c r="AE5047" t="s">
        <v>80</v>
      </c>
      <c r="AG5047" t="s">
        <v>81</v>
      </c>
    </row>
    <row r="5048" spans="1:33" x14ac:dyDescent="0.25">
      <c r="A5048" t="str">
        <f>"1871533109"</f>
        <v>1871533109</v>
      </c>
      <c r="B5048" t="str">
        <f>"01810411"</f>
        <v>01810411</v>
      </c>
      <c r="C5048" t="s">
        <v>13436</v>
      </c>
      <c r="D5048" t="s">
        <v>25134</v>
      </c>
      <c r="E5048" t="s">
        <v>25135</v>
      </c>
      <c r="G5048" t="s">
        <v>25136</v>
      </c>
      <c r="L5048" t="s">
        <v>83</v>
      </c>
      <c r="M5048" t="s">
        <v>85</v>
      </c>
      <c r="R5048" t="s">
        <v>25137</v>
      </c>
      <c r="W5048" t="s">
        <v>25135</v>
      </c>
      <c r="X5048" t="s">
        <v>5462</v>
      </c>
      <c r="Y5048" t="s">
        <v>97</v>
      </c>
      <c r="Z5048" t="s">
        <v>77</v>
      </c>
      <c r="AA5048" t="str">
        <f>"10003"</f>
        <v>10003</v>
      </c>
      <c r="AB5048" t="s">
        <v>78</v>
      </c>
      <c r="AC5048" t="s">
        <v>79</v>
      </c>
      <c r="AD5048" t="s">
        <v>75</v>
      </c>
      <c r="AE5048" t="s">
        <v>80</v>
      </c>
      <c r="AG5048" t="s">
        <v>81</v>
      </c>
    </row>
    <row r="5049" spans="1:33" x14ac:dyDescent="0.25">
      <c r="A5049" t="str">
        <f>"1871547448"</f>
        <v>1871547448</v>
      </c>
      <c r="B5049" t="str">
        <f>"03104836"</f>
        <v>03104836</v>
      </c>
      <c r="C5049" t="s">
        <v>13436</v>
      </c>
      <c r="D5049" t="s">
        <v>25138</v>
      </c>
      <c r="E5049" t="s">
        <v>25139</v>
      </c>
      <c r="G5049" t="s">
        <v>25140</v>
      </c>
      <c r="L5049" t="s">
        <v>83</v>
      </c>
      <c r="M5049" t="s">
        <v>85</v>
      </c>
      <c r="R5049" t="s">
        <v>25141</v>
      </c>
      <c r="W5049" t="s">
        <v>25139</v>
      </c>
      <c r="X5049" t="s">
        <v>991</v>
      </c>
      <c r="Y5049" t="s">
        <v>97</v>
      </c>
      <c r="Z5049" t="s">
        <v>77</v>
      </c>
      <c r="AA5049" t="str">
        <f>"10003-0000"</f>
        <v>10003-0000</v>
      </c>
      <c r="AB5049" t="s">
        <v>78</v>
      </c>
      <c r="AC5049" t="s">
        <v>79</v>
      </c>
      <c r="AD5049" t="s">
        <v>75</v>
      </c>
      <c r="AE5049" t="s">
        <v>80</v>
      </c>
      <c r="AG5049" t="s">
        <v>81</v>
      </c>
    </row>
    <row r="5050" spans="1:33" x14ac:dyDescent="0.25">
      <c r="A5050" t="str">
        <f>"1871553115"</f>
        <v>1871553115</v>
      </c>
      <c r="B5050" t="str">
        <f>"02238351"</f>
        <v>02238351</v>
      </c>
      <c r="C5050" t="s">
        <v>13436</v>
      </c>
      <c r="D5050" t="s">
        <v>25142</v>
      </c>
      <c r="E5050" t="s">
        <v>25143</v>
      </c>
      <c r="G5050" t="s">
        <v>25144</v>
      </c>
      <c r="L5050" t="s">
        <v>83</v>
      </c>
      <c r="M5050" t="s">
        <v>85</v>
      </c>
      <c r="R5050" t="s">
        <v>25145</v>
      </c>
      <c r="W5050" t="s">
        <v>25143</v>
      </c>
      <c r="X5050" t="s">
        <v>6051</v>
      </c>
      <c r="Y5050" t="s">
        <v>87</v>
      </c>
      <c r="Z5050" t="s">
        <v>77</v>
      </c>
      <c r="AA5050" t="str">
        <f>"11201-6004"</f>
        <v>11201-6004</v>
      </c>
      <c r="AB5050" t="s">
        <v>78</v>
      </c>
      <c r="AC5050" t="s">
        <v>79</v>
      </c>
      <c r="AD5050" t="s">
        <v>75</v>
      </c>
      <c r="AE5050" t="s">
        <v>80</v>
      </c>
      <c r="AG5050" t="s">
        <v>81</v>
      </c>
    </row>
    <row r="5051" spans="1:33" x14ac:dyDescent="0.25">
      <c r="A5051" t="str">
        <f>"1871554972"</f>
        <v>1871554972</v>
      </c>
      <c r="B5051" t="str">
        <f>"00278157"</f>
        <v>00278157</v>
      </c>
      <c r="C5051" t="s">
        <v>13436</v>
      </c>
      <c r="D5051" t="s">
        <v>25146</v>
      </c>
      <c r="E5051" t="s">
        <v>25147</v>
      </c>
      <c r="G5051" t="s">
        <v>25148</v>
      </c>
      <c r="L5051" t="s">
        <v>84</v>
      </c>
      <c r="M5051" t="s">
        <v>85</v>
      </c>
      <c r="R5051" t="s">
        <v>25149</v>
      </c>
      <c r="W5051" t="s">
        <v>25147</v>
      </c>
      <c r="X5051" t="s">
        <v>15119</v>
      </c>
      <c r="Y5051" t="s">
        <v>97</v>
      </c>
      <c r="Z5051" t="s">
        <v>77</v>
      </c>
      <c r="AA5051" t="str">
        <f>"10024-4530"</f>
        <v>10024-4530</v>
      </c>
      <c r="AB5051" t="s">
        <v>78</v>
      </c>
      <c r="AC5051" t="s">
        <v>79</v>
      </c>
      <c r="AD5051" t="s">
        <v>75</v>
      </c>
      <c r="AE5051" t="s">
        <v>80</v>
      </c>
      <c r="AG5051" t="s">
        <v>81</v>
      </c>
    </row>
    <row r="5052" spans="1:33" x14ac:dyDescent="0.25">
      <c r="A5052" t="str">
        <f>"1871570762"</f>
        <v>1871570762</v>
      </c>
      <c r="B5052" t="str">
        <f>"01402060"</f>
        <v>01402060</v>
      </c>
      <c r="C5052" t="s">
        <v>13436</v>
      </c>
      <c r="D5052" t="s">
        <v>25150</v>
      </c>
      <c r="E5052" t="s">
        <v>25151</v>
      </c>
      <c r="G5052" t="s">
        <v>25152</v>
      </c>
      <c r="L5052" t="s">
        <v>74</v>
      </c>
      <c r="M5052" t="s">
        <v>85</v>
      </c>
      <c r="R5052" t="s">
        <v>25153</v>
      </c>
      <c r="W5052" t="s">
        <v>25151</v>
      </c>
      <c r="X5052" t="s">
        <v>25154</v>
      </c>
      <c r="Y5052" t="s">
        <v>97</v>
      </c>
      <c r="Z5052" t="s">
        <v>77</v>
      </c>
      <c r="AA5052" t="str">
        <f>"10023-6406"</f>
        <v>10023-6406</v>
      </c>
      <c r="AB5052" t="s">
        <v>78</v>
      </c>
      <c r="AC5052" t="s">
        <v>79</v>
      </c>
      <c r="AD5052" t="s">
        <v>75</v>
      </c>
      <c r="AE5052" t="s">
        <v>80</v>
      </c>
      <c r="AG5052" t="s">
        <v>81</v>
      </c>
    </row>
    <row r="5053" spans="1:33" x14ac:dyDescent="0.25">
      <c r="A5053" t="str">
        <f>"1871571679"</f>
        <v>1871571679</v>
      </c>
      <c r="B5053" t="str">
        <f>"01441501"</f>
        <v>01441501</v>
      </c>
      <c r="C5053" t="s">
        <v>13436</v>
      </c>
      <c r="D5053" t="s">
        <v>25155</v>
      </c>
      <c r="E5053" t="s">
        <v>25156</v>
      </c>
      <c r="G5053" t="s">
        <v>25157</v>
      </c>
      <c r="L5053" t="s">
        <v>83</v>
      </c>
      <c r="M5053" t="s">
        <v>85</v>
      </c>
      <c r="R5053" t="s">
        <v>25158</v>
      </c>
      <c r="W5053" t="s">
        <v>25156</v>
      </c>
      <c r="X5053" t="s">
        <v>258</v>
      </c>
      <c r="Y5053" t="s">
        <v>131</v>
      </c>
      <c r="Z5053" t="s">
        <v>77</v>
      </c>
      <c r="AA5053" t="str">
        <f>"10467-2401"</f>
        <v>10467-2401</v>
      </c>
      <c r="AB5053" t="s">
        <v>78</v>
      </c>
      <c r="AC5053" t="s">
        <v>79</v>
      </c>
      <c r="AD5053" t="s">
        <v>75</v>
      </c>
      <c r="AE5053" t="s">
        <v>80</v>
      </c>
      <c r="AG5053" t="s">
        <v>81</v>
      </c>
    </row>
    <row r="5054" spans="1:33" x14ac:dyDescent="0.25">
      <c r="A5054" t="str">
        <f>"1871580647"</f>
        <v>1871580647</v>
      </c>
      <c r="B5054" t="str">
        <f>"01842213"</f>
        <v>01842213</v>
      </c>
      <c r="C5054" t="s">
        <v>13436</v>
      </c>
      <c r="D5054" t="s">
        <v>25159</v>
      </c>
      <c r="E5054" t="s">
        <v>25160</v>
      </c>
      <c r="G5054" t="s">
        <v>25161</v>
      </c>
      <c r="L5054" t="s">
        <v>84</v>
      </c>
      <c r="M5054" t="s">
        <v>85</v>
      </c>
      <c r="R5054" t="s">
        <v>25162</v>
      </c>
      <c r="W5054" t="s">
        <v>25160</v>
      </c>
      <c r="X5054" t="s">
        <v>2587</v>
      </c>
      <c r="Y5054" t="s">
        <v>97</v>
      </c>
      <c r="Z5054" t="s">
        <v>77</v>
      </c>
      <c r="AA5054" t="str">
        <f>"10003-3314"</f>
        <v>10003-3314</v>
      </c>
      <c r="AB5054" t="s">
        <v>78</v>
      </c>
      <c r="AC5054" t="s">
        <v>79</v>
      </c>
      <c r="AD5054" t="s">
        <v>75</v>
      </c>
      <c r="AE5054" t="s">
        <v>80</v>
      </c>
      <c r="AG5054" t="s">
        <v>81</v>
      </c>
    </row>
    <row r="5055" spans="1:33" x14ac:dyDescent="0.25">
      <c r="A5055" t="str">
        <f>"1871580761"</f>
        <v>1871580761</v>
      </c>
      <c r="B5055" t="str">
        <f>"03330912"</f>
        <v>03330912</v>
      </c>
      <c r="C5055" t="s">
        <v>13436</v>
      </c>
      <c r="D5055" t="s">
        <v>25163</v>
      </c>
      <c r="E5055" t="s">
        <v>25164</v>
      </c>
      <c r="G5055" t="s">
        <v>25165</v>
      </c>
      <c r="L5055" t="s">
        <v>84</v>
      </c>
      <c r="M5055" t="s">
        <v>85</v>
      </c>
      <c r="R5055" t="s">
        <v>25166</v>
      </c>
      <c r="W5055" t="s">
        <v>25167</v>
      </c>
      <c r="X5055" t="s">
        <v>989</v>
      </c>
      <c r="Y5055" t="s">
        <v>97</v>
      </c>
      <c r="Z5055" t="s">
        <v>77</v>
      </c>
      <c r="AA5055" t="str">
        <f>"10011-5903"</f>
        <v>10011-5903</v>
      </c>
      <c r="AB5055" t="s">
        <v>78</v>
      </c>
      <c r="AC5055" t="s">
        <v>79</v>
      </c>
      <c r="AD5055" t="s">
        <v>75</v>
      </c>
      <c r="AE5055" t="s">
        <v>80</v>
      </c>
      <c r="AG5055" t="s">
        <v>81</v>
      </c>
    </row>
    <row r="5056" spans="1:33" x14ac:dyDescent="0.25">
      <c r="A5056" t="str">
        <f>"1871586735"</f>
        <v>1871586735</v>
      </c>
      <c r="B5056" t="str">
        <f>"02377517"</f>
        <v>02377517</v>
      </c>
      <c r="C5056" t="s">
        <v>13436</v>
      </c>
      <c r="D5056" t="s">
        <v>25168</v>
      </c>
      <c r="E5056" t="s">
        <v>25169</v>
      </c>
      <c r="G5056" t="s">
        <v>25170</v>
      </c>
      <c r="L5056" t="s">
        <v>84</v>
      </c>
      <c r="M5056" t="s">
        <v>85</v>
      </c>
      <c r="R5056" t="s">
        <v>25171</v>
      </c>
      <c r="W5056" t="s">
        <v>25169</v>
      </c>
      <c r="X5056" t="s">
        <v>191</v>
      </c>
      <c r="Y5056" t="s">
        <v>97</v>
      </c>
      <c r="Z5056" t="s">
        <v>77</v>
      </c>
      <c r="AA5056" t="str">
        <f>"10019-1147"</f>
        <v>10019-1147</v>
      </c>
      <c r="AB5056" t="s">
        <v>78</v>
      </c>
      <c r="AC5056" t="s">
        <v>79</v>
      </c>
      <c r="AD5056" t="s">
        <v>75</v>
      </c>
      <c r="AE5056" t="s">
        <v>80</v>
      </c>
      <c r="AG5056" t="s">
        <v>81</v>
      </c>
    </row>
    <row r="5057" spans="1:33" x14ac:dyDescent="0.25">
      <c r="A5057" t="str">
        <f>"1275693012"</f>
        <v>1275693012</v>
      </c>
      <c r="B5057" t="str">
        <f>"00727468"</f>
        <v>00727468</v>
      </c>
      <c r="C5057" t="s">
        <v>13436</v>
      </c>
      <c r="D5057" t="s">
        <v>25172</v>
      </c>
      <c r="E5057" t="s">
        <v>25173</v>
      </c>
      <c r="G5057" t="s">
        <v>25174</v>
      </c>
      <c r="L5057" t="s">
        <v>84</v>
      </c>
      <c r="M5057" t="s">
        <v>85</v>
      </c>
      <c r="R5057" t="s">
        <v>25175</v>
      </c>
      <c r="W5057" t="s">
        <v>25175</v>
      </c>
      <c r="X5057" t="s">
        <v>6262</v>
      </c>
      <c r="Y5057" t="s">
        <v>97</v>
      </c>
      <c r="Z5057" t="s">
        <v>77</v>
      </c>
      <c r="AA5057" t="str">
        <f>"10016-6022"</f>
        <v>10016-6022</v>
      </c>
      <c r="AB5057" t="s">
        <v>78</v>
      </c>
      <c r="AC5057" t="s">
        <v>79</v>
      </c>
      <c r="AD5057" t="s">
        <v>75</v>
      </c>
      <c r="AE5057" t="s">
        <v>80</v>
      </c>
      <c r="AG5057" t="s">
        <v>81</v>
      </c>
    </row>
    <row r="5058" spans="1:33" x14ac:dyDescent="0.25">
      <c r="A5058" t="str">
        <f>"1275731739"</f>
        <v>1275731739</v>
      </c>
      <c r="B5058" t="str">
        <f>"02404520"</f>
        <v>02404520</v>
      </c>
      <c r="C5058" t="s">
        <v>13436</v>
      </c>
      <c r="D5058" t="s">
        <v>1708</v>
      </c>
      <c r="E5058" t="s">
        <v>1707</v>
      </c>
      <c r="G5058" t="s">
        <v>25176</v>
      </c>
      <c r="L5058" t="s">
        <v>83</v>
      </c>
      <c r="M5058" t="s">
        <v>85</v>
      </c>
      <c r="R5058" t="s">
        <v>1707</v>
      </c>
      <c r="W5058" t="s">
        <v>1707</v>
      </c>
      <c r="X5058" t="s">
        <v>1709</v>
      </c>
      <c r="Y5058" t="s">
        <v>97</v>
      </c>
      <c r="Z5058" t="s">
        <v>77</v>
      </c>
      <c r="AA5058" t="str">
        <f>"10013-0471"</f>
        <v>10013-0471</v>
      </c>
      <c r="AB5058" t="s">
        <v>78</v>
      </c>
      <c r="AC5058" t="s">
        <v>79</v>
      </c>
      <c r="AD5058" t="s">
        <v>75</v>
      </c>
      <c r="AE5058" t="s">
        <v>80</v>
      </c>
      <c r="AG5058" t="s">
        <v>81</v>
      </c>
    </row>
    <row r="5059" spans="1:33" x14ac:dyDescent="0.25">
      <c r="A5059" t="str">
        <f>"1336170919"</f>
        <v>1336170919</v>
      </c>
      <c r="B5059" t="str">
        <f>"01909439"</f>
        <v>01909439</v>
      </c>
      <c r="C5059" t="s">
        <v>13436</v>
      </c>
      <c r="D5059" t="s">
        <v>25177</v>
      </c>
      <c r="E5059" t="s">
        <v>25178</v>
      </c>
      <c r="G5059" t="s">
        <v>25179</v>
      </c>
      <c r="L5059" t="s">
        <v>83</v>
      </c>
      <c r="M5059" t="s">
        <v>75</v>
      </c>
      <c r="R5059" t="s">
        <v>25180</v>
      </c>
      <c r="W5059" t="s">
        <v>25178</v>
      </c>
      <c r="X5059" t="s">
        <v>25181</v>
      </c>
      <c r="Y5059" t="s">
        <v>97</v>
      </c>
      <c r="Z5059" t="s">
        <v>77</v>
      </c>
      <c r="AA5059" t="str">
        <f>"10038-2649"</f>
        <v>10038-2649</v>
      </c>
      <c r="AB5059" t="s">
        <v>78</v>
      </c>
      <c r="AC5059" t="s">
        <v>79</v>
      </c>
      <c r="AD5059" t="s">
        <v>75</v>
      </c>
      <c r="AE5059" t="s">
        <v>80</v>
      </c>
      <c r="AG5059" t="s">
        <v>81</v>
      </c>
    </row>
    <row r="5060" spans="1:33" x14ac:dyDescent="0.25">
      <c r="A5060" t="str">
        <f>"1689988297"</f>
        <v>1689988297</v>
      </c>
      <c r="B5060" t="str">
        <f>"03803358"</f>
        <v>03803358</v>
      </c>
      <c r="C5060" t="s">
        <v>13436</v>
      </c>
      <c r="D5060" t="s">
        <v>6003</v>
      </c>
      <c r="E5060" t="s">
        <v>6004</v>
      </c>
      <c r="G5060" t="s">
        <v>25182</v>
      </c>
      <c r="L5060" t="s">
        <v>94</v>
      </c>
      <c r="M5060" t="s">
        <v>85</v>
      </c>
      <c r="R5060" t="s">
        <v>6005</v>
      </c>
      <c r="W5060" t="s">
        <v>6006</v>
      </c>
      <c r="X5060" t="s">
        <v>174</v>
      </c>
      <c r="Y5060" t="s">
        <v>131</v>
      </c>
      <c r="Z5060" t="s">
        <v>77</v>
      </c>
      <c r="AA5060" t="str">
        <f>"10461-2301"</f>
        <v>10461-2301</v>
      </c>
      <c r="AB5060" t="s">
        <v>78</v>
      </c>
      <c r="AC5060" t="s">
        <v>79</v>
      </c>
      <c r="AD5060" t="s">
        <v>75</v>
      </c>
      <c r="AE5060" t="s">
        <v>80</v>
      </c>
      <c r="AG5060" t="s">
        <v>81</v>
      </c>
    </row>
    <row r="5061" spans="1:33" x14ac:dyDescent="0.25">
      <c r="A5061" t="str">
        <f>"1700051919"</f>
        <v>1700051919</v>
      </c>
      <c r="B5061" t="str">
        <f>"03375679"</f>
        <v>03375679</v>
      </c>
      <c r="C5061" t="s">
        <v>13436</v>
      </c>
      <c r="D5061" t="s">
        <v>25183</v>
      </c>
      <c r="E5061" t="s">
        <v>25184</v>
      </c>
      <c r="G5061" t="s">
        <v>25185</v>
      </c>
      <c r="L5061" t="s">
        <v>83</v>
      </c>
      <c r="M5061" t="s">
        <v>85</v>
      </c>
      <c r="R5061" t="s">
        <v>25184</v>
      </c>
      <c r="W5061" t="s">
        <v>25186</v>
      </c>
      <c r="X5061" t="s">
        <v>3037</v>
      </c>
      <c r="Y5061" t="s">
        <v>97</v>
      </c>
      <c r="Z5061" t="s">
        <v>77</v>
      </c>
      <c r="AA5061" t="str">
        <f>"10003-4201"</f>
        <v>10003-4201</v>
      </c>
      <c r="AB5061" t="s">
        <v>78</v>
      </c>
      <c r="AC5061" t="s">
        <v>79</v>
      </c>
      <c r="AD5061" t="s">
        <v>75</v>
      </c>
      <c r="AE5061" t="s">
        <v>80</v>
      </c>
      <c r="AG5061" t="s">
        <v>81</v>
      </c>
    </row>
    <row r="5062" spans="1:33" x14ac:dyDescent="0.25">
      <c r="A5062" t="str">
        <f>"1700070380"</f>
        <v>1700070380</v>
      </c>
      <c r="B5062" t="str">
        <f>"02925060"</f>
        <v>02925060</v>
      </c>
      <c r="C5062" t="s">
        <v>13436</v>
      </c>
      <c r="D5062" t="s">
        <v>25187</v>
      </c>
      <c r="E5062" t="s">
        <v>25188</v>
      </c>
      <c r="G5062" t="s">
        <v>25189</v>
      </c>
      <c r="L5062" t="s">
        <v>83</v>
      </c>
      <c r="M5062" t="s">
        <v>85</v>
      </c>
      <c r="R5062" t="s">
        <v>25188</v>
      </c>
      <c r="W5062" t="s">
        <v>25190</v>
      </c>
      <c r="X5062" t="s">
        <v>2587</v>
      </c>
      <c r="Y5062" t="s">
        <v>97</v>
      </c>
      <c r="Z5062" t="s">
        <v>77</v>
      </c>
      <c r="AA5062" t="str">
        <f>"10003-3314"</f>
        <v>10003-3314</v>
      </c>
      <c r="AB5062" t="s">
        <v>78</v>
      </c>
      <c r="AC5062" t="s">
        <v>79</v>
      </c>
      <c r="AD5062" t="s">
        <v>75</v>
      </c>
      <c r="AE5062" t="s">
        <v>80</v>
      </c>
      <c r="AG5062" t="s">
        <v>81</v>
      </c>
    </row>
    <row r="5063" spans="1:33" x14ac:dyDescent="0.25">
      <c r="A5063" t="str">
        <f>"1700099504"</f>
        <v>1700099504</v>
      </c>
      <c r="B5063" t="str">
        <f>"03470404"</f>
        <v>03470404</v>
      </c>
      <c r="C5063" t="s">
        <v>13436</v>
      </c>
      <c r="D5063" t="s">
        <v>25191</v>
      </c>
      <c r="E5063" t="s">
        <v>25192</v>
      </c>
      <c r="G5063" t="s">
        <v>25193</v>
      </c>
      <c r="L5063" t="s">
        <v>84</v>
      </c>
      <c r="M5063" t="s">
        <v>85</v>
      </c>
      <c r="R5063" t="s">
        <v>25194</v>
      </c>
      <c r="W5063" t="s">
        <v>25192</v>
      </c>
      <c r="X5063" t="s">
        <v>25010</v>
      </c>
      <c r="Y5063" t="s">
        <v>97</v>
      </c>
      <c r="Z5063" t="s">
        <v>77</v>
      </c>
      <c r="AA5063" t="str">
        <f>"10019-8022"</f>
        <v>10019-8022</v>
      </c>
      <c r="AB5063" t="s">
        <v>78</v>
      </c>
      <c r="AC5063" t="s">
        <v>79</v>
      </c>
      <c r="AD5063" t="s">
        <v>75</v>
      </c>
      <c r="AE5063" t="s">
        <v>80</v>
      </c>
      <c r="AG5063" t="s">
        <v>81</v>
      </c>
    </row>
    <row r="5064" spans="1:33" x14ac:dyDescent="0.25">
      <c r="A5064" t="str">
        <f>"1700158375"</f>
        <v>1700158375</v>
      </c>
      <c r="B5064" t="str">
        <f>"03458940"</f>
        <v>03458940</v>
      </c>
      <c r="C5064" t="s">
        <v>13436</v>
      </c>
      <c r="D5064" t="s">
        <v>25195</v>
      </c>
      <c r="E5064" t="s">
        <v>25196</v>
      </c>
      <c r="G5064" t="s">
        <v>25197</v>
      </c>
      <c r="L5064" t="s">
        <v>84</v>
      </c>
      <c r="M5064" t="s">
        <v>85</v>
      </c>
      <c r="R5064" t="s">
        <v>25198</v>
      </c>
      <c r="W5064" t="s">
        <v>25196</v>
      </c>
      <c r="X5064" t="s">
        <v>15292</v>
      </c>
      <c r="Y5064" t="s">
        <v>97</v>
      </c>
      <c r="Z5064" t="s">
        <v>77</v>
      </c>
      <c r="AA5064" t="str">
        <f>"10025-1737"</f>
        <v>10025-1737</v>
      </c>
      <c r="AB5064" t="s">
        <v>78</v>
      </c>
      <c r="AC5064" t="s">
        <v>79</v>
      </c>
      <c r="AD5064" t="s">
        <v>75</v>
      </c>
      <c r="AE5064" t="s">
        <v>80</v>
      </c>
      <c r="AG5064" t="s">
        <v>81</v>
      </c>
    </row>
    <row r="5065" spans="1:33" x14ac:dyDescent="0.25">
      <c r="A5065" t="str">
        <f>"1700845187"</f>
        <v>1700845187</v>
      </c>
      <c r="B5065" t="str">
        <f>"02661567"</f>
        <v>02661567</v>
      </c>
      <c r="C5065" t="s">
        <v>13436</v>
      </c>
      <c r="D5065" t="s">
        <v>25199</v>
      </c>
      <c r="E5065" t="s">
        <v>25200</v>
      </c>
      <c r="G5065" t="s">
        <v>25201</v>
      </c>
      <c r="L5065" t="s">
        <v>83</v>
      </c>
      <c r="M5065" t="s">
        <v>85</v>
      </c>
      <c r="R5065" t="s">
        <v>25202</v>
      </c>
      <c r="W5065" t="s">
        <v>25200</v>
      </c>
      <c r="X5065" t="s">
        <v>25203</v>
      </c>
      <c r="Y5065" t="s">
        <v>87</v>
      </c>
      <c r="Z5065" t="s">
        <v>77</v>
      </c>
      <c r="AA5065" t="str">
        <f>"11229-4708"</f>
        <v>11229-4708</v>
      </c>
      <c r="AB5065" t="s">
        <v>78</v>
      </c>
      <c r="AC5065" t="s">
        <v>79</v>
      </c>
      <c r="AD5065" t="s">
        <v>75</v>
      </c>
      <c r="AE5065" t="s">
        <v>80</v>
      </c>
      <c r="AG5065" t="s">
        <v>81</v>
      </c>
    </row>
    <row r="5066" spans="1:33" x14ac:dyDescent="0.25">
      <c r="A5066" t="str">
        <f>"1710148762"</f>
        <v>1710148762</v>
      </c>
      <c r="B5066" t="str">
        <f>"03239118"</f>
        <v>03239118</v>
      </c>
      <c r="C5066" t="s">
        <v>13436</v>
      </c>
      <c r="D5066" t="s">
        <v>25204</v>
      </c>
      <c r="E5066" t="s">
        <v>25205</v>
      </c>
      <c r="G5066" t="s">
        <v>25206</v>
      </c>
      <c r="L5066" t="s">
        <v>74</v>
      </c>
      <c r="M5066" t="s">
        <v>85</v>
      </c>
      <c r="R5066" t="s">
        <v>25207</v>
      </c>
      <c r="W5066" t="s">
        <v>25205</v>
      </c>
      <c r="X5066" t="s">
        <v>5440</v>
      </c>
      <c r="Y5066" t="s">
        <v>97</v>
      </c>
      <c r="Z5066" t="s">
        <v>77</v>
      </c>
      <c r="AA5066" t="str">
        <f>"10032-3720"</f>
        <v>10032-3720</v>
      </c>
      <c r="AB5066" t="s">
        <v>78</v>
      </c>
      <c r="AC5066" t="s">
        <v>79</v>
      </c>
      <c r="AD5066" t="s">
        <v>75</v>
      </c>
      <c r="AE5066" t="s">
        <v>80</v>
      </c>
      <c r="AG5066" t="s">
        <v>81</v>
      </c>
    </row>
    <row r="5067" spans="1:33" x14ac:dyDescent="0.25">
      <c r="A5067" t="str">
        <f>"1710203765"</f>
        <v>1710203765</v>
      </c>
      <c r="B5067" t="str">
        <f>"03652802"</f>
        <v>03652802</v>
      </c>
      <c r="C5067" t="s">
        <v>13436</v>
      </c>
      <c r="D5067" t="s">
        <v>25208</v>
      </c>
      <c r="E5067" t="s">
        <v>25209</v>
      </c>
      <c r="G5067" t="s">
        <v>25210</v>
      </c>
      <c r="L5067" t="s">
        <v>74</v>
      </c>
      <c r="M5067" t="s">
        <v>85</v>
      </c>
      <c r="R5067" t="s">
        <v>25209</v>
      </c>
      <c r="W5067" t="s">
        <v>25209</v>
      </c>
      <c r="X5067" t="s">
        <v>25211</v>
      </c>
      <c r="Y5067" t="s">
        <v>97</v>
      </c>
      <c r="Z5067" t="s">
        <v>77</v>
      </c>
      <c r="AA5067" t="str">
        <f>"10011-0000"</f>
        <v>10011-0000</v>
      </c>
      <c r="AB5067" t="s">
        <v>78</v>
      </c>
      <c r="AC5067" t="s">
        <v>79</v>
      </c>
      <c r="AD5067" t="s">
        <v>75</v>
      </c>
      <c r="AE5067" t="s">
        <v>80</v>
      </c>
      <c r="AG5067" t="s">
        <v>81</v>
      </c>
    </row>
    <row r="5068" spans="1:33" x14ac:dyDescent="0.25">
      <c r="A5068" t="str">
        <f>"1710954318"</f>
        <v>1710954318</v>
      </c>
      <c r="B5068" t="str">
        <f>"02424688"</f>
        <v>02424688</v>
      </c>
      <c r="C5068" t="s">
        <v>13436</v>
      </c>
      <c r="D5068" t="s">
        <v>25212</v>
      </c>
      <c r="E5068" t="s">
        <v>25213</v>
      </c>
      <c r="G5068" t="s">
        <v>25214</v>
      </c>
      <c r="L5068" t="s">
        <v>84</v>
      </c>
      <c r="M5068" t="s">
        <v>85</v>
      </c>
      <c r="R5068" t="s">
        <v>25215</v>
      </c>
      <c r="W5068" t="s">
        <v>25213</v>
      </c>
      <c r="X5068" t="s">
        <v>225</v>
      </c>
      <c r="Y5068" t="s">
        <v>131</v>
      </c>
      <c r="Z5068" t="s">
        <v>77</v>
      </c>
      <c r="AA5068" t="str">
        <f>"10457-2594"</f>
        <v>10457-2594</v>
      </c>
      <c r="AB5068" t="s">
        <v>78</v>
      </c>
      <c r="AC5068" t="s">
        <v>79</v>
      </c>
      <c r="AD5068" t="s">
        <v>75</v>
      </c>
      <c r="AE5068" t="s">
        <v>80</v>
      </c>
      <c r="AG5068" t="s">
        <v>81</v>
      </c>
    </row>
    <row r="5069" spans="1:33" x14ac:dyDescent="0.25">
      <c r="A5069" t="str">
        <f>"1336122548"</f>
        <v>1336122548</v>
      </c>
      <c r="B5069" t="str">
        <f>"00895592"</f>
        <v>00895592</v>
      </c>
      <c r="C5069" t="s">
        <v>13436</v>
      </c>
      <c r="D5069" t="s">
        <v>25216</v>
      </c>
      <c r="E5069" t="s">
        <v>25217</v>
      </c>
      <c r="G5069" t="s">
        <v>25218</v>
      </c>
      <c r="L5069" t="s">
        <v>74</v>
      </c>
      <c r="M5069" t="s">
        <v>85</v>
      </c>
      <c r="R5069" t="s">
        <v>25219</v>
      </c>
      <c r="W5069" t="s">
        <v>25217</v>
      </c>
      <c r="X5069" t="s">
        <v>329</v>
      </c>
      <c r="Y5069" t="s">
        <v>97</v>
      </c>
      <c r="Z5069" t="s">
        <v>77</v>
      </c>
      <c r="AA5069" t="str">
        <f>"10029-6504"</f>
        <v>10029-6504</v>
      </c>
      <c r="AB5069" t="s">
        <v>78</v>
      </c>
      <c r="AC5069" t="s">
        <v>79</v>
      </c>
      <c r="AD5069" t="s">
        <v>75</v>
      </c>
      <c r="AE5069" t="s">
        <v>80</v>
      </c>
      <c r="AG5069" t="s">
        <v>81</v>
      </c>
    </row>
    <row r="5070" spans="1:33" x14ac:dyDescent="0.25">
      <c r="A5070" t="str">
        <f>"1336140631"</f>
        <v>1336140631</v>
      </c>
      <c r="B5070" t="str">
        <f>"01665741"</f>
        <v>01665741</v>
      </c>
      <c r="C5070" t="s">
        <v>13436</v>
      </c>
      <c r="D5070" t="s">
        <v>25220</v>
      </c>
      <c r="E5070" t="s">
        <v>25221</v>
      </c>
      <c r="G5070" t="s">
        <v>25222</v>
      </c>
      <c r="L5070" t="s">
        <v>84</v>
      </c>
      <c r="M5070" t="s">
        <v>85</v>
      </c>
      <c r="R5070" t="s">
        <v>25223</v>
      </c>
      <c r="W5070" t="s">
        <v>25221</v>
      </c>
      <c r="X5070" t="s">
        <v>329</v>
      </c>
      <c r="Y5070" t="s">
        <v>97</v>
      </c>
      <c r="Z5070" t="s">
        <v>77</v>
      </c>
      <c r="AA5070" t="str">
        <f>"10029-6504"</f>
        <v>10029-6504</v>
      </c>
      <c r="AB5070" t="s">
        <v>78</v>
      </c>
      <c r="AC5070" t="s">
        <v>79</v>
      </c>
      <c r="AD5070" t="s">
        <v>75</v>
      </c>
      <c r="AE5070" t="s">
        <v>80</v>
      </c>
      <c r="AG5070" t="s">
        <v>81</v>
      </c>
    </row>
    <row r="5071" spans="1:33" x14ac:dyDescent="0.25">
      <c r="A5071" t="str">
        <f>"1336157130"</f>
        <v>1336157130</v>
      </c>
      <c r="B5071" t="str">
        <f>"02167182"</f>
        <v>02167182</v>
      </c>
      <c r="C5071" t="s">
        <v>13436</v>
      </c>
      <c r="D5071" t="s">
        <v>25224</v>
      </c>
      <c r="E5071" t="s">
        <v>25225</v>
      </c>
      <c r="G5071" t="s">
        <v>25226</v>
      </c>
      <c r="L5071" t="s">
        <v>83</v>
      </c>
      <c r="M5071" t="s">
        <v>85</v>
      </c>
      <c r="R5071" t="s">
        <v>25227</v>
      </c>
      <c r="W5071" t="s">
        <v>25225</v>
      </c>
      <c r="X5071" t="s">
        <v>1734</v>
      </c>
      <c r="Y5071" t="s">
        <v>97</v>
      </c>
      <c r="Z5071" t="s">
        <v>77</v>
      </c>
      <c r="AA5071" t="str">
        <f>"10032-3726"</f>
        <v>10032-3726</v>
      </c>
      <c r="AB5071" t="s">
        <v>78</v>
      </c>
      <c r="AC5071" t="s">
        <v>79</v>
      </c>
      <c r="AD5071" t="s">
        <v>75</v>
      </c>
      <c r="AE5071" t="s">
        <v>80</v>
      </c>
      <c r="AG5071" t="s">
        <v>81</v>
      </c>
    </row>
    <row r="5072" spans="1:33" x14ac:dyDescent="0.25">
      <c r="A5072" t="str">
        <f>"1336166776"</f>
        <v>1336166776</v>
      </c>
      <c r="B5072" t="str">
        <f>"02843709"</f>
        <v>02843709</v>
      </c>
      <c r="C5072" t="s">
        <v>13436</v>
      </c>
      <c r="D5072" t="s">
        <v>25228</v>
      </c>
      <c r="E5072" t="s">
        <v>25229</v>
      </c>
      <c r="G5072" t="s">
        <v>25230</v>
      </c>
      <c r="L5072" t="s">
        <v>74</v>
      </c>
      <c r="M5072" t="s">
        <v>85</v>
      </c>
      <c r="R5072" t="s">
        <v>25231</v>
      </c>
      <c r="W5072" t="s">
        <v>25229</v>
      </c>
      <c r="X5072" t="s">
        <v>2926</v>
      </c>
      <c r="Y5072" t="s">
        <v>97</v>
      </c>
      <c r="Z5072" t="s">
        <v>77</v>
      </c>
      <c r="AA5072" t="str">
        <f>"10029-6503"</f>
        <v>10029-6503</v>
      </c>
      <c r="AB5072" t="s">
        <v>78</v>
      </c>
      <c r="AC5072" t="s">
        <v>79</v>
      </c>
      <c r="AD5072" t="s">
        <v>75</v>
      </c>
      <c r="AE5072" t="s">
        <v>80</v>
      </c>
      <c r="AG5072" t="s">
        <v>81</v>
      </c>
    </row>
    <row r="5073" spans="1:33" x14ac:dyDescent="0.25">
      <c r="A5073" t="str">
        <f>"1336177302"</f>
        <v>1336177302</v>
      </c>
      <c r="B5073" t="str">
        <f>"01406326"</f>
        <v>01406326</v>
      </c>
      <c r="C5073" t="s">
        <v>13436</v>
      </c>
      <c r="D5073" t="s">
        <v>25232</v>
      </c>
      <c r="E5073" t="s">
        <v>25233</v>
      </c>
      <c r="G5073" t="s">
        <v>25234</v>
      </c>
      <c r="L5073" t="s">
        <v>84</v>
      </c>
      <c r="M5073" t="s">
        <v>75</v>
      </c>
      <c r="R5073" t="s">
        <v>25235</v>
      </c>
      <c r="W5073" t="s">
        <v>25233</v>
      </c>
      <c r="X5073" t="s">
        <v>25236</v>
      </c>
      <c r="Y5073" t="s">
        <v>139</v>
      </c>
      <c r="Z5073" t="s">
        <v>77</v>
      </c>
      <c r="AA5073" t="str">
        <f>"11354-5998"</f>
        <v>11354-5998</v>
      </c>
      <c r="AB5073" t="s">
        <v>78</v>
      </c>
      <c r="AC5073" t="s">
        <v>79</v>
      </c>
      <c r="AD5073" t="s">
        <v>75</v>
      </c>
      <c r="AE5073" t="s">
        <v>80</v>
      </c>
      <c r="AG5073" t="s">
        <v>81</v>
      </c>
    </row>
    <row r="5074" spans="1:33" x14ac:dyDescent="0.25">
      <c r="A5074" t="str">
        <f>"1538108162"</f>
        <v>1538108162</v>
      </c>
      <c r="B5074" t="str">
        <f>"01983917"</f>
        <v>01983917</v>
      </c>
      <c r="C5074" t="s">
        <v>13436</v>
      </c>
      <c r="D5074" t="s">
        <v>25237</v>
      </c>
      <c r="E5074" t="s">
        <v>25238</v>
      </c>
      <c r="G5074" t="s">
        <v>25239</v>
      </c>
      <c r="L5074" t="s">
        <v>105</v>
      </c>
      <c r="M5074" t="s">
        <v>85</v>
      </c>
      <c r="R5074" t="s">
        <v>25240</v>
      </c>
      <c r="W5074" t="s">
        <v>25238</v>
      </c>
      <c r="X5074" t="s">
        <v>329</v>
      </c>
      <c r="Y5074" t="s">
        <v>97</v>
      </c>
      <c r="Z5074" t="s">
        <v>77</v>
      </c>
      <c r="AA5074" t="str">
        <f>"10029-6500"</f>
        <v>10029-6500</v>
      </c>
      <c r="AB5074" t="s">
        <v>78</v>
      </c>
      <c r="AC5074" t="s">
        <v>79</v>
      </c>
      <c r="AD5074" t="s">
        <v>75</v>
      </c>
      <c r="AE5074" t="s">
        <v>80</v>
      </c>
      <c r="AG5074" t="s">
        <v>81</v>
      </c>
    </row>
    <row r="5075" spans="1:33" x14ac:dyDescent="0.25">
      <c r="A5075" t="str">
        <f>"1538201819"</f>
        <v>1538201819</v>
      </c>
      <c r="B5075" t="str">
        <f>"03099492"</f>
        <v>03099492</v>
      </c>
      <c r="C5075" t="s">
        <v>13436</v>
      </c>
      <c r="D5075" t="s">
        <v>25241</v>
      </c>
      <c r="E5075" t="s">
        <v>25242</v>
      </c>
      <c r="G5075" t="s">
        <v>25243</v>
      </c>
      <c r="L5075" t="s">
        <v>74</v>
      </c>
      <c r="M5075" t="s">
        <v>85</v>
      </c>
      <c r="R5075" t="s">
        <v>25244</v>
      </c>
      <c r="W5075" t="s">
        <v>25245</v>
      </c>
      <c r="X5075" t="s">
        <v>15499</v>
      </c>
      <c r="Y5075" t="s">
        <v>97</v>
      </c>
      <c r="Z5075" t="s">
        <v>77</v>
      </c>
      <c r="AA5075" t="str">
        <f>"10001-6756"</f>
        <v>10001-6756</v>
      </c>
      <c r="AB5075" t="s">
        <v>78</v>
      </c>
      <c r="AC5075" t="s">
        <v>79</v>
      </c>
      <c r="AD5075" t="s">
        <v>75</v>
      </c>
      <c r="AE5075" t="s">
        <v>80</v>
      </c>
      <c r="AG5075" t="s">
        <v>81</v>
      </c>
    </row>
    <row r="5076" spans="1:33" x14ac:dyDescent="0.25">
      <c r="A5076" t="str">
        <f>"1538202411"</f>
        <v>1538202411</v>
      </c>
      <c r="B5076" t="str">
        <f>"02899778"</f>
        <v>02899778</v>
      </c>
      <c r="C5076" t="s">
        <v>13436</v>
      </c>
      <c r="D5076" t="s">
        <v>25246</v>
      </c>
      <c r="E5076" t="s">
        <v>25247</v>
      </c>
      <c r="G5076" t="s">
        <v>25248</v>
      </c>
      <c r="L5076" t="s">
        <v>74</v>
      </c>
      <c r="M5076" t="s">
        <v>85</v>
      </c>
      <c r="R5076" t="s">
        <v>25249</v>
      </c>
      <c r="W5076" t="s">
        <v>25247</v>
      </c>
      <c r="X5076" t="s">
        <v>329</v>
      </c>
      <c r="Y5076" t="s">
        <v>97</v>
      </c>
      <c r="Z5076" t="s">
        <v>77</v>
      </c>
      <c r="AA5076" t="str">
        <f>"10029-6500"</f>
        <v>10029-6500</v>
      </c>
      <c r="AB5076" t="s">
        <v>78</v>
      </c>
      <c r="AC5076" t="s">
        <v>79</v>
      </c>
      <c r="AD5076" t="s">
        <v>75</v>
      </c>
      <c r="AE5076" t="s">
        <v>80</v>
      </c>
      <c r="AG5076" t="s">
        <v>81</v>
      </c>
    </row>
    <row r="5077" spans="1:33" x14ac:dyDescent="0.25">
      <c r="A5077" t="str">
        <f>"1538281282"</f>
        <v>1538281282</v>
      </c>
      <c r="B5077" t="str">
        <f>"03737033"</f>
        <v>03737033</v>
      </c>
      <c r="C5077" t="s">
        <v>13436</v>
      </c>
      <c r="D5077" t="s">
        <v>25250</v>
      </c>
      <c r="E5077" t="s">
        <v>25251</v>
      </c>
      <c r="G5077" t="s">
        <v>25252</v>
      </c>
      <c r="L5077" t="s">
        <v>74</v>
      </c>
      <c r="M5077" t="s">
        <v>75</v>
      </c>
      <c r="R5077" t="s">
        <v>25251</v>
      </c>
      <c r="W5077" t="s">
        <v>25251</v>
      </c>
      <c r="X5077" t="s">
        <v>25253</v>
      </c>
      <c r="Y5077" t="s">
        <v>87</v>
      </c>
      <c r="Z5077" t="s">
        <v>77</v>
      </c>
      <c r="AA5077" t="str">
        <f>"11215-3820"</f>
        <v>11215-3820</v>
      </c>
      <c r="AB5077" t="s">
        <v>78</v>
      </c>
      <c r="AC5077" t="s">
        <v>79</v>
      </c>
      <c r="AD5077" t="s">
        <v>75</v>
      </c>
      <c r="AE5077" t="s">
        <v>80</v>
      </c>
      <c r="AG5077" t="s">
        <v>81</v>
      </c>
    </row>
    <row r="5078" spans="1:33" x14ac:dyDescent="0.25">
      <c r="A5078" t="str">
        <f>"1952522427"</f>
        <v>1952522427</v>
      </c>
      <c r="B5078" t="str">
        <f>"03791522"</f>
        <v>03791522</v>
      </c>
      <c r="C5078" t="s">
        <v>25254</v>
      </c>
      <c r="D5078" t="s">
        <v>25255</v>
      </c>
      <c r="E5078" t="s">
        <v>25256</v>
      </c>
      <c r="G5078" t="s">
        <v>13504</v>
      </c>
      <c r="H5078" t="s">
        <v>13505</v>
      </c>
      <c r="J5078" t="s">
        <v>13506</v>
      </c>
      <c r="L5078" t="s">
        <v>74</v>
      </c>
      <c r="M5078" t="s">
        <v>75</v>
      </c>
      <c r="R5078" t="s">
        <v>25257</v>
      </c>
      <c r="W5078" t="s">
        <v>25257</v>
      </c>
      <c r="X5078" t="s">
        <v>202</v>
      </c>
      <c r="Y5078" t="s">
        <v>87</v>
      </c>
      <c r="Z5078" t="s">
        <v>77</v>
      </c>
      <c r="AA5078" t="str">
        <f>"11201-5425"</f>
        <v>11201-5425</v>
      </c>
      <c r="AB5078" t="s">
        <v>78</v>
      </c>
      <c r="AC5078" t="s">
        <v>79</v>
      </c>
      <c r="AD5078" t="s">
        <v>75</v>
      </c>
      <c r="AE5078" t="s">
        <v>80</v>
      </c>
      <c r="AG5078" t="s">
        <v>81</v>
      </c>
    </row>
    <row r="5079" spans="1:33" x14ac:dyDescent="0.25">
      <c r="A5079" t="str">
        <f>"1306975404"</f>
        <v>1306975404</v>
      </c>
      <c r="B5079" t="str">
        <f>"02965048"</f>
        <v>02965048</v>
      </c>
      <c r="C5079" t="s">
        <v>25258</v>
      </c>
      <c r="D5079" t="s">
        <v>25259</v>
      </c>
      <c r="E5079" t="s">
        <v>25260</v>
      </c>
      <c r="G5079" t="s">
        <v>13504</v>
      </c>
      <c r="H5079" t="s">
        <v>13505</v>
      </c>
      <c r="J5079" t="s">
        <v>13506</v>
      </c>
      <c r="L5079" t="s">
        <v>83</v>
      </c>
      <c r="M5079" t="s">
        <v>75</v>
      </c>
      <c r="R5079" t="s">
        <v>25261</v>
      </c>
      <c r="W5079" t="s">
        <v>25262</v>
      </c>
      <c r="X5079" t="s">
        <v>25263</v>
      </c>
      <c r="Y5079" t="s">
        <v>87</v>
      </c>
      <c r="Z5079" t="s">
        <v>77</v>
      </c>
      <c r="AA5079" t="str">
        <f>"11238-2605"</f>
        <v>11238-2605</v>
      </c>
      <c r="AB5079" t="s">
        <v>128</v>
      </c>
      <c r="AC5079" t="s">
        <v>79</v>
      </c>
      <c r="AD5079" t="s">
        <v>75</v>
      </c>
      <c r="AE5079" t="s">
        <v>80</v>
      </c>
      <c r="AG5079" t="s">
        <v>81</v>
      </c>
    </row>
    <row r="5080" spans="1:33" x14ac:dyDescent="0.25">
      <c r="A5080" t="str">
        <f>"1750378568"</f>
        <v>1750378568</v>
      </c>
      <c r="B5080" t="str">
        <f>"02800411"</f>
        <v>02800411</v>
      </c>
      <c r="C5080" t="s">
        <v>25264</v>
      </c>
      <c r="D5080" t="s">
        <v>25265</v>
      </c>
      <c r="E5080" t="s">
        <v>25266</v>
      </c>
      <c r="G5080" t="s">
        <v>13504</v>
      </c>
      <c r="H5080" t="s">
        <v>13505</v>
      </c>
      <c r="J5080" t="s">
        <v>13506</v>
      </c>
      <c r="L5080" t="s">
        <v>83</v>
      </c>
      <c r="M5080" t="s">
        <v>75</v>
      </c>
      <c r="R5080" t="s">
        <v>25267</v>
      </c>
      <c r="W5080" t="s">
        <v>25266</v>
      </c>
      <c r="X5080" t="s">
        <v>25268</v>
      </c>
      <c r="Y5080" t="s">
        <v>87</v>
      </c>
      <c r="Z5080" t="s">
        <v>77</v>
      </c>
      <c r="AA5080" t="str">
        <f>"11219-2413"</f>
        <v>11219-2413</v>
      </c>
      <c r="AB5080" t="s">
        <v>128</v>
      </c>
      <c r="AC5080" t="s">
        <v>79</v>
      </c>
      <c r="AD5080" t="s">
        <v>75</v>
      </c>
      <c r="AE5080" t="s">
        <v>80</v>
      </c>
      <c r="AG5080" t="s">
        <v>81</v>
      </c>
    </row>
    <row r="5081" spans="1:33" x14ac:dyDescent="0.25">
      <c r="A5081" t="str">
        <f>"1588692974"</f>
        <v>1588692974</v>
      </c>
      <c r="B5081" t="str">
        <f>"02948612"</f>
        <v>02948612</v>
      </c>
      <c r="C5081" t="s">
        <v>25269</v>
      </c>
      <c r="D5081" t="s">
        <v>25270</v>
      </c>
      <c r="E5081" t="s">
        <v>25271</v>
      </c>
      <c r="G5081" t="s">
        <v>13504</v>
      </c>
      <c r="H5081" t="s">
        <v>13505</v>
      </c>
      <c r="J5081" t="s">
        <v>13506</v>
      </c>
      <c r="L5081" t="s">
        <v>83</v>
      </c>
      <c r="M5081" t="s">
        <v>75</v>
      </c>
      <c r="R5081" t="s">
        <v>25272</v>
      </c>
      <c r="W5081" t="s">
        <v>25273</v>
      </c>
      <c r="X5081" t="s">
        <v>25274</v>
      </c>
      <c r="Y5081" t="s">
        <v>87</v>
      </c>
      <c r="Z5081" t="s">
        <v>77</v>
      </c>
      <c r="AA5081" t="str">
        <f>"11201-5314"</f>
        <v>11201-5314</v>
      </c>
      <c r="AB5081" t="s">
        <v>128</v>
      </c>
      <c r="AC5081" t="s">
        <v>79</v>
      </c>
      <c r="AD5081" t="s">
        <v>75</v>
      </c>
      <c r="AE5081" t="s">
        <v>80</v>
      </c>
      <c r="AG5081" t="s">
        <v>81</v>
      </c>
    </row>
    <row r="5082" spans="1:33" x14ac:dyDescent="0.25">
      <c r="A5082" t="str">
        <f>"1629232251"</f>
        <v>1629232251</v>
      </c>
      <c r="B5082" t="str">
        <f>"03462993"</f>
        <v>03462993</v>
      </c>
      <c r="C5082" t="s">
        <v>13436</v>
      </c>
      <c r="D5082" t="s">
        <v>25275</v>
      </c>
      <c r="E5082" t="s">
        <v>25276</v>
      </c>
      <c r="G5082" t="s">
        <v>25277</v>
      </c>
      <c r="L5082" t="s">
        <v>83</v>
      </c>
      <c r="M5082" t="s">
        <v>85</v>
      </c>
      <c r="R5082" t="s">
        <v>25278</v>
      </c>
      <c r="W5082" t="s">
        <v>25276</v>
      </c>
      <c r="X5082" t="s">
        <v>25279</v>
      </c>
      <c r="Y5082" t="s">
        <v>182</v>
      </c>
      <c r="Z5082" t="s">
        <v>77</v>
      </c>
      <c r="AA5082" t="str">
        <f>"11501-4237"</f>
        <v>11501-4237</v>
      </c>
      <c r="AB5082" t="s">
        <v>78</v>
      </c>
      <c r="AC5082" t="s">
        <v>79</v>
      </c>
      <c r="AD5082" t="s">
        <v>75</v>
      </c>
      <c r="AE5082" t="s">
        <v>80</v>
      </c>
      <c r="AG5082" t="s">
        <v>81</v>
      </c>
    </row>
    <row r="5083" spans="1:33" x14ac:dyDescent="0.25">
      <c r="A5083" t="str">
        <f>"1639196595"</f>
        <v>1639196595</v>
      </c>
      <c r="B5083" t="str">
        <f>"00681521"</f>
        <v>00681521</v>
      </c>
      <c r="C5083" t="s">
        <v>13436</v>
      </c>
      <c r="D5083" t="s">
        <v>25280</v>
      </c>
      <c r="E5083" t="s">
        <v>25281</v>
      </c>
      <c r="G5083" t="s">
        <v>25282</v>
      </c>
      <c r="L5083" t="s">
        <v>84</v>
      </c>
      <c r="M5083" t="s">
        <v>85</v>
      </c>
      <c r="R5083" t="s">
        <v>25283</v>
      </c>
      <c r="W5083" t="s">
        <v>25281</v>
      </c>
      <c r="X5083" t="s">
        <v>25284</v>
      </c>
      <c r="Y5083" t="s">
        <v>97</v>
      </c>
      <c r="Z5083" t="s">
        <v>77</v>
      </c>
      <c r="AA5083" t="str">
        <f>"10009-3412"</f>
        <v>10009-3412</v>
      </c>
      <c r="AB5083" t="s">
        <v>78</v>
      </c>
      <c r="AC5083" t="s">
        <v>79</v>
      </c>
      <c r="AD5083" t="s">
        <v>75</v>
      </c>
      <c r="AE5083" t="s">
        <v>80</v>
      </c>
      <c r="AG5083" t="s">
        <v>81</v>
      </c>
    </row>
    <row r="5084" spans="1:33" x14ac:dyDescent="0.25">
      <c r="A5084" t="str">
        <f>"1639274475"</f>
        <v>1639274475</v>
      </c>
      <c r="B5084" t="str">
        <f>"01961375"</f>
        <v>01961375</v>
      </c>
      <c r="C5084" t="s">
        <v>13436</v>
      </c>
      <c r="D5084" t="s">
        <v>25285</v>
      </c>
      <c r="E5084" t="s">
        <v>25286</v>
      </c>
      <c r="G5084" t="s">
        <v>25287</v>
      </c>
      <c r="L5084" t="s">
        <v>83</v>
      </c>
      <c r="M5084" t="s">
        <v>85</v>
      </c>
      <c r="R5084" t="s">
        <v>25288</v>
      </c>
      <c r="W5084" t="s">
        <v>25286</v>
      </c>
      <c r="X5084" t="s">
        <v>25289</v>
      </c>
      <c r="Y5084" t="s">
        <v>97</v>
      </c>
      <c r="Z5084" t="s">
        <v>77</v>
      </c>
      <c r="AA5084" t="str">
        <f>"10016-3463"</f>
        <v>10016-3463</v>
      </c>
      <c r="AB5084" t="s">
        <v>78</v>
      </c>
      <c r="AC5084" t="s">
        <v>79</v>
      </c>
      <c r="AD5084" t="s">
        <v>75</v>
      </c>
      <c r="AE5084" t="s">
        <v>80</v>
      </c>
      <c r="AG5084" t="s">
        <v>81</v>
      </c>
    </row>
    <row r="5085" spans="1:33" x14ac:dyDescent="0.25">
      <c r="A5085" t="str">
        <f>"1659380244"</f>
        <v>1659380244</v>
      </c>
      <c r="B5085" t="str">
        <f>"01284413"</f>
        <v>01284413</v>
      </c>
      <c r="C5085" t="s">
        <v>13436</v>
      </c>
      <c r="D5085" t="s">
        <v>25290</v>
      </c>
      <c r="E5085" t="s">
        <v>25291</v>
      </c>
      <c r="G5085" t="s">
        <v>25292</v>
      </c>
      <c r="L5085" t="s">
        <v>74</v>
      </c>
      <c r="M5085" t="s">
        <v>85</v>
      </c>
      <c r="R5085" t="s">
        <v>25293</v>
      </c>
      <c r="W5085" t="s">
        <v>25291</v>
      </c>
      <c r="X5085" t="s">
        <v>4591</v>
      </c>
      <c r="Y5085" t="s">
        <v>2008</v>
      </c>
      <c r="Z5085" t="s">
        <v>77</v>
      </c>
      <c r="AA5085" t="str">
        <f>"14420-1229"</f>
        <v>14420-1229</v>
      </c>
      <c r="AB5085" t="s">
        <v>78</v>
      </c>
      <c r="AC5085" t="s">
        <v>79</v>
      </c>
      <c r="AD5085" t="s">
        <v>75</v>
      </c>
      <c r="AE5085" t="s">
        <v>80</v>
      </c>
      <c r="AG5085" t="s">
        <v>81</v>
      </c>
    </row>
    <row r="5086" spans="1:33" x14ac:dyDescent="0.25">
      <c r="A5086" t="str">
        <f>"1659528602"</f>
        <v>1659528602</v>
      </c>
      <c r="B5086" t="str">
        <f>"03466295"</f>
        <v>03466295</v>
      </c>
      <c r="C5086" t="s">
        <v>13436</v>
      </c>
      <c r="D5086" t="s">
        <v>25294</v>
      </c>
      <c r="E5086" t="s">
        <v>25295</v>
      </c>
      <c r="G5086" t="s">
        <v>25296</v>
      </c>
      <c r="L5086" t="s">
        <v>83</v>
      </c>
      <c r="M5086" t="s">
        <v>85</v>
      </c>
      <c r="R5086" t="s">
        <v>25297</v>
      </c>
      <c r="W5086" t="s">
        <v>25297</v>
      </c>
      <c r="X5086" t="s">
        <v>25298</v>
      </c>
      <c r="Y5086" t="s">
        <v>87</v>
      </c>
      <c r="Z5086" t="s">
        <v>77</v>
      </c>
      <c r="AA5086" t="str">
        <f>"11229-1192"</f>
        <v>11229-1192</v>
      </c>
      <c r="AB5086" t="s">
        <v>78</v>
      </c>
      <c r="AC5086" t="s">
        <v>79</v>
      </c>
      <c r="AD5086" t="s">
        <v>75</v>
      </c>
      <c r="AE5086" t="s">
        <v>80</v>
      </c>
      <c r="AG5086" t="s">
        <v>81</v>
      </c>
    </row>
    <row r="5087" spans="1:33" x14ac:dyDescent="0.25">
      <c r="A5087" t="str">
        <f>"1669451886"</f>
        <v>1669451886</v>
      </c>
      <c r="B5087" t="str">
        <f>"00220728"</f>
        <v>00220728</v>
      </c>
      <c r="C5087" t="s">
        <v>13436</v>
      </c>
      <c r="D5087" t="s">
        <v>25299</v>
      </c>
      <c r="E5087" t="s">
        <v>25300</v>
      </c>
      <c r="G5087" t="s">
        <v>25301</v>
      </c>
      <c r="L5087" t="s">
        <v>83</v>
      </c>
      <c r="M5087" t="s">
        <v>85</v>
      </c>
      <c r="R5087" t="s">
        <v>25302</v>
      </c>
      <c r="W5087" t="s">
        <v>25300</v>
      </c>
      <c r="X5087" t="s">
        <v>25303</v>
      </c>
      <c r="Y5087" t="s">
        <v>97</v>
      </c>
      <c r="Z5087" t="s">
        <v>77</v>
      </c>
      <c r="AA5087" t="str">
        <f>"10029"</f>
        <v>10029</v>
      </c>
      <c r="AB5087" t="s">
        <v>78</v>
      </c>
      <c r="AC5087" t="s">
        <v>79</v>
      </c>
      <c r="AD5087" t="s">
        <v>75</v>
      </c>
      <c r="AE5087" t="s">
        <v>80</v>
      </c>
      <c r="AG5087" t="s">
        <v>81</v>
      </c>
    </row>
    <row r="5088" spans="1:33" x14ac:dyDescent="0.25">
      <c r="A5088" t="str">
        <f>"1669683280"</f>
        <v>1669683280</v>
      </c>
      <c r="B5088" t="str">
        <f>"03735586"</f>
        <v>03735586</v>
      </c>
      <c r="C5088" t="s">
        <v>13436</v>
      </c>
      <c r="D5088" t="s">
        <v>25304</v>
      </c>
      <c r="E5088" t="s">
        <v>25305</v>
      </c>
      <c r="G5088" t="s">
        <v>25306</v>
      </c>
      <c r="L5088" t="s">
        <v>83</v>
      </c>
      <c r="M5088" t="s">
        <v>85</v>
      </c>
      <c r="R5088" t="s">
        <v>25305</v>
      </c>
      <c r="W5088" t="s">
        <v>25305</v>
      </c>
      <c r="X5088" t="s">
        <v>25307</v>
      </c>
      <c r="Y5088" t="s">
        <v>164</v>
      </c>
      <c r="Z5088" t="s">
        <v>77</v>
      </c>
      <c r="AA5088" t="str">
        <f>"11554-1859"</f>
        <v>11554-1859</v>
      </c>
      <c r="AB5088" t="s">
        <v>78</v>
      </c>
      <c r="AC5088" t="s">
        <v>79</v>
      </c>
      <c r="AD5088" t="s">
        <v>75</v>
      </c>
      <c r="AE5088" t="s">
        <v>80</v>
      </c>
      <c r="AG5088" t="s">
        <v>81</v>
      </c>
    </row>
    <row r="5089" spans="1:33" x14ac:dyDescent="0.25">
      <c r="A5089" t="str">
        <f>"1679508055"</f>
        <v>1679508055</v>
      </c>
      <c r="B5089" t="str">
        <f>"02318656"</f>
        <v>02318656</v>
      </c>
      <c r="C5089" t="s">
        <v>13436</v>
      </c>
      <c r="D5089" t="s">
        <v>25308</v>
      </c>
      <c r="E5089" t="s">
        <v>25309</v>
      </c>
      <c r="G5089" t="s">
        <v>25310</v>
      </c>
      <c r="L5089" t="s">
        <v>84</v>
      </c>
      <c r="M5089" t="s">
        <v>85</v>
      </c>
      <c r="R5089" t="s">
        <v>25311</v>
      </c>
      <c r="W5089" t="s">
        <v>25309</v>
      </c>
      <c r="X5089" t="s">
        <v>25312</v>
      </c>
      <c r="Y5089" t="s">
        <v>97</v>
      </c>
      <c r="Z5089" t="s">
        <v>77</v>
      </c>
      <c r="AA5089" t="str">
        <f>"10025-5752"</f>
        <v>10025-5752</v>
      </c>
      <c r="AB5089" t="s">
        <v>78</v>
      </c>
      <c r="AC5089" t="s">
        <v>79</v>
      </c>
      <c r="AD5089" t="s">
        <v>75</v>
      </c>
      <c r="AE5089" t="s">
        <v>80</v>
      </c>
      <c r="AG5089" t="s">
        <v>81</v>
      </c>
    </row>
    <row r="5090" spans="1:33" x14ac:dyDescent="0.25">
      <c r="A5090" t="str">
        <f>"1023167459"</f>
        <v>1023167459</v>
      </c>
      <c r="C5090" t="s">
        <v>13436</v>
      </c>
      <c r="G5090" t="s">
        <v>25313</v>
      </c>
      <c r="K5090" t="s">
        <v>99</v>
      </c>
      <c r="L5090" t="s">
        <v>74</v>
      </c>
      <c r="M5090" t="s">
        <v>85</v>
      </c>
      <c r="R5090" t="s">
        <v>25314</v>
      </c>
      <c r="S5090" t="s">
        <v>25315</v>
      </c>
      <c r="T5090" t="s">
        <v>97</v>
      </c>
      <c r="U5090" t="s">
        <v>77</v>
      </c>
      <c r="V5090" t="str">
        <f>"100251716"</f>
        <v>100251716</v>
      </c>
      <c r="AC5090" t="s">
        <v>79</v>
      </c>
      <c r="AD5090" t="s">
        <v>75</v>
      </c>
      <c r="AE5090" t="s">
        <v>103</v>
      </c>
      <c r="AG5090" t="s">
        <v>81</v>
      </c>
    </row>
    <row r="5091" spans="1:33" x14ac:dyDescent="0.25">
      <c r="A5091" t="str">
        <f>"1578725768"</f>
        <v>1578725768</v>
      </c>
      <c r="C5091" t="s">
        <v>13436</v>
      </c>
      <c r="G5091" t="s">
        <v>25316</v>
      </c>
      <c r="K5091" t="s">
        <v>99</v>
      </c>
      <c r="L5091" t="s">
        <v>102</v>
      </c>
      <c r="M5091" t="s">
        <v>75</v>
      </c>
      <c r="R5091" t="s">
        <v>25317</v>
      </c>
      <c r="S5091" t="s">
        <v>11489</v>
      </c>
      <c r="T5091" t="s">
        <v>97</v>
      </c>
      <c r="U5091" t="s">
        <v>77</v>
      </c>
      <c r="V5091" t="str">
        <f>"100033804"</f>
        <v>100033804</v>
      </c>
      <c r="AC5091" t="s">
        <v>79</v>
      </c>
      <c r="AD5091" t="s">
        <v>75</v>
      </c>
      <c r="AE5091" t="s">
        <v>103</v>
      </c>
      <c r="AG5091" t="s">
        <v>81</v>
      </c>
    </row>
    <row r="5092" spans="1:33" x14ac:dyDescent="0.25">
      <c r="A5092" t="str">
        <f>"1578881439"</f>
        <v>1578881439</v>
      </c>
      <c r="B5092" t="str">
        <f>"03519293"</f>
        <v>03519293</v>
      </c>
      <c r="C5092" t="s">
        <v>13436</v>
      </c>
      <c r="D5092" t="s">
        <v>25318</v>
      </c>
      <c r="E5092" t="s">
        <v>25319</v>
      </c>
      <c r="G5092" t="s">
        <v>25320</v>
      </c>
      <c r="L5092" t="s">
        <v>94</v>
      </c>
      <c r="M5092" t="s">
        <v>85</v>
      </c>
      <c r="R5092" t="s">
        <v>25321</v>
      </c>
      <c r="W5092" t="s">
        <v>25319</v>
      </c>
      <c r="X5092" t="s">
        <v>329</v>
      </c>
      <c r="Y5092" t="s">
        <v>97</v>
      </c>
      <c r="Z5092" t="s">
        <v>77</v>
      </c>
      <c r="AA5092" t="str">
        <f>"10029-6500"</f>
        <v>10029-6500</v>
      </c>
      <c r="AB5092" t="s">
        <v>78</v>
      </c>
      <c r="AC5092" t="s">
        <v>79</v>
      </c>
      <c r="AD5092" t="s">
        <v>75</v>
      </c>
      <c r="AE5092" t="s">
        <v>80</v>
      </c>
      <c r="AG5092" t="s">
        <v>81</v>
      </c>
    </row>
    <row r="5093" spans="1:33" x14ac:dyDescent="0.25">
      <c r="A5093" t="str">
        <f>"1588939938"</f>
        <v>1588939938</v>
      </c>
      <c r="C5093" t="s">
        <v>13436</v>
      </c>
      <c r="G5093" t="s">
        <v>25322</v>
      </c>
      <c r="K5093" t="s">
        <v>99</v>
      </c>
      <c r="L5093" t="s">
        <v>102</v>
      </c>
      <c r="M5093" t="s">
        <v>75</v>
      </c>
      <c r="R5093" t="s">
        <v>25323</v>
      </c>
      <c r="S5093" t="s">
        <v>11602</v>
      </c>
      <c r="T5093" t="s">
        <v>97</v>
      </c>
      <c r="U5093" t="s">
        <v>77</v>
      </c>
      <c r="V5093" t="str">
        <f>"100295204"</f>
        <v>100295204</v>
      </c>
      <c r="AC5093" t="s">
        <v>79</v>
      </c>
      <c r="AD5093" t="s">
        <v>75</v>
      </c>
      <c r="AE5093" t="s">
        <v>103</v>
      </c>
      <c r="AG5093" t="s">
        <v>81</v>
      </c>
    </row>
    <row r="5094" spans="1:33" x14ac:dyDescent="0.25">
      <c r="A5094" t="str">
        <f>"1568530483"</f>
        <v>1568530483</v>
      </c>
      <c r="B5094" t="str">
        <f>"01917537"</f>
        <v>01917537</v>
      </c>
      <c r="C5094" t="s">
        <v>25324</v>
      </c>
      <c r="D5094" t="s">
        <v>25325</v>
      </c>
      <c r="E5094" t="s">
        <v>25326</v>
      </c>
      <c r="G5094" t="s">
        <v>6513</v>
      </c>
      <c r="H5094" t="s">
        <v>6514</v>
      </c>
      <c r="J5094" t="s">
        <v>6515</v>
      </c>
      <c r="L5094" t="s">
        <v>102</v>
      </c>
      <c r="M5094" t="s">
        <v>75</v>
      </c>
      <c r="R5094" t="s">
        <v>25327</v>
      </c>
      <c r="W5094" t="s">
        <v>25326</v>
      </c>
      <c r="X5094" t="s">
        <v>25328</v>
      </c>
      <c r="Y5094" t="s">
        <v>97</v>
      </c>
      <c r="Z5094" t="s">
        <v>77</v>
      </c>
      <c r="AA5094" t="str">
        <f>"10119-0206"</f>
        <v>10119-0206</v>
      </c>
      <c r="AB5094" t="s">
        <v>78</v>
      </c>
      <c r="AC5094" t="s">
        <v>79</v>
      </c>
      <c r="AD5094" t="s">
        <v>75</v>
      </c>
      <c r="AE5094" t="s">
        <v>80</v>
      </c>
      <c r="AG5094" t="s">
        <v>81</v>
      </c>
    </row>
    <row r="5095" spans="1:33" x14ac:dyDescent="0.25">
      <c r="A5095" t="str">
        <f>"1760603062"</f>
        <v>1760603062</v>
      </c>
      <c r="B5095" t="str">
        <f>"03281752"</f>
        <v>03281752</v>
      </c>
      <c r="C5095" t="s">
        <v>25329</v>
      </c>
      <c r="D5095" t="s">
        <v>25330</v>
      </c>
      <c r="E5095" t="s">
        <v>25331</v>
      </c>
      <c r="G5095" t="s">
        <v>6513</v>
      </c>
      <c r="H5095" t="s">
        <v>6514</v>
      </c>
      <c r="J5095" t="s">
        <v>6515</v>
      </c>
      <c r="L5095" t="s">
        <v>74</v>
      </c>
      <c r="M5095" t="s">
        <v>85</v>
      </c>
      <c r="R5095" t="s">
        <v>25332</v>
      </c>
      <c r="W5095" t="s">
        <v>25331</v>
      </c>
      <c r="X5095" t="s">
        <v>2093</v>
      </c>
      <c r="Y5095" t="s">
        <v>97</v>
      </c>
      <c r="Z5095" t="s">
        <v>77</v>
      </c>
      <c r="AA5095" t="str">
        <f>"10025-1715"</f>
        <v>10025-1715</v>
      </c>
      <c r="AB5095" t="s">
        <v>78</v>
      </c>
      <c r="AC5095" t="s">
        <v>79</v>
      </c>
      <c r="AD5095" t="s">
        <v>75</v>
      </c>
      <c r="AE5095" t="s">
        <v>80</v>
      </c>
      <c r="AG5095" t="s">
        <v>81</v>
      </c>
    </row>
    <row r="5096" spans="1:33" x14ac:dyDescent="0.25">
      <c r="A5096" t="str">
        <f>"1598782138"</f>
        <v>1598782138</v>
      </c>
      <c r="B5096" t="str">
        <f>"02603074"</f>
        <v>02603074</v>
      </c>
      <c r="C5096" t="s">
        <v>25333</v>
      </c>
      <c r="D5096" t="s">
        <v>3698</v>
      </c>
      <c r="E5096" t="s">
        <v>3699</v>
      </c>
      <c r="G5096" t="s">
        <v>6513</v>
      </c>
      <c r="H5096" t="s">
        <v>6514</v>
      </c>
      <c r="J5096" t="s">
        <v>6515</v>
      </c>
      <c r="L5096" t="s">
        <v>105</v>
      </c>
      <c r="M5096" t="s">
        <v>75</v>
      </c>
      <c r="R5096" t="s">
        <v>3700</v>
      </c>
      <c r="W5096" t="s">
        <v>3701</v>
      </c>
      <c r="X5096" t="s">
        <v>3702</v>
      </c>
      <c r="Y5096" t="s">
        <v>131</v>
      </c>
      <c r="Z5096" t="s">
        <v>77</v>
      </c>
      <c r="AA5096" t="str">
        <f>"10456-4145"</f>
        <v>10456-4145</v>
      </c>
      <c r="AB5096" t="s">
        <v>113</v>
      </c>
      <c r="AC5096" t="s">
        <v>79</v>
      </c>
      <c r="AD5096" t="s">
        <v>75</v>
      </c>
      <c r="AE5096" t="s">
        <v>80</v>
      </c>
      <c r="AG5096" t="s">
        <v>81</v>
      </c>
    </row>
    <row r="5097" spans="1:33" x14ac:dyDescent="0.25">
      <c r="A5097" t="str">
        <f>"1043521412"</f>
        <v>1043521412</v>
      </c>
      <c r="B5097" t="str">
        <f>"03556232"</f>
        <v>03556232</v>
      </c>
      <c r="C5097" t="s">
        <v>25334</v>
      </c>
      <c r="D5097" t="s">
        <v>4156</v>
      </c>
      <c r="E5097" t="s">
        <v>4157</v>
      </c>
      <c r="G5097" t="s">
        <v>6513</v>
      </c>
      <c r="H5097" t="s">
        <v>6514</v>
      </c>
      <c r="J5097" t="s">
        <v>6515</v>
      </c>
      <c r="L5097" t="s">
        <v>105</v>
      </c>
      <c r="M5097" t="s">
        <v>75</v>
      </c>
      <c r="R5097" t="s">
        <v>4158</v>
      </c>
      <c r="W5097" t="s">
        <v>4159</v>
      </c>
      <c r="X5097" t="s">
        <v>4160</v>
      </c>
      <c r="Y5097" t="s">
        <v>316</v>
      </c>
      <c r="Z5097" t="s">
        <v>77</v>
      </c>
      <c r="AA5097" t="str">
        <f>"10805-1801"</f>
        <v>10805-1801</v>
      </c>
      <c r="AB5097" t="s">
        <v>78</v>
      </c>
      <c r="AC5097" t="s">
        <v>79</v>
      </c>
      <c r="AD5097" t="s">
        <v>75</v>
      </c>
      <c r="AE5097" t="s">
        <v>80</v>
      </c>
      <c r="AG5097" t="s">
        <v>81</v>
      </c>
    </row>
    <row r="5098" spans="1:33" x14ac:dyDescent="0.25">
      <c r="A5098" t="str">
        <f>"1598758435"</f>
        <v>1598758435</v>
      </c>
      <c r="B5098" t="str">
        <f>"00409072"</f>
        <v>00409072</v>
      </c>
      <c r="C5098" t="s">
        <v>25335</v>
      </c>
      <c r="D5098" t="s">
        <v>25336</v>
      </c>
      <c r="E5098" t="s">
        <v>25337</v>
      </c>
      <c r="G5098" t="s">
        <v>6513</v>
      </c>
      <c r="H5098" t="s">
        <v>6514</v>
      </c>
      <c r="J5098" t="s">
        <v>6515</v>
      </c>
      <c r="L5098" t="s">
        <v>83</v>
      </c>
      <c r="M5098" t="s">
        <v>85</v>
      </c>
      <c r="R5098" t="s">
        <v>25338</v>
      </c>
      <c r="W5098" t="s">
        <v>25337</v>
      </c>
      <c r="X5098" t="s">
        <v>4489</v>
      </c>
      <c r="Y5098" t="s">
        <v>97</v>
      </c>
      <c r="Z5098" t="s">
        <v>77</v>
      </c>
      <c r="AA5098" t="str">
        <f>"10025"</f>
        <v>10025</v>
      </c>
      <c r="AB5098" t="s">
        <v>78</v>
      </c>
      <c r="AC5098" t="s">
        <v>79</v>
      </c>
      <c r="AD5098" t="s">
        <v>75</v>
      </c>
      <c r="AE5098" t="s">
        <v>80</v>
      </c>
      <c r="AG5098" t="s">
        <v>81</v>
      </c>
    </row>
    <row r="5099" spans="1:33" x14ac:dyDescent="0.25">
      <c r="A5099" t="str">
        <f>"1790818144"</f>
        <v>1790818144</v>
      </c>
      <c r="B5099" t="str">
        <f>"01719979"</f>
        <v>01719979</v>
      </c>
      <c r="C5099" t="s">
        <v>25339</v>
      </c>
      <c r="D5099" t="s">
        <v>6068</v>
      </c>
      <c r="E5099" t="s">
        <v>6069</v>
      </c>
      <c r="G5099" t="s">
        <v>6513</v>
      </c>
      <c r="H5099" t="s">
        <v>6514</v>
      </c>
      <c r="J5099" t="s">
        <v>6515</v>
      </c>
      <c r="L5099" t="s">
        <v>74</v>
      </c>
      <c r="M5099" t="s">
        <v>85</v>
      </c>
      <c r="R5099" t="s">
        <v>6070</v>
      </c>
      <c r="W5099" t="s">
        <v>6069</v>
      </c>
      <c r="X5099" t="s">
        <v>2093</v>
      </c>
      <c r="Y5099" t="s">
        <v>97</v>
      </c>
      <c r="Z5099" t="s">
        <v>77</v>
      </c>
      <c r="AA5099" t="str">
        <f>"10025-1715"</f>
        <v>10025-1715</v>
      </c>
      <c r="AB5099" t="s">
        <v>78</v>
      </c>
      <c r="AC5099" t="s">
        <v>79</v>
      </c>
      <c r="AD5099" t="s">
        <v>75</v>
      </c>
      <c r="AE5099" t="s">
        <v>80</v>
      </c>
      <c r="AG5099" t="s">
        <v>81</v>
      </c>
    </row>
    <row r="5100" spans="1:33" x14ac:dyDescent="0.25">
      <c r="A5100" t="str">
        <f>"1790894475"</f>
        <v>1790894475</v>
      </c>
      <c r="B5100" t="str">
        <f>"00138596"</f>
        <v>00138596</v>
      </c>
      <c r="C5100" t="s">
        <v>25340</v>
      </c>
      <c r="D5100" t="s">
        <v>25341</v>
      </c>
      <c r="E5100" t="s">
        <v>25342</v>
      </c>
      <c r="G5100" t="s">
        <v>6513</v>
      </c>
      <c r="H5100" t="s">
        <v>6514</v>
      </c>
      <c r="J5100" t="s">
        <v>6515</v>
      </c>
      <c r="L5100" t="s">
        <v>74</v>
      </c>
      <c r="M5100" t="s">
        <v>75</v>
      </c>
      <c r="R5100" t="s">
        <v>25343</v>
      </c>
      <c r="W5100" t="s">
        <v>25342</v>
      </c>
      <c r="X5100" t="s">
        <v>19905</v>
      </c>
      <c r="Y5100" t="s">
        <v>97</v>
      </c>
      <c r="Z5100" t="s">
        <v>77</v>
      </c>
      <c r="AA5100" t="str">
        <f>"10075-0277"</f>
        <v>10075-0277</v>
      </c>
      <c r="AB5100" t="s">
        <v>78</v>
      </c>
      <c r="AC5100" t="s">
        <v>79</v>
      </c>
      <c r="AD5100" t="s">
        <v>75</v>
      </c>
      <c r="AE5100" t="s">
        <v>80</v>
      </c>
      <c r="AG5100" t="s">
        <v>81</v>
      </c>
    </row>
    <row r="5101" spans="1:33" x14ac:dyDescent="0.25">
      <c r="A5101" t="str">
        <f>"1194786962"</f>
        <v>1194786962</v>
      </c>
      <c r="B5101" t="str">
        <f>"02590527"</f>
        <v>02590527</v>
      </c>
      <c r="C5101" t="s">
        <v>13436</v>
      </c>
      <c r="D5101" t="s">
        <v>25344</v>
      </c>
      <c r="E5101" t="s">
        <v>25345</v>
      </c>
      <c r="G5101" t="s">
        <v>25346</v>
      </c>
      <c r="L5101" t="s">
        <v>83</v>
      </c>
      <c r="M5101" t="s">
        <v>85</v>
      </c>
      <c r="R5101" t="s">
        <v>25347</v>
      </c>
      <c r="W5101" t="s">
        <v>25345</v>
      </c>
      <c r="X5101" t="s">
        <v>187</v>
      </c>
      <c r="Y5101" t="s">
        <v>161</v>
      </c>
      <c r="Z5101" t="s">
        <v>77</v>
      </c>
      <c r="AA5101" t="str">
        <f>"11040-1402"</f>
        <v>11040-1402</v>
      </c>
      <c r="AB5101" t="s">
        <v>78</v>
      </c>
      <c r="AC5101" t="s">
        <v>79</v>
      </c>
      <c r="AD5101" t="s">
        <v>75</v>
      </c>
      <c r="AE5101" t="s">
        <v>80</v>
      </c>
      <c r="AG5101" t="s">
        <v>81</v>
      </c>
    </row>
    <row r="5102" spans="1:33" x14ac:dyDescent="0.25">
      <c r="A5102" t="str">
        <f>"1194881821"</f>
        <v>1194881821</v>
      </c>
      <c r="B5102" t="str">
        <f>"03608697"</f>
        <v>03608697</v>
      </c>
      <c r="C5102" t="s">
        <v>13436</v>
      </c>
      <c r="D5102" t="s">
        <v>25348</v>
      </c>
      <c r="E5102" t="s">
        <v>25349</v>
      </c>
      <c r="G5102" t="s">
        <v>25350</v>
      </c>
      <c r="L5102" t="s">
        <v>74</v>
      </c>
      <c r="M5102" t="s">
        <v>75</v>
      </c>
      <c r="R5102" t="s">
        <v>25351</v>
      </c>
      <c r="W5102" t="s">
        <v>25349</v>
      </c>
      <c r="X5102" t="s">
        <v>235</v>
      </c>
      <c r="Y5102" t="s">
        <v>190</v>
      </c>
      <c r="Z5102" t="s">
        <v>77</v>
      </c>
      <c r="AA5102" t="str">
        <f>"11102-2448"</f>
        <v>11102-2448</v>
      </c>
      <c r="AB5102" t="s">
        <v>78</v>
      </c>
      <c r="AC5102" t="s">
        <v>79</v>
      </c>
      <c r="AD5102" t="s">
        <v>75</v>
      </c>
      <c r="AE5102" t="s">
        <v>80</v>
      </c>
      <c r="AG5102" t="s">
        <v>81</v>
      </c>
    </row>
    <row r="5103" spans="1:33" x14ac:dyDescent="0.25">
      <c r="A5103" t="str">
        <f>"1194885830"</f>
        <v>1194885830</v>
      </c>
      <c r="B5103" t="str">
        <f>"02501999"</f>
        <v>02501999</v>
      </c>
      <c r="C5103" t="s">
        <v>13436</v>
      </c>
      <c r="D5103" t="s">
        <v>25352</v>
      </c>
      <c r="E5103" t="s">
        <v>25353</v>
      </c>
      <c r="G5103" t="s">
        <v>25354</v>
      </c>
      <c r="L5103" t="s">
        <v>37</v>
      </c>
      <c r="M5103" t="s">
        <v>75</v>
      </c>
      <c r="R5103" t="s">
        <v>25355</v>
      </c>
      <c r="W5103" t="s">
        <v>25353</v>
      </c>
      <c r="X5103" t="s">
        <v>365</v>
      </c>
      <c r="Y5103" t="s">
        <v>190</v>
      </c>
      <c r="Z5103" t="s">
        <v>77</v>
      </c>
      <c r="AA5103" t="str">
        <f>"11102-2448"</f>
        <v>11102-2448</v>
      </c>
      <c r="AB5103" t="s">
        <v>127</v>
      </c>
      <c r="AC5103" t="s">
        <v>79</v>
      </c>
      <c r="AD5103" t="s">
        <v>75</v>
      </c>
      <c r="AE5103" t="s">
        <v>80</v>
      </c>
      <c r="AG5103" t="s">
        <v>81</v>
      </c>
    </row>
    <row r="5104" spans="1:33" x14ac:dyDescent="0.25">
      <c r="A5104" t="str">
        <f>"1194929364"</f>
        <v>1194929364</v>
      </c>
      <c r="B5104" t="str">
        <f>"03239094"</f>
        <v>03239094</v>
      </c>
      <c r="C5104" t="s">
        <v>13436</v>
      </c>
      <c r="D5104" t="s">
        <v>25356</v>
      </c>
      <c r="E5104" t="s">
        <v>25357</v>
      </c>
      <c r="G5104" t="s">
        <v>25358</v>
      </c>
      <c r="L5104" t="s">
        <v>83</v>
      </c>
      <c r="M5104" t="s">
        <v>75</v>
      </c>
      <c r="R5104" t="s">
        <v>25359</v>
      </c>
      <c r="W5104" t="s">
        <v>25360</v>
      </c>
      <c r="X5104" t="s">
        <v>25361</v>
      </c>
      <c r="Y5104" t="s">
        <v>160</v>
      </c>
      <c r="Z5104" t="s">
        <v>77</v>
      </c>
      <c r="AA5104" t="str">
        <f>"11030-3022"</f>
        <v>11030-3022</v>
      </c>
      <c r="AB5104" t="s">
        <v>78</v>
      </c>
      <c r="AC5104" t="s">
        <v>79</v>
      </c>
      <c r="AD5104" t="s">
        <v>75</v>
      </c>
      <c r="AE5104" t="s">
        <v>80</v>
      </c>
      <c r="AG5104" t="s">
        <v>81</v>
      </c>
    </row>
    <row r="5105" spans="1:33" x14ac:dyDescent="0.25">
      <c r="A5105" t="str">
        <f>"1194939074"</f>
        <v>1194939074</v>
      </c>
      <c r="B5105" t="str">
        <f>"03026551"</f>
        <v>03026551</v>
      </c>
      <c r="C5105" t="s">
        <v>13436</v>
      </c>
      <c r="D5105" t="s">
        <v>25362</v>
      </c>
      <c r="E5105" t="s">
        <v>25363</v>
      </c>
      <c r="L5105" t="s">
        <v>74</v>
      </c>
      <c r="M5105" t="s">
        <v>75</v>
      </c>
      <c r="R5105" t="s">
        <v>25364</v>
      </c>
      <c r="W5105" t="s">
        <v>25365</v>
      </c>
      <c r="X5105" t="s">
        <v>1787</v>
      </c>
      <c r="Y5105" t="s">
        <v>97</v>
      </c>
      <c r="Z5105" t="s">
        <v>77</v>
      </c>
      <c r="AA5105" t="str">
        <f>"10029-6501"</f>
        <v>10029-6501</v>
      </c>
      <c r="AB5105" t="s">
        <v>78</v>
      </c>
      <c r="AC5105" t="s">
        <v>79</v>
      </c>
      <c r="AD5105" t="s">
        <v>75</v>
      </c>
      <c r="AE5105" t="s">
        <v>80</v>
      </c>
      <c r="AG5105" t="s">
        <v>81</v>
      </c>
    </row>
    <row r="5106" spans="1:33" x14ac:dyDescent="0.25">
      <c r="A5106" t="str">
        <f>"1194947382"</f>
        <v>1194947382</v>
      </c>
      <c r="B5106" t="str">
        <f>"03737208"</f>
        <v>03737208</v>
      </c>
      <c r="C5106" t="s">
        <v>13436</v>
      </c>
      <c r="D5106" t="s">
        <v>25366</v>
      </c>
      <c r="E5106" t="s">
        <v>25367</v>
      </c>
      <c r="G5106" t="s">
        <v>25368</v>
      </c>
      <c r="L5106" t="s">
        <v>74</v>
      </c>
      <c r="M5106" t="s">
        <v>75</v>
      </c>
      <c r="R5106" t="s">
        <v>25369</v>
      </c>
      <c r="W5106" t="s">
        <v>25367</v>
      </c>
      <c r="X5106" t="s">
        <v>25370</v>
      </c>
      <c r="Y5106" t="s">
        <v>97</v>
      </c>
      <c r="Z5106" t="s">
        <v>77</v>
      </c>
      <c r="AA5106" t="str">
        <f>"10029-6504"</f>
        <v>10029-6504</v>
      </c>
      <c r="AB5106" t="s">
        <v>78</v>
      </c>
      <c r="AC5106" t="s">
        <v>79</v>
      </c>
      <c r="AD5106" t="s">
        <v>75</v>
      </c>
      <c r="AE5106" t="s">
        <v>80</v>
      </c>
      <c r="AG5106" t="s">
        <v>81</v>
      </c>
    </row>
    <row r="5107" spans="1:33" x14ac:dyDescent="0.25">
      <c r="A5107" t="str">
        <f>"1114988946"</f>
        <v>1114988946</v>
      </c>
      <c r="B5107" t="str">
        <f>"02490173"</f>
        <v>02490173</v>
      </c>
      <c r="C5107" t="s">
        <v>25371</v>
      </c>
      <c r="D5107" t="s">
        <v>25372</v>
      </c>
      <c r="E5107" t="s">
        <v>25373</v>
      </c>
      <c r="G5107" t="s">
        <v>13504</v>
      </c>
      <c r="H5107" t="s">
        <v>13505</v>
      </c>
      <c r="J5107" t="s">
        <v>13506</v>
      </c>
      <c r="L5107" t="s">
        <v>74</v>
      </c>
      <c r="M5107" t="s">
        <v>75</v>
      </c>
      <c r="R5107" t="s">
        <v>25374</v>
      </c>
      <c r="W5107" t="s">
        <v>25373</v>
      </c>
      <c r="X5107" t="s">
        <v>323</v>
      </c>
      <c r="Y5107" t="s">
        <v>87</v>
      </c>
      <c r="Z5107" t="s">
        <v>77</v>
      </c>
      <c r="AA5107" t="str">
        <f>"11201-5509"</f>
        <v>11201-5509</v>
      </c>
      <c r="AB5107" t="s">
        <v>78</v>
      </c>
      <c r="AC5107" t="s">
        <v>79</v>
      </c>
      <c r="AD5107" t="s">
        <v>75</v>
      </c>
      <c r="AE5107" t="s">
        <v>80</v>
      </c>
      <c r="AG5107" t="s">
        <v>81</v>
      </c>
    </row>
    <row r="5108" spans="1:33" x14ac:dyDescent="0.25">
      <c r="A5108" t="str">
        <f>"1285914770"</f>
        <v>1285914770</v>
      </c>
      <c r="B5108" t="str">
        <f>"03404482"</f>
        <v>03404482</v>
      </c>
      <c r="C5108" t="s">
        <v>25375</v>
      </c>
      <c r="D5108" t="s">
        <v>25376</v>
      </c>
      <c r="E5108" t="s">
        <v>25377</v>
      </c>
      <c r="G5108" t="s">
        <v>13504</v>
      </c>
      <c r="H5108" t="s">
        <v>13505</v>
      </c>
      <c r="J5108" t="s">
        <v>13506</v>
      </c>
      <c r="L5108" t="s">
        <v>83</v>
      </c>
      <c r="M5108" t="s">
        <v>75</v>
      </c>
      <c r="R5108" t="s">
        <v>25378</v>
      </c>
      <c r="W5108" t="s">
        <v>25379</v>
      </c>
      <c r="X5108" t="s">
        <v>258</v>
      </c>
      <c r="Y5108" t="s">
        <v>131</v>
      </c>
      <c r="Z5108" t="s">
        <v>77</v>
      </c>
      <c r="AA5108" t="str">
        <f>"10467-2401"</f>
        <v>10467-2401</v>
      </c>
      <c r="AB5108" t="s">
        <v>78</v>
      </c>
      <c r="AC5108" t="s">
        <v>79</v>
      </c>
      <c r="AD5108" t="s">
        <v>75</v>
      </c>
      <c r="AE5108" t="s">
        <v>80</v>
      </c>
      <c r="AG5108" t="s">
        <v>81</v>
      </c>
    </row>
    <row r="5109" spans="1:33" x14ac:dyDescent="0.25">
      <c r="A5109" t="str">
        <f>"1073752382"</f>
        <v>1073752382</v>
      </c>
      <c r="B5109" t="str">
        <f>"03488171"</f>
        <v>03488171</v>
      </c>
      <c r="C5109" t="s">
        <v>25380</v>
      </c>
      <c r="D5109" t="s">
        <v>25381</v>
      </c>
      <c r="E5109" t="s">
        <v>25382</v>
      </c>
      <c r="G5109" t="s">
        <v>13504</v>
      </c>
      <c r="H5109" t="s">
        <v>13505</v>
      </c>
      <c r="J5109" t="s">
        <v>13506</v>
      </c>
      <c r="L5109" t="s">
        <v>74</v>
      </c>
      <c r="M5109" t="s">
        <v>85</v>
      </c>
      <c r="R5109" t="s">
        <v>25383</v>
      </c>
      <c r="W5109" t="s">
        <v>25382</v>
      </c>
      <c r="X5109" t="s">
        <v>1330</v>
      </c>
      <c r="Y5109" t="s">
        <v>87</v>
      </c>
      <c r="Z5109" t="s">
        <v>77</v>
      </c>
      <c r="AA5109" t="str">
        <f>"11219-2918"</f>
        <v>11219-2918</v>
      </c>
      <c r="AB5109" t="s">
        <v>78</v>
      </c>
      <c r="AC5109" t="s">
        <v>79</v>
      </c>
      <c r="AD5109" t="s">
        <v>75</v>
      </c>
      <c r="AE5109" t="s">
        <v>80</v>
      </c>
      <c r="AG5109" t="s">
        <v>81</v>
      </c>
    </row>
    <row r="5110" spans="1:33" x14ac:dyDescent="0.25">
      <c r="A5110" t="str">
        <f>"1942452172"</f>
        <v>1942452172</v>
      </c>
      <c r="B5110" t="str">
        <f>"02721819"</f>
        <v>02721819</v>
      </c>
      <c r="C5110" t="s">
        <v>25384</v>
      </c>
      <c r="D5110" t="s">
        <v>25385</v>
      </c>
      <c r="E5110" t="s">
        <v>25386</v>
      </c>
      <c r="G5110" t="s">
        <v>13504</v>
      </c>
      <c r="H5110" t="s">
        <v>13505</v>
      </c>
      <c r="J5110" t="s">
        <v>13506</v>
      </c>
      <c r="L5110" t="s">
        <v>83</v>
      </c>
      <c r="M5110" t="s">
        <v>85</v>
      </c>
      <c r="R5110" t="s">
        <v>25387</v>
      </c>
      <c r="W5110" t="s">
        <v>25386</v>
      </c>
      <c r="X5110" t="s">
        <v>25388</v>
      </c>
      <c r="Y5110" t="s">
        <v>87</v>
      </c>
      <c r="Z5110" t="s">
        <v>77</v>
      </c>
      <c r="AA5110" t="str">
        <f>"11201-5465"</f>
        <v>11201-5465</v>
      </c>
      <c r="AB5110" t="s">
        <v>78</v>
      </c>
      <c r="AC5110" t="s">
        <v>79</v>
      </c>
      <c r="AD5110" t="s">
        <v>75</v>
      </c>
      <c r="AE5110" t="s">
        <v>80</v>
      </c>
      <c r="AG5110" t="s">
        <v>81</v>
      </c>
    </row>
    <row r="5111" spans="1:33" x14ac:dyDescent="0.25">
      <c r="A5111" t="str">
        <f>"1306008412"</f>
        <v>1306008412</v>
      </c>
      <c r="B5111" t="str">
        <f>"03625394"</f>
        <v>03625394</v>
      </c>
      <c r="C5111" t="s">
        <v>25389</v>
      </c>
      <c r="D5111" t="s">
        <v>25390</v>
      </c>
      <c r="E5111" t="s">
        <v>25391</v>
      </c>
      <c r="G5111" t="s">
        <v>13504</v>
      </c>
      <c r="H5111" t="s">
        <v>13505</v>
      </c>
      <c r="J5111" t="s">
        <v>13506</v>
      </c>
      <c r="L5111" t="s">
        <v>83</v>
      </c>
      <c r="M5111" t="s">
        <v>75</v>
      </c>
      <c r="R5111" t="s">
        <v>25391</v>
      </c>
      <c r="W5111" t="s">
        <v>25391</v>
      </c>
      <c r="X5111" t="s">
        <v>202</v>
      </c>
      <c r="Y5111" t="s">
        <v>87</v>
      </c>
      <c r="Z5111" t="s">
        <v>77</v>
      </c>
      <c r="AA5111" t="str">
        <f>"11201-5425"</f>
        <v>11201-5425</v>
      </c>
      <c r="AB5111" t="s">
        <v>78</v>
      </c>
      <c r="AC5111" t="s">
        <v>79</v>
      </c>
      <c r="AD5111" t="s">
        <v>75</v>
      </c>
      <c r="AE5111" t="s">
        <v>80</v>
      </c>
      <c r="AG5111" t="s">
        <v>81</v>
      </c>
    </row>
    <row r="5112" spans="1:33" x14ac:dyDescent="0.25">
      <c r="A5112" t="str">
        <f>"1760743512"</f>
        <v>1760743512</v>
      </c>
      <c r="B5112" t="str">
        <f>"03489058"</f>
        <v>03489058</v>
      </c>
      <c r="C5112" t="s">
        <v>25392</v>
      </c>
      <c r="D5112" t="s">
        <v>25393</v>
      </c>
      <c r="E5112" t="s">
        <v>25394</v>
      </c>
      <c r="G5112" t="s">
        <v>13504</v>
      </c>
      <c r="H5112" t="s">
        <v>13505</v>
      </c>
      <c r="J5112" t="s">
        <v>13506</v>
      </c>
      <c r="L5112" t="s">
        <v>74</v>
      </c>
      <c r="M5112" t="s">
        <v>75</v>
      </c>
      <c r="R5112" t="s">
        <v>25395</v>
      </c>
      <c r="W5112" t="s">
        <v>25396</v>
      </c>
      <c r="X5112" t="s">
        <v>187</v>
      </c>
      <c r="Y5112" t="s">
        <v>161</v>
      </c>
      <c r="Z5112" t="s">
        <v>77</v>
      </c>
      <c r="AA5112" t="str">
        <f>"11040-1402"</f>
        <v>11040-1402</v>
      </c>
      <c r="AB5112" t="s">
        <v>78</v>
      </c>
      <c r="AC5112" t="s">
        <v>79</v>
      </c>
      <c r="AD5112" t="s">
        <v>75</v>
      </c>
      <c r="AE5112" t="s">
        <v>80</v>
      </c>
      <c r="AG5112" t="s">
        <v>81</v>
      </c>
    </row>
    <row r="5113" spans="1:33" x14ac:dyDescent="0.25">
      <c r="A5113" t="str">
        <f>"1699827238"</f>
        <v>1699827238</v>
      </c>
      <c r="B5113" t="str">
        <f>"02483618"</f>
        <v>02483618</v>
      </c>
      <c r="C5113" t="s">
        <v>13436</v>
      </c>
      <c r="D5113" t="s">
        <v>25397</v>
      </c>
      <c r="E5113" t="s">
        <v>25398</v>
      </c>
      <c r="G5113" t="s">
        <v>25399</v>
      </c>
      <c r="L5113" t="s">
        <v>102</v>
      </c>
      <c r="M5113" t="s">
        <v>75</v>
      </c>
      <c r="R5113" t="s">
        <v>25398</v>
      </c>
      <c r="W5113" t="s">
        <v>25398</v>
      </c>
      <c r="X5113" t="s">
        <v>25398</v>
      </c>
      <c r="Y5113" t="s">
        <v>97</v>
      </c>
      <c r="Z5113" t="s">
        <v>77</v>
      </c>
      <c r="AA5113" t="str">
        <f>"10019"</f>
        <v>10019</v>
      </c>
      <c r="AB5113" t="s">
        <v>125</v>
      </c>
      <c r="AC5113" t="s">
        <v>79</v>
      </c>
      <c r="AD5113" t="s">
        <v>75</v>
      </c>
      <c r="AE5113" t="s">
        <v>80</v>
      </c>
      <c r="AG5113" t="s">
        <v>81</v>
      </c>
    </row>
    <row r="5114" spans="1:33" x14ac:dyDescent="0.25">
      <c r="A5114" t="str">
        <f>"1699984385"</f>
        <v>1699984385</v>
      </c>
      <c r="C5114" t="s">
        <v>13436</v>
      </c>
      <c r="G5114" t="s">
        <v>25400</v>
      </c>
      <c r="K5114" t="s">
        <v>99</v>
      </c>
      <c r="L5114" t="s">
        <v>74</v>
      </c>
      <c r="M5114" t="s">
        <v>75</v>
      </c>
      <c r="R5114" t="s">
        <v>25401</v>
      </c>
      <c r="S5114" t="s">
        <v>200</v>
      </c>
      <c r="T5114" t="s">
        <v>97</v>
      </c>
      <c r="U5114" t="s">
        <v>77</v>
      </c>
      <c r="V5114" t="str">
        <f>"100323720"</f>
        <v>100323720</v>
      </c>
      <c r="AC5114" t="s">
        <v>79</v>
      </c>
      <c r="AD5114" t="s">
        <v>75</v>
      </c>
      <c r="AE5114" t="s">
        <v>103</v>
      </c>
      <c r="AG5114" t="s">
        <v>81</v>
      </c>
    </row>
    <row r="5115" spans="1:33" x14ac:dyDescent="0.25">
      <c r="A5115" t="str">
        <f>"1700106002"</f>
        <v>1700106002</v>
      </c>
      <c r="B5115" t="str">
        <f>"03624453"</f>
        <v>03624453</v>
      </c>
      <c r="C5115" t="s">
        <v>13436</v>
      </c>
      <c r="D5115" t="s">
        <v>25402</v>
      </c>
      <c r="E5115" t="s">
        <v>25403</v>
      </c>
      <c r="G5115" t="s">
        <v>25404</v>
      </c>
      <c r="L5115" t="s">
        <v>84</v>
      </c>
      <c r="M5115" t="s">
        <v>85</v>
      </c>
      <c r="R5115" t="s">
        <v>25405</v>
      </c>
      <c r="W5115" t="s">
        <v>25406</v>
      </c>
      <c r="X5115" t="s">
        <v>25407</v>
      </c>
      <c r="Y5115" t="s">
        <v>97</v>
      </c>
      <c r="Z5115" t="s">
        <v>77</v>
      </c>
      <c r="AA5115" t="str">
        <f>"10029-6504"</f>
        <v>10029-6504</v>
      </c>
      <c r="AB5115" t="s">
        <v>78</v>
      </c>
      <c r="AC5115" t="s">
        <v>79</v>
      </c>
      <c r="AD5115" t="s">
        <v>75</v>
      </c>
      <c r="AE5115" t="s">
        <v>80</v>
      </c>
      <c r="AG5115" t="s">
        <v>81</v>
      </c>
    </row>
    <row r="5116" spans="1:33" x14ac:dyDescent="0.25">
      <c r="A5116" t="str">
        <f>"1700152626"</f>
        <v>1700152626</v>
      </c>
      <c r="B5116" t="str">
        <f>"04250895"</f>
        <v>04250895</v>
      </c>
      <c r="C5116" t="s">
        <v>13436</v>
      </c>
      <c r="D5116" t="s">
        <v>25408</v>
      </c>
      <c r="E5116" t="s">
        <v>25409</v>
      </c>
      <c r="G5116" t="s">
        <v>25410</v>
      </c>
      <c r="L5116" t="s">
        <v>94</v>
      </c>
      <c r="M5116" t="s">
        <v>75</v>
      </c>
      <c r="R5116" t="s">
        <v>25411</v>
      </c>
      <c r="W5116" t="s">
        <v>25409</v>
      </c>
      <c r="X5116" t="s">
        <v>25412</v>
      </c>
      <c r="Y5116" t="s">
        <v>97</v>
      </c>
      <c r="Z5116" t="s">
        <v>77</v>
      </c>
      <c r="AA5116" t="str">
        <f>"10029-4007"</f>
        <v>10029-4007</v>
      </c>
      <c r="AB5116" t="s">
        <v>78</v>
      </c>
      <c r="AC5116" t="s">
        <v>79</v>
      </c>
      <c r="AD5116" t="s">
        <v>75</v>
      </c>
      <c r="AE5116" t="s">
        <v>80</v>
      </c>
      <c r="AG5116" t="s">
        <v>81</v>
      </c>
    </row>
    <row r="5117" spans="1:33" x14ac:dyDescent="0.25">
      <c r="A5117" t="str">
        <f>"1700188109"</f>
        <v>1700188109</v>
      </c>
      <c r="B5117" t="str">
        <f>"03343368"</f>
        <v>03343368</v>
      </c>
      <c r="C5117" t="s">
        <v>13436</v>
      </c>
      <c r="D5117" t="s">
        <v>25413</v>
      </c>
      <c r="E5117" t="s">
        <v>25414</v>
      </c>
      <c r="G5117" t="s">
        <v>25415</v>
      </c>
      <c r="L5117" t="s">
        <v>74</v>
      </c>
      <c r="M5117" t="s">
        <v>75</v>
      </c>
      <c r="R5117" t="s">
        <v>25414</v>
      </c>
      <c r="W5117" t="s">
        <v>25414</v>
      </c>
      <c r="X5117" t="s">
        <v>1809</v>
      </c>
      <c r="Y5117" t="s">
        <v>2590</v>
      </c>
      <c r="Z5117" t="s">
        <v>77</v>
      </c>
      <c r="AA5117" t="str">
        <f>"11772-4870"</f>
        <v>11772-4870</v>
      </c>
      <c r="AB5117" t="s">
        <v>78</v>
      </c>
      <c r="AC5117" t="s">
        <v>79</v>
      </c>
      <c r="AD5117" t="s">
        <v>75</v>
      </c>
      <c r="AE5117" t="s">
        <v>80</v>
      </c>
      <c r="AG5117" t="s">
        <v>81</v>
      </c>
    </row>
    <row r="5118" spans="1:33" x14ac:dyDescent="0.25">
      <c r="A5118" t="str">
        <f>"1700818929"</f>
        <v>1700818929</v>
      </c>
      <c r="B5118" t="str">
        <f>"02552610"</f>
        <v>02552610</v>
      </c>
      <c r="C5118" t="s">
        <v>13436</v>
      </c>
      <c r="D5118" t="s">
        <v>25416</v>
      </c>
      <c r="E5118" t="s">
        <v>25417</v>
      </c>
      <c r="G5118" t="s">
        <v>25418</v>
      </c>
      <c r="L5118" t="s">
        <v>84</v>
      </c>
      <c r="M5118" t="s">
        <v>85</v>
      </c>
      <c r="R5118" t="s">
        <v>25419</v>
      </c>
      <c r="W5118" t="s">
        <v>25417</v>
      </c>
      <c r="X5118" t="s">
        <v>329</v>
      </c>
      <c r="Y5118" t="s">
        <v>97</v>
      </c>
      <c r="Z5118" t="s">
        <v>77</v>
      </c>
      <c r="AA5118" t="str">
        <f>"10029-6504"</f>
        <v>10029-6504</v>
      </c>
      <c r="AB5118" t="s">
        <v>78</v>
      </c>
      <c r="AC5118" t="s">
        <v>79</v>
      </c>
      <c r="AD5118" t="s">
        <v>75</v>
      </c>
      <c r="AE5118" t="s">
        <v>80</v>
      </c>
      <c r="AG5118" t="s">
        <v>81</v>
      </c>
    </row>
    <row r="5119" spans="1:33" x14ac:dyDescent="0.25">
      <c r="A5119" t="str">
        <f>"1700833118"</f>
        <v>1700833118</v>
      </c>
      <c r="C5119" t="s">
        <v>13436</v>
      </c>
      <c r="G5119" t="s">
        <v>25420</v>
      </c>
      <c r="K5119" t="s">
        <v>99</v>
      </c>
      <c r="L5119" t="s">
        <v>74</v>
      </c>
      <c r="M5119" t="s">
        <v>75</v>
      </c>
      <c r="R5119" t="s">
        <v>25421</v>
      </c>
      <c r="S5119" t="s">
        <v>13242</v>
      </c>
      <c r="T5119" t="s">
        <v>97</v>
      </c>
      <c r="U5119" t="s">
        <v>77</v>
      </c>
      <c r="V5119" t="str">
        <f>"100191147"</f>
        <v>100191147</v>
      </c>
      <c r="AC5119" t="s">
        <v>79</v>
      </c>
      <c r="AD5119" t="s">
        <v>75</v>
      </c>
      <c r="AE5119" t="s">
        <v>103</v>
      </c>
      <c r="AG5119" t="s">
        <v>81</v>
      </c>
    </row>
    <row r="5120" spans="1:33" x14ac:dyDescent="0.25">
      <c r="A5120" t="str">
        <f>"1700870904"</f>
        <v>1700870904</v>
      </c>
      <c r="B5120" t="str">
        <f>"01516783"</f>
        <v>01516783</v>
      </c>
      <c r="C5120" t="s">
        <v>13436</v>
      </c>
      <c r="D5120" t="s">
        <v>25422</v>
      </c>
      <c r="E5120" t="s">
        <v>25423</v>
      </c>
      <c r="G5120" t="s">
        <v>25424</v>
      </c>
      <c r="L5120" t="s">
        <v>83</v>
      </c>
      <c r="M5120" t="s">
        <v>85</v>
      </c>
      <c r="R5120" t="s">
        <v>25425</v>
      </c>
      <c r="W5120" t="s">
        <v>25423</v>
      </c>
      <c r="X5120" t="s">
        <v>242</v>
      </c>
      <c r="Y5120" t="s">
        <v>97</v>
      </c>
      <c r="Z5120" t="s">
        <v>77</v>
      </c>
      <c r="AA5120" t="str">
        <f>"10075-0306"</f>
        <v>10075-0306</v>
      </c>
      <c r="AB5120" t="s">
        <v>78</v>
      </c>
      <c r="AC5120" t="s">
        <v>79</v>
      </c>
      <c r="AD5120" t="s">
        <v>75</v>
      </c>
      <c r="AE5120" t="s">
        <v>80</v>
      </c>
      <c r="AG5120" t="s">
        <v>81</v>
      </c>
    </row>
    <row r="5121" spans="1:33" x14ac:dyDescent="0.25">
      <c r="A5121" t="str">
        <f>"1255453031"</f>
        <v>1255453031</v>
      </c>
      <c r="B5121" t="str">
        <f>"02926878"</f>
        <v>02926878</v>
      </c>
      <c r="C5121" t="s">
        <v>25426</v>
      </c>
      <c r="D5121" t="s">
        <v>1237</v>
      </c>
      <c r="E5121" t="s">
        <v>1238</v>
      </c>
      <c r="G5121" t="s">
        <v>13504</v>
      </c>
      <c r="H5121" t="s">
        <v>13505</v>
      </c>
      <c r="J5121" t="s">
        <v>13506</v>
      </c>
      <c r="L5121" t="s">
        <v>83</v>
      </c>
      <c r="M5121" t="s">
        <v>75</v>
      </c>
      <c r="R5121" t="s">
        <v>1239</v>
      </c>
      <c r="W5121" t="s">
        <v>1240</v>
      </c>
      <c r="X5121" t="s">
        <v>1241</v>
      </c>
      <c r="Y5121" t="s">
        <v>87</v>
      </c>
      <c r="Z5121" t="s">
        <v>77</v>
      </c>
      <c r="AA5121" t="str">
        <f>"11215-3311"</f>
        <v>11215-3311</v>
      </c>
      <c r="AB5121" t="s">
        <v>128</v>
      </c>
      <c r="AC5121" t="s">
        <v>79</v>
      </c>
      <c r="AD5121" t="s">
        <v>75</v>
      </c>
      <c r="AE5121" t="s">
        <v>80</v>
      </c>
      <c r="AG5121" t="s">
        <v>81</v>
      </c>
    </row>
    <row r="5122" spans="1:33" x14ac:dyDescent="0.25">
      <c r="A5122" t="str">
        <f>"1083955827"</f>
        <v>1083955827</v>
      </c>
      <c r="C5122" t="s">
        <v>25427</v>
      </c>
      <c r="G5122" t="s">
        <v>13504</v>
      </c>
      <c r="H5122" t="s">
        <v>13505</v>
      </c>
      <c r="J5122" t="s">
        <v>13506</v>
      </c>
      <c r="K5122" t="s">
        <v>99</v>
      </c>
      <c r="L5122" t="s">
        <v>102</v>
      </c>
      <c r="M5122" t="s">
        <v>75</v>
      </c>
      <c r="R5122" t="s">
        <v>25428</v>
      </c>
      <c r="S5122" t="s">
        <v>25429</v>
      </c>
      <c r="T5122" t="s">
        <v>87</v>
      </c>
      <c r="U5122" t="s">
        <v>77</v>
      </c>
      <c r="V5122" t="str">
        <f>"112015425"</f>
        <v>112015425</v>
      </c>
      <c r="AC5122" t="s">
        <v>79</v>
      </c>
      <c r="AD5122" t="s">
        <v>75</v>
      </c>
      <c r="AE5122" t="s">
        <v>103</v>
      </c>
      <c r="AG5122" t="s">
        <v>81</v>
      </c>
    </row>
    <row r="5123" spans="1:33" x14ac:dyDescent="0.25">
      <c r="A5123" t="str">
        <f>"1033110531"</f>
        <v>1033110531</v>
      </c>
      <c r="B5123" t="str">
        <f>"01381364"</f>
        <v>01381364</v>
      </c>
      <c r="C5123" t="s">
        <v>13436</v>
      </c>
      <c r="D5123" t="s">
        <v>25430</v>
      </c>
      <c r="E5123" t="s">
        <v>25431</v>
      </c>
      <c r="G5123" t="s">
        <v>25432</v>
      </c>
      <c r="L5123" t="s">
        <v>83</v>
      </c>
      <c r="M5123" t="s">
        <v>85</v>
      </c>
      <c r="R5123" t="s">
        <v>25433</v>
      </c>
      <c r="W5123" t="s">
        <v>25431</v>
      </c>
      <c r="X5123" t="s">
        <v>25434</v>
      </c>
      <c r="Y5123" t="s">
        <v>155</v>
      </c>
      <c r="Z5123" t="s">
        <v>77</v>
      </c>
      <c r="AA5123" t="str">
        <f>"10305-3436"</f>
        <v>10305-3436</v>
      </c>
      <c r="AB5123" t="s">
        <v>78</v>
      </c>
      <c r="AC5123" t="s">
        <v>79</v>
      </c>
      <c r="AD5123" t="s">
        <v>75</v>
      </c>
      <c r="AE5123" t="s">
        <v>80</v>
      </c>
      <c r="AG5123" t="s">
        <v>81</v>
      </c>
    </row>
    <row r="5124" spans="1:33" x14ac:dyDescent="0.25">
      <c r="A5124" t="str">
        <f>"1215199088"</f>
        <v>1215199088</v>
      </c>
      <c r="B5124" t="str">
        <f>"03287414"</f>
        <v>03287414</v>
      </c>
      <c r="C5124" t="s">
        <v>13436</v>
      </c>
      <c r="D5124" t="s">
        <v>25435</v>
      </c>
      <c r="E5124" t="s">
        <v>25436</v>
      </c>
      <c r="G5124" t="s">
        <v>25437</v>
      </c>
      <c r="L5124" t="s">
        <v>83</v>
      </c>
      <c r="M5124" t="s">
        <v>85</v>
      </c>
      <c r="R5124" t="s">
        <v>25438</v>
      </c>
      <c r="W5124" t="s">
        <v>25439</v>
      </c>
      <c r="X5124" t="s">
        <v>25440</v>
      </c>
      <c r="Y5124" t="s">
        <v>97</v>
      </c>
      <c r="Z5124" t="s">
        <v>77</v>
      </c>
      <c r="AA5124" t="str">
        <f>"10013-2442"</f>
        <v>10013-2442</v>
      </c>
      <c r="AB5124" t="s">
        <v>78</v>
      </c>
      <c r="AC5124" t="s">
        <v>79</v>
      </c>
      <c r="AD5124" t="s">
        <v>75</v>
      </c>
      <c r="AE5124" t="s">
        <v>80</v>
      </c>
      <c r="AG5124" t="s">
        <v>81</v>
      </c>
    </row>
    <row r="5125" spans="1:33" x14ac:dyDescent="0.25">
      <c r="A5125" t="str">
        <f>"1215965421"</f>
        <v>1215965421</v>
      </c>
      <c r="B5125" t="str">
        <f>"00738385"</f>
        <v>00738385</v>
      </c>
      <c r="C5125" t="s">
        <v>13436</v>
      </c>
      <c r="D5125" t="s">
        <v>25441</v>
      </c>
      <c r="E5125" t="s">
        <v>25442</v>
      </c>
      <c r="G5125" t="s">
        <v>25443</v>
      </c>
      <c r="L5125" t="s">
        <v>83</v>
      </c>
      <c r="M5125" t="s">
        <v>85</v>
      </c>
      <c r="R5125" t="s">
        <v>25442</v>
      </c>
      <c r="W5125" t="s">
        <v>25442</v>
      </c>
      <c r="X5125" t="s">
        <v>25444</v>
      </c>
      <c r="Y5125" t="s">
        <v>97</v>
      </c>
      <c r="Z5125" t="s">
        <v>77</v>
      </c>
      <c r="AA5125" t="str">
        <f>"10021-3556"</f>
        <v>10021-3556</v>
      </c>
      <c r="AB5125" t="s">
        <v>78</v>
      </c>
      <c r="AC5125" t="s">
        <v>79</v>
      </c>
      <c r="AD5125" t="s">
        <v>75</v>
      </c>
      <c r="AE5125" t="s">
        <v>80</v>
      </c>
      <c r="AG5125" t="s">
        <v>81</v>
      </c>
    </row>
    <row r="5126" spans="1:33" x14ac:dyDescent="0.25">
      <c r="A5126" t="str">
        <f>"1225050412"</f>
        <v>1225050412</v>
      </c>
      <c r="B5126" t="str">
        <f>"01188678"</f>
        <v>01188678</v>
      </c>
      <c r="C5126" t="s">
        <v>13436</v>
      </c>
      <c r="D5126" t="s">
        <v>25445</v>
      </c>
      <c r="E5126" t="s">
        <v>25446</v>
      </c>
      <c r="G5126" t="s">
        <v>25447</v>
      </c>
      <c r="L5126" t="s">
        <v>83</v>
      </c>
      <c r="M5126" t="s">
        <v>85</v>
      </c>
      <c r="R5126" t="s">
        <v>25448</v>
      </c>
      <c r="W5126" t="s">
        <v>25446</v>
      </c>
      <c r="X5126" t="s">
        <v>304</v>
      </c>
      <c r="Y5126" t="s">
        <v>3733</v>
      </c>
      <c r="Z5126" t="s">
        <v>77</v>
      </c>
      <c r="AA5126" t="str">
        <f>"11559-8507"</f>
        <v>11559-8507</v>
      </c>
      <c r="AB5126" t="s">
        <v>78</v>
      </c>
      <c r="AC5126" t="s">
        <v>79</v>
      </c>
      <c r="AD5126" t="s">
        <v>75</v>
      </c>
      <c r="AE5126" t="s">
        <v>80</v>
      </c>
      <c r="AG5126" t="s">
        <v>81</v>
      </c>
    </row>
    <row r="5127" spans="1:33" x14ac:dyDescent="0.25">
      <c r="A5127" t="str">
        <f>"1225060486"</f>
        <v>1225060486</v>
      </c>
      <c r="B5127" t="str">
        <f>"02544847"</f>
        <v>02544847</v>
      </c>
      <c r="C5127" t="s">
        <v>13436</v>
      </c>
      <c r="D5127" t="s">
        <v>25449</v>
      </c>
      <c r="E5127" t="s">
        <v>25450</v>
      </c>
      <c r="G5127" t="s">
        <v>25451</v>
      </c>
      <c r="L5127" t="s">
        <v>74</v>
      </c>
      <c r="M5127" t="s">
        <v>85</v>
      </c>
      <c r="R5127" t="s">
        <v>25452</v>
      </c>
      <c r="W5127" t="s">
        <v>25450</v>
      </c>
      <c r="X5127" t="s">
        <v>25450</v>
      </c>
      <c r="Y5127" t="s">
        <v>97</v>
      </c>
      <c r="Z5127" t="s">
        <v>77</v>
      </c>
      <c r="AA5127" t="str">
        <f>"10011-6609"</f>
        <v>10011-6609</v>
      </c>
      <c r="AB5127" t="s">
        <v>78</v>
      </c>
      <c r="AC5127" t="s">
        <v>79</v>
      </c>
      <c r="AD5127" t="s">
        <v>75</v>
      </c>
      <c r="AE5127" t="s">
        <v>80</v>
      </c>
      <c r="AG5127" t="s">
        <v>81</v>
      </c>
    </row>
    <row r="5128" spans="1:33" x14ac:dyDescent="0.25">
      <c r="A5128" t="str">
        <f>"1225112725"</f>
        <v>1225112725</v>
      </c>
      <c r="B5128" t="str">
        <f>"01271012"</f>
        <v>01271012</v>
      </c>
      <c r="C5128" t="s">
        <v>13436</v>
      </c>
      <c r="D5128" t="s">
        <v>25453</v>
      </c>
      <c r="E5128" t="s">
        <v>25454</v>
      </c>
      <c r="G5128" t="s">
        <v>25455</v>
      </c>
      <c r="L5128" t="s">
        <v>83</v>
      </c>
      <c r="M5128" t="s">
        <v>85</v>
      </c>
      <c r="R5128" t="s">
        <v>25456</v>
      </c>
      <c r="W5128" t="s">
        <v>25457</v>
      </c>
      <c r="X5128" t="s">
        <v>14871</v>
      </c>
      <c r="Y5128" t="s">
        <v>97</v>
      </c>
      <c r="Z5128" t="s">
        <v>77</v>
      </c>
      <c r="AA5128" t="str">
        <f>"10003"</f>
        <v>10003</v>
      </c>
      <c r="AB5128" t="s">
        <v>78</v>
      </c>
      <c r="AC5128" t="s">
        <v>79</v>
      </c>
      <c r="AD5128" t="s">
        <v>75</v>
      </c>
      <c r="AE5128" t="s">
        <v>80</v>
      </c>
      <c r="AG5128" t="s">
        <v>81</v>
      </c>
    </row>
    <row r="5129" spans="1:33" x14ac:dyDescent="0.25">
      <c r="A5129" t="str">
        <f>"1225159668"</f>
        <v>1225159668</v>
      </c>
      <c r="B5129" t="str">
        <f>"02908134"</f>
        <v>02908134</v>
      </c>
      <c r="C5129" t="s">
        <v>13436</v>
      </c>
      <c r="D5129" t="s">
        <v>25458</v>
      </c>
      <c r="E5129" t="s">
        <v>25459</v>
      </c>
      <c r="G5129" t="s">
        <v>25460</v>
      </c>
      <c r="L5129" t="s">
        <v>83</v>
      </c>
      <c r="M5129" t="s">
        <v>85</v>
      </c>
      <c r="R5129" t="s">
        <v>25461</v>
      </c>
      <c r="W5129" t="s">
        <v>25459</v>
      </c>
      <c r="X5129" t="s">
        <v>187</v>
      </c>
      <c r="Y5129" t="s">
        <v>161</v>
      </c>
      <c r="Z5129" t="s">
        <v>77</v>
      </c>
      <c r="AA5129" t="str">
        <f>"11040-1402"</f>
        <v>11040-1402</v>
      </c>
      <c r="AB5129" t="s">
        <v>78</v>
      </c>
      <c r="AC5129" t="s">
        <v>79</v>
      </c>
      <c r="AD5129" t="s">
        <v>75</v>
      </c>
      <c r="AE5129" t="s">
        <v>80</v>
      </c>
      <c r="AG5129" t="s">
        <v>81</v>
      </c>
    </row>
    <row r="5130" spans="1:33" x14ac:dyDescent="0.25">
      <c r="A5130" t="str">
        <f>"1649549072"</f>
        <v>1649549072</v>
      </c>
      <c r="B5130" t="str">
        <f>"03429009"</f>
        <v>03429009</v>
      </c>
      <c r="C5130" t="s">
        <v>25462</v>
      </c>
      <c r="D5130" t="s">
        <v>25463</v>
      </c>
      <c r="E5130" t="s">
        <v>25464</v>
      </c>
      <c r="G5130" t="s">
        <v>6513</v>
      </c>
      <c r="H5130" t="s">
        <v>6514</v>
      </c>
      <c r="J5130" t="s">
        <v>6515</v>
      </c>
      <c r="L5130" t="s">
        <v>83</v>
      </c>
      <c r="M5130" t="s">
        <v>85</v>
      </c>
      <c r="R5130" t="s">
        <v>25465</v>
      </c>
      <c r="W5130" t="s">
        <v>25464</v>
      </c>
      <c r="X5130" t="s">
        <v>25466</v>
      </c>
      <c r="Y5130" t="s">
        <v>97</v>
      </c>
      <c r="Z5130" t="s">
        <v>77</v>
      </c>
      <c r="AA5130" t="str">
        <f>"10019-8022"</f>
        <v>10019-8022</v>
      </c>
      <c r="AB5130" t="s">
        <v>78</v>
      </c>
      <c r="AC5130" t="s">
        <v>79</v>
      </c>
      <c r="AD5130" t="s">
        <v>75</v>
      </c>
      <c r="AE5130" t="s">
        <v>80</v>
      </c>
      <c r="AG5130" t="s">
        <v>81</v>
      </c>
    </row>
    <row r="5131" spans="1:33" x14ac:dyDescent="0.25">
      <c r="A5131" t="str">
        <f>"1013931393"</f>
        <v>1013931393</v>
      </c>
      <c r="B5131" t="str">
        <f>"01414662"</f>
        <v>01414662</v>
      </c>
      <c r="C5131" t="s">
        <v>25467</v>
      </c>
      <c r="D5131" t="s">
        <v>6142</v>
      </c>
      <c r="E5131" t="s">
        <v>6143</v>
      </c>
      <c r="G5131" t="s">
        <v>6513</v>
      </c>
      <c r="H5131" t="s">
        <v>6514</v>
      </c>
      <c r="J5131" t="s">
        <v>6515</v>
      </c>
      <c r="L5131" t="s">
        <v>105</v>
      </c>
      <c r="M5131" t="s">
        <v>75</v>
      </c>
      <c r="R5131" t="s">
        <v>6144</v>
      </c>
      <c r="W5131" t="s">
        <v>6145</v>
      </c>
      <c r="X5131" t="s">
        <v>3402</v>
      </c>
      <c r="Y5131" t="s">
        <v>131</v>
      </c>
      <c r="Z5131" t="s">
        <v>77</v>
      </c>
      <c r="AA5131" t="str">
        <f>"10469-5817"</f>
        <v>10469-5817</v>
      </c>
      <c r="AB5131" t="s">
        <v>125</v>
      </c>
      <c r="AC5131" t="s">
        <v>79</v>
      </c>
      <c r="AD5131" t="s">
        <v>75</v>
      </c>
      <c r="AE5131" t="s">
        <v>80</v>
      </c>
      <c r="AG5131" t="s">
        <v>81</v>
      </c>
    </row>
    <row r="5132" spans="1:33" x14ac:dyDescent="0.25">
      <c r="A5132" t="str">
        <f>"1255549960"</f>
        <v>1255549960</v>
      </c>
      <c r="B5132" t="str">
        <f>"03297330"</f>
        <v>03297330</v>
      </c>
      <c r="C5132" t="s">
        <v>25468</v>
      </c>
      <c r="D5132" t="s">
        <v>4153</v>
      </c>
      <c r="E5132" t="s">
        <v>4154</v>
      </c>
      <c r="G5132" t="s">
        <v>6513</v>
      </c>
      <c r="H5132" t="s">
        <v>6514</v>
      </c>
      <c r="J5132" t="s">
        <v>6515</v>
      </c>
      <c r="L5132" t="s">
        <v>74</v>
      </c>
      <c r="M5132" t="s">
        <v>85</v>
      </c>
      <c r="R5132" t="s">
        <v>4155</v>
      </c>
      <c r="W5132" t="s">
        <v>4154</v>
      </c>
      <c r="X5132" t="s">
        <v>1157</v>
      </c>
      <c r="Y5132" t="s">
        <v>97</v>
      </c>
      <c r="Z5132" t="s">
        <v>77</v>
      </c>
      <c r="AA5132" t="str">
        <f>"10033-3732"</f>
        <v>10033-3732</v>
      </c>
      <c r="AB5132" t="s">
        <v>78</v>
      </c>
      <c r="AC5132" t="s">
        <v>79</v>
      </c>
      <c r="AD5132" t="s">
        <v>75</v>
      </c>
      <c r="AE5132" t="s">
        <v>80</v>
      </c>
      <c r="AG5132" t="s">
        <v>81</v>
      </c>
    </row>
    <row r="5133" spans="1:33" x14ac:dyDescent="0.25">
      <c r="A5133" t="str">
        <f>"1609883776"</f>
        <v>1609883776</v>
      </c>
      <c r="B5133" t="str">
        <f>"00684799"</f>
        <v>00684799</v>
      </c>
      <c r="C5133" t="s">
        <v>13436</v>
      </c>
      <c r="D5133" t="s">
        <v>25469</v>
      </c>
      <c r="E5133" t="s">
        <v>25470</v>
      </c>
      <c r="G5133" t="s">
        <v>25471</v>
      </c>
      <c r="L5133" t="s">
        <v>84</v>
      </c>
      <c r="M5133" t="s">
        <v>85</v>
      </c>
      <c r="R5133" t="s">
        <v>6255</v>
      </c>
      <c r="W5133" t="s">
        <v>25470</v>
      </c>
      <c r="X5133" t="s">
        <v>25472</v>
      </c>
      <c r="Y5133" t="s">
        <v>97</v>
      </c>
      <c r="Z5133" t="s">
        <v>77</v>
      </c>
      <c r="AA5133" t="str">
        <f>"10028"</f>
        <v>10028</v>
      </c>
      <c r="AB5133" t="s">
        <v>78</v>
      </c>
      <c r="AC5133" t="s">
        <v>79</v>
      </c>
      <c r="AD5133" t="s">
        <v>75</v>
      </c>
      <c r="AE5133" t="s">
        <v>80</v>
      </c>
      <c r="AG5133" t="s">
        <v>81</v>
      </c>
    </row>
    <row r="5134" spans="1:33" x14ac:dyDescent="0.25">
      <c r="A5134" t="str">
        <f>"1609996685"</f>
        <v>1609996685</v>
      </c>
      <c r="B5134" t="str">
        <f>"01350921"</f>
        <v>01350921</v>
      </c>
      <c r="C5134" t="s">
        <v>13436</v>
      </c>
      <c r="D5134" t="s">
        <v>25473</v>
      </c>
      <c r="E5134" t="s">
        <v>25474</v>
      </c>
      <c r="G5134" t="s">
        <v>25475</v>
      </c>
      <c r="L5134" t="s">
        <v>74</v>
      </c>
      <c r="M5134" t="s">
        <v>75</v>
      </c>
      <c r="R5134" t="s">
        <v>25476</v>
      </c>
      <c r="W5134" t="s">
        <v>25474</v>
      </c>
      <c r="X5134" t="s">
        <v>10363</v>
      </c>
      <c r="Y5134" t="s">
        <v>97</v>
      </c>
      <c r="Z5134" t="s">
        <v>77</v>
      </c>
      <c r="AA5134" t="str">
        <f>"10029-6508"</f>
        <v>10029-6508</v>
      </c>
      <c r="AB5134" t="s">
        <v>125</v>
      </c>
      <c r="AC5134" t="s">
        <v>79</v>
      </c>
      <c r="AD5134" t="s">
        <v>75</v>
      </c>
      <c r="AE5134" t="s">
        <v>80</v>
      </c>
      <c r="AG5134" t="s">
        <v>81</v>
      </c>
    </row>
    <row r="5135" spans="1:33" x14ac:dyDescent="0.25">
      <c r="A5135" t="str">
        <f>"1619111861"</f>
        <v>1619111861</v>
      </c>
      <c r="C5135" t="s">
        <v>13436</v>
      </c>
      <c r="G5135" t="s">
        <v>25477</v>
      </c>
      <c r="K5135" t="s">
        <v>99</v>
      </c>
      <c r="L5135" t="s">
        <v>74</v>
      </c>
      <c r="M5135" t="s">
        <v>75</v>
      </c>
      <c r="R5135" t="s">
        <v>25478</v>
      </c>
      <c r="S5135" t="s">
        <v>1329</v>
      </c>
      <c r="T5135" t="s">
        <v>97</v>
      </c>
      <c r="U5135" t="s">
        <v>77</v>
      </c>
      <c r="V5135" t="str">
        <f>"100371802"</f>
        <v>100371802</v>
      </c>
      <c r="AC5135" t="s">
        <v>79</v>
      </c>
      <c r="AD5135" t="s">
        <v>75</v>
      </c>
      <c r="AE5135" t="s">
        <v>103</v>
      </c>
      <c r="AG5135" t="s">
        <v>81</v>
      </c>
    </row>
    <row r="5136" spans="1:33" x14ac:dyDescent="0.25">
      <c r="A5136" t="str">
        <f>"1992766166"</f>
        <v>1992766166</v>
      </c>
      <c r="B5136" t="str">
        <f>"01783499"</f>
        <v>01783499</v>
      </c>
      <c r="C5136" t="s">
        <v>13436</v>
      </c>
      <c r="D5136" t="s">
        <v>25479</v>
      </c>
      <c r="E5136" t="s">
        <v>25480</v>
      </c>
      <c r="G5136" t="s">
        <v>25481</v>
      </c>
      <c r="L5136" t="s">
        <v>84</v>
      </c>
      <c r="M5136" t="s">
        <v>85</v>
      </c>
      <c r="R5136" t="s">
        <v>25482</v>
      </c>
      <c r="W5136" t="s">
        <v>25480</v>
      </c>
      <c r="X5136" t="s">
        <v>2586</v>
      </c>
      <c r="Y5136" t="s">
        <v>131</v>
      </c>
      <c r="Z5136" t="s">
        <v>77</v>
      </c>
      <c r="AA5136" t="str">
        <f>"10467-2490"</f>
        <v>10467-2490</v>
      </c>
      <c r="AB5136" t="s">
        <v>78</v>
      </c>
      <c r="AC5136" t="s">
        <v>79</v>
      </c>
      <c r="AD5136" t="s">
        <v>75</v>
      </c>
      <c r="AE5136" t="s">
        <v>80</v>
      </c>
      <c r="AG5136" t="s">
        <v>81</v>
      </c>
    </row>
    <row r="5137" spans="1:33" x14ac:dyDescent="0.25">
      <c r="A5137" t="str">
        <f>"1023171949"</f>
        <v>1023171949</v>
      </c>
      <c r="B5137" t="str">
        <f>"01692566"</f>
        <v>01692566</v>
      </c>
      <c r="C5137" t="s">
        <v>13436</v>
      </c>
      <c r="D5137" t="s">
        <v>25483</v>
      </c>
      <c r="E5137" t="s">
        <v>25484</v>
      </c>
      <c r="G5137" t="s">
        <v>25485</v>
      </c>
      <c r="L5137" t="s">
        <v>84</v>
      </c>
      <c r="M5137" t="s">
        <v>85</v>
      </c>
      <c r="R5137" t="s">
        <v>25486</v>
      </c>
      <c r="W5137" t="s">
        <v>25484</v>
      </c>
      <c r="X5137" t="s">
        <v>1236</v>
      </c>
      <c r="Y5137" t="s">
        <v>97</v>
      </c>
      <c r="Z5137" t="s">
        <v>77</v>
      </c>
      <c r="AA5137" t="str">
        <f>"10003-4528"</f>
        <v>10003-4528</v>
      </c>
      <c r="AB5137" t="s">
        <v>78</v>
      </c>
      <c r="AC5137" t="s">
        <v>79</v>
      </c>
      <c r="AD5137" t="s">
        <v>75</v>
      </c>
      <c r="AE5137" t="s">
        <v>80</v>
      </c>
      <c r="AG5137" t="s">
        <v>81</v>
      </c>
    </row>
    <row r="5138" spans="1:33" x14ac:dyDescent="0.25">
      <c r="A5138" t="str">
        <f>"1023182391"</f>
        <v>1023182391</v>
      </c>
      <c r="B5138" t="str">
        <f>"01601069"</f>
        <v>01601069</v>
      </c>
      <c r="C5138" t="s">
        <v>13436</v>
      </c>
      <c r="D5138" t="s">
        <v>25487</v>
      </c>
      <c r="E5138" t="s">
        <v>25488</v>
      </c>
      <c r="G5138" t="s">
        <v>25489</v>
      </c>
      <c r="L5138" t="s">
        <v>83</v>
      </c>
      <c r="M5138" t="s">
        <v>85</v>
      </c>
      <c r="R5138" t="s">
        <v>25490</v>
      </c>
      <c r="W5138" t="s">
        <v>25491</v>
      </c>
      <c r="X5138" t="s">
        <v>22085</v>
      </c>
      <c r="Y5138" t="s">
        <v>97</v>
      </c>
      <c r="Z5138" t="s">
        <v>77</v>
      </c>
      <c r="AA5138" t="str">
        <f>"10025"</f>
        <v>10025</v>
      </c>
      <c r="AB5138" t="s">
        <v>78</v>
      </c>
      <c r="AC5138" t="s">
        <v>79</v>
      </c>
      <c r="AD5138" t="s">
        <v>75</v>
      </c>
      <c r="AE5138" t="s">
        <v>80</v>
      </c>
      <c r="AG5138" t="s">
        <v>81</v>
      </c>
    </row>
    <row r="5139" spans="1:33" x14ac:dyDescent="0.25">
      <c r="A5139" t="str">
        <f>"1023265428"</f>
        <v>1023265428</v>
      </c>
      <c r="B5139" t="str">
        <f>"03245934"</f>
        <v>03245934</v>
      </c>
      <c r="C5139" t="s">
        <v>13436</v>
      </c>
      <c r="D5139" t="s">
        <v>25492</v>
      </c>
      <c r="E5139" t="s">
        <v>25493</v>
      </c>
      <c r="G5139" t="s">
        <v>25494</v>
      </c>
      <c r="L5139" t="s">
        <v>84</v>
      </c>
      <c r="M5139" t="s">
        <v>85</v>
      </c>
      <c r="R5139" t="s">
        <v>25495</v>
      </c>
      <c r="W5139" t="s">
        <v>25493</v>
      </c>
      <c r="X5139" t="s">
        <v>2587</v>
      </c>
      <c r="Y5139" t="s">
        <v>97</v>
      </c>
      <c r="Z5139" t="s">
        <v>77</v>
      </c>
      <c r="AA5139" t="str">
        <f>"10003-3314"</f>
        <v>10003-3314</v>
      </c>
      <c r="AB5139" t="s">
        <v>78</v>
      </c>
      <c r="AC5139" t="s">
        <v>79</v>
      </c>
      <c r="AD5139" t="s">
        <v>75</v>
      </c>
      <c r="AE5139" t="s">
        <v>80</v>
      </c>
      <c r="AG5139" t="s">
        <v>81</v>
      </c>
    </row>
    <row r="5140" spans="1:33" x14ac:dyDescent="0.25">
      <c r="A5140" t="str">
        <f>"1023287778"</f>
        <v>1023287778</v>
      </c>
      <c r="B5140" t="str">
        <f>"01272435"</f>
        <v>01272435</v>
      </c>
      <c r="C5140" t="s">
        <v>13436</v>
      </c>
      <c r="D5140" t="s">
        <v>25496</v>
      </c>
      <c r="E5140" t="s">
        <v>25497</v>
      </c>
      <c r="G5140" t="s">
        <v>25498</v>
      </c>
      <c r="L5140" t="s">
        <v>74</v>
      </c>
      <c r="M5140" t="s">
        <v>85</v>
      </c>
      <c r="R5140" t="s">
        <v>25499</v>
      </c>
      <c r="W5140" t="s">
        <v>25500</v>
      </c>
      <c r="X5140" t="s">
        <v>25501</v>
      </c>
      <c r="Y5140" t="s">
        <v>97</v>
      </c>
      <c r="Z5140" t="s">
        <v>77</v>
      </c>
      <c r="AA5140" t="str">
        <f>"10032-3726"</f>
        <v>10032-3726</v>
      </c>
      <c r="AB5140" t="s">
        <v>78</v>
      </c>
      <c r="AC5140" t="s">
        <v>79</v>
      </c>
      <c r="AD5140" t="s">
        <v>75</v>
      </c>
      <c r="AE5140" t="s">
        <v>80</v>
      </c>
      <c r="AG5140" t="s">
        <v>81</v>
      </c>
    </row>
    <row r="5141" spans="1:33" x14ac:dyDescent="0.25">
      <c r="A5141" t="str">
        <f>"1023294246"</f>
        <v>1023294246</v>
      </c>
      <c r="B5141" t="str">
        <f>"03282515"</f>
        <v>03282515</v>
      </c>
      <c r="C5141" t="s">
        <v>13436</v>
      </c>
      <c r="D5141" t="s">
        <v>25502</v>
      </c>
      <c r="E5141" t="s">
        <v>25503</v>
      </c>
      <c r="G5141" t="s">
        <v>25504</v>
      </c>
      <c r="L5141" t="s">
        <v>74</v>
      </c>
      <c r="M5141" t="s">
        <v>85</v>
      </c>
      <c r="R5141" t="s">
        <v>25505</v>
      </c>
      <c r="W5141" t="s">
        <v>25503</v>
      </c>
      <c r="X5141" t="s">
        <v>4640</v>
      </c>
      <c r="Y5141" t="s">
        <v>97</v>
      </c>
      <c r="Z5141" t="s">
        <v>77</v>
      </c>
      <c r="AA5141" t="str">
        <f>"10019-8022"</f>
        <v>10019-8022</v>
      </c>
      <c r="AB5141" t="s">
        <v>78</v>
      </c>
      <c r="AC5141" t="s">
        <v>79</v>
      </c>
      <c r="AD5141" t="s">
        <v>75</v>
      </c>
      <c r="AE5141" t="s">
        <v>80</v>
      </c>
      <c r="AG5141" t="s">
        <v>81</v>
      </c>
    </row>
    <row r="5142" spans="1:33" x14ac:dyDescent="0.25">
      <c r="A5142" t="str">
        <f>"1346343639"</f>
        <v>1346343639</v>
      </c>
      <c r="B5142" t="str">
        <f>"02093387"</f>
        <v>02093387</v>
      </c>
      <c r="C5142" t="s">
        <v>13436</v>
      </c>
      <c r="D5142" t="s">
        <v>5950</v>
      </c>
      <c r="E5142" t="s">
        <v>5951</v>
      </c>
      <c r="G5142" t="s">
        <v>25506</v>
      </c>
      <c r="L5142" t="s">
        <v>83</v>
      </c>
      <c r="M5142" t="s">
        <v>75</v>
      </c>
      <c r="R5142" t="s">
        <v>5952</v>
      </c>
      <c r="W5142" t="s">
        <v>5951</v>
      </c>
      <c r="X5142" t="s">
        <v>5953</v>
      </c>
      <c r="Y5142" t="s">
        <v>97</v>
      </c>
      <c r="Z5142" t="s">
        <v>77</v>
      </c>
      <c r="AA5142" t="str">
        <f>"10031-7419"</f>
        <v>10031-7419</v>
      </c>
      <c r="AB5142" t="s">
        <v>78</v>
      </c>
      <c r="AC5142" t="s">
        <v>79</v>
      </c>
      <c r="AD5142" t="s">
        <v>75</v>
      </c>
      <c r="AE5142" t="s">
        <v>80</v>
      </c>
      <c r="AG5142" t="s">
        <v>81</v>
      </c>
    </row>
    <row r="5143" spans="1:33" x14ac:dyDescent="0.25">
      <c r="A5143" t="str">
        <f>"1356313258"</f>
        <v>1356313258</v>
      </c>
      <c r="B5143" t="str">
        <f>"03134214"</f>
        <v>03134214</v>
      </c>
      <c r="C5143" t="s">
        <v>13436</v>
      </c>
      <c r="D5143" t="s">
        <v>25507</v>
      </c>
      <c r="E5143" t="s">
        <v>25508</v>
      </c>
      <c r="G5143" t="s">
        <v>25509</v>
      </c>
      <c r="L5143" t="s">
        <v>83</v>
      </c>
      <c r="M5143" t="s">
        <v>75</v>
      </c>
      <c r="R5143" t="s">
        <v>25510</v>
      </c>
      <c r="W5143" t="s">
        <v>25508</v>
      </c>
      <c r="X5143" t="s">
        <v>25511</v>
      </c>
      <c r="Y5143" t="s">
        <v>97</v>
      </c>
      <c r="Z5143" t="s">
        <v>77</v>
      </c>
      <c r="AA5143" t="str">
        <f>"10016-6402"</f>
        <v>10016-6402</v>
      </c>
      <c r="AB5143" t="s">
        <v>78</v>
      </c>
      <c r="AC5143" t="s">
        <v>79</v>
      </c>
      <c r="AD5143" t="s">
        <v>75</v>
      </c>
      <c r="AE5143" t="s">
        <v>80</v>
      </c>
      <c r="AG5143" t="s">
        <v>81</v>
      </c>
    </row>
    <row r="5144" spans="1:33" x14ac:dyDescent="0.25">
      <c r="A5144" t="str">
        <f>"1770501405"</f>
        <v>1770501405</v>
      </c>
      <c r="B5144" t="str">
        <f>"02532781"</f>
        <v>02532781</v>
      </c>
      <c r="C5144" t="s">
        <v>13436</v>
      </c>
      <c r="D5144" t="s">
        <v>25512</v>
      </c>
      <c r="E5144" t="s">
        <v>25513</v>
      </c>
      <c r="G5144" t="s">
        <v>25514</v>
      </c>
      <c r="L5144" t="s">
        <v>83</v>
      </c>
      <c r="M5144" t="s">
        <v>85</v>
      </c>
      <c r="R5144" t="s">
        <v>25515</v>
      </c>
      <c r="W5144" t="s">
        <v>25513</v>
      </c>
      <c r="X5144" t="s">
        <v>25516</v>
      </c>
      <c r="Y5144" t="s">
        <v>97</v>
      </c>
      <c r="Z5144" t="s">
        <v>77</v>
      </c>
      <c r="AA5144" t="str">
        <f>"10029-6542"</f>
        <v>10029-6542</v>
      </c>
      <c r="AB5144" t="s">
        <v>78</v>
      </c>
      <c r="AC5144" t="s">
        <v>79</v>
      </c>
      <c r="AD5144" t="s">
        <v>75</v>
      </c>
      <c r="AE5144" t="s">
        <v>80</v>
      </c>
      <c r="AG5144" t="s">
        <v>81</v>
      </c>
    </row>
    <row r="5145" spans="1:33" x14ac:dyDescent="0.25">
      <c r="A5145" t="str">
        <f>"1770551764"</f>
        <v>1770551764</v>
      </c>
      <c r="B5145" t="str">
        <f>"01655325"</f>
        <v>01655325</v>
      </c>
      <c r="C5145" t="s">
        <v>13436</v>
      </c>
      <c r="D5145" t="s">
        <v>25517</v>
      </c>
      <c r="E5145" t="s">
        <v>25518</v>
      </c>
      <c r="G5145" t="s">
        <v>25519</v>
      </c>
      <c r="L5145" t="s">
        <v>102</v>
      </c>
      <c r="M5145" t="s">
        <v>85</v>
      </c>
      <c r="R5145" t="s">
        <v>25520</v>
      </c>
      <c r="W5145" t="s">
        <v>25518</v>
      </c>
      <c r="X5145" t="s">
        <v>272</v>
      </c>
      <c r="Y5145" t="s">
        <v>97</v>
      </c>
      <c r="Z5145" t="s">
        <v>77</v>
      </c>
      <c r="AA5145" t="str">
        <f>"10029-6501"</f>
        <v>10029-6501</v>
      </c>
      <c r="AB5145" t="s">
        <v>78</v>
      </c>
      <c r="AC5145" t="s">
        <v>79</v>
      </c>
      <c r="AD5145" t="s">
        <v>75</v>
      </c>
      <c r="AE5145" t="s">
        <v>80</v>
      </c>
      <c r="AG5145" t="s">
        <v>81</v>
      </c>
    </row>
    <row r="5146" spans="1:33" x14ac:dyDescent="0.25">
      <c r="A5146" t="str">
        <f>"1770631863"</f>
        <v>1770631863</v>
      </c>
      <c r="B5146" t="str">
        <f>"02725597"</f>
        <v>02725597</v>
      </c>
      <c r="C5146" t="s">
        <v>13436</v>
      </c>
      <c r="D5146" t="s">
        <v>25521</v>
      </c>
      <c r="E5146" t="s">
        <v>25522</v>
      </c>
      <c r="G5146" t="s">
        <v>25523</v>
      </c>
      <c r="L5146" t="s">
        <v>102</v>
      </c>
      <c r="M5146" t="s">
        <v>75</v>
      </c>
      <c r="R5146" t="s">
        <v>25524</v>
      </c>
      <c r="W5146" t="s">
        <v>25522</v>
      </c>
      <c r="X5146" t="s">
        <v>25525</v>
      </c>
      <c r="Y5146" t="s">
        <v>97</v>
      </c>
      <c r="Z5146" t="s">
        <v>77</v>
      </c>
      <c r="AA5146" t="str">
        <f>"10025-1737"</f>
        <v>10025-1737</v>
      </c>
      <c r="AB5146" t="s">
        <v>125</v>
      </c>
      <c r="AC5146" t="s">
        <v>79</v>
      </c>
      <c r="AD5146" t="s">
        <v>75</v>
      </c>
      <c r="AE5146" t="s">
        <v>80</v>
      </c>
      <c r="AG5146" t="s">
        <v>81</v>
      </c>
    </row>
    <row r="5147" spans="1:33" x14ac:dyDescent="0.25">
      <c r="A5147" t="str">
        <f>"1770693335"</f>
        <v>1770693335</v>
      </c>
      <c r="B5147" t="str">
        <f>"03145897"</f>
        <v>03145897</v>
      </c>
      <c r="C5147" t="s">
        <v>13436</v>
      </c>
      <c r="D5147" t="s">
        <v>25526</v>
      </c>
      <c r="E5147" t="s">
        <v>25527</v>
      </c>
      <c r="G5147" t="s">
        <v>25528</v>
      </c>
      <c r="L5147" t="s">
        <v>74</v>
      </c>
      <c r="M5147" t="s">
        <v>75</v>
      </c>
      <c r="R5147" t="s">
        <v>25529</v>
      </c>
      <c r="W5147" t="s">
        <v>25527</v>
      </c>
      <c r="X5147" t="s">
        <v>2608</v>
      </c>
      <c r="Y5147" t="s">
        <v>97</v>
      </c>
      <c r="Z5147" t="s">
        <v>77</v>
      </c>
      <c r="AA5147" t="str">
        <f>"10003-4201"</f>
        <v>10003-4201</v>
      </c>
      <c r="AB5147" t="s">
        <v>78</v>
      </c>
      <c r="AC5147" t="s">
        <v>79</v>
      </c>
      <c r="AD5147" t="s">
        <v>75</v>
      </c>
      <c r="AE5147" t="s">
        <v>80</v>
      </c>
      <c r="AG5147" t="s">
        <v>81</v>
      </c>
    </row>
    <row r="5148" spans="1:33" x14ac:dyDescent="0.25">
      <c r="A5148" t="str">
        <f>"1194164624"</f>
        <v>1194164624</v>
      </c>
      <c r="C5148" t="s">
        <v>13436</v>
      </c>
      <c r="K5148" t="s">
        <v>99</v>
      </c>
      <c r="L5148" t="s">
        <v>102</v>
      </c>
      <c r="M5148" t="s">
        <v>75</v>
      </c>
      <c r="R5148" t="s">
        <v>25530</v>
      </c>
      <c r="S5148" t="s">
        <v>25531</v>
      </c>
      <c r="T5148" t="s">
        <v>25532</v>
      </c>
      <c r="U5148" t="s">
        <v>123</v>
      </c>
      <c r="V5148" t="str">
        <f>"021245615"</f>
        <v>021245615</v>
      </c>
      <c r="AC5148" t="s">
        <v>79</v>
      </c>
      <c r="AD5148" t="s">
        <v>75</v>
      </c>
      <c r="AE5148" t="s">
        <v>103</v>
      </c>
      <c r="AG5148" t="s">
        <v>81</v>
      </c>
    </row>
    <row r="5149" spans="1:33" x14ac:dyDescent="0.25">
      <c r="A5149" t="str">
        <f>"1104028604"</f>
        <v>1104028604</v>
      </c>
      <c r="B5149" t="str">
        <f>"02985564"</f>
        <v>02985564</v>
      </c>
      <c r="C5149" t="s">
        <v>13436</v>
      </c>
      <c r="D5149" t="s">
        <v>25533</v>
      </c>
      <c r="E5149" t="s">
        <v>25534</v>
      </c>
      <c r="G5149" t="s">
        <v>25535</v>
      </c>
      <c r="L5149" t="s">
        <v>84</v>
      </c>
      <c r="M5149" t="s">
        <v>85</v>
      </c>
      <c r="R5149" t="s">
        <v>25536</v>
      </c>
      <c r="W5149" t="s">
        <v>25534</v>
      </c>
      <c r="X5149" t="s">
        <v>11566</v>
      </c>
      <c r="Y5149" t="s">
        <v>97</v>
      </c>
      <c r="Z5149" t="s">
        <v>77</v>
      </c>
      <c r="AA5149" t="str">
        <f>"10029-6574"</f>
        <v>10029-6574</v>
      </c>
      <c r="AB5149" t="s">
        <v>78</v>
      </c>
      <c r="AC5149" t="s">
        <v>79</v>
      </c>
      <c r="AD5149" t="s">
        <v>75</v>
      </c>
      <c r="AE5149" t="s">
        <v>80</v>
      </c>
      <c r="AG5149" t="s">
        <v>81</v>
      </c>
    </row>
    <row r="5150" spans="1:33" x14ac:dyDescent="0.25">
      <c r="A5150" t="str">
        <f>"1104084334"</f>
        <v>1104084334</v>
      </c>
      <c r="B5150" t="str">
        <f>"03137033"</f>
        <v>03137033</v>
      </c>
      <c r="C5150" t="s">
        <v>13436</v>
      </c>
      <c r="D5150" t="s">
        <v>25537</v>
      </c>
      <c r="E5150" t="s">
        <v>25538</v>
      </c>
      <c r="G5150" t="s">
        <v>25539</v>
      </c>
      <c r="L5150" t="s">
        <v>83</v>
      </c>
      <c r="M5150" t="s">
        <v>85</v>
      </c>
      <c r="R5150" t="s">
        <v>25540</v>
      </c>
      <c r="W5150" t="s">
        <v>25538</v>
      </c>
      <c r="X5150" t="s">
        <v>329</v>
      </c>
      <c r="Y5150" t="s">
        <v>97</v>
      </c>
      <c r="Z5150" t="s">
        <v>77</v>
      </c>
      <c r="AA5150" t="str">
        <f>"10029-6500"</f>
        <v>10029-6500</v>
      </c>
      <c r="AB5150" t="s">
        <v>78</v>
      </c>
      <c r="AC5150" t="s">
        <v>79</v>
      </c>
      <c r="AD5150" t="s">
        <v>75</v>
      </c>
      <c r="AE5150" t="s">
        <v>80</v>
      </c>
      <c r="AG5150" t="s">
        <v>81</v>
      </c>
    </row>
    <row r="5151" spans="1:33" x14ac:dyDescent="0.25">
      <c r="A5151" t="str">
        <f>"1932184231"</f>
        <v>1932184231</v>
      </c>
      <c r="B5151" t="str">
        <f>"01774969"</f>
        <v>01774969</v>
      </c>
      <c r="C5151" t="s">
        <v>13436</v>
      </c>
      <c r="D5151" t="s">
        <v>25541</v>
      </c>
      <c r="E5151" t="s">
        <v>25542</v>
      </c>
      <c r="G5151" t="s">
        <v>25543</v>
      </c>
      <c r="L5151" t="s">
        <v>83</v>
      </c>
      <c r="M5151" t="s">
        <v>85</v>
      </c>
      <c r="R5151" t="s">
        <v>25544</v>
      </c>
      <c r="W5151" t="s">
        <v>25542</v>
      </c>
      <c r="X5151" t="s">
        <v>2587</v>
      </c>
      <c r="Y5151" t="s">
        <v>97</v>
      </c>
      <c r="Z5151" t="s">
        <v>77</v>
      </c>
      <c r="AA5151" t="str">
        <f>"10003-3314"</f>
        <v>10003-3314</v>
      </c>
      <c r="AB5151" t="s">
        <v>78</v>
      </c>
      <c r="AC5151" t="s">
        <v>79</v>
      </c>
      <c r="AD5151" t="s">
        <v>75</v>
      </c>
      <c r="AE5151" t="s">
        <v>80</v>
      </c>
      <c r="AG5151" t="s">
        <v>81</v>
      </c>
    </row>
    <row r="5152" spans="1:33" x14ac:dyDescent="0.25">
      <c r="A5152" t="str">
        <f>"1932184538"</f>
        <v>1932184538</v>
      </c>
      <c r="B5152" t="str">
        <f>"02098048"</f>
        <v>02098048</v>
      </c>
      <c r="C5152" t="s">
        <v>13436</v>
      </c>
      <c r="D5152" t="s">
        <v>25545</v>
      </c>
      <c r="E5152" t="s">
        <v>25546</v>
      </c>
      <c r="G5152" t="s">
        <v>25547</v>
      </c>
      <c r="L5152" t="s">
        <v>83</v>
      </c>
      <c r="M5152" t="s">
        <v>85</v>
      </c>
      <c r="R5152" t="s">
        <v>4583</v>
      </c>
      <c r="W5152" t="s">
        <v>25546</v>
      </c>
      <c r="X5152" t="s">
        <v>191</v>
      </c>
      <c r="Y5152" t="s">
        <v>97</v>
      </c>
      <c r="Z5152" t="s">
        <v>77</v>
      </c>
      <c r="AA5152" t="str">
        <f>"10019-1147"</f>
        <v>10019-1147</v>
      </c>
      <c r="AB5152" t="s">
        <v>78</v>
      </c>
      <c r="AC5152" t="s">
        <v>79</v>
      </c>
      <c r="AD5152" t="s">
        <v>75</v>
      </c>
      <c r="AE5152" t="s">
        <v>80</v>
      </c>
      <c r="AG5152" t="s">
        <v>81</v>
      </c>
    </row>
    <row r="5153" spans="1:33" x14ac:dyDescent="0.25">
      <c r="A5153" t="str">
        <f>"1932188737"</f>
        <v>1932188737</v>
      </c>
      <c r="B5153" t="str">
        <f>"01001165"</f>
        <v>01001165</v>
      </c>
      <c r="C5153" t="s">
        <v>13436</v>
      </c>
      <c r="D5153" t="s">
        <v>25548</v>
      </c>
      <c r="E5153" t="s">
        <v>25549</v>
      </c>
      <c r="G5153" t="s">
        <v>25550</v>
      </c>
      <c r="L5153" t="s">
        <v>74</v>
      </c>
      <c r="M5153" t="s">
        <v>85</v>
      </c>
      <c r="R5153" t="s">
        <v>25551</v>
      </c>
      <c r="W5153" t="s">
        <v>25549</v>
      </c>
      <c r="X5153" t="s">
        <v>25552</v>
      </c>
      <c r="Y5153" t="s">
        <v>97</v>
      </c>
      <c r="Z5153" t="s">
        <v>77</v>
      </c>
      <c r="AA5153" t="str">
        <f>"10029-6501"</f>
        <v>10029-6501</v>
      </c>
      <c r="AB5153" t="s">
        <v>78</v>
      </c>
      <c r="AC5153" t="s">
        <v>79</v>
      </c>
      <c r="AD5153" t="s">
        <v>75</v>
      </c>
      <c r="AE5153" t="s">
        <v>80</v>
      </c>
      <c r="AG5153" t="s">
        <v>81</v>
      </c>
    </row>
    <row r="5154" spans="1:33" x14ac:dyDescent="0.25">
      <c r="A5154" t="str">
        <f>"1235218355"</f>
        <v>1235218355</v>
      </c>
      <c r="B5154" t="str">
        <f>"00953475"</f>
        <v>00953475</v>
      </c>
      <c r="C5154" t="s">
        <v>13436</v>
      </c>
      <c r="D5154" t="s">
        <v>25553</v>
      </c>
      <c r="E5154" t="s">
        <v>25554</v>
      </c>
      <c r="G5154" t="s">
        <v>25555</v>
      </c>
      <c r="L5154" t="s">
        <v>83</v>
      </c>
      <c r="M5154" t="s">
        <v>85</v>
      </c>
      <c r="R5154" t="s">
        <v>25556</v>
      </c>
      <c r="W5154" t="s">
        <v>25554</v>
      </c>
      <c r="X5154" t="s">
        <v>191</v>
      </c>
      <c r="Y5154" t="s">
        <v>97</v>
      </c>
      <c r="Z5154" t="s">
        <v>77</v>
      </c>
      <c r="AA5154" t="str">
        <f>"10019-1147"</f>
        <v>10019-1147</v>
      </c>
      <c r="AB5154" t="s">
        <v>78</v>
      </c>
      <c r="AC5154" t="s">
        <v>79</v>
      </c>
      <c r="AD5154" t="s">
        <v>75</v>
      </c>
      <c r="AE5154" t="s">
        <v>80</v>
      </c>
      <c r="AG5154" t="s">
        <v>81</v>
      </c>
    </row>
    <row r="5155" spans="1:33" x14ac:dyDescent="0.25">
      <c r="A5155" t="str">
        <f>"1235234899"</f>
        <v>1235234899</v>
      </c>
      <c r="B5155" t="str">
        <f>"02925419"</f>
        <v>02925419</v>
      </c>
      <c r="C5155" t="s">
        <v>13436</v>
      </c>
      <c r="D5155" t="s">
        <v>25557</v>
      </c>
      <c r="E5155" t="s">
        <v>25558</v>
      </c>
      <c r="G5155" t="s">
        <v>25559</v>
      </c>
      <c r="L5155" t="s">
        <v>83</v>
      </c>
      <c r="M5155" t="s">
        <v>85</v>
      </c>
      <c r="R5155" t="s">
        <v>25560</v>
      </c>
      <c r="W5155" t="s">
        <v>25561</v>
      </c>
      <c r="X5155" t="s">
        <v>25562</v>
      </c>
      <c r="Y5155" t="s">
        <v>97</v>
      </c>
      <c r="Z5155" t="s">
        <v>77</v>
      </c>
      <c r="AA5155" t="str">
        <f>"10019-1412"</f>
        <v>10019-1412</v>
      </c>
      <c r="AB5155" t="s">
        <v>78</v>
      </c>
      <c r="AC5155" t="s">
        <v>79</v>
      </c>
      <c r="AD5155" t="s">
        <v>75</v>
      </c>
      <c r="AE5155" t="s">
        <v>80</v>
      </c>
      <c r="AG5155" t="s">
        <v>81</v>
      </c>
    </row>
    <row r="5156" spans="1:33" x14ac:dyDescent="0.25">
      <c r="A5156" t="str">
        <f>"1235299454"</f>
        <v>1235299454</v>
      </c>
      <c r="B5156" t="str">
        <f>"01633247"</f>
        <v>01633247</v>
      </c>
      <c r="C5156" t="s">
        <v>13436</v>
      </c>
      <c r="D5156" t="s">
        <v>25563</v>
      </c>
      <c r="E5156" t="s">
        <v>25564</v>
      </c>
      <c r="G5156" t="s">
        <v>25565</v>
      </c>
      <c r="L5156" t="s">
        <v>74</v>
      </c>
      <c r="M5156" t="s">
        <v>85</v>
      </c>
      <c r="R5156" t="s">
        <v>25566</v>
      </c>
      <c r="W5156" t="s">
        <v>25564</v>
      </c>
      <c r="X5156" t="s">
        <v>14871</v>
      </c>
      <c r="Y5156" t="s">
        <v>97</v>
      </c>
      <c r="Z5156" t="s">
        <v>77</v>
      </c>
      <c r="AA5156" t="str">
        <f>"10003"</f>
        <v>10003</v>
      </c>
      <c r="AB5156" t="s">
        <v>78</v>
      </c>
      <c r="AC5156" t="s">
        <v>79</v>
      </c>
      <c r="AD5156" t="s">
        <v>75</v>
      </c>
      <c r="AE5156" t="s">
        <v>80</v>
      </c>
      <c r="AG5156" t="s">
        <v>81</v>
      </c>
    </row>
    <row r="5157" spans="1:33" x14ac:dyDescent="0.25">
      <c r="A5157" t="str">
        <f>"1245338409"</f>
        <v>1245338409</v>
      </c>
      <c r="B5157" t="str">
        <f>"02694562"</f>
        <v>02694562</v>
      </c>
      <c r="C5157" t="s">
        <v>13436</v>
      </c>
      <c r="D5157" t="s">
        <v>25567</v>
      </c>
      <c r="E5157" t="s">
        <v>25568</v>
      </c>
      <c r="G5157" t="s">
        <v>25569</v>
      </c>
      <c r="L5157" t="s">
        <v>74</v>
      </c>
      <c r="M5157" t="s">
        <v>85</v>
      </c>
      <c r="R5157" t="s">
        <v>25570</v>
      </c>
      <c r="W5157" t="s">
        <v>25568</v>
      </c>
      <c r="X5157" t="s">
        <v>191</v>
      </c>
      <c r="Y5157" t="s">
        <v>97</v>
      </c>
      <c r="Z5157" t="s">
        <v>77</v>
      </c>
      <c r="AA5157" t="str">
        <f>"10019-1147"</f>
        <v>10019-1147</v>
      </c>
      <c r="AB5157" t="s">
        <v>78</v>
      </c>
      <c r="AC5157" t="s">
        <v>79</v>
      </c>
      <c r="AD5157" t="s">
        <v>75</v>
      </c>
      <c r="AE5157" t="s">
        <v>80</v>
      </c>
      <c r="AG5157" t="s">
        <v>81</v>
      </c>
    </row>
    <row r="5158" spans="1:33" x14ac:dyDescent="0.25">
      <c r="A5158" t="str">
        <f>"1245375088"</f>
        <v>1245375088</v>
      </c>
      <c r="B5158" t="str">
        <f>"02236271"</f>
        <v>02236271</v>
      </c>
      <c r="C5158" t="s">
        <v>13436</v>
      </c>
      <c r="D5158" t="s">
        <v>25571</v>
      </c>
      <c r="E5158" t="s">
        <v>25572</v>
      </c>
      <c r="G5158" t="s">
        <v>25573</v>
      </c>
      <c r="L5158" t="s">
        <v>83</v>
      </c>
      <c r="M5158" t="s">
        <v>85</v>
      </c>
      <c r="R5158" t="s">
        <v>25574</v>
      </c>
      <c r="W5158" t="s">
        <v>25575</v>
      </c>
      <c r="X5158" t="s">
        <v>25576</v>
      </c>
      <c r="Y5158" t="s">
        <v>97</v>
      </c>
      <c r="Z5158" t="s">
        <v>77</v>
      </c>
      <c r="AA5158" t="str">
        <f>"10016-5507"</f>
        <v>10016-5507</v>
      </c>
      <c r="AB5158" t="s">
        <v>78</v>
      </c>
      <c r="AC5158" t="s">
        <v>79</v>
      </c>
      <c r="AD5158" t="s">
        <v>75</v>
      </c>
      <c r="AE5158" t="s">
        <v>80</v>
      </c>
      <c r="AG5158" t="s">
        <v>81</v>
      </c>
    </row>
    <row r="5159" spans="1:33" x14ac:dyDescent="0.25">
      <c r="A5159" t="str">
        <f>"1255301404"</f>
        <v>1255301404</v>
      </c>
      <c r="B5159" t="str">
        <f>"00235218"</f>
        <v>00235218</v>
      </c>
      <c r="C5159" t="s">
        <v>13436</v>
      </c>
      <c r="D5159" t="s">
        <v>25577</v>
      </c>
      <c r="E5159" t="s">
        <v>25578</v>
      </c>
      <c r="G5159" t="s">
        <v>25579</v>
      </c>
      <c r="L5159" t="s">
        <v>74</v>
      </c>
      <c r="M5159" t="s">
        <v>85</v>
      </c>
      <c r="R5159" t="s">
        <v>25580</v>
      </c>
      <c r="W5159" t="s">
        <v>25581</v>
      </c>
      <c r="X5159" t="s">
        <v>25582</v>
      </c>
      <c r="Y5159" t="s">
        <v>97</v>
      </c>
      <c r="Z5159" t="s">
        <v>77</v>
      </c>
      <c r="AA5159" t="str">
        <f>"10003-4307"</f>
        <v>10003-4307</v>
      </c>
      <c r="AB5159" t="s">
        <v>78</v>
      </c>
      <c r="AC5159" t="s">
        <v>79</v>
      </c>
      <c r="AD5159" t="s">
        <v>75</v>
      </c>
      <c r="AE5159" t="s">
        <v>80</v>
      </c>
      <c r="AG5159" t="s">
        <v>81</v>
      </c>
    </row>
    <row r="5160" spans="1:33" x14ac:dyDescent="0.25">
      <c r="A5160" t="str">
        <f>"1194949644"</f>
        <v>1194949644</v>
      </c>
      <c r="B5160" t="str">
        <f>"03939026"</f>
        <v>03939026</v>
      </c>
      <c r="C5160" t="s">
        <v>13436</v>
      </c>
      <c r="D5160" t="s">
        <v>25583</v>
      </c>
      <c r="E5160" t="s">
        <v>25584</v>
      </c>
      <c r="G5160" t="s">
        <v>25585</v>
      </c>
      <c r="L5160" t="s">
        <v>83</v>
      </c>
      <c r="M5160" t="s">
        <v>85</v>
      </c>
      <c r="R5160" t="s">
        <v>25586</v>
      </c>
      <c r="W5160" t="s">
        <v>25584</v>
      </c>
      <c r="X5160" t="s">
        <v>168</v>
      </c>
      <c r="Y5160" t="s">
        <v>155</v>
      </c>
      <c r="Z5160" t="s">
        <v>77</v>
      </c>
      <c r="AA5160" t="str">
        <f>"10310-1664"</f>
        <v>10310-1664</v>
      </c>
      <c r="AB5160" t="s">
        <v>78</v>
      </c>
      <c r="AC5160" t="s">
        <v>79</v>
      </c>
      <c r="AD5160" t="s">
        <v>75</v>
      </c>
      <c r="AE5160" t="s">
        <v>80</v>
      </c>
      <c r="AG5160" t="s">
        <v>81</v>
      </c>
    </row>
    <row r="5161" spans="1:33" x14ac:dyDescent="0.25">
      <c r="A5161" t="str">
        <f>"1508805227"</f>
        <v>1508805227</v>
      </c>
      <c r="B5161" t="str">
        <f>"00630617"</f>
        <v>00630617</v>
      </c>
      <c r="C5161" t="s">
        <v>13436</v>
      </c>
      <c r="D5161" t="s">
        <v>25587</v>
      </c>
      <c r="E5161" t="s">
        <v>25588</v>
      </c>
      <c r="G5161" t="s">
        <v>25589</v>
      </c>
      <c r="L5161" t="s">
        <v>83</v>
      </c>
      <c r="M5161" t="s">
        <v>85</v>
      </c>
      <c r="R5161" t="s">
        <v>25590</v>
      </c>
      <c r="W5161" t="s">
        <v>25588</v>
      </c>
      <c r="X5161" t="s">
        <v>1909</v>
      </c>
      <c r="Y5161" t="s">
        <v>97</v>
      </c>
      <c r="Z5161" t="s">
        <v>77</v>
      </c>
      <c r="AA5161" t="str">
        <f>"10029"</f>
        <v>10029</v>
      </c>
      <c r="AB5161" t="s">
        <v>78</v>
      </c>
      <c r="AC5161" t="s">
        <v>79</v>
      </c>
      <c r="AD5161" t="s">
        <v>75</v>
      </c>
      <c r="AE5161" t="s">
        <v>80</v>
      </c>
      <c r="AG5161" t="s">
        <v>81</v>
      </c>
    </row>
    <row r="5162" spans="1:33" x14ac:dyDescent="0.25">
      <c r="A5162" t="str">
        <f>"1801823539"</f>
        <v>1801823539</v>
      </c>
      <c r="B5162" t="str">
        <f>"01371484"</f>
        <v>01371484</v>
      </c>
      <c r="C5162" t="s">
        <v>13436</v>
      </c>
      <c r="D5162" t="s">
        <v>25591</v>
      </c>
      <c r="E5162" t="s">
        <v>25592</v>
      </c>
      <c r="G5162" t="s">
        <v>25593</v>
      </c>
      <c r="L5162" t="s">
        <v>83</v>
      </c>
      <c r="M5162" t="s">
        <v>85</v>
      </c>
      <c r="R5162" t="s">
        <v>25594</v>
      </c>
      <c r="W5162" t="s">
        <v>25592</v>
      </c>
      <c r="X5162" t="s">
        <v>2653</v>
      </c>
      <c r="Y5162" t="s">
        <v>97</v>
      </c>
      <c r="Z5162" t="s">
        <v>77</v>
      </c>
      <c r="AA5162" t="str">
        <f>"10019-1105"</f>
        <v>10019-1105</v>
      </c>
      <c r="AB5162" t="s">
        <v>78</v>
      </c>
      <c r="AC5162" t="s">
        <v>79</v>
      </c>
      <c r="AD5162" t="s">
        <v>75</v>
      </c>
      <c r="AE5162" t="s">
        <v>80</v>
      </c>
      <c r="AG5162" t="s">
        <v>81</v>
      </c>
    </row>
    <row r="5163" spans="1:33" x14ac:dyDescent="0.25">
      <c r="A5163" t="str">
        <f>"1801894423"</f>
        <v>1801894423</v>
      </c>
      <c r="B5163" t="str">
        <f>"00685429"</f>
        <v>00685429</v>
      </c>
      <c r="C5163" t="s">
        <v>13436</v>
      </c>
      <c r="D5163" t="s">
        <v>25595</v>
      </c>
      <c r="E5163" t="s">
        <v>25596</v>
      </c>
      <c r="G5163" t="s">
        <v>25597</v>
      </c>
      <c r="L5163" t="s">
        <v>74</v>
      </c>
      <c r="M5163" t="s">
        <v>85</v>
      </c>
      <c r="R5163" t="s">
        <v>25598</v>
      </c>
      <c r="W5163" t="s">
        <v>25596</v>
      </c>
      <c r="X5163" t="s">
        <v>25599</v>
      </c>
      <c r="Y5163" t="s">
        <v>155</v>
      </c>
      <c r="Z5163" t="s">
        <v>77</v>
      </c>
      <c r="AA5163" t="str">
        <f>"10310-1664"</f>
        <v>10310-1664</v>
      </c>
      <c r="AB5163" t="s">
        <v>78</v>
      </c>
      <c r="AC5163" t="s">
        <v>79</v>
      </c>
      <c r="AD5163" t="s">
        <v>75</v>
      </c>
      <c r="AE5163" t="s">
        <v>80</v>
      </c>
      <c r="AG5163" t="s">
        <v>81</v>
      </c>
    </row>
    <row r="5164" spans="1:33" x14ac:dyDescent="0.25">
      <c r="A5164" t="str">
        <f>"1629112149"</f>
        <v>1629112149</v>
      </c>
      <c r="B5164" t="str">
        <f>"03057114"</f>
        <v>03057114</v>
      </c>
      <c r="C5164" t="s">
        <v>13436</v>
      </c>
      <c r="D5164" t="s">
        <v>25600</v>
      </c>
      <c r="E5164" t="s">
        <v>25601</v>
      </c>
      <c r="G5164" t="s">
        <v>25602</v>
      </c>
      <c r="L5164" t="s">
        <v>83</v>
      </c>
      <c r="M5164" t="s">
        <v>85</v>
      </c>
      <c r="R5164" t="s">
        <v>25601</v>
      </c>
      <c r="W5164" t="s">
        <v>25601</v>
      </c>
      <c r="X5164" t="s">
        <v>25603</v>
      </c>
      <c r="Y5164" t="s">
        <v>171</v>
      </c>
      <c r="Z5164" t="s">
        <v>77</v>
      </c>
      <c r="AA5164" t="str">
        <f>"11432-1121"</f>
        <v>11432-1121</v>
      </c>
      <c r="AB5164" t="s">
        <v>78</v>
      </c>
      <c r="AC5164" t="s">
        <v>79</v>
      </c>
      <c r="AD5164" t="s">
        <v>75</v>
      </c>
      <c r="AE5164" t="s">
        <v>80</v>
      </c>
      <c r="AG5164" t="s">
        <v>81</v>
      </c>
    </row>
    <row r="5165" spans="1:33" x14ac:dyDescent="0.25">
      <c r="A5165" t="str">
        <f>"1629212592"</f>
        <v>1629212592</v>
      </c>
      <c r="B5165" t="str">
        <f>"03748212"</f>
        <v>03748212</v>
      </c>
      <c r="C5165" t="s">
        <v>13436</v>
      </c>
      <c r="D5165" t="s">
        <v>25604</v>
      </c>
      <c r="E5165" t="s">
        <v>25605</v>
      </c>
      <c r="G5165" t="s">
        <v>25606</v>
      </c>
      <c r="L5165" t="s">
        <v>83</v>
      </c>
      <c r="M5165" t="s">
        <v>85</v>
      </c>
      <c r="R5165" t="s">
        <v>25607</v>
      </c>
      <c r="W5165" t="s">
        <v>25605</v>
      </c>
      <c r="AB5165" t="s">
        <v>78</v>
      </c>
      <c r="AC5165" t="s">
        <v>79</v>
      </c>
      <c r="AD5165" t="s">
        <v>75</v>
      </c>
      <c r="AE5165" t="s">
        <v>80</v>
      </c>
      <c r="AG5165" t="s">
        <v>81</v>
      </c>
    </row>
    <row r="5166" spans="1:33" x14ac:dyDescent="0.25">
      <c r="A5166" t="str">
        <f>"1982665006"</f>
        <v>1982665006</v>
      </c>
      <c r="B5166" t="str">
        <f>"04249670"</f>
        <v>04249670</v>
      </c>
      <c r="C5166" t="s">
        <v>13436</v>
      </c>
      <c r="D5166" t="s">
        <v>25608</v>
      </c>
      <c r="E5166" t="s">
        <v>25609</v>
      </c>
      <c r="G5166" t="s">
        <v>25610</v>
      </c>
      <c r="L5166" t="s">
        <v>83</v>
      </c>
      <c r="M5166" t="s">
        <v>85</v>
      </c>
      <c r="R5166" t="s">
        <v>25609</v>
      </c>
      <c r="W5166" t="s">
        <v>25609</v>
      </c>
      <c r="X5166" t="s">
        <v>16708</v>
      </c>
      <c r="Y5166" t="s">
        <v>97</v>
      </c>
      <c r="Z5166" t="s">
        <v>77</v>
      </c>
      <c r="AA5166" t="str">
        <f>"10024-5116"</f>
        <v>10024-5116</v>
      </c>
      <c r="AB5166" t="s">
        <v>78</v>
      </c>
      <c r="AC5166" t="s">
        <v>79</v>
      </c>
      <c r="AD5166" t="s">
        <v>75</v>
      </c>
      <c r="AE5166" t="s">
        <v>80</v>
      </c>
      <c r="AG5166" t="s">
        <v>81</v>
      </c>
    </row>
    <row r="5167" spans="1:33" x14ac:dyDescent="0.25">
      <c r="A5167" t="str">
        <f>"1255306403"</f>
        <v>1255306403</v>
      </c>
      <c r="B5167" t="str">
        <f>"00901175"</f>
        <v>00901175</v>
      </c>
      <c r="C5167" t="s">
        <v>13436</v>
      </c>
      <c r="D5167" t="s">
        <v>25611</v>
      </c>
      <c r="E5167" t="s">
        <v>25612</v>
      </c>
      <c r="G5167" t="s">
        <v>25613</v>
      </c>
      <c r="L5167" t="s">
        <v>84</v>
      </c>
      <c r="M5167" t="s">
        <v>85</v>
      </c>
      <c r="R5167" t="s">
        <v>25614</v>
      </c>
      <c r="W5167" t="s">
        <v>25615</v>
      </c>
      <c r="X5167" t="s">
        <v>14502</v>
      </c>
      <c r="Y5167" t="s">
        <v>97</v>
      </c>
      <c r="Z5167" t="s">
        <v>77</v>
      </c>
      <c r="AA5167" t="str">
        <f>"10010-7454"</f>
        <v>10010-7454</v>
      </c>
      <c r="AB5167" t="s">
        <v>78</v>
      </c>
      <c r="AC5167" t="s">
        <v>79</v>
      </c>
      <c r="AD5167" t="s">
        <v>75</v>
      </c>
      <c r="AE5167" t="s">
        <v>80</v>
      </c>
      <c r="AG5167" t="s">
        <v>81</v>
      </c>
    </row>
    <row r="5168" spans="1:33" x14ac:dyDescent="0.25">
      <c r="A5168" t="str">
        <f>"1255395083"</f>
        <v>1255395083</v>
      </c>
      <c r="B5168" t="str">
        <f>"02598332"</f>
        <v>02598332</v>
      </c>
      <c r="C5168" t="s">
        <v>13436</v>
      </c>
      <c r="D5168" t="s">
        <v>1016</v>
      </c>
      <c r="E5168" t="s">
        <v>1017</v>
      </c>
      <c r="G5168" t="s">
        <v>25616</v>
      </c>
      <c r="L5168" t="s">
        <v>84</v>
      </c>
      <c r="M5168" t="s">
        <v>85</v>
      </c>
      <c r="R5168" t="s">
        <v>1018</v>
      </c>
      <c r="W5168" t="s">
        <v>1017</v>
      </c>
      <c r="X5168" t="s">
        <v>602</v>
      </c>
      <c r="Y5168" t="s">
        <v>97</v>
      </c>
      <c r="Z5168" t="s">
        <v>77</v>
      </c>
      <c r="AA5168" t="str">
        <f>"10038-2612"</f>
        <v>10038-2612</v>
      </c>
      <c r="AB5168" t="s">
        <v>78</v>
      </c>
      <c r="AC5168" t="s">
        <v>79</v>
      </c>
      <c r="AD5168" t="s">
        <v>75</v>
      </c>
      <c r="AE5168" t="s">
        <v>80</v>
      </c>
      <c r="AG5168" t="s">
        <v>81</v>
      </c>
    </row>
    <row r="5169" spans="1:33" x14ac:dyDescent="0.25">
      <c r="A5169" t="str">
        <f>"1255395646"</f>
        <v>1255395646</v>
      </c>
      <c r="B5169" t="str">
        <f>"01344687"</f>
        <v>01344687</v>
      </c>
      <c r="C5169" t="s">
        <v>13436</v>
      </c>
      <c r="D5169" t="s">
        <v>25617</v>
      </c>
      <c r="E5169" t="s">
        <v>25618</v>
      </c>
      <c r="G5169" t="s">
        <v>25619</v>
      </c>
      <c r="L5169" t="s">
        <v>83</v>
      </c>
      <c r="M5169" t="s">
        <v>85</v>
      </c>
      <c r="R5169" t="s">
        <v>25620</v>
      </c>
      <c r="W5169" t="s">
        <v>25618</v>
      </c>
      <c r="Y5169" t="s">
        <v>97</v>
      </c>
      <c r="Z5169" t="s">
        <v>77</v>
      </c>
      <c r="AA5169" t="str">
        <f>"10011-8305"</f>
        <v>10011-8305</v>
      </c>
      <c r="AB5169" t="s">
        <v>78</v>
      </c>
      <c r="AC5169" t="s">
        <v>79</v>
      </c>
      <c r="AD5169" t="s">
        <v>75</v>
      </c>
      <c r="AE5169" t="s">
        <v>80</v>
      </c>
      <c r="AG5169" t="s">
        <v>81</v>
      </c>
    </row>
    <row r="5170" spans="1:33" x14ac:dyDescent="0.25">
      <c r="A5170" t="str">
        <f>"1265402374"</f>
        <v>1265402374</v>
      </c>
      <c r="B5170" t="str">
        <f>"01607441"</f>
        <v>01607441</v>
      </c>
      <c r="C5170" t="s">
        <v>13436</v>
      </c>
      <c r="D5170" t="s">
        <v>25621</v>
      </c>
      <c r="E5170" t="s">
        <v>25622</v>
      </c>
      <c r="G5170" t="s">
        <v>25623</v>
      </c>
      <c r="L5170" t="s">
        <v>83</v>
      </c>
      <c r="M5170" t="s">
        <v>85</v>
      </c>
      <c r="R5170" t="s">
        <v>25624</v>
      </c>
      <c r="W5170" t="s">
        <v>25622</v>
      </c>
      <c r="X5170" t="s">
        <v>25625</v>
      </c>
      <c r="Y5170" t="s">
        <v>97</v>
      </c>
      <c r="Z5170" t="s">
        <v>77</v>
      </c>
      <c r="AA5170" t="str">
        <f>"10023"</f>
        <v>10023</v>
      </c>
      <c r="AB5170" t="s">
        <v>78</v>
      </c>
      <c r="AC5170" t="s">
        <v>79</v>
      </c>
      <c r="AD5170" t="s">
        <v>75</v>
      </c>
      <c r="AE5170" t="s">
        <v>80</v>
      </c>
      <c r="AG5170" t="s">
        <v>81</v>
      </c>
    </row>
    <row r="5171" spans="1:33" x14ac:dyDescent="0.25">
      <c r="A5171" t="str">
        <f>"1265434682"</f>
        <v>1265434682</v>
      </c>
      <c r="B5171" t="str">
        <f>"02854979"</f>
        <v>02854979</v>
      </c>
      <c r="C5171" t="s">
        <v>13436</v>
      </c>
      <c r="D5171" t="s">
        <v>1113</v>
      </c>
      <c r="E5171" t="s">
        <v>1114</v>
      </c>
      <c r="G5171" t="s">
        <v>25626</v>
      </c>
      <c r="L5171" t="s">
        <v>83</v>
      </c>
      <c r="M5171" t="s">
        <v>85</v>
      </c>
      <c r="R5171" t="s">
        <v>1115</v>
      </c>
      <c r="W5171" t="s">
        <v>1114</v>
      </c>
      <c r="X5171" t="s">
        <v>583</v>
      </c>
      <c r="Y5171" t="s">
        <v>584</v>
      </c>
      <c r="Z5171" t="s">
        <v>77</v>
      </c>
      <c r="AA5171" t="str">
        <f>"11692-1409"</f>
        <v>11692-1409</v>
      </c>
      <c r="AB5171" t="s">
        <v>78</v>
      </c>
      <c r="AC5171" t="s">
        <v>79</v>
      </c>
      <c r="AD5171" t="s">
        <v>75</v>
      </c>
      <c r="AE5171" t="s">
        <v>80</v>
      </c>
      <c r="AG5171" t="s">
        <v>81</v>
      </c>
    </row>
    <row r="5172" spans="1:33" x14ac:dyDescent="0.25">
      <c r="A5172" t="str">
        <f>"1265564751"</f>
        <v>1265564751</v>
      </c>
      <c r="B5172" t="str">
        <f>"02177099"</f>
        <v>02177099</v>
      </c>
      <c r="C5172" t="s">
        <v>13436</v>
      </c>
      <c r="D5172" t="s">
        <v>25627</v>
      </c>
      <c r="E5172" t="s">
        <v>25628</v>
      </c>
      <c r="G5172" t="s">
        <v>25629</v>
      </c>
      <c r="L5172" t="s">
        <v>84</v>
      </c>
      <c r="M5172" t="s">
        <v>85</v>
      </c>
      <c r="R5172" t="s">
        <v>25630</v>
      </c>
      <c r="W5172" t="s">
        <v>25628</v>
      </c>
      <c r="X5172" t="s">
        <v>4898</v>
      </c>
      <c r="Y5172" t="s">
        <v>131</v>
      </c>
      <c r="Z5172" t="s">
        <v>77</v>
      </c>
      <c r="AA5172" t="str">
        <f>"10465"</f>
        <v>10465</v>
      </c>
      <c r="AB5172" t="s">
        <v>78</v>
      </c>
      <c r="AC5172" t="s">
        <v>79</v>
      </c>
      <c r="AD5172" t="s">
        <v>75</v>
      </c>
      <c r="AE5172" t="s">
        <v>80</v>
      </c>
      <c r="AG5172" t="s">
        <v>81</v>
      </c>
    </row>
    <row r="5173" spans="1:33" x14ac:dyDescent="0.25">
      <c r="A5173" t="str">
        <f>"1275508954"</f>
        <v>1275508954</v>
      </c>
      <c r="B5173" t="str">
        <f>"01161839"</f>
        <v>01161839</v>
      </c>
      <c r="C5173" t="s">
        <v>13436</v>
      </c>
      <c r="D5173" t="s">
        <v>25631</v>
      </c>
      <c r="E5173" t="s">
        <v>25632</v>
      </c>
      <c r="G5173" t="s">
        <v>25633</v>
      </c>
      <c r="L5173" t="s">
        <v>83</v>
      </c>
      <c r="M5173" t="s">
        <v>85</v>
      </c>
      <c r="R5173" t="s">
        <v>25634</v>
      </c>
      <c r="W5173" t="s">
        <v>25632</v>
      </c>
      <c r="X5173" t="s">
        <v>25635</v>
      </c>
      <c r="Y5173" t="s">
        <v>87</v>
      </c>
      <c r="Z5173" t="s">
        <v>77</v>
      </c>
      <c r="AA5173" t="str">
        <f>"11210-2830"</f>
        <v>11210-2830</v>
      </c>
      <c r="AB5173" t="s">
        <v>78</v>
      </c>
      <c r="AC5173" t="s">
        <v>79</v>
      </c>
      <c r="AD5173" t="s">
        <v>75</v>
      </c>
      <c r="AE5173" t="s">
        <v>80</v>
      </c>
      <c r="AG5173" t="s">
        <v>81</v>
      </c>
    </row>
    <row r="5174" spans="1:33" x14ac:dyDescent="0.25">
      <c r="A5174" t="str">
        <f>"1275547945"</f>
        <v>1275547945</v>
      </c>
      <c r="B5174" t="str">
        <f>"01200384"</f>
        <v>01200384</v>
      </c>
      <c r="C5174" t="s">
        <v>13436</v>
      </c>
      <c r="D5174" t="s">
        <v>25636</v>
      </c>
      <c r="E5174" t="s">
        <v>25637</v>
      </c>
      <c r="G5174" t="s">
        <v>25638</v>
      </c>
      <c r="L5174" t="s">
        <v>74</v>
      </c>
      <c r="M5174" t="s">
        <v>85</v>
      </c>
      <c r="R5174" t="s">
        <v>25639</v>
      </c>
      <c r="W5174" t="s">
        <v>25637</v>
      </c>
      <c r="X5174" t="s">
        <v>248</v>
      </c>
      <c r="Y5174" t="s">
        <v>97</v>
      </c>
      <c r="Z5174" t="s">
        <v>77</v>
      </c>
      <c r="AA5174" t="str">
        <f>"10065-7471"</f>
        <v>10065-7471</v>
      </c>
      <c r="AB5174" t="s">
        <v>78</v>
      </c>
      <c r="AC5174" t="s">
        <v>79</v>
      </c>
      <c r="AD5174" t="s">
        <v>75</v>
      </c>
      <c r="AE5174" t="s">
        <v>80</v>
      </c>
      <c r="AG5174" t="s">
        <v>81</v>
      </c>
    </row>
    <row r="5175" spans="1:33" x14ac:dyDescent="0.25">
      <c r="A5175" t="str">
        <f>"1497892541"</f>
        <v>1497892541</v>
      </c>
      <c r="B5175" t="str">
        <f>"01811614"</f>
        <v>01811614</v>
      </c>
      <c r="C5175" t="s">
        <v>13436</v>
      </c>
      <c r="D5175" t="s">
        <v>25640</v>
      </c>
      <c r="E5175" t="s">
        <v>25641</v>
      </c>
      <c r="G5175" t="s">
        <v>25642</v>
      </c>
      <c r="L5175" t="s">
        <v>102</v>
      </c>
      <c r="M5175" t="s">
        <v>75</v>
      </c>
      <c r="R5175" t="s">
        <v>25643</v>
      </c>
      <c r="W5175" t="s">
        <v>25641</v>
      </c>
      <c r="X5175" t="s">
        <v>25641</v>
      </c>
      <c r="Y5175" t="s">
        <v>97</v>
      </c>
      <c r="Z5175" t="s">
        <v>77</v>
      </c>
      <c r="AA5175" t="str">
        <f>"10032-4220"</f>
        <v>10032-4220</v>
      </c>
      <c r="AB5175" t="s">
        <v>78</v>
      </c>
      <c r="AC5175" t="s">
        <v>79</v>
      </c>
      <c r="AD5175" t="s">
        <v>75</v>
      </c>
      <c r="AE5175" t="s">
        <v>80</v>
      </c>
      <c r="AG5175" t="s">
        <v>81</v>
      </c>
    </row>
    <row r="5176" spans="1:33" x14ac:dyDescent="0.25">
      <c r="A5176" t="str">
        <f>"1497913149"</f>
        <v>1497913149</v>
      </c>
      <c r="B5176" t="str">
        <f>"03609010"</f>
        <v>03609010</v>
      </c>
      <c r="C5176" t="s">
        <v>13436</v>
      </c>
      <c r="D5176" t="s">
        <v>25644</v>
      </c>
      <c r="E5176" t="s">
        <v>25645</v>
      </c>
      <c r="G5176" t="s">
        <v>25646</v>
      </c>
      <c r="L5176" t="s">
        <v>83</v>
      </c>
      <c r="M5176" t="s">
        <v>85</v>
      </c>
      <c r="R5176" t="s">
        <v>25647</v>
      </c>
      <c r="W5176" t="s">
        <v>25645</v>
      </c>
      <c r="X5176" t="s">
        <v>272</v>
      </c>
      <c r="Y5176" t="s">
        <v>97</v>
      </c>
      <c r="Z5176" t="s">
        <v>77</v>
      </c>
      <c r="AA5176" t="str">
        <f>"10029-6501"</f>
        <v>10029-6501</v>
      </c>
      <c r="AB5176" t="s">
        <v>78</v>
      </c>
      <c r="AC5176" t="s">
        <v>79</v>
      </c>
      <c r="AD5176" t="s">
        <v>75</v>
      </c>
      <c r="AE5176" t="s">
        <v>80</v>
      </c>
      <c r="AG5176" t="s">
        <v>81</v>
      </c>
    </row>
    <row r="5177" spans="1:33" x14ac:dyDescent="0.25">
      <c r="A5177" t="str">
        <f>"1497927750"</f>
        <v>1497927750</v>
      </c>
      <c r="B5177" t="str">
        <f>"03609950"</f>
        <v>03609950</v>
      </c>
      <c r="C5177" t="s">
        <v>13436</v>
      </c>
      <c r="D5177" t="s">
        <v>25648</v>
      </c>
      <c r="E5177" t="s">
        <v>25649</v>
      </c>
      <c r="G5177" t="s">
        <v>25650</v>
      </c>
      <c r="L5177" t="s">
        <v>74</v>
      </c>
      <c r="M5177" t="s">
        <v>85</v>
      </c>
      <c r="R5177" t="s">
        <v>25651</v>
      </c>
      <c r="W5177" t="s">
        <v>25649</v>
      </c>
      <c r="X5177" t="s">
        <v>329</v>
      </c>
      <c r="Y5177" t="s">
        <v>97</v>
      </c>
      <c r="Z5177" t="s">
        <v>77</v>
      </c>
      <c r="AA5177" t="str">
        <f>"10029-6504"</f>
        <v>10029-6504</v>
      </c>
      <c r="AB5177" t="s">
        <v>78</v>
      </c>
      <c r="AC5177" t="s">
        <v>79</v>
      </c>
      <c r="AD5177" t="s">
        <v>75</v>
      </c>
      <c r="AE5177" t="s">
        <v>80</v>
      </c>
      <c r="AG5177" t="s">
        <v>81</v>
      </c>
    </row>
    <row r="5178" spans="1:33" x14ac:dyDescent="0.25">
      <c r="A5178" t="str">
        <f>"1497935662"</f>
        <v>1497935662</v>
      </c>
      <c r="B5178" t="str">
        <f>"02088219"</f>
        <v>02088219</v>
      </c>
      <c r="C5178" t="s">
        <v>13436</v>
      </c>
      <c r="D5178" t="s">
        <v>25652</v>
      </c>
      <c r="E5178" t="s">
        <v>25653</v>
      </c>
      <c r="G5178" t="s">
        <v>25654</v>
      </c>
      <c r="L5178" t="s">
        <v>102</v>
      </c>
      <c r="M5178" t="s">
        <v>75</v>
      </c>
      <c r="R5178" t="s">
        <v>25655</v>
      </c>
      <c r="W5178" t="s">
        <v>25653</v>
      </c>
      <c r="X5178" t="s">
        <v>11181</v>
      </c>
      <c r="Y5178" t="s">
        <v>97</v>
      </c>
      <c r="Z5178" t="s">
        <v>77</v>
      </c>
      <c r="AA5178" t="str">
        <f>"10029-6504"</f>
        <v>10029-6504</v>
      </c>
      <c r="AB5178" t="s">
        <v>78</v>
      </c>
      <c r="AC5178" t="s">
        <v>79</v>
      </c>
      <c r="AD5178" t="s">
        <v>75</v>
      </c>
      <c r="AE5178" t="s">
        <v>80</v>
      </c>
      <c r="AG5178" t="s">
        <v>81</v>
      </c>
    </row>
    <row r="5179" spans="1:33" x14ac:dyDescent="0.25">
      <c r="A5179" t="str">
        <f>"1497935738"</f>
        <v>1497935738</v>
      </c>
      <c r="B5179" t="str">
        <f>"03274908"</f>
        <v>03274908</v>
      </c>
      <c r="C5179" t="s">
        <v>13436</v>
      </c>
      <c r="D5179" t="s">
        <v>25656</v>
      </c>
      <c r="E5179" t="s">
        <v>25657</v>
      </c>
      <c r="G5179" t="s">
        <v>25658</v>
      </c>
      <c r="L5179" t="s">
        <v>105</v>
      </c>
      <c r="M5179" t="s">
        <v>75</v>
      </c>
      <c r="R5179" t="s">
        <v>25659</v>
      </c>
      <c r="W5179" t="s">
        <v>25657</v>
      </c>
      <c r="X5179" t="s">
        <v>25660</v>
      </c>
      <c r="Y5179" t="s">
        <v>97</v>
      </c>
      <c r="Z5179" t="s">
        <v>77</v>
      </c>
      <c r="AA5179" t="str">
        <f>"10023-4363"</f>
        <v>10023-4363</v>
      </c>
      <c r="AB5179" t="s">
        <v>125</v>
      </c>
      <c r="AC5179" t="s">
        <v>79</v>
      </c>
      <c r="AD5179" t="s">
        <v>75</v>
      </c>
      <c r="AE5179" t="s">
        <v>80</v>
      </c>
      <c r="AG5179" t="s">
        <v>81</v>
      </c>
    </row>
    <row r="5180" spans="1:33" x14ac:dyDescent="0.25">
      <c r="A5180" t="str">
        <f>"1497997365"</f>
        <v>1497997365</v>
      </c>
      <c r="B5180" t="str">
        <f>"03617796"</f>
        <v>03617796</v>
      </c>
      <c r="C5180" t="s">
        <v>13436</v>
      </c>
      <c r="D5180" t="s">
        <v>25661</v>
      </c>
      <c r="E5180" t="s">
        <v>25662</v>
      </c>
      <c r="G5180" t="s">
        <v>25663</v>
      </c>
      <c r="L5180" t="s">
        <v>83</v>
      </c>
      <c r="M5180" t="s">
        <v>85</v>
      </c>
      <c r="R5180" t="s">
        <v>25664</v>
      </c>
      <c r="W5180" t="s">
        <v>25662</v>
      </c>
      <c r="X5180" t="s">
        <v>235</v>
      </c>
      <c r="Y5180" t="s">
        <v>236</v>
      </c>
      <c r="Z5180" t="s">
        <v>77</v>
      </c>
      <c r="AA5180" t="str">
        <f>"11102-2448"</f>
        <v>11102-2448</v>
      </c>
      <c r="AB5180" t="s">
        <v>78</v>
      </c>
      <c r="AC5180" t="s">
        <v>79</v>
      </c>
      <c r="AD5180" t="s">
        <v>75</v>
      </c>
      <c r="AE5180" t="s">
        <v>80</v>
      </c>
      <c r="AG5180" t="s">
        <v>81</v>
      </c>
    </row>
    <row r="5181" spans="1:33" x14ac:dyDescent="0.25">
      <c r="A5181" t="str">
        <f>"1851490304"</f>
        <v>1851490304</v>
      </c>
      <c r="B5181" t="str">
        <f>"01272206"</f>
        <v>01272206</v>
      </c>
      <c r="C5181" t="s">
        <v>13436</v>
      </c>
      <c r="D5181" t="s">
        <v>25665</v>
      </c>
      <c r="E5181" t="s">
        <v>25666</v>
      </c>
      <c r="G5181" t="s">
        <v>25667</v>
      </c>
      <c r="L5181" t="s">
        <v>74</v>
      </c>
      <c r="M5181" t="s">
        <v>85</v>
      </c>
      <c r="R5181" t="s">
        <v>25668</v>
      </c>
      <c r="W5181" t="s">
        <v>25666</v>
      </c>
      <c r="X5181" t="s">
        <v>248</v>
      </c>
      <c r="Y5181" t="s">
        <v>97</v>
      </c>
      <c r="Z5181" t="s">
        <v>77</v>
      </c>
      <c r="AA5181" t="str">
        <f>"10065-7471"</f>
        <v>10065-7471</v>
      </c>
      <c r="AB5181" t="s">
        <v>78</v>
      </c>
      <c r="AC5181" t="s">
        <v>79</v>
      </c>
      <c r="AD5181" t="s">
        <v>75</v>
      </c>
      <c r="AE5181" t="s">
        <v>80</v>
      </c>
      <c r="AG5181" t="s">
        <v>81</v>
      </c>
    </row>
    <row r="5182" spans="1:33" x14ac:dyDescent="0.25">
      <c r="A5182" t="str">
        <f>"1851595839"</f>
        <v>1851595839</v>
      </c>
      <c r="B5182" t="str">
        <f>"02990352"</f>
        <v>02990352</v>
      </c>
      <c r="C5182" t="s">
        <v>13436</v>
      </c>
      <c r="D5182" t="s">
        <v>25669</v>
      </c>
      <c r="E5182" t="s">
        <v>25670</v>
      </c>
      <c r="G5182" t="s">
        <v>25671</v>
      </c>
      <c r="L5182" t="s">
        <v>83</v>
      </c>
      <c r="M5182" t="s">
        <v>85</v>
      </c>
      <c r="R5182" t="s">
        <v>25670</v>
      </c>
      <c r="W5182" t="s">
        <v>25672</v>
      </c>
      <c r="X5182" t="s">
        <v>14583</v>
      </c>
      <c r="Y5182" t="s">
        <v>97</v>
      </c>
      <c r="Z5182" t="s">
        <v>77</v>
      </c>
      <c r="AA5182" t="str">
        <f>"10016-4337"</f>
        <v>10016-4337</v>
      </c>
      <c r="AB5182" t="s">
        <v>78</v>
      </c>
      <c r="AC5182" t="s">
        <v>79</v>
      </c>
      <c r="AD5182" t="s">
        <v>75</v>
      </c>
      <c r="AE5182" t="s">
        <v>80</v>
      </c>
      <c r="AG5182" t="s">
        <v>81</v>
      </c>
    </row>
    <row r="5183" spans="1:33" x14ac:dyDescent="0.25">
      <c r="A5183" t="str">
        <f>"1861422958"</f>
        <v>1861422958</v>
      </c>
      <c r="B5183" t="str">
        <f>"00410191"</f>
        <v>00410191</v>
      </c>
      <c r="C5183" t="s">
        <v>13436</v>
      </c>
      <c r="D5183" t="s">
        <v>25673</v>
      </c>
      <c r="E5183" t="s">
        <v>25674</v>
      </c>
      <c r="G5183" t="s">
        <v>25675</v>
      </c>
      <c r="L5183" t="s">
        <v>84</v>
      </c>
      <c r="M5183" t="s">
        <v>85</v>
      </c>
      <c r="R5183" t="s">
        <v>25676</v>
      </c>
      <c r="W5183" t="s">
        <v>25677</v>
      </c>
      <c r="X5183" t="s">
        <v>21255</v>
      </c>
      <c r="Y5183" t="s">
        <v>97</v>
      </c>
      <c r="Z5183" t="s">
        <v>77</v>
      </c>
      <c r="AA5183" t="str">
        <f>"10003-0000"</f>
        <v>10003-0000</v>
      </c>
      <c r="AB5183" t="s">
        <v>78</v>
      </c>
      <c r="AC5183" t="s">
        <v>79</v>
      </c>
      <c r="AD5183" t="s">
        <v>75</v>
      </c>
      <c r="AE5183" t="s">
        <v>80</v>
      </c>
      <c r="AG5183" t="s">
        <v>81</v>
      </c>
    </row>
    <row r="5184" spans="1:33" x14ac:dyDescent="0.25">
      <c r="A5184" t="str">
        <f>"1861470866"</f>
        <v>1861470866</v>
      </c>
      <c r="B5184" t="str">
        <f>"00767684"</f>
        <v>00767684</v>
      </c>
      <c r="C5184" t="s">
        <v>13436</v>
      </c>
      <c r="D5184" t="s">
        <v>25678</v>
      </c>
      <c r="E5184" t="s">
        <v>25679</v>
      </c>
      <c r="G5184" t="s">
        <v>25680</v>
      </c>
      <c r="L5184" t="s">
        <v>83</v>
      </c>
      <c r="M5184" t="s">
        <v>85</v>
      </c>
      <c r="R5184" t="s">
        <v>25681</v>
      </c>
      <c r="W5184" t="s">
        <v>25682</v>
      </c>
      <c r="X5184" t="s">
        <v>25683</v>
      </c>
      <c r="Y5184" t="s">
        <v>97</v>
      </c>
      <c r="Z5184" t="s">
        <v>77</v>
      </c>
      <c r="AA5184" t="str">
        <f>"10016-2684"</f>
        <v>10016-2684</v>
      </c>
      <c r="AB5184" t="s">
        <v>78</v>
      </c>
      <c r="AC5184" t="s">
        <v>79</v>
      </c>
      <c r="AD5184" t="s">
        <v>75</v>
      </c>
      <c r="AE5184" t="s">
        <v>80</v>
      </c>
      <c r="AG5184" t="s">
        <v>81</v>
      </c>
    </row>
    <row r="5185" spans="1:33" x14ac:dyDescent="0.25">
      <c r="A5185" t="str">
        <f>"1871502161"</f>
        <v>1871502161</v>
      </c>
      <c r="B5185" t="str">
        <f>"00370338"</f>
        <v>00370338</v>
      </c>
      <c r="C5185" t="s">
        <v>13436</v>
      </c>
      <c r="D5185" t="s">
        <v>25684</v>
      </c>
      <c r="E5185" t="s">
        <v>25685</v>
      </c>
      <c r="G5185" t="s">
        <v>25686</v>
      </c>
      <c r="L5185" t="s">
        <v>84</v>
      </c>
      <c r="M5185" t="s">
        <v>85</v>
      </c>
      <c r="R5185" t="s">
        <v>25687</v>
      </c>
      <c r="W5185" t="s">
        <v>25685</v>
      </c>
      <c r="X5185" t="s">
        <v>4475</v>
      </c>
      <c r="Y5185" t="s">
        <v>97</v>
      </c>
      <c r="Z5185" t="s">
        <v>77</v>
      </c>
      <c r="AA5185" t="str">
        <f>"10023-6406"</f>
        <v>10023-6406</v>
      </c>
      <c r="AB5185" t="s">
        <v>78</v>
      </c>
      <c r="AC5185" t="s">
        <v>79</v>
      </c>
      <c r="AD5185" t="s">
        <v>75</v>
      </c>
      <c r="AE5185" t="s">
        <v>80</v>
      </c>
      <c r="AG5185" t="s">
        <v>81</v>
      </c>
    </row>
    <row r="5186" spans="1:33" x14ac:dyDescent="0.25">
      <c r="A5186" t="str">
        <f>"1891714630"</f>
        <v>1891714630</v>
      </c>
      <c r="B5186" t="str">
        <f>"01420873"</f>
        <v>01420873</v>
      </c>
      <c r="C5186" t="s">
        <v>13436</v>
      </c>
      <c r="D5186" t="s">
        <v>25688</v>
      </c>
      <c r="E5186" t="s">
        <v>25689</v>
      </c>
      <c r="G5186" t="s">
        <v>25690</v>
      </c>
      <c r="L5186" t="s">
        <v>84</v>
      </c>
      <c r="M5186" t="s">
        <v>85</v>
      </c>
      <c r="R5186" t="s">
        <v>25691</v>
      </c>
      <c r="W5186" t="s">
        <v>25689</v>
      </c>
      <c r="X5186" t="s">
        <v>2838</v>
      </c>
      <c r="Y5186" t="s">
        <v>97</v>
      </c>
      <c r="Z5186" t="s">
        <v>77</v>
      </c>
      <c r="AA5186" t="str">
        <f>"10003-3105"</f>
        <v>10003-3105</v>
      </c>
      <c r="AB5186" t="s">
        <v>78</v>
      </c>
      <c r="AC5186" t="s">
        <v>79</v>
      </c>
      <c r="AD5186" t="s">
        <v>75</v>
      </c>
      <c r="AE5186" t="s">
        <v>80</v>
      </c>
      <c r="AG5186" t="s">
        <v>81</v>
      </c>
    </row>
    <row r="5187" spans="1:33" x14ac:dyDescent="0.25">
      <c r="A5187" t="str">
        <f>"1598961013"</f>
        <v>1598961013</v>
      </c>
      <c r="B5187" t="str">
        <f>"03132203"</f>
        <v>03132203</v>
      </c>
      <c r="C5187" t="s">
        <v>13436</v>
      </c>
      <c r="D5187" t="s">
        <v>25692</v>
      </c>
      <c r="E5187" t="s">
        <v>25693</v>
      </c>
      <c r="G5187" t="s">
        <v>25694</v>
      </c>
      <c r="L5187" t="s">
        <v>74</v>
      </c>
      <c r="M5187" t="s">
        <v>75</v>
      </c>
      <c r="R5187" t="s">
        <v>25695</v>
      </c>
      <c r="W5187" t="s">
        <v>25693</v>
      </c>
      <c r="X5187" t="s">
        <v>3553</v>
      </c>
      <c r="Y5187" t="s">
        <v>97</v>
      </c>
      <c r="Z5187" t="s">
        <v>77</v>
      </c>
      <c r="AA5187" t="str">
        <f>"10003-3851"</f>
        <v>10003-3851</v>
      </c>
      <c r="AB5187" t="s">
        <v>78</v>
      </c>
      <c r="AC5187" t="s">
        <v>79</v>
      </c>
      <c r="AD5187" t="s">
        <v>75</v>
      </c>
      <c r="AE5187" t="s">
        <v>80</v>
      </c>
      <c r="AG5187" t="s">
        <v>81</v>
      </c>
    </row>
    <row r="5188" spans="1:33" x14ac:dyDescent="0.25">
      <c r="A5188" t="str">
        <f>"1063493195"</f>
        <v>1063493195</v>
      </c>
      <c r="B5188" t="str">
        <f>"01530565"</f>
        <v>01530565</v>
      </c>
      <c r="C5188" t="s">
        <v>13436</v>
      </c>
      <c r="D5188" t="s">
        <v>25696</v>
      </c>
      <c r="E5188" t="s">
        <v>25697</v>
      </c>
      <c r="G5188" t="s">
        <v>25698</v>
      </c>
      <c r="L5188" t="s">
        <v>84</v>
      </c>
      <c r="M5188" t="s">
        <v>85</v>
      </c>
      <c r="R5188" t="s">
        <v>25699</v>
      </c>
      <c r="W5188" t="s">
        <v>25697</v>
      </c>
      <c r="X5188" t="s">
        <v>3553</v>
      </c>
      <c r="Y5188" t="s">
        <v>97</v>
      </c>
      <c r="Z5188" t="s">
        <v>77</v>
      </c>
      <c r="AA5188" t="str">
        <f>"10003-3851"</f>
        <v>10003-3851</v>
      </c>
      <c r="AB5188" t="s">
        <v>78</v>
      </c>
      <c r="AC5188" t="s">
        <v>79</v>
      </c>
      <c r="AD5188" t="s">
        <v>75</v>
      </c>
      <c r="AE5188" t="s">
        <v>80</v>
      </c>
      <c r="AG5188" t="s">
        <v>81</v>
      </c>
    </row>
    <row r="5189" spans="1:33" x14ac:dyDescent="0.25">
      <c r="A5189" t="str">
        <f>"1063582344"</f>
        <v>1063582344</v>
      </c>
      <c r="B5189" t="str">
        <f>"00139184"</f>
        <v>00139184</v>
      </c>
      <c r="C5189" t="s">
        <v>13436</v>
      </c>
      <c r="D5189" t="s">
        <v>25700</v>
      </c>
      <c r="E5189" t="s">
        <v>25701</v>
      </c>
      <c r="G5189" t="s">
        <v>25702</v>
      </c>
      <c r="L5189" t="s">
        <v>83</v>
      </c>
      <c r="M5189" t="s">
        <v>85</v>
      </c>
      <c r="R5189" t="s">
        <v>25703</v>
      </c>
      <c r="W5189" t="s">
        <v>25701</v>
      </c>
      <c r="X5189" t="s">
        <v>25704</v>
      </c>
      <c r="Y5189" t="s">
        <v>97</v>
      </c>
      <c r="Z5189" t="s">
        <v>77</v>
      </c>
      <c r="AA5189" t="str">
        <f>"10019"</f>
        <v>10019</v>
      </c>
      <c r="AB5189" t="s">
        <v>78</v>
      </c>
      <c r="AC5189" t="s">
        <v>79</v>
      </c>
      <c r="AD5189" t="s">
        <v>75</v>
      </c>
      <c r="AE5189" t="s">
        <v>80</v>
      </c>
      <c r="AG5189" t="s">
        <v>81</v>
      </c>
    </row>
    <row r="5190" spans="1:33" x14ac:dyDescent="0.25">
      <c r="A5190" t="str">
        <f>"1073770103"</f>
        <v>1073770103</v>
      </c>
      <c r="B5190" t="str">
        <f>"03339360"</f>
        <v>03339360</v>
      </c>
      <c r="C5190" t="s">
        <v>13436</v>
      </c>
      <c r="D5190" t="s">
        <v>25705</v>
      </c>
      <c r="E5190" t="s">
        <v>25706</v>
      </c>
      <c r="G5190" t="s">
        <v>25707</v>
      </c>
      <c r="L5190" t="s">
        <v>74</v>
      </c>
      <c r="M5190" t="s">
        <v>85</v>
      </c>
      <c r="R5190" t="s">
        <v>25706</v>
      </c>
      <c r="W5190" t="s">
        <v>25706</v>
      </c>
      <c r="X5190" t="s">
        <v>181</v>
      </c>
      <c r="Y5190" t="s">
        <v>97</v>
      </c>
      <c r="Z5190" t="s">
        <v>77</v>
      </c>
      <c r="AA5190" t="str">
        <f>"10025-1716"</f>
        <v>10025-1716</v>
      </c>
      <c r="AB5190" t="s">
        <v>78</v>
      </c>
      <c r="AC5190" t="s">
        <v>79</v>
      </c>
      <c r="AD5190" t="s">
        <v>75</v>
      </c>
      <c r="AE5190" t="s">
        <v>80</v>
      </c>
      <c r="AG5190" t="s">
        <v>81</v>
      </c>
    </row>
    <row r="5191" spans="1:33" x14ac:dyDescent="0.25">
      <c r="A5191" t="str">
        <f>"1306934021"</f>
        <v>1306934021</v>
      </c>
      <c r="B5191" t="str">
        <f>"01629487"</f>
        <v>01629487</v>
      </c>
      <c r="C5191" t="s">
        <v>13436</v>
      </c>
      <c r="D5191" t="s">
        <v>25708</v>
      </c>
      <c r="E5191" t="s">
        <v>25709</v>
      </c>
      <c r="G5191" t="s">
        <v>25710</v>
      </c>
      <c r="L5191" t="s">
        <v>83</v>
      </c>
      <c r="M5191" t="s">
        <v>85</v>
      </c>
      <c r="R5191" t="s">
        <v>25711</v>
      </c>
      <c r="W5191" t="s">
        <v>25709</v>
      </c>
      <c r="AB5191" t="s">
        <v>78</v>
      </c>
      <c r="AC5191" t="s">
        <v>79</v>
      </c>
      <c r="AD5191" t="s">
        <v>75</v>
      </c>
      <c r="AE5191" t="s">
        <v>80</v>
      </c>
      <c r="AG5191" t="s">
        <v>81</v>
      </c>
    </row>
    <row r="5192" spans="1:33" x14ac:dyDescent="0.25">
      <c r="A5192" t="str">
        <f>"1316910623"</f>
        <v>1316910623</v>
      </c>
      <c r="B5192" t="str">
        <f>"04062548"</f>
        <v>04062548</v>
      </c>
      <c r="C5192" t="s">
        <v>13436</v>
      </c>
      <c r="D5192" t="s">
        <v>25712</v>
      </c>
      <c r="E5192" t="s">
        <v>25713</v>
      </c>
      <c r="G5192" t="s">
        <v>25714</v>
      </c>
      <c r="L5192" t="s">
        <v>94</v>
      </c>
      <c r="M5192" t="s">
        <v>85</v>
      </c>
      <c r="R5192" t="s">
        <v>25713</v>
      </c>
      <c r="W5192" t="s">
        <v>25713</v>
      </c>
      <c r="X5192" t="s">
        <v>14583</v>
      </c>
      <c r="Y5192" t="s">
        <v>97</v>
      </c>
      <c r="Z5192" t="s">
        <v>77</v>
      </c>
      <c r="AA5192" t="str">
        <f>"10016-4337"</f>
        <v>10016-4337</v>
      </c>
      <c r="AB5192" t="s">
        <v>78</v>
      </c>
      <c r="AC5192" t="s">
        <v>79</v>
      </c>
      <c r="AD5192" t="s">
        <v>75</v>
      </c>
      <c r="AE5192" t="s">
        <v>80</v>
      </c>
      <c r="AG5192" t="s">
        <v>81</v>
      </c>
    </row>
    <row r="5193" spans="1:33" x14ac:dyDescent="0.25">
      <c r="A5193" t="str">
        <f>"1316928450"</f>
        <v>1316928450</v>
      </c>
      <c r="B5193" t="str">
        <f>"01166861"</f>
        <v>01166861</v>
      </c>
      <c r="C5193" t="s">
        <v>13436</v>
      </c>
      <c r="D5193" t="s">
        <v>25715</v>
      </c>
      <c r="E5193" t="s">
        <v>25716</v>
      </c>
      <c r="G5193" t="s">
        <v>25717</v>
      </c>
      <c r="L5193" t="s">
        <v>105</v>
      </c>
      <c r="M5193" t="s">
        <v>85</v>
      </c>
      <c r="R5193" t="s">
        <v>25718</v>
      </c>
      <c r="W5193" t="s">
        <v>25716</v>
      </c>
      <c r="X5193" t="s">
        <v>25719</v>
      </c>
      <c r="Y5193" t="s">
        <v>97</v>
      </c>
      <c r="Z5193" t="s">
        <v>77</v>
      </c>
      <c r="AA5193" t="str">
        <f>"10037-1889"</f>
        <v>10037-1889</v>
      </c>
      <c r="AB5193" t="s">
        <v>78</v>
      </c>
      <c r="AC5193" t="s">
        <v>79</v>
      </c>
      <c r="AD5193" t="s">
        <v>75</v>
      </c>
      <c r="AE5193" t="s">
        <v>80</v>
      </c>
      <c r="AG5193" t="s">
        <v>81</v>
      </c>
    </row>
    <row r="5194" spans="1:33" x14ac:dyDescent="0.25">
      <c r="A5194" t="str">
        <f>"1316933740"</f>
        <v>1316933740</v>
      </c>
      <c r="B5194" t="str">
        <f>"01947795"</f>
        <v>01947795</v>
      </c>
      <c r="C5194" t="s">
        <v>13436</v>
      </c>
      <c r="D5194" t="s">
        <v>25720</v>
      </c>
      <c r="E5194" t="s">
        <v>25721</v>
      </c>
      <c r="G5194" t="s">
        <v>25722</v>
      </c>
      <c r="L5194" t="s">
        <v>74</v>
      </c>
      <c r="M5194" t="s">
        <v>85</v>
      </c>
      <c r="R5194" t="s">
        <v>25723</v>
      </c>
      <c r="W5194" t="s">
        <v>25721</v>
      </c>
      <c r="X5194" t="s">
        <v>1076</v>
      </c>
      <c r="Y5194" t="s">
        <v>97</v>
      </c>
      <c r="Z5194" t="s">
        <v>77</v>
      </c>
      <c r="AA5194" t="str">
        <f>"10025-1737"</f>
        <v>10025-1737</v>
      </c>
      <c r="AB5194" t="s">
        <v>78</v>
      </c>
      <c r="AC5194" t="s">
        <v>79</v>
      </c>
      <c r="AD5194" t="s">
        <v>75</v>
      </c>
      <c r="AE5194" t="s">
        <v>80</v>
      </c>
      <c r="AG5194" t="s">
        <v>81</v>
      </c>
    </row>
    <row r="5195" spans="1:33" x14ac:dyDescent="0.25">
      <c r="A5195" t="str">
        <f>"1306956248"</f>
        <v>1306956248</v>
      </c>
      <c r="B5195" t="str">
        <f>"01666962"</f>
        <v>01666962</v>
      </c>
      <c r="C5195" t="s">
        <v>25724</v>
      </c>
      <c r="D5195" t="s">
        <v>3175</v>
      </c>
      <c r="E5195" t="s">
        <v>3176</v>
      </c>
      <c r="G5195" t="s">
        <v>14326</v>
      </c>
      <c r="H5195" t="s">
        <v>14327</v>
      </c>
      <c r="J5195" t="s">
        <v>14328</v>
      </c>
      <c r="L5195" t="s">
        <v>74</v>
      </c>
      <c r="M5195" t="s">
        <v>85</v>
      </c>
      <c r="R5195" t="s">
        <v>3177</v>
      </c>
      <c r="W5195" t="s">
        <v>3176</v>
      </c>
      <c r="X5195" t="s">
        <v>3178</v>
      </c>
      <c r="Y5195" t="s">
        <v>227</v>
      </c>
      <c r="Z5195" t="s">
        <v>77</v>
      </c>
      <c r="AA5195" t="str">
        <f>"10601-1712"</f>
        <v>10601-1712</v>
      </c>
      <c r="AB5195" t="s">
        <v>78</v>
      </c>
      <c r="AC5195" t="s">
        <v>79</v>
      </c>
      <c r="AD5195" t="s">
        <v>75</v>
      </c>
      <c r="AE5195" t="s">
        <v>80</v>
      </c>
      <c r="AG5195" t="s">
        <v>81</v>
      </c>
    </row>
    <row r="5196" spans="1:33" x14ac:dyDescent="0.25">
      <c r="A5196" t="str">
        <f>"1801948773"</f>
        <v>1801948773</v>
      </c>
      <c r="B5196" t="str">
        <f>"02222897"</f>
        <v>02222897</v>
      </c>
      <c r="C5196" t="s">
        <v>25725</v>
      </c>
      <c r="D5196" t="s">
        <v>25726</v>
      </c>
      <c r="E5196" t="s">
        <v>25727</v>
      </c>
      <c r="G5196" t="s">
        <v>25728</v>
      </c>
      <c r="H5196" t="s">
        <v>5019</v>
      </c>
      <c r="J5196" t="s">
        <v>5020</v>
      </c>
      <c r="L5196" t="s">
        <v>74</v>
      </c>
      <c r="M5196" t="s">
        <v>75</v>
      </c>
      <c r="R5196" t="s">
        <v>25727</v>
      </c>
      <c r="W5196" t="s">
        <v>25727</v>
      </c>
      <c r="X5196" t="s">
        <v>5100</v>
      </c>
      <c r="Y5196" t="s">
        <v>131</v>
      </c>
      <c r="Z5196" t="s">
        <v>77</v>
      </c>
      <c r="AA5196" t="str">
        <f>"10468-3961"</f>
        <v>10468-3961</v>
      </c>
      <c r="AB5196" t="s">
        <v>78</v>
      </c>
      <c r="AC5196" t="s">
        <v>79</v>
      </c>
      <c r="AD5196" t="s">
        <v>75</v>
      </c>
      <c r="AE5196" t="s">
        <v>80</v>
      </c>
      <c r="AG5196" t="s">
        <v>81</v>
      </c>
    </row>
    <row r="5197" spans="1:33" x14ac:dyDescent="0.25">
      <c r="A5197" t="str">
        <f>"1730241357"</f>
        <v>1730241357</v>
      </c>
      <c r="B5197" t="str">
        <f>"02281950"</f>
        <v>02281950</v>
      </c>
      <c r="C5197" t="s">
        <v>25729</v>
      </c>
      <c r="D5197" t="s">
        <v>5220</v>
      </c>
      <c r="E5197" t="s">
        <v>5221</v>
      </c>
      <c r="G5197" t="s">
        <v>25728</v>
      </c>
      <c r="H5197" t="s">
        <v>5019</v>
      </c>
      <c r="J5197" t="s">
        <v>5020</v>
      </c>
      <c r="L5197" t="s">
        <v>74</v>
      </c>
      <c r="M5197" t="s">
        <v>85</v>
      </c>
      <c r="R5197" t="s">
        <v>5222</v>
      </c>
      <c r="W5197" t="s">
        <v>5221</v>
      </c>
      <c r="X5197" t="s">
        <v>258</v>
      </c>
      <c r="Y5197" t="s">
        <v>131</v>
      </c>
      <c r="Z5197" t="s">
        <v>77</v>
      </c>
      <c r="AA5197" t="str">
        <f>"10467-2401"</f>
        <v>10467-2401</v>
      </c>
      <c r="AB5197" t="s">
        <v>78</v>
      </c>
      <c r="AC5197" t="s">
        <v>79</v>
      </c>
      <c r="AD5197" t="s">
        <v>75</v>
      </c>
      <c r="AE5197" t="s">
        <v>80</v>
      </c>
      <c r="AG5197" t="s">
        <v>81</v>
      </c>
    </row>
    <row r="5198" spans="1:33" x14ac:dyDescent="0.25">
      <c r="A5198" t="str">
        <f>"1629226667"</f>
        <v>1629226667</v>
      </c>
      <c r="B5198" t="str">
        <f>"03268706"</f>
        <v>03268706</v>
      </c>
      <c r="C5198" t="s">
        <v>25730</v>
      </c>
      <c r="D5198" t="s">
        <v>5509</v>
      </c>
      <c r="E5198" t="s">
        <v>5510</v>
      </c>
      <c r="G5198" t="s">
        <v>25728</v>
      </c>
      <c r="H5198" t="s">
        <v>5019</v>
      </c>
      <c r="J5198" t="s">
        <v>5020</v>
      </c>
      <c r="L5198" t="s">
        <v>74</v>
      </c>
      <c r="M5198" t="s">
        <v>85</v>
      </c>
      <c r="R5198" t="s">
        <v>5511</v>
      </c>
      <c r="W5198" t="s">
        <v>5512</v>
      </c>
      <c r="X5198" t="s">
        <v>5100</v>
      </c>
      <c r="Y5198" t="s">
        <v>131</v>
      </c>
      <c r="Z5198" t="s">
        <v>77</v>
      </c>
      <c r="AA5198" t="str">
        <f>"10468-3961"</f>
        <v>10468-3961</v>
      </c>
      <c r="AB5198" t="s">
        <v>78</v>
      </c>
      <c r="AC5198" t="s">
        <v>79</v>
      </c>
      <c r="AD5198" t="s">
        <v>75</v>
      </c>
      <c r="AE5198" t="s">
        <v>80</v>
      </c>
      <c r="AG5198" t="s">
        <v>81</v>
      </c>
    </row>
    <row r="5199" spans="1:33" x14ac:dyDescent="0.25">
      <c r="A5199" t="str">
        <f>"1114066172"</f>
        <v>1114066172</v>
      </c>
      <c r="B5199" t="str">
        <f>"03563595"</f>
        <v>03563595</v>
      </c>
      <c r="C5199" t="s">
        <v>25731</v>
      </c>
      <c r="D5199" t="s">
        <v>5423</v>
      </c>
      <c r="E5199" t="s">
        <v>5424</v>
      </c>
      <c r="G5199" t="s">
        <v>25728</v>
      </c>
      <c r="H5199" t="s">
        <v>5019</v>
      </c>
      <c r="J5199" t="s">
        <v>5020</v>
      </c>
      <c r="L5199" t="s">
        <v>74</v>
      </c>
      <c r="M5199" t="s">
        <v>75</v>
      </c>
      <c r="R5199" t="s">
        <v>5424</v>
      </c>
      <c r="W5199" t="s">
        <v>5424</v>
      </c>
      <c r="X5199" t="s">
        <v>5100</v>
      </c>
      <c r="Y5199" t="s">
        <v>131</v>
      </c>
      <c r="Z5199" t="s">
        <v>77</v>
      </c>
      <c r="AA5199" t="str">
        <f>"10468-3961"</f>
        <v>10468-3961</v>
      </c>
      <c r="AB5199" t="s">
        <v>78</v>
      </c>
      <c r="AC5199" t="s">
        <v>79</v>
      </c>
      <c r="AD5199" t="s">
        <v>75</v>
      </c>
      <c r="AE5199" t="s">
        <v>80</v>
      </c>
      <c r="AG5199" t="s">
        <v>81</v>
      </c>
    </row>
    <row r="5200" spans="1:33" x14ac:dyDescent="0.25">
      <c r="A5200" t="str">
        <f>"1013066588"</f>
        <v>1013066588</v>
      </c>
      <c r="B5200" t="str">
        <f>"03527786"</f>
        <v>03527786</v>
      </c>
      <c r="C5200" t="s">
        <v>25732</v>
      </c>
      <c r="D5200" t="s">
        <v>5419</v>
      </c>
      <c r="E5200" t="s">
        <v>5420</v>
      </c>
      <c r="G5200" t="s">
        <v>25728</v>
      </c>
      <c r="H5200" t="s">
        <v>5019</v>
      </c>
      <c r="J5200" t="s">
        <v>5020</v>
      </c>
      <c r="L5200" t="s">
        <v>74</v>
      </c>
      <c r="M5200" t="s">
        <v>75</v>
      </c>
      <c r="R5200" t="s">
        <v>5421</v>
      </c>
      <c r="W5200" t="s">
        <v>5420</v>
      </c>
      <c r="X5200" t="s">
        <v>5422</v>
      </c>
      <c r="Y5200" t="s">
        <v>131</v>
      </c>
      <c r="Z5200" t="s">
        <v>77</v>
      </c>
      <c r="AA5200" t="str">
        <f>"10468-3961"</f>
        <v>10468-3961</v>
      </c>
      <c r="AB5200" t="s">
        <v>78</v>
      </c>
      <c r="AC5200" t="s">
        <v>79</v>
      </c>
      <c r="AD5200" t="s">
        <v>75</v>
      </c>
      <c r="AE5200" t="s">
        <v>80</v>
      </c>
      <c r="AG5200" t="s">
        <v>81</v>
      </c>
    </row>
    <row r="5201" spans="1:33" x14ac:dyDescent="0.25">
      <c r="A5201" t="str">
        <f>"1801107818"</f>
        <v>1801107818</v>
      </c>
      <c r="B5201" t="str">
        <f>"03566561"</f>
        <v>03566561</v>
      </c>
      <c r="C5201" t="s">
        <v>25733</v>
      </c>
      <c r="D5201" t="s">
        <v>5227</v>
      </c>
      <c r="E5201" t="s">
        <v>5228</v>
      </c>
      <c r="G5201" t="s">
        <v>25728</v>
      </c>
      <c r="H5201" t="s">
        <v>5019</v>
      </c>
      <c r="J5201" t="s">
        <v>5020</v>
      </c>
      <c r="L5201" t="s">
        <v>83</v>
      </c>
      <c r="M5201" t="s">
        <v>75</v>
      </c>
      <c r="R5201" t="s">
        <v>5229</v>
      </c>
      <c r="W5201" t="s">
        <v>5228</v>
      </c>
      <c r="X5201" t="s">
        <v>5100</v>
      </c>
      <c r="Y5201" t="s">
        <v>131</v>
      </c>
      <c r="Z5201" t="s">
        <v>77</v>
      </c>
      <c r="AA5201" t="str">
        <f>"10468-3961"</f>
        <v>10468-3961</v>
      </c>
      <c r="AB5201" t="s">
        <v>78</v>
      </c>
      <c r="AC5201" t="s">
        <v>79</v>
      </c>
      <c r="AD5201" t="s">
        <v>75</v>
      </c>
      <c r="AE5201" t="s">
        <v>80</v>
      </c>
      <c r="AG5201" t="s">
        <v>81</v>
      </c>
    </row>
    <row r="5202" spans="1:33" x14ac:dyDescent="0.25">
      <c r="A5202" t="str">
        <f>"1518008457"</f>
        <v>1518008457</v>
      </c>
      <c r="B5202" t="str">
        <f>"02110832"</f>
        <v>02110832</v>
      </c>
      <c r="C5202" t="s">
        <v>25734</v>
      </c>
      <c r="D5202" t="s">
        <v>5504</v>
      </c>
      <c r="E5202" t="s">
        <v>5505</v>
      </c>
      <c r="G5202" t="s">
        <v>25728</v>
      </c>
      <c r="H5202" t="s">
        <v>5019</v>
      </c>
      <c r="J5202" t="s">
        <v>5020</v>
      </c>
      <c r="L5202" t="s">
        <v>74</v>
      </c>
      <c r="M5202" t="s">
        <v>75</v>
      </c>
      <c r="R5202" t="s">
        <v>5506</v>
      </c>
      <c r="W5202" t="s">
        <v>5505</v>
      </c>
      <c r="X5202" t="s">
        <v>5422</v>
      </c>
      <c r="Y5202" t="s">
        <v>131</v>
      </c>
      <c r="Z5202" t="s">
        <v>77</v>
      </c>
      <c r="AA5202" t="str">
        <f>"10468-3961"</f>
        <v>10468-3961</v>
      </c>
      <c r="AB5202" t="s">
        <v>78</v>
      </c>
      <c r="AC5202" t="s">
        <v>79</v>
      </c>
      <c r="AD5202" t="s">
        <v>75</v>
      </c>
      <c r="AE5202" t="s">
        <v>80</v>
      </c>
      <c r="AG5202" t="s">
        <v>81</v>
      </c>
    </row>
    <row r="5203" spans="1:33" x14ac:dyDescent="0.25">
      <c r="A5203" t="str">
        <f>"1982649034"</f>
        <v>1982649034</v>
      </c>
      <c r="B5203" t="str">
        <f>"02732194"</f>
        <v>02732194</v>
      </c>
      <c r="C5203" t="s">
        <v>25735</v>
      </c>
      <c r="D5203" t="s">
        <v>5017</v>
      </c>
      <c r="E5203" t="s">
        <v>5018</v>
      </c>
      <c r="G5203" t="s">
        <v>25728</v>
      </c>
      <c r="H5203" t="s">
        <v>5019</v>
      </c>
      <c r="J5203" t="s">
        <v>5020</v>
      </c>
      <c r="L5203" t="s">
        <v>83</v>
      </c>
      <c r="M5203" t="s">
        <v>75</v>
      </c>
      <c r="R5203" t="s">
        <v>5021</v>
      </c>
      <c r="W5203" t="s">
        <v>5018</v>
      </c>
      <c r="X5203" t="s">
        <v>2241</v>
      </c>
      <c r="Y5203" t="s">
        <v>131</v>
      </c>
      <c r="Z5203" t="s">
        <v>77</v>
      </c>
      <c r="AA5203" t="str">
        <f>"10453-4995"</f>
        <v>10453-4995</v>
      </c>
      <c r="AB5203" t="s">
        <v>78</v>
      </c>
      <c r="AC5203" t="s">
        <v>79</v>
      </c>
      <c r="AD5203" t="s">
        <v>75</v>
      </c>
      <c r="AE5203" t="s">
        <v>80</v>
      </c>
      <c r="AG5203" t="s">
        <v>81</v>
      </c>
    </row>
    <row r="5204" spans="1:33" x14ac:dyDescent="0.25">
      <c r="A5204" t="str">
        <f>"1801957394"</f>
        <v>1801957394</v>
      </c>
      <c r="C5204" t="s">
        <v>13436</v>
      </c>
      <c r="G5204" t="s">
        <v>25736</v>
      </c>
      <c r="K5204" t="s">
        <v>99</v>
      </c>
      <c r="L5204" t="s">
        <v>74</v>
      </c>
      <c r="M5204" t="s">
        <v>85</v>
      </c>
      <c r="R5204" t="s">
        <v>25737</v>
      </c>
      <c r="S5204" t="s">
        <v>25738</v>
      </c>
      <c r="T5204" t="s">
        <v>97</v>
      </c>
      <c r="U5204" t="s">
        <v>77</v>
      </c>
      <c r="V5204" t="str">
        <f>"100034528"</f>
        <v>100034528</v>
      </c>
      <c r="AC5204" t="s">
        <v>79</v>
      </c>
      <c r="AD5204" t="s">
        <v>75</v>
      </c>
      <c r="AE5204" t="s">
        <v>103</v>
      </c>
      <c r="AG5204" t="s">
        <v>81</v>
      </c>
    </row>
    <row r="5205" spans="1:33" x14ac:dyDescent="0.25">
      <c r="A5205" t="str">
        <f>"1508904624"</f>
        <v>1508904624</v>
      </c>
      <c r="B5205" t="str">
        <f>"02888168"</f>
        <v>02888168</v>
      </c>
      <c r="C5205" t="s">
        <v>13436</v>
      </c>
      <c r="D5205" t="s">
        <v>25739</v>
      </c>
      <c r="E5205" t="s">
        <v>25740</v>
      </c>
      <c r="G5205" t="s">
        <v>25741</v>
      </c>
      <c r="L5205" t="s">
        <v>84</v>
      </c>
      <c r="M5205" t="s">
        <v>75</v>
      </c>
      <c r="R5205" t="s">
        <v>25742</v>
      </c>
      <c r="W5205" t="s">
        <v>25743</v>
      </c>
      <c r="X5205" t="s">
        <v>25744</v>
      </c>
      <c r="Y5205" t="s">
        <v>87</v>
      </c>
      <c r="Z5205" t="s">
        <v>77</v>
      </c>
      <c r="AA5205" t="str">
        <f>"11220-4714"</f>
        <v>11220-4714</v>
      </c>
      <c r="AB5205" t="s">
        <v>78</v>
      </c>
      <c r="AC5205" t="s">
        <v>79</v>
      </c>
      <c r="AD5205" t="s">
        <v>75</v>
      </c>
      <c r="AE5205" t="s">
        <v>80</v>
      </c>
      <c r="AG5205" t="s">
        <v>81</v>
      </c>
    </row>
    <row r="5206" spans="1:33" x14ac:dyDescent="0.25">
      <c r="A5206" t="str">
        <f>"1295895472"</f>
        <v>1295895472</v>
      </c>
      <c r="B5206" t="str">
        <f>"01267156"</f>
        <v>01267156</v>
      </c>
      <c r="C5206" t="s">
        <v>13436</v>
      </c>
      <c r="D5206" t="s">
        <v>25745</v>
      </c>
      <c r="E5206" t="s">
        <v>25746</v>
      </c>
      <c r="G5206" t="s">
        <v>25747</v>
      </c>
      <c r="L5206" t="s">
        <v>83</v>
      </c>
      <c r="M5206" t="s">
        <v>85</v>
      </c>
      <c r="R5206" t="s">
        <v>25748</v>
      </c>
      <c r="W5206" t="s">
        <v>25746</v>
      </c>
      <c r="X5206" t="s">
        <v>14807</v>
      </c>
      <c r="Y5206" t="s">
        <v>97</v>
      </c>
      <c r="Z5206" t="s">
        <v>77</v>
      </c>
      <c r="AA5206" t="str">
        <f>"10128-7603"</f>
        <v>10128-7603</v>
      </c>
      <c r="AB5206" t="s">
        <v>78</v>
      </c>
      <c r="AC5206" t="s">
        <v>79</v>
      </c>
      <c r="AD5206" t="s">
        <v>75</v>
      </c>
      <c r="AE5206" t="s">
        <v>80</v>
      </c>
      <c r="AG5206" t="s">
        <v>81</v>
      </c>
    </row>
    <row r="5207" spans="1:33" x14ac:dyDescent="0.25">
      <c r="A5207" t="str">
        <f>"1295939676"</f>
        <v>1295939676</v>
      </c>
      <c r="B5207" t="str">
        <f>"03170050"</f>
        <v>03170050</v>
      </c>
      <c r="C5207" t="s">
        <v>13436</v>
      </c>
      <c r="D5207" t="s">
        <v>25749</v>
      </c>
      <c r="E5207" t="s">
        <v>25750</v>
      </c>
      <c r="G5207" t="s">
        <v>25751</v>
      </c>
      <c r="L5207" t="s">
        <v>83</v>
      </c>
      <c r="M5207" t="s">
        <v>85</v>
      </c>
      <c r="R5207" t="s">
        <v>25752</v>
      </c>
      <c r="W5207" t="s">
        <v>25753</v>
      </c>
      <c r="X5207" t="s">
        <v>25754</v>
      </c>
      <c r="Y5207" t="s">
        <v>97</v>
      </c>
      <c r="Z5207" t="s">
        <v>77</v>
      </c>
      <c r="AA5207" t="str">
        <f>"10003-0001"</f>
        <v>10003-0001</v>
      </c>
      <c r="AB5207" t="s">
        <v>78</v>
      </c>
      <c r="AC5207" t="s">
        <v>79</v>
      </c>
      <c r="AD5207" t="s">
        <v>75</v>
      </c>
      <c r="AE5207" t="s">
        <v>80</v>
      </c>
      <c r="AG5207" t="s">
        <v>81</v>
      </c>
    </row>
    <row r="5208" spans="1:33" x14ac:dyDescent="0.25">
      <c r="A5208" t="str">
        <f>"1306813043"</f>
        <v>1306813043</v>
      </c>
      <c r="B5208" t="str">
        <f>"02182667"</f>
        <v>02182667</v>
      </c>
      <c r="C5208" t="s">
        <v>13436</v>
      </c>
      <c r="D5208" t="s">
        <v>25755</v>
      </c>
      <c r="E5208" t="s">
        <v>25756</v>
      </c>
      <c r="G5208" t="s">
        <v>25757</v>
      </c>
      <c r="L5208" t="s">
        <v>74</v>
      </c>
      <c r="M5208" t="s">
        <v>85</v>
      </c>
      <c r="R5208" t="s">
        <v>25758</v>
      </c>
      <c r="W5208" t="s">
        <v>25759</v>
      </c>
      <c r="X5208" t="s">
        <v>25760</v>
      </c>
      <c r="Y5208" t="s">
        <v>4529</v>
      </c>
      <c r="Z5208" t="s">
        <v>77</v>
      </c>
      <c r="AA5208" t="str">
        <f>"10530-2319"</f>
        <v>10530-2319</v>
      </c>
      <c r="AB5208" t="s">
        <v>78</v>
      </c>
      <c r="AC5208" t="s">
        <v>79</v>
      </c>
      <c r="AD5208" t="s">
        <v>75</v>
      </c>
      <c r="AE5208" t="s">
        <v>80</v>
      </c>
      <c r="AG5208" t="s">
        <v>81</v>
      </c>
    </row>
    <row r="5209" spans="1:33" x14ac:dyDescent="0.25">
      <c r="A5209" t="str">
        <f>"1306847793"</f>
        <v>1306847793</v>
      </c>
      <c r="B5209" t="str">
        <f>"00824942"</f>
        <v>00824942</v>
      </c>
      <c r="C5209" t="s">
        <v>13436</v>
      </c>
      <c r="D5209" t="s">
        <v>25761</v>
      </c>
      <c r="E5209" t="s">
        <v>25762</v>
      </c>
      <c r="G5209" t="s">
        <v>25763</v>
      </c>
      <c r="L5209" t="s">
        <v>83</v>
      </c>
      <c r="M5209" t="s">
        <v>85</v>
      </c>
      <c r="R5209" t="s">
        <v>25764</v>
      </c>
      <c r="W5209" t="s">
        <v>25765</v>
      </c>
      <c r="X5209" t="s">
        <v>6794</v>
      </c>
      <c r="Y5209" t="s">
        <v>97</v>
      </c>
      <c r="Z5209" t="s">
        <v>77</v>
      </c>
      <c r="AA5209" t="str">
        <f>"10003"</f>
        <v>10003</v>
      </c>
      <c r="AB5209" t="s">
        <v>78</v>
      </c>
      <c r="AC5209" t="s">
        <v>79</v>
      </c>
      <c r="AD5209" t="s">
        <v>75</v>
      </c>
      <c r="AE5209" t="s">
        <v>80</v>
      </c>
      <c r="AG5209" t="s">
        <v>81</v>
      </c>
    </row>
    <row r="5210" spans="1:33" x14ac:dyDescent="0.25">
      <c r="A5210" t="str">
        <f>"1619116654"</f>
        <v>1619116654</v>
      </c>
      <c r="B5210" t="str">
        <f>"03736147"</f>
        <v>03736147</v>
      </c>
      <c r="C5210" t="s">
        <v>13436</v>
      </c>
      <c r="D5210" t="s">
        <v>25766</v>
      </c>
      <c r="E5210" t="s">
        <v>25767</v>
      </c>
      <c r="G5210" t="s">
        <v>25768</v>
      </c>
      <c r="L5210" t="s">
        <v>84</v>
      </c>
      <c r="M5210" t="s">
        <v>85</v>
      </c>
      <c r="R5210" t="s">
        <v>25769</v>
      </c>
      <c r="W5210" t="s">
        <v>25767</v>
      </c>
      <c r="X5210" t="s">
        <v>1010</v>
      </c>
      <c r="Y5210" t="s">
        <v>97</v>
      </c>
      <c r="Z5210" t="s">
        <v>77</v>
      </c>
      <c r="AA5210" t="str">
        <f>"10035-3832"</f>
        <v>10035-3832</v>
      </c>
      <c r="AB5210" t="s">
        <v>78</v>
      </c>
      <c r="AC5210" t="s">
        <v>79</v>
      </c>
      <c r="AD5210" t="s">
        <v>75</v>
      </c>
      <c r="AE5210" t="s">
        <v>80</v>
      </c>
      <c r="AG5210" t="s">
        <v>81</v>
      </c>
    </row>
    <row r="5211" spans="1:33" x14ac:dyDescent="0.25">
      <c r="A5211" t="str">
        <f>"1619117025"</f>
        <v>1619117025</v>
      </c>
      <c r="C5211" t="s">
        <v>13436</v>
      </c>
      <c r="G5211" t="s">
        <v>25770</v>
      </c>
      <c r="K5211" t="s">
        <v>99</v>
      </c>
      <c r="L5211" t="s">
        <v>102</v>
      </c>
      <c r="M5211" t="s">
        <v>75</v>
      </c>
      <c r="R5211" t="s">
        <v>25771</v>
      </c>
      <c r="S5211" t="s">
        <v>25772</v>
      </c>
      <c r="T5211" t="s">
        <v>87</v>
      </c>
      <c r="U5211" t="s">
        <v>77</v>
      </c>
      <c r="V5211" t="str">
        <f>"112261508"</f>
        <v>112261508</v>
      </c>
      <c r="AC5211" t="s">
        <v>79</v>
      </c>
      <c r="AD5211" t="s">
        <v>75</v>
      </c>
      <c r="AE5211" t="s">
        <v>103</v>
      </c>
      <c r="AG5211" t="s">
        <v>81</v>
      </c>
    </row>
    <row r="5212" spans="1:33" x14ac:dyDescent="0.25">
      <c r="A5212" t="str">
        <f>"1417904962"</f>
        <v>1417904962</v>
      </c>
      <c r="B5212" t="str">
        <f>"03109717"</f>
        <v>03109717</v>
      </c>
      <c r="C5212" t="s">
        <v>13436</v>
      </c>
      <c r="D5212" t="s">
        <v>3447</v>
      </c>
      <c r="E5212" t="s">
        <v>3448</v>
      </c>
      <c r="G5212" t="s">
        <v>25773</v>
      </c>
      <c r="L5212" t="s">
        <v>84</v>
      </c>
      <c r="M5212" t="s">
        <v>85</v>
      </c>
      <c r="R5212" t="s">
        <v>3449</v>
      </c>
      <c r="W5212" t="s">
        <v>3448</v>
      </c>
      <c r="X5212" t="s">
        <v>92</v>
      </c>
      <c r="Y5212" t="s">
        <v>90</v>
      </c>
      <c r="Z5212" t="s">
        <v>77</v>
      </c>
      <c r="AA5212" t="str">
        <f>"12901-1438"</f>
        <v>12901-1438</v>
      </c>
      <c r="AB5212" t="s">
        <v>78</v>
      </c>
      <c r="AC5212" t="s">
        <v>79</v>
      </c>
      <c r="AD5212" t="s">
        <v>75</v>
      </c>
      <c r="AE5212" t="s">
        <v>80</v>
      </c>
      <c r="AG5212" t="s">
        <v>81</v>
      </c>
    </row>
    <row r="5213" spans="1:33" x14ac:dyDescent="0.25">
      <c r="A5213" t="str">
        <f>"1417932278"</f>
        <v>1417932278</v>
      </c>
      <c r="B5213" t="str">
        <f>"01347864"</f>
        <v>01347864</v>
      </c>
      <c r="C5213" t="s">
        <v>13436</v>
      </c>
      <c r="D5213" t="s">
        <v>25774</v>
      </c>
      <c r="E5213" t="s">
        <v>25775</v>
      </c>
      <c r="G5213" t="s">
        <v>25776</v>
      </c>
      <c r="L5213" t="s">
        <v>83</v>
      </c>
      <c r="M5213" t="s">
        <v>85</v>
      </c>
      <c r="R5213" t="s">
        <v>25777</v>
      </c>
      <c r="W5213" t="s">
        <v>25778</v>
      </c>
      <c r="X5213" t="s">
        <v>25779</v>
      </c>
      <c r="Y5213" t="s">
        <v>97</v>
      </c>
      <c r="Z5213" t="s">
        <v>77</v>
      </c>
      <c r="AA5213" t="str">
        <f>"10003"</f>
        <v>10003</v>
      </c>
      <c r="AB5213" t="s">
        <v>78</v>
      </c>
      <c r="AC5213" t="s">
        <v>79</v>
      </c>
      <c r="AD5213" t="s">
        <v>75</v>
      </c>
      <c r="AE5213" t="s">
        <v>80</v>
      </c>
      <c r="AG5213" t="s">
        <v>81</v>
      </c>
    </row>
    <row r="5214" spans="1:33" x14ac:dyDescent="0.25">
      <c r="A5214" t="str">
        <f>"1467439430"</f>
        <v>1467439430</v>
      </c>
      <c r="B5214" t="str">
        <f>"00190441"</f>
        <v>00190441</v>
      </c>
      <c r="C5214" t="s">
        <v>13436</v>
      </c>
      <c r="D5214" t="s">
        <v>25780</v>
      </c>
      <c r="E5214" t="s">
        <v>25781</v>
      </c>
      <c r="G5214" t="s">
        <v>25782</v>
      </c>
      <c r="L5214" t="s">
        <v>83</v>
      </c>
      <c r="M5214" t="s">
        <v>85</v>
      </c>
      <c r="R5214" t="s">
        <v>25783</v>
      </c>
      <c r="W5214" t="s">
        <v>25781</v>
      </c>
      <c r="X5214" t="s">
        <v>25784</v>
      </c>
      <c r="Y5214" t="s">
        <v>97</v>
      </c>
      <c r="Z5214" t="s">
        <v>77</v>
      </c>
      <c r="AA5214" t="str">
        <f>"10023-6406"</f>
        <v>10023-6406</v>
      </c>
      <c r="AB5214" t="s">
        <v>78</v>
      </c>
      <c r="AC5214" t="s">
        <v>79</v>
      </c>
      <c r="AD5214" t="s">
        <v>75</v>
      </c>
      <c r="AE5214" t="s">
        <v>80</v>
      </c>
      <c r="AG5214" t="s">
        <v>81</v>
      </c>
    </row>
    <row r="5215" spans="1:33" x14ac:dyDescent="0.25">
      <c r="A5215" t="str">
        <f>"1437214368"</f>
        <v>1437214368</v>
      </c>
      <c r="B5215" t="str">
        <f>"02864184"</f>
        <v>02864184</v>
      </c>
      <c r="C5215" t="s">
        <v>13436</v>
      </c>
      <c r="D5215" t="s">
        <v>25785</v>
      </c>
      <c r="E5215" t="s">
        <v>25786</v>
      </c>
      <c r="G5215" t="s">
        <v>25787</v>
      </c>
      <c r="L5215" t="s">
        <v>74</v>
      </c>
      <c r="M5215" t="s">
        <v>75</v>
      </c>
      <c r="R5215" t="s">
        <v>25788</v>
      </c>
      <c r="W5215" t="s">
        <v>25786</v>
      </c>
      <c r="X5215" t="s">
        <v>3553</v>
      </c>
      <c r="Y5215" t="s">
        <v>97</v>
      </c>
      <c r="Z5215" t="s">
        <v>77</v>
      </c>
      <c r="AA5215" t="str">
        <f>"10003-3851"</f>
        <v>10003-3851</v>
      </c>
      <c r="AB5215" t="s">
        <v>78</v>
      </c>
      <c r="AC5215" t="s">
        <v>79</v>
      </c>
      <c r="AD5215" t="s">
        <v>75</v>
      </c>
      <c r="AE5215" t="s">
        <v>80</v>
      </c>
      <c r="AG5215" t="s">
        <v>81</v>
      </c>
    </row>
    <row r="5216" spans="1:33" x14ac:dyDescent="0.25">
      <c r="A5216" t="str">
        <f>"1447399100"</f>
        <v>1447399100</v>
      </c>
      <c r="B5216" t="str">
        <f>"00805692"</f>
        <v>00805692</v>
      </c>
      <c r="C5216" t="s">
        <v>13436</v>
      </c>
      <c r="D5216" t="s">
        <v>25789</v>
      </c>
      <c r="E5216" t="s">
        <v>25790</v>
      </c>
      <c r="G5216" t="s">
        <v>25791</v>
      </c>
      <c r="L5216" t="s">
        <v>83</v>
      </c>
      <c r="M5216" t="s">
        <v>75</v>
      </c>
      <c r="R5216" t="s">
        <v>2656</v>
      </c>
      <c r="W5216" t="s">
        <v>25792</v>
      </c>
      <c r="X5216" t="s">
        <v>781</v>
      </c>
      <c r="Y5216" t="s">
        <v>97</v>
      </c>
      <c r="Z5216" t="s">
        <v>77</v>
      </c>
      <c r="AA5216" t="str">
        <f>"10022-1117"</f>
        <v>10022-1117</v>
      </c>
      <c r="AB5216" t="s">
        <v>128</v>
      </c>
      <c r="AC5216" t="s">
        <v>79</v>
      </c>
      <c r="AD5216" t="s">
        <v>75</v>
      </c>
      <c r="AE5216" t="s">
        <v>80</v>
      </c>
      <c r="AG5216" t="s">
        <v>81</v>
      </c>
    </row>
    <row r="5217" spans="1:33" x14ac:dyDescent="0.25">
      <c r="A5217" t="str">
        <f>"1457483455"</f>
        <v>1457483455</v>
      </c>
      <c r="B5217" t="str">
        <f>"02944961"</f>
        <v>02944961</v>
      </c>
      <c r="C5217" t="s">
        <v>13436</v>
      </c>
      <c r="D5217" t="s">
        <v>25793</v>
      </c>
      <c r="E5217" t="s">
        <v>25794</v>
      </c>
      <c r="G5217" t="s">
        <v>25795</v>
      </c>
      <c r="L5217" t="s">
        <v>84</v>
      </c>
      <c r="M5217" t="s">
        <v>75</v>
      </c>
      <c r="R5217" t="s">
        <v>25796</v>
      </c>
      <c r="W5217" t="s">
        <v>25794</v>
      </c>
      <c r="X5217" t="s">
        <v>25797</v>
      </c>
      <c r="Y5217" t="s">
        <v>97</v>
      </c>
      <c r="Z5217" t="s">
        <v>77</v>
      </c>
      <c r="AA5217" t="str">
        <f>"10025-7486"</f>
        <v>10025-7486</v>
      </c>
      <c r="AB5217" t="s">
        <v>78</v>
      </c>
      <c r="AC5217" t="s">
        <v>79</v>
      </c>
      <c r="AD5217" t="s">
        <v>75</v>
      </c>
      <c r="AE5217" t="s">
        <v>80</v>
      </c>
      <c r="AG5217" t="s">
        <v>81</v>
      </c>
    </row>
    <row r="5218" spans="1:33" x14ac:dyDescent="0.25">
      <c r="A5218" t="str">
        <f>"1669497533"</f>
        <v>1669497533</v>
      </c>
      <c r="B5218" t="str">
        <f>"01434546"</f>
        <v>01434546</v>
      </c>
      <c r="C5218" t="s">
        <v>13436</v>
      </c>
      <c r="D5218" t="s">
        <v>25798</v>
      </c>
      <c r="E5218" t="s">
        <v>25799</v>
      </c>
      <c r="G5218" t="s">
        <v>25800</v>
      </c>
      <c r="L5218" t="s">
        <v>74</v>
      </c>
      <c r="M5218" t="s">
        <v>75</v>
      </c>
      <c r="R5218" t="s">
        <v>25801</v>
      </c>
      <c r="W5218" t="s">
        <v>25799</v>
      </c>
      <c r="X5218" t="s">
        <v>181</v>
      </c>
      <c r="Y5218" t="s">
        <v>97</v>
      </c>
      <c r="Z5218" t="s">
        <v>77</v>
      </c>
      <c r="AA5218" t="str">
        <f>"10025-1716"</f>
        <v>10025-1716</v>
      </c>
      <c r="AB5218" t="s">
        <v>125</v>
      </c>
      <c r="AC5218" t="s">
        <v>79</v>
      </c>
      <c r="AD5218" t="s">
        <v>75</v>
      </c>
      <c r="AE5218" t="s">
        <v>80</v>
      </c>
      <c r="AG5218" t="s">
        <v>81</v>
      </c>
    </row>
    <row r="5219" spans="1:33" x14ac:dyDescent="0.25">
      <c r="A5219" t="str">
        <f>"1669658290"</f>
        <v>1669658290</v>
      </c>
      <c r="B5219" t="str">
        <f>"02985477"</f>
        <v>02985477</v>
      </c>
      <c r="C5219" t="s">
        <v>13436</v>
      </c>
      <c r="D5219" t="s">
        <v>25802</v>
      </c>
      <c r="E5219" t="s">
        <v>25803</v>
      </c>
      <c r="G5219" t="s">
        <v>25804</v>
      </c>
      <c r="L5219" t="s">
        <v>94</v>
      </c>
      <c r="M5219" t="s">
        <v>85</v>
      </c>
      <c r="R5219" t="s">
        <v>25805</v>
      </c>
      <c r="W5219" t="s">
        <v>25806</v>
      </c>
      <c r="X5219" t="s">
        <v>330</v>
      </c>
      <c r="Y5219" t="s">
        <v>97</v>
      </c>
      <c r="Z5219" t="s">
        <v>77</v>
      </c>
      <c r="AA5219" t="str">
        <f>"10029-5204"</f>
        <v>10029-5204</v>
      </c>
      <c r="AB5219" t="s">
        <v>78</v>
      </c>
      <c r="AC5219" t="s">
        <v>79</v>
      </c>
      <c r="AD5219" t="s">
        <v>75</v>
      </c>
      <c r="AE5219" t="s">
        <v>80</v>
      </c>
      <c r="AG5219" t="s">
        <v>81</v>
      </c>
    </row>
    <row r="5220" spans="1:33" x14ac:dyDescent="0.25">
      <c r="A5220" t="str">
        <f>"1679554794"</f>
        <v>1679554794</v>
      </c>
      <c r="B5220" t="str">
        <f>"00965453"</f>
        <v>00965453</v>
      </c>
      <c r="C5220" t="s">
        <v>13436</v>
      </c>
      <c r="D5220" t="s">
        <v>25807</v>
      </c>
      <c r="E5220" t="s">
        <v>25808</v>
      </c>
      <c r="G5220" t="s">
        <v>25809</v>
      </c>
      <c r="L5220" t="s">
        <v>102</v>
      </c>
      <c r="M5220" t="s">
        <v>75</v>
      </c>
      <c r="R5220" t="s">
        <v>25810</v>
      </c>
      <c r="W5220" t="s">
        <v>25808</v>
      </c>
      <c r="X5220" t="s">
        <v>6794</v>
      </c>
      <c r="Y5220" t="s">
        <v>97</v>
      </c>
      <c r="Z5220" t="s">
        <v>77</v>
      </c>
      <c r="AA5220" t="str">
        <f>"10003"</f>
        <v>10003</v>
      </c>
      <c r="AB5220" t="s">
        <v>78</v>
      </c>
      <c r="AC5220" t="s">
        <v>79</v>
      </c>
      <c r="AD5220" t="s">
        <v>75</v>
      </c>
      <c r="AE5220" t="s">
        <v>80</v>
      </c>
      <c r="AG5220" t="s">
        <v>81</v>
      </c>
    </row>
    <row r="5221" spans="1:33" x14ac:dyDescent="0.25">
      <c r="A5221" t="str">
        <f>"1679582787"</f>
        <v>1679582787</v>
      </c>
      <c r="B5221" t="str">
        <f>"02808271"</f>
        <v>02808271</v>
      </c>
      <c r="C5221" t="s">
        <v>13436</v>
      </c>
      <c r="D5221" t="s">
        <v>25811</v>
      </c>
      <c r="E5221" t="s">
        <v>25812</v>
      </c>
      <c r="G5221" t="s">
        <v>25813</v>
      </c>
      <c r="L5221" t="s">
        <v>74</v>
      </c>
      <c r="M5221" t="s">
        <v>85</v>
      </c>
      <c r="R5221" t="s">
        <v>1848</v>
      </c>
      <c r="W5221" t="s">
        <v>25812</v>
      </c>
      <c r="X5221" t="s">
        <v>181</v>
      </c>
      <c r="Y5221" t="s">
        <v>97</v>
      </c>
      <c r="Z5221" t="s">
        <v>77</v>
      </c>
      <c r="AA5221" t="str">
        <f>"10025-1716"</f>
        <v>10025-1716</v>
      </c>
      <c r="AB5221" t="s">
        <v>78</v>
      </c>
      <c r="AC5221" t="s">
        <v>79</v>
      </c>
      <c r="AD5221" t="s">
        <v>75</v>
      </c>
      <c r="AE5221" t="s">
        <v>80</v>
      </c>
      <c r="AG5221" t="s">
        <v>81</v>
      </c>
    </row>
    <row r="5222" spans="1:33" x14ac:dyDescent="0.25">
      <c r="A5222" t="str">
        <f>"1679733182"</f>
        <v>1679733182</v>
      </c>
      <c r="B5222" t="str">
        <f>"03254597"</f>
        <v>03254597</v>
      </c>
      <c r="C5222" t="s">
        <v>13436</v>
      </c>
      <c r="D5222" t="s">
        <v>25814</v>
      </c>
      <c r="E5222" t="s">
        <v>25815</v>
      </c>
      <c r="G5222" t="s">
        <v>25816</v>
      </c>
      <c r="L5222" t="s">
        <v>74</v>
      </c>
      <c r="M5222" t="s">
        <v>75</v>
      </c>
      <c r="R5222" t="s">
        <v>25817</v>
      </c>
      <c r="W5222" t="s">
        <v>25818</v>
      </c>
      <c r="X5222" t="s">
        <v>2587</v>
      </c>
      <c r="Y5222" t="s">
        <v>97</v>
      </c>
      <c r="Z5222" t="s">
        <v>77</v>
      </c>
      <c r="AA5222" t="str">
        <f>"10003-3314"</f>
        <v>10003-3314</v>
      </c>
      <c r="AB5222" t="s">
        <v>78</v>
      </c>
      <c r="AC5222" t="s">
        <v>79</v>
      </c>
      <c r="AD5222" t="s">
        <v>75</v>
      </c>
      <c r="AE5222" t="s">
        <v>80</v>
      </c>
      <c r="AG5222" t="s">
        <v>81</v>
      </c>
    </row>
    <row r="5223" spans="1:33" x14ac:dyDescent="0.25">
      <c r="A5223" t="str">
        <f>"1679839351"</f>
        <v>1679839351</v>
      </c>
      <c r="B5223" t="str">
        <f>"04549419"</f>
        <v>04549419</v>
      </c>
      <c r="C5223" t="s">
        <v>13436</v>
      </c>
      <c r="D5223" t="s">
        <v>25819</v>
      </c>
      <c r="E5223" t="s">
        <v>25820</v>
      </c>
      <c r="G5223" t="s">
        <v>25821</v>
      </c>
      <c r="L5223" t="s">
        <v>102</v>
      </c>
      <c r="M5223" t="s">
        <v>75</v>
      </c>
      <c r="R5223" t="s">
        <v>25822</v>
      </c>
      <c r="W5223" t="s">
        <v>25820</v>
      </c>
      <c r="AB5223" t="s">
        <v>78</v>
      </c>
      <c r="AC5223" t="s">
        <v>79</v>
      </c>
      <c r="AD5223" t="s">
        <v>75</v>
      </c>
      <c r="AE5223" t="s">
        <v>80</v>
      </c>
      <c r="AG5223" t="s">
        <v>81</v>
      </c>
    </row>
    <row r="5224" spans="1:33" x14ac:dyDescent="0.25">
      <c r="A5224" t="str">
        <f>"1689631673"</f>
        <v>1689631673</v>
      </c>
      <c r="B5224" t="str">
        <f>"01961393"</f>
        <v>01961393</v>
      </c>
      <c r="C5224" t="s">
        <v>13436</v>
      </c>
      <c r="D5224" t="s">
        <v>25823</v>
      </c>
      <c r="E5224" t="s">
        <v>25824</v>
      </c>
      <c r="G5224" t="s">
        <v>25825</v>
      </c>
      <c r="L5224" t="s">
        <v>74</v>
      </c>
      <c r="M5224" t="s">
        <v>85</v>
      </c>
      <c r="R5224" t="s">
        <v>25826</v>
      </c>
      <c r="W5224" t="s">
        <v>25824</v>
      </c>
      <c r="X5224" t="s">
        <v>25827</v>
      </c>
      <c r="Y5224" t="s">
        <v>97</v>
      </c>
      <c r="Z5224" t="s">
        <v>77</v>
      </c>
      <c r="AA5224" t="str">
        <f>"10029-6542"</f>
        <v>10029-6542</v>
      </c>
      <c r="AB5224" t="s">
        <v>78</v>
      </c>
      <c r="AC5224" t="s">
        <v>79</v>
      </c>
      <c r="AD5224" t="s">
        <v>75</v>
      </c>
      <c r="AE5224" t="s">
        <v>80</v>
      </c>
      <c r="AG5224" t="s">
        <v>81</v>
      </c>
    </row>
    <row r="5225" spans="1:33" x14ac:dyDescent="0.25">
      <c r="A5225" t="str">
        <f>"1689643827"</f>
        <v>1689643827</v>
      </c>
      <c r="B5225" t="str">
        <f>"02104694"</f>
        <v>02104694</v>
      </c>
      <c r="C5225" t="s">
        <v>13436</v>
      </c>
      <c r="D5225" t="s">
        <v>25828</v>
      </c>
      <c r="E5225" t="s">
        <v>25829</v>
      </c>
      <c r="G5225" t="s">
        <v>25830</v>
      </c>
      <c r="L5225" t="s">
        <v>84</v>
      </c>
      <c r="M5225" t="s">
        <v>85</v>
      </c>
      <c r="R5225" t="s">
        <v>25831</v>
      </c>
      <c r="W5225" t="s">
        <v>25829</v>
      </c>
      <c r="X5225" t="s">
        <v>1006</v>
      </c>
      <c r="Y5225" t="s">
        <v>131</v>
      </c>
      <c r="Z5225" t="s">
        <v>77</v>
      </c>
      <c r="AA5225" t="str">
        <f>"10451-5589"</f>
        <v>10451-5589</v>
      </c>
      <c r="AB5225" t="s">
        <v>78</v>
      </c>
      <c r="AC5225" t="s">
        <v>79</v>
      </c>
      <c r="AD5225" t="s">
        <v>75</v>
      </c>
      <c r="AE5225" t="s">
        <v>80</v>
      </c>
      <c r="AG5225" t="s">
        <v>81</v>
      </c>
    </row>
    <row r="5226" spans="1:33" x14ac:dyDescent="0.25">
      <c r="A5226" t="str">
        <f>"1689789141"</f>
        <v>1689789141</v>
      </c>
      <c r="B5226" t="str">
        <f>"00877514"</f>
        <v>00877514</v>
      </c>
      <c r="C5226" t="s">
        <v>13436</v>
      </c>
      <c r="D5226" t="s">
        <v>25832</v>
      </c>
      <c r="E5226" t="s">
        <v>25833</v>
      </c>
      <c r="G5226" t="s">
        <v>25834</v>
      </c>
      <c r="L5226" t="s">
        <v>83</v>
      </c>
      <c r="M5226" t="s">
        <v>85</v>
      </c>
      <c r="R5226" t="s">
        <v>25835</v>
      </c>
      <c r="W5226" t="s">
        <v>25833</v>
      </c>
      <c r="X5226" t="s">
        <v>21825</v>
      </c>
      <c r="Y5226" t="s">
        <v>97</v>
      </c>
      <c r="Z5226" t="s">
        <v>77</v>
      </c>
      <c r="AA5226" t="str">
        <f>"10023-6406"</f>
        <v>10023-6406</v>
      </c>
      <c r="AB5226" t="s">
        <v>78</v>
      </c>
      <c r="AC5226" t="s">
        <v>79</v>
      </c>
      <c r="AD5226" t="s">
        <v>75</v>
      </c>
      <c r="AE5226" t="s">
        <v>80</v>
      </c>
      <c r="AG5226" t="s">
        <v>81</v>
      </c>
    </row>
    <row r="5227" spans="1:33" x14ac:dyDescent="0.25">
      <c r="A5227" t="str">
        <f>"1689818767"</f>
        <v>1689818767</v>
      </c>
      <c r="B5227" t="str">
        <f>"03497990"</f>
        <v>03497990</v>
      </c>
      <c r="C5227" t="s">
        <v>13436</v>
      </c>
      <c r="D5227" t="s">
        <v>25836</v>
      </c>
      <c r="E5227" t="s">
        <v>25837</v>
      </c>
      <c r="G5227" t="s">
        <v>25838</v>
      </c>
      <c r="L5227" t="s">
        <v>94</v>
      </c>
      <c r="M5227" t="s">
        <v>85</v>
      </c>
      <c r="R5227" t="s">
        <v>25839</v>
      </c>
      <c r="W5227" t="s">
        <v>25837</v>
      </c>
      <c r="X5227" t="s">
        <v>329</v>
      </c>
      <c r="Y5227" t="s">
        <v>97</v>
      </c>
      <c r="Z5227" t="s">
        <v>77</v>
      </c>
      <c r="AA5227" t="str">
        <f>"10029-6500"</f>
        <v>10029-6500</v>
      </c>
      <c r="AB5227" t="s">
        <v>78</v>
      </c>
      <c r="AC5227" t="s">
        <v>79</v>
      </c>
      <c r="AD5227" t="s">
        <v>75</v>
      </c>
      <c r="AE5227" t="s">
        <v>80</v>
      </c>
      <c r="AG5227" t="s">
        <v>81</v>
      </c>
    </row>
    <row r="5228" spans="1:33" x14ac:dyDescent="0.25">
      <c r="A5228" t="str">
        <f>"1689933046"</f>
        <v>1689933046</v>
      </c>
      <c r="B5228" t="str">
        <f>"03873512"</f>
        <v>03873512</v>
      </c>
      <c r="C5228" t="s">
        <v>13436</v>
      </c>
      <c r="D5228" t="s">
        <v>25840</v>
      </c>
      <c r="E5228" t="s">
        <v>25841</v>
      </c>
      <c r="G5228" t="s">
        <v>25842</v>
      </c>
      <c r="L5228" t="s">
        <v>105</v>
      </c>
      <c r="M5228" t="s">
        <v>75</v>
      </c>
      <c r="R5228" t="s">
        <v>25843</v>
      </c>
      <c r="W5228" t="s">
        <v>25844</v>
      </c>
      <c r="X5228" t="s">
        <v>15499</v>
      </c>
      <c r="Y5228" t="s">
        <v>97</v>
      </c>
      <c r="Z5228" t="s">
        <v>77</v>
      </c>
      <c r="AA5228" t="str">
        <f>"10001-6756"</f>
        <v>10001-6756</v>
      </c>
      <c r="AB5228" t="s">
        <v>125</v>
      </c>
      <c r="AC5228" t="s">
        <v>79</v>
      </c>
      <c r="AD5228" t="s">
        <v>75</v>
      </c>
      <c r="AE5228" t="s">
        <v>80</v>
      </c>
      <c r="AG5228" t="s">
        <v>81</v>
      </c>
    </row>
    <row r="5229" spans="1:33" x14ac:dyDescent="0.25">
      <c r="A5229" t="str">
        <f>"1699712257"</f>
        <v>1699712257</v>
      </c>
      <c r="B5229" t="str">
        <f>"02234586"</f>
        <v>02234586</v>
      </c>
      <c r="C5229" t="s">
        <v>13436</v>
      </c>
      <c r="D5229" t="s">
        <v>25845</v>
      </c>
      <c r="E5229" t="s">
        <v>25846</v>
      </c>
      <c r="G5229" t="s">
        <v>25847</v>
      </c>
      <c r="L5229" t="s">
        <v>84</v>
      </c>
      <c r="M5229" t="s">
        <v>75</v>
      </c>
      <c r="R5229" t="s">
        <v>25848</v>
      </c>
      <c r="W5229" t="s">
        <v>25846</v>
      </c>
      <c r="X5229" t="s">
        <v>22480</v>
      </c>
      <c r="Y5229" t="s">
        <v>97</v>
      </c>
      <c r="Z5229" t="s">
        <v>77</v>
      </c>
      <c r="AA5229" t="str">
        <f>"10010-4701"</f>
        <v>10010-4701</v>
      </c>
      <c r="AB5229" t="s">
        <v>78</v>
      </c>
      <c r="AC5229" t="s">
        <v>79</v>
      </c>
      <c r="AD5229" t="s">
        <v>75</v>
      </c>
      <c r="AE5229" t="s">
        <v>80</v>
      </c>
      <c r="AG5229" t="s">
        <v>81</v>
      </c>
    </row>
    <row r="5230" spans="1:33" x14ac:dyDescent="0.25">
      <c r="A5230" t="str">
        <f>"1699744862"</f>
        <v>1699744862</v>
      </c>
      <c r="B5230" t="str">
        <f>"01902372"</f>
        <v>01902372</v>
      </c>
      <c r="C5230" t="s">
        <v>13436</v>
      </c>
      <c r="D5230" t="s">
        <v>25849</v>
      </c>
      <c r="E5230" t="s">
        <v>25850</v>
      </c>
      <c r="G5230" t="s">
        <v>25851</v>
      </c>
      <c r="L5230" t="s">
        <v>83</v>
      </c>
      <c r="M5230" t="s">
        <v>85</v>
      </c>
      <c r="R5230" t="s">
        <v>25852</v>
      </c>
      <c r="W5230" t="s">
        <v>25850</v>
      </c>
      <c r="X5230" t="s">
        <v>5462</v>
      </c>
      <c r="Y5230" t="s">
        <v>97</v>
      </c>
      <c r="Z5230" t="s">
        <v>77</v>
      </c>
      <c r="AA5230" t="str">
        <f>"10003"</f>
        <v>10003</v>
      </c>
      <c r="AB5230" t="s">
        <v>78</v>
      </c>
      <c r="AC5230" t="s">
        <v>79</v>
      </c>
      <c r="AD5230" t="s">
        <v>75</v>
      </c>
      <c r="AE5230" t="s">
        <v>80</v>
      </c>
      <c r="AG5230" t="s">
        <v>81</v>
      </c>
    </row>
    <row r="5231" spans="1:33" x14ac:dyDescent="0.25">
      <c r="A5231" t="str">
        <f>"1699783308"</f>
        <v>1699783308</v>
      </c>
      <c r="B5231" t="str">
        <f>"02573128"</f>
        <v>02573128</v>
      </c>
      <c r="C5231" t="s">
        <v>13436</v>
      </c>
      <c r="D5231" t="s">
        <v>25853</v>
      </c>
      <c r="E5231" t="s">
        <v>25854</v>
      </c>
      <c r="G5231" t="s">
        <v>25855</v>
      </c>
      <c r="L5231" t="s">
        <v>105</v>
      </c>
      <c r="M5231" t="s">
        <v>85</v>
      </c>
      <c r="R5231" t="s">
        <v>25856</v>
      </c>
      <c r="W5231" t="s">
        <v>25854</v>
      </c>
      <c r="X5231" t="s">
        <v>329</v>
      </c>
      <c r="Y5231" t="s">
        <v>97</v>
      </c>
      <c r="Z5231" t="s">
        <v>77</v>
      </c>
      <c r="AA5231" t="str">
        <f>"10029-6500"</f>
        <v>10029-6500</v>
      </c>
      <c r="AB5231" t="s">
        <v>78</v>
      </c>
      <c r="AC5231" t="s">
        <v>79</v>
      </c>
      <c r="AD5231" t="s">
        <v>75</v>
      </c>
      <c r="AE5231" t="s">
        <v>80</v>
      </c>
      <c r="AG5231" t="s">
        <v>81</v>
      </c>
    </row>
    <row r="5232" spans="1:33" x14ac:dyDescent="0.25">
      <c r="A5232" t="str">
        <f>"1164486353"</f>
        <v>1164486353</v>
      </c>
      <c r="B5232" t="str">
        <f>"02661916"</f>
        <v>02661916</v>
      </c>
      <c r="C5232" t="s">
        <v>13436</v>
      </c>
      <c r="D5232" t="s">
        <v>980</v>
      </c>
      <c r="E5232" t="s">
        <v>981</v>
      </c>
      <c r="G5232" t="s">
        <v>25857</v>
      </c>
      <c r="L5232" t="s">
        <v>84</v>
      </c>
      <c r="M5232" t="s">
        <v>85</v>
      </c>
      <c r="R5232" t="s">
        <v>982</v>
      </c>
      <c r="W5232" t="s">
        <v>981</v>
      </c>
      <c r="Y5232" t="s">
        <v>97</v>
      </c>
      <c r="Z5232" t="s">
        <v>77</v>
      </c>
      <c r="AA5232" t="str">
        <f>"10029-6542"</f>
        <v>10029-6542</v>
      </c>
      <c r="AB5232" t="s">
        <v>78</v>
      </c>
      <c r="AC5232" t="s">
        <v>79</v>
      </c>
      <c r="AD5232" t="s">
        <v>75</v>
      </c>
      <c r="AE5232" t="s">
        <v>80</v>
      </c>
      <c r="AG5232" t="s">
        <v>81</v>
      </c>
    </row>
    <row r="5233" spans="1:33" x14ac:dyDescent="0.25">
      <c r="A5233" t="str">
        <f>"1467488460"</f>
        <v>1467488460</v>
      </c>
      <c r="B5233" t="str">
        <f>"01765402"</f>
        <v>01765402</v>
      </c>
      <c r="C5233" t="s">
        <v>13436</v>
      </c>
      <c r="D5233" t="s">
        <v>25858</v>
      </c>
      <c r="E5233" t="s">
        <v>25859</v>
      </c>
      <c r="G5233" t="s">
        <v>25860</v>
      </c>
      <c r="L5233" t="s">
        <v>83</v>
      </c>
      <c r="M5233" t="s">
        <v>85</v>
      </c>
      <c r="R5233" t="s">
        <v>25861</v>
      </c>
      <c r="W5233" t="s">
        <v>25859</v>
      </c>
      <c r="X5233" t="s">
        <v>25862</v>
      </c>
      <c r="Y5233" t="s">
        <v>97</v>
      </c>
      <c r="Z5233" t="s">
        <v>77</v>
      </c>
      <c r="AA5233" t="str">
        <f>"10013-1205"</f>
        <v>10013-1205</v>
      </c>
      <c r="AB5233" t="s">
        <v>78</v>
      </c>
      <c r="AC5233" t="s">
        <v>79</v>
      </c>
      <c r="AD5233" t="s">
        <v>75</v>
      </c>
      <c r="AE5233" t="s">
        <v>80</v>
      </c>
      <c r="AG5233" t="s">
        <v>81</v>
      </c>
    </row>
    <row r="5234" spans="1:33" x14ac:dyDescent="0.25">
      <c r="A5234" t="str">
        <f>"1831332949"</f>
        <v>1831332949</v>
      </c>
      <c r="C5234" t="s">
        <v>25863</v>
      </c>
      <c r="G5234" t="s">
        <v>7218</v>
      </c>
      <c r="H5234" t="s">
        <v>6801</v>
      </c>
      <c r="I5234">
        <v>6136</v>
      </c>
      <c r="J5234" t="s">
        <v>7219</v>
      </c>
      <c r="K5234" t="s">
        <v>99</v>
      </c>
      <c r="L5234" t="s">
        <v>74</v>
      </c>
      <c r="M5234" t="s">
        <v>75</v>
      </c>
      <c r="R5234" t="s">
        <v>25864</v>
      </c>
      <c r="S5234" t="s">
        <v>8385</v>
      </c>
      <c r="T5234" t="s">
        <v>97</v>
      </c>
      <c r="U5234" t="s">
        <v>77</v>
      </c>
      <c r="V5234" t="str">
        <f>"100012320"</f>
        <v>100012320</v>
      </c>
      <c r="AC5234" t="s">
        <v>79</v>
      </c>
      <c r="AD5234" t="s">
        <v>75</v>
      </c>
      <c r="AE5234" t="s">
        <v>103</v>
      </c>
      <c r="AG5234" t="s">
        <v>81</v>
      </c>
    </row>
    <row r="5235" spans="1:33" x14ac:dyDescent="0.25">
      <c r="A5235" t="str">
        <f>"1194037200"</f>
        <v>1194037200</v>
      </c>
      <c r="B5235" t="str">
        <f>"03756425"</f>
        <v>03756425</v>
      </c>
      <c r="C5235" t="s">
        <v>13436</v>
      </c>
      <c r="D5235" t="s">
        <v>4726</v>
      </c>
      <c r="E5235" t="s">
        <v>4727</v>
      </c>
      <c r="G5235" t="s">
        <v>25865</v>
      </c>
      <c r="L5235" t="s">
        <v>74</v>
      </c>
      <c r="M5235" t="s">
        <v>85</v>
      </c>
      <c r="R5235" t="s">
        <v>4728</v>
      </c>
      <c r="W5235" t="s">
        <v>4727</v>
      </c>
      <c r="X5235" t="s">
        <v>181</v>
      </c>
      <c r="Y5235" t="s">
        <v>97</v>
      </c>
      <c r="Z5235" t="s">
        <v>77</v>
      </c>
      <c r="AA5235" t="str">
        <f>"10025-1716"</f>
        <v>10025-1716</v>
      </c>
      <c r="AB5235" t="s">
        <v>78</v>
      </c>
      <c r="AC5235" t="s">
        <v>79</v>
      </c>
      <c r="AD5235" t="s">
        <v>75</v>
      </c>
      <c r="AE5235" t="s">
        <v>80</v>
      </c>
      <c r="AG5235" t="s">
        <v>81</v>
      </c>
    </row>
    <row r="5236" spans="1:33" x14ac:dyDescent="0.25">
      <c r="A5236" t="str">
        <f>"1194039347"</f>
        <v>1194039347</v>
      </c>
      <c r="B5236" t="str">
        <f>"03481312"</f>
        <v>03481312</v>
      </c>
      <c r="C5236" t="s">
        <v>13436</v>
      </c>
      <c r="D5236" t="s">
        <v>25866</v>
      </c>
      <c r="E5236" t="s">
        <v>25867</v>
      </c>
      <c r="G5236" t="s">
        <v>25868</v>
      </c>
      <c r="L5236" t="s">
        <v>83</v>
      </c>
      <c r="M5236" t="s">
        <v>85</v>
      </c>
      <c r="R5236" t="s">
        <v>25869</v>
      </c>
      <c r="W5236" t="s">
        <v>25867</v>
      </c>
      <c r="X5236" t="s">
        <v>15292</v>
      </c>
      <c r="Y5236" t="s">
        <v>97</v>
      </c>
      <c r="Z5236" t="s">
        <v>77</v>
      </c>
      <c r="AA5236" t="str">
        <f>"10025-1737"</f>
        <v>10025-1737</v>
      </c>
      <c r="AB5236" t="s">
        <v>78</v>
      </c>
      <c r="AC5236" t="s">
        <v>79</v>
      </c>
      <c r="AD5236" t="s">
        <v>75</v>
      </c>
      <c r="AE5236" t="s">
        <v>80</v>
      </c>
      <c r="AG5236" t="s">
        <v>81</v>
      </c>
    </row>
    <row r="5237" spans="1:33" x14ac:dyDescent="0.25">
      <c r="A5237" t="str">
        <f>"1194975177"</f>
        <v>1194975177</v>
      </c>
      <c r="B5237" t="str">
        <f>"03608968"</f>
        <v>03608968</v>
      </c>
      <c r="C5237" t="s">
        <v>13436</v>
      </c>
      <c r="D5237" t="s">
        <v>25870</v>
      </c>
      <c r="E5237" t="s">
        <v>25871</v>
      </c>
      <c r="G5237" t="s">
        <v>25872</v>
      </c>
      <c r="L5237" t="s">
        <v>83</v>
      </c>
      <c r="M5237" t="s">
        <v>85</v>
      </c>
      <c r="R5237" t="s">
        <v>25873</v>
      </c>
      <c r="W5237" t="s">
        <v>25871</v>
      </c>
      <c r="X5237" t="s">
        <v>25874</v>
      </c>
      <c r="Y5237" t="s">
        <v>97</v>
      </c>
      <c r="Z5237" t="s">
        <v>77</v>
      </c>
      <c r="AA5237" t="str">
        <f>"10003-4201"</f>
        <v>10003-4201</v>
      </c>
      <c r="AB5237" t="s">
        <v>78</v>
      </c>
      <c r="AC5237" t="s">
        <v>79</v>
      </c>
      <c r="AD5237" t="s">
        <v>75</v>
      </c>
      <c r="AE5237" t="s">
        <v>80</v>
      </c>
      <c r="AG5237" t="s">
        <v>81</v>
      </c>
    </row>
    <row r="5238" spans="1:33" x14ac:dyDescent="0.25">
      <c r="A5238" t="str">
        <f>"1205051216"</f>
        <v>1205051216</v>
      </c>
      <c r="C5238" t="s">
        <v>13436</v>
      </c>
      <c r="G5238" t="s">
        <v>25875</v>
      </c>
      <c r="K5238" t="s">
        <v>99</v>
      </c>
      <c r="L5238" t="s">
        <v>102</v>
      </c>
      <c r="M5238" t="s">
        <v>85</v>
      </c>
      <c r="R5238" t="s">
        <v>25876</v>
      </c>
      <c r="S5238" t="s">
        <v>25877</v>
      </c>
      <c r="T5238" t="s">
        <v>97</v>
      </c>
      <c r="U5238" t="s">
        <v>77</v>
      </c>
      <c r="V5238" t="str">
        <f>"100191147"</f>
        <v>100191147</v>
      </c>
      <c r="AC5238" t="s">
        <v>79</v>
      </c>
      <c r="AD5238" t="s">
        <v>75</v>
      </c>
      <c r="AE5238" t="s">
        <v>103</v>
      </c>
      <c r="AG5238" t="s">
        <v>81</v>
      </c>
    </row>
    <row r="5239" spans="1:33" x14ac:dyDescent="0.25">
      <c r="A5239" t="str">
        <f>"1205072022"</f>
        <v>1205072022</v>
      </c>
      <c r="B5239" t="str">
        <f>"03368825"</f>
        <v>03368825</v>
      </c>
      <c r="C5239" t="s">
        <v>13436</v>
      </c>
      <c r="D5239" t="s">
        <v>597</v>
      </c>
      <c r="E5239" t="s">
        <v>598</v>
      </c>
      <c r="G5239" t="s">
        <v>25878</v>
      </c>
      <c r="L5239" t="s">
        <v>83</v>
      </c>
      <c r="M5239" t="s">
        <v>85</v>
      </c>
      <c r="R5239" t="s">
        <v>596</v>
      </c>
      <c r="W5239" t="s">
        <v>598</v>
      </c>
      <c r="X5239" t="s">
        <v>181</v>
      </c>
      <c r="Y5239" t="s">
        <v>97</v>
      </c>
      <c r="Z5239" t="s">
        <v>77</v>
      </c>
      <c r="AA5239" t="str">
        <f>"10025-1716"</f>
        <v>10025-1716</v>
      </c>
      <c r="AB5239" t="s">
        <v>78</v>
      </c>
      <c r="AC5239" t="s">
        <v>79</v>
      </c>
      <c r="AD5239" t="s">
        <v>75</v>
      </c>
      <c r="AE5239" t="s">
        <v>80</v>
      </c>
      <c r="AG5239" t="s">
        <v>81</v>
      </c>
    </row>
    <row r="5240" spans="1:33" x14ac:dyDescent="0.25">
      <c r="A5240" t="str">
        <f>"1205811841"</f>
        <v>1205811841</v>
      </c>
      <c r="B5240" t="str">
        <f>"01231369"</f>
        <v>01231369</v>
      </c>
      <c r="C5240" t="s">
        <v>13436</v>
      </c>
      <c r="D5240" t="s">
        <v>25879</v>
      </c>
      <c r="E5240" t="s">
        <v>25880</v>
      </c>
      <c r="G5240" t="s">
        <v>25881</v>
      </c>
      <c r="L5240" t="s">
        <v>74</v>
      </c>
      <c r="M5240" t="s">
        <v>85</v>
      </c>
      <c r="R5240" t="s">
        <v>25882</v>
      </c>
      <c r="W5240" t="s">
        <v>25880</v>
      </c>
      <c r="X5240" t="s">
        <v>187</v>
      </c>
      <c r="Y5240" t="s">
        <v>161</v>
      </c>
      <c r="Z5240" t="s">
        <v>77</v>
      </c>
      <c r="AA5240" t="str">
        <f>"11040-1402"</f>
        <v>11040-1402</v>
      </c>
      <c r="AB5240" t="s">
        <v>78</v>
      </c>
      <c r="AC5240" t="s">
        <v>79</v>
      </c>
      <c r="AD5240" t="s">
        <v>75</v>
      </c>
      <c r="AE5240" t="s">
        <v>80</v>
      </c>
      <c r="AG5240" t="s">
        <v>81</v>
      </c>
    </row>
    <row r="5241" spans="1:33" x14ac:dyDescent="0.25">
      <c r="A5241" t="str">
        <f>"1225357726"</f>
        <v>1225357726</v>
      </c>
      <c r="B5241" t="str">
        <f>"03688740"</f>
        <v>03688740</v>
      </c>
      <c r="C5241" t="s">
        <v>13436</v>
      </c>
      <c r="D5241" t="s">
        <v>25883</v>
      </c>
      <c r="E5241" t="s">
        <v>25884</v>
      </c>
      <c r="G5241" t="s">
        <v>25885</v>
      </c>
      <c r="L5241" t="s">
        <v>83</v>
      </c>
      <c r="M5241" t="s">
        <v>85</v>
      </c>
      <c r="R5241" t="s">
        <v>25886</v>
      </c>
      <c r="W5241" t="s">
        <v>25884</v>
      </c>
      <c r="X5241" t="s">
        <v>16346</v>
      </c>
      <c r="Y5241" t="s">
        <v>97</v>
      </c>
      <c r="Z5241" t="s">
        <v>77</v>
      </c>
      <c r="AA5241" t="str">
        <f>"10011-9092"</f>
        <v>10011-9092</v>
      </c>
      <c r="AB5241" t="s">
        <v>78</v>
      </c>
      <c r="AC5241" t="s">
        <v>79</v>
      </c>
      <c r="AD5241" t="s">
        <v>75</v>
      </c>
      <c r="AE5241" t="s">
        <v>80</v>
      </c>
      <c r="AG5241" t="s">
        <v>81</v>
      </c>
    </row>
    <row r="5242" spans="1:33" x14ac:dyDescent="0.25">
      <c r="A5242" t="str">
        <f>"1235396607"</f>
        <v>1235396607</v>
      </c>
      <c r="B5242" t="str">
        <f>"03258651"</f>
        <v>03258651</v>
      </c>
      <c r="C5242" t="s">
        <v>13436</v>
      </c>
      <c r="D5242" t="s">
        <v>25887</v>
      </c>
      <c r="E5242" t="s">
        <v>25888</v>
      </c>
      <c r="G5242" t="s">
        <v>25889</v>
      </c>
      <c r="L5242" t="s">
        <v>74</v>
      </c>
      <c r="M5242" t="s">
        <v>85</v>
      </c>
      <c r="R5242" t="s">
        <v>25890</v>
      </c>
      <c r="W5242" t="s">
        <v>25888</v>
      </c>
      <c r="X5242" t="s">
        <v>25891</v>
      </c>
      <c r="Y5242" t="s">
        <v>97</v>
      </c>
      <c r="Z5242" t="s">
        <v>77</v>
      </c>
      <c r="AA5242" t="str">
        <f>"10019-8022"</f>
        <v>10019-8022</v>
      </c>
      <c r="AB5242" t="s">
        <v>78</v>
      </c>
      <c r="AC5242" t="s">
        <v>79</v>
      </c>
      <c r="AD5242" t="s">
        <v>75</v>
      </c>
      <c r="AE5242" t="s">
        <v>80</v>
      </c>
      <c r="AG5242" t="s">
        <v>81</v>
      </c>
    </row>
    <row r="5243" spans="1:33" x14ac:dyDescent="0.25">
      <c r="A5243" t="str">
        <f>"1235397613"</f>
        <v>1235397613</v>
      </c>
      <c r="B5243" t="str">
        <f>"03109799"</f>
        <v>03109799</v>
      </c>
      <c r="C5243" t="s">
        <v>13436</v>
      </c>
      <c r="D5243" t="s">
        <v>25892</v>
      </c>
      <c r="E5243" t="s">
        <v>25893</v>
      </c>
      <c r="G5243" t="s">
        <v>25894</v>
      </c>
      <c r="L5243" t="s">
        <v>74</v>
      </c>
      <c r="M5243" t="s">
        <v>85</v>
      </c>
      <c r="R5243" t="s">
        <v>25895</v>
      </c>
      <c r="W5243" t="s">
        <v>25893</v>
      </c>
      <c r="X5243" t="s">
        <v>195</v>
      </c>
      <c r="Y5243" t="s">
        <v>153</v>
      </c>
      <c r="Z5243" t="s">
        <v>77</v>
      </c>
      <c r="AA5243" t="str">
        <f>"12601-3947"</f>
        <v>12601-3947</v>
      </c>
      <c r="AB5243" t="s">
        <v>78</v>
      </c>
      <c r="AC5243" t="s">
        <v>79</v>
      </c>
      <c r="AD5243" t="s">
        <v>75</v>
      </c>
      <c r="AE5243" t="s">
        <v>80</v>
      </c>
      <c r="AG5243" t="s">
        <v>81</v>
      </c>
    </row>
    <row r="5244" spans="1:33" x14ac:dyDescent="0.25">
      <c r="A5244" t="str">
        <f>"1790760981"</f>
        <v>1790760981</v>
      </c>
      <c r="B5244" t="str">
        <f>"01006344"</f>
        <v>01006344</v>
      </c>
      <c r="C5244" t="s">
        <v>13436</v>
      </c>
      <c r="D5244" t="s">
        <v>25896</v>
      </c>
      <c r="E5244" t="s">
        <v>25897</v>
      </c>
      <c r="G5244" t="s">
        <v>25898</v>
      </c>
      <c r="L5244" t="s">
        <v>74</v>
      </c>
      <c r="M5244" t="s">
        <v>85</v>
      </c>
      <c r="R5244" t="s">
        <v>25897</v>
      </c>
      <c r="W5244" t="s">
        <v>25897</v>
      </c>
      <c r="X5244" t="s">
        <v>25899</v>
      </c>
      <c r="Y5244" t="s">
        <v>283</v>
      </c>
      <c r="Z5244" t="s">
        <v>77</v>
      </c>
      <c r="AA5244" t="str">
        <f>"11418-2508"</f>
        <v>11418-2508</v>
      </c>
      <c r="AB5244" t="s">
        <v>78</v>
      </c>
      <c r="AC5244" t="s">
        <v>79</v>
      </c>
      <c r="AD5244" t="s">
        <v>75</v>
      </c>
      <c r="AE5244" t="s">
        <v>80</v>
      </c>
      <c r="AG5244" t="s">
        <v>81</v>
      </c>
    </row>
    <row r="5245" spans="1:33" x14ac:dyDescent="0.25">
      <c r="A5245" t="str">
        <f>"1790771525"</f>
        <v>1790771525</v>
      </c>
      <c r="B5245" t="str">
        <f>"02663014"</f>
        <v>02663014</v>
      </c>
      <c r="C5245" t="s">
        <v>13436</v>
      </c>
      <c r="D5245" t="s">
        <v>25900</v>
      </c>
      <c r="E5245" t="s">
        <v>25901</v>
      </c>
      <c r="G5245" t="s">
        <v>25902</v>
      </c>
      <c r="L5245" t="s">
        <v>83</v>
      </c>
      <c r="M5245" t="s">
        <v>85</v>
      </c>
      <c r="R5245" t="s">
        <v>25903</v>
      </c>
      <c r="W5245" t="s">
        <v>25901</v>
      </c>
      <c r="X5245" t="s">
        <v>2770</v>
      </c>
      <c r="Y5245" t="s">
        <v>97</v>
      </c>
      <c r="Z5245" t="s">
        <v>77</v>
      </c>
      <c r="AA5245" t="str">
        <f>"10003-2674"</f>
        <v>10003-2674</v>
      </c>
      <c r="AB5245" t="s">
        <v>78</v>
      </c>
      <c r="AC5245" t="s">
        <v>79</v>
      </c>
      <c r="AD5245" t="s">
        <v>75</v>
      </c>
      <c r="AE5245" t="s">
        <v>80</v>
      </c>
      <c r="AG5245" t="s">
        <v>81</v>
      </c>
    </row>
    <row r="5246" spans="1:33" x14ac:dyDescent="0.25">
      <c r="A5246" t="str">
        <f>"1649298472"</f>
        <v>1649298472</v>
      </c>
      <c r="B5246" t="str">
        <f>"02060231"</f>
        <v>02060231</v>
      </c>
      <c r="C5246" t="s">
        <v>13436</v>
      </c>
      <c r="D5246" t="s">
        <v>25904</v>
      </c>
      <c r="E5246" t="s">
        <v>25905</v>
      </c>
      <c r="G5246" t="s">
        <v>25906</v>
      </c>
      <c r="L5246" t="s">
        <v>84</v>
      </c>
      <c r="M5246" t="s">
        <v>85</v>
      </c>
      <c r="R5246" t="s">
        <v>25907</v>
      </c>
      <c r="W5246" t="s">
        <v>25905</v>
      </c>
      <c r="X5246" t="s">
        <v>272</v>
      </c>
      <c r="Y5246" t="s">
        <v>97</v>
      </c>
      <c r="Z5246" t="s">
        <v>77</v>
      </c>
      <c r="AA5246" t="str">
        <f>"10029-6501"</f>
        <v>10029-6501</v>
      </c>
      <c r="AB5246" t="s">
        <v>78</v>
      </c>
      <c r="AC5246" t="s">
        <v>79</v>
      </c>
      <c r="AD5246" t="s">
        <v>75</v>
      </c>
      <c r="AE5246" t="s">
        <v>80</v>
      </c>
      <c r="AG5246" t="s">
        <v>81</v>
      </c>
    </row>
    <row r="5247" spans="1:33" x14ac:dyDescent="0.25">
      <c r="A5247" t="str">
        <f>"1649416066"</f>
        <v>1649416066</v>
      </c>
      <c r="B5247" t="str">
        <f>"03132432"</f>
        <v>03132432</v>
      </c>
      <c r="C5247" t="s">
        <v>13436</v>
      </c>
      <c r="D5247" t="s">
        <v>25908</v>
      </c>
      <c r="E5247" t="s">
        <v>25909</v>
      </c>
      <c r="G5247" t="s">
        <v>25910</v>
      </c>
      <c r="L5247" t="s">
        <v>83</v>
      </c>
      <c r="M5247" t="s">
        <v>75</v>
      </c>
      <c r="R5247" t="s">
        <v>25911</v>
      </c>
      <c r="W5247" t="s">
        <v>25912</v>
      </c>
      <c r="X5247" t="s">
        <v>191</v>
      </c>
      <c r="Y5247" t="s">
        <v>97</v>
      </c>
      <c r="Z5247" t="s">
        <v>77</v>
      </c>
      <c r="AA5247" t="str">
        <f>"10019-1147"</f>
        <v>10019-1147</v>
      </c>
      <c r="AB5247" t="s">
        <v>78</v>
      </c>
      <c r="AC5247" t="s">
        <v>79</v>
      </c>
      <c r="AD5247" t="s">
        <v>75</v>
      </c>
      <c r="AE5247" t="s">
        <v>80</v>
      </c>
      <c r="AG5247" t="s">
        <v>81</v>
      </c>
    </row>
    <row r="5248" spans="1:33" x14ac:dyDescent="0.25">
      <c r="A5248" t="str">
        <f>"1649486291"</f>
        <v>1649486291</v>
      </c>
      <c r="B5248" t="str">
        <f>"03313068"</f>
        <v>03313068</v>
      </c>
      <c r="C5248" t="s">
        <v>13436</v>
      </c>
      <c r="D5248" t="s">
        <v>25913</v>
      </c>
      <c r="E5248" t="s">
        <v>25914</v>
      </c>
      <c r="G5248" t="s">
        <v>25915</v>
      </c>
      <c r="L5248" t="s">
        <v>74</v>
      </c>
      <c r="M5248" t="s">
        <v>75</v>
      </c>
      <c r="R5248" t="s">
        <v>25916</v>
      </c>
      <c r="W5248" t="s">
        <v>25914</v>
      </c>
      <c r="X5248" t="s">
        <v>25917</v>
      </c>
      <c r="Y5248" t="s">
        <v>97</v>
      </c>
      <c r="Z5248" t="s">
        <v>77</v>
      </c>
      <c r="AA5248" t="str">
        <f>"10032"</f>
        <v>10032</v>
      </c>
      <c r="AB5248" t="s">
        <v>125</v>
      </c>
      <c r="AC5248" t="s">
        <v>79</v>
      </c>
      <c r="AD5248" t="s">
        <v>75</v>
      </c>
      <c r="AE5248" t="s">
        <v>80</v>
      </c>
      <c r="AG5248" t="s">
        <v>81</v>
      </c>
    </row>
    <row r="5249" spans="1:33" x14ac:dyDescent="0.25">
      <c r="A5249" t="str">
        <f>"1659399459"</f>
        <v>1659399459</v>
      </c>
      <c r="B5249" t="str">
        <f>"01708401"</f>
        <v>01708401</v>
      </c>
      <c r="C5249" t="s">
        <v>13436</v>
      </c>
      <c r="D5249" t="s">
        <v>25918</v>
      </c>
      <c r="E5249" t="s">
        <v>25919</v>
      </c>
      <c r="G5249" t="s">
        <v>25920</v>
      </c>
      <c r="L5249" t="s">
        <v>84</v>
      </c>
      <c r="M5249" t="s">
        <v>85</v>
      </c>
      <c r="R5249" t="s">
        <v>25921</v>
      </c>
      <c r="W5249" t="s">
        <v>25919</v>
      </c>
      <c r="X5249" t="s">
        <v>3743</v>
      </c>
      <c r="Y5249" t="s">
        <v>97</v>
      </c>
      <c r="Z5249" t="s">
        <v>77</v>
      </c>
      <c r="AA5249" t="str">
        <f>"10011-4401"</f>
        <v>10011-4401</v>
      </c>
      <c r="AB5249" t="s">
        <v>78</v>
      </c>
      <c r="AC5249" t="s">
        <v>79</v>
      </c>
      <c r="AD5249" t="s">
        <v>75</v>
      </c>
      <c r="AE5249" t="s">
        <v>80</v>
      </c>
      <c r="AG5249" t="s">
        <v>81</v>
      </c>
    </row>
    <row r="5250" spans="1:33" x14ac:dyDescent="0.25">
      <c r="A5250" t="str">
        <f>"1659539658"</f>
        <v>1659539658</v>
      </c>
      <c r="B5250" t="str">
        <f>"03394603"</f>
        <v>03394603</v>
      </c>
      <c r="C5250" t="s">
        <v>13436</v>
      </c>
      <c r="D5250" t="s">
        <v>25922</v>
      </c>
      <c r="E5250" t="s">
        <v>25923</v>
      </c>
      <c r="G5250" t="s">
        <v>25924</v>
      </c>
      <c r="L5250" t="s">
        <v>105</v>
      </c>
      <c r="M5250" t="s">
        <v>85</v>
      </c>
      <c r="R5250" t="s">
        <v>25925</v>
      </c>
      <c r="W5250" t="s">
        <v>25926</v>
      </c>
      <c r="X5250" t="s">
        <v>329</v>
      </c>
      <c r="Y5250" t="s">
        <v>97</v>
      </c>
      <c r="Z5250" t="s">
        <v>77</v>
      </c>
      <c r="AA5250" t="str">
        <f>"10029-6500"</f>
        <v>10029-6500</v>
      </c>
      <c r="AB5250" t="s">
        <v>78</v>
      </c>
      <c r="AC5250" t="s">
        <v>79</v>
      </c>
      <c r="AD5250" t="s">
        <v>75</v>
      </c>
      <c r="AE5250" t="s">
        <v>80</v>
      </c>
      <c r="AG5250" t="s">
        <v>81</v>
      </c>
    </row>
    <row r="5251" spans="1:33" x14ac:dyDescent="0.25">
      <c r="A5251" t="str">
        <f>"1497045371"</f>
        <v>1497045371</v>
      </c>
      <c r="B5251" t="str">
        <f>"03727722"</f>
        <v>03727722</v>
      </c>
      <c r="C5251" t="s">
        <v>25927</v>
      </c>
      <c r="D5251" t="s">
        <v>5501</v>
      </c>
      <c r="E5251" t="s">
        <v>5502</v>
      </c>
      <c r="G5251" t="s">
        <v>25728</v>
      </c>
      <c r="H5251" t="s">
        <v>5019</v>
      </c>
      <c r="J5251" t="s">
        <v>5020</v>
      </c>
      <c r="L5251" t="s">
        <v>83</v>
      </c>
      <c r="M5251" t="s">
        <v>75</v>
      </c>
      <c r="R5251" t="s">
        <v>5503</v>
      </c>
      <c r="W5251" t="s">
        <v>5502</v>
      </c>
      <c r="X5251" t="s">
        <v>5100</v>
      </c>
      <c r="Y5251" t="s">
        <v>131</v>
      </c>
      <c r="Z5251" t="s">
        <v>77</v>
      </c>
      <c r="AA5251" t="str">
        <f>"10468-3961"</f>
        <v>10468-3961</v>
      </c>
      <c r="AB5251" t="s">
        <v>78</v>
      </c>
      <c r="AC5251" t="s">
        <v>79</v>
      </c>
      <c r="AD5251" t="s">
        <v>75</v>
      </c>
      <c r="AE5251" t="s">
        <v>80</v>
      </c>
      <c r="AG5251" t="s">
        <v>81</v>
      </c>
    </row>
    <row r="5252" spans="1:33" x14ac:dyDescent="0.25">
      <c r="A5252" t="str">
        <f>"1831460641"</f>
        <v>1831460641</v>
      </c>
      <c r="B5252" t="str">
        <f>"03856508"</f>
        <v>03856508</v>
      </c>
      <c r="C5252" t="s">
        <v>25928</v>
      </c>
      <c r="D5252" t="s">
        <v>5233</v>
      </c>
      <c r="E5252" t="s">
        <v>5234</v>
      </c>
      <c r="G5252" t="s">
        <v>25728</v>
      </c>
      <c r="H5252" t="s">
        <v>5019</v>
      </c>
      <c r="J5252" t="s">
        <v>5020</v>
      </c>
      <c r="L5252" t="s">
        <v>74</v>
      </c>
      <c r="M5252" t="s">
        <v>75</v>
      </c>
      <c r="R5252" t="s">
        <v>5234</v>
      </c>
      <c r="W5252" t="s">
        <v>5234</v>
      </c>
      <c r="X5252" t="s">
        <v>5100</v>
      </c>
      <c r="Y5252" t="s">
        <v>131</v>
      </c>
      <c r="Z5252" t="s">
        <v>77</v>
      </c>
      <c r="AA5252" t="str">
        <f>"10468-3961"</f>
        <v>10468-3961</v>
      </c>
      <c r="AB5252" t="s">
        <v>78</v>
      </c>
      <c r="AC5252" t="s">
        <v>79</v>
      </c>
      <c r="AD5252" t="s">
        <v>75</v>
      </c>
      <c r="AE5252" t="s">
        <v>80</v>
      </c>
      <c r="AG5252" t="s">
        <v>81</v>
      </c>
    </row>
    <row r="5253" spans="1:33" x14ac:dyDescent="0.25">
      <c r="A5253" t="str">
        <f>"1477891521"</f>
        <v>1477891521</v>
      </c>
      <c r="B5253" t="str">
        <f>"03795842"</f>
        <v>03795842</v>
      </c>
      <c r="C5253" t="s">
        <v>25929</v>
      </c>
      <c r="D5253" t="s">
        <v>5914</v>
      </c>
      <c r="E5253" t="s">
        <v>5915</v>
      </c>
      <c r="G5253" t="s">
        <v>25728</v>
      </c>
      <c r="H5253" t="s">
        <v>5019</v>
      </c>
      <c r="J5253" t="s">
        <v>5020</v>
      </c>
      <c r="L5253" t="s">
        <v>74</v>
      </c>
      <c r="M5253" t="s">
        <v>75</v>
      </c>
      <c r="R5253" t="s">
        <v>5916</v>
      </c>
      <c r="W5253" t="s">
        <v>5915</v>
      </c>
      <c r="X5253" t="s">
        <v>5848</v>
      </c>
      <c r="Y5253" t="s">
        <v>227</v>
      </c>
      <c r="Z5253" t="s">
        <v>77</v>
      </c>
      <c r="AA5253" t="str">
        <f>"10601-4708"</f>
        <v>10601-4708</v>
      </c>
      <c r="AB5253" t="s">
        <v>78</v>
      </c>
      <c r="AC5253" t="s">
        <v>79</v>
      </c>
      <c r="AD5253" t="s">
        <v>75</v>
      </c>
      <c r="AE5253" t="s">
        <v>80</v>
      </c>
      <c r="AG5253" t="s">
        <v>81</v>
      </c>
    </row>
    <row r="5254" spans="1:33" x14ac:dyDescent="0.25">
      <c r="A5254" t="str">
        <f>"1881947828"</f>
        <v>1881947828</v>
      </c>
      <c r="B5254" t="str">
        <f>"03582987"</f>
        <v>03582987</v>
      </c>
      <c r="C5254" t="s">
        <v>25930</v>
      </c>
      <c r="D5254" t="s">
        <v>5235</v>
      </c>
      <c r="E5254" t="s">
        <v>5236</v>
      </c>
      <c r="G5254" t="s">
        <v>25728</v>
      </c>
      <c r="H5254" t="s">
        <v>5019</v>
      </c>
      <c r="J5254" t="s">
        <v>5020</v>
      </c>
      <c r="L5254" t="s">
        <v>74</v>
      </c>
      <c r="M5254" t="s">
        <v>75</v>
      </c>
      <c r="R5254" t="s">
        <v>5237</v>
      </c>
      <c r="W5254" t="s">
        <v>5236</v>
      </c>
      <c r="X5254" t="s">
        <v>5238</v>
      </c>
      <c r="Y5254" t="s">
        <v>97</v>
      </c>
      <c r="Z5254" t="s">
        <v>77</v>
      </c>
      <c r="AA5254" t="str">
        <f>"10006-3039"</f>
        <v>10006-3039</v>
      </c>
      <c r="AB5254" t="s">
        <v>78</v>
      </c>
      <c r="AC5254" t="s">
        <v>79</v>
      </c>
      <c r="AD5254" t="s">
        <v>75</v>
      </c>
      <c r="AE5254" t="s">
        <v>80</v>
      </c>
      <c r="AG5254" t="s">
        <v>81</v>
      </c>
    </row>
    <row r="5255" spans="1:33" x14ac:dyDescent="0.25">
      <c r="A5255" t="str">
        <f>"1467718767"</f>
        <v>1467718767</v>
      </c>
      <c r="B5255" t="str">
        <f>"03811245"</f>
        <v>03811245</v>
      </c>
      <c r="C5255" t="s">
        <v>25931</v>
      </c>
      <c r="D5255" t="s">
        <v>25932</v>
      </c>
      <c r="E5255" t="s">
        <v>25933</v>
      </c>
      <c r="G5255" t="s">
        <v>25728</v>
      </c>
      <c r="H5255" t="s">
        <v>5019</v>
      </c>
      <c r="J5255" t="s">
        <v>5020</v>
      </c>
      <c r="L5255" t="s">
        <v>83</v>
      </c>
      <c r="M5255" t="s">
        <v>75</v>
      </c>
      <c r="R5255" t="s">
        <v>25934</v>
      </c>
      <c r="W5255" t="s">
        <v>25933</v>
      </c>
      <c r="X5255" t="s">
        <v>5100</v>
      </c>
      <c r="Y5255" t="s">
        <v>131</v>
      </c>
      <c r="Z5255" t="s">
        <v>77</v>
      </c>
      <c r="AA5255" t="str">
        <f>"10468-3961"</f>
        <v>10468-3961</v>
      </c>
      <c r="AB5255" t="s">
        <v>78</v>
      </c>
      <c r="AC5255" t="s">
        <v>79</v>
      </c>
      <c r="AD5255" t="s">
        <v>75</v>
      </c>
      <c r="AE5255" t="s">
        <v>80</v>
      </c>
      <c r="AG5255" t="s">
        <v>81</v>
      </c>
    </row>
    <row r="5256" spans="1:33" x14ac:dyDescent="0.25">
      <c r="A5256" t="str">
        <f>"1093750341"</f>
        <v>1093750341</v>
      </c>
      <c r="B5256" t="str">
        <f>"01286295"</f>
        <v>01286295</v>
      </c>
      <c r="C5256" t="s">
        <v>25935</v>
      </c>
      <c r="D5256" t="s">
        <v>3476</v>
      </c>
      <c r="E5256" t="s">
        <v>3477</v>
      </c>
      <c r="G5256" t="s">
        <v>19413</v>
      </c>
      <c r="H5256" t="s">
        <v>1084</v>
      </c>
      <c r="I5256">
        <v>160</v>
      </c>
      <c r="J5256" t="s">
        <v>2757</v>
      </c>
      <c r="L5256" t="s">
        <v>94</v>
      </c>
      <c r="M5256" t="s">
        <v>85</v>
      </c>
      <c r="R5256" t="s">
        <v>3478</v>
      </c>
      <c r="W5256" t="s">
        <v>3477</v>
      </c>
      <c r="X5256" t="s">
        <v>3479</v>
      </c>
      <c r="Y5256" t="s">
        <v>3480</v>
      </c>
      <c r="Z5256" t="s">
        <v>77</v>
      </c>
      <c r="AA5256" t="str">
        <f>"11801"</f>
        <v>11801</v>
      </c>
      <c r="AB5256" t="s">
        <v>78</v>
      </c>
      <c r="AC5256" t="s">
        <v>79</v>
      </c>
      <c r="AD5256" t="s">
        <v>75</v>
      </c>
      <c r="AE5256" t="s">
        <v>80</v>
      </c>
      <c r="AG5256" t="s">
        <v>81</v>
      </c>
    </row>
    <row r="5257" spans="1:33" x14ac:dyDescent="0.25">
      <c r="A5257" t="str">
        <f>"1124032438"</f>
        <v>1124032438</v>
      </c>
      <c r="B5257" t="str">
        <f>"02412288"</f>
        <v>02412288</v>
      </c>
      <c r="C5257" t="s">
        <v>25936</v>
      </c>
      <c r="D5257" t="s">
        <v>2809</v>
      </c>
      <c r="E5257" t="s">
        <v>2810</v>
      </c>
      <c r="G5257" t="s">
        <v>19413</v>
      </c>
      <c r="H5257" t="s">
        <v>1084</v>
      </c>
      <c r="I5257">
        <v>160</v>
      </c>
      <c r="J5257" t="s">
        <v>2757</v>
      </c>
      <c r="L5257" t="s">
        <v>94</v>
      </c>
      <c r="M5257" t="s">
        <v>85</v>
      </c>
      <c r="R5257" t="s">
        <v>2811</v>
      </c>
      <c r="W5257" t="s">
        <v>2812</v>
      </c>
      <c r="X5257" t="s">
        <v>2813</v>
      </c>
      <c r="Y5257" t="s">
        <v>131</v>
      </c>
      <c r="Z5257" t="s">
        <v>77</v>
      </c>
      <c r="AA5257" t="str">
        <f>"10451-5430"</f>
        <v>10451-5430</v>
      </c>
      <c r="AB5257" t="s">
        <v>78</v>
      </c>
      <c r="AC5257" t="s">
        <v>79</v>
      </c>
      <c r="AD5257" t="s">
        <v>75</v>
      </c>
      <c r="AE5257" t="s">
        <v>80</v>
      </c>
      <c r="AG5257" t="s">
        <v>81</v>
      </c>
    </row>
    <row r="5258" spans="1:33" x14ac:dyDescent="0.25">
      <c r="A5258" t="str">
        <f>"1356412027"</f>
        <v>1356412027</v>
      </c>
      <c r="B5258" t="str">
        <f>"03727020"</f>
        <v>03727020</v>
      </c>
      <c r="C5258" t="s">
        <v>25937</v>
      </c>
      <c r="D5258" t="s">
        <v>3160</v>
      </c>
      <c r="E5258" t="s">
        <v>3161</v>
      </c>
      <c r="G5258" t="s">
        <v>19413</v>
      </c>
      <c r="H5258" t="s">
        <v>1084</v>
      </c>
      <c r="I5258">
        <v>160</v>
      </c>
      <c r="J5258" t="s">
        <v>2757</v>
      </c>
      <c r="L5258" t="s">
        <v>105</v>
      </c>
      <c r="M5258" t="s">
        <v>75</v>
      </c>
      <c r="R5258" t="s">
        <v>3162</v>
      </c>
      <c r="W5258" t="s">
        <v>3161</v>
      </c>
      <c r="X5258" t="s">
        <v>1094</v>
      </c>
      <c r="Y5258" t="s">
        <v>87</v>
      </c>
      <c r="Z5258" t="s">
        <v>77</v>
      </c>
      <c r="AA5258" t="str">
        <f>"11231-3804"</f>
        <v>11231-3804</v>
      </c>
      <c r="AB5258" t="s">
        <v>113</v>
      </c>
      <c r="AC5258" t="s">
        <v>79</v>
      </c>
      <c r="AD5258" t="s">
        <v>75</v>
      </c>
      <c r="AE5258" t="s">
        <v>80</v>
      </c>
      <c r="AG5258" t="s">
        <v>81</v>
      </c>
    </row>
    <row r="5259" spans="1:33" x14ac:dyDescent="0.25">
      <c r="A5259" t="str">
        <f>"1063596542"</f>
        <v>1063596542</v>
      </c>
      <c r="B5259" t="str">
        <f>"01093645"</f>
        <v>01093645</v>
      </c>
      <c r="C5259" t="s">
        <v>13436</v>
      </c>
      <c r="D5259" t="s">
        <v>25938</v>
      </c>
      <c r="E5259" t="s">
        <v>25939</v>
      </c>
      <c r="G5259" t="s">
        <v>25940</v>
      </c>
      <c r="L5259" t="s">
        <v>83</v>
      </c>
      <c r="M5259" t="s">
        <v>85</v>
      </c>
      <c r="R5259" t="s">
        <v>25941</v>
      </c>
      <c r="W5259" t="s">
        <v>25939</v>
      </c>
      <c r="X5259" t="s">
        <v>25942</v>
      </c>
      <c r="Y5259" t="s">
        <v>97</v>
      </c>
      <c r="Z5259" t="s">
        <v>77</v>
      </c>
      <c r="AA5259" t="str">
        <f>"10032-3720"</f>
        <v>10032-3720</v>
      </c>
      <c r="AB5259" t="s">
        <v>78</v>
      </c>
      <c r="AC5259" t="s">
        <v>79</v>
      </c>
      <c r="AD5259" t="s">
        <v>75</v>
      </c>
      <c r="AE5259" t="s">
        <v>80</v>
      </c>
      <c r="AG5259" t="s">
        <v>81</v>
      </c>
    </row>
    <row r="5260" spans="1:33" x14ac:dyDescent="0.25">
      <c r="A5260" t="str">
        <f>"1063605947"</f>
        <v>1063605947</v>
      </c>
      <c r="B5260" t="str">
        <f>"04151093"</f>
        <v>04151093</v>
      </c>
      <c r="C5260" t="s">
        <v>13436</v>
      </c>
      <c r="D5260" t="s">
        <v>25943</v>
      </c>
      <c r="E5260" t="s">
        <v>25944</v>
      </c>
      <c r="G5260" t="s">
        <v>25945</v>
      </c>
      <c r="L5260" t="s">
        <v>74</v>
      </c>
      <c r="M5260" t="s">
        <v>85</v>
      </c>
      <c r="R5260" t="s">
        <v>25944</v>
      </c>
      <c r="W5260" t="s">
        <v>25944</v>
      </c>
      <c r="X5260" t="s">
        <v>138</v>
      </c>
      <c r="Y5260" t="s">
        <v>139</v>
      </c>
      <c r="Z5260" t="s">
        <v>77</v>
      </c>
      <c r="AA5260" t="str">
        <f>"11355-5045"</f>
        <v>11355-5045</v>
      </c>
      <c r="AB5260" t="s">
        <v>78</v>
      </c>
      <c r="AC5260" t="s">
        <v>79</v>
      </c>
      <c r="AD5260" t="s">
        <v>75</v>
      </c>
      <c r="AE5260" t="s">
        <v>80</v>
      </c>
      <c r="AG5260" t="s">
        <v>81</v>
      </c>
    </row>
    <row r="5261" spans="1:33" x14ac:dyDescent="0.25">
      <c r="A5261" t="str">
        <f>"1063643641"</f>
        <v>1063643641</v>
      </c>
      <c r="B5261" t="str">
        <f>"03546792"</f>
        <v>03546792</v>
      </c>
      <c r="C5261" t="s">
        <v>13436</v>
      </c>
      <c r="D5261" t="s">
        <v>25946</v>
      </c>
      <c r="E5261" t="s">
        <v>25947</v>
      </c>
      <c r="G5261" t="s">
        <v>25948</v>
      </c>
      <c r="L5261" t="s">
        <v>74</v>
      </c>
      <c r="M5261" t="s">
        <v>85</v>
      </c>
      <c r="R5261" t="s">
        <v>25947</v>
      </c>
      <c r="W5261" t="s">
        <v>25947</v>
      </c>
      <c r="X5261" t="s">
        <v>12304</v>
      </c>
      <c r="Y5261" t="s">
        <v>97</v>
      </c>
      <c r="Z5261" t="s">
        <v>77</v>
      </c>
      <c r="AA5261" t="str">
        <f>"10003-4201"</f>
        <v>10003-4201</v>
      </c>
      <c r="AB5261" t="s">
        <v>78</v>
      </c>
      <c r="AC5261" t="s">
        <v>79</v>
      </c>
      <c r="AD5261" t="s">
        <v>75</v>
      </c>
      <c r="AE5261" t="s">
        <v>80</v>
      </c>
      <c r="AG5261" t="s">
        <v>81</v>
      </c>
    </row>
    <row r="5262" spans="1:33" x14ac:dyDescent="0.25">
      <c r="A5262" t="str">
        <f>"1063714087"</f>
        <v>1063714087</v>
      </c>
      <c r="C5262" t="s">
        <v>13436</v>
      </c>
      <c r="G5262" t="s">
        <v>25949</v>
      </c>
      <c r="K5262" t="s">
        <v>99</v>
      </c>
      <c r="L5262" t="s">
        <v>74</v>
      </c>
      <c r="M5262" t="s">
        <v>85</v>
      </c>
      <c r="R5262" t="s">
        <v>25950</v>
      </c>
      <c r="S5262" t="s">
        <v>11934</v>
      </c>
      <c r="T5262" t="s">
        <v>97</v>
      </c>
      <c r="U5262" t="s">
        <v>77</v>
      </c>
      <c r="V5262" t="str">
        <f>"100033314"</f>
        <v>100033314</v>
      </c>
      <c r="AC5262" t="s">
        <v>79</v>
      </c>
      <c r="AD5262" t="s">
        <v>75</v>
      </c>
      <c r="AE5262" t="s">
        <v>103</v>
      </c>
      <c r="AG5262" t="s">
        <v>81</v>
      </c>
    </row>
    <row r="5263" spans="1:33" x14ac:dyDescent="0.25">
      <c r="A5263" t="str">
        <f>"1063783058"</f>
        <v>1063783058</v>
      </c>
      <c r="B5263" t="str">
        <f>"03914041"</f>
        <v>03914041</v>
      </c>
      <c r="C5263" t="s">
        <v>13436</v>
      </c>
      <c r="D5263" t="s">
        <v>25951</v>
      </c>
      <c r="E5263" t="s">
        <v>25952</v>
      </c>
      <c r="G5263" t="s">
        <v>25953</v>
      </c>
      <c r="L5263" t="s">
        <v>74</v>
      </c>
      <c r="M5263" t="s">
        <v>85</v>
      </c>
      <c r="R5263" t="s">
        <v>25954</v>
      </c>
      <c r="W5263" t="s">
        <v>25955</v>
      </c>
      <c r="X5263" t="s">
        <v>3433</v>
      </c>
      <c r="Y5263" t="s">
        <v>97</v>
      </c>
      <c r="Z5263" t="s">
        <v>77</v>
      </c>
      <c r="AA5263" t="str">
        <f>"10003-3805"</f>
        <v>10003-3805</v>
      </c>
      <c r="AB5263" t="s">
        <v>78</v>
      </c>
      <c r="AC5263" t="s">
        <v>79</v>
      </c>
      <c r="AD5263" t="s">
        <v>75</v>
      </c>
      <c r="AE5263" t="s">
        <v>80</v>
      </c>
      <c r="AG5263" t="s">
        <v>81</v>
      </c>
    </row>
    <row r="5264" spans="1:33" x14ac:dyDescent="0.25">
      <c r="A5264" t="str">
        <f>"1073616959"</f>
        <v>1073616959</v>
      </c>
      <c r="B5264" t="str">
        <f>"01150930"</f>
        <v>01150930</v>
      </c>
      <c r="C5264" t="s">
        <v>13436</v>
      </c>
      <c r="D5264" t="s">
        <v>25956</v>
      </c>
      <c r="E5264" t="s">
        <v>25957</v>
      </c>
      <c r="G5264" t="s">
        <v>25958</v>
      </c>
      <c r="L5264" t="s">
        <v>83</v>
      </c>
      <c r="M5264" t="s">
        <v>85</v>
      </c>
      <c r="R5264" t="s">
        <v>25959</v>
      </c>
      <c r="W5264" t="s">
        <v>25960</v>
      </c>
      <c r="X5264" t="s">
        <v>25961</v>
      </c>
      <c r="Y5264" t="s">
        <v>97</v>
      </c>
      <c r="Z5264" t="s">
        <v>77</v>
      </c>
      <c r="AA5264" t="str">
        <f>"10003"</f>
        <v>10003</v>
      </c>
      <c r="AB5264" t="s">
        <v>78</v>
      </c>
      <c r="AC5264" t="s">
        <v>79</v>
      </c>
      <c r="AD5264" t="s">
        <v>75</v>
      </c>
      <c r="AE5264" t="s">
        <v>80</v>
      </c>
      <c r="AG5264" t="s">
        <v>81</v>
      </c>
    </row>
    <row r="5265" spans="1:33" x14ac:dyDescent="0.25">
      <c r="A5265" t="str">
        <f>"1073712345"</f>
        <v>1073712345</v>
      </c>
      <c r="B5265" t="str">
        <f>"03375739"</f>
        <v>03375739</v>
      </c>
      <c r="C5265" t="s">
        <v>13436</v>
      </c>
      <c r="D5265" t="s">
        <v>25962</v>
      </c>
      <c r="E5265" t="s">
        <v>25963</v>
      </c>
      <c r="G5265" t="s">
        <v>25964</v>
      </c>
      <c r="L5265" t="s">
        <v>83</v>
      </c>
      <c r="M5265" t="s">
        <v>85</v>
      </c>
      <c r="R5265" t="s">
        <v>25965</v>
      </c>
      <c r="W5265" t="s">
        <v>25963</v>
      </c>
      <c r="X5265" t="s">
        <v>181</v>
      </c>
      <c r="Y5265" t="s">
        <v>97</v>
      </c>
      <c r="Z5265" t="s">
        <v>77</v>
      </c>
      <c r="AA5265" t="str">
        <f>"10025-1716"</f>
        <v>10025-1716</v>
      </c>
      <c r="AB5265" t="s">
        <v>78</v>
      </c>
      <c r="AC5265" t="s">
        <v>79</v>
      </c>
      <c r="AD5265" t="s">
        <v>75</v>
      </c>
      <c r="AE5265" t="s">
        <v>80</v>
      </c>
      <c r="AG5265" t="s">
        <v>81</v>
      </c>
    </row>
    <row r="5266" spans="1:33" x14ac:dyDescent="0.25">
      <c r="A5266" t="str">
        <f>"1073745030"</f>
        <v>1073745030</v>
      </c>
      <c r="B5266" t="str">
        <f>"03675505"</f>
        <v>03675505</v>
      </c>
      <c r="C5266" t="s">
        <v>13436</v>
      </c>
      <c r="D5266" t="s">
        <v>25966</v>
      </c>
      <c r="E5266" t="s">
        <v>25967</v>
      </c>
      <c r="G5266" t="s">
        <v>25968</v>
      </c>
      <c r="L5266" t="s">
        <v>74</v>
      </c>
      <c r="M5266" t="s">
        <v>85</v>
      </c>
      <c r="R5266" t="s">
        <v>25969</v>
      </c>
      <c r="W5266" t="s">
        <v>25967</v>
      </c>
      <c r="X5266" t="s">
        <v>1328</v>
      </c>
      <c r="Y5266" t="s">
        <v>227</v>
      </c>
      <c r="Z5266" t="s">
        <v>77</v>
      </c>
      <c r="AA5266" t="str">
        <f>"10605-1504"</f>
        <v>10605-1504</v>
      </c>
      <c r="AB5266" t="s">
        <v>78</v>
      </c>
      <c r="AC5266" t="s">
        <v>79</v>
      </c>
      <c r="AD5266" t="s">
        <v>75</v>
      </c>
      <c r="AE5266" t="s">
        <v>80</v>
      </c>
      <c r="AG5266" t="s">
        <v>81</v>
      </c>
    </row>
    <row r="5267" spans="1:33" x14ac:dyDescent="0.25">
      <c r="A5267" t="str">
        <f>"1083878623"</f>
        <v>1083878623</v>
      </c>
      <c r="B5267" t="str">
        <f>"03535715"</f>
        <v>03535715</v>
      </c>
      <c r="C5267" t="s">
        <v>13436</v>
      </c>
      <c r="D5267" t="s">
        <v>25970</v>
      </c>
      <c r="E5267" t="s">
        <v>25971</v>
      </c>
      <c r="G5267" t="s">
        <v>25972</v>
      </c>
      <c r="L5267" t="s">
        <v>74</v>
      </c>
      <c r="M5267" t="s">
        <v>85</v>
      </c>
      <c r="R5267" t="s">
        <v>25973</v>
      </c>
      <c r="W5267" t="s">
        <v>25974</v>
      </c>
      <c r="X5267" t="s">
        <v>25975</v>
      </c>
      <c r="Y5267" t="s">
        <v>97</v>
      </c>
      <c r="Z5267" t="s">
        <v>77</v>
      </c>
      <c r="AA5267" t="str">
        <f>"10011-4072"</f>
        <v>10011-4072</v>
      </c>
      <c r="AB5267" t="s">
        <v>78</v>
      </c>
      <c r="AC5267" t="s">
        <v>79</v>
      </c>
      <c r="AD5267" t="s">
        <v>75</v>
      </c>
      <c r="AE5267" t="s">
        <v>80</v>
      </c>
      <c r="AG5267" t="s">
        <v>81</v>
      </c>
    </row>
    <row r="5268" spans="1:33" x14ac:dyDescent="0.25">
      <c r="A5268" t="str">
        <f>"1083931497"</f>
        <v>1083931497</v>
      </c>
      <c r="B5268" t="str">
        <f>"03504501"</f>
        <v>03504501</v>
      </c>
      <c r="C5268" t="s">
        <v>13436</v>
      </c>
      <c r="D5268" t="s">
        <v>25976</v>
      </c>
      <c r="E5268" t="s">
        <v>25977</v>
      </c>
      <c r="G5268" t="s">
        <v>25978</v>
      </c>
      <c r="L5268" t="s">
        <v>74</v>
      </c>
      <c r="M5268" t="s">
        <v>85</v>
      </c>
      <c r="R5268" t="s">
        <v>25979</v>
      </c>
      <c r="W5268" t="s">
        <v>25980</v>
      </c>
      <c r="X5268" t="s">
        <v>25981</v>
      </c>
      <c r="Y5268" t="s">
        <v>155</v>
      </c>
      <c r="Z5268" t="s">
        <v>77</v>
      </c>
      <c r="AA5268" t="str">
        <f>"10304-2312"</f>
        <v>10304-2312</v>
      </c>
      <c r="AB5268" t="s">
        <v>78</v>
      </c>
      <c r="AC5268" t="s">
        <v>79</v>
      </c>
      <c r="AD5268" t="s">
        <v>75</v>
      </c>
      <c r="AE5268" t="s">
        <v>80</v>
      </c>
      <c r="AG5268" t="s">
        <v>81</v>
      </c>
    </row>
    <row r="5269" spans="1:33" x14ac:dyDescent="0.25">
      <c r="A5269" t="str">
        <f>"1336187491"</f>
        <v>1336187491</v>
      </c>
      <c r="B5269" t="str">
        <f>"02462191"</f>
        <v>02462191</v>
      </c>
      <c r="C5269" t="s">
        <v>13436</v>
      </c>
      <c r="D5269" t="s">
        <v>25982</v>
      </c>
      <c r="E5269" t="s">
        <v>25983</v>
      </c>
      <c r="G5269" t="s">
        <v>25984</v>
      </c>
      <c r="L5269" t="s">
        <v>83</v>
      </c>
      <c r="M5269" t="s">
        <v>85</v>
      </c>
      <c r="R5269" t="s">
        <v>25985</v>
      </c>
      <c r="W5269" t="s">
        <v>25983</v>
      </c>
      <c r="X5269" t="s">
        <v>235</v>
      </c>
      <c r="Y5269" t="s">
        <v>236</v>
      </c>
      <c r="Z5269" t="s">
        <v>77</v>
      </c>
      <c r="AA5269" t="str">
        <f>"11102-2448"</f>
        <v>11102-2448</v>
      </c>
      <c r="AB5269" t="s">
        <v>78</v>
      </c>
      <c r="AC5269" t="s">
        <v>79</v>
      </c>
      <c r="AD5269" t="s">
        <v>75</v>
      </c>
      <c r="AE5269" t="s">
        <v>80</v>
      </c>
      <c r="AG5269" t="s">
        <v>81</v>
      </c>
    </row>
    <row r="5270" spans="1:33" x14ac:dyDescent="0.25">
      <c r="A5270" t="str">
        <f>"1336188341"</f>
        <v>1336188341</v>
      </c>
      <c r="B5270" t="str">
        <f>"01733288"</f>
        <v>01733288</v>
      </c>
      <c r="C5270" t="s">
        <v>13436</v>
      </c>
      <c r="D5270" t="s">
        <v>25986</v>
      </c>
      <c r="E5270" t="s">
        <v>25987</v>
      </c>
      <c r="G5270" t="s">
        <v>25988</v>
      </c>
      <c r="L5270" t="s">
        <v>83</v>
      </c>
      <c r="M5270" t="s">
        <v>85</v>
      </c>
      <c r="R5270" t="s">
        <v>25989</v>
      </c>
      <c r="W5270" t="s">
        <v>25987</v>
      </c>
      <c r="X5270" t="s">
        <v>25990</v>
      </c>
      <c r="Y5270" t="s">
        <v>190</v>
      </c>
      <c r="Z5270" t="s">
        <v>77</v>
      </c>
      <c r="AA5270" t="str">
        <f>"11102-2418"</f>
        <v>11102-2418</v>
      </c>
      <c r="AB5270" t="s">
        <v>78</v>
      </c>
      <c r="AC5270" t="s">
        <v>79</v>
      </c>
      <c r="AD5270" t="s">
        <v>75</v>
      </c>
      <c r="AE5270" t="s">
        <v>80</v>
      </c>
      <c r="AG5270" t="s">
        <v>81</v>
      </c>
    </row>
    <row r="5271" spans="1:33" x14ac:dyDescent="0.25">
      <c r="A5271" t="str">
        <f>"1336238807"</f>
        <v>1336238807</v>
      </c>
      <c r="B5271" t="str">
        <f>"04389391"</f>
        <v>04389391</v>
      </c>
      <c r="C5271" t="s">
        <v>13436</v>
      </c>
      <c r="D5271" t="s">
        <v>25991</v>
      </c>
      <c r="E5271" t="s">
        <v>25992</v>
      </c>
      <c r="G5271" t="s">
        <v>25993</v>
      </c>
      <c r="L5271" t="s">
        <v>74</v>
      </c>
      <c r="M5271" t="s">
        <v>75</v>
      </c>
      <c r="R5271" t="s">
        <v>25992</v>
      </c>
      <c r="W5271" t="s">
        <v>25992</v>
      </c>
      <c r="X5271" t="s">
        <v>1129</v>
      </c>
      <c r="Y5271" t="s">
        <v>129</v>
      </c>
      <c r="Z5271" t="s">
        <v>77</v>
      </c>
      <c r="AA5271" t="str">
        <f>"11372-7032"</f>
        <v>11372-7032</v>
      </c>
      <c r="AB5271" t="s">
        <v>78</v>
      </c>
      <c r="AC5271" t="s">
        <v>79</v>
      </c>
      <c r="AD5271" t="s">
        <v>75</v>
      </c>
      <c r="AE5271" t="s">
        <v>80</v>
      </c>
      <c r="AG5271" t="s">
        <v>81</v>
      </c>
    </row>
    <row r="5272" spans="1:33" x14ac:dyDescent="0.25">
      <c r="A5272" t="str">
        <f>"1336258417"</f>
        <v>1336258417</v>
      </c>
      <c r="B5272" t="str">
        <f>"02846248"</f>
        <v>02846248</v>
      </c>
      <c r="C5272" t="s">
        <v>13436</v>
      </c>
      <c r="D5272" t="s">
        <v>25994</v>
      </c>
      <c r="E5272" t="s">
        <v>25995</v>
      </c>
      <c r="G5272" t="s">
        <v>25996</v>
      </c>
      <c r="L5272" t="s">
        <v>83</v>
      </c>
      <c r="M5272" t="s">
        <v>75</v>
      </c>
      <c r="R5272" t="s">
        <v>25995</v>
      </c>
      <c r="W5272" t="s">
        <v>25997</v>
      </c>
      <c r="X5272" t="s">
        <v>25998</v>
      </c>
      <c r="Y5272" t="s">
        <v>97</v>
      </c>
      <c r="Z5272" t="s">
        <v>77</v>
      </c>
      <c r="AA5272" t="str">
        <f>"10029-7404"</f>
        <v>10029-7404</v>
      </c>
      <c r="AB5272" t="s">
        <v>128</v>
      </c>
      <c r="AC5272" t="s">
        <v>79</v>
      </c>
      <c r="AD5272" t="s">
        <v>75</v>
      </c>
      <c r="AE5272" t="s">
        <v>80</v>
      </c>
      <c r="AG5272" t="s">
        <v>81</v>
      </c>
    </row>
    <row r="5273" spans="1:33" x14ac:dyDescent="0.25">
      <c r="A5273" t="str">
        <f>"1336295658"</f>
        <v>1336295658</v>
      </c>
      <c r="B5273" t="str">
        <f>"03783382"</f>
        <v>03783382</v>
      </c>
      <c r="C5273" t="s">
        <v>13436</v>
      </c>
      <c r="D5273" t="s">
        <v>25999</v>
      </c>
      <c r="E5273" t="s">
        <v>26000</v>
      </c>
      <c r="G5273" t="s">
        <v>26001</v>
      </c>
      <c r="L5273" t="s">
        <v>74</v>
      </c>
      <c r="M5273" t="s">
        <v>75</v>
      </c>
      <c r="R5273" t="s">
        <v>26000</v>
      </c>
      <c r="W5273" t="s">
        <v>26002</v>
      </c>
      <c r="X5273" t="s">
        <v>1455</v>
      </c>
      <c r="Y5273" t="s">
        <v>91</v>
      </c>
      <c r="Z5273" t="s">
        <v>77</v>
      </c>
      <c r="AA5273" t="str">
        <f>"11373-1329"</f>
        <v>11373-1329</v>
      </c>
      <c r="AB5273" t="s">
        <v>78</v>
      </c>
      <c r="AC5273" t="s">
        <v>79</v>
      </c>
      <c r="AD5273" t="s">
        <v>75</v>
      </c>
      <c r="AE5273" t="s">
        <v>80</v>
      </c>
      <c r="AG5273" t="s">
        <v>81</v>
      </c>
    </row>
    <row r="5274" spans="1:33" x14ac:dyDescent="0.25">
      <c r="A5274" t="str">
        <f>"1336295955"</f>
        <v>1336295955</v>
      </c>
      <c r="B5274" t="str">
        <f>"03065978"</f>
        <v>03065978</v>
      </c>
      <c r="C5274" t="s">
        <v>13436</v>
      </c>
      <c r="D5274" t="s">
        <v>26003</v>
      </c>
      <c r="E5274" t="s">
        <v>26004</v>
      </c>
      <c r="G5274" t="s">
        <v>26005</v>
      </c>
      <c r="L5274" t="s">
        <v>83</v>
      </c>
      <c r="M5274" t="s">
        <v>85</v>
      </c>
      <c r="R5274" t="s">
        <v>26006</v>
      </c>
      <c r="W5274" t="s">
        <v>26004</v>
      </c>
      <c r="X5274" t="s">
        <v>26007</v>
      </c>
      <c r="Y5274" t="s">
        <v>97</v>
      </c>
      <c r="Z5274" t="s">
        <v>77</v>
      </c>
      <c r="AA5274" t="str">
        <f>"10029-6508"</f>
        <v>10029-6508</v>
      </c>
      <c r="AB5274" t="s">
        <v>78</v>
      </c>
      <c r="AC5274" t="s">
        <v>79</v>
      </c>
      <c r="AD5274" t="s">
        <v>75</v>
      </c>
      <c r="AE5274" t="s">
        <v>80</v>
      </c>
      <c r="AG5274" t="s">
        <v>81</v>
      </c>
    </row>
    <row r="5275" spans="1:33" x14ac:dyDescent="0.25">
      <c r="A5275" t="str">
        <f>"1457562225"</f>
        <v>1457562225</v>
      </c>
      <c r="B5275" t="str">
        <f>"00510178"</f>
        <v>00510178</v>
      </c>
      <c r="C5275" t="s">
        <v>13436</v>
      </c>
      <c r="D5275" t="s">
        <v>5278</v>
      </c>
      <c r="E5275" t="s">
        <v>5279</v>
      </c>
      <c r="G5275" t="s">
        <v>26008</v>
      </c>
      <c r="L5275" t="s">
        <v>94</v>
      </c>
      <c r="M5275" t="s">
        <v>75</v>
      </c>
      <c r="R5275" t="s">
        <v>5281</v>
      </c>
      <c r="W5275" t="s">
        <v>5279</v>
      </c>
      <c r="X5275" t="s">
        <v>5282</v>
      </c>
      <c r="Y5275" t="s">
        <v>131</v>
      </c>
      <c r="Z5275" t="s">
        <v>77</v>
      </c>
      <c r="AA5275" t="str">
        <f>"10463-4620"</f>
        <v>10463-4620</v>
      </c>
      <c r="AB5275" t="s">
        <v>78</v>
      </c>
      <c r="AC5275" t="s">
        <v>79</v>
      </c>
      <c r="AD5275" t="s">
        <v>75</v>
      </c>
      <c r="AE5275" t="s">
        <v>80</v>
      </c>
      <c r="AG5275" t="s">
        <v>81</v>
      </c>
    </row>
    <row r="5276" spans="1:33" x14ac:dyDescent="0.25">
      <c r="A5276" t="str">
        <f>"1457565640"</f>
        <v>1457565640</v>
      </c>
      <c r="B5276" t="str">
        <f>"02968418"</f>
        <v>02968418</v>
      </c>
      <c r="C5276" t="s">
        <v>13436</v>
      </c>
      <c r="D5276" t="s">
        <v>26009</v>
      </c>
      <c r="E5276" t="s">
        <v>26010</v>
      </c>
      <c r="G5276" t="s">
        <v>26011</v>
      </c>
      <c r="L5276" t="s">
        <v>84</v>
      </c>
      <c r="M5276" t="s">
        <v>75</v>
      </c>
      <c r="R5276" t="s">
        <v>26012</v>
      </c>
      <c r="W5276" t="s">
        <v>26013</v>
      </c>
      <c r="X5276" t="s">
        <v>26014</v>
      </c>
      <c r="Y5276" t="s">
        <v>87</v>
      </c>
      <c r="Z5276" t="s">
        <v>77</v>
      </c>
      <c r="AA5276" t="str">
        <f>"11235-2792"</f>
        <v>11235-2792</v>
      </c>
      <c r="AB5276" t="s">
        <v>78</v>
      </c>
      <c r="AC5276" t="s">
        <v>79</v>
      </c>
      <c r="AD5276" t="s">
        <v>75</v>
      </c>
      <c r="AE5276" t="s">
        <v>80</v>
      </c>
      <c r="AG5276" t="s">
        <v>81</v>
      </c>
    </row>
    <row r="5277" spans="1:33" x14ac:dyDescent="0.25">
      <c r="A5277" t="str">
        <f>"1679546055"</f>
        <v>1679546055</v>
      </c>
      <c r="B5277" t="str">
        <f>"00480126"</f>
        <v>00480126</v>
      </c>
      <c r="C5277" t="s">
        <v>13436</v>
      </c>
      <c r="D5277" t="s">
        <v>26015</v>
      </c>
      <c r="E5277" t="s">
        <v>26016</v>
      </c>
      <c r="G5277" t="s">
        <v>26017</v>
      </c>
      <c r="L5277" t="s">
        <v>74</v>
      </c>
      <c r="M5277" t="s">
        <v>85</v>
      </c>
      <c r="R5277" t="s">
        <v>26018</v>
      </c>
      <c r="W5277" t="s">
        <v>26016</v>
      </c>
      <c r="X5277" t="s">
        <v>26019</v>
      </c>
      <c r="Y5277" t="s">
        <v>97</v>
      </c>
      <c r="Z5277" t="s">
        <v>77</v>
      </c>
      <c r="AA5277" t="str">
        <f>"10021-5125"</f>
        <v>10021-5125</v>
      </c>
      <c r="AB5277" t="s">
        <v>78</v>
      </c>
      <c r="AC5277" t="s">
        <v>79</v>
      </c>
      <c r="AD5277" t="s">
        <v>75</v>
      </c>
      <c r="AE5277" t="s">
        <v>80</v>
      </c>
      <c r="AG5277" t="s">
        <v>81</v>
      </c>
    </row>
    <row r="5278" spans="1:33" x14ac:dyDescent="0.25">
      <c r="A5278" t="str">
        <f>"1679772024"</f>
        <v>1679772024</v>
      </c>
      <c r="B5278" t="str">
        <f>"02801398"</f>
        <v>02801398</v>
      </c>
      <c r="C5278" t="s">
        <v>13436</v>
      </c>
      <c r="D5278" t="s">
        <v>26020</v>
      </c>
      <c r="E5278" t="s">
        <v>26021</v>
      </c>
      <c r="G5278" t="s">
        <v>26022</v>
      </c>
      <c r="L5278" t="s">
        <v>84</v>
      </c>
      <c r="M5278" t="s">
        <v>85</v>
      </c>
      <c r="R5278" t="s">
        <v>26023</v>
      </c>
      <c r="W5278" t="s">
        <v>26021</v>
      </c>
      <c r="X5278" t="s">
        <v>5471</v>
      </c>
      <c r="Y5278" t="s">
        <v>131</v>
      </c>
      <c r="Z5278" t="s">
        <v>77</v>
      </c>
      <c r="AA5278" t="str">
        <f>"10467-2410"</f>
        <v>10467-2410</v>
      </c>
      <c r="AB5278" t="s">
        <v>78</v>
      </c>
      <c r="AC5278" t="s">
        <v>79</v>
      </c>
      <c r="AD5278" t="s">
        <v>75</v>
      </c>
      <c r="AE5278" t="s">
        <v>80</v>
      </c>
      <c r="AG5278" t="s">
        <v>81</v>
      </c>
    </row>
    <row r="5279" spans="1:33" x14ac:dyDescent="0.25">
      <c r="A5279" t="str">
        <f>"1679801005"</f>
        <v>1679801005</v>
      </c>
      <c r="C5279" t="s">
        <v>13436</v>
      </c>
      <c r="G5279" t="s">
        <v>26024</v>
      </c>
      <c r="K5279" t="s">
        <v>99</v>
      </c>
      <c r="L5279" t="s">
        <v>102</v>
      </c>
      <c r="M5279" t="s">
        <v>85</v>
      </c>
      <c r="R5279" t="s">
        <v>26025</v>
      </c>
      <c r="S5279" t="s">
        <v>26026</v>
      </c>
      <c r="T5279" t="s">
        <v>97</v>
      </c>
      <c r="U5279" t="s">
        <v>77</v>
      </c>
      <c r="V5279" t="str">
        <f>"100039143"</f>
        <v>100039143</v>
      </c>
      <c r="AC5279" t="s">
        <v>79</v>
      </c>
      <c r="AD5279" t="s">
        <v>75</v>
      </c>
      <c r="AE5279" t="s">
        <v>103</v>
      </c>
      <c r="AG5279" t="s">
        <v>81</v>
      </c>
    </row>
    <row r="5280" spans="1:33" x14ac:dyDescent="0.25">
      <c r="A5280" t="str">
        <f>"1679843122"</f>
        <v>1679843122</v>
      </c>
      <c r="B5280" t="str">
        <f>"03479903"</f>
        <v>03479903</v>
      </c>
      <c r="C5280" t="s">
        <v>13436</v>
      </c>
      <c r="D5280" t="s">
        <v>26027</v>
      </c>
      <c r="E5280" t="s">
        <v>26028</v>
      </c>
      <c r="G5280" t="s">
        <v>26029</v>
      </c>
      <c r="L5280" t="s">
        <v>102</v>
      </c>
      <c r="M5280" t="s">
        <v>85</v>
      </c>
      <c r="R5280" t="s">
        <v>26028</v>
      </c>
      <c r="W5280" t="s">
        <v>26028</v>
      </c>
      <c r="X5280" t="s">
        <v>2645</v>
      </c>
      <c r="Y5280" t="s">
        <v>97</v>
      </c>
      <c r="Z5280" t="s">
        <v>77</v>
      </c>
      <c r="AA5280" t="str">
        <f>"10024-5716"</f>
        <v>10024-5716</v>
      </c>
      <c r="AB5280" t="s">
        <v>127</v>
      </c>
      <c r="AC5280" t="s">
        <v>79</v>
      </c>
      <c r="AD5280" t="s">
        <v>75</v>
      </c>
      <c r="AE5280" t="s">
        <v>80</v>
      </c>
      <c r="AG5280" t="s">
        <v>81</v>
      </c>
    </row>
    <row r="5281" spans="1:33" x14ac:dyDescent="0.25">
      <c r="A5281" t="str">
        <f>"1689674129"</f>
        <v>1689674129</v>
      </c>
      <c r="B5281" t="str">
        <f>"01486635"</f>
        <v>01486635</v>
      </c>
      <c r="C5281" t="s">
        <v>13436</v>
      </c>
      <c r="D5281" t="s">
        <v>26030</v>
      </c>
      <c r="E5281" t="s">
        <v>26031</v>
      </c>
      <c r="G5281" t="s">
        <v>26032</v>
      </c>
      <c r="L5281" t="s">
        <v>83</v>
      </c>
      <c r="M5281" t="s">
        <v>85</v>
      </c>
      <c r="R5281" t="s">
        <v>26033</v>
      </c>
      <c r="W5281" t="s">
        <v>26031</v>
      </c>
      <c r="X5281" t="s">
        <v>25289</v>
      </c>
      <c r="Y5281" t="s">
        <v>97</v>
      </c>
      <c r="Z5281" t="s">
        <v>77</v>
      </c>
      <c r="AA5281" t="str">
        <f>"10016-3463"</f>
        <v>10016-3463</v>
      </c>
      <c r="AB5281" t="s">
        <v>78</v>
      </c>
      <c r="AC5281" t="s">
        <v>79</v>
      </c>
      <c r="AD5281" t="s">
        <v>75</v>
      </c>
      <c r="AE5281" t="s">
        <v>80</v>
      </c>
      <c r="AG5281" t="s">
        <v>81</v>
      </c>
    </row>
    <row r="5282" spans="1:33" x14ac:dyDescent="0.25">
      <c r="A5282" t="str">
        <f>"1760642961"</f>
        <v>1760642961</v>
      </c>
      <c r="B5282" t="str">
        <f>"03338016"</f>
        <v>03338016</v>
      </c>
      <c r="C5282" t="s">
        <v>13436</v>
      </c>
      <c r="D5282" t="s">
        <v>26034</v>
      </c>
      <c r="E5282" t="s">
        <v>26035</v>
      </c>
      <c r="G5282" t="s">
        <v>26036</v>
      </c>
      <c r="L5282" t="s">
        <v>74</v>
      </c>
      <c r="M5282" t="s">
        <v>85</v>
      </c>
      <c r="R5282" t="s">
        <v>26037</v>
      </c>
      <c r="W5282" t="s">
        <v>26035</v>
      </c>
      <c r="X5282" t="s">
        <v>26038</v>
      </c>
      <c r="Y5282" t="s">
        <v>97</v>
      </c>
      <c r="Z5282" t="s">
        <v>77</v>
      </c>
      <c r="AA5282" t="str">
        <f>"10003-3314"</f>
        <v>10003-3314</v>
      </c>
      <c r="AB5282" t="s">
        <v>78</v>
      </c>
      <c r="AC5282" t="s">
        <v>79</v>
      </c>
      <c r="AD5282" t="s">
        <v>75</v>
      </c>
      <c r="AE5282" t="s">
        <v>80</v>
      </c>
      <c r="AG5282" t="s">
        <v>81</v>
      </c>
    </row>
    <row r="5283" spans="1:33" x14ac:dyDescent="0.25">
      <c r="A5283" t="str">
        <f>"1760658892"</f>
        <v>1760658892</v>
      </c>
      <c r="B5283" t="str">
        <f>"03018600"</f>
        <v>03018600</v>
      </c>
      <c r="C5283" t="s">
        <v>13436</v>
      </c>
      <c r="D5283" t="s">
        <v>26039</v>
      </c>
      <c r="E5283" t="s">
        <v>26040</v>
      </c>
      <c r="G5283" t="s">
        <v>26041</v>
      </c>
      <c r="L5283" t="s">
        <v>84</v>
      </c>
      <c r="M5283" t="s">
        <v>85</v>
      </c>
      <c r="R5283" t="s">
        <v>26042</v>
      </c>
      <c r="W5283" t="s">
        <v>26043</v>
      </c>
      <c r="X5283" t="s">
        <v>181</v>
      </c>
      <c r="Y5283" t="s">
        <v>97</v>
      </c>
      <c r="Z5283" t="s">
        <v>77</v>
      </c>
      <c r="AA5283" t="str">
        <f>"10025-1716"</f>
        <v>10025-1716</v>
      </c>
      <c r="AB5283" t="s">
        <v>78</v>
      </c>
      <c r="AC5283" t="s">
        <v>79</v>
      </c>
      <c r="AD5283" t="s">
        <v>75</v>
      </c>
      <c r="AE5283" t="s">
        <v>80</v>
      </c>
      <c r="AG5283" t="s">
        <v>81</v>
      </c>
    </row>
    <row r="5284" spans="1:33" x14ac:dyDescent="0.25">
      <c r="A5284" t="str">
        <f>"1760685887"</f>
        <v>1760685887</v>
      </c>
      <c r="B5284" t="str">
        <f>"02970794"</f>
        <v>02970794</v>
      </c>
      <c r="C5284" t="s">
        <v>13436</v>
      </c>
      <c r="D5284" t="s">
        <v>26044</v>
      </c>
      <c r="E5284" t="s">
        <v>26045</v>
      </c>
      <c r="G5284" t="s">
        <v>26046</v>
      </c>
      <c r="L5284" t="s">
        <v>74</v>
      </c>
      <c r="M5284" t="s">
        <v>85</v>
      </c>
      <c r="R5284" t="s">
        <v>26047</v>
      </c>
      <c r="W5284" t="s">
        <v>26048</v>
      </c>
      <c r="X5284" t="s">
        <v>26049</v>
      </c>
      <c r="Y5284" t="s">
        <v>864</v>
      </c>
      <c r="Z5284" t="s">
        <v>77</v>
      </c>
      <c r="AA5284" t="str">
        <f>"10543-1900"</f>
        <v>10543-1900</v>
      </c>
      <c r="AB5284" t="s">
        <v>82</v>
      </c>
      <c r="AC5284" t="s">
        <v>79</v>
      </c>
      <c r="AD5284" t="s">
        <v>75</v>
      </c>
      <c r="AE5284" t="s">
        <v>80</v>
      </c>
      <c r="AG5284" t="s">
        <v>81</v>
      </c>
    </row>
    <row r="5285" spans="1:33" x14ac:dyDescent="0.25">
      <c r="A5285" t="str">
        <f>"1467491985"</f>
        <v>1467491985</v>
      </c>
      <c r="B5285" t="str">
        <f>"02433769"</f>
        <v>02433769</v>
      </c>
      <c r="C5285" t="s">
        <v>13436</v>
      </c>
      <c r="D5285" t="s">
        <v>26050</v>
      </c>
      <c r="E5285" t="s">
        <v>26051</v>
      </c>
      <c r="G5285" t="s">
        <v>26052</v>
      </c>
      <c r="L5285" t="s">
        <v>83</v>
      </c>
      <c r="M5285" t="s">
        <v>85</v>
      </c>
      <c r="R5285" t="s">
        <v>26053</v>
      </c>
      <c r="W5285" t="s">
        <v>26051</v>
      </c>
      <c r="X5285" t="s">
        <v>191</v>
      </c>
      <c r="Y5285" t="s">
        <v>97</v>
      </c>
      <c r="Z5285" t="s">
        <v>77</v>
      </c>
      <c r="AA5285" t="str">
        <f>"10019-1147"</f>
        <v>10019-1147</v>
      </c>
      <c r="AB5285" t="s">
        <v>78</v>
      </c>
      <c r="AC5285" t="s">
        <v>79</v>
      </c>
      <c r="AD5285" t="s">
        <v>75</v>
      </c>
      <c r="AE5285" t="s">
        <v>80</v>
      </c>
      <c r="AG5285" t="s">
        <v>81</v>
      </c>
    </row>
    <row r="5286" spans="1:33" x14ac:dyDescent="0.25">
      <c r="A5286" t="str">
        <f>"1467549709"</f>
        <v>1467549709</v>
      </c>
      <c r="B5286" t="str">
        <f>"01165668"</f>
        <v>01165668</v>
      </c>
      <c r="C5286" t="s">
        <v>13436</v>
      </c>
      <c r="D5286" t="s">
        <v>26054</v>
      </c>
      <c r="E5286" t="s">
        <v>26055</v>
      </c>
      <c r="G5286" t="s">
        <v>26056</v>
      </c>
      <c r="L5286" t="s">
        <v>84</v>
      </c>
      <c r="M5286" t="s">
        <v>85</v>
      </c>
      <c r="R5286" t="s">
        <v>26057</v>
      </c>
      <c r="W5286" t="s">
        <v>26058</v>
      </c>
      <c r="X5286" t="s">
        <v>1714</v>
      </c>
      <c r="Y5286" t="s">
        <v>316</v>
      </c>
      <c r="Z5286" t="s">
        <v>77</v>
      </c>
      <c r="AA5286" t="str">
        <f>"10801-5502"</f>
        <v>10801-5502</v>
      </c>
      <c r="AB5286" t="s">
        <v>78</v>
      </c>
      <c r="AC5286" t="s">
        <v>79</v>
      </c>
      <c r="AD5286" t="s">
        <v>75</v>
      </c>
      <c r="AE5286" t="s">
        <v>80</v>
      </c>
      <c r="AG5286" t="s">
        <v>81</v>
      </c>
    </row>
    <row r="5287" spans="1:33" x14ac:dyDescent="0.25">
      <c r="A5287" t="str">
        <f>"1467599191"</f>
        <v>1467599191</v>
      </c>
      <c r="B5287" t="str">
        <f>"01535955"</f>
        <v>01535955</v>
      </c>
      <c r="C5287" t="s">
        <v>13436</v>
      </c>
      <c r="D5287" t="s">
        <v>26059</v>
      </c>
      <c r="E5287" t="s">
        <v>26060</v>
      </c>
      <c r="G5287" t="s">
        <v>26061</v>
      </c>
      <c r="L5287" t="s">
        <v>83</v>
      </c>
      <c r="M5287" t="s">
        <v>85</v>
      </c>
      <c r="R5287" t="s">
        <v>26062</v>
      </c>
      <c r="W5287" t="s">
        <v>26063</v>
      </c>
      <c r="X5287" t="s">
        <v>26064</v>
      </c>
      <c r="Y5287" t="s">
        <v>97</v>
      </c>
      <c r="Z5287" t="s">
        <v>77</v>
      </c>
      <c r="AA5287" t="str">
        <f>"10029-5535"</f>
        <v>10029-5535</v>
      </c>
      <c r="AB5287" t="s">
        <v>78</v>
      </c>
      <c r="AC5287" t="s">
        <v>79</v>
      </c>
      <c r="AD5287" t="s">
        <v>75</v>
      </c>
      <c r="AE5287" t="s">
        <v>80</v>
      </c>
      <c r="AG5287" t="s">
        <v>81</v>
      </c>
    </row>
    <row r="5288" spans="1:33" x14ac:dyDescent="0.25">
      <c r="A5288" t="str">
        <f>"1477578607"</f>
        <v>1477578607</v>
      </c>
      <c r="B5288" t="str">
        <f>"02375524"</f>
        <v>02375524</v>
      </c>
      <c r="C5288" t="s">
        <v>13436</v>
      </c>
      <c r="D5288" t="s">
        <v>26065</v>
      </c>
      <c r="E5288" t="s">
        <v>26066</v>
      </c>
      <c r="G5288" t="s">
        <v>26067</v>
      </c>
      <c r="L5288" t="s">
        <v>83</v>
      </c>
      <c r="M5288" t="s">
        <v>85</v>
      </c>
      <c r="R5288" t="s">
        <v>26066</v>
      </c>
      <c r="W5288" t="s">
        <v>26066</v>
      </c>
      <c r="X5288" t="s">
        <v>26068</v>
      </c>
      <c r="Y5288" t="s">
        <v>97</v>
      </c>
      <c r="Z5288" t="s">
        <v>77</v>
      </c>
      <c r="AA5288" t="str">
        <f>"10003-2113"</f>
        <v>10003-2113</v>
      </c>
      <c r="AB5288" t="s">
        <v>78</v>
      </c>
      <c r="AC5288" t="s">
        <v>79</v>
      </c>
      <c r="AD5288" t="s">
        <v>75</v>
      </c>
      <c r="AE5288" t="s">
        <v>80</v>
      </c>
      <c r="AG5288" t="s">
        <v>81</v>
      </c>
    </row>
    <row r="5289" spans="1:33" x14ac:dyDescent="0.25">
      <c r="A5289" t="str">
        <f>"1477579639"</f>
        <v>1477579639</v>
      </c>
      <c r="B5289" t="str">
        <f>"02170730"</f>
        <v>02170730</v>
      </c>
      <c r="C5289" t="s">
        <v>13436</v>
      </c>
      <c r="D5289" t="s">
        <v>26069</v>
      </c>
      <c r="E5289" t="s">
        <v>26070</v>
      </c>
      <c r="G5289" t="s">
        <v>26071</v>
      </c>
      <c r="L5289" t="s">
        <v>83</v>
      </c>
      <c r="M5289" t="s">
        <v>85</v>
      </c>
      <c r="R5289" t="s">
        <v>26072</v>
      </c>
      <c r="W5289" t="s">
        <v>26070</v>
      </c>
      <c r="X5289" t="s">
        <v>22729</v>
      </c>
      <c r="Y5289" t="s">
        <v>97</v>
      </c>
      <c r="Z5289" t="s">
        <v>77</v>
      </c>
      <c r="AA5289" t="str">
        <f>"10016-6892"</f>
        <v>10016-6892</v>
      </c>
      <c r="AB5289" t="s">
        <v>78</v>
      </c>
      <c r="AC5289" t="s">
        <v>79</v>
      </c>
      <c r="AD5289" t="s">
        <v>75</v>
      </c>
      <c r="AE5289" t="s">
        <v>80</v>
      </c>
      <c r="AG5289" t="s">
        <v>81</v>
      </c>
    </row>
    <row r="5290" spans="1:33" x14ac:dyDescent="0.25">
      <c r="A5290" t="str">
        <f>"1477633642"</f>
        <v>1477633642</v>
      </c>
      <c r="B5290" t="str">
        <f>"01376296"</f>
        <v>01376296</v>
      </c>
      <c r="C5290" t="s">
        <v>13436</v>
      </c>
      <c r="D5290" t="s">
        <v>26073</v>
      </c>
      <c r="E5290" t="s">
        <v>26074</v>
      </c>
      <c r="G5290" t="s">
        <v>26075</v>
      </c>
      <c r="L5290" t="s">
        <v>94</v>
      </c>
      <c r="M5290" t="s">
        <v>85</v>
      </c>
      <c r="R5290" t="s">
        <v>26076</v>
      </c>
      <c r="W5290" t="s">
        <v>26077</v>
      </c>
      <c r="X5290" t="s">
        <v>26078</v>
      </c>
      <c r="Y5290" t="s">
        <v>97</v>
      </c>
      <c r="Z5290" t="s">
        <v>77</v>
      </c>
      <c r="AA5290" t="str">
        <f>"10011"</f>
        <v>10011</v>
      </c>
      <c r="AB5290" t="s">
        <v>78</v>
      </c>
      <c r="AC5290" t="s">
        <v>79</v>
      </c>
      <c r="AD5290" t="s">
        <v>75</v>
      </c>
      <c r="AE5290" t="s">
        <v>80</v>
      </c>
      <c r="AG5290" t="s">
        <v>81</v>
      </c>
    </row>
    <row r="5291" spans="1:33" x14ac:dyDescent="0.25">
      <c r="A5291" t="str">
        <f>"1356308548"</f>
        <v>1356308548</v>
      </c>
      <c r="B5291" t="str">
        <f>"01137035"</f>
        <v>01137035</v>
      </c>
      <c r="C5291" t="s">
        <v>26079</v>
      </c>
      <c r="D5291" t="s">
        <v>26080</v>
      </c>
      <c r="E5291" t="s">
        <v>26081</v>
      </c>
      <c r="G5291" t="s">
        <v>13504</v>
      </c>
      <c r="H5291" t="s">
        <v>13505</v>
      </c>
      <c r="J5291" t="s">
        <v>13506</v>
      </c>
      <c r="L5291" t="s">
        <v>83</v>
      </c>
      <c r="M5291" t="s">
        <v>85</v>
      </c>
      <c r="R5291" t="s">
        <v>26082</v>
      </c>
      <c r="W5291" t="s">
        <v>26081</v>
      </c>
      <c r="X5291" t="s">
        <v>162</v>
      </c>
      <c r="Y5291" t="s">
        <v>87</v>
      </c>
      <c r="Z5291" t="s">
        <v>77</v>
      </c>
      <c r="AA5291" t="str">
        <f>"11215-3609"</f>
        <v>11215-3609</v>
      </c>
      <c r="AB5291" t="s">
        <v>78</v>
      </c>
      <c r="AC5291" t="s">
        <v>79</v>
      </c>
      <c r="AD5291" t="s">
        <v>75</v>
      </c>
      <c r="AE5291" t="s">
        <v>80</v>
      </c>
      <c r="AG5291" t="s">
        <v>81</v>
      </c>
    </row>
    <row r="5292" spans="1:33" x14ac:dyDescent="0.25">
      <c r="A5292" t="str">
        <f>"1629153531"</f>
        <v>1629153531</v>
      </c>
      <c r="B5292" t="str">
        <f>"01102083"</f>
        <v>01102083</v>
      </c>
      <c r="C5292" t="s">
        <v>26083</v>
      </c>
      <c r="D5292" t="s">
        <v>26084</v>
      </c>
      <c r="E5292" t="s">
        <v>26085</v>
      </c>
      <c r="G5292" t="s">
        <v>13504</v>
      </c>
      <c r="H5292" t="s">
        <v>13505</v>
      </c>
      <c r="J5292" t="s">
        <v>13506</v>
      </c>
      <c r="L5292" t="s">
        <v>84</v>
      </c>
      <c r="M5292" t="s">
        <v>75</v>
      </c>
      <c r="R5292" t="s">
        <v>26086</v>
      </c>
      <c r="W5292" t="s">
        <v>26085</v>
      </c>
      <c r="X5292" t="s">
        <v>202</v>
      </c>
      <c r="Y5292" t="s">
        <v>87</v>
      </c>
      <c r="Z5292" t="s">
        <v>77</v>
      </c>
      <c r="AA5292" t="str">
        <f>"11201-5425"</f>
        <v>11201-5425</v>
      </c>
      <c r="AB5292" t="s">
        <v>78</v>
      </c>
      <c r="AC5292" t="s">
        <v>79</v>
      </c>
      <c r="AD5292" t="s">
        <v>75</v>
      </c>
      <c r="AE5292" t="s">
        <v>80</v>
      </c>
      <c r="AG5292" t="s">
        <v>81</v>
      </c>
    </row>
    <row r="5293" spans="1:33" x14ac:dyDescent="0.25">
      <c r="A5293" t="str">
        <f>"1730279514"</f>
        <v>1730279514</v>
      </c>
      <c r="B5293" t="str">
        <f>"01158507"</f>
        <v>01158507</v>
      </c>
      <c r="C5293" t="s">
        <v>26087</v>
      </c>
      <c r="D5293" t="s">
        <v>26088</v>
      </c>
      <c r="E5293" t="s">
        <v>26089</v>
      </c>
      <c r="G5293" t="s">
        <v>13504</v>
      </c>
      <c r="H5293" t="s">
        <v>13505</v>
      </c>
      <c r="J5293" t="s">
        <v>13506</v>
      </c>
      <c r="L5293" t="s">
        <v>84</v>
      </c>
      <c r="M5293" t="s">
        <v>85</v>
      </c>
      <c r="R5293" t="s">
        <v>26090</v>
      </c>
      <c r="W5293" t="s">
        <v>26089</v>
      </c>
      <c r="X5293" t="s">
        <v>26091</v>
      </c>
      <c r="Y5293" t="s">
        <v>584</v>
      </c>
      <c r="Z5293" t="s">
        <v>77</v>
      </c>
      <c r="AA5293" t="str">
        <f>"11692"</f>
        <v>11692</v>
      </c>
      <c r="AB5293" t="s">
        <v>78</v>
      </c>
      <c r="AC5293" t="s">
        <v>79</v>
      </c>
      <c r="AD5293" t="s">
        <v>75</v>
      </c>
      <c r="AE5293" t="s">
        <v>80</v>
      </c>
      <c r="AG5293" t="s">
        <v>81</v>
      </c>
    </row>
    <row r="5294" spans="1:33" x14ac:dyDescent="0.25">
      <c r="A5294" t="str">
        <f>"1174587349"</f>
        <v>1174587349</v>
      </c>
      <c r="B5294" t="str">
        <f>"01723826"</f>
        <v>01723826</v>
      </c>
      <c r="C5294" t="s">
        <v>26092</v>
      </c>
      <c r="D5294" t="s">
        <v>26093</v>
      </c>
      <c r="E5294" t="s">
        <v>26094</v>
      </c>
      <c r="G5294" t="s">
        <v>13504</v>
      </c>
      <c r="H5294" t="s">
        <v>13505</v>
      </c>
      <c r="J5294" t="s">
        <v>13506</v>
      </c>
      <c r="L5294" t="s">
        <v>84</v>
      </c>
      <c r="M5294" t="s">
        <v>75</v>
      </c>
      <c r="R5294" t="s">
        <v>26094</v>
      </c>
      <c r="W5294" t="s">
        <v>26094</v>
      </c>
      <c r="X5294" t="s">
        <v>14532</v>
      </c>
      <c r="Y5294" t="s">
        <v>87</v>
      </c>
      <c r="Z5294" t="s">
        <v>77</v>
      </c>
      <c r="AA5294" t="str">
        <f>"11205-4924"</f>
        <v>11205-4924</v>
      </c>
      <c r="AB5294" t="s">
        <v>78</v>
      </c>
      <c r="AC5294" t="s">
        <v>79</v>
      </c>
      <c r="AD5294" t="s">
        <v>75</v>
      </c>
      <c r="AE5294" t="s">
        <v>80</v>
      </c>
      <c r="AG5294" t="s">
        <v>81</v>
      </c>
    </row>
    <row r="5295" spans="1:33" x14ac:dyDescent="0.25">
      <c r="A5295" t="str">
        <f>"1578686572"</f>
        <v>1578686572</v>
      </c>
      <c r="C5295" t="s">
        <v>26095</v>
      </c>
      <c r="G5295" t="s">
        <v>19413</v>
      </c>
      <c r="H5295" t="s">
        <v>1084</v>
      </c>
      <c r="I5295">
        <v>160</v>
      </c>
      <c r="J5295" t="s">
        <v>2757</v>
      </c>
      <c r="K5295" t="s">
        <v>99</v>
      </c>
      <c r="L5295" t="s">
        <v>74</v>
      </c>
      <c r="M5295" t="s">
        <v>75</v>
      </c>
      <c r="R5295" t="s">
        <v>3346</v>
      </c>
      <c r="S5295" t="s">
        <v>3347</v>
      </c>
      <c r="T5295" t="s">
        <v>198</v>
      </c>
      <c r="U5295" t="s">
        <v>77</v>
      </c>
      <c r="V5295" t="str">
        <f>"115421755"</f>
        <v>115421755</v>
      </c>
      <c r="AC5295" t="s">
        <v>79</v>
      </c>
      <c r="AD5295" t="s">
        <v>75</v>
      </c>
      <c r="AE5295" t="s">
        <v>103</v>
      </c>
      <c r="AG5295" t="s">
        <v>81</v>
      </c>
    </row>
    <row r="5296" spans="1:33" x14ac:dyDescent="0.25">
      <c r="A5296" t="str">
        <f>"1619906047"</f>
        <v>1619906047</v>
      </c>
      <c r="B5296" t="str">
        <f>"02680995"</f>
        <v>02680995</v>
      </c>
      <c r="C5296" t="s">
        <v>26096</v>
      </c>
      <c r="D5296" t="s">
        <v>1087</v>
      </c>
      <c r="E5296" t="s">
        <v>1088</v>
      </c>
      <c r="G5296" t="s">
        <v>19413</v>
      </c>
      <c r="H5296" t="s">
        <v>1084</v>
      </c>
      <c r="I5296">
        <v>160</v>
      </c>
      <c r="J5296" t="s">
        <v>2757</v>
      </c>
      <c r="L5296" t="s">
        <v>84</v>
      </c>
      <c r="M5296" t="s">
        <v>85</v>
      </c>
      <c r="R5296" t="s">
        <v>1086</v>
      </c>
      <c r="W5296" t="s">
        <v>1088</v>
      </c>
      <c r="X5296" t="s">
        <v>1089</v>
      </c>
      <c r="Y5296" t="s">
        <v>87</v>
      </c>
      <c r="Z5296" t="s">
        <v>77</v>
      </c>
      <c r="AA5296" t="str">
        <f>"11212-4005"</f>
        <v>11212-4005</v>
      </c>
      <c r="AB5296" t="s">
        <v>78</v>
      </c>
      <c r="AC5296" t="s">
        <v>79</v>
      </c>
      <c r="AD5296" t="s">
        <v>75</v>
      </c>
      <c r="AE5296" t="s">
        <v>80</v>
      </c>
      <c r="AG5296" t="s">
        <v>81</v>
      </c>
    </row>
    <row r="5297" spans="1:33" x14ac:dyDescent="0.25">
      <c r="A5297" t="str">
        <f>"1336343169"</f>
        <v>1336343169</v>
      </c>
      <c r="B5297" t="str">
        <f>"03532827"</f>
        <v>03532827</v>
      </c>
      <c r="C5297" t="s">
        <v>26097</v>
      </c>
      <c r="D5297" t="s">
        <v>26098</v>
      </c>
      <c r="E5297" t="s">
        <v>26099</v>
      </c>
      <c r="G5297" t="s">
        <v>7218</v>
      </c>
      <c r="H5297" t="s">
        <v>6801</v>
      </c>
      <c r="I5297">
        <v>6136</v>
      </c>
      <c r="J5297" t="s">
        <v>7219</v>
      </c>
      <c r="L5297" t="s">
        <v>74</v>
      </c>
      <c r="M5297" t="s">
        <v>75</v>
      </c>
      <c r="R5297" t="s">
        <v>26100</v>
      </c>
      <c r="W5297" t="s">
        <v>26099</v>
      </c>
      <c r="X5297" t="s">
        <v>3538</v>
      </c>
      <c r="Y5297" t="s">
        <v>131</v>
      </c>
      <c r="Z5297" t="s">
        <v>77</v>
      </c>
      <c r="AA5297" t="str">
        <f>"10461-5726"</f>
        <v>10461-5726</v>
      </c>
      <c r="AB5297" t="s">
        <v>113</v>
      </c>
      <c r="AC5297" t="s">
        <v>79</v>
      </c>
      <c r="AD5297" t="s">
        <v>75</v>
      </c>
      <c r="AE5297" t="s">
        <v>80</v>
      </c>
      <c r="AG5297" t="s">
        <v>81</v>
      </c>
    </row>
    <row r="5298" spans="1:33" x14ac:dyDescent="0.25">
      <c r="A5298" t="str">
        <f>"1336467646"</f>
        <v>1336467646</v>
      </c>
      <c r="B5298" t="str">
        <f>"03524967"</f>
        <v>03524967</v>
      </c>
      <c r="C5298" t="s">
        <v>26101</v>
      </c>
      <c r="D5298" t="s">
        <v>26102</v>
      </c>
      <c r="E5298" t="s">
        <v>26103</v>
      </c>
      <c r="G5298" t="s">
        <v>7218</v>
      </c>
      <c r="H5298" t="s">
        <v>6801</v>
      </c>
      <c r="I5298">
        <v>6136</v>
      </c>
      <c r="J5298" t="s">
        <v>7219</v>
      </c>
      <c r="L5298" t="s">
        <v>74</v>
      </c>
      <c r="M5298" t="s">
        <v>75</v>
      </c>
      <c r="R5298" t="s">
        <v>26104</v>
      </c>
      <c r="W5298" t="s">
        <v>26103</v>
      </c>
      <c r="X5298" t="s">
        <v>8509</v>
      </c>
      <c r="Y5298" t="s">
        <v>145</v>
      </c>
      <c r="Z5298" t="s">
        <v>77</v>
      </c>
      <c r="AA5298" t="str">
        <f>"11361-3241"</f>
        <v>11361-3241</v>
      </c>
      <c r="AB5298" t="s">
        <v>109</v>
      </c>
      <c r="AC5298" t="s">
        <v>79</v>
      </c>
      <c r="AD5298" t="s">
        <v>75</v>
      </c>
      <c r="AE5298" t="s">
        <v>80</v>
      </c>
      <c r="AG5298" t="s">
        <v>81</v>
      </c>
    </row>
    <row r="5299" spans="1:33" x14ac:dyDescent="0.25">
      <c r="A5299" t="str">
        <f>"1346476033"</f>
        <v>1346476033</v>
      </c>
      <c r="B5299" t="str">
        <f>"03113339"</f>
        <v>03113339</v>
      </c>
      <c r="C5299" t="s">
        <v>26105</v>
      </c>
      <c r="D5299" t="s">
        <v>26106</v>
      </c>
      <c r="E5299" t="s">
        <v>26107</v>
      </c>
      <c r="G5299" t="s">
        <v>7218</v>
      </c>
      <c r="H5299" t="s">
        <v>6801</v>
      </c>
      <c r="I5299">
        <v>6136</v>
      </c>
      <c r="J5299" t="s">
        <v>7219</v>
      </c>
      <c r="L5299" t="s">
        <v>74</v>
      </c>
      <c r="M5299" t="s">
        <v>75</v>
      </c>
      <c r="R5299" t="s">
        <v>26108</v>
      </c>
      <c r="W5299" t="s">
        <v>26109</v>
      </c>
      <c r="X5299" t="s">
        <v>26110</v>
      </c>
      <c r="Y5299" t="s">
        <v>2409</v>
      </c>
      <c r="Z5299" t="s">
        <v>77</v>
      </c>
      <c r="AA5299" t="str">
        <f>"11010-1222"</f>
        <v>11010-1222</v>
      </c>
      <c r="AB5299" t="s">
        <v>125</v>
      </c>
      <c r="AC5299" t="s">
        <v>79</v>
      </c>
      <c r="AD5299" t="s">
        <v>75</v>
      </c>
      <c r="AE5299" t="s">
        <v>80</v>
      </c>
      <c r="AG5299" t="s">
        <v>81</v>
      </c>
    </row>
    <row r="5300" spans="1:33" x14ac:dyDescent="0.25">
      <c r="A5300" t="str">
        <f>"1346490885"</f>
        <v>1346490885</v>
      </c>
      <c r="C5300" t="s">
        <v>26111</v>
      </c>
      <c r="G5300" t="s">
        <v>7218</v>
      </c>
      <c r="H5300" t="s">
        <v>6801</v>
      </c>
      <c r="I5300">
        <v>6136</v>
      </c>
      <c r="J5300" t="s">
        <v>7219</v>
      </c>
      <c r="K5300" t="s">
        <v>99</v>
      </c>
      <c r="L5300" t="s">
        <v>102</v>
      </c>
      <c r="M5300" t="s">
        <v>75</v>
      </c>
      <c r="R5300" t="s">
        <v>26112</v>
      </c>
      <c r="S5300" t="s">
        <v>6229</v>
      </c>
      <c r="T5300" t="s">
        <v>97</v>
      </c>
      <c r="U5300" t="s">
        <v>77</v>
      </c>
      <c r="V5300" t="str">
        <f>"100012320"</f>
        <v>100012320</v>
      </c>
      <c r="AC5300" t="s">
        <v>79</v>
      </c>
      <c r="AD5300" t="s">
        <v>75</v>
      </c>
      <c r="AE5300" t="s">
        <v>103</v>
      </c>
      <c r="AG5300" t="s">
        <v>81</v>
      </c>
    </row>
    <row r="5301" spans="1:33" x14ac:dyDescent="0.25">
      <c r="A5301" t="str">
        <f>"1346503570"</f>
        <v>1346503570</v>
      </c>
      <c r="B5301" t="str">
        <f>"03601301"</f>
        <v>03601301</v>
      </c>
      <c r="C5301" t="s">
        <v>26113</v>
      </c>
      <c r="D5301" t="s">
        <v>26114</v>
      </c>
      <c r="E5301" t="s">
        <v>26115</v>
      </c>
      <c r="G5301" t="s">
        <v>7218</v>
      </c>
      <c r="H5301" t="s">
        <v>6801</v>
      </c>
      <c r="I5301">
        <v>6136</v>
      </c>
      <c r="J5301" t="s">
        <v>7219</v>
      </c>
      <c r="L5301" t="s">
        <v>74</v>
      </c>
      <c r="M5301" t="s">
        <v>75</v>
      </c>
      <c r="R5301" t="s">
        <v>26115</v>
      </c>
      <c r="W5301" t="s">
        <v>26115</v>
      </c>
      <c r="X5301" t="s">
        <v>3458</v>
      </c>
      <c r="Y5301" t="s">
        <v>87</v>
      </c>
      <c r="Z5301" t="s">
        <v>77</v>
      </c>
      <c r="AA5301" t="str">
        <f>"11201-4300"</f>
        <v>11201-4300</v>
      </c>
      <c r="AB5301" t="s">
        <v>109</v>
      </c>
      <c r="AC5301" t="s">
        <v>79</v>
      </c>
      <c r="AD5301" t="s">
        <v>75</v>
      </c>
      <c r="AE5301" t="s">
        <v>80</v>
      </c>
      <c r="AG5301" t="s">
        <v>81</v>
      </c>
    </row>
    <row r="5302" spans="1:33" x14ac:dyDescent="0.25">
      <c r="A5302" t="str">
        <f>"1356425490"</f>
        <v>1356425490</v>
      </c>
      <c r="B5302" t="str">
        <f>"03637730"</f>
        <v>03637730</v>
      </c>
      <c r="C5302" t="s">
        <v>26116</v>
      </c>
      <c r="D5302" t="s">
        <v>26117</v>
      </c>
      <c r="E5302" t="s">
        <v>26118</v>
      </c>
      <c r="G5302" t="s">
        <v>7218</v>
      </c>
      <c r="H5302" t="s">
        <v>6801</v>
      </c>
      <c r="I5302">
        <v>6136</v>
      </c>
      <c r="J5302" t="s">
        <v>7219</v>
      </c>
      <c r="L5302" t="s">
        <v>74</v>
      </c>
      <c r="M5302" t="s">
        <v>75</v>
      </c>
      <c r="R5302" t="s">
        <v>26118</v>
      </c>
      <c r="W5302" t="s">
        <v>26118</v>
      </c>
      <c r="X5302" t="s">
        <v>8509</v>
      </c>
      <c r="Y5302" t="s">
        <v>145</v>
      </c>
      <c r="Z5302" t="s">
        <v>77</v>
      </c>
      <c r="AA5302" t="str">
        <f>"11361-3241"</f>
        <v>11361-3241</v>
      </c>
      <c r="AB5302" t="s">
        <v>113</v>
      </c>
      <c r="AC5302" t="s">
        <v>79</v>
      </c>
      <c r="AD5302" t="s">
        <v>75</v>
      </c>
      <c r="AE5302" t="s">
        <v>80</v>
      </c>
      <c r="AG5302" t="s">
        <v>81</v>
      </c>
    </row>
    <row r="5303" spans="1:33" x14ac:dyDescent="0.25">
      <c r="A5303" t="str">
        <f>"1356474068"</f>
        <v>1356474068</v>
      </c>
      <c r="B5303" t="str">
        <f>"03533997"</f>
        <v>03533997</v>
      </c>
      <c r="C5303" t="s">
        <v>26119</v>
      </c>
      <c r="D5303" t="s">
        <v>26120</v>
      </c>
      <c r="E5303" t="s">
        <v>26121</v>
      </c>
      <c r="G5303" t="s">
        <v>7218</v>
      </c>
      <c r="H5303" t="s">
        <v>6801</v>
      </c>
      <c r="I5303">
        <v>6136</v>
      </c>
      <c r="J5303" t="s">
        <v>7219</v>
      </c>
      <c r="L5303" t="s">
        <v>105</v>
      </c>
      <c r="M5303" t="s">
        <v>75</v>
      </c>
      <c r="R5303" t="s">
        <v>26122</v>
      </c>
      <c r="W5303" t="s">
        <v>26121</v>
      </c>
      <c r="X5303" t="s">
        <v>2997</v>
      </c>
      <c r="Y5303" t="s">
        <v>87</v>
      </c>
      <c r="Z5303" t="s">
        <v>77</v>
      </c>
      <c r="AA5303" t="str">
        <f>"11201-4333"</f>
        <v>11201-4333</v>
      </c>
      <c r="AB5303" t="s">
        <v>125</v>
      </c>
      <c r="AC5303" t="s">
        <v>79</v>
      </c>
      <c r="AD5303" t="s">
        <v>75</v>
      </c>
      <c r="AE5303" t="s">
        <v>80</v>
      </c>
      <c r="AG5303" t="s">
        <v>81</v>
      </c>
    </row>
    <row r="5304" spans="1:33" x14ac:dyDescent="0.25">
      <c r="A5304" t="str">
        <f>"1356549042"</f>
        <v>1356549042</v>
      </c>
      <c r="B5304" t="str">
        <f>"03512874"</f>
        <v>03512874</v>
      </c>
      <c r="C5304" t="s">
        <v>26123</v>
      </c>
      <c r="D5304" t="s">
        <v>26124</v>
      </c>
      <c r="E5304" t="s">
        <v>26125</v>
      </c>
      <c r="G5304" t="s">
        <v>7218</v>
      </c>
      <c r="H5304" t="s">
        <v>6801</v>
      </c>
      <c r="I5304">
        <v>6136</v>
      </c>
      <c r="J5304" t="s">
        <v>7219</v>
      </c>
      <c r="L5304" t="s">
        <v>74</v>
      </c>
      <c r="M5304" t="s">
        <v>75</v>
      </c>
      <c r="R5304" t="s">
        <v>26126</v>
      </c>
      <c r="W5304" t="s">
        <v>26125</v>
      </c>
      <c r="X5304" t="s">
        <v>9151</v>
      </c>
      <c r="Y5304" t="s">
        <v>97</v>
      </c>
      <c r="Z5304" t="s">
        <v>77</v>
      </c>
      <c r="AA5304" t="str">
        <f>"10001-2320"</f>
        <v>10001-2320</v>
      </c>
      <c r="AB5304" t="s">
        <v>125</v>
      </c>
      <c r="AC5304" t="s">
        <v>79</v>
      </c>
      <c r="AD5304" t="s">
        <v>75</v>
      </c>
      <c r="AE5304" t="s">
        <v>80</v>
      </c>
      <c r="AG5304" t="s">
        <v>81</v>
      </c>
    </row>
    <row r="5305" spans="1:33" x14ac:dyDescent="0.25">
      <c r="A5305" t="str">
        <f>"1659530335"</f>
        <v>1659530335</v>
      </c>
      <c r="B5305" t="str">
        <f>"03704029"</f>
        <v>03704029</v>
      </c>
      <c r="C5305" t="s">
        <v>26127</v>
      </c>
      <c r="D5305" t="s">
        <v>26128</v>
      </c>
      <c r="E5305" t="s">
        <v>26129</v>
      </c>
      <c r="G5305" t="s">
        <v>18627</v>
      </c>
      <c r="J5305" t="s">
        <v>18628</v>
      </c>
      <c r="L5305" t="s">
        <v>74</v>
      </c>
      <c r="M5305" t="s">
        <v>75</v>
      </c>
      <c r="R5305" t="s">
        <v>26130</v>
      </c>
      <c r="W5305" t="s">
        <v>26129</v>
      </c>
      <c r="X5305" t="s">
        <v>26131</v>
      </c>
      <c r="Y5305" t="s">
        <v>190</v>
      </c>
      <c r="Z5305" t="s">
        <v>77</v>
      </c>
      <c r="AA5305" t="str">
        <f>"11101-5465"</f>
        <v>11101-5465</v>
      </c>
      <c r="AB5305" t="s">
        <v>78</v>
      </c>
      <c r="AC5305" t="s">
        <v>79</v>
      </c>
      <c r="AD5305" t="s">
        <v>75</v>
      </c>
      <c r="AE5305" t="s">
        <v>80</v>
      </c>
      <c r="AG5305" t="s">
        <v>81</v>
      </c>
    </row>
    <row r="5306" spans="1:33" x14ac:dyDescent="0.25">
      <c r="A5306" t="str">
        <f>"1477699296"</f>
        <v>1477699296</v>
      </c>
      <c r="B5306" t="str">
        <f>"03089338"</f>
        <v>03089338</v>
      </c>
      <c r="C5306" t="s">
        <v>26132</v>
      </c>
      <c r="D5306" t="s">
        <v>26133</v>
      </c>
      <c r="E5306" t="s">
        <v>26134</v>
      </c>
      <c r="G5306" t="s">
        <v>18627</v>
      </c>
      <c r="J5306" t="s">
        <v>18628</v>
      </c>
      <c r="L5306" t="s">
        <v>74</v>
      </c>
      <c r="M5306" t="s">
        <v>75</v>
      </c>
      <c r="R5306" t="s">
        <v>26135</v>
      </c>
      <c r="W5306" t="s">
        <v>26134</v>
      </c>
      <c r="X5306" t="s">
        <v>26136</v>
      </c>
      <c r="Y5306" t="s">
        <v>87</v>
      </c>
      <c r="Z5306" t="s">
        <v>77</v>
      </c>
      <c r="AA5306" t="str">
        <f>"11201-5861"</f>
        <v>11201-5861</v>
      </c>
      <c r="AB5306" t="s">
        <v>78</v>
      </c>
      <c r="AC5306" t="s">
        <v>79</v>
      </c>
      <c r="AD5306" t="s">
        <v>75</v>
      </c>
      <c r="AE5306" t="s">
        <v>80</v>
      </c>
      <c r="AG5306" t="s">
        <v>81</v>
      </c>
    </row>
    <row r="5307" spans="1:33" x14ac:dyDescent="0.25">
      <c r="A5307" t="str">
        <f>"1194067132"</f>
        <v>1194067132</v>
      </c>
      <c r="C5307" t="s">
        <v>13436</v>
      </c>
      <c r="K5307" t="s">
        <v>99</v>
      </c>
      <c r="L5307" t="s">
        <v>102</v>
      </c>
      <c r="M5307" t="s">
        <v>75</v>
      </c>
      <c r="R5307" t="s">
        <v>26137</v>
      </c>
      <c r="S5307" t="s">
        <v>5050</v>
      </c>
      <c r="T5307" t="s">
        <v>97</v>
      </c>
      <c r="U5307" t="s">
        <v>77</v>
      </c>
      <c r="V5307" t="str">
        <f>"100296500"</f>
        <v>100296500</v>
      </c>
      <c r="AC5307" t="s">
        <v>79</v>
      </c>
      <c r="AD5307" t="s">
        <v>75</v>
      </c>
      <c r="AE5307" t="s">
        <v>103</v>
      </c>
      <c r="AG5307" t="s">
        <v>81</v>
      </c>
    </row>
    <row r="5308" spans="1:33" x14ac:dyDescent="0.25">
      <c r="A5308" t="str">
        <f>"1194068460"</f>
        <v>1194068460</v>
      </c>
      <c r="C5308" t="s">
        <v>13436</v>
      </c>
      <c r="K5308" t="s">
        <v>99</v>
      </c>
      <c r="L5308" t="s">
        <v>102</v>
      </c>
      <c r="M5308" t="s">
        <v>75</v>
      </c>
      <c r="R5308" t="s">
        <v>26138</v>
      </c>
      <c r="S5308" t="s">
        <v>26139</v>
      </c>
      <c r="T5308" t="s">
        <v>3826</v>
      </c>
      <c r="U5308" t="s">
        <v>77</v>
      </c>
      <c r="V5308" t="str">
        <f>"109503964"</f>
        <v>109503964</v>
      </c>
      <c r="AC5308" t="s">
        <v>79</v>
      </c>
      <c r="AD5308" t="s">
        <v>75</v>
      </c>
      <c r="AE5308" t="s">
        <v>103</v>
      </c>
      <c r="AG5308" t="s">
        <v>81</v>
      </c>
    </row>
    <row r="5309" spans="1:33" x14ac:dyDescent="0.25">
      <c r="A5309" t="str">
        <f>"1194080317"</f>
        <v>1194080317</v>
      </c>
      <c r="B5309" t="str">
        <f>"04452044"</f>
        <v>04452044</v>
      </c>
      <c r="C5309" t="s">
        <v>13436</v>
      </c>
      <c r="D5309" t="s">
        <v>26140</v>
      </c>
      <c r="E5309" t="s">
        <v>26141</v>
      </c>
      <c r="L5309" t="s">
        <v>74</v>
      </c>
      <c r="M5309" t="s">
        <v>75</v>
      </c>
      <c r="R5309" t="s">
        <v>26142</v>
      </c>
      <c r="W5309" t="s">
        <v>26141</v>
      </c>
      <c r="AB5309" t="s">
        <v>78</v>
      </c>
      <c r="AC5309" t="s">
        <v>79</v>
      </c>
      <c r="AD5309" t="s">
        <v>75</v>
      </c>
      <c r="AE5309" t="s">
        <v>80</v>
      </c>
      <c r="AG5309" t="s">
        <v>81</v>
      </c>
    </row>
    <row r="5310" spans="1:33" x14ac:dyDescent="0.25">
      <c r="A5310" t="str">
        <f>"1194082735"</f>
        <v>1194082735</v>
      </c>
      <c r="C5310" t="s">
        <v>13436</v>
      </c>
      <c r="K5310" t="s">
        <v>99</v>
      </c>
      <c r="L5310" t="s">
        <v>102</v>
      </c>
      <c r="M5310" t="s">
        <v>75</v>
      </c>
      <c r="R5310" t="s">
        <v>26143</v>
      </c>
      <c r="S5310" t="s">
        <v>26144</v>
      </c>
      <c r="T5310" t="s">
        <v>26145</v>
      </c>
      <c r="U5310" t="s">
        <v>123</v>
      </c>
      <c r="V5310" t="str">
        <f>"023591940"</f>
        <v>023591940</v>
      </c>
      <c r="AC5310" t="s">
        <v>79</v>
      </c>
      <c r="AD5310" t="s">
        <v>75</v>
      </c>
      <c r="AE5310" t="s">
        <v>103</v>
      </c>
      <c r="AG5310" t="s">
        <v>81</v>
      </c>
    </row>
    <row r="5311" spans="1:33" x14ac:dyDescent="0.25">
      <c r="A5311" t="str">
        <f>"1194087650"</f>
        <v>1194087650</v>
      </c>
      <c r="C5311" t="s">
        <v>13436</v>
      </c>
      <c r="K5311" t="s">
        <v>99</v>
      </c>
      <c r="L5311" t="s">
        <v>102</v>
      </c>
      <c r="M5311" t="s">
        <v>75</v>
      </c>
      <c r="R5311" t="s">
        <v>26146</v>
      </c>
      <c r="S5311" t="s">
        <v>5346</v>
      </c>
      <c r="T5311" t="s">
        <v>316</v>
      </c>
      <c r="U5311" t="s">
        <v>77</v>
      </c>
      <c r="V5311" t="str">
        <f>"108015247"</f>
        <v>108015247</v>
      </c>
      <c r="AC5311" t="s">
        <v>79</v>
      </c>
      <c r="AD5311" t="s">
        <v>75</v>
      </c>
      <c r="AE5311" t="s">
        <v>103</v>
      </c>
      <c r="AG5311" t="s">
        <v>81</v>
      </c>
    </row>
    <row r="5312" spans="1:33" x14ac:dyDescent="0.25">
      <c r="A5312" t="str">
        <f>"1194088518"</f>
        <v>1194088518</v>
      </c>
      <c r="C5312" t="s">
        <v>13436</v>
      </c>
      <c r="K5312" t="s">
        <v>99</v>
      </c>
      <c r="L5312" t="s">
        <v>102</v>
      </c>
      <c r="M5312" t="s">
        <v>75</v>
      </c>
      <c r="R5312" t="s">
        <v>26147</v>
      </c>
      <c r="S5312" t="s">
        <v>26148</v>
      </c>
      <c r="T5312" t="s">
        <v>97</v>
      </c>
      <c r="U5312" t="s">
        <v>77</v>
      </c>
      <c r="V5312" t="str">
        <f>"100296504"</f>
        <v>100296504</v>
      </c>
      <c r="AC5312" t="s">
        <v>79</v>
      </c>
      <c r="AD5312" t="s">
        <v>75</v>
      </c>
      <c r="AE5312" t="s">
        <v>103</v>
      </c>
      <c r="AG5312" t="s">
        <v>81</v>
      </c>
    </row>
    <row r="5313" spans="1:33" x14ac:dyDescent="0.25">
      <c r="A5313" t="str">
        <f>"1194091421"</f>
        <v>1194091421</v>
      </c>
      <c r="B5313" t="str">
        <f>"04278882"</f>
        <v>04278882</v>
      </c>
      <c r="C5313" t="s">
        <v>13436</v>
      </c>
      <c r="D5313" t="s">
        <v>26149</v>
      </c>
      <c r="E5313" t="s">
        <v>26150</v>
      </c>
      <c r="L5313" t="s">
        <v>74</v>
      </c>
      <c r="M5313" t="s">
        <v>75</v>
      </c>
      <c r="R5313" t="s">
        <v>26151</v>
      </c>
      <c r="W5313" t="s">
        <v>26150</v>
      </c>
      <c r="X5313" t="s">
        <v>329</v>
      </c>
      <c r="Y5313" t="s">
        <v>97</v>
      </c>
      <c r="Z5313" t="s">
        <v>77</v>
      </c>
      <c r="AA5313" t="str">
        <f>"10029-6504"</f>
        <v>10029-6504</v>
      </c>
      <c r="AB5313" t="s">
        <v>78</v>
      </c>
      <c r="AC5313" t="s">
        <v>79</v>
      </c>
      <c r="AD5313" t="s">
        <v>75</v>
      </c>
      <c r="AE5313" t="s">
        <v>80</v>
      </c>
      <c r="AG5313" t="s">
        <v>81</v>
      </c>
    </row>
    <row r="5314" spans="1:33" x14ac:dyDescent="0.25">
      <c r="A5314" t="str">
        <f>"1194091579"</f>
        <v>1194091579</v>
      </c>
      <c r="C5314" t="s">
        <v>13436</v>
      </c>
      <c r="K5314" t="s">
        <v>99</v>
      </c>
      <c r="L5314" t="s">
        <v>102</v>
      </c>
      <c r="M5314" t="s">
        <v>75</v>
      </c>
      <c r="R5314" t="s">
        <v>26152</v>
      </c>
      <c r="S5314" t="s">
        <v>181</v>
      </c>
      <c r="T5314" t="s">
        <v>97</v>
      </c>
      <c r="U5314" t="s">
        <v>77</v>
      </c>
      <c r="V5314" t="str">
        <f>"100251716"</f>
        <v>100251716</v>
      </c>
      <c r="AC5314" t="s">
        <v>79</v>
      </c>
      <c r="AD5314" t="s">
        <v>75</v>
      </c>
      <c r="AE5314" t="s">
        <v>103</v>
      </c>
      <c r="AG5314" t="s">
        <v>81</v>
      </c>
    </row>
    <row r="5315" spans="1:33" x14ac:dyDescent="0.25">
      <c r="A5315" t="str">
        <f>"1407135593"</f>
        <v>1407135593</v>
      </c>
      <c r="C5315" t="s">
        <v>13436</v>
      </c>
      <c r="K5315" t="s">
        <v>99</v>
      </c>
      <c r="L5315" t="s">
        <v>102</v>
      </c>
      <c r="M5315" t="s">
        <v>75</v>
      </c>
      <c r="R5315" t="s">
        <v>26153</v>
      </c>
      <c r="S5315" t="s">
        <v>26154</v>
      </c>
      <c r="T5315" t="s">
        <v>97</v>
      </c>
      <c r="U5315" t="s">
        <v>77</v>
      </c>
      <c r="V5315" t="str">
        <f>"100191147"</f>
        <v>100191147</v>
      </c>
      <c r="AC5315" t="s">
        <v>79</v>
      </c>
      <c r="AD5315" t="s">
        <v>75</v>
      </c>
      <c r="AE5315" t="s">
        <v>103</v>
      </c>
      <c r="AG5315" t="s">
        <v>81</v>
      </c>
    </row>
    <row r="5316" spans="1:33" x14ac:dyDescent="0.25">
      <c r="A5316" t="str">
        <f>"1407140767"</f>
        <v>1407140767</v>
      </c>
      <c r="C5316" t="s">
        <v>13436</v>
      </c>
      <c r="K5316" t="s">
        <v>99</v>
      </c>
      <c r="L5316" t="s">
        <v>102</v>
      </c>
      <c r="M5316" t="s">
        <v>75</v>
      </c>
      <c r="R5316" t="s">
        <v>26155</v>
      </c>
      <c r="S5316" t="s">
        <v>610</v>
      </c>
      <c r="T5316" t="s">
        <v>87</v>
      </c>
      <c r="U5316" t="s">
        <v>77</v>
      </c>
      <c r="V5316" t="str">
        <f>"112032012"</f>
        <v>112032012</v>
      </c>
      <c r="AC5316" t="s">
        <v>79</v>
      </c>
      <c r="AD5316" t="s">
        <v>75</v>
      </c>
      <c r="AE5316" t="s">
        <v>103</v>
      </c>
      <c r="AG5316" t="s">
        <v>81</v>
      </c>
    </row>
    <row r="5317" spans="1:33" x14ac:dyDescent="0.25">
      <c r="A5317" t="str">
        <f>"1407142540"</f>
        <v>1407142540</v>
      </c>
      <c r="C5317" t="s">
        <v>13436</v>
      </c>
      <c r="K5317" t="s">
        <v>99</v>
      </c>
      <c r="L5317" t="s">
        <v>102</v>
      </c>
      <c r="M5317" t="s">
        <v>75</v>
      </c>
      <c r="R5317" t="s">
        <v>26156</v>
      </c>
      <c r="S5317" t="s">
        <v>26157</v>
      </c>
      <c r="T5317" t="s">
        <v>1783</v>
      </c>
      <c r="U5317" t="s">
        <v>1784</v>
      </c>
      <c r="V5317" t="str">
        <f>"191483744"</f>
        <v>191483744</v>
      </c>
      <c r="AC5317" t="s">
        <v>79</v>
      </c>
      <c r="AD5317" t="s">
        <v>75</v>
      </c>
      <c r="AE5317" t="s">
        <v>103</v>
      </c>
      <c r="AG5317" t="s">
        <v>81</v>
      </c>
    </row>
    <row r="5318" spans="1:33" x14ac:dyDescent="0.25">
      <c r="A5318" t="str">
        <f>"1629120472"</f>
        <v>1629120472</v>
      </c>
      <c r="B5318" t="str">
        <f>"01457501"</f>
        <v>01457501</v>
      </c>
      <c r="C5318" t="s">
        <v>13436</v>
      </c>
      <c r="D5318" t="s">
        <v>26158</v>
      </c>
      <c r="E5318" t="s">
        <v>26159</v>
      </c>
      <c r="G5318" t="s">
        <v>26160</v>
      </c>
      <c r="L5318" t="s">
        <v>74</v>
      </c>
      <c r="M5318" t="s">
        <v>85</v>
      </c>
      <c r="R5318" t="s">
        <v>26161</v>
      </c>
      <c r="W5318" t="s">
        <v>26159</v>
      </c>
      <c r="X5318" t="s">
        <v>14807</v>
      </c>
      <c r="Y5318" t="s">
        <v>97</v>
      </c>
      <c r="Z5318" t="s">
        <v>77</v>
      </c>
      <c r="AA5318" t="str">
        <f>"10128-7603"</f>
        <v>10128-7603</v>
      </c>
      <c r="AB5318" t="s">
        <v>78</v>
      </c>
      <c r="AC5318" t="s">
        <v>79</v>
      </c>
      <c r="AD5318" t="s">
        <v>75</v>
      </c>
      <c r="AE5318" t="s">
        <v>80</v>
      </c>
      <c r="AG5318" t="s">
        <v>81</v>
      </c>
    </row>
    <row r="5319" spans="1:33" x14ac:dyDescent="0.25">
      <c r="A5319" t="str">
        <f>"1629237813"</f>
        <v>1629237813</v>
      </c>
      <c r="B5319" t="str">
        <f>"03038020"</f>
        <v>03038020</v>
      </c>
      <c r="C5319" t="s">
        <v>13436</v>
      </c>
      <c r="D5319" t="s">
        <v>26162</v>
      </c>
      <c r="E5319" t="s">
        <v>26163</v>
      </c>
      <c r="G5319" t="s">
        <v>26164</v>
      </c>
      <c r="L5319" t="s">
        <v>83</v>
      </c>
      <c r="M5319" t="s">
        <v>85</v>
      </c>
      <c r="R5319" t="s">
        <v>26165</v>
      </c>
      <c r="W5319" t="s">
        <v>26166</v>
      </c>
      <c r="X5319" t="s">
        <v>130</v>
      </c>
      <c r="Y5319" t="s">
        <v>131</v>
      </c>
      <c r="Z5319" t="s">
        <v>77</v>
      </c>
      <c r="AA5319" t="str">
        <f>"10461-1119"</f>
        <v>10461-1119</v>
      </c>
      <c r="AB5319" t="s">
        <v>78</v>
      </c>
      <c r="AC5319" t="s">
        <v>79</v>
      </c>
      <c r="AD5319" t="s">
        <v>75</v>
      </c>
      <c r="AE5319" t="s">
        <v>80</v>
      </c>
      <c r="AG5319" t="s">
        <v>81</v>
      </c>
    </row>
    <row r="5320" spans="1:33" x14ac:dyDescent="0.25">
      <c r="A5320" t="str">
        <f>"1639130925"</f>
        <v>1639130925</v>
      </c>
      <c r="B5320" t="str">
        <f>"01611545"</f>
        <v>01611545</v>
      </c>
      <c r="C5320" t="s">
        <v>13436</v>
      </c>
      <c r="D5320" t="s">
        <v>26167</v>
      </c>
      <c r="E5320" t="s">
        <v>26168</v>
      </c>
      <c r="G5320" t="s">
        <v>26169</v>
      </c>
      <c r="L5320" t="s">
        <v>83</v>
      </c>
      <c r="M5320" t="s">
        <v>85</v>
      </c>
      <c r="R5320" t="s">
        <v>26170</v>
      </c>
      <c r="W5320" t="s">
        <v>26171</v>
      </c>
      <c r="X5320" t="s">
        <v>610</v>
      </c>
      <c r="Y5320" t="s">
        <v>87</v>
      </c>
      <c r="Z5320" t="s">
        <v>77</v>
      </c>
      <c r="AA5320" t="str">
        <f>"11203-2056"</f>
        <v>11203-2056</v>
      </c>
      <c r="AB5320" t="s">
        <v>78</v>
      </c>
      <c r="AC5320" t="s">
        <v>79</v>
      </c>
      <c r="AD5320" t="s">
        <v>75</v>
      </c>
      <c r="AE5320" t="s">
        <v>80</v>
      </c>
      <c r="AG5320" t="s">
        <v>81</v>
      </c>
    </row>
    <row r="5321" spans="1:33" x14ac:dyDescent="0.25">
      <c r="A5321" t="str">
        <f>"1639142078"</f>
        <v>1639142078</v>
      </c>
      <c r="B5321" t="str">
        <f>"01851243"</f>
        <v>01851243</v>
      </c>
      <c r="C5321" t="s">
        <v>13436</v>
      </c>
      <c r="D5321" t="s">
        <v>26172</v>
      </c>
      <c r="E5321" t="s">
        <v>26173</v>
      </c>
      <c r="G5321" t="s">
        <v>26174</v>
      </c>
      <c r="L5321" t="s">
        <v>83</v>
      </c>
      <c r="M5321" t="s">
        <v>85</v>
      </c>
      <c r="R5321" t="s">
        <v>26175</v>
      </c>
      <c r="W5321" t="s">
        <v>26173</v>
      </c>
      <c r="X5321" t="s">
        <v>26176</v>
      </c>
      <c r="Y5321" t="s">
        <v>4529</v>
      </c>
      <c r="Z5321" t="s">
        <v>77</v>
      </c>
      <c r="AA5321" t="str">
        <f>"10530"</f>
        <v>10530</v>
      </c>
      <c r="AB5321" t="s">
        <v>78</v>
      </c>
      <c r="AC5321" t="s">
        <v>79</v>
      </c>
      <c r="AD5321" t="s">
        <v>75</v>
      </c>
      <c r="AE5321" t="s">
        <v>80</v>
      </c>
      <c r="AG5321" t="s">
        <v>81</v>
      </c>
    </row>
    <row r="5322" spans="1:33" x14ac:dyDescent="0.25">
      <c r="A5322" t="str">
        <f>"1639272883"</f>
        <v>1639272883</v>
      </c>
      <c r="B5322" t="str">
        <f>"01301239"</f>
        <v>01301239</v>
      </c>
      <c r="C5322" t="s">
        <v>13436</v>
      </c>
      <c r="D5322" t="s">
        <v>26177</v>
      </c>
      <c r="E5322" t="s">
        <v>26178</v>
      </c>
      <c r="G5322" t="s">
        <v>26179</v>
      </c>
      <c r="L5322" t="s">
        <v>83</v>
      </c>
      <c r="M5322" t="s">
        <v>85</v>
      </c>
      <c r="R5322" t="s">
        <v>26180</v>
      </c>
      <c r="W5322" t="s">
        <v>26178</v>
      </c>
      <c r="Y5322" t="s">
        <v>97</v>
      </c>
      <c r="Z5322" t="s">
        <v>77</v>
      </c>
      <c r="AA5322" t="str">
        <f>"10011-8305"</f>
        <v>10011-8305</v>
      </c>
      <c r="AB5322" t="s">
        <v>78</v>
      </c>
      <c r="AC5322" t="s">
        <v>79</v>
      </c>
      <c r="AD5322" t="s">
        <v>75</v>
      </c>
      <c r="AE5322" t="s">
        <v>80</v>
      </c>
      <c r="AG5322" t="s">
        <v>81</v>
      </c>
    </row>
    <row r="5323" spans="1:33" x14ac:dyDescent="0.25">
      <c r="A5323" t="str">
        <f>"1649362310"</f>
        <v>1649362310</v>
      </c>
      <c r="B5323" t="str">
        <f>"02666228"</f>
        <v>02666228</v>
      </c>
      <c r="C5323" t="s">
        <v>13436</v>
      </c>
      <c r="D5323" t="s">
        <v>26181</v>
      </c>
      <c r="E5323" t="s">
        <v>26182</v>
      </c>
      <c r="G5323" t="s">
        <v>26183</v>
      </c>
      <c r="L5323" t="s">
        <v>83</v>
      </c>
      <c r="M5323" t="s">
        <v>85</v>
      </c>
      <c r="R5323" t="s">
        <v>26184</v>
      </c>
      <c r="W5323" t="s">
        <v>26182</v>
      </c>
      <c r="X5323" t="s">
        <v>4799</v>
      </c>
      <c r="Y5323" t="s">
        <v>87</v>
      </c>
      <c r="Z5323" t="s">
        <v>77</v>
      </c>
      <c r="AA5323" t="str">
        <f>"11234-2625"</f>
        <v>11234-2625</v>
      </c>
      <c r="AB5323" t="s">
        <v>78</v>
      </c>
      <c r="AC5323" t="s">
        <v>79</v>
      </c>
      <c r="AD5323" t="s">
        <v>75</v>
      </c>
      <c r="AE5323" t="s">
        <v>80</v>
      </c>
      <c r="AG5323" t="s">
        <v>81</v>
      </c>
    </row>
    <row r="5324" spans="1:33" x14ac:dyDescent="0.25">
      <c r="A5324" t="str">
        <f>"1649362393"</f>
        <v>1649362393</v>
      </c>
      <c r="B5324" t="str">
        <f>"02815332"</f>
        <v>02815332</v>
      </c>
      <c r="C5324" t="s">
        <v>13436</v>
      </c>
      <c r="D5324" t="s">
        <v>26185</v>
      </c>
      <c r="E5324" t="s">
        <v>26186</v>
      </c>
      <c r="G5324" t="s">
        <v>26187</v>
      </c>
      <c r="L5324" t="s">
        <v>83</v>
      </c>
      <c r="M5324" t="s">
        <v>85</v>
      </c>
      <c r="R5324" t="s">
        <v>26188</v>
      </c>
      <c r="W5324" t="s">
        <v>26186</v>
      </c>
      <c r="X5324" t="s">
        <v>4799</v>
      </c>
      <c r="Y5324" t="s">
        <v>87</v>
      </c>
      <c r="Z5324" t="s">
        <v>77</v>
      </c>
      <c r="AA5324" t="str">
        <f>"11234-2625"</f>
        <v>11234-2625</v>
      </c>
      <c r="AB5324" t="s">
        <v>78</v>
      </c>
      <c r="AC5324" t="s">
        <v>79</v>
      </c>
      <c r="AD5324" t="s">
        <v>75</v>
      </c>
      <c r="AE5324" t="s">
        <v>80</v>
      </c>
      <c r="AG5324" t="s">
        <v>81</v>
      </c>
    </row>
    <row r="5325" spans="1:33" x14ac:dyDescent="0.25">
      <c r="A5325" t="str">
        <f>"1336467562"</f>
        <v>1336467562</v>
      </c>
      <c r="B5325" t="str">
        <f>"03253110"</f>
        <v>03253110</v>
      </c>
      <c r="C5325" t="s">
        <v>13436</v>
      </c>
      <c r="D5325" t="s">
        <v>26189</v>
      </c>
      <c r="E5325" t="s">
        <v>26190</v>
      </c>
      <c r="G5325" t="s">
        <v>26191</v>
      </c>
      <c r="L5325" t="s">
        <v>83</v>
      </c>
      <c r="M5325" t="s">
        <v>75</v>
      </c>
      <c r="R5325" t="s">
        <v>26192</v>
      </c>
      <c r="W5325" t="s">
        <v>26190</v>
      </c>
      <c r="X5325" t="s">
        <v>258</v>
      </c>
      <c r="Y5325" t="s">
        <v>131</v>
      </c>
      <c r="Z5325" t="s">
        <v>77</v>
      </c>
      <c r="AA5325" t="str">
        <f>"10467-2401"</f>
        <v>10467-2401</v>
      </c>
      <c r="AB5325" t="s">
        <v>78</v>
      </c>
      <c r="AC5325" t="s">
        <v>79</v>
      </c>
      <c r="AD5325" t="s">
        <v>75</v>
      </c>
      <c r="AE5325" t="s">
        <v>80</v>
      </c>
      <c r="AG5325" t="s">
        <v>81</v>
      </c>
    </row>
    <row r="5326" spans="1:33" x14ac:dyDescent="0.25">
      <c r="A5326" t="str">
        <f>"1336467885"</f>
        <v>1336467885</v>
      </c>
      <c r="B5326" t="str">
        <f>"04360587"</f>
        <v>04360587</v>
      </c>
      <c r="C5326" t="s">
        <v>13436</v>
      </c>
      <c r="D5326" t="s">
        <v>26193</v>
      </c>
      <c r="E5326" t="s">
        <v>26194</v>
      </c>
      <c r="L5326" t="s">
        <v>102</v>
      </c>
      <c r="M5326" t="s">
        <v>75</v>
      </c>
      <c r="R5326" t="s">
        <v>26194</v>
      </c>
      <c r="W5326" t="s">
        <v>26194</v>
      </c>
      <c r="X5326" t="s">
        <v>12304</v>
      </c>
      <c r="Y5326" t="s">
        <v>97</v>
      </c>
      <c r="Z5326" t="s">
        <v>77</v>
      </c>
      <c r="AA5326" t="str">
        <f>"10003-4201"</f>
        <v>10003-4201</v>
      </c>
      <c r="AB5326" t="s">
        <v>78</v>
      </c>
      <c r="AC5326" t="s">
        <v>79</v>
      </c>
      <c r="AD5326" t="s">
        <v>75</v>
      </c>
      <c r="AE5326" t="s">
        <v>80</v>
      </c>
      <c r="AG5326" t="s">
        <v>81</v>
      </c>
    </row>
    <row r="5327" spans="1:33" x14ac:dyDescent="0.25">
      <c r="A5327" t="str">
        <f>"1336481480"</f>
        <v>1336481480</v>
      </c>
      <c r="C5327" t="s">
        <v>13436</v>
      </c>
      <c r="K5327" t="s">
        <v>99</v>
      </c>
      <c r="L5327" t="s">
        <v>102</v>
      </c>
      <c r="M5327" t="s">
        <v>75</v>
      </c>
      <c r="R5327" t="s">
        <v>26195</v>
      </c>
      <c r="S5327" t="s">
        <v>26196</v>
      </c>
      <c r="T5327" t="s">
        <v>97</v>
      </c>
      <c r="U5327" t="s">
        <v>77</v>
      </c>
      <c r="V5327" t="str">
        <f>"10029"</f>
        <v>10029</v>
      </c>
      <c r="AC5327" t="s">
        <v>79</v>
      </c>
      <c r="AD5327" t="s">
        <v>75</v>
      </c>
      <c r="AE5327" t="s">
        <v>103</v>
      </c>
      <c r="AG5327" t="s">
        <v>81</v>
      </c>
    </row>
    <row r="5328" spans="1:33" x14ac:dyDescent="0.25">
      <c r="A5328" t="str">
        <f>"1942366257"</f>
        <v>1942366257</v>
      </c>
      <c r="B5328" t="str">
        <f>"02010002"</f>
        <v>02010002</v>
      </c>
      <c r="C5328" t="s">
        <v>13436</v>
      </c>
      <c r="D5328" t="s">
        <v>26197</v>
      </c>
      <c r="E5328" t="s">
        <v>26198</v>
      </c>
      <c r="G5328" t="s">
        <v>26199</v>
      </c>
      <c r="L5328" t="s">
        <v>74</v>
      </c>
      <c r="M5328" t="s">
        <v>85</v>
      </c>
      <c r="R5328" t="s">
        <v>26200</v>
      </c>
      <c r="W5328" t="s">
        <v>26198</v>
      </c>
      <c r="X5328" t="s">
        <v>3553</v>
      </c>
      <c r="Y5328" t="s">
        <v>97</v>
      </c>
      <c r="Z5328" t="s">
        <v>77</v>
      </c>
      <c r="AA5328" t="str">
        <f>"10003-3851"</f>
        <v>10003-3851</v>
      </c>
      <c r="AB5328" t="s">
        <v>78</v>
      </c>
      <c r="AC5328" t="s">
        <v>79</v>
      </c>
      <c r="AD5328" t="s">
        <v>75</v>
      </c>
      <c r="AE5328" t="s">
        <v>80</v>
      </c>
      <c r="AG5328" t="s">
        <v>81</v>
      </c>
    </row>
    <row r="5329" spans="1:33" x14ac:dyDescent="0.25">
      <c r="A5329" t="str">
        <f>"1801971270"</f>
        <v>1801971270</v>
      </c>
      <c r="B5329" t="str">
        <f>"00891589"</f>
        <v>00891589</v>
      </c>
      <c r="C5329" t="s">
        <v>13436</v>
      </c>
      <c r="D5329" t="s">
        <v>6109</v>
      </c>
      <c r="E5329" t="s">
        <v>6110</v>
      </c>
      <c r="G5329" t="s">
        <v>26201</v>
      </c>
      <c r="L5329" t="s">
        <v>83</v>
      </c>
      <c r="M5329" t="s">
        <v>85</v>
      </c>
      <c r="R5329" t="s">
        <v>6111</v>
      </c>
      <c r="W5329" t="s">
        <v>6110</v>
      </c>
      <c r="X5329" t="s">
        <v>6112</v>
      </c>
      <c r="Y5329" t="s">
        <v>97</v>
      </c>
      <c r="Z5329" t="s">
        <v>77</v>
      </c>
      <c r="AA5329" t="str">
        <f>"10019"</f>
        <v>10019</v>
      </c>
      <c r="AB5329" t="s">
        <v>78</v>
      </c>
      <c r="AC5329" t="s">
        <v>79</v>
      </c>
      <c r="AD5329" t="s">
        <v>75</v>
      </c>
      <c r="AE5329" t="s">
        <v>80</v>
      </c>
      <c r="AG5329" t="s">
        <v>81</v>
      </c>
    </row>
    <row r="5330" spans="1:33" x14ac:dyDescent="0.25">
      <c r="A5330" t="str">
        <f>"1811044001"</f>
        <v>1811044001</v>
      </c>
      <c r="B5330" t="str">
        <f>"02899461"</f>
        <v>02899461</v>
      </c>
      <c r="C5330" t="s">
        <v>13436</v>
      </c>
      <c r="D5330" t="s">
        <v>26202</v>
      </c>
      <c r="E5330" t="s">
        <v>26203</v>
      </c>
      <c r="G5330" t="s">
        <v>26204</v>
      </c>
      <c r="L5330" t="s">
        <v>83</v>
      </c>
      <c r="M5330" t="s">
        <v>85</v>
      </c>
      <c r="R5330" t="s">
        <v>26205</v>
      </c>
      <c r="W5330" t="s">
        <v>26203</v>
      </c>
      <c r="X5330" t="s">
        <v>191</v>
      </c>
      <c r="Y5330" t="s">
        <v>97</v>
      </c>
      <c r="Z5330" t="s">
        <v>77</v>
      </c>
      <c r="AA5330" t="str">
        <f>"10019-1147"</f>
        <v>10019-1147</v>
      </c>
      <c r="AB5330" t="s">
        <v>78</v>
      </c>
      <c r="AC5330" t="s">
        <v>79</v>
      </c>
      <c r="AD5330" t="s">
        <v>75</v>
      </c>
      <c r="AE5330" t="s">
        <v>80</v>
      </c>
      <c r="AG5330" t="s">
        <v>81</v>
      </c>
    </row>
    <row r="5331" spans="1:33" x14ac:dyDescent="0.25">
      <c r="A5331" t="str">
        <f>"1346391174"</f>
        <v>1346391174</v>
      </c>
      <c r="B5331" t="str">
        <f>"01673692"</f>
        <v>01673692</v>
      </c>
      <c r="C5331" t="s">
        <v>13436</v>
      </c>
      <c r="D5331" t="s">
        <v>26206</v>
      </c>
      <c r="E5331" t="s">
        <v>26207</v>
      </c>
      <c r="G5331" t="s">
        <v>26208</v>
      </c>
      <c r="L5331" t="s">
        <v>84</v>
      </c>
      <c r="M5331" t="s">
        <v>85</v>
      </c>
      <c r="R5331" t="s">
        <v>26209</v>
      </c>
      <c r="W5331" t="s">
        <v>26210</v>
      </c>
      <c r="X5331" t="s">
        <v>26211</v>
      </c>
      <c r="Y5331" t="s">
        <v>87</v>
      </c>
      <c r="Z5331" t="s">
        <v>77</v>
      </c>
      <c r="AA5331" t="str">
        <f>"11228-2494"</f>
        <v>11228-2494</v>
      </c>
      <c r="AB5331" t="s">
        <v>78</v>
      </c>
      <c r="AC5331" t="s">
        <v>79</v>
      </c>
      <c r="AD5331" t="s">
        <v>75</v>
      </c>
      <c r="AE5331" t="s">
        <v>80</v>
      </c>
      <c r="AG5331" t="s">
        <v>81</v>
      </c>
    </row>
    <row r="5332" spans="1:33" x14ac:dyDescent="0.25">
      <c r="A5332" t="str">
        <f>"1992780845"</f>
        <v>1992780845</v>
      </c>
      <c r="B5332" t="str">
        <f>"01774836"</f>
        <v>01774836</v>
      </c>
      <c r="C5332" t="s">
        <v>13436</v>
      </c>
      <c r="D5332" t="s">
        <v>26212</v>
      </c>
      <c r="E5332" t="s">
        <v>26213</v>
      </c>
      <c r="G5332" t="s">
        <v>26214</v>
      </c>
      <c r="L5332" t="s">
        <v>94</v>
      </c>
      <c r="M5332" t="s">
        <v>85</v>
      </c>
      <c r="R5332" t="s">
        <v>26215</v>
      </c>
      <c r="W5332" t="s">
        <v>26213</v>
      </c>
      <c r="X5332" t="s">
        <v>1032</v>
      </c>
      <c r="Y5332" t="s">
        <v>97</v>
      </c>
      <c r="Z5332" t="s">
        <v>77</v>
      </c>
      <c r="AA5332" t="str">
        <f>"10003-3804"</f>
        <v>10003-3804</v>
      </c>
      <c r="AB5332" t="s">
        <v>78</v>
      </c>
      <c r="AC5332" t="s">
        <v>79</v>
      </c>
      <c r="AD5332" t="s">
        <v>75</v>
      </c>
      <c r="AE5332" t="s">
        <v>80</v>
      </c>
      <c r="AG5332" t="s">
        <v>81</v>
      </c>
    </row>
    <row r="5333" spans="1:33" x14ac:dyDescent="0.25">
      <c r="A5333" t="str">
        <f>"1992907919"</f>
        <v>1992907919</v>
      </c>
      <c r="C5333" t="s">
        <v>13436</v>
      </c>
      <c r="G5333" t="s">
        <v>26216</v>
      </c>
      <c r="K5333" t="s">
        <v>99</v>
      </c>
      <c r="L5333" t="s">
        <v>102</v>
      </c>
      <c r="M5333" t="s">
        <v>85</v>
      </c>
      <c r="R5333" t="s">
        <v>26217</v>
      </c>
      <c r="S5333" t="s">
        <v>26218</v>
      </c>
      <c r="T5333" t="s">
        <v>97</v>
      </c>
      <c r="U5333" t="s">
        <v>77</v>
      </c>
      <c r="V5333" t="str">
        <f>"10019"</f>
        <v>10019</v>
      </c>
      <c r="AC5333" t="s">
        <v>79</v>
      </c>
      <c r="AD5333" t="s">
        <v>75</v>
      </c>
      <c r="AE5333" t="s">
        <v>103</v>
      </c>
      <c r="AG5333" t="s">
        <v>81</v>
      </c>
    </row>
    <row r="5334" spans="1:33" x14ac:dyDescent="0.25">
      <c r="A5334" t="str">
        <f>"1003010406"</f>
        <v>1003010406</v>
      </c>
      <c r="B5334" t="str">
        <f>"03474095"</f>
        <v>03474095</v>
      </c>
      <c r="C5334" t="s">
        <v>13436</v>
      </c>
      <c r="D5334" t="s">
        <v>26219</v>
      </c>
      <c r="E5334" t="s">
        <v>26220</v>
      </c>
      <c r="G5334" t="s">
        <v>26221</v>
      </c>
      <c r="L5334" t="s">
        <v>74</v>
      </c>
      <c r="M5334" t="s">
        <v>85</v>
      </c>
      <c r="R5334" t="s">
        <v>26222</v>
      </c>
      <c r="W5334" t="s">
        <v>26223</v>
      </c>
      <c r="X5334" t="s">
        <v>329</v>
      </c>
      <c r="Y5334" t="s">
        <v>97</v>
      </c>
      <c r="Z5334" t="s">
        <v>77</v>
      </c>
      <c r="AA5334" t="str">
        <f>"10029-6500"</f>
        <v>10029-6500</v>
      </c>
      <c r="AB5334" t="s">
        <v>78</v>
      </c>
      <c r="AC5334" t="s">
        <v>79</v>
      </c>
      <c r="AD5334" t="s">
        <v>75</v>
      </c>
      <c r="AE5334" t="s">
        <v>80</v>
      </c>
      <c r="AG5334" t="s">
        <v>81</v>
      </c>
    </row>
    <row r="5335" spans="1:33" x14ac:dyDescent="0.25">
      <c r="A5335" t="str">
        <f>"1003104753"</f>
        <v>1003104753</v>
      </c>
      <c r="B5335" t="str">
        <f>"03759340"</f>
        <v>03759340</v>
      </c>
      <c r="C5335" t="s">
        <v>13436</v>
      </c>
      <c r="D5335" t="s">
        <v>26224</v>
      </c>
      <c r="E5335" t="s">
        <v>26225</v>
      </c>
      <c r="G5335" t="s">
        <v>26226</v>
      </c>
      <c r="L5335" t="s">
        <v>102</v>
      </c>
      <c r="M5335" t="s">
        <v>75</v>
      </c>
      <c r="R5335" t="s">
        <v>26227</v>
      </c>
      <c r="W5335" t="s">
        <v>26225</v>
      </c>
      <c r="X5335" t="s">
        <v>26228</v>
      </c>
      <c r="Y5335" t="s">
        <v>97</v>
      </c>
      <c r="Z5335" t="s">
        <v>77</v>
      </c>
      <c r="AA5335" t="str">
        <f>"10029-6504"</f>
        <v>10029-6504</v>
      </c>
      <c r="AB5335" t="s">
        <v>78</v>
      </c>
      <c r="AC5335" t="s">
        <v>79</v>
      </c>
      <c r="AD5335" t="s">
        <v>75</v>
      </c>
      <c r="AE5335" t="s">
        <v>80</v>
      </c>
      <c r="AG5335" t="s">
        <v>81</v>
      </c>
    </row>
    <row r="5336" spans="1:33" x14ac:dyDescent="0.25">
      <c r="A5336" t="str">
        <f>"1003878372"</f>
        <v>1003878372</v>
      </c>
      <c r="B5336" t="str">
        <f>"01921360"</f>
        <v>01921360</v>
      </c>
      <c r="C5336" t="s">
        <v>13436</v>
      </c>
      <c r="D5336" t="s">
        <v>1479</v>
      </c>
      <c r="E5336" t="s">
        <v>1480</v>
      </c>
      <c r="G5336" t="s">
        <v>26229</v>
      </c>
      <c r="L5336" t="s">
        <v>94</v>
      </c>
      <c r="M5336" t="s">
        <v>75</v>
      </c>
      <c r="R5336" t="s">
        <v>1478</v>
      </c>
      <c r="W5336" t="s">
        <v>1480</v>
      </c>
      <c r="X5336" t="s">
        <v>202</v>
      </c>
      <c r="Y5336" t="s">
        <v>87</v>
      </c>
      <c r="Z5336" t="s">
        <v>77</v>
      </c>
      <c r="AA5336" t="str">
        <f>"11201-5425"</f>
        <v>11201-5425</v>
      </c>
      <c r="AB5336" t="s">
        <v>78</v>
      </c>
      <c r="AC5336" t="s">
        <v>79</v>
      </c>
      <c r="AD5336" t="s">
        <v>75</v>
      </c>
      <c r="AE5336" t="s">
        <v>80</v>
      </c>
      <c r="AG5336" t="s">
        <v>81</v>
      </c>
    </row>
    <row r="5337" spans="1:33" x14ac:dyDescent="0.25">
      <c r="A5337" t="str">
        <f>"1013034859"</f>
        <v>1013034859</v>
      </c>
      <c r="B5337" t="str">
        <f>"02926245"</f>
        <v>02926245</v>
      </c>
      <c r="C5337" t="s">
        <v>13436</v>
      </c>
      <c r="D5337" t="s">
        <v>26230</v>
      </c>
      <c r="E5337" t="s">
        <v>26231</v>
      </c>
      <c r="G5337" t="s">
        <v>26232</v>
      </c>
      <c r="L5337" t="s">
        <v>83</v>
      </c>
      <c r="M5337" t="s">
        <v>75</v>
      </c>
      <c r="R5337" t="s">
        <v>26231</v>
      </c>
      <c r="W5337" t="s">
        <v>26231</v>
      </c>
      <c r="X5337" t="s">
        <v>2587</v>
      </c>
      <c r="Y5337" t="s">
        <v>97</v>
      </c>
      <c r="Z5337" t="s">
        <v>77</v>
      </c>
      <c r="AA5337" t="str">
        <f>"10003-3314"</f>
        <v>10003-3314</v>
      </c>
      <c r="AB5337" t="s">
        <v>78</v>
      </c>
      <c r="AC5337" t="s">
        <v>79</v>
      </c>
      <c r="AD5337" t="s">
        <v>75</v>
      </c>
      <c r="AE5337" t="s">
        <v>80</v>
      </c>
      <c r="AG5337" t="s">
        <v>81</v>
      </c>
    </row>
    <row r="5338" spans="1:33" x14ac:dyDescent="0.25">
      <c r="A5338" t="str">
        <f>"1548536410"</f>
        <v>1548536410</v>
      </c>
      <c r="C5338" t="s">
        <v>13436</v>
      </c>
      <c r="K5338" t="s">
        <v>99</v>
      </c>
      <c r="L5338" t="s">
        <v>102</v>
      </c>
      <c r="M5338" t="s">
        <v>75</v>
      </c>
      <c r="R5338" t="s">
        <v>26233</v>
      </c>
      <c r="S5338" t="s">
        <v>26234</v>
      </c>
      <c r="T5338" t="s">
        <v>4651</v>
      </c>
      <c r="U5338" t="s">
        <v>2659</v>
      </c>
      <c r="V5338" t="str">
        <f>"981950001"</f>
        <v>981950001</v>
      </c>
      <c r="AC5338" t="s">
        <v>79</v>
      </c>
      <c r="AD5338" t="s">
        <v>75</v>
      </c>
      <c r="AE5338" t="s">
        <v>103</v>
      </c>
      <c r="AG5338" t="s">
        <v>81</v>
      </c>
    </row>
    <row r="5339" spans="1:33" x14ac:dyDescent="0.25">
      <c r="A5339" t="str">
        <f>"1548536436"</f>
        <v>1548536436</v>
      </c>
      <c r="C5339" t="s">
        <v>13436</v>
      </c>
      <c r="K5339" t="s">
        <v>99</v>
      </c>
      <c r="L5339" t="s">
        <v>102</v>
      </c>
      <c r="M5339" t="s">
        <v>75</v>
      </c>
      <c r="R5339" t="s">
        <v>26235</v>
      </c>
      <c r="S5339" t="s">
        <v>26236</v>
      </c>
      <c r="T5339" t="s">
        <v>97</v>
      </c>
      <c r="U5339" t="s">
        <v>77</v>
      </c>
      <c r="V5339" t="str">
        <f>"100296500"</f>
        <v>100296500</v>
      </c>
      <c r="AC5339" t="s">
        <v>79</v>
      </c>
      <c r="AD5339" t="s">
        <v>75</v>
      </c>
      <c r="AE5339" t="s">
        <v>103</v>
      </c>
      <c r="AG5339" t="s">
        <v>81</v>
      </c>
    </row>
    <row r="5340" spans="1:33" x14ac:dyDescent="0.25">
      <c r="A5340" t="str">
        <f>"1003855610"</f>
        <v>1003855610</v>
      </c>
      <c r="B5340" t="str">
        <f>"01477114"</f>
        <v>01477114</v>
      </c>
      <c r="C5340" t="s">
        <v>13436</v>
      </c>
      <c r="D5340" t="s">
        <v>26237</v>
      </c>
      <c r="E5340" t="s">
        <v>26238</v>
      </c>
      <c r="G5340" t="s">
        <v>26239</v>
      </c>
      <c r="L5340" t="s">
        <v>74</v>
      </c>
      <c r="M5340" t="s">
        <v>75</v>
      </c>
      <c r="R5340" t="s">
        <v>26240</v>
      </c>
      <c r="W5340" t="s">
        <v>26238</v>
      </c>
      <c r="X5340" t="s">
        <v>188</v>
      </c>
      <c r="Y5340" t="s">
        <v>164</v>
      </c>
      <c r="Z5340" t="s">
        <v>77</v>
      </c>
      <c r="AA5340" t="str">
        <f>"11554-1859"</f>
        <v>11554-1859</v>
      </c>
      <c r="AB5340" t="s">
        <v>78</v>
      </c>
      <c r="AC5340" t="s">
        <v>79</v>
      </c>
      <c r="AD5340" t="s">
        <v>75</v>
      </c>
      <c r="AE5340" t="s">
        <v>80</v>
      </c>
      <c r="AG5340" t="s">
        <v>81</v>
      </c>
    </row>
    <row r="5341" spans="1:33" x14ac:dyDescent="0.25">
      <c r="A5341" t="str">
        <f>"1316034820"</f>
        <v>1316034820</v>
      </c>
      <c r="B5341" t="str">
        <f>"01369786"</f>
        <v>01369786</v>
      </c>
      <c r="C5341" t="s">
        <v>13436</v>
      </c>
      <c r="D5341" t="s">
        <v>26241</v>
      </c>
      <c r="E5341" t="s">
        <v>26242</v>
      </c>
      <c r="L5341" t="s">
        <v>84</v>
      </c>
      <c r="M5341" t="s">
        <v>85</v>
      </c>
      <c r="R5341" t="s">
        <v>26243</v>
      </c>
      <c r="W5341" t="s">
        <v>26242</v>
      </c>
      <c r="X5341" t="s">
        <v>26244</v>
      </c>
      <c r="Y5341" t="s">
        <v>171</v>
      </c>
      <c r="Z5341" t="s">
        <v>77</v>
      </c>
      <c r="AA5341" t="str">
        <f>"11432-3730"</f>
        <v>11432-3730</v>
      </c>
      <c r="AB5341" t="s">
        <v>78</v>
      </c>
      <c r="AC5341" t="s">
        <v>79</v>
      </c>
      <c r="AD5341" t="s">
        <v>75</v>
      </c>
      <c r="AE5341" t="s">
        <v>80</v>
      </c>
      <c r="AG5341" t="s">
        <v>81</v>
      </c>
    </row>
    <row r="5342" spans="1:33" x14ac:dyDescent="0.25">
      <c r="A5342" t="str">
        <f>"1316100944"</f>
        <v>1316100944</v>
      </c>
      <c r="B5342" t="str">
        <f>"03401530"</f>
        <v>03401530</v>
      </c>
      <c r="C5342" t="s">
        <v>13436</v>
      </c>
      <c r="D5342" t="s">
        <v>26245</v>
      </c>
      <c r="E5342" t="s">
        <v>26246</v>
      </c>
      <c r="L5342" t="s">
        <v>84</v>
      </c>
      <c r="M5342" t="s">
        <v>85</v>
      </c>
      <c r="R5342" t="s">
        <v>26247</v>
      </c>
      <c r="W5342" t="s">
        <v>26246</v>
      </c>
      <c r="X5342" t="s">
        <v>26248</v>
      </c>
      <c r="Y5342" t="s">
        <v>97</v>
      </c>
      <c r="Z5342" t="s">
        <v>77</v>
      </c>
      <c r="AA5342" t="str">
        <f>"10025-2021"</f>
        <v>10025-2021</v>
      </c>
      <c r="AB5342" t="s">
        <v>78</v>
      </c>
      <c r="AC5342" t="s">
        <v>79</v>
      </c>
      <c r="AD5342" t="s">
        <v>75</v>
      </c>
      <c r="AE5342" t="s">
        <v>80</v>
      </c>
      <c r="AG5342" t="s">
        <v>81</v>
      </c>
    </row>
    <row r="5343" spans="1:33" x14ac:dyDescent="0.25">
      <c r="A5343" t="str">
        <f>"1316203250"</f>
        <v>1316203250</v>
      </c>
      <c r="C5343" t="s">
        <v>13436</v>
      </c>
      <c r="K5343" t="s">
        <v>99</v>
      </c>
      <c r="L5343" t="s">
        <v>102</v>
      </c>
      <c r="M5343" t="s">
        <v>75</v>
      </c>
      <c r="R5343" t="s">
        <v>26249</v>
      </c>
      <c r="S5343" t="s">
        <v>26250</v>
      </c>
      <c r="T5343" t="s">
        <v>308</v>
      </c>
      <c r="U5343" t="s">
        <v>2595</v>
      </c>
      <c r="V5343" t="str">
        <f>"928817272"</f>
        <v>928817272</v>
      </c>
      <c r="AC5343" t="s">
        <v>79</v>
      </c>
      <c r="AD5343" t="s">
        <v>75</v>
      </c>
      <c r="AE5343" t="s">
        <v>103</v>
      </c>
      <c r="AG5343" t="s">
        <v>81</v>
      </c>
    </row>
    <row r="5344" spans="1:33" x14ac:dyDescent="0.25">
      <c r="A5344" t="str">
        <f>"1336262591"</f>
        <v>1336262591</v>
      </c>
      <c r="B5344" t="str">
        <f>"03161048"</f>
        <v>03161048</v>
      </c>
      <c r="C5344" t="s">
        <v>13436</v>
      </c>
      <c r="D5344" t="s">
        <v>26251</v>
      </c>
      <c r="E5344" t="s">
        <v>26252</v>
      </c>
      <c r="G5344" t="s">
        <v>26253</v>
      </c>
      <c r="L5344" t="s">
        <v>83</v>
      </c>
      <c r="M5344" t="s">
        <v>75</v>
      </c>
      <c r="R5344" t="s">
        <v>26254</v>
      </c>
      <c r="W5344" t="s">
        <v>26252</v>
      </c>
      <c r="X5344" t="s">
        <v>191</v>
      </c>
      <c r="Y5344" t="s">
        <v>97</v>
      </c>
      <c r="Z5344" t="s">
        <v>77</v>
      </c>
      <c r="AA5344" t="str">
        <f>"10019-1147"</f>
        <v>10019-1147</v>
      </c>
      <c r="AB5344" t="s">
        <v>78</v>
      </c>
      <c r="AC5344" t="s">
        <v>79</v>
      </c>
      <c r="AD5344" t="s">
        <v>75</v>
      </c>
      <c r="AE5344" t="s">
        <v>80</v>
      </c>
      <c r="AG5344" t="s">
        <v>81</v>
      </c>
    </row>
    <row r="5345" spans="1:33" x14ac:dyDescent="0.25">
      <c r="A5345" t="str">
        <f>"1548502396"</f>
        <v>1548502396</v>
      </c>
      <c r="C5345" t="s">
        <v>13436</v>
      </c>
      <c r="K5345" t="s">
        <v>99</v>
      </c>
      <c r="L5345" t="s">
        <v>102</v>
      </c>
      <c r="M5345" t="s">
        <v>75</v>
      </c>
      <c r="R5345" t="s">
        <v>26255</v>
      </c>
      <c r="S5345" t="s">
        <v>26256</v>
      </c>
      <c r="T5345" t="s">
        <v>1846</v>
      </c>
      <c r="U5345" t="s">
        <v>1784</v>
      </c>
      <c r="V5345" t="str">
        <f>"152071257"</f>
        <v>152071257</v>
      </c>
      <c r="AC5345" t="s">
        <v>79</v>
      </c>
      <c r="AD5345" t="s">
        <v>75</v>
      </c>
      <c r="AE5345" t="s">
        <v>103</v>
      </c>
      <c r="AG5345" t="s">
        <v>81</v>
      </c>
    </row>
    <row r="5346" spans="1:33" x14ac:dyDescent="0.25">
      <c r="A5346" t="str">
        <f>"1548535628"</f>
        <v>1548535628</v>
      </c>
      <c r="C5346" t="s">
        <v>13436</v>
      </c>
      <c r="K5346" t="s">
        <v>99</v>
      </c>
      <c r="L5346" t="s">
        <v>102</v>
      </c>
      <c r="M5346" t="s">
        <v>75</v>
      </c>
      <c r="R5346" t="s">
        <v>26257</v>
      </c>
      <c r="S5346" t="s">
        <v>26258</v>
      </c>
      <c r="T5346" t="s">
        <v>1783</v>
      </c>
      <c r="U5346" t="s">
        <v>1784</v>
      </c>
      <c r="V5346" t="str">
        <f>"191311610"</f>
        <v>191311610</v>
      </c>
      <c r="AC5346" t="s">
        <v>79</v>
      </c>
      <c r="AD5346" t="s">
        <v>75</v>
      </c>
      <c r="AE5346" t="s">
        <v>103</v>
      </c>
      <c r="AG5346" t="s">
        <v>81</v>
      </c>
    </row>
    <row r="5347" spans="1:33" x14ac:dyDescent="0.25">
      <c r="A5347" t="str">
        <f>"1548535735"</f>
        <v>1548535735</v>
      </c>
      <c r="B5347" t="str">
        <f>"04274604"</f>
        <v>04274604</v>
      </c>
      <c r="C5347" t="s">
        <v>13436</v>
      </c>
      <c r="D5347" t="s">
        <v>26259</v>
      </c>
      <c r="E5347" t="s">
        <v>26260</v>
      </c>
      <c r="L5347" t="s">
        <v>74</v>
      </c>
      <c r="M5347" t="s">
        <v>75</v>
      </c>
      <c r="R5347" t="s">
        <v>26261</v>
      </c>
      <c r="W5347" t="s">
        <v>26260</v>
      </c>
      <c r="X5347" t="s">
        <v>329</v>
      </c>
      <c r="Y5347" t="s">
        <v>97</v>
      </c>
      <c r="Z5347" t="s">
        <v>77</v>
      </c>
      <c r="AA5347" t="str">
        <f>"10029-6504"</f>
        <v>10029-6504</v>
      </c>
      <c r="AB5347" t="s">
        <v>78</v>
      </c>
      <c r="AC5347" t="s">
        <v>79</v>
      </c>
      <c r="AD5347" t="s">
        <v>75</v>
      </c>
      <c r="AE5347" t="s">
        <v>80</v>
      </c>
      <c r="AG5347" t="s">
        <v>81</v>
      </c>
    </row>
    <row r="5348" spans="1:33" x14ac:dyDescent="0.25">
      <c r="A5348" t="str">
        <f>"1356467351"</f>
        <v>1356467351</v>
      </c>
      <c r="B5348" t="str">
        <f>"02886097"</f>
        <v>02886097</v>
      </c>
      <c r="C5348" t="s">
        <v>13436</v>
      </c>
      <c r="D5348" t="s">
        <v>26262</v>
      </c>
      <c r="E5348" t="s">
        <v>26263</v>
      </c>
      <c r="G5348" t="s">
        <v>26264</v>
      </c>
      <c r="L5348" t="s">
        <v>83</v>
      </c>
      <c r="M5348" t="s">
        <v>85</v>
      </c>
      <c r="R5348" t="s">
        <v>26265</v>
      </c>
      <c r="W5348" t="s">
        <v>26263</v>
      </c>
      <c r="X5348" t="s">
        <v>329</v>
      </c>
      <c r="Y5348" t="s">
        <v>97</v>
      </c>
      <c r="Z5348" t="s">
        <v>77</v>
      </c>
      <c r="AA5348" t="str">
        <f>"10029-6504"</f>
        <v>10029-6504</v>
      </c>
      <c r="AB5348" t="s">
        <v>78</v>
      </c>
      <c r="AC5348" t="s">
        <v>79</v>
      </c>
      <c r="AD5348" t="s">
        <v>75</v>
      </c>
      <c r="AE5348" t="s">
        <v>80</v>
      </c>
      <c r="AG5348" t="s">
        <v>81</v>
      </c>
    </row>
    <row r="5349" spans="1:33" x14ac:dyDescent="0.25">
      <c r="A5349" t="str">
        <f>"1356505143"</f>
        <v>1356505143</v>
      </c>
      <c r="B5349" t="str">
        <f>"04002535"</f>
        <v>04002535</v>
      </c>
      <c r="C5349" t="s">
        <v>13436</v>
      </c>
      <c r="D5349" t="s">
        <v>26266</v>
      </c>
      <c r="E5349" t="s">
        <v>26267</v>
      </c>
      <c r="G5349" t="s">
        <v>26268</v>
      </c>
      <c r="L5349" t="s">
        <v>74</v>
      </c>
      <c r="M5349" t="s">
        <v>75</v>
      </c>
      <c r="R5349" t="s">
        <v>26269</v>
      </c>
      <c r="W5349" t="s">
        <v>26270</v>
      </c>
      <c r="X5349" t="s">
        <v>272</v>
      </c>
      <c r="Y5349" t="s">
        <v>97</v>
      </c>
      <c r="Z5349" t="s">
        <v>77</v>
      </c>
      <c r="AA5349" t="str">
        <f>"10029-6501"</f>
        <v>10029-6501</v>
      </c>
      <c r="AB5349" t="s">
        <v>78</v>
      </c>
      <c r="AC5349" t="s">
        <v>79</v>
      </c>
      <c r="AD5349" t="s">
        <v>75</v>
      </c>
      <c r="AE5349" t="s">
        <v>80</v>
      </c>
      <c r="AG5349" t="s">
        <v>81</v>
      </c>
    </row>
    <row r="5350" spans="1:33" x14ac:dyDescent="0.25">
      <c r="A5350" t="str">
        <f>"1356531883"</f>
        <v>1356531883</v>
      </c>
      <c r="B5350" t="str">
        <f>"03535100"</f>
        <v>03535100</v>
      </c>
      <c r="C5350" t="s">
        <v>13436</v>
      </c>
      <c r="D5350" t="s">
        <v>26271</v>
      </c>
      <c r="E5350" t="s">
        <v>26272</v>
      </c>
      <c r="G5350" t="s">
        <v>26273</v>
      </c>
      <c r="L5350" t="s">
        <v>83</v>
      </c>
      <c r="M5350" t="s">
        <v>85</v>
      </c>
      <c r="R5350" t="s">
        <v>26274</v>
      </c>
      <c r="W5350" t="s">
        <v>26272</v>
      </c>
      <c r="X5350" t="s">
        <v>2926</v>
      </c>
      <c r="Y5350" t="s">
        <v>97</v>
      </c>
      <c r="Z5350" t="s">
        <v>77</v>
      </c>
      <c r="AA5350" t="str">
        <f>"10029-6503"</f>
        <v>10029-6503</v>
      </c>
      <c r="AB5350" t="s">
        <v>78</v>
      </c>
      <c r="AC5350" t="s">
        <v>79</v>
      </c>
      <c r="AD5350" t="s">
        <v>75</v>
      </c>
      <c r="AE5350" t="s">
        <v>80</v>
      </c>
      <c r="AG5350" t="s">
        <v>81</v>
      </c>
    </row>
    <row r="5351" spans="1:33" x14ac:dyDescent="0.25">
      <c r="A5351" t="str">
        <f>"1356557250"</f>
        <v>1356557250</v>
      </c>
      <c r="B5351" t="str">
        <f>"02881441"</f>
        <v>02881441</v>
      </c>
      <c r="C5351" t="s">
        <v>13436</v>
      </c>
      <c r="D5351" t="s">
        <v>26275</v>
      </c>
      <c r="E5351" t="s">
        <v>26276</v>
      </c>
      <c r="G5351" t="s">
        <v>26277</v>
      </c>
      <c r="L5351" t="s">
        <v>83</v>
      </c>
      <c r="M5351" t="s">
        <v>85</v>
      </c>
      <c r="R5351" t="s">
        <v>26278</v>
      </c>
      <c r="W5351" t="s">
        <v>26276</v>
      </c>
      <c r="X5351" t="s">
        <v>4029</v>
      </c>
      <c r="Y5351" t="s">
        <v>97</v>
      </c>
      <c r="Z5351" t="s">
        <v>77</v>
      </c>
      <c r="AA5351" t="str">
        <f>"10029-6503"</f>
        <v>10029-6503</v>
      </c>
      <c r="AB5351" t="s">
        <v>78</v>
      </c>
      <c r="AC5351" t="s">
        <v>79</v>
      </c>
      <c r="AD5351" t="s">
        <v>75</v>
      </c>
      <c r="AE5351" t="s">
        <v>80</v>
      </c>
      <c r="AG5351" t="s">
        <v>81</v>
      </c>
    </row>
    <row r="5352" spans="1:33" x14ac:dyDescent="0.25">
      <c r="A5352" t="str">
        <f>"1356585608"</f>
        <v>1356585608</v>
      </c>
      <c r="B5352" t="str">
        <f>"03306049"</f>
        <v>03306049</v>
      </c>
      <c r="C5352" t="s">
        <v>13436</v>
      </c>
      <c r="D5352" t="s">
        <v>26279</v>
      </c>
      <c r="E5352" t="s">
        <v>26280</v>
      </c>
      <c r="G5352" t="s">
        <v>26281</v>
      </c>
      <c r="L5352" t="s">
        <v>94</v>
      </c>
      <c r="M5352" t="s">
        <v>75</v>
      </c>
      <c r="R5352" t="s">
        <v>26282</v>
      </c>
      <c r="W5352" t="s">
        <v>26282</v>
      </c>
      <c r="X5352" t="s">
        <v>191</v>
      </c>
      <c r="Y5352" t="s">
        <v>97</v>
      </c>
      <c r="Z5352" t="s">
        <v>77</v>
      </c>
      <c r="AA5352" t="str">
        <f>"10019-1147"</f>
        <v>10019-1147</v>
      </c>
      <c r="AB5352" t="s">
        <v>78</v>
      </c>
      <c r="AC5352" t="s">
        <v>79</v>
      </c>
      <c r="AD5352" t="s">
        <v>75</v>
      </c>
      <c r="AE5352" t="s">
        <v>80</v>
      </c>
      <c r="AG5352" t="s">
        <v>81</v>
      </c>
    </row>
    <row r="5353" spans="1:33" x14ac:dyDescent="0.25">
      <c r="A5353" t="str">
        <f>"1356599419"</f>
        <v>1356599419</v>
      </c>
      <c r="B5353" t="str">
        <f>"03713884"</f>
        <v>03713884</v>
      </c>
      <c r="C5353" t="s">
        <v>13436</v>
      </c>
      <c r="D5353" t="s">
        <v>26283</v>
      </c>
      <c r="E5353" t="s">
        <v>26284</v>
      </c>
      <c r="G5353" t="s">
        <v>26285</v>
      </c>
      <c r="L5353" t="s">
        <v>102</v>
      </c>
      <c r="M5353" t="s">
        <v>75</v>
      </c>
      <c r="R5353" t="s">
        <v>26286</v>
      </c>
      <c r="W5353" t="s">
        <v>26284</v>
      </c>
      <c r="X5353" t="s">
        <v>329</v>
      </c>
      <c r="Y5353" t="s">
        <v>97</v>
      </c>
      <c r="Z5353" t="s">
        <v>77</v>
      </c>
      <c r="AA5353" t="str">
        <f>"10029-6504"</f>
        <v>10029-6504</v>
      </c>
      <c r="AB5353" t="s">
        <v>78</v>
      </c>
      <c r="AC5353" t="s">
        <v>79</v>
      </c>
      <c r="AD5353" t="s">
        <v>75</v>
      </c>
      <c r="AE5353" t="s">
        <v>80</v>
      </c>
      <c r="AG5353" t="s">
        <v>81</v>
      </c>
    </row>
    <row r="5354" spans="1:33" x14ac:dyDescent="0.25">
      <c r="A5354" t="str">
        <f>"1114188570"</f>
        <v>1114188570</v>
      </c>
      <c r="B5354" t="str">
        <f>"03392014"</f>
        <v>03392014</v>
      </c>
      <c r="C5354" t="s">
        <v>13436</v>
      </c>
      <c r="D5354" t="s">
        <v>26287</v>
      </c>
      <c r="E5354" t="s">
        <v>26288</v>
      </c>
      <c r="G5354" t="s">
        <v>26289</v>
      </c>
      <c r="L5354" t="s">
        <v>84</v>
      </c>
      <c r="M5354" t="s">
        <v>85</v>
      </c>
      <c r="R5354" t="s">
        <v>26290</v>
      </c>
      <c r="W5354" t="s">
        <v>26291</v>
      </c>
      <c r="X5354" t="s">
        <v>16165</v>
      </c>
      <c r="Y5354" t="s">
        <v>87</v>
      </c>
      <c r="Z5354" t="s">
        <v>77</v>
      </c>
      <c r="AA5354" t="str">
        <f>"11249-2921"</f>
        <v>11249-2921</v>
      </c>
      <c r="AB5354" t="s">
        <v>78</v>
      </c>
      <c r="AC5354" t="s">
        <v>79</v>
      </c>
      <c r="AD5354" t="s">
        <v>75</v>
      </c>
      <c r="AE5354" t="s">
        <v>80</v>
      </c>
      <c r="AG5354" t="s">
        <v>81</v>
      </c>
    </row>
    <row r="5355" spans="1:33" x14ac:dyDescent="0.25">
      <c r="A5355" t="str">
        <f>"1114969391"</f>
        <v>1114969391</v>
      </c>
      <c r="B5355" t="str">
        <f>"01863854"</f>
        <v>01863854</v>
      </c>
      <c r="C5355" t="s">
        <v>13436</v>
      </c>
      <c r="D5355" t="s">
        <v>26292</v>
      </c>
      <c r="E5355" t="s">
        <v>26293</v>
      </c>
      <c r="G5355" t="s">
        <v>26294</v>
      </c>
      <c r="L5355" t="s">
        <v>83</v>
      </c>
      <c r="M5355" t="s">
        <v>85</v>
      </c>
      <c r="R5355" t="s">
        <v>26295</v>
      </c>
      <c r="W5355" t="s">
        <v>26293</v>
      </c>
      <c r="X5355" t="s">
        <v>1333</v>
      </c>
      <c r="Y5355" t="s">
        <v>97</v>
      </c>
      <c r="Z5355" t="s">
        <v>77</v>
      </c>
      <c r="AA5355" t="str">
        <f>"10019-1192"</f>
        <v>10019-1192</v>
      </c>
      <c r="AB5355" t="s">
        <v>78</v>
      </c>
      <c r="AC5355" t="s">
        <v>79</v>
      </c>
      <c r="AD5355" t="s">
        <v>75</v>
      </c>
      <c r="AE5355" t="s">
        <v>80</v>
      </c>
      <c r="AG5355" t="s">
        <v>81</v>
      </c>
    </row>
    <row r="5356" spans="1:33" x14ac:dyDescent="0.25">
      <c r="A5356" t="str">
        <f>"1124051065"</f>
        <v>1124051065</v>
      </c>
      <c r="B5356" t="str">
        <f>"02799562"</f>
        <v>02799562</v>
      </c>
      <c r="C5356" t="s">
        <v>13436</v>
      </c>
      <c r="D5356" t="s">
        <v>26296</v>
      </c>
      <c r="E5356" t="s">
        <v>26297</v>
      </c>
      <c r="G5356" t="s">
        <v>26298</v>
      </c>
      <c r="L5356" t="s">
        <v>83</v>
      </c>
      <c r="M5356" t="s">
        <v>85</v>
      </c>
      <c r="R5356" t="s">
        <v>26299</v>
      </c>
      <c r="W5356" t="s">
        <v>26297</v>
      </c>
      <c r="X5356" t="s">
        <v>173</v>
      </c>
      <c r="Y5356" t="s">
        <v>87</v>
      </c>
      <c r="Z5356" t="s">
        <v>77</v>
      </c>
      <c r="AA5356" t="str">
        <f>"11219-2916"</f>
        <v>11219-2916</v>
      </c>
      <c r="AB5356" t="s">
        <v>78</v>
      </c>
      <c r="AC5356" t="s">
        <v>79</v>
      </c>
      <c r="AD5356" t="s">
        <v>75</v>
      </c>
      <c r="AE5356" t="s">
        <v>80</v>
      </c>
      <c r="AG5356" t="s">
        <v>81</v>
      </c>
    </row>
    <row r="5357" spans="1:33" x14ac:dyDescent="0.25">
      <c r="A5357" t="str">
        <f>"1124056445"</f>
        <v>1124056445</v>
      </c>
      <c r="B5357" t="str">
        <f>"00625109"</f>
        <v>00625109</v>
      </c>
      <c r="C5357" t="s">
        <v>13436</v>
      </c>
      <c r="D5357" t="s">
        <v>26300</v>
      </c>
      <c r="E5357" t="s">
        <v>26301</v>
      </c>
      <c r="G5357" t="s">
        <v>26302</v>
      </c>
      <c r="L5357" t="s">
        <v>83</v>
      </c>
      <c r="M5357" t="s">
        <v>85</v>
      </c>
      <c r="R5357" t="s">
        <v>26303</v>
      </c>
      <c r="W5357" t="s">
        <v>26304</v>
      </c>
      <c r="X5357" t="s">
        <v>26305</v>
      </c>
      <c r="Y5357" t="s">
        <v>97</v>
      </c>
      <c r="Z5357" t="s">
        <v>77</v>
      </c>
      <c r="AA5357" t="str">
        <f>"10023-6406"</f>
        <v>10023-6406</v>
      </c>
      <c r="AB5357" t="s">
        <v>78</v>
      </c>
      <c r="AC5357" t="s">
        <v>79</v>
      </c>
      <c r="AD5357" t="s">
        <v>75</v>
      </c>
      <c r="AE5357" t="s">
        <v>80</v>
      </c>
      <c r="AG5357" t="s">
        <v>81</v>
      </c>
    </row>
    <row r="5358" spans="1:33" x14ac:dyDescent="0.25">
      <c r="A5358" t="str">
        <f>"1942369368"</f>
        <v>1942369368</v>
      </c>
      <c r="B5358" t="str">
        <f>"01598416"</f>
        <v>01598416</v>
      </c>
      <c r="C5358" t="s">
        <v>13436</v>
      </c>
      <c r="D5358" t="s">
        <v>26306</v>
      </c>
      <c r="E5358" t="s">
        <v>26307</v>
      </c>
      <c r="G5358" t="s">
        <v>26308</v>
      </c>
      <c r="L5358" t="s">
        <v>74</v>
      </c>
      <c r="M5358" t="s">
        <v>85</v>
      </c>
      <c r="R5358" t="s">
        <v>26309</v>
      </c>
      <c r="W5358" t="s">
        <v>26307</v>
      </c>
      <c r="X5358" t="s">
        <v>181</v>
      </c>
      <c r="Y5358" t="s">
        <v>97</v>
      </c>
      <c r="Z5358" t="s">
        <v>77</v>
      </c>
      <c r="AA5358" t="str">
        <f>"10025-1716"</f>
        <v>10025-1716</v>
      </c>
      <c r="AB5358" t="s">
        <v>78</v>
      </c>
      <c r="AC5358" t="s">
        <v>79</v>
      </c>
      <c r="AD5358" t="s">
        <v>75</v>
      </c>
      <c r="AE5358" t="s">
        <v>80</v>
      </c>
      <c r="AG5358" t="s">
        <v>81</v>
      </c>
    </row>
    <row r="5359" spans="1:33" x14ac:dyDescent="0.25">
      <c r="A5359" t="str">
        <f>"1942377270"</f>
        <v>1942377270</v>
      </c>
      <c r="B5359" t="str">
        <f>"02602082"</f>
        <v>02602082</v>
      </c>
      <c r="C5359" t="s">
        <v>13436</v>
      </c>
      <c r="D5359" t="s">
        <v>26310</v>
      </c>
      <c r="E5359" t="s">
        <v>26311</v>
      </c>
      <c r="G5359" t="s">
        <v>26312</v>
      </c>
      <c r="L5359" t="s">
        <v>84</v>
      </c>
      <c r="M5359" t="s">
        <v>85</v>
      </c>
      <c r="R5359" t="s">
        <v>26313</v>
      </c>
      <c r="W5359" t="s">
        <v>26311</v>
      </c>
      <c r="X5359" t="s">
        <v>173</v>
      </c>
      <c r="Y5359" t="s">
        <v>87</v>
      </c>
      <c r="Z5359" t="s">
        <v>77</v>
      </c>
      <c r="AA5359" t="str">
        <f>"11219-2916"</f>
        <v>11219-2916</v>
      </c>
      <c r="AB5359" t="s">
        <v>78</v>
      </c>
      <c r="AC5359" t="s">
        <v>79</v>
      </c>
      <c r="AD5359" t="s">
        <v>75</v>
      </c>
      <c r="AE5359" t="s">
        <v>80</v>
      </c>
      <c r="AG5359" t="s">
        <v>81</v>
      </c>
    </row>
    <row r="5360" spans="1:33" x14ac:dyDescent="0.25">
      <c r="A5360" t="str">
        <f>"1942471636"</f>
        <v>1942471636</v>
      </c>
      <c r="B5360" t="str">
        <f>"02986863"</f>
        <v>02986863</v>
      </c>
      <c r="C5360" t="s">
        <v>13436</v>
      </c>
      <c r="D5360" t="s">
        <v>26314</v>
      </c>
      <c r="E5360" t="s">
        <v>26315</v>
      </c>
      <c r="G5360" t="s">
        <v>26316</v>
      </c>
      <c r="L5360" t="s">
        <v>83</v>
      </c>
      <c r="M5360" t="s">
        <v>85</v>
      </c>
      <c r="R5360" t="s">
        <v>26317</v>
      </c>
      <c r="W5360" t="s">
        <v>26315</v>
      </c>
      <c r="X5360" t="s">
        <v>191</v>
      </c>
      <c r="Y5360" t="s">
        <v>97</v>
      </c>
      <c r="Z5360" t="s">
        <v>77</v>
      </c>
      <c r="AA5360" t="str">
        <f>"10019-1147"</f>
        <v>10019-1147</v>
      </c>
      <c r="AB5360" t="s">
        <v>78</v>
      </c>
      <c r="AC5360" t="s">
        <v>79</v>
      </c>
      <c r="AD5360" t="s">
        <v>75</v>
      </c>
      <c r="AE5360" t="s">
        <v>80</v>
      </c>
      <c r="AG5360" t="s">
        <v>81</v>
      </c>
    </row>
    <row r="5361" spans="1:33" x14ac:dyDescent="0.25">
      <c r="A5361" t="str">
        <f>"1952333817"</f>
        <v>1952333817</v>
      </c>
      <c r="B5361" t="str">
        <f>"01149251"</f>
        <v>01149251</v>
      </c>
      <c r="C5361" t="s">
        <v>13436</v>
      </c>
      <c r="D5361" t="s">
        <v>26318</v>
      </c>
      <c r="E5361" t="s">
        <v>26319</v>
      </c>
      <c r="G5361" t="s">
        <v>26320</v>
      </c>
      <c r="L5361" t="s">
        <v>94</v>
      </c>
      <c r="M5361" t="s">
        <v>85</v>
      </c>
      <c r="R5361" t="s">
        <v>26321</v>
      </c>
      <c r="W5361" t="s">
        <v>26319</v>
      </c>
      <c r="X5361" t="s">
        <v>26322</v>
      </c>
      <c r="Y5361" t="s">
        <v>97</v>
      </c>
      <c r="Z5361" t="s">
        <v>77</v>
      </c>
      <c r="AA5361" t="str">
        <f>"10037-1802"</f>
        <v>10037-1802</v>
      </c>
      <c r="AB5361" t="s">
        <v>78</v>
      </c>
      <c r="AC5361" t="s">
        <v>79</v>
      </c>
      <c r="AD5361" t="s">
        <v>75</v>
      </c>
      <c r="AE5361" t="s">
        <v>80</v>
      </c>
      <c r="AG5361" t="s">
        <v>81</v>
      </c>
    </row>
    <row r="5362" spans="1:33" x14ac:dyDescent="0.25">
      <c r="A5362" t="str">
        <f>"1518052398"</f>
        <v>1518052398</v>
      </c>
      <c r="B5362" t="str">
        <f>"00198027"</f>
        <v>00198027</v>
      </c>
      <c r="C5362" t="s">
        <v>13436</v>
      </c>
      <c r="D5362" t="s">
        <v>26323</v>
      </c>
      <c r="E5362" t="s">
        <v>26324</v>
      </c>
      <c r="G5362" t="s">
        <v>26325</v>
      </c>
      <c r="L5362" t="s">
        <v>83</v>
      </c>
      <c r="M5362" t="s">
        <v>85</v>
      </c>
      <c r="R5362" t="s">
        <v>26326</v>
      </c>
      <c r="W5362" t="s">
        <v>26324</v>
      </c>
      <c r="X5362" t="s">
        <v>26327</v>
      </c>
      <c r="Y5362" t="s">
        <v>97</v>
      </c>
      <c r="Z5362" t="s">
        <v>77</v>
      </c>
      <c r="AA5362" t="str">
        <f>"10003"</f>
        <v>10003</v>
      </c>
      <c r="AB5362" t="s">
        <v>78</v>
      </c>
      <c r="AC5362" t="s">
        <v>79</v>
      </c>
      <c r="AD5362" t="s">
        <v>75</v>
      </c>
      <c r="AE5362" t="s">
        <v>80</v>
      </c>
      <c r="AG5362" t="s">
        <v>81</v>
      </c>
    </row>
    <row r="5363" spans="1:33" x14ac:dyDescent="0.25">
      <c r="A5363" t="str">
        <f>"1528114642"</f>
        <v>1528114642</v>
      </c>
      <c r="B5363" t="str">
        <f>"00761344"</f>
        <v>00761344</v>
      </c>
      <c r="C5363" t="s">
        <v>13436</v>
      </c>
      <c r="D5363" t="s">
        <v>26328</v>
      </c>
      <c r="E5363" t="s">
        <v>26329</v>
      </c>
      <c r="G5363" t="s">
        <v>26330</v>
      </c>
      <c r="L5363" t="s">
        <v>84</v>
      </c>
      <c r="M5363" t="s">
        <v>85</v>
      </c>
      <c r="R5363" t="s">
        <v>26331</v>
      </c>
      <c r="W5363" t="s">
        <v>26329</v>
      </c>
      <c r="X5363" t="s">
        <v>26332</v>
      </c>
      <c r="Y5363" t="s">
        <v>97</v>
      </c>
      <c r="Z5363" t="s">
        <v>77</v>
      </c>
      <c r="AA5363" t="str">
        <f>"10019"</f>
        <v>10019</v>
      </c>
      <c r="AB5363" t="s">
        <v>78</v>
      </c>
      <c r="AC5363" t="s">
        <v>79</v>
      </c>
      <c r="AD5363" t="s">
        <v>75</v>
      </c>
      <c r="AE5363" t="s">
        <v>80</v>
      </c>
      <c r="AG5363" t="s">
        <v>81</v>
      </c>
    </row>
    <row r="5364" spans="1:33" x14ac:dyDescent="0.25">
      <c r="A5364" t="str">
        <f>"1538156989"</f>
        <v>1538156989</v>
      </c>
      <c r="B5364" t="str">
        <f>"00947159"</f>
        <v>00947159</v>
      </c>
      <c r="C5364" t="s">
        <v>13436</v>
      </c>
      <c r="D5364" t="s">
        <v>26333</v>
      </c>
      <c r="E5364" t="s">
        <v>26334</v>
      </c>
      <c r="G5364" t="s">
        <v>26335</v>
      </c>
      <c r="L5364" t="s">
        <v>74</v>
      </c>
      <c r="M5364" t="s">
        <v>85</v>
      </c>
      <c r="R5364" t="s">
        <v>26336</v>
      </c>
      <c r="W5364" t="s">
        <v>26334</v>
      </c>
      <c r="X5364" t="s">
        <v>22872</v>
      </c>
      <c r="Y5364" t="s">
        <v>97</v>
      </c>
      <c r="Z5364" t="s">
        <v>77</v>
      </c>
      <c r="AA5364" t="str">
        <f>"10028-0934"</f>
        <v>10028-0934</v>
      </c>
      <c r="AB5364" t="s">
        <v>78</v>
      </c>
      <c r="AC5364" t="s">
        <v>79</v>
      </c>
      <c r="AD5364" t="s">
        <v>75</v>
      </c>
      <c r="AE5364" t="s">
        <v>80</v>
      </c>
      <c r="AG5364" t="s">
        <v>81</v>
      </c>
    </row>
    <row r="5365" spans="1:33" x14ac:dyDescent="0.25">
      <c r="A5365" t="str">
        <f>"1538217773"</f>
        <v>1538217773</v>
      </c>
      <c r="B5365" t="str">
        <f>"00591020"</f>
        <v>00591020</v>
      </c>
      <c r="C5365" t="s">
        <v>13436</v>
      </c>
      <c r="D5365" t="s">
        <v>26337</v>
      </c>
      <c r="E5365" t="s">
        <v>26338</v>
      </c>
      <c r="G5365" t="s">
        <v>26339</v>
      </c>
      <c r="L5365" t="s">
        <v>74</v>
      </c>
      <c r="M5365" t="s">
        <v>85</v>
      </c>
      <c r="R5365" t="s">
        <v>26340</v>
      </c>
      <c r="W5365" t="s">
        <v>26338</v>
      </c>
      <c r="X5365" t="s">
        <v>26341</v>
      </c>
      <c r="Y5365" t="s">
        <v>97</v>
      </c>
      <c r="Z5365" t="s">
        <v>77</v>
      </c>
      <c r="AA5365" t="str">
        <f>"10031-4808"</f>
        <v>10031-4808</v>
      </c>
      <c r="AB5365" t="s">
        <v>78</v>
      </c>
      <c r="AC5365" t="s">
        <v>79</v>
      </c>
      <c r="AD5365" t="s">
        <v>75</v>
      </c>
      <c r="AE5365" t="s">
        <v>80</v>
      </c>
      <c r="AG5365" t="s">
        <v>81</v>
      </c>
    </row>
    <row r="5366" spans="1:33" x14ac:dyDescent="0.25">
      <c r="A5366" t="str">
        <f>"1538225883"</f>
        <v>1538225883</v>
      </c>
      <c r="B5366" t="str">
        <f>"01936070"</f>
        <v>01936070</v>
      </c>
      <c r="C5366" t="s">
        <v>13436</v>
      </c>
      <c r="D5366" t="s">
        <v>26342</v>
      </c>
      <c r="E5366" t="s">
        <v>26343</v>
      </c>
      <c r="G5366" t="s">
        <v>26344</v>
      </c>
      <c r="L5366" t="s">
        <v>83</v>
      </c>
      <c r="M5366" t="s">
        <v>85</v>
      </c>
      <c r="R5366" t="s">
        <v>26345</v>
      </c>
      <c r="W5366" t="s">
        <v>26343</v>
      </c>
      <c r="X5366" t="s">
        <v>26346</v>
      </c>
      <c r="Y5366" t="s">
        <v>3130</v>
      </c>
      <c r="Z5366" t="s">
        <v>77</v>
      </c>
      <c r="AA5366" t="str">
        <f>"11413-2023"</f>
        <v>11413-2023</v>
      </c>
      <c r="AB5366" t="s">
        <v>78</v>
      </c>
      <c r="AC5366" t="s">
        <v>79</v>
      </c>
      <c r="AD5366" t="s">
        <v>75</v>
      </c>
      <c r="AE5366" t="s">
        <v>80</v>
      </c>
      <c r="AG5366" t="s">
        <v>81</v>
      </c>
    </row>
    <row r="5367" spans="1:33" x14ac:dyDescent="0.25">
      <c r="A5367" t="str">
        <f>"1538253711"</f>
        <v>1538253711</v>
      </c>
      <c r="B5367" t="str">
        <f>"02174692"</f>
        <v>02174692</v>
      </c>
      <c r="C5367" t="s">
        <v>13436</v>
      </c>
      <c r="D5367" t="s">
        <v>26347</v>
      </c>
      <c r="E5367" t="s">
        <v>26348</v>
      </c>
      <c r="G5367" t="s">
        <v>26349</v>
      </c>
      <c r="L5367" t="s">
        <v>84</v>
      </c>
      <c r="M5367" t="s">
        <v>85</v>
      </c>
      <c r="R5367" t="s">
        <v>26350</v>
      </c>
      <c r="W5367" t="s">
        <v>26348</v>
      </c>
      <c r="X5367" t="s">
        <v>26351</v>
      </c>
      <c r="Y5367" t="s">
        <v>97</v>
      </c>
      <c r="Z5367" t="s">
        <v>77</v>
      </c>
      <c r="AA5367" t="str">
        <f>"10003"</f>
        <v>10003</v>
      </c>
      <c r="AB5367" t="s">
        <v>78</v>
      </c>
      <c r="AC5367" t="s">
        <v>79</v>
      </c>
      <c r="AD5367" t="s">
        <v>75</v>
      </c>
      <c r="AE5367" t="s">
        <v>80</v>
      </c>
      <c r="AG5367" t="s">
        <v>81</v>
      </c>
    </row>
    <row r="5368" spans="1:33" x14ac:dyDescent="0.25">
      <c r="A5368" t="str">
        <f>"1558352740"</f>
        <v>1558352740</v>
      </c>
      <c r="B5368" t="str">
        <f>"00717193"</f>
        <v>00717193</v>
      </c>
      <c r="C5368" t="s">
        <v>13436</v>
      </c>
      <c r="D5368" t="s">
        <v>26352</v>
      </c>
      <c r="E5368" t="s">
        <v>26353</v>
      </c>
      <c r="G5368" t="s">
        <v>26354</v>
      </c>
      <c r="L5368" t="s">
        <v>83</v>
      </c>
      <c r="M5368" t="s">
        <v>85</v>
      </c>
      <c r="R5368" t="s">
        <v>26355</v>
      </c>
      <c r="W5368" t="s">
        <v>26353</v>
      </c>
      <c r="X5368" t="s">
        <v>26356</v>
      </c>
      <c r="Y5368" t="s">
        <v>97</v>
      </c>
      <c r="Z5368" t="s">
        <v>77</v>
      </c>
      <c r="AA5368" t="str">
        <f>"10019-3159"</f>
        <v>10019-3159</v>
      </c>
      <c r="AB5368" t="s">
        <v>78</v>
      </c>
      <c r="AC5368" t="s">
        <v>79</v>
      </c>
      <c r="AD5368" t="s">
        <v>75</v>
      </c>
      <c r="AE5368" t="s">
        <v>80</v>
      </c>
      <c r="AG5368" t="s">
        <v>81</v>
      </c>
    </row>
    <row r="5369" spans="1:33" x14ac:dyDescent="0.25">
      <c r="A5369" t="str">
        <f>"1558455154"</f>
        <v>1558455154</v>
      </c>
      <c r="B5369" t="str">
        <f>"00905380"</f>
        <v>00905380</v>
      </c>
      <c r="C5369" t="s">
        <v>13436</v>
      </c>
      <c r="D5369" t="s">
        <v>26357</v>
      </c>
      <c r="E5369" t="s">
        <v>26358</v>
      </c>
      <c r="G5369" t="s">
        <v>26359</v>
      </c>
      <c r="L5369" t="s">
        <v>83</v>
      </c>
      <c r="M5369" t="s">
        <v>85</v>
      </c>
      <c r="R5369" t="s">
        <v>26360</v>
      </c>
      <c r="W5369" t="s">
        <v>26358</v>
      </c>
      <c r="X5369" t="s">
        <v>737</v>
      </c>
      <c r="Y5369" t="s">
        <v>97</v>
      </c>
      <c r="Z5369" t="s">
        <v>77</v>
      </c>
      <c r="AA5369" t="str">
        <f>"10019-1147"</f>
        <v>10019-1147</v>
      </c>
      <c r="AB5369" t="s">
        <v>78</v>
      </c>
      <c r="AC5369" t="s">
        <v>79</v>
      </c>
      <c r="AD5369" t="s">
        <v>75</v>
      </c>
      <c r="AE5369" t="s">
        <v>80</v>
      </c>
      <c r="AG5369" t="s">
        <v>81</v>
      </c>
    </row>
    <row r="5370" spans="1:33" x14ac:dyDescent="0.25">
      <c r="A5370" t="str">
        <f>"1568500767"</f>
        <v>1568500767</v>
      </c>
      <c r="B5370" t="str">
        <f>"03222740"</f>
        <v>03222740</v>
      </c>
      <c r="C5370" t="s">
        <v>13436</v>
      </c>
      <c r="D5370" t="s">
        <v>26361</v>
      </c>
      <c r="E5370" t="s">
        <v>26362</v>
      </c>
      <c r="G5370" t="s">
        <v>26363</v>
      </c>
      <c r="L5370" t="s">
        <v>74</v>
      </c>
      <c r="M5370" t="s">
        <v>85</v>
      </c>
      <c r="R5370" t="s">
        <v>26364</v>
      </c>
      <c r="W5370" t="s">
        <v>26362</v>
      </c>
      <c r="X5370" t="s">
        <v>26365</v>
      </c>
      <c r="Y5370" t="s">
        <v>216</v>
      </c>
      <c r="Z5370" t="s">
        <v>77</v>
      </c>
      <c r="AA5370" t="str">
        <f>"11691"</f>
        <v>11691</v>
      </c>
      <c r="AB5370" t="s">
        <v>78</v>
      </c>
      <c r="AC5370" t="s">
        <v>79</v>
      </c>
      <c r="AD5370" t="s">
        <v>75</v>
      </c>
      <c r="AE5370" t="s">
        <v>80</v>
      </c>
      <c r="AG5370" t="s">
        <v>81</v>
      </c>
    </row>
    <row r="5371" spans="1:33" x14ac:dyDescent="0.25">
      <c r="A5371" t="str">
        <f>"1588726210"</f>
        <v>1588726210</v>
      </c>
      <c r="B5371" t="str">
        <f>"03088268"</f>
        <v>03088268</v>
      </c>
      <c r="C5371" t="s">
        <v>13436</v>
      </c>
      <c r="D5371" t="s">
        <v>26366</v>
      </c>
      <c r="E5371" t="s">
        <v>26367</v>
      </c>
      <c r="G5371" t="s">
        <v>26368</v>
      </c>
      <c r="L5371" t="s">
        <v>74</v>
      </c>
      <c r="M5371" t="s">
        <v>85</v>
      </c>
      <c r="R5371" t="s">
        <v>4488</v>
      </c>
      <c r="W5371" t="s">
        <v>26367</v>
      </c>
      <c r="X5371" t="s">
        <v>3553</v>
      </c>
      <c r="Y5371" t="s">
        <v>97</v>
      </c>
      <c r="Z5371" t="s">
        <v>77</v>
      </c>
      <c r="AA5371" t="str">
        <f>"10003-3851"</f>
        <v>10003-3851</v>
      </c>
      <c r="AB5371" t="s">
        <v>78</v>
      </c>
      <c r="AC5371" t="s">
        <v>79</v>
      </c>
      <c r="AD5371" t="s">
        <v>75</v>
      </c>
      <c r="AE5371" t="s">
        <v>80</v>
      </c>
      <c r="AG5371" t="s">
        <v>81</v>
      </c>
    </row>
    <row r="5372" spans="1:33" x14ac:dyDescent="0.25">
      <c r="A5372" t="str">
        <f>"1598717795"</f>
        <v>1598717795</v>
      </c>
      <c r="B5372" t="str">
        <f>"02592510"</f>
        <v>02592510</v>
      </c>
      <c r="C5372" t="s">
        <v>13436</v>
      </c>
      <c r="D5372" t="s">
        <v>26369</v>
      </c>
      <c r="E5372" t="s">
        <v>26370</v>
      </c>
      <c r="G5372" t="s">
        <v>26371</v>
      </c>
      <c r="L5372" t="s">
        <v>74</v>
      </c>
      <c r="M5372" t="s">
        <v>85</v>
      </c>
      <c r="R5372" t="s">
        <v>26372</v>
      </c>
      <c r="W5372" t="s">
        <v>26370</v>
      </c>
      <c r="X5372" t="s">
        <v>12595</v>
      </c>
      <c r="Y5372" t="s">
        <v>190</v>
      </c>
      <c r="Z5372" t="s">
        <v>77</v>
      </c>
      <c r="AA5372" t="str">
        <f>"11102-2445"</f>
        <v>11102-2445</v>
      </c>
      <c r="AB5372" t="s">
        <v>78</v>
      </c>
      <c r="AC5372" t="s">
        <v>79</v>
      </c>
      <c r="AD5372" t="s">
        <v>75</v>
      </c>
      <c r="AE5372" t="s">
        <v>80</v>
      </c>
      <c r="AG5372" t="s">
        <v>81</v>
      </c>
    </row>
    <row r="5373" spans="1:33" x14ac:dyDescent="0.25">
      <c r="A5373" t="str">
        <f>"1598822736"</f>
        <v>1598822736</v>
      </c>
      <c r="B5373" t="str">
        <f>"02724312"</f>
        <v>02724312</v>
      </c>
      <c r="C5373" t="s">
        <v>13436</v>
      </c>
      <c r="D5373" t="s">
        <v>26373</v>
      </c>
      <c r="E5373" t="s">
        <v>26374</v>
      </c>
      <c r="G5373" t="s">
        <v>26375</v>
      </c>
      <c r="L5373" t="s">
        <v>143</v>
      </c>
      <c r="M5373" t="s">
        <v>85</v>
      </c>
      <c r="R5373" t="s">
        <v>26376</v>
      </c>
      <c r="W5373" t="s">
        <v>26374</v>
      </c>
      <c r="X5373" t="s">
        <v>263</v>
      </c>
      <c r="Y5373" t="s">
        <v>97</v>
      </c>
      <c r="Z5373" t="s">
        <v>77</v>
      </c>
      <c r="AA5373" t="str">
        <f>"10011-8202"</f>
        <v>10011-8202</v>
      </c>
      <c r="AB5373" t="s">
        <v>78</v>
      </c>
      <c r="AC5373" t="s">
        <v>79</v>
      </c>
      <c r="AD5373" t="s">
        <v>75</v>
      </c>
      <c r="AE5373" t="s">
        <v>80</v>
      </c>
      <c r="AG5373" t="s">
        <v>81</v>
      </c>
    </row>
    <row r="5374" spans="1:33" x14ac:dyDescent="0.25">
      <c r="A5374" t="str">
        <f>"1356360390"</f>
        <v>1356360390</v>
      </c>
      <c r="B5374" t="str">
        <f>"02519515"</f>
        <v>02519515</v>
      </c>
      <c r="C5374" t="s">
        <v>13436</v>
      </c>
      <c r="D5374" t="s">
        <v>26377</v>
      </c>
      <c r="E5374" t="s">
        <v>26378</v>
      </c>
      <c r="G5374" t="s">
        <v>26379</v>
      </c>
      <c r="L5374" t="s">
        <v>74</v>
      </c>
      <c r="M5374" t="s">
        <v>85</v>
      </c>
      <c r="R5374" t="s">
        <v>26380</v>
      </c>
      <c r="W5374" t="s">
        <v>26378</v>
      </c>
      <c r="X5374" t="s">
        <v>329</v>
      </c>
      <c r="Y5374" t="s">
        <v>97</v>
      </c>
      <c r="Z5374" t="s">
        <v>77</v>
      </c>
      <c r="AA5374" t="str">
        <f>"10029-6504"</f>
        <v>10029-6504</v>
      </c>
      <c r="AB5374" t="s">
        <v>78</v>
      </c>
      <c r="AC5374" t="s">
        <v>79</v>
      </c>
      <c r="AD5374" t="s">
        <v>75</v>
      </c>
      <c r="AE5374" t="s">
        <v>80</v>
      </c>
      <c r="AG5374" t="s">
        <v>81</v>
      </c>
    </row>
    <row r="5375" spans="1:33" x14ac:dyDescent="0.25">
      <c r="A5375" t="str">
        <f>"1316121049"</f>
        <v>1316121049</v>
      </c>
      <c r="B5375" t="str">
        <f>"04383991"</f>
        <v>04383991</v>
      </c>
      <c r="C5375" t="s">
        <v>13436</v>
      </c>
      <c r="D5375" t="s">
        <v>26381</v>
      </c>
      <c r="E5375" t="s">
        <v>26382</v>
      </c>
      <c r="G5375" t="s">
        <v>26383</v>
      </c>
      <c r="L5375" t="s">
        <v>74</v>
      </c>
      <c r="M5375" t="s">
        <v>75</v>
      </c>
      <c r="R5375" t="s">
        <v>26384</v>
      </c>
      <c r="W5375" t="s">
        <v>26382</v>
      </c>
      <c r="X5375" t="s">
        <v>4890</v>
      </c>
      <c r="Y5375" t="s">
        <v>3826</v>
      </c>
      <c r="Z5375" t="s">
        <v>77</v>
      </c>
      <c r="AA5375" t="str">
        <f>"10950-2923"</f>
        <v>10950-2923</v>
      </c>
      <c r="AB5375" t="s">
        <v>78</v>
      </c>
      <c r="AC5375" t="s">
        <v>79</v>
      </c>
      <c r="AD5375" t="s">
        <v>75</v>
      </c>
      <c r="AE5375" t="s">
        <v>80</v>
      </c>
      <c r="AG5375" t="s">
        <v>81</v>
      </c>
    </row>
    <row r="5376" spans="1:33" x14ac:dyDescent="0.25">
      <c r="A5376" t="str">
        <f>"1316161896"</f>
        <v>1316161896</v>
      </c>
      <c r="C5376" t="s">
        <v>13436</v>
      </c>
      <c r="G5376" t="s">
        <v>26385</v>
      </c>
      <c r="K5376" t="s">
        <v>99</v>
      </c>
      <c r="L5376" t="s">
        <v>74</v>
      </c>
      <c r="M5376" t="s">
        <v>75</v>
      </c>
      <c r="R5376" t="s">
        <v>26386</v>
      </c>
      <c r="S5376" t="s">
        <v>26387</v>
      </c>
      <c r="T5376" t="s">
        <v>97</v>
      </c>
      <c r="U5376" t="s">
        <v>77</v>
      </c>
      <c r="V5376" t="str">
        <f>"100296501"</f>
        <v>100296501</v>
      </c>
      <c r="AC5376" t="s">
        <v>79</v>
      </c>
      <c r="AD5376" t="s">
        <v>75</v>
      </c>
      <c r="AE5376" t="s">
        <v>103</v>
      </c>
      <c r="AG5376" t="s">
        <v>81</v>
      </c>
    </row>
    <row r="5377" spans="1:33" x14ac:dyDescent="0.25">
      <c r="A5377" t="str">
        <f>"1578727392"</f>
        <v>1578727392</v>
      </c>
      <c r="B5377" t="str">
        <f>"02153097"</f>
        <v>02153097</v>
      </c>
      <c r="C5377" t="s">
        <v>13436</v>
      </c>
      <c r="D5377" t="s">
        <v>26388</v>
      </c>
      <c r="E5377" t="s">
        <v>26389</v>
      </c>
      <c r="G5377" t="s">
        <v>26390</v>
      </c>
      <c r="L5377" t="s">
        <v>74</v>
      </c>
      <c r="M5377" t="s">
        <v>75</v>
      </c>
      <c r="R5377" t="s">
        <v>26391</v>
      </c>
      <c r="W5377" t="s">
        <v>26389</v>
      </c>
      <c r="X5377" t="s">
        <v>25370</v>
      </c>
      <c r="Y5377" t="s">
        <v>97</v>
      </c>
      <c r="Z5377" t="s">
        <v>77</v>
      </c>
      <c r="AA5377" t="str">
        <f>"10029-6504"</f>
        <v>10029-6504</v>
      </c>
      <c r="AB5377" t="s">
        <v>78</v>
      </c>
      <c r="AC5377" t="s">
        <v>79</v>
      </c>
      <c r="AD5377" t="s">
        <v>75</v>
      </c>
      <c r="AE5377" t="s">
        <v>80</v>
      </c>
      <c r="AG5377" t="s">
        <v>81</v>
      </c>
    </row>
    <row r="5378" spans="1:33" x14ac:dyDescent="0.25">
      <c r="A5378" t="str">
        <f>"1578535837"</f>
        <v>1578535837</v>
      </c>
      <c r="B5378" t="str">
        <f>"02361186"</f>
        <v>02361186</v>
      </c>
      <c r="C5378" t="s">
        <v>13436</v>
      </c>
      <c r="D5378" t="s">
        <v>26392</v>
      </c>
      <c r="E5378" t="s">
        <v>26393</v>
      </c>
      <c r="G5378" t="s">
        <v>26394</v>
      </c>
      <c r="L5378" t="s">
        <v>83</v>
      </c>
      <c r="M5378" t="s">
        <v>85</v>
      </c>
      <c r="R5378" t="s">
        <v>26395</v>
      </c>
      <c r="W5378" t="s">
        <v>26393</v>
      </c>
      <c r="X5378" t="s">
        <v>26396</v>
      </c>
      <c r="Y5378" t="s">
        <v>97</v>
      </c>
      <c r="Z5378" t="s">
        <v>77</v>
      </c>
      <c r="AA5378" t="str">
        <f>"10003-2747"</f>
        <v>10003-2747</v>
      </c>
      <c r="AB5378" t="s">
        <v>78</v>
      </c>
      <c r="AC5378" t="s">
        <v>79</v>
      </c>
      <c r="AD5378" t="s">
        <v>75</v>
      </c>
      <c r="AE5378" t="s">
        <v>80</v>
      </c>
      <c r="AG5378" t="s">
        <v>81</v>
      </c>
    </row>
    <row r="5379" spans="1:33" x14ac:dyDescent="0.25">
      <c r="A5379" t="str">
        <f>"1578552550"</f>
        <v>1578552550</v>
      </c>
      <c r="B5379" t="str">
        <f>"00857603"</f>
        <v>00857603</v>
      </c>
      <c r="C5379" t="s">
        <v>13436</v>
      </c>
      <c r="D5379" t="s">
        <v>26397</v>
      </c>
      <c r="E5379" t="s">
        <v>26398</v>
      </c>
      <c r="G5379" t="s">
        <v>26399</v>
      </c>
      <c r="L5379" t="s">
        <v>83</v>
      </c>
      <c r="M5379" t="s">
        <v>85</v>
      </c>
      <c r="R5379" t="s">
        <v>26400</v>
      </c>
      <c r="W5379" t="s">
        <v>26398</v>
      </c>
      <c r="X5379" t="s">
        <v>26401</v>
      </c>
      <c r="Y5379" t="s">
        <v>97</v>
      </c>
      <c r="Z5379" t="s">
        <v>77</v>
      </c>
      <c r="AA5379" t="str">
        <f>"10065-7013"</f>
        <v>10065-7013</v>
      </c>
      <c r="AB5379" t="s">
        <v>78</v>
      </c>
      <c r="AC5379" t="s">
        <v>79</v>
      </c>
      <c r="AD5379" t="s">
        <v>75</v>
      </c>
      <c r="AE5379" t="s">
        <v>80</v>
      </c>
      <c r="AG5379" t="s">
        <v>81</v>
      </c>
    </row>
    <row r="5380" spans="1:33" x14ac:dyDescent="0.25">
      <c r="A5380" t="str">
        <f>"1588687750"</f>
        <v>1588687750</v>
      </c>
      <c r="B5380" t="str">
        <f>"02068862"</f>
        <v>02068862</v>
      </c>
      <c r="C5380" t="s">
        <v>13436</v>
      </c>
      <c r="D5380" t="s">
        <v>26402</v>
      </c>
      <c r="E5380" t="s">
        <v>26403</v>
      </c>
      <c r="G5380" t="s">
        <v>26404</v>
      </c>
      <c r="L5380" t="s">
        <v>83</v>
      </c>
      <c r="M5380" t="s">
        <v>85</v>
      </c>
      <c r="R5380" t="s">
        <v>26405</v>
      </c>
      <c r="W5380" t="s">
        <v>26403</v>
      </c>
      <c r="X5380" t="s">
        <v>26406</v>
      </c>
      <c r="Y5380" t="s">
        <v>217</v>
      </c>
      <c r="Z5380" t="s">
        <v>77</v>
      </c>
      <c r="AA5380" t="str">
        <f>"11557"</f>
        <v>11557</v>
      </c>
      <c r="AB5380" t="s">
        <v>78</v>
      </c>
      <c r="AC5380" t="s">
        <v>79</v>
      </c>
      <c r="AD5380" t="s">
        <v>75</v>
      </c>
      <c r="AE5380" t="s">
        <v>80</v>
      </c>
      <c r="AG5380" t="s">
        <v>81</v>
      </c>
    </row>
    <row r="5381" spans="1:33" x14ac:dyDescent="0.25">
      <c r="A5381" t="str">
        <f>"1598813750"</f>
        <v>1598813750</v>
      </c>
      <c r="B5381" t="str">
        <f>"02990343"</f>
        <v>02990343</v>
      </c>
      <c r="C5381" t="s">
        <v>13436</v>
      </c>
      <c r="D5381" t="s">
        <v>26407</v>
      </c>
      <c r="E5381" t="s">
        <v>26408</v>
      </c>
      <c r="G5381" t="s">
        <v>26409</v>
      </c>
      <c r="L5381" t="s">
        <v>83</v>
      </c>
      <c r="M5381" t="s">
        <v>85</v>
      </c>
      <c r="R5381" t="s">
        <v>26410</v>
      </c>
      <c r="W5381" t="s">
        <v>26408</v>
      </c>
      <c r="X5381" t="s">
        <v>26411</v>
      </c>
      <c r="Y5381" t="s">
        <v>97</v>
      </c>
      <c r="Z5381" t="s">
        <v>77</v>
      </c>
      <c r="AA5381" t="str">
        <f>"10003"</f>
        <v>10003</v>
      </c>
      <c r="AB5381" t="s">
        <v>78</v>
      </c>
      <c r="AC5381" t="s">
        <v>79</v>
      </c>
      <c r="AD5381" t="s">
        <v>75</v>
      </c>
      <c r="AE5381" t="s">
        <v>80</v>
      </c>
      <c r="AG5381" t="s">
        <v>81</v>
      </c>
    </row>
    <row r="5382" spans="1:33" x14ac:dyDescent="0.25">
      <c r="A5382" t="str">
        <f>"1598865297"</f>
        <v>1598865297</v>
      </c>
      <c r="C5382" t="s">
        <v>13436</v>
      </c>
      <c r="G5382" t="s">
        <v>26412</v>
      </c>
      <c r="K5382" t="s">
        <v>99</v>
      </c>
      <c r="L5382" t="s">
        <v>102</v>
      </c>
      <c r="M5382" t="s">
        <v>85</v>
      </c>
      <c r="R5382" t="s">
        <v>26413</v>
      </c>
      <c r="S5382" t="s">
        <v>26414</v>
      </c>
      <c r="T5382" t="s">
        <v>97</v>
      </c>
      <c r="U5382" t="s">
        <v>77</v>
      </c>
      <c r="V5382" t="str">
        <f>"100212995"</f>
        <v>100212995</v>
      </c>
      <c r="AC5382" t="s">
        <v>79</v>
      </c>
      <c r="AD5382" t="s">
        <v>75</v>
      </c>
      <c r="AE5382" t="s">
        <v>103</v>
      </c>
      <c r="AG5382" t="s">
        <v>81</v>
      </c>
    </row>
    <row r="5383" spans="1:33" x14ac:dyDescent="0.25">
      <c r="A5383" t="str">
        <f>"1619088747"</f>
        <v>1619088747</v>
      </c>
      <c r="B5383" t="str">
        <f>"01298379"</f>
        <v>01298379</v>
      </c>
      <c r="C5383" t="s">
        <v>13436</v>
      </c>
      <c r="D5383" t="s">
        <v>26415</v>
      </c>
      <c r="E5383" t="s">
        <v>26416</v>
      </c>
      <c r="G5383" t="s">
        <v>26417</v>
      </c>
      <c r="L5383" t="s">
        <v>83</v>
      </c>
      <c r="M5383" t="s">
        <v>85</v>
      </c>
      <c r="R5383" t="s">
        <v>26418</v>
      </c>
      <c r="W5383" t="s">
        <v>26416</v>
      </c>
      <c r="X5383" t="s">
        <v>1269</v>
      </c>
      <c r="Y5383" t="s">
        <v>97</v>
      </c>
      <c r="Z5383" t="s">
        <v>77</v>
      </c>
      <c r="AA5383" t="str">
        <f>"10011-6600"</f>
        <v>10011-6600</v>
      </c>
      <c r="AB5383" t="s">
        <v>78</v>
      </c>
      <c r="AC5383" t="s">
        <v>79</v>
      </c>
      <c r="AD5383" t="s">
        <v>75</v>
      </c>
      <c r="AE5383" t="s">
        <v>80</v>
      </c>
      <c r="AG5383" t="s">
        <v>81</v>
      </c>
    </row>
    <row r="5384" spans="1:33" x14ac:dyDescent="0.25">
      <c r="A5384" t="str">
        <f>"1619105707"</f>
        <v>1619105707</v>
      </c>
      <c r="B5384" t="str">
        <f>"04154532"</f>
        <v>04154532</v>
      </c>
      <c r="C5384" t="s">
        <v>13436</v>
      </c>
      <c r="D5384" t="s">
        <v>26419</v>
      </c>
      <c r="E5384" t="s">
        <v>26420</v>
      </c>
      <c r="G5384" t="s">
        <v>26421</v>
      </c>
      <c r="L5384" t="s">
        <v>83</v>
      </c>
      <c r="M5384" t="s">
        <v>85</v>
      </c>
      <c r="R5384" t="s">
        <v>26422</v>
      </c>
      <c r="W5384" t="s">
        <v>26420</v>
      </c>
      <c r="X5384" t="s">
        <v>672</v>
      </c>
      <c r="Y5384" t="s">
        <v>97</v>
      </c>
      <c r="Z5384" t="s">
        <v>77</v>
      </c>
      <c r="AA5384" t="str">
        <f>"10013-4552"</f>
        <v>10013-4552</v>
      </c>
      <c r="AB5384" t="s">
        <v>78</v>
      </c>
      <c r="AC5384" t="s">
        <v>79</v>
      </c>
      <c r="AD5384" t="s">
        <v>75</v>
      </c>
      <c r="AE5384" t="s">
        <v>80</v>
      </c>
      <c r="AG5384" t="s">
        <v>81</v>
      </c>
    </row>
    <row r="5385" spans="1:33" x14ac:dyDescent="0.25">
      <c r="A5385" t="str">
        <f>"1619189164"</f>
        <v>1619189164</v>
      </c>
      <c r="B5385" t="str">
        <f>"03192647"</f>
        <v>03192647</v>
      </c>
      <c r="C5385" t="s">
        <v>13436</v>
      </c>
      <c r="D5385" t="s">
        <v>26423</v>
      </c>
      <c r="E5385" t="s">
        <v>26424</v>
      </c>
      <c r="G5385" t="s">
        <v>26425</v>
      </c>
      <c r="L5385" t="s">
        <v>83</v>
      </c>
      <c r="M5385" t="s">
        <v>85</v>
      </c>
      <c r="R5385" t="s">
        <v>26426</v>
      </c>
      <c r="W5385" t="s">
        <v>26427</v>
      </c>
      <c r="X5385" t="s">
        <v>26428</v>
      </c>
      <c r="Y5385" t="s">
        <v>2360</v>
      </c>
      <c r="Z5385" t="s">
        <v>77</v>
      </c>
      <c r="AA5385" t="str">
        <f>"10583-5015"</f>
        <v>10583-5015</v>
      </c>
      <c r="AB5385" t="s">
        <v>78</v>
      </c>
      <c r="AC5385" t="s">
        <v>79</v>
      </c>
      <c r="AD5385" t="s">
        <v>75</v>
      </c>
      <c r="AE5385" t="s">
        <v>80</v>
      </c>
      <c r="AG5385" t="s">
        <v>81</v>
      </c>
    </row>
    <row r="5386" spans="1:33" x14ac:dyDescent="0.25">
      <c r="A5386" t="str">
        <f>"1629081591"</f>
        <v>1629081591</v>
      </c>
      <c r="B5386" t="str">
        <f>"00562809"</f>
        <v>00562809</v>
      </c>
      <c r="C5386" t="s">
        <v>13436</v>
      </c>
      <c r="D5386" t="s">
        <v>26429</v>
      </c>
      <c r="E5386" t="s">
        <v>26430</v>
      </c>
      <c r="G5386" t="s">
        <v>26431</v>
      </c>
      <c r="L5386" t="s">
        <v>83</v>
      </c>
      <c r="M5386" t="s">
        <v>85</v>
      </c>
      <c r="R5386" t="s">
        <v>26432</v>
      </c>
      <c r="W5386" t="s">
        <v>26430</v>
      </c>
      <c r="X5386" t="s">
        <v>4725</v>
      </c>
      <c r="Y5386" t="s">
        <v>131</v>
      </c>
      <c r="Z5386" t="s">
        <v>77</v>
      </c>
      <c r="AA5386" t="str">
        <f>"10461-4738"</f>
        <v>10461-4738</v>
      </c>
      <c r="AB5386" t="s">
        <v>78</v>
      </c>
      <c r="AC5386" t="s">
        <v>79</v>
      </c>
      <c r="AD5386" t="s">
        <v>75</v>
      </c>
      <c r="AE5386" t="s">
        <v>80</v>
      </c>
      <c r="AG5386" t="s">
        <v>81</v>
      </c>
    </row>
    <row r="5387" spans="1:33" x14ac:dyDescent="0.25">
      <c r="A5387" t="str">
        <f>"1548550254"</f>
        <v>1548550254</v>
      </c>
      <c r="B5387" t="str">
        <f>"04504505"</f>
        <v>04504505</v>
      </c>
      <c r="C5387" t="s">
        <v>13436</v>
      </c>
      <c r="D5387" t="s">
        <v>26433</v>
      </c>
      <c r="E5387" t="s">
        <v>26434</v>
      </c>
      <c r="L5387" t="s">
        <v>102</v>
      </c>
      <c r="M5387" t="s">
        <v>75</v>
      </c>
      <c r="R5387" t="s">
        <v>26434</v>
      </c>
      <c r="W5387" t="s">
        <v>26435</v>
      </c>
      <c r="AB5387" t="s">
        <v>78</v>
      </c>
      <c r="AC5387" t="s">
        <v>79</v>
      </c>
      <c r="AD5387" t="s">
        <v>75</v>
      </c>
      <c r="AE5387" t="s">
        <v>80</v>
      </c>
      <c r="AG5387" t="s">
        <v>81</v>
      </c>
    </row>
    <row r="5388" spans="1:33" x14ac:dyDescent="0.25">
      <c r="A5388" t="str">
        <f>"1548550510"</f>
        <v>1548550510</v>
      </c>
      <c r="C5388" t="s">
        <v>13436</v>
      </c>
      <c r="K5388" t="s">
        <v>99</v>
      </c>
      <c r="L5388" t="s">
        <v>102</v>
      </c>
      <c r="M5388" t="s">
        <v>75</v>
      </c>
      <c r="R5388" t="s">
        <v>26436</v>
      </c>
      <c r="S5388" t="s">
        <v>5249</v>
      </c>
      <c r="T5388" t="s">
        <v>97</v>
      </c>
      <c r="U5388" t="s">
        <v>77</v>
      </c>
      <c r="V5388" t="str">
        <f>"100033805"</f>
        <v>100033805</v>
      </c>
      <c r="AC5388" t="s">
        <v>79</v>
      </c>
      <c r="AD5388" t="s">
        <v>75</v>
      </c>
      <c r="AE5388" t="s">
        <v>103</v>
      </c>
      <c r="AG5388" t="s">
        <v>81</v>
      </c>
    </row>
    <row r="5389" spans="1:33" x14ac:dyDescent="0.25">
      <c r="A5389" t="str">
        <f>"1548554520"</f>
        <v>1548554520</v>
      </c>
      <c r="C5389" t="s">
        <v>13436</v>
      </c>
      <c r="K5389" t="s">
        <v>99</v>
      </c>
      <c r="L5389" t="s">
        <v>102</v>
      </c>
      <c r="M5389" t="s">
        <v>75</v>
      </c>
      <c r="R5389" t="s">
        <v>26437</v>
      </c>
      <c r="S5389" t="s">
        <v>26438</v>
      </c>
      <c r="T5389" t="s">
        <v>97</v>
      </c>
      <c r="U5389" t="s">
        <v>77</v>
      </c>
      <c r="V5389" t="str">
        <f>"100191147"</f>
        <v>100191147</v>
      </c>
      <c r="AC5389" t="s">
        <v>79</v>
      </c>
      <c r="AD5389" t="s">
        <v>75</v>
      </c>
      <c r="AE5389" t="s">
        <v>103</v>
      </c>
      <c r="AG5389" t="s">
        <v>81</v>
      </c>
    </row>
    <row r="5390" spans="1:33" x14ac:dyDescent="0.25">
      <c r="A5390" t="str">
        <f>"1548559396"</f>
        <v>1548559396</v>
      </c>
      <c r="B5390" t="str">
        <f>"04598243"</f>
        <v>04598243</v>
      </c>
      <c r="C5390" t="s">
        <v>13436</v>
      </c>
      <c r="D5390" t="s">
        <v>26439</v>
      </c>
      <c r="E5390" t="s">
        <v>26440</v>
      </c>
      <c r="L5390" t="s">
        <v>102</v>
      </c>
      <c r="M5390" t="s">
        <v>75</v>
      </c>
      <c r="R5390" t="s">
        <v>26440</v>
      </c>
      <c r="W5390" t="s">
        <v>26440</v>
      </c>
      <c r="AB5390" t="s">
        <v>78</v>
      </c>
      <c r="AC5390" t="s">
        <v>79</v>
      </c>
      <c r="AD5390" t="s">
        <v>75</v>
      </c>
      <c r="AE5390" t="s">
        <v>80</v>
      </c>
      <c r="AG5390" t="s">
        <v>81</v>
      </c>
    </row>
    <row r="5391" spans="1:33" x14ac:dyDescent="0.25">
      <c r="A5391" t="str">
        <f>"1548572522"</f>
        <v>1548572522</v>
      </c>
      <c r="B5391" t="str">
        <f>"04072937"</f>
        <v>04072937</v>
      </c>
      <c r="C5391" t="s">
        <v>13436</v>
      </c>
      <c r="D5391" t="s">
        <v>26441</v>
      </c>
      <c r="E5391" t="s">
        <v>26442</v>
      </c>
      <c r="L5391" t="s">
        <v>83</v>
      </c>
      <c r="M5391" t="s">
        <v>75</v>
      </c>
      <c r="R5391" t="s">
        <v>26442</v>
      </c>
      <c r="W5391" t="s">
        <v>26442</v>
      </c>
      <c r="X5391" t="s">
        <v>26443</v>
      </c>
      <c r="Y5391" t="s">
        <v>97</v>
      </c>
      <c r="Z5391" t="s">
        <v>77</v>
      </c>
      <c r="AA5391" t="str">
        <f>"10032-3725"</f>
        <v>10032-3725</v>
      </c>
      <c r="AB5391" t="s">
        <v>78</v>
      </c>
      <c r="AC5391" t="s">
        <v>79</v>
      </c>
      <c r="AD5391" t="s">
        <v>75</v>
      </c>
      <c r="AE5391" t="s">
        <v>80</v>
      </c>
      <c r="AG5391" t="s">
        <v>81</v>
      </c>
    </row>
    <row r="5392" spans="1:33" x14ac:dyDescent="0.25">
      <c r="A5392" t="str">
        <f>"1114995081"</f>
        <v>1114995081</v>
      </c>
      <c r="B5392" t="str">
        <f>"00238399"</f>
        <v>00238399</v>
      </c>
      <c r="C5392" t="s">
        <v>13436</v>
      </c>
      <c r="D5392" t="s">
        <v>26444</v>
      </c>
      <c r="E5392" t="s">
        <v>26445</v>
      </c>
      <c r="G5392" t="s">
        <v>26446</v>
      </c>
      <c r="L5392" t="s">
        <v>74</v>
      </c>
      <c r="M5392" t="s">
        <v>85</v>
      </c>
      <c r="R5392" t="s">
        <v>26447</v>
      </c>
      <c r="W5392" t="s">
        <v>26445</v>
      </c>
      <c r="X5392" t="s">
        <v>5773</v>
      </c>
      <c r="Y5392" t="s">
        <v>97</v>
      </c>
      <c r="Z5392" t="s">
        <v>77</v>
      </c>
      <c r="AA5392" t="str">
        <f>"10016-4901"</f>
        <v>10016-4901</v>
      </c>
      <c r="AB5392" t="s">
        <v>78</v>
      </c>
      <c r="AC5392" t="s">
        <v>79</v>
      </c>
      <c r="AD5392" t="s">
        <v>75</v>
      </c>
      <c r="AE5392" t="s">
        <v>80</v>
      </c>
      <c r="AG5392" t="s">
        <v>81</v>
      </c>
    </row>
    <row r="5393" spans="1:33" x14ac:dyDescent="0.25">
      <c r="A5393" t="str">
        <f>"1124001532"</f>
        <v>1124001532</v>
      </c>
      <c r="B5393" t="str">
        <f>"01407381"</f>
        <v>01407381</v>
      </c>
      <c r="C5393" t="s">
        <v>13436</v>
      </c>
      <c r="D5393" t="s">
        <v>26448</v>
      </c>
      <c r="E5393" t="s">
        <v>26449</v>
      </c>
      <c r="G5393" t="s">
        <v>26450</v>
      </c>
      <c r="L5393" t="s">
        <v>83</v>
      </c>
      <c r="M5393" t="s">
        <v>85</v>
      </c>
      <c r="R5393" t="s">
        <v>4455</v>
      </c>
      <c r="W5393" t="s">
        <v>26451</v>
      </c>
      <c r="X5393" t="s">
        <v>329</v>
      </c>
      <c r="Y5393" t="s">
        <v>97</v>
      </c>
      <c r="Z5393" t="s">
        <v>77</v>
      </c>
      <c r="AA5393" t="str">
        <f>"10029-6500"</f>
        <v>10029-6500</v>
      </c>
      <c r="AB5393" t="s">
        <v>78</v>
      </c>
      <c r="AC5393" t="s">
        <v>79</v>
      </c>
      <c r="AD5393" t="s">
        <v>75</v>
      </c>
      <c r="AE5393" t="s">
        <v>80</v>
      </c>
      <c r="AG5393" t="s">
        <v>81</v>
      </c>
    </row>
    <row r="5394" spans="1:33" x14ac:dyDescent="0.25">
      <c r="A5394" t="str">
        <f>"1124013222"</f>
        <v>1124013222</v>
      </c>
      <c r="B5394" t="str">
        <f>"02610557"</f>
        <v>02610557</v>
      </c>
      <c r="C5394" t="s">
        <v>13436</v>
      </c>
      <c r="D5394" t="s">
        <v>26452</v>
      </c>
      <c r="E5394" t="s">
        <v>26453</v>
      </c>
      <c r="L5394" t="s">
        <v>83</v>
      </c>
      <c r="M5394" t="s">
        <v>85</v>
      </c>
      <c r="W5394" t="s">
        <v>26453</v>
      </c>
      <c r="X5394" t="s">
        <v>1330</v>
      </c>
      <c r="Y5394" t="s">
        <v>87</v>
      </c>
      <c r="Z5394" t="s">
        <v>77</v>
      </c>
      <c r="AA5394" t="str">
        <f>"11219-2918"</f>
        <v>11219-2918</v>
      </c>
      <c r="AB5394" t="s">
        <v>78</v>
      </c>
      <c r="AC5394" t="s">
        <v>79</v>
      </c>
      <c r="AD5394" t="s">
        <v>75</v>
      </c>
      <c r="AE5394" t="s">
        <v>80</v>
      </c>
      <c r="AG5394" t="s">
        <v>81</v>
      </c>
    </row>
    <row r="5395" spans="1:33" x14ac:dyDescent="0.25">
      <c r="A5395" t="str">
        <f>"1124013248"</f>
        <v>1124013248</v>
      </c>
      <c r="B5395" t="str">
        <f>"03022117"</f>
        <v>03022117</v>
      </c>
      <c r="C5395" t="s">
        <v>13436</v>
      </c>
      <c r="D5395" t="s">
        <v>26454</v>
      </c>
      <c r="E5395" t="s">
        <v>26455</v>
      </c>
      <c r="G5395" t="s">
        <v>26456</v>
      </c>
      <c r="L5395" t="s">
        <v>74</v>
      </c>
      <c r="M5395" t="s">
        <v>85</v>
      </c>
      <c r="R5395" t="s">
        <v>26457</v>
      </c>
      <c r="W5395" t="s">
        <v>26455</v>
      </c>
      <c r="X5395" t="s">
        <v>330</v>
      </c>
      <c r="Y5395" t="s">
        <v>97</v>
      </c>
      <c r="Z5395" t="s">
        <v>77</v>
      </c>
      <c r="AA5395" t="str">
        <f>"10029-5204"</f>
        <v>10029-5204</v>
      </c>
      <c r="AB5395" t="s">
        <v>78</v>
      </c>
      <c r="AC5395" t="s">
        <v>79</v>
      </c>
      <c r="AD5395" t="s">
        <v>75</v>
      </c>
      <c r="AE5395" t="s">
        <v>80</v>
      </c>
      <c r="AG5395" t="s">
        <v>81</v>
      </c>
    </row>
    <row r="5396" spans="1:33" x14ac:dyDescent="0.25">
      <c r="A5396" t="str">
        <f>"1396882841"</f>
        <v>1396882841</v>
      </c>
      <c r="B5396" t="str">
        <f>"03214248"</f>
        <v>03214248</v>
      </c>
      <c r="C5396" t="s">
        <v>13436</v>
      </c>
      <c r="D5396" t="s">
        <v>26458</v>
      </c>
      <c r="E5396" t="s">
        <v>26459</v>
      </c>
      <c r="G5396" t="s">
        <v>26460</v>
      </c>
      <c r="L5396" t="s">
        <v>74</v>
      </c>
      <c r="M5396" t="s">
        <v>85</v>
      </c>
      <c r="R5396" t="s">
        <v>26461</v>
      </c>
      <c r="W5396" t="s">
        <v>26459</v>
      </c>
      <c r="X5396" t="s">
        <v>26462</v>
      </c>
      <c r="Y5396" t="s">
        <v>97</v>
      </c>
      <c r="Z5396" t="s">
        <v>77</v>
      </c>
      <c r="AA5396" t="str">
        <f>"10035-1641"</f>
        <v>10035-1641</v>
      </c>
      <c r="AB5396" t="s">
        <v>78</v>
      </c>
      <c r="AC5396" t="s">
        <v>79</v>
      </c>
      <c r="AD5396" t="s">
        <v>75</v>
      </c>
      <c r="AE5396" t="s">
        <v>80</v>
      </c>
      <c r="AG5396" t="s">
        <v>81</v>
      </c>
    </row>
    <row r="5397" spans="1:33" x14ac:dyDescent="0.25">
      <c r="A5397" t="str">
        <f>"1598746471"</f>
        <v>1598746471</v>
      </c>
      <c r="B5397" t="str">
        <f>"02637016"</f>
        <v>02637016</v>
      </c>
      <c r="C5397" t="s">
        <v>13436</v>
      </c>
      <c r="D5397" t="s">
        <v>26463</v>
      </c>
      <c r="E5397" t="s">
        <v>26464</v>
      </c>
      <c r="G5397" t="s">
        <v>26465</v>
      </c>
      <c r="L5397" t="s">
        <v>83</v>
      </c>
      <c r="M5397" t="s">
        <v>75</v>
      </c>
      <c r="R5397" t="s">
        <v>26464</v>
      </c>
      <c r="W5397" t="s">
        <v>26464</v>
      </c>
      <c r="X5397" t="s">
        <v>26466</v>
      </c>
      <c r="Y5397" t="s">
        <v>97</v>
      </c>
      <c r="Z5397" t="s">
        <v>77</v>
      </c>
      <c r="AA5397" t="str">
        <f>"10003-3314"</f>
        <v>10003-3314</v>
      </c>
      <c r="AB5397" t="s">
        <v>78</v>
      </c>
      <c r="AC5397" t="s">
        <v>79</v>
      </c>
      <c r="AD5397" t="s">
        <v>75</v>
      </c>
      <c r="AE5397" t="s">
        <v>80</v>
      </c>
      <c r="AG5397" t="s">
        <v>81</v>
      </c>
    </row>
    <row r="5398" spans="1:33" x14ac:dyDescent="0.25">
      <c r="A5398" t="str">
        <f>"1528486503"</f>
        <v>1528486503</v>
      </c>
      <c r="C5398" t="s">
        <v>13436</v>
      </c>
      <c r="K5398" t="s">
        <v>99</v>
      </c>
      <c r="L5398" t="s">
        <v>102</v>
      </c>
      <c r="M5398" t="s">
        <v>75</v>
      </c>
      <c r="R5398" t="s">
        <v>26467</v>
      </c>
      <c r="S5398" t="s">
        <v>191</v>
      </c>
      <c r="T5398" t="s">
        <v>97</v>
      </c>
      <c r="U5398" t="s">
        <v>77</v>
      </c>
      <c r="V5398" t="str">
        <f>"100191147"</f>
        <v>100191147</v>
      </c>
      <c r="AC5398" t="s">
        <v>79</v>
      </c>
      <c r="AD5398" t="s">
        <v>75</v>
      </c>
      <c r="AE5398" t="s">
        <v>103</v>
      </c>
      <c r="AG5398" t="s">
        <v>81</v>
      </c>
    </row>
    <row r="5399" spans="1:33" x14ac:dyDescent="0.25">
      <c r="A5399" t="str">
        <f>"1528486610"</f>
        <v>1528486610</v>
      </c>
      <c r="C5399" t="s">
        <v>13436</v>
      </c>
      <c r="K5399" t="s">
        <v>99</v>
      </c>
      <c r="L5399" t="s">
        <v>102</v>
      </c>
      <c r="M5399" t="s">
        <v>75</v>
      </c>
      <c r="R5399" t="s">
        <v>26468</v>
      </c>
      <c r="S5399" t="s">
        <v>26469</v>
      </c>
      <c r="T5399" t="s">
        <v>97</v>
      </c>
      <c r="U5399" t="s">
        <v>77</v>
      </c>
      <c r="V5399" t="str">
        <f>"100033821"</f>
        <v>100033821</v>
      </c>
      <c r="AC5399" t="s">
        <v>79</v>
      </c>
      <c r="AD5399" t="s">
        <v>75</v>
      </c>
      <c r="AE5399" t="s">
        <v>103</v>
      </c>
      <c r="AG5399" t="s">
        <v>81</v>
      </c>
    </row>
    <row r="5400" spans="1:33" x14ac:dyDescent="0.25">
      <c r="A5400" t="str">
        <f>"1528487501"</f>
        <v>1528487501</v>
      </c>
      <c r="C5400" t="s">
        <v>13436</v>
      </c>
      <c r="K5400" t="s">
        <v>99</v>
      </c>
      <c r="L5400" t="s">
        <v>102</v>
      </c>
      <c r="M5400" t="s">
        <v>75</v>
      </c>
      <c r="R5400" t="s">
        <v>26470</v>
      </c>
      <c r="S5400" t="s">
        <v>191</v>
      </c>
      <c r="T5400" t="s">
        <v>97</v>
      </c>
      <c r="U5400" t="s">
        <v>77</v>
      </c>
      <c r="V5400" t="str">
        <f>"100191147"</f>
        <v>100191147</v>
      </c>
      <c r="AC5400" t="s">
        <v>79</v>
      </c>
      <c r="AD5400" t="s">
        <v>75</v>
      </c>
      <c r="AE5400" t="s">
        <v>103</v>
      </c>
      <c r="AG5400" t="s">
        <v>81</v>
      </c>
    </row>
    <row r="5401" spans="1:33" x14ac:dyDescent="0.25">
      <c r="A5401" t="str">
        <f>"1588633739"</f>
        <v>1588633739</v>
      </c>
      <c r="B5401" t="str">
        <f>"02734072"</f>
        <v>02734072</v>
      </c>
      <c r="C5401" t="s">
        <v>13436</v>
      </c>
      <c r="D5401" t="s">
        <v>26471</v>
      </c>
      <c r="E5401" t="s">
        <v>26472</v>
      </c>
      <c r="G5401" t="s">
        <v>26473</v>
      </c>
      <c r="L5401" t="s">
        <v>74</v>
      </c>
      <c r="M5401" t="s">
        <v>85</v>
      </c>
      <c r="R5401" t="s">
        <v>26474</v>
      </c>
      <c r="W5401" t="s">
        <v>26472</v>
      </c>
      <c r="X5401" t="s">
        <v>13562</v>
      </c>
      <c r="Y5401" t="s">
        <v>97</v>
      </c>
      <c r="Z5401" t="s">
        <v>77</v>
      </c>
      <c r="AA5401" t="str">
        <f>"10029-6508"</f>
        <v>10029-6508</v>
      </c>
      <c r="AB5401" t="s">
        <v>78</v>
      </c>
      <c r="AC5401" t="s">
        <v>79</v>
      </c>
      <c r="AD5401" t="s">
        <v>75</v>
      </c>
      <c r="AE5401" t="s">
        <v>80</v>
      </c>
      <c r="AG5401" t="s">
        <v>81</v>
      </c>
    </row>
    <row r="5402" spans="1:33" x14ac:dyDescent="0.25">
      <c r="A5402" t="str">
        <f>"1467452086"</f>
        <v>1467452086</v>
      </c>
      <c r="B5402" t="str">
        <f>"00399913"</f>
        <v>00399913</v>
      </c>
      <c r="C5402" t="s">
        <v>13436</v>
      </c>
      <c r="D5402" t="s">
        <v>2095</v>
      </c>
      <c r="E5402" t="s">
        <v>2096</v>
      </c>
      <c r="G5402" t="s">
        <v>26475</v>
      </c>
      <c r="L5402" t="s">
        <v>83</v>
      </c>
      <c r="M5402" t="s">
        <v>75</v>
      </c>
      <c r="R5402" t="s">
        <v>2094</v>
      </c>
      <c r="W5402" t="s">
        <v>2096</v>
      </c>
      <c r="X5402" t="s">
        <v>2097</v>
      </c>
      <c r="Y5402" t="s">
        <v>87</v>
      </c>
      <c r="Z5402" t="s">
        <v>77</v>
      </c>
      <c r="AA5402" t="str">
        <f>"11229-2303"</f>
        <v>11229-2303</v>
      </c>
      <c r="AB5402" t="s">
        <v>78</v>
      </c>
      <c r="AC5402" t="s">
        <v>79</v>
      </c>
      <c r="AD5402" t="s">
        <v>75</v>
      </c>
      <c r="AE5402" t="s">
        <v>80</v>
      </c>
      <c r="AG5402" t="s">
        <v>81</v>
      </c>
    </row>
    <row r="5403" spans="1:33" x14ac:dyDescent="0.25">
      <c r="A5403" t="str">
        <f>"1467466870"</f>
        <v>1467466870</v>
      </c>
      <c r="B5403" t="str">
        <f>"01851087"</f>
        <v>01851087</v>
      </c>
      <c r="C5403" t="s">
        <v>13436</v>
      </c>
      <c r="D5403" t="s">
        <v>26476</v>
      </c>
      <c r="E5403" t="s">
        <v>26477</v>
      </c>
      <c r="G5403" t="s">
        <v>26478</v>
      </c>
      <c r="L5403" t="s">
        <v>83</v>
      </c>
      <c r="M5403" t="s">
        <v>75</v>
      </c>
      <c r="R5403" t="s">
        <v>26479</v>
      </c>
      <c r="W5403" t="s">
        <v>26480</v>
      </c>
      <c r="X5403" t="s">
        <v>26481</v>
      </c>
      <c r="Y5403" t="s">
        <v>87</v>
      </c>
      <c r="Z5403" t="s">
        <v>77</v>
      </c>
      <c r="AA5403" t="str">
        <f>"11209-5707"</f>
        <v>11209-5707</v>
      </c>
      <c r="AB5403" t="s">
        <v>78</v>
      </c>
      <c r="AC5403" t="s">
        <v>79</v>
      </c>
      <c r="AD5403" t="s">
        <v>75</v>
      </c>
      <c r="AE5403" t="s">
        <v>80</v>
      </c>
      <c r="AG5403" t="s">
        <v>81</v>
      </c>
    </row>
    <row r="5404" spans="1:33" x14ac:dyDescent="0.25">
      <c r="A5404" t="str">
        <f>"1326300567"</f>
        <v>1326300567</v>
      </c>
      <c r="C5404" t="s">
        <v>13436</v>
      </c>
      <c r="G5404" t="s">
        <v>26482</v>
      </c>
      <c r="K5404" t="s">
        <v>99</v>
      </c>
      <c r="L5404" t="s">
        <v>102</v>
      </c>
      <c r="M5404" t="s">
        <v>75</v>
      </c>
      <c r="R5404" t="s">
        <v>26483</v>
      </c>
      <c r="S5404" t="s">
        <v>26484</v>
      </c>
      <c r="T5404" t="s">
        <v>3463</v>
      </c>
      <c r="U5404" t="s">
        <v>77</v>
      </c>
      <c r="V5404" t="str">
        <f>"115651116"</f>
        <v>115651116</v>
      </c>
      <c r="AC5404" t="s">
        <v>79</v>
      </c>
      <c r="AD5404" t="s">
        <v>75</v>
      </c>
      <c r="AE5404" t="s">
        <v>103</v>
      </c>
      <c r="AG5404" t="s">
        <v>81</v>
      </c>
    </row>
    <row r="5405" spans="1:33" x14ac:dyDescent="0.25">
      <c r="A5405" t="str">
        <f>"1245512474"</f>
        <v>1245512474</v>
      </c>
      <c r="B5405" t="str">
        <f>"03922341"</f>
        <v>03922341</v>
      </c>
      <c r="C5405" t="s">
        <v>13436</v>
      </c>
      <c r="D5405" t="s">
        <v>26485</v>
      </c>
      <c r="E5405" t="s">
        <v>26486</v>
      </c>
      <c r="G5405" t="s">
        <v>26487</v>
      </c>
      <c r="L5405" t="s">
        <v>74</v>
      </c>
      <c r="M5405" t="s">
        <v>75</v>
      </c>
      <c r="R5405" t="s">
        <v>26488</v>
      </c>
      <c r="W5405" t="s">
        <v>26486</v>
      </c>
      <c r="X5405" t="s">
        <v>26489</v>
      </c>
      <c r="Y5405" t="s">
        <v>1779</v>
      </c>
      <c r="Z5405" t="s">
        <v>77</v>
      </c>
      <c r="AA5405" t="str">
        <f>"11572-1551"</f>
        <v>11572-1551</v>
      </c>
      <c r="AB5405" t="s">
        <v>78</v>
      </c>
      <c r="AC5405" t="s">
        <v>79</v>
      </c>
      <c r="AD5405" t="s">
        <v>75</v>
      </c>
      <c r="AE5405" t="s">
        <v>80</v>
      </c>
      <c r="AG5405" t="s">
        <v>81</v>
      </c>
    </row>
    <row r="5406" spans="1:33" x14ac:dyDescent="0.25">
      <c r="A5406" t="str">
        <f>"1245513118"</f>
        <v>1245513118</v>
      </c>
      <c r="B5406" t="str">
        <f>"04073983"</f>
        <v>04073983</v>
      </c>
      <c r="C5406" t="s">
        <v>13436</v>
      </c>
      <c r="D5406" t="s">
        <v>26490</v>
      </c>
      <c r="E5406" t="s">
        <v>26491</v>
      </c>
      <c r="L5406" t="s">
        <v>83</v>
      </c>
      <c r="M5406" t="s">
        <v>75</v>
      </c>
      <c r="R5406" t="s">
        <v>26492</v>
      </c>
      <c r="W5406" t="s">
        <v>26491</v>
      </c>
      <c r="X5406" t="s">
        <v>235</v>
      </c>
      <c r="Y5406" t="s">
        <v>236</v>
      </c>
      <c r="Z5406" t="s">
        <v>77</v>
      </c>
      <c r="AA5406" t="str">
        <f>"11102-2448"</f>
        <v>11102-2448</v>
      </c>
      <c r="AB5406" t="s">
        <v>78</v>
      </c>
      <c r="AC5406" t="s">
        <v>79</v>
      </c>
      <c r="AD5406" t="s">
        <v>75</v>
      </c>
      <c r="AE5406" t="s">
        <v>80</v>
      </c>
      <c r="AG5406" t="s">
        <v>81</v>
      </c>
    </row>
    <row r="5407" spans="1:33" x14ac:dyDescent="0.25">
      <c r="A5407" t="str">
        <f>"1588082390"</f>
        <v>1588082390</v>
      </c>
      <c r="C5407" t="s">
        <v>13436</v>
      </c>
      <c r="K5407" t="s">
        <v>99</v>
      </c>
      <c r="L5407" t="s">
        <v>102</v>
      </c>
      <c r="M5407" t="s">
        <v>75</v>
      </c>
      <c r="R5407" t="s">
        <v>26493</v>
      </c>
      <c r="S5407" t="s">
        <v>26494</v>
      </c>
      <c r="T5407" t="s">
        <v>97</v>
      </c>
      <c r="U5407" t="s">
        <v>77</v>
      </c>
      <c r="V5407" t="str">
        <f>"10029"</f>
        <v>10029</v>
      </c>
      <c r="AC5407" t="s">
        <v>79</v>
      </c>
      <c r="AD5407" t="s">
        <v>75</v>
      </c>
      <c r="AE5407" t="s">
        <v>103</v>
      </c>
      <c r="AG5407" t="s">
        <v>81</v>
      </c>
    </row>
    <row r="5408" spans="1:33" x14ac:dyDescent="0.25">
      <c r="A5408" t="str">
        <f>"1588088280"</f>
        <v>1588088280</v>
      </c>
      <c r="C5408" t="s">
        <v>13436</v>
      </c>
      <c r="G5408" t="s">
        <v>26495</v>
      </c>
      <c r="K5408" t="s">
        <v>99</v>
      </c>
      <c r="L5408" t="s">
        <v>102</v>
      </c>
      <c r="M5408" t="s">
        <v>75</v>
      </c>
      <c r="R5408" t="s">
        <v>26496</v>
      </c>
      <c r="S5408" t="s">
        <v>26497</v>
      </c>
      <c r="T5408" t="s">
        <v>145</v>
      </c>
      <c r="U5408" t="s">
        <v>77</v>
      </c>
      <c r="V5408" t="str">
        <f>"113602433"</f>
        <v>113602433</v>
      </c>
      <c r="AC5408" t="s">
        <v>79</v>
      </c>
      <c r="AD5408" t="s">
        <v>75</v>
      </c>
      <c r="AE5408" t="s">
        <v>103</v>
      </c>
      <c r="AG5408" t="s">
        <v>81</v>
      </c>
    </row>
    <row r="5409" spans="1:33" x14ac:dyDescent="0.25">
      <c r="A5409" t="str">
        <f>"1588096317"</f>
        <v>1588096317</v>
      </c>
      <c r="C5409" t="s">
        <v>13436</v>
      </c>
      <c r="G5409" t="s">
        <v>26498</v>
      </c>
      <c r="K5409" t="s">
        <v>99</v>
      </c>
      <c r="L5409" t="s">
        <v>102</v>
      </c>
      <c r="M5409" t="s">
        <v>75</v>
      </c>
      <c r="R5409" t="s">
        <v>26499</v>
      </c>
      <c r="S5409" t="s">
        <v>26500</v>
      </c>
      <c r="T5409" t="s">
        <v>26501</v>
      </c>
      <c r="U5409" t="s">
        <v>2595</v>
      </c>
      <c r="V5409" t="str">
        <f>"946093108"</f>
        <v>946093108</v>
      </c>
      <c r="AC5409" t="s">
        <v>79</v>
      </c>
      <c r="AD5409" t="s">
        <v>75</v>
      </c>
      <c r="AE5409" t="s">
        <v>103</v>
      </c>
      <c r="AG5409" t="s">
        <v>81</v>
      </c>
    </row>
    <row r="5410" spans="1:33" x14ac:dyDescent="0.25">
      <c r="A5410" t="str">
        <f>"1588625792"</f>
        <v>1588625792</v>
      </c>
      <c r="B5410" t="str">
        <f>"01073885"</f>
        <v>01073885</v>
      </c>
      <c r="C5410" t="s">
        <v>13436</v>
      </c>
      <c r="D5410" t="s">
        <v>26502</v>
      </c>
      <c r="E5410" t="s">
        <v>26503</v>
      </c>
      <c r="G5410" t="s">
        <v>26504</v>
      </c>
      <c r="L5410" t="s">
        <v>74</v>
      </c>
      <c r="M5410" t="s">
        <v>85</v>
      </c>
      <c r="R5410" t="s">
        <v>26505</v>
      </c>
      <c r="W5410" t="s">
        <v>26503</v>
      </c>
      <c r="X5410" t="s">
        <v>204</v>
      </c>
      <c r="Y5410" t="s">
        <v>97</v>
      </c>
      <c r="Z5410" t="s">
        <v>77</v>
      </c>
      <c r="AA5410" t="str">
        <f>"10065-4870"</f>
        <v>10065-4870</v>
      </c>
      <c r="AB5410" t="s">
        <v>78</v>
      </c>
      <c r="AC5410" t="s">
        <v>79</v>
      </c>
      <c r="AD5410" t="s">
        <v>75</v>
      </c>
      <c r="AE5410" t="s">
        <v>80</v>
      </c>
      <c r="AG5410" t="s">
        <v>81</v>
      </c>
    </row>
    <row r="5411" spans="1:33" x14ac:dyDescent="0.25">
      <c r="A5411" t="str">
        <f>"1477651057"</f>
        <v>1477651057</v>
      </c>
      <c r="B5411" t="str">
        <f>"02516723"</f>
        <v>02516723</v>
      </c>
      <c r="C5411" t="s">
        <v>13436</v>
      </c>
      <c r="D5411" t="s">
        <v>26506</v>
      </c>
      <c r="E5411" t="s">
        <v>26507</v>
      </c>
      <c r="G5411" t="s">
        <v>26508</v>
      </c>
      <c r="L5411" t="s">
        <v>83</v>
      </c>
      <c r="M5411" t="s">
        <v>85</v>
      </c>
      <c r="R5411" t="s">
        <v>26509</v>
      </c>
      <c r="W5411" t="s">
        <v>26507</v>
      </c>
      <c r="X5411" t="s">
        <v>863</v>
      </c>
      <c r="Y5411" t="s">
        <v>131</v>
      </c>
      <c r="Z5411" t="s">
        <v>77</v>
      </c>
      <c r="AA5411" t="str">
        <f>"10461"</f>
        <v>10461</v>
      </c>
      <c r="AB5411" t="s">
        <v>78</v>
      </c>
      <c r="AC5411" t="s">
        <v>79</v>
      </c>
      <c r="AD5411" t="s">
        <v>75</v>
      </c>
      <c r="AE5411" t="s">
        <v>80</v>
      </c>
      <c r="AG5411" t="s">
        <v>81</v>
      </c>
    </row>
    <row r="5412" spans="1:33" x14ac:dyDescent="0.25">
      <c r="A5412" t="str">
        <f>"1487651410"</f>
        <v>1487651410</v>
      </c>
      <c r="B5412" t="str">
        <f>"01341193"</f>
        <v>01341193</v>
      </c>
      <c r="C5412" t="s">
        <v>13436</v>
      </c>
      <c r="D5412" t="s">
        <v>26510</v>
      </c>
      <c r="E5412" t="s">
        <v>26511</v>
      </c>
      <c r="G5412" t="s">
        <v>26512</v>
      </c>
      <c r="L5412" t="s">
        <v>83</v>
      </c>
      <c r="M5412" t="s">
        <v>85</v>
      </c>
      <c r="R5412" t="s">
        <v>26513</v>
      </c>
      <c r="W5412" t="s">
        <v>26511</v>
      </c>
      <c r="X5412" t="s">
        <v>1333</v>
      </c>
      <c r="Y5412" t="s">
        <v>97</v>
      </c>
      <c r="Z5412" t="s">
        <v>77</v>
      </c>
      <c r="AA5412" t="str">
        <f>"10019"</f>
        <v>10019</v>
      </c>
      <c r="AB5412" t="s">
        <v>78</v>
      </c>
      <c r="AC5412" t="s">
        <v>79</v>
      </c>
      <c r="AD5412" t="s">
        <v>75</v>
      </c>
      <c r="AE5412" t="s">
        <v>80</v>
      </c>
      <c r="AG5412" t="s">
        <v>81</v>
      </c>
    </row>
    <row r="5413" spans="1:33" x14ac:dyDescent="0.25">
      <c r="A5413" t="str">
        <f>"1487711966"</f>
        <v>1487711966</v>
      </c>
      <c r="B5413" t="str">
        <f>"02904965"</f>
        <v>02904965</v>
      </c>
      <c r="C5413" t="s">
        <v>13436</v>
      </c>
      <c r="D5413" t="s">
        <v>26514</v>
      </c>
      <c r="E5413" t="s">
        <v>26515</v>
      </c>
      <c r="G5413" t="s">
        <v>26516</v>
      </c>
      <c r="L5413" t="s">
        <v>74</v>
      </c>
      <c r="M5413" t="s">
        <v>85</v>
      </c>
      <c r="R5413" t="s">
        <v>26517</v>
      </c>
      <c r="W5413" t="s">
        <v>26518</v>
      </c>
      <c r="X5413" t="s">
        <v>16154</v>
      </c>
      <c r="Y5413" t="s">
        <v>97</v>
      </c>
      <c r="Z5413" t="s">
        <v>77</v>
      </c>
      <c r="AA5413" t="str">
        <f>"10003-0000"</f>
        <v>10003-0000</v>
      </c>
      <c r="AB5413" t="s">
        <v>78</v>
      </c>
      <c r="AC5413" t="s">
        <v>79</v>
      </c>
      <c r="AD5413" t="s">
        <v>75</v>
      </c>
      <c r="AE5413" t="s">
        <v>80</v>
      </c>
      <c r="AG5413" t="s">
        <v>81</v>
      </c>
    </row>
    <row r="5414" spans="1:33" x14ac:dyDescent="0.25">
      <c r="A5414" t="str">
        <f>"1487796215"</f>
        <v>1487796215</v>
      </c>
      <c r="B5414" t="str">
        <f>"03338098"</f>
        <v>03338098</v>
      </c>
      <c r="C5414" t="s">
        <v>13436</v>
      </c>
      <c r="D5414" t="s">
        <v>26519</v>
      </c>
      <c r="E5414" t="s">
        <v>26520</v>
      </c>
      <c r="G5414" t="s">
        <v>26521</v>
      </c>
      <c r="L5414" t="s">
        <v>83</v>
      </c>
      <c r="M5414" t="s">
        <v>85</v>
      </c>
      <c r="R5414" t="s">
        <v>26522</v>
      </c>
      <c r="W5414" t="s">
        <v>26520</v>
      </c>
      <c r="X5414" t="s">
        <v>5307</v>
      </c>
      <c r="Y5414" t="s">
        <v>97</v>
      </c>
      <c r="Z5414" t="s">
        <v>77</v>
      </c>
      <c r="AA5414" t="str">
        <f>"10003-3851"</f>
        <v>10003-3851</v>
      </c>
      <c r="AB5414" t="s">
        <v>78</v>
      </c>
      <c r="AC5414" t="s">
        <v>79</v>
      </c>
      <c r="AD5414" t="s">
        <v>75</v>
      </c>
      <c r="AE5414" t="s">
        <v>80</v>
      </c>
      <c r="AG5414" t="s">
        <v>81</v>
      </c>
    </row>
    <row r="5415" spans="1:33" x14ac:dyDescent="0.25">
      <c r="A5415" t="str">
        <f>"1508916727"</f>
        <v>1508916727</v>
      </c>
      <c r="B5415" t="str">
        <f>"00752727"</f>
        <v>00752727</v>
      </c>
      <c r="C5415" t="s">
        <v>13436</v>
      </c>
      <c r="D5415" t="s">
        <v>1450</v>
      </c>
      <c r="E5415" t="s">
        <v>1451</v>
      </c>
      <c r="G5415" t="s">
        <v>26523</v>
      </c>
      <c r="L5415" t="s">
        <v>74</v>
      </c>
      <c r="M5415" t="s">
        <v>85</v>
      </c>
      <c r="R5415" t="s">
        <v>1449</v>
      </c>
      <c r="W5415" t="s">
        <v>1451</v>
      </c>
      <c r="X5415" t="s">
        <v>1076</v>
      </c>
      <c r="Y5415" t="s">
        <v>97</v>
      </c>
      <c r="Z5415" t="s">
        <v>77</v>
      </c>
      <c r="AA5415" t="str">
        <f>"10025-1737"</f>
        <v>10025-1737</v>
      </c>
      <c r="AB5415" t="s">
        <v>78</v>
      </c>
      <c r="AC5415" t="s">
        <v>79</v>
      </c>
      <c r="AD5415" t="s">
        <v>75</v>
      </c>
      <c r="AE5415" t="s">
        <v>80</v>
      </c>
      <c r="AG5415" t="s">
        <v>81</v>
      </c>
    </row>
    <row r="5416" spans="1:33" x14ac:dyDescent="0.25">
      <c r="A5416" t="str">
        <f>"1033409834"</f>
        <v>1033409834</v>
      </c>
      <c r="C5416" t="s">
        <v>13436</v>
      </c>
      <c r="K5416" t="s">
        <v>99</v>
      </c>
      <c r="L5416" t="s">
        <v>102</v>
      </c>
      <c r="M5416" t="s">
        <v>75</v>
      </c>
      <c r="R5416" t="s">
        <v>26524</v>
      </c>
      <c r="S5416" t="s">
        <v>26525</v>
      </c>
      <c r="T5416" t="s">
        <v>97</v>
      </c>
      <c r="U5416" t="s">
        <v>77</v>
      </c>
      <c r="V5416" t="str">
        <f>"100033314"</f>
        <v>100033314</v>
      </c>
      <c r="AC5416" t="s">
        <v>79</v>
      </c>
      <c r="AD5416" t="s">
        <v>75</v>
      </c>
      <c r="AE5416" t="s">
        <v>103</v>
      </c>
      <c r="AG5416" t="s">
        <v>81</v>
      </c>
    </row>
    <row r="5417" spans="1:33" x14ac:dyDescent="0.25">
      <c r="A5417" t="str">
        <f>"1033430764"</f>
        <v>1033430764</v>
      </c>
      <c r="C5417" t="s">
        <v>13436</v>
      </c>
      <c r="K5417" t="s">
        <v>99</v>
      </c>
      <c r="L5417" t="s">
        <v>102</v>
      </c>
      <c r="M5417" t="s">
        <v>75</v>
      </c>
      <c r="R5417" t="s">
        <v>26526</v>
      </c>
      <c r="S5417" t="s">
        <v>26527</v>
      </c>
      <c r="T5417" t="s">
        <v>26528</v>
      </c>
      <c r="U5417" t="s">
        <v>2595</v>
      </c>
      <c r="V5417" t="str">
        <f>"914053796"</f>
        <v>914053796</v>
      </c>
      <c r="AC5417" t="s">
        <v>79</v>
      </c>
      <c r="AD5417" t="s">
        <v>75</v>
      </c>
      <c r="AE5417" t="s">
        <v>103</v>
      </c>
      <c r="AG5417" t="s">
        <v>81</v>
      </c>
    </row>
    <row r="5418" spans="1:33" x14ac:dyDescent="0.25">
      <c r="A5418" t="str">
        <f>"1588075287"</f>
        <v>1588075287</v>
      </c>
      <c r="C5418" t="s">
        <v>13436</v>
      </c>
      <c r="K5418" t="s">
        <v>99</v>
      </c>
      <c r="L5418" t="s">
        <v>102</v>
      </c>
      <c r="M5418" t="s">
        <v>75</v>
      </c>
      <c r="R5418" t="s">
        <v>26529</v>
      </c>
      <c r="S5418" t="s">
        <v>26530</v>
      </c>
      <c r="T5418" t="s">
        <v>97</v>
      </c>
      <c r="U5418" t="s">
        <v>77</v>
      </c>
      <c r="V5418" t="str">
        <f>"100295204"</f>
        <v>100295204</v>
      </c>
      <c r="AC5418" t="s">
        <v>79</v>
      </c>
      <c r="AD5418" t="s">
        <v>75</v>
      </c>
      <c r="AE5418" t="s">
        <v>103</v>
      </c>
      <c r="AG5418" t="s">
        <v>81</v>
      </c>
    </row>
    <row r="5419" spans="1:33" x14ac:dyDescent="0.25">
      <c r="A5419" t="str">
        <f>"1003050881"</f>
        <v>1003050881</v>
      </c>
      <c r="B5419" t="str">
        <f>"03499007"</f>
        <v>03499007</v>
      </c>
      <c r="C5419" t="s">
        <v>13436</v>
      </c>
      <c r="D5419" t="s">
        <v>26531</v>
      </c>
      <c r="E5419" t="s">
        <v>26532</v>
      </c>
      <c r="L5419" t="s">
        <v>74</v>
      </c>
      <c r="M5419" t="s">
        <v>75</v>
      </c>
      <c r="R5419" t="s">
        <v>26533</v>
      </c>
      <c r="W5419" t="s">
        <v>26532</v>
      </c>
      <c r="X5419" t="s">
        <v>200</v>
      </c>
      <c r="Y5419" t="s">
        <v>97</v>
      </c>
      <c r="Z5419" t="s">
        <v>77</v>
      </c>
      <c r="AA5419" t="str">
        <f>"10032-3720"</f>
        <v>10032-3720</v>
      </c>
      <c r="AB5419" t="s">
        <v>78</v>
      </c>
      <c r="AC5419" t="s">
        <v>79</v>
      </c>
      <c r="AD5419" t="s">
        <v>75</v>
      </c>
      <c r="AE5419" t="s">
        <v>80</v>
      </c>
      <c r="AG5419" t="s">
        <v>81</v>
      </c>
    </row>
    <row r="5420" spans="1:33" x14ac:dyDescent="0.25">
      <c r="A5420" t="str">
        <f>"1003058769"</f>
        <v>1003058769</v>
      </c>
      <c r="B5420" t="str">
        <f>"03579600"</f>
        <v>03579600</v>
      </c>
      <c r="C5420" t="s">
        <v>13436</v>
      </c>
      <c r="D5420" t="s">
        <v>26534</v>
      </c>
      <c r="E5420" t="s">
        <v>26535</v>
      </c>
      <c r="G5420" t="s">
        <v>26536</v>
      </c>
      <c r="L5420" t="s">
        <v>105</v>
      </c>
      <c r="M5420" t="s">
        <v>75</v>
      </c>
      <c r="R5420" t="s">
        <v>26535</v>
      </c>
      <c r="W5420" t="s">
        <v>26535</v>
      </c>
      <c r="X5420" t="s">
        <v>26537</v>
      </c>
      <c r="Y5420" t="s">
        <v>97</v>
      </c>
      <c r="Z5420" t="s">
        <v>77</v>
      </c>
      <c r="AA5420" t="str">
        <f>"10025-1737"</f>
        <v>10025-1737</v>
      </c>
      <c r="AB5420" t="s">
        <v>78</v>
      </c>
      <c r="AC5420" t="s">
        <v>79</v>
      </c>
      <c r="AD5420" t="s">
        <v>75</v>
      </c>
      <c r="AE5420" t="s">
        <v>80</v>
      </c>
      <c r="AG5420" t="s">
        <v>81</v>
      </c>
    </row>
    <row r="5421" spans="1:33" x14ac:dyDescent="0.25">
      <c r="A5421" t="str">
        <f>"1003077991"</f>
        <v>1003077991</v>
      </c>
      <c r="B5421" t="str">
        <f>"03518536"</f>
        <v>03518536</v>
      </c>
      <c r="C5421" t="s">
        <v>13436</v>
      </c>
      <c r="D5421" t="s">
        <v>26538</v>
      </c>
      <c r="E5421" t="s">
        <v>26539</v>
      </c>
      <c r="G5421" t="s">
        <v>26540</v>
      </c>
      <c r="L5421" t="s">
        <v>83</v>
      </c>
      <c r="M5421" t="s">
        <v>85</v>
      </c>
      <c r="R5421" t="s">
        <v>26541</v>
      </c>
      <c r="W5421" t="s">
        <v>26539</v>
      </c>
      <c r="X5421" t="s">
        <v>594</v>
      </c>
      <c r="Y5421" t="s">
        <v>139</v>
      </c>
      <c r="Z5421" t="s">
        <v>77</v>
      </c>
      <c r="AA5421" t="str">
        <f>"11355-3891"</f>
        <v>11355-3891</v>
      </c>
      <c r="AB5421" t="s">
        <v>78</v>
      </c>
      <c r="AC5421" t="s">
        <v>79</v>
      </c>
      <c r="AD5421" t="s">
        <v>75</v>
      </c>
      <c r="AE5421" t="s">
        <v>80</v>
      </c>
      <c r="AG5421" t="s">
        <v>81</v>
      </c>
    </row>
    <row r="5422" spans="1:33" x14ac:dyDescent="0.25">
      <c r="A5422" t="str">
        <f>"1003102989"</f>
        <v>1003102989</v>
      </c>
      <c r="C5422" t="s">
        <v>13436</v>
      </c>
      <c r="K5422" t="s">
        <v>99</v>
      </c>
      <c r="L5422" t="s">
        <v>102</v>
      </c>
      <c r="M5422" t="s">
        <v>75</v>
      </c>
      <c r="R5422" t="s">
        <v>26542</v>
      </c>
      <c r="S5422" t="s">
        <v>26543</v>
      </c>
      <c r="T5422" t="s">
        <v>124</v>
      </c>
      <c r="U5422" t="s">
        <v>2395</v>
      </c>
      <c r="V5422" t="str">
        <f>"559050001"</f>
        <v>559050001</v>
      </c>
      <c r="AC5422" t="s">
        <v>79</v>
      </c>
      <c r="AD5422" t="s">
        <v>75</v>
      </c>
      <c r="AE5422" t="s">
        <v>103</v>
      </c>
      <c r="AG5422" t="s">
        <v>81</v>
      </c>
    </row>
    <row r="5423" spans="1:33" x14ac:dyDescent="0.25">
      <c r="A5423" t="str">
        <f>"1003106642"</f>
        <v>1003106642</v>
      </c>
      <c r="B5423" t="str">
        <f>"03946783"</f>
        <v>03946783</v>
      </c>
      <c r="C5423" t="s">
        <v>13436</v>
      </c>
      <c r="D5423" t="s">
        <v>26544</v>
      </c>
      <c r="E5423" t="s">
        <v>26545</v>
      </c>
      <c r="G5423" t="s">
        <v>26546</v>
      </c>
      <c r="L5423" t="s">
        <v>83</v>
      </c>
      <c r="M5423" t="s">
        <v>75</v>
      </c>
      <c r="R5423" t="s">
        <v>26545</v>
      </c>
      <c r="W5423" t="s">
        <v>26545</v>
      </c>
      <c r="X5423" t="s">
        <v>11195</v>
      </c>
      <c r="Y5423" t="s">
        <v>97</v>
      </c>
      <c r="Z5423" t="s">
        <v>77</v>
      </c>
      <c r="AA5423" t="str">
        <f>"10029-6030"</f>
        <v>10029-6030</v>
      </c>
      <c r="AB5423" t="s">
        <v>78</v>
      </c>
      <c r="AC5423" t="s">
        <v>79</v>
      </c>
      <c r="AD5423" t="s">
        <v>75</v>
      </c>
      <c r="AE5423" t="s">
        <v>80</v>
      </c>
      <c r="AG5423" t="s">
        <v>81</v>
      </c>
    </row>
    <row r="5424" spans="1:33" x14ac:dyDescent="0.25">
      <c r="A5424" t="str">
        <f>"1003107327"</f>
        <v>1003107327</v>
      </c>
      <c r="B5424" t="str">
        <f>"03690746"</f>
        <v>03690746</v>
      </c>
      <c r="C5424" t="s">
        <v>13436</v>
      </c>
      <c r="D5424" t="s">
        <v>26547</v>
      </c>
      <c r="E5424" t="s">
        <v>26548</v>
      </c>
      <c r="L5424" t="s">
        <v>74</v>
      </c>
      <c r="M5424" t="s">
        <v>75</v>
      </c>
      <c r="R5424" t="s">
        <v>26548</v>
      </c>
      <c r="W5424" t="s">
        <v>26548</v>
      </c>
      <c r="X5424" t="s">
        <v>329</v>
      </c>
      <c r="Y5424" t="s">
        <v>97</v>
      </c>
      <c r="Z5424" t="s">
        <v>77</v>
      </c>
      <c r="AA5424" t="str">
        <f>"10029-6574"</f>
        <v>10029-6574</v>
      </c>
      <c r="AB5424" t="s">
        <v>78</v>
      </c>
      <c r="AC5424" t="s">
        <v>79</v>
      </c>
      <c r="AD5424" t="s">
        <v>75</v>
      </c>
      <c r="AE5424" t="s">
        <v>80</v>
      </c>
      <c r="AG5424" t="s">
        <v>81</v>
      </c>
    </row>
    <row r="5425" spans="1:33" x14ac:dyDescent="0.25">
      <c r="A5425" t="str">
        <f>"1003112244"</f>
        <v>1003112244</v>
      </c>
      <c r="B5425" t="str">
        <f>"03961855"</f>
        <v>03961855</v>
      </c>
      <c r="C5425" t="s">
        <v>13436</v>
      </c>
      <c r="D5425" t="s">
        <v>26549</v>
      </c>
      <c r="E5425" t="s">
        <v>26550</v>
      </c>
      <c r="G5425" t="s">
        <v>26551</v>
      </c>
      <c r="L5425" t="s">
        <v>74</v>
      </c>
      <c r="M5425" t="s">
        <v>75</v>
      </c>
      <c r="R5425" t="s">
        <v>26552</v>
      </c>
      <c r="W5425" t="s">
        <v>26550</v>
      </c>
      <c r="X5425" t="s">
        <v>26553</v>
      </c>
      <c r="Y5425" t="s">
        <v>87</v>
      </c>
      <c r="Z5425" t="s">
        <v>77</v>
      </c>
      <c r="AA5425" t="str">
        <f>"11201-2776"</f>
        <v>11201-2776</v>
      </c>
      <c r="AB5425" t="s">
        <v>78</v>
      </c>
      <c r="AC5425" t="s">
        <v>79</v>
      </c>
      <c r="AD5425" t="s">
        <v>75</v>
      </c>
      <c r="AE5425" t="s">
        <v>80</v>
      </c>
      <c r="AG5425" t="s">
        <v>81</v>
      </c>
    </row>
    <row r="5426" spans="1:33" x14ac:dyDescent="0.25">
      <c r="A5426" t="str">
        <f>"1003115296"</f>
        <v>1003115296</v>
      </c>
      <c r="B5426" t="str">
        <f>"04041232"</f>
        <v>04041232</v>
      </c>
      <c r="C5426" t="s">
        <v>13436</v>
      </c>
      <c r="D5426" t="s">
        <v>26554</v>
      </c>
      <c r="E5426" t="s">
        <v>26555</v>
      </c>
      <c r="L5426" t="s">
        <v>74</v>
      </c>
      <c r="M5426" t="s">
        <v>75</v>
      </c>
      <c r="R5426" t="s">
        <v>26555</v>
      </c>
      <c r="W5426" t="s">
        <v>26555</v>
      </c>
      <c r="X5426" t="s">
        <v>138</v>
      </c>
      <c r="Y5426" t="s">
        <v>139</v>
      </c>
      <c r="Z5426" t="s">
        <v>77</v>
      </c>
      <c r="AA5426" t="str">
        <f>"11355-5045"</f>
        <v>11355-5045</v>
      </c>
      <c r="AB5426" t="s">
        <v>78</v>
      </c>
      <c r="AC5426" t="s">
        <v>79</v>
      </c>
      <c r="AD5426" t="s">
        <v>75</v>
      </c>
      <c r="AE5426" t="s">
        <v>80</v>
      </c>
      <c r="AG5426" t="s">
        <v>81</v>
      </c>
    </row>
    <row r="5427" spans="1:33" x14ac:dyDescent="0.25">
      <c r="A5427" t="str">
        <f>"1003118720"</f>
        <v>1003118720</v>
      </c>
      <c r="C5427" t="s">
        <v>13436</v>
      </c>
      <c r="G5427" t="s">
        <v>26556</v>
      </c>
      <c r="K5427" t="s">
        <v>99</v>
      </c>
      <c r="L5427" t="s">
        <v>102</v>
      </c>
      <c r="M5427" t="s">
        <v>75</v>
      </c>
      <c r="R5427" t="s">
        <v>26557</v>
      </c>
      <c r="S5427" t="s">
        <v>329</v>
      </c>
      <c r="T5427" t="s">
        <v>97</v>
      </c>
      <c r="U5427" t="s">
        <v>77</v>
      </c>
      <c r="V5427" t="str">
        <f>"100296500"</f>
        <v>100296500</v>
      </c>
      <c r="AC5427" t="s">
        <v>79</v>
      </c>
      <c r="AD5427" t="s">
        <v>75</v>
      </c>
      <c r="AE5427" t="s">
        <v>103</v>
      </c>
      <c r="AG5427" t="s">
        <v>81</v>
      </c>
    </row>
    <row r="5428" spans="1:33" x14ac:dyDescent="0.25">
      <c r="A5428" t="str">
        <f>"1003156027"</f>
        <v>1003156027</v>
      </c>
      <c r="C5428" t="s">
        <v>13436</v>
      </c>
      <c r="G5428" t="s">
        <v>26558</v>
      </c>
      <c r="K5428" t="s">
        <v>99</v>
      </c>
      <c r="L5428" t="s">
        <v>102</v>
      </c>
      <c r="M5428" t="s">
        <v>75</v>
      </c>
      <c r="R5428" t="s">
        <v>26559</v>
      </c>
      <c r="S5428" t="s">
        <v>26560</v>
      </c>
      <c r="T5428" t="s">
        <v>87</v>
      </c>
      <c r="U5428" t="s">
        <v>77</v>
      </c>
      <c r="V5428" t="str">
        <f>"112242235"</f>
        <v>112242235</v>
      </c>
      <c r="AC5428" t="s">
        <v>79</v>
      </c>
      <c r="AD5428" t="s">
        <v>75</v>
      </c>
      <c r="AE5428" t="s">
        <v>103</v>
      </c>
      <c r="AG5428" t="s">
        <v>81</v>
      </c>
    </row>
    <row r="5429" spans="1:33" x14ac:dyDescent="0.25">
      <c r="A5429" t="str">
        <f>"1003157751"</f>
        <v>1003157751</v>
      </c>
      <c r="B5429" t="str">
        <f>"03893083"</f>
        <v>03893083</v>
      </c>
      <c r="C5429" t="s">
        <v>13436</v>
      </c>
      <c r="D5429" t="s">
        <v>26561</v>
      </c>
      <c r="E5429" t="s">
        <v>26562</v>
      </c>
      <c r="G5429" t="s">
        <v>26563</v>
      </c>
      <c r="L5429" t="s">
        <v>74</v>
      </c>
      <c r="M5429" t="s">
        <v>75</v>
      </c>
      <c r="R5429" t="s">
        <v>26564</v>
      </c>
      <c r="W5429" t="s">
        <v>26562</v>
      </c>
      <c r="X5429" t="s">
        <v>5557</v>
      </c>
      <c r="Y5429" t="s">
        <v>97</v>
      </c>
      <c r="Z5429" t="s">
        <v>77</v>
      </c>
      <c r="AA5429" t="str">
        <f>"10029-6501"</f>
        <v>10029-6501</v>
      </c>
      <c r="AB5429" t="s">
        <v>78</v>
      </c>
      <c r="AC5429" t="s">
        <v>79</v>
      </c>
      <c r="AD5429" t="s">
        <v>75</v>
      </c>
      <c r="AE5429" t="s">
        <v>80</v>
      </c>
      <c r="AG5429" t="s">
        <v>81</v>
      </c>
    </row>
    <row r="5430" spans="1:33" x14ac:dyDescent="0.25">
      <c r="A5430" t="str">
        <f>"1003158304"</f>
        <v>1003158304</v>
      </c>
      <c r="C5430" t="s">
        <v>13436</v>
      </c>
      <c r="K5430" t="s">
        <v>99</v>
      </c>
      <c r="L5430" t="s">
        <v>102</v>
      </c>
      <c r="M5430" t="s">
        <v>75</v>
      </c>
      <c r="R5430" t="s">
        <v>26565</v>
      </c>
      <c r="S5430" t="s">
        <v>26566</v>
      </c>
      <c r="T5430" t="s">
        <v>97</v>
      </c>
      <c r="U5430" t="s">
        <v>77</v>
      </c>
      <c r="V5430" t="str">
        <f>"100296508"</f>
        <v>100296508</v>
      </c>
      <c r="AC5430" t="s">
        <v>79</v>
      </c>
      <c r="AD5430" t="s">
        <v>75</v>
      </c>
      <c r="AE5430" t="s">
        <v>103</v>
      </c>
      <c r="AG5430" t="s">
        <v>81</v>
      </c>
    </row>
    <row r="5431" spans="1:33" x14ac:dyDescent="0.25">
      <c r="A5431" t="str">
        <f>"1740228188"</f>
        <v>1740228188</v>
      </c>
      <c r="B5431" t="str">
        <f>"01357946"</f>
        <v>01357946</v>
      </c>
      <c r="C5431" t="s">
        <v>13436</v>
      </c>
      <c r="D5431" t="s">
        <v>26567</v>
      </c>
      <c r="E5431" t="s">
        <v>26568</v>
      </c>
      <c r="G5431" t="s">
        <v>26569</v>
      </c>
      <c r="L5431" t="s">
        <v>83</v>
      </c>
      <c r="M5431" t="s">
        <v>85</v>
      </c>
      <c r="R5431" t="s">
        <v>26570</v>
      </c>
      <c r="W5431" t="s">
        <v>26568</v>
      </c>
      <c r="X5431" t="s">
        <v>26571</v>
      </c>
      <c r="Y5431" t="s">
        <v>97</v>
      </c>
      <c r="Z5431" t="s">
        <v>77</v>
      </c>
      <c r="AA5431" t="str">
        <f>"10032-3720"</f>
        <v>10032-3720</v>
      </c>
      <c r="AB5431" t="s">
        <v>78</v>
      </c>
      <c r="AC5431" t="s">
        <v>79</v>
      </c>
      <c r="AD5431" t="s">
        <v>75</v>
      </c>
      <c r="AE5431" t="s">
        <v>80</v>
      </c>
      <c r="AG5431" t="s">
        <v>81</v>
      </c>
    </row>
    <row r="5432" spans="1:33" x14ac:dyDescent="0.25">
      <c r="A5432" t="str">
        <f>"1740243864"</f>
        <v>1740243864</v>
      </c>
      <c r="B5432" t="str">
        <f>"02278962"</f>
        <v>02278962</v>
      </c>
      <c r="C5432" t="s">
        <v>13436</v>
      </c>
      <c r="D5432" t="s">
        <v>26572</v>
      </c>
      <c r="E5432" t="s">
        <v>26573</v>
      </c>
      <c r="G5432" t="s">
        <v>26574</v>
      </c>
      <c r="L5432" t="s">
        <v>83</v>
      </c>
      <c r="M5432" t="s">
        <v>85</v>
      </c>
      <c r="R5432" t="s">
        <v>26575</v>
      </c>
      <c r="W5432" t="s">
        <v>26576</v>
      </c>
      <c r="X5432" t="s">
        <v>995</v>
      </c>
      <c r="Y5432" t="s">
        <v>97</v>
      </c>
      <c r="Z5432" t="s">
        <v>77</v>
      </c>
      <c r="AA5432" t="str">
        <f>"10013-4554"</f>
        <v>10013-4554</v>
      </c>
      <c r="AB5432" t="s">
        <v>78</v>
      </c>
      <c r="AC5432" t="s">
        <v>79</v>
      </c>
      <c r="AD5432" t="s">
        <v>75</v>
      </c>
      <c r="AE5432" t="s">
        <v>80</v>
      </c>
      <c r="AG5432" t="s">
        <v>81</v>
      </c>
    </row>
    <row r="5433" spans="1:33" x14ac:dyDescent="0.25">
      <c r="A5433" t="str">
        <f>"1750319174"</f>
        <v>1750319174</v>
      </c>
      <c r="B5433" t="str">
        <f>"01366756"</f>
        <v>01366756</v>
      </c>
      <c r="C5433" t="s">
        <v>13436</v>
      </c>
      <c r="D5433" t="s">
        <v>26577</v>
      </c>
      <c r="E5433" t="s">
        <v>26578</v>
      </c>
      <c r="G5433" t="s">
        <v>26579</v>
      </c>
      <c r="L5433" t="s">
        <v>83</v>
      </c>
      <c r="M5433" t="s">
        <v>85</v>
      </c>
      <c r="R5433" t="s">
        <v>26580</v>
      </c>
      <c r="W5433" t="s">
        <v>26578</v>
      </c>
      <c r="X5433" t="s">
        <v>1333</v>
      </c>
      <c r="Y5433" t="s">
        <v>97</v>
      </c>
      <c r="Z5433" t="s">
        <v>77</v>
      </c>
      <c r="AA5433" t="str">
        <f>"10025"</f>
        <v>10025</v>
      </c>
      <c r="AB5433" t="s">
        <v>78</v>
      </c>
      <c r="AC5433" t="s">
        <v>79</v>
      </c>
      <c r="AD5433" t="s">
        <v>75</v>
      </c>
      <c r="AE5433" t="s">
        <v>80</v>
      </c>
      <c r="AG5433" t="s">
        <v>81</v>
      </c>
    </row>
    <row r="5434" spans="1:33" x14ac:dyDescent="0.25">
      <c r="A5434" t="str">
        <f>"1588643191"</f>
        <v>1588643191</v>
      </c>
      <c r="B5434" t="str">
        <f>"00939331"</f>
        <v>00939331</v>
      </c>
      <c r="C5434" t="s">
        <v>13436</v>
      </c>
      <c r="D5434" t="s">
        <v>26581</v>
      </c>
      <c r="E5434" t="s">
        <v>26582</v>
      </c>
      <c r="L5434" t="s">
        <v>83</v>
      </c>
      <c r="M5434" t="s">
        <v>75</v>
      </c>
      <c r="R5434" t="s">
        <v>26583</v>
      </c>
      <c r="W5434" t="s">
        <v>26584</v>
      </c>
      <c r="X5434" t="s">
        <v>26585</v>
      </c>
      <c r="Y5434" t="s">
        <v>190</v>
      </c>
      <c r="Z5434" t="s">
        <v>77</v>
      </c>
      <c r="AA5434" t="str">
        <f>"11103-1621"</f>
        <v>11103-1621</v>
      </c>
      <c r="AB5434" t="s">
        <v>78</v>
      </c>
      <c r="AC5434" t="s">
        <v>79</v>
      </c>
      <c r="AD5434" t="s">
        <v>75</v>
      </c>
      <c r="AE5434" t="s">
        <v>80</v>
      </c>
      <c r="AG5434" t="s">
        <v>81</v>
      </c>
    </row>
    <row r="5435" spans="1:33" x14ac:dyDescent="0.25">
      <c r="A5435" t="str">
        <f>"1588662829"</f>
        <v>1588662829</v>
      </c>
      <c r="B5435" t="str">
        <f>"00278597"</f>
        <v>00278597</v>
      </c>
      <c r="C5435" t="s">
        <v>13436</v>
      </c>
      <c r="D5435" t="s">
        <v>26586</v>
      </c>
      <c r="E5435" t="s">
        <v>26587</v>
      </c>
      <c r="G5435" t="s">
        <v>26588</v>
      </c>
      <c r="L5435" t="s">
        <v>84</v>
      </c>
      <c r="M5435" t="s">
        <v>85</v>
      </c>
      <c r="R5435" t="s">
        <v>26589</v>
      </c>
      <c r="W5435" t="s">
        <v>26587</v>
      </c>
      <c r="X5435" t="s">
        <v>26590</v>
      </c>
      <c r="Y5435" t="s">
        <v>1818</v>
      </c>
      <c r="Z5435" t="s">
        <v>77</v>
      </c>
      <c r="AA5435" t="str">
        <f>"11787-5005"</f>
        <v>11787-5005</v>
      </c>
      <c r="AB5435" t="s">
        <v>78</v>
      </c>
      <c r="AC5435" t="s">
        <v>79</v>
      </c>
      <c r="AD5435" t="s">
        <v>75</v>
      </c>
      <c r="AE5435" t="s">
        <v>80</v>
      </c>
      <c r="AG5435" t="s">
        <v>81</v>
      </c>
    </row>
    <row r="5436" spans="1:33" x14ac:dyDescent="0.25">
      <c r="A5436" t="str">
        <f>"1588665889"</f>
        <v>1588665889</v>
      </c>
      <c r="B5436" t="str">
        <f>"00741680"</f>
        <v>00741680</v>
      </c>
      <c r="C5436" t="s">
        <v>13436</v>
      </c>
      <c r="D5436" t="s">
        <v>26591</v>
      </c>
      <c r="E5436" t="s">
        <v>26592</v>
      </c>
      <c r="G5436" t="s">
        <v>26593</v>
      </c>
      <c r="L5436" t="s">
        <v>83</v>
      </c>
      <c r="M5436" t="s">
        <v>85</v>
      </c>
      <c r="R5436" t="s">
        <v>26594</v>
      </c>
      <c r="W5436" t="s">
        <v>26592</v>
      </c>
      <c r="X5436" t="s">
        <v>26595</v>
      </c>
      <c r="Y5436" t="s">
        <v>97</v>
      </c>
      <c r="Z5436" t="s">
        <v>77</v>
      </c>
      <c r="AA5436" t="str">
        <f>"10029-6500"</f>
        <v>10029-6500</v>
      </c>
      <c r="AB5436" t="s">
        <v>78</v>
      </c>
      <c r="AC5436" t="s">
        <v>79</v>
      </c>
      <c r="AD5436" t="s">
        <v>75</v>
      </c>
      <c r="AE5436" t="s">
        <v>80</v>
      </c>
      <c r="AG5436" t="s">
        <v>81</v>
      </c>
    </row>
    <row r="5437" spans="1:33" x14ac:dyDescent="0.25">
      <c r="A5437" t="str">
        <f>"1588672380"</f>
        <v>1588672380</v>
      </c>
      <c r="B5437" t="str">
        <f>"01704663"</f>
        <v>01704663</v>
      </c>
      <c r="C5437" t="s">
        <v>13436</v>
      </c>
      <c r="D5437" t="s">
        <v>26596</v>
      </c>
      <c r="E5437" t="s">
        <v>26597</v>
      </c>
      <c r="G5437" t="s">
        <v>26598</v>
      </c>
      <c r="L5437" t="s">
        <v>83</v>
      </c>
      <c r="M5437" t="s">
        <v>85</v>
      </c>
      <c r="R5437" t="s">
        <v>26599</v>
      </c>
      <c r="W5437" t="s">
        <v>26597</v>
      </c>
      <c r="X5437" t="s">
        <v>737</v>
      </c>
      <c r="Y5437" t="s">
        <v>97</v>
      </c>
      <c r="Z5437" t="s">
        <v>77</v>
      </c>
      <c r="AA5437" t="str">
        <f>"10025-1737"</f>
        <v>10025-1737</v>
      </c>
      <c r="AB5437" t="s">
        <v>78</v>
      </c>
      <c r="AC5437" t="s">
        <v>79</v>
      </c>
      <c r="AD5437" t="s">
        <v>75</v>
      </c>
      <c r="AE5437" t="s">
        <v>80</v>
      </c>
      <c r="AG5437" t="s">
        <v>81</v>
      </c>
    </row>
    <row r="5438" spans="1:33" x14ac:dyDescent="0.25">
      <c r="A5438" t="str">
        <f>"1588684682"</f>
        <v>1588684682</v>
      </c>
      <c r="C5438" t="s">
        <v>13436</v>
      </c>
      <c r="G5438" t="s">
        <v>26600</v>
      </c>
      <c r="K5438" t="s">
        <v>99</v>
      </c>
      <c r="L5438" t="s">
        <v>74</v>
      </c>
      <c r="M5438" t="s">
        <v>85</v>
      </c>
      <c r="R5438" t="s">
        <v>26601</v>
      </c>
      <c r="S5438" t="s">
        <v>26602</v>
      </c>
      <c r="T5438" t="s">
        <v>97</v>
      </c>
      <c r="U5438" t="s">
        <v>77</v>
      </c>
      <c r="V5438" t="str">
        <f>"100296501"</f>
        <v>100296501</v>
      </c>
      <c r="AC5438" t="s">
        <v>79</v>
      </c>
      <c r="AD5438" t="s">
        <v>75</v>
      </c>
      <c r="AE5438" t="s">
        <v>103</v>
      </c>
      <c r="AG5438" t="s">
        <v>81</v>
      </c>
    </row>
    <row r="5439" spans="1:33" x14ac:dyDescent="0.25">
      <c r="A5439" t="str">
        <f>"1588685853"</f>
        <v>1588685853</v>
      </c>
      <c r="C5439" t="s">
        <v>13436</v>
      </c>
      <c r="G5439" t="s">
        <v>26603</v>
      </c>
      <c r="K5439" t="s">
        <v>99</v>
      </c>
      <c r="L5439" t="s">
        <v>102</v>
      </c>
      <c r="M5439" t="s">
        <v>75</v>
      </c>
      <c r="R5439" t="s">
        <v>26604</v>
      </c>
      <c r="S5439" t="s">
        <v>26605</v>
      </c>
      <c r="T5439" t="s">
        <v>97</v>
      </c>
      <c r="U5439" t="s">
        <v>77</v>
      </c>
      <c r="V5439" t="str">
        <f>"100216115"</f>
        <v>100216115</v>
      </c>
      <c r="AC5439" t="s">
        <v>79</v>
      </c>
      <c r="AD5439" t="s">
        <v>75</v>
      </c>
      <c r="AE5439" t="s">
        <v>103</v>
      </c>
      <c r="AG5439" t="s">
        <v>81</v>
      </c>
    </row>
    <row r="5440" spans="1:33" x14ac:dyDescent="0.25">
      <c r="A5440" t="str">
        <f>"1588689640"</f>
        <v>1588689640</v>
      </c>
      <c r="B5440" t="str">
        <f>"02840251"</f>
        <v>02840251</v>
      </c>
      <c r="C5440" t="s">
        <v>13436</v>
      </c>
      <c r="D5440" t="s">
        <v>26606</v>
      </c>
      <c r="E5440" t="s">
        <v>26607</v>
      </c>
      <c r="G5440" t="s">
        <v>26608</v>
      </c>
      <c r="L5440" t="s">
        <v>94</v>
      </c>
      <c r="M5440" t="s">
        <v>85</v>
      </c>
      <c r="R5440" t="s">
        <v>26609</v>
      </c>
      <c r="W5440" t="s">
        <v>26607</v>
      </c>
      <c r="X5440" t="s">
        <v>26610</v>
      </c>
      <c r="Y5440" t="s">
        <v>97</v>
      </c>
      <c r="Z5440" t="s">
        <v>77</v>
      </c>
      <c r="AA5440" t="str">
        <f>"10029"</f>
        <v>10029</v>
      </c>
      <c r="AB5440" t="s">
        <v>78</v>
      </c>
      <c r="AC5440" t="s">
        <v>79</v>
      </c>
      <c r="AD5440" t="s">
        <v>75</v>
      </c>
      <c r="AE5440" t="s">
        <v>80</v>
      </c>
      <c r="AG5440" t="s">
        <v>81</v>
      </c>
    </row>
    <row r="5441" spans="1:33" x14ac:dyDescent="0.25">
      <c r="A5441" t="str">
        <f>"1588694095"</f>
        <v>1588694095</v>
      </c>
      <c r="B5441" t="str">
        <f>"02360929"</f>
        <v>02360929</v>
      </c>
      <c r="C5441" t="s">
        <v>13436</v>
      </c>
      <c r="D5441" t="s">
        <v>26611</v>
      </c>
      <c r="E5441" t="s">
        <v>26612</v>
      </c>
      <c r="G5441" t="s">
        <v>26613</v>
      </c>
      <c r="L5441" t="s">
        <v>83</v>
      </c>
      <c r="M5441" t="s">
        <v>85</v>
      </c>
      <c r="R5441" t="s">
        <v>3066</v>
      </c>
      <c r="W5441" t="s">
        <v>26612</v>
      </c>
      <c r="X5441" t="s">
        <v>329</v>
      </c>
      <c r="Y5441" t="s">
        <v>97</v>
      </c>
      <c r="Z5441" t="s">
        <v>77</v>
      </c>
      <c r="AA5441" t="str">
        <f>"10029-6504"</f>
        <v>10029-6504</v>
      </c>
      <c r="AB5441" t="s">
        <v>78</v>
      </c>
      <c r="AC5441" t="s">
        <v>79</v>
      </c>
      <c r="AD5441" t="s">
        <v>75</v>
      </c>
      <c r="AE5441" t="s">
        <v>80</v>
      </c>
      <c r="AG5441" t="s">
        <v>81</v>
      </c>
    </row>
    <row r="5442" spans="1:33" x14ac:dyDescent="0.25">
      <c r="A5442" t="str">
        <f>"1730361726"</f>
        <v>1730361726</v>
      </c>
      <c r="B5442" t="str">
        <f>"03270537"</f>
        <v>03270537</v>
      </c>
      <c r="C5442" t="s">
        <v>13436</v>
      </c>
      <c r="D5442" t="s">
        <v>26614</v>
      </c>
      <c r="E5442" t="s">
        <v>26615</v>
      </c>
      <c r="G5442" t="s">
        <v>26616</v>
      </c>
      <c r="L5442" t="s">
        <v>84</v>
      </c>
      <c r="M5442" t="s">
        <v>75</v>
      </c>
      <c r="R5442" t="s">
        <v>26617</v>
      </c>
      <c r="W5442" t="s">
        <v>26615</v>
      </c>
      <c r="X5442" t="s">
        <v>26618</v>
      </c>
      <c r="Y5442" t="s">
        <v>214</v>
      </c>
      <c r="Z5442" t="s">
        <v>77</v>
      </c>
      <c r="AA5442" t="str">
        <f>"11801-5006"</f>
        <v>11801-5006</v>
      </c>
      <c r="AB5442" t="s">
        <v>78</v>
      </c>
      <c r="AC5442" t="s">
        <v>79</v>
      </c>
      <c r="AD5442" t="s">
        <v>75</v>
      </c>
      <c r="AE5442" t="s">
        <v>80</v>
      </c>
      <c r="AG5442" t="s">
        <v>81</v>
      </c>
    </row>
    <row r="5443" spans="1:33" x14ac:dyDescent="0.25">
      <c r="A5443" t="str">
        <f>"1740280973"</f>
        <v>1740280973</v>
      </c>
      <c r="B5443" t="str">
        <f>"01889770"</f>
        <v>01889770</v>
      </c>
      <c r="C5443" t="s">
        <v>13436</v>
      </c>
      <c r="D5443" t="s">
        <v>26619</v>
      </c>
      <c r="E5443" t="s">
        <v>26620</v>
      </c>
      <c r="G5443" t="s">
        <v>26621</v>
      </c>
      <c r="L5443" t="s">
        <v>84</v>
      </c>
      <c r="M5443" t="s">
        <v>85</v>
      </c>
      <c r="R5443" t="s">
        <v>26622</v>
      </c>
      <c r="W5443" t="s">
        <v>26623</v>
      </c>
      <c r="X5443" t="s">
        <v>26624</v>
      </c>
      <c r="Y5443" t="s">
        <v>131</v>
      </c>
      <c r="Z5443" t="s">
        <v>77</v>
      </c>
      <c r="AA5443" t="str">
        <f>"10462-5902"</f>
        <v>10462-5902</v>
      </c>
      <c r="AB5443" t="s">
        <v>78</v>
      </c>
      <c r="AC5443" t="s">
        <v>79</v>
      </c>
      <c r="AD5443" t="s">
        <v>75</v>
      </c>
      <c r="AE5443" t="s">
        <v>80</v>
      </c>
      <c r="AG5443" t="s">
        <v>81</v>
      </c>
    </row>
    <row r="5444" spans="1:33" x14ac:dyDescent="0.25">
      <c r="A5444" t="str">
        <f>"1740290105"</f>
        <v>1740290105</v>
      </c>
      <c r="B5444" t="str">
        <f>"01123239"</f>
        <v>01123239</v>
      </c>
      <c r="C5444" t="s">
        <v>13436</v>
      </c>
      <c r="D5444" t="s">
        <v>26625</v>
      </c>
      <c r="E5444" t="s">
        <v>26626</v>
      </c>
      <c r="G5444" t="s">
        <v>26627</v>
      </c>
      <c r="L5444" t="s">
        <v>84</v>
      </c>
      <c r="M5444" t="s">
        <v>85</v>
      </c>
      <c r="R5444" t="s">
        <v>26628</v>
      </c>
      <c r="W5444" t="s">
        <v>26626</v>
      </c>
      <c r="X5444" t="s">
        <v>26629</v>
      </c>
      <c r="Y5444" t="s">
        <v>97</v>
      </c>
      <c r="Z5444" t="s">
        <v>77</v>
      </c>
      <c r="AA5444" t="str">
        <f>"10021-4154"</f>
        <v>10021-4154</v>
      </c>
      <c r="AB5444" t="s">
        <v>78</v>
      </c>
      <c r="AC5444" t="s">
        <v>79</v>
      </c>
      <c r="AD5444" t="s">
        <v>75</v>
      </c>
      <c r="AE5444" t="s">
        <v>80</v>
      </c>
      <c r="AG5444" t="s">
        <v>81</v>
      </c>
    </row>
    <row r="5445" spans="1:33" x14ac:dyDescent="0.25">
      <c r="A5445" t="str">
        <f>"1669813242"</f>
        <v>1669813242</v>
      </c>
      <c r="C5445" t="s">
        <v>13436</v>
      </c>
      <c r="K5445" t="s">
        <v>99</v>
      </c>
      <c r="L5445" t="s">
        <v>102</v>
      </c>
      <c r="M5445" t="s">
        <v>75</v>
      </c>
      <c r="R5445" t="s">
        <v>26630</v>
      </c>
      <c r="S5445" t="s">
        <v>26631</v>
      </c>
      <c r="T5445" t="s">
        <v>26632</v>
      </c>
      <c r="U5445" t="s">
        <v>1842</v>
      </c>
      <c r="V5445" t="str">
        <f>"064054213"</f>
        <v>064054213</v>
      </c>
      <c r="AC5445" t="s">
        <v>79</v>
      </c>
      <c r="AD5445" t="s">
        <v>75</v>
      </c>
      <c r="AE5445" t="s">
        <v>103</v>
      </c>
      <c r="AG5445" t="s">
        <v>81</v>
      </c>
    </row>
    <row r="5446" spans="1:33" x14ac:dyDescent="0.25">
      <c r="A5446" t="str">
        <f>"1669819884"</f>
        <v>1669819884</v>
      </c>
      <c r="C5446" t="s">
        <v>13436</v>
      </c>
      <c r="K5446" t="s">
        <v>99</v>
      </c>
      <c r="L5446" t="s">
        <v>102</v>
      </c>
      <c r="M5446" t="s">
        <v>75</v>
      </c>
      <c r="R5446" t="s">
        <v>26633</v>
      </c>
      <c r="S5446" t="s">
        <v>26634</v>
      </c>
      <c r="T5446" t="s">
        <v>97</v>
      </c>
      <c r="U5446" t="s">
        <v>77</v>
      </c>
      <c r="V5446" t="str">
        <f>"100251737"</f>
        <v>100251737</v>
      </c>
      <c r="AC5446" t="s">
        <v>79</v>
      </c>
      <c r="AD5446" t="s">
        <v>75</v>
      </c>
      <c r="AE5446" t="s">
        <v>103</v>
      </c>
      <c r="AG5446" t="s">
        <v>81</v>
      </c>
    </row>
    <row r="5447" spans="1:33" x14ac:dyDescent="0.25">
      <c r="A5447" t="str">
        <f>"1053598227"</f>
        <v>1053598227</v>
      </c>
      <c r="B5447" t="str">
        <f>"03723842"</f>
        <v>03723842</v>
      </c>
      <c r="C5447" t="s">
        <v>13436</v>
      </c>
      <c r="D5447" t="s">
        <v>26635</v>
      </c>
      <c r="E5447" t="s">
        <v>26636</v>
      </c>
      <c r="G5447" t="s">
        <v>26637</v>
      </c>
      <c r="L5447" t="s">
        <v>74</v>
      </c>
      <c r="M5447" t="s">
        <v>85</v>
      </c>
      <c r="R5447" t="s">
        <v>26638</v>
      </c>
      <c r="W5447" t="s">
        <v>26636</v>
      </c>
      <c r="X5447" t="s">
        <v>23621</v>
      </c>
      <c r="Y5447" t="s">
        <v>97</v>
      </c>
      <c r="Z5447" t="s">
        <v>77</v>
      </c>
      <c r="AA5447" t="str">
        <f>"10003-3314"</f>
        <v>10003-3314</v>
      </c>
      <c r="AB5447" t="s">
        <v>78</v>
      </c>
      <c r="AC5447" t="s">
        <v>79</v>
      </c>
      <c r="AD5447" t="s">
        <v>75</v>
      </c>
      <c r="AE5447" t="s">
        <v>80</v>
      </c>
      <c r="AG5447" t="s">
        <v>81</v>
      </c>
    </row>
    <row r="5448" spans="1:33" x14ac:dyDescent="0.25">
      <c r="A5448" t="str">
        <f>"1053630699"</f>
        <v>1053630699</v>
      </c>
      <c r="B5448" t="str">
        <f>"03503986"</f>
        <v>03503986</v>
      </c>
      <c r="C5448" t="s">
        <v>13436</v>
      </c>
      <c r="D5448" t="s">
        <v>26639</v>
      </c>
      <c r="E5448" t="s">
        <v>26640</v>
      </c>
      <c r="G5448" t="s">
        <v>26641</v>
      </c>
      <c r="L5448" t="s">
        <v>84</v>
      </c>
      <c r="M5448" t="s">
        <v>85</v>
      </c>
      <c r="R5448" t="s">
        <v>26642</v>
      </c>
      <c r="W5448" t="s">
        <v>26640</v>
      </c>
      <c r="X5448" t="s">
        <v>15292</v>
      </c>
      <c r="Y5448" t="s">
        <v>97</v>
      </c>
      <c r="Z5448" t="s">
        <v>77</v>
      </c>
      <c r="AA5448" t="str">
        <f>"10025-1737"</f>
        <v>10025-1737</v>
      </c>
      <c r="AB5448" t="s">
        <v>78</v>
      </c>
      <c r="AC5448" t="s">
        <v>79</v>
      </c>
      <c r="AD5448" t="s">
        <v>75</v>
      </c>
      <c r="AE5448" t="s">
        <v>80</v>
      </c>
      <c r="AG5448" t="s">
        <v>81</v>
      </c>
    </row>
    <row r="5449" spans="1:33" x14ac:dyDescent="0.25">
      <c r="A5449" t="str">
        <f>"1053695775"</f>
        <v>1053695775</v>
      </c>
      <c r="B5449" t="str">
        <f>"03615538"</f>
        <v>03615538</v>
      </c>
      <c r="C5449" t="s">
        <v>13436</v>
      </c>
      <c r="D5449" t="s">
        <v>26643</v>
      </c>
      <c r="E5449" t="s">
        <v>26644</v>
      </c>
      <c r="G5449" t="s">
        <v>26645</v>
      </c>
      <c r="L5449" t="s">
        <v>83</v>
      </c>
      <c r="M5449" t="s">
        <v>85</v>
      </c>
      <c r="R5449" t="s">
        <v>26646</v>
      </c>
      <c r="W5449" t="s">
        <v>26644</v>
      </c>
      <c r="X5449" t="s">
        <v>181</v>
      </c>
      <c r="Y5449" t="s">
        <v>97</v>
      </c>
      <c r="Z5449" t="s">
        <v>77</v>
      </c>
      <c r="AA5449" t="str">
        <f>"10025-1716"</f>
        <v>10025-1716</v>
      </c>
      <c r="AB5449" t="s">
        <v>78</v>
      </c>
      <c r="AC5449" t="s">
        <v>79</v>
      </c>
      <c r="AD5449" t="s">
        <v>75</v>
      </c>
      <c r="AE5449" t="s">
        <v>80</v>
      </c>
      <c r="AG5449" t="s">
        <v>81</v>
      </c>
    </row>
    <row r="5450" spans="1:33" x14ac:dyDescent="0.25">
      <c r="A5450" t="str">
        <f>"1528482908"</f>
        <v>1528482908</v>
      </c>
      <c r="B5450" t="str">
        <f>"03972667"</f>
        <v>03972667</v>
      </c>
      <c r="C5450" t="s">
        <v>13436</v>
      </c>
      <c r="D5450" t="s">
        <v>26647</v>
      </c>
      <c r="E5450" t="s">
        <v>26648</v>
      </c>
      <c r="G5450" t="s">
        <v>26649</v>
      </c>
      <c r="L5450" t="s">
        <v>74</v>
      </c>
      <c r="M5450" t="s">
        <v>75</v>
      </c>
      <c r="R5450" t="s">
        <v>26648</v>
      </c>
      <c r="W5450" t="s">
        <v>26648</v>
      </c>
      <c r="X5450" t="s">
        <v>329</v>
      </c>
      <c r="Y5450" t="s">
        <v>97</v>
      </c>
      <c r="Z5450" t="s">
        <v>77</v>
      </c>
      <c r="AA5450" t="str">
        <f>"10029-6504"</f>
        <v>10029-6504</v>
      </c>
      <c r="AB5450" t="s">
        <v>78</v>
      </c>
      <c r="AC5450" t="s">
        <v>79</v>
      </c>
      <c r="AD5450" t="s">
        <v>75</v>
      </c>
      <c r="AE5450" t="s">
        <v>80</v>
      </c>
      <c r="AG5450" t="s">
        <v>81</v>
      </c>
    </row>
    <row r="5451" spans="1:33" x14ac:dyDescent="0.25">
      <c r="A5451" t="str">
        <f>"1528484722"</f>
        <v>1528484722</v>
      </c>
      <c r="C5451" t="s">
        <v>13436</v>
      </c>
      <c r="K5451" t="s">
        <v>99</v>
      </c>
      <c r="L5451" t="s">
        <v>102</v>
      </c>
      <c r="M5451" t="s">
        <v>75</v>
      </c>
      <c r="R5451" t="s">
        <v>26650</v>
      </c>
      <c r="S5451" t="s">
        <v>26651</v>
      </c>
      <c r="T5451" t="s">
        <v>97</v>
      </c>
      <c r="U5451" t="s">
        <v>77</v>
      </c>
      <c r="V5451" t="str">
        <f>"100296504"</f>
        <v>100296504</v>
      </c>
      <c r="AC5451" t="s">
        <v>79</v>
      </c>
      <c r="AD5451" t="s">
        <v>75</v>
      </c>
      <c r="AE5451" t="s">
        <v>103</v>
      </c>
      <c r="AG5451" t="s">
        <v>81</v>
      </c>
    </row>
    <row r="5452" spans="1:33" x14ac:dyDescent="0.25">
      <c r="A5452" t="str">
        <f>"1528485562"</f>
        <v>1528485562</v>
      </c>
      <c r="C5452" t="s">
        <v>13436</v>
      </c>
      <c r="K5452" t="s">
        <v>99</v>
      </c>
      <c r="L5452" t="s">
        <v>102</v>
      </c>
      <c r="M5452" t="s">
        <v>75</v>
      </c>
      <c r="R5452" t="s">
        <v>26652</v>
      </c>
      <c r="S5452" t="s">
        <v>330</v>
      </c>
      <c r="T5452" t="s">
        <v>97</v>
      </c>
      <c r="U5452" t="s">
        <v>77</v>
      </c>
      <c r="V5452" t="str">
        <f>"100295204"</f>
        <v>100295204</v>
      </c>
      <c r="AC5452" t="s">
        <v>79</v>
      </c>
      <c r="AD5452" t="s">
        <v>75</v>
      </c>
      <c r="AE5452" t="s">
        <v>103</v>
      </c>
      <c r="AG5452" t="s">
        <v>81</v>
      </c>
    </row>
    <row r="5453" spans="1:33" x14ac:dyDescent="0.25">
      <c r="A5453" t="str">
        <f>"1528485885"</f>
        <v>1528485885</v>
      </c>
      <c r="C5453" t="s">
        <v>13436</v>
      </c>
      <c r="K5453" t="s">
        <v>99</v>
      </c>
      <c r="L5453" t="s">
        <v>102</v>
      </c>
      <c r="M5453" t="s">
        <v>75</v>
      </c>
      <c r="R5453" t="s">
        <v>26653</v>
      </c>
      <c r="S5453" t="s">
        <v>12670</v>
      </c>
      <c r="T5453" t="s">
        <v>97</v>
      </c>
      <c r="U5453" t="s">
        <v>77</v>
      </c>
      <c r="V5453" t="str">
        <f>"100033821"</f>
        <v>100033821</v>
      </c>
      <c r="AC5453" t="s">
        <v>79</v>
      </c>
      <c r="AD5453" t="s">
        <v>75</v>
      </c>
      <c r="AE5453" t="s">
        <v>103</v>
      </c>
      <c r="AG5453" t="s">
        <v>81</v>
      </c>
    </row>
    <row r="5454" spans="1:33" x14ac:dyDescent="0.25">
      <c r="A5454" t="str">
        <f>"1033192836"</f>
        <v>1033192836</v>
      </c>
      <c r="B5454" t="str">
        <f>"00795079"</f>
        <v>00795079</v>
      </c>
      <c r="C5454" t="s">
        <v>13436</v>
      </c>
      <c r="D5454" t="s">
        <v>26654</v>
      </c>
      <c r="E5454" t="s">
        <v>26655</v>
      </c>
      <c r="G5454" t="s">
        <v>26656</v>
      </c>
      <c r="L5454" t="s">
        <v>83</v>
      </c>
      <c r="M5454" t="s">
        <v>85</v>
      </c>
      <c r="R5454" t="s">
        <v>26657</v>
      </c>
      <c r="W5454" t="s">
        <v>26655</v>
      </c>
      <c r="X5454" t="s">
        <v>26658</v>
      </c>
      <c r="Y5454" t="s">
        <v>4662</v>
      </c>
      <c r="Z5454" t="s">
        <v>77</v>
      </c>
      <c r="AA5454" t="str">
        <f>"10566-2582"</f>
        <v>10566-2582</v>
      </c>
      <c r="AB5454" t="s">
        <v>78</v>
      </c>
      <c r="AC5454" t="s">
        <v>79</v>
      </c>
      <c r="AD5454" t="s">
        <v>75</v>
      </c>
      <c r="AE5454" t="s">
        <v>80</v>
      </c>
      <c r="AG5454" t="s">
        <v>81</v>
      </c>
    </row>
    <row r="5455" spans="1:33" x14ac:dyDescent="0.25">
      <c r="A5455" t="str">
        <f>"1033274089"</f>
        <v>1033274089</v>
      </c>
      <c r="B5455" t="str">
        <f>"02784870"</f>
        <v>02784870</v>
      </c>
      <c r="C5455" t="s">
        <v>13436</v>
      </c>
      <c r="D5455" t="s">
        <v>26659</v>
      </c>
      <c r="E5455" t="s">
        <v>26660</v>
      </c>
      <c r="G5455" t="s">
        <v>26661</v>
      </c>
      <c r="L5455" t="s">
        <v>74</v>
      </c>
      <c r="M5455" t="s">
        <v>75</v>
      </c>
      <c r="R5455" t="s">
        <v>26662</v>
      </c>
      <c r="W5455" t="s">
        <v>26660</v>
      </c>
      <c r="X5455" t="s">
        <v>185</v>
      </c>
      <c r="Y5455" t="s">
        <v>97</v>
      </c>
      <c r="Z5455" t="s">
        <v>77</v>
      </c>
      <c r="AA5455" t="str">
        <f>"10035-2709"</f>
        <v>10035-2709</v>
      </c>
      <c r="AB5455" t="s">
        <v>78</v>
      </c>
      <c r="AC5455" t="s">
        <v>79</v>
      </c>
      <c r="AD5455" t="s">
        <v>75</v>
      </c>
      <c r="AE5455" t="s">
        <v>80</v>
      </c>
      <c r="AG5455" t="s">
        <v>81</v>
      </c>
    </row>
    <row r="5456" spans="1:33" x14ac:dyDescent="0.25">
      <c r="A5456" t="str">
        <f>"1033344916"</f>
        <v>1033344916</v>
      </c>
      <c r="B5456" t="str">
        <f>"03484140"</f>
        <v>03484140</v>
      </c>
      <c r="C5456" t="s">
        <v>13436</v>
      </c>
      <c r="D5456" t="s">
        <v>26663</v>
      </c>
      <c r="E5456" t="s">
        <v>26664</v>
      </c>
      <c r="G5456" t="s">
        <v>26665</v>
      </c>
      <c r="L5456" t="s">
        <v>84</v>
      </c>
      <c r="M5456" t="s">
        <v>85</v>
      </c>
      <c r="R5456" t="s">
        <v>26666</v>
      </c>
      <c r="W5456" t="s">
        <v>26664</v>
      </c>
      <c r="X5456" t="s">
        <v>330</v>
      </c>
      <c r="Y5456" t="s">
        <v>97</v>
      </c>
      <c r="Z5456" t="s">
        <v>77</v>
      </c>
      <c r="AA5456" t="str">
        <f>"10029-5204"</f>
        <v>10029-5204</v>
      </c>
      <c r="AB5456" t="s">
        <v>78</v>
      </c>
      <c r="AC5456" t="s">
        <v>79</v>
      </c>
      <c r="AD5456" t="s">
        <v>75</v>
      </c>
      <c r="AE5456" t="s">
        <v>80</v>
      </c>
      <c r="AG5456" t="s">
        <v>81</v>
      </c>
    </row>
    <row r="5457" spans="1:33" x14ac:dyDescent="0.25">
      <c r="A5457" t="str">
        <f>"1588631949"</f>
        <v>1588631949</v>
      </c>
      <c r="B5457" t="str">
        <f>"01350765"</f>
        <v>01350765</v>
      </c>
      <c r="C5457" t="s">
        <v>13436</v>
      </c>
      <c r="D5457" t="s">
        <v>26667</v>
      </c>
      <c r="E5457" t="s">
        <v>26668</v>
      </c>
      <c r="G5457" t="s">
        <v>26669</v>
      </c>
      <c r="L5457" t="s">
        <v>83</v>
      </c>
      <c r="M5457" t="s">
        <v>85</v>
      </c>
      <c r="R5457" t="s">
        <v>26670</v>
      </c>
      <c r="W5457" t="s">
        <v>26668</v>
      </c>
      <c r="X5457" t="s">
        <v>26671</v>
      </c>
      <c r="Y5457" t="s">
        <v>97</v>
      </c>
      <c r="Z5457" t="s">
        <v>77</v>
      </c>
      <c r="AA5457" t="str">
        <f>"10029-6501"</f>
        <v>10029-6501</v>
      </c>
      <c r="AB5457" t="s">
        <v>78</v>
      </c>
      <c r="AC5457" t="s">
        <v>79</v>
      </c>
      <c r="AD5457" t="s">
        <v>75</v>
      </c>
      <c r="AE5457" t="s">
        <v>80</v>
      </c>
      <c r="AG5457" t="s">
        <v>81</v>
      </c>
    </row>
    <row r="5458" spans="1:33" x14ac:dyDescent="0.25">
      <c r="A5458" t="str">
        <f>"1346681228"</f>
        <v>1346681228</v>
      </c>
      <c r="C5458" t="s">
        <v>13436</v>
      </c>
      <c r="K5458" t="s">
        <v>99</v>
      </c>
      <c r="L5458" t="s">
        <v>102</v>
      </c>
      <c r="M5458" t="s">
        <v>75</v>
      </c>
      <c r="R5458" t="s">
        <v>26672</v>
      </c>
      <c r="S5458" t="s">
        <v>329</v>
      </c>
      <c r="T5458" t="s">
        <v>97</v>
      </c>
      <c r="U5458" t="s">
        <v>77</v>
      </c>
      <c r="V5458" t="str">
        <f>"100296504"</f>
        <v>100296504</v>
      </c>
      <c r="AC5458" t="s">
        <v>79</v>
      </c>
      <c r="AD5458" t="s">
        <v>75</v>
      </c>
      <c r="AE5458" t="s">
        <v>103</v>
      </c>
      <c r="AG5458" t="s">
        <v>81</v>
      </c>
    </row>
    <row r="5459" spans="1:33" x14ac:dyDescent="0.25">
      <c r="A5459" t="str">
        <f>"1346684073"</f>
        <v>1346684073</v>
      </c>
      <c r="C5459" t="s">
        <v>13436</v>
      </c>
      <c r="K5459" t="s">
        <v>99</v>
      </c>
      <c r="L5459" t="s">
        <v>102</v>
      </c>
      <c r="M5459" t="s">
        <v>75</v>
      </c>
      <c r="R5459" t="s">
        <v>26673</v>
      </c>
      <c r="S5459" t="s">
        <v>181</v>
      </c>
      <c r="T5459" t="s">
        <v>97</v>
      </c>
      <c r="U5459" t="s">
        <v>77</v>
      </c>
      <c r="V5459" t="str">
        <f>"100251716"</f>
        <v>100251716</v>
      </c>
      <c r="AC5459" t="s">
        <v>79</v>
      </c>
      <c r="AD5459" t="s">
        <v>75</v>
      </c>
      <c r="AE5459" t="s">
        <v>103</v>
      </c>
      <c r="AG5459" t="s">
        <v>81</v>
      </c>
    </row>
    <row r="5460" spans="1:33" x14ac:dyDescent="0.25">
      <c r="A5460" t="str">
        <f>"1346689510"</f>
        <v>1346689510</v>
      </c>
      <c r="C5460" t="s">
        <v>13436</v>
      </c>
      <c r="G5460" t="s">
        <v>26674</v>
      </c>
      <c r="K5460" t="s">
        <v>99</v>
      </c>
      <c r="L5460" t="s">
        <v>102</v>
      </c>
      <c r="M5460" t="s">
        <v>75</v>
      </c>
      <c r="R5460" t="s">
        <v>26675</v>
      </c>
      <c r="S5460" t="s">
        <v>26676</v>
      </c>
      <c r="T5460" t="s">
        <v>97</v>
      </c>
      <c r="U5460" t="s">
        <v>77</v>
      </c>
      <c r="V5460" t="str">
        <f>"10035"</f>
        <v>10035</v>
      </c>
      <c r="AC5460" t="s">
        <v>79</v>
      </c>
      <c r="AD5460" t="s">
        <v>75</v>
      </c>
      <c r="AE5460" t="s">
        <v>103</v>
      </c>
      <c r="AG5460" t="s">
        <v>81</v>
      </c>
    </row>
    <row r="5461" spans="1:33" x14ac:dyDescent="0.25">
      <c r="A5461" t="str">
        <f>"1356320121"</f>
        <v>1356320121</v>
      </c>
      <c r="B5461" t="str">
        <f>"00271018"</f>
        <v>00271018</v>
      </c>
      <c r="C5461" t="s">
        <v>13436</v>
      </c>
      <c r="D5461" t="s">
        <v>26677</v>
      </c>
      <c r="E5461" t="s">
        <v>26678</v>
      </c>
      <c r="G5461" t="s">
        <v>26679</v>
      </c>
      <c r="L5461" t="s">
        <v>83</v>
      </c>
      <c r="M5461" t="s">
        <v>85</v>
      </c>
      <c r="R5461" t="s">
        <v>26680</v>
      </c>
      <c r="W5461" t="s">
        <v>26678</v>
      </c>
      <c r="Y5461" t="s">
        <v>199</v>
      </c>
      <c r="Z5461" t="s">
        <v>77</v>
      </c>
      <c r="AA5461" t="str">
        <f>"11706-8418"</f>
        <v>11706-8418</v>
      </c>
      <c r="AB5461" t="s">
        <v>78</v>
      </c>
      <c r="AC5461" t="s">
        <v>79</v>
      </c>
      <c r="AD5461" t="s">
        <v>75</v>
      </c>
      <c r="AE5461" t="s">
        <v>80</v>
      </c>
      <c r="AG5461" t="s">
        <v>81</v>
      </c>
    </row>
    <row r="5462" spans="1:33" x14ac:dyDescent="0.25">
      <c r="A5462" t="str">
        <f>"1356320139"</f>
        <v>1356320139</v>
      </c>
      <c r="B5462" t="str">
        <f>"01124152"</f>
        <v>01124152</v>
      </c>
      <c r="C5462" t="s">
        <v>13436</v>
      </c>
      <c r="D5462" t="s">
        <v>26681</v>
      </c>
      <c r="E5462" t="s">
        <v>26682</v>
      </c>
      <c r="L5462" t="s">
        <v>83</v>
      </c>
      <c r="M5462" t="s">
        <v>85</v>
      </c>
      <c r="R5462" t="s">
        <v>26683</v>
      </c>
      <c r="W5462" t="s">
        <v>26683</v>
      </c>
      <c r="X5462" t="s">
        <v>26684</v>
      </c>
      <c r="Y5462" t="s">
        <v>97</v>
      </c>
      <c r="Z5462" t="s">
        <v>77</v>
      </c>
      <c r="AA5462" t="str">
        <f>"10029-6500"</f>
        <v>10029-6500</v>
      </c>
      <c r="AB5462" t="s">
        <v>78</v>
      </c>
      <c r="AC5462" t="s">
        <v>79</v>
      </c>
      <c r="AD5462" t="s">
        <v>75</v>
      </c>
      <c r="AE5462" t="s">
        <v>80</v>
      </c>
      <c r="AG5462" t="s">
        <v>81</v>
      </c>
    </row>
    <row r="5463" spans="1:33" x14ac:dyDescent="0.25">
      <c r="A5463" t="str">
        <f>"1528022324"</f>
        <v>1528022324</v>
      </c>
      <c r="B5463" t="str">
        <f>"02268019"</f>
        <v>02268019</v>
      </c>
      <c r="C5463" t="s">
        <v>13436</v>
      </c>
      <c r="D5463" t="s">
        <v>26685</v>
      </c>
      <c r="E5463" t="s">
        <v>26686</v>
      </c>
      <c r="G5463" t="s">
        <v>26687</v>
      </c>
      <c r="L5463" t="s">
        <v>83</v>
      </c>
      <c r="M5463" t="s">
        <v>85</v>
      </c>
      <c r="R5463" t="s">
        <v>26688</v>
      </c>
      <c r="W5463" t="s">
        <v>26686</v>
      </c>
      <c r="X5463" t="s">
        <v>272</v>
      </c>
      <c r="Y5463" t="s">
        <v>97</v>
      </c>
      <c r="Z5463" t="s">
        <v>77</v>
      </c>
      <c r="AA5463" t="str">
        <f>"10029-6501"</f>
        <v>10029-6501</v>
      </c>
      <c r="AB5463" t="s">
        <v>78</v>
      </c>
      <c r="AC5463" t="s">
        <v>79</v>
      </c>
      <c r="AD5463" t="s">
        <v>75</v>
      </c>
      <c r="AE5463" t="s">
        <v>80</v>
      </c>
      <c r="AG5463" t="s">
        <v>81</v>
      </c>
    </row>
    <row r="5464" spans="1:33" x14ac:dyDescent="0.25">
      <c r="A5464" t="str">
        <f>"1528034048"</f>
        <v>1528034048</v>
      </c>
      <c r="B5464" t="str">
        <f>"02444957"</f>
        <v>02444957</v>
      </c>
      <c r="C5464" t="s">
        <v>13436</v>
      </c>
      <c r="D5464" t="s">
        <v>26689</v>
      </c>
      <c r="E5464" t="s">
        <v>26690</v>
      </c>
      <c r="G5464" t="s">
        <v>26691</v>
      </c>
      <c r="L5464" t="s">
        <v>83</v>
      </c>
      <c r="M5464" t="s">
        <v>85</v>
      </c>
      <c r="R5464" t="s">
        <v>26692</v>
      </c>
      <c r="W5464" t="s">
        <v>26690</v>
      </c>
      <c r="X5464" t="s">
        <v>26693</v>
      </c>
      <c r="Y5464" t="s">
        <v>97</v>
      </c>
      <c r="Z5464" t="s">
        <v>77</v>
      </c>
      <c r="AA5464" t="str">
        <f>"10029-0000"</f>
        <v>10029-0000</v>
      </c>
      <c r="AB5464" t="s">
        <v>78</v>
      </c>
      <c r="AC5464" t="s">
        <v>79</v>
      </c>
      <c r="AD5464" t="s">
        <v>75</v>
      </c>
      <c r="AE5464" t="s">
        <v>80</v>
      </c>
      <c r="AG5464" t="s">
        <v>81</v>
      </c>
    </row>
    <row r="5465" spans="1:33" x14ac:dyDescent="0.25">
      <c r="A5465" t="str">
        <f>"1528034998"</f>
        <v>1528034998</v>
      </c>
      <c r="B5465" t="str">
        <f>"00250422"</f>
        <v>00250422</v>
      </c>
      <c r="C5465" t="s">
        <v>13436</v>
      </c>
      <c r="D5465" t="s">
        <v>26694</v>
      </c>
      <c r="E5465" t="s">
        <v>26695</v>
      </c>
      <c r="G5465" t="s">
        <v>26696</v>
      </c>
      <c r="L5465" t="s">
        <v>74</v>
      </c>
      <c r="M5465" t="s">
        <v>85</v>
      </c>
      <c r="R5465" t="s">
        <v>26697</v>
      </c>
      <c r="W5465" t="s">
        <v>26698</v>
      </c>
      <c r="X5465" t="s">
        <v>272</v>
      </c>
      <c r="Y5465" t="s">
        <v>97</v>
      </c>
      <c r="Z5465" t="s">
        <v>77</v>
      </c>
      <c r="AA5465" t="str">
        <f>"10029-6501"</f>
        <v>10029-6501</v>
      </c>
      <c r="AB5465" t="s">
        <v>78</v>
      </c>
      <c r="AC5465" t="s">
        <v>79</v>
      </c>
      <c r="AD5465" t="s">
        <v>75</v>
      </c>
      <c r="AE5465" t="s">
        <v>80</v>
      </c>
      <c r="AG5465" t="s">
        <v>81</v>
      </c>
    </row>
    <row r="5466" spans="1:33" x14ac:dyDescent="0.25">
      <c r="A5466" t="str">
        <f>"1528060621"</f>
        <v>1528060621</v>
      </c>
      <c r="B5466" t="str">
        <f>"00288573"</f>
        <v>00288573</v>
      </c>
      <c r="C5466" t="s">
        <v>13436</v>
      </c>
      <c r="D5466" t="s">
        <v>26699</v>
      </c>
      <c r="E5466" t="s">
        <v>26700</v>
      </c>
      <c r="L5466" t="s">
        <v>74</v>
      </c>
      <c r="M5466" t="s">
        <v>85</v>
      </c>
      <c r="R5466" t="s">
        <v>26701</v>
      </c>
      <c r="W5466" t="s">
        <v>26700</v>
      </c>
      <c r="X5466" t="s">
        <v>26702</v>
      </c>
      <c r="Y5466" t="s">
        <v>87</v>
      </c>
      <c r="Z5466" t="s">
        <v>77</v>
      </c>
      <c r="AA5466" t="str">
        <f>"11235-7900"</f>
        <v>11235-7900</v>
      </c>
      <c r="AB5466" t="s">
        <v>82</v>
      </c>
      <c r="AC5466" t="s">
        <v>79</v>
      </c>
      <c r="AD5466" t="s">
        <v>75</v>
      </c>
      <c r="AE5466" t="s">
        <v>80</v>
      </c>
      <c r="AG5466" t="s">
        <v>81</v>
      </c>
    </row>
    <row r="5467" spans="1:33" x14ac:dyDescent="0.25">
      <c r="A5467" t="str">
        <f>"1528061686"</f>
        <v>1528061686</v>
      </c>
      <c r="B5467" t="str">
        <f>"00976834"</f>
        <v>00976834</v>
      </c>
      <c r="C5467" t="s">
        <v>13436</v>
      </c>
      <c r="D5467" t="s">
        <v>26703</v>
      </c>
      <c r="E5467" t="s">
        <v>26704</v>
      </c>
      <c r="G5467" t="s">
        <v>26705</v>
      </c>
      <c r="L5467" t="s">
        <v>83</v>
      </c>
      <c r="M5467" t="s">
        <v>85</v>
      </c>
      <c r="R5467" t="s">
        <v>26706</v>
      </c>
      <c r="W5467" t="s">
        <v>26704</v>
      </c>
      <c r="Y5467" t="s">
        <v>97</v>
      </c>
      <c r="Z5467" t="s">
        <v>77</v>
      </c>
      <c r="AA5467" t="str">
        <f>"10029-6501"</f>
        <v>10029-6501</v>
      </c>
      <c r="AB5467" t="s">
        <v>78</v>
      </c>
      <c r="AC5467" t="s">
        <v>79</v>
      </c>
      <c r="AD5467" t="s">
        <v>75</v>
      </c>
      <c r="AE5467" t="s">
        <v>80</v>
      </c>
      <c r="AG5467" t="s">
        <v>81</v>
      </c>
    </row>
    <row r="5468" spans="1:33" x14ac:dyDescent="0.25">
      <c r="A5468" t="str">
        <f>"1528087327"</f>
        <v>1528087327</v>
      </c>
      <c r="B5468" t="str">
        <f>"01670319"</f>
        <v>01670319</v>
      </c>
      <c r="C5468" t="s">
        <v>13436</v>
      </c>
      <c r="D5468" t="s">
        <v>26707</v>
      </c>
      <c r="E5468" t="s">
        <v>26708</v>
      </c>
      <c r="G5468" t="s">
        <v>26709</v>
      </c>
      <c r="L5468" t="s">
        <v>84</v>
      </c>
      <c r="M5468" t="s">
        <v>85</v>
      </c>
      <c r="R5468" t="s">
        <v>26710</v>
      </c>
      <c r="W5468" t="s">
        <v>26711</v>
      </c>
      <c r="X5468" t="s">
        <v>26712</v>
      </c>
      <c r="Y5468" t="s">
        <v>97</v>
      </c>
      <c r="Z5468" t="s">
        <v>77</v>
      </c>
      <c r="AA5468" t="str">
        <f>"10024-6003"</f>
        <v>10024-6003</v>
      </c>
      <c r="AB5468" t="s">
        <v>78</v>
      </c>
      <c r="AC5468" t="s">
        <v>79</v>
      </c>
      <c r="AD5468" t="s">
        <v>75</v>
      </c>
      <c r="AE5468" t="s">
        <v>80</v>
      </c>
      <c r="AG5468" t="s">
        <v>81</v>
      </c>
    </row>
    <row r="5469" spans="1:33" x14ac:dyDescent="0.25">
      <c r="A5469" t="str">
        <f>"1528090735"</f>
        <v>1528090735</v>
      </c>
      <c r="B5469" t="str">
        <f>"01755999"</f>
        <v>01755999</v>
      </c>
      <c r="C5469" t="s">
        <v>13436</v>
      </c>
      <c r="D5469" t="s">
        <v>26713</v>
      </c>
      <c r="E5469" t="s">
        <v>26714</v>
      </c>
      <c r="G5469" t="s">
        <v>26715</v>
      </c>
      <c r="L5469" t="s">
        <v>94</v>
      </c>
      <c r="M5469" t="s">
        <v>85</v>
      </c>
      <c r="R5469" t="s">
        <v>4643</v>
      </c>
      <c r="W5469" t="s">
        <v>26714</v>
      </c>
      <c r="Y5469" t="s">
        <v>97</v>
      </c>
      <c r="Z5469" t="s">
        <v>77</v>
      </c>
      <c r="AA5469" t="str">
        <f>"10029-6501"</f>
        <v>10029-6501</v>
      </c>
      <c r="AB5469" t="s">
        <v>78</v>
      </c>
      <c r="AC5469" t="s">
        <v>79</v>
      </c>
      <c r="AD5469" t="s">
        <v>75</v>
      </c>
      <c r="AE5469" t="s">
        <v>80</v>
      </c>
      <c r="AG5469" t="s">
        <v>81</v>
      </c>
    </row>
    <row r="5470" spans="1:33" x14ac:dyDescent="0.25">
      <c r="A5470" t="str">
        <f>"1528090750"</f>
        <v>1528090750</v>
      </c>
      <c r="B5470" t="str">
        <f>"02176589"</f>
        <v>02176589</v>
      </c>
      <c r="C5470" t="s">
        <v>13436</v>
      </c>
      <c r="D5470" t="s">
        <v>26716</v>
      </c>
      <c r="E5470" t="s">
        <v>26717</v>
      </c>
      <c r="G5470" t="s">
        <v>26718</v>
      </c>
      <c r="L5470" t="s">
        <v>83</v>
      </c>
      <c r="M5470" t="s">
        <v>85</v>
      </c>
      <c r="R5470" t="s">
        <v>26719</v>
      </c>
      <c r="W5470" t="s">
        <v>26717</v>
      </c>
      <c r="X5470" t="s">
        <v>329</v>
      </c>
      <c r="Y5470" t="s">
        <v>97</v>
      </c>
      <c r="Z5470" t="s">
        <v>77</v>
      </c>
      <c r="AA5470" t="str">
        <f>"10029-6504"</f>
        <v>10029-6504</v>
      </c>
      <c r="AB5470" t="s">
        <v>78</v>
      </c>
      <c r="AC5470" t="s">
        <v>79</v>
      </c>
      <c r="AD5470" t="s">
        <v>75</v>
      </c>
      <c r="AE5470" t="s">
        <v>80</v>
      </c>
      <c r="AG5470" t="s">
        <v>81</v>
      </c>
    </row>
    <row r="5471" spans="1:33" x14ac:dyDescent="0.25">
      <c r="A5471" t="str">
        <f>"1528142197"</f>
        <v>1528142197</v>
      </c>
      <c r="B5471" t="str">
        <f>"03117131"</f>
        <v>03117131</v>
      </c>
      <c r="C5471" t="s">
        <v>13436</v>
      </c>
      <c r="D5471" t="s">
        <v>26720</v>
      </c>
      <c r="E5471" t="s">
        <v>26721</v>
      </c>
      <c r="G5471" t="s">
        <v>26722</v>
      </c>
      <c r="L5471" t="s">
        <v>83</v>
      </c>
      <c r="M5471" t="s">
        <v>85</v>
      </c>
      <c r="R5471" t="s">
        <v>26721</v>
      </c>
      <c r="W5471" t="s">
        <v>26721</v>
      </c>
      <c r="X5471" t="s">
        <v>329</v>
      </c>
      <c r="Y5471" t="s">
        <v>97</v>
      </c>
      <c r="Z5471" t="s">
        <v>77</v>
      </c>
      <c r="AA5471" t="str">
        <f>"10029-6500"</f>
        <v>10029-6500</v>
      </c>
      <c r="AB5471" t="s">
        <v>78</v>
      </c>
      <c r="AC5471" t="s">
        <v>79</v>
      </c>
      <c r="AD5471" t="s">
        <v>75</v>
      </c>
      <c r="AE5471" t="s">
        <v>80</v>
      </c>
      <c r="AG5471" t="s">
        <v>81</v>
      </c>
    </row>
    <row r="5472" spans="1:33" x14ac:dyDescent="0.25">
      <c r="A5472" t="str">
        <f>"1528150588"</f>
        <v>1528150588</v>
      </c>
      <c r="B5472" t="str">
        <f>"03354890"</f>
        <v>03354890</v>
      </c>
      <c r="C5472" t="s">
        <v>13436</v>
      </c>
      <c r="D5472" t="s">
        <v>26723</v>
      </c>
      <c r="E5472" t="s">
        <v>26724</v>
      </c>
      <c r="G5472" t="s">
        <v>26725</v>
      </c>
      <c r="L5472" t="s">
        <v>83</v>
      </c>
      <c r="M5472" t="s">
        <v>85</v>
      </c>
      <c r="R5472" t="s">
        <v>26726</v>
      </c>
      <c r="W5472" t="s">
        <v>26724</v>
      </c>
      <c r="X5472" t="s">
        <v>26727</v>
      </c>
      <c r="Y5472" t="s">
        <v>205</v>
      </c>
      <c r="Z5472" t="s">
        <v>77</v>
      </c>
      <c r="AA5472" t="str">
        <f>"10977-8916"</f>
        <v>10977-8916</v>
      </c>
      <c r="AB5472" t="s">
        <v>78</v>
      </c>
      <c r="AC5472" t="s">
        <v>79</v>
      </c>
      <c r="AD5472" t="s">
        <v>75</v>
      </c>
      <c r="AE5472" t="s">
        <v>80</v>
      </c>
      <c r="AG5472" t="s">
        <v>81</v>
      </c>
    </row>
    <row r="5473" spans="1:33" x14ac:dyDescent="0.25">
      <c r="A5473" t="str">
        <f>"1528166956"</f>
        <v>1528166956</v>
      </c>
      <c r="B5473" t="str">
        <f>"03816575"</f>
        <v>03816575</v>
      </c>
      <c r="C5473" t="s">
        <v>13436</v>
      </c>
      <c r="D5473" t="s">
        <v>26728</v>
      </c>
      <c r="E5473" t="s">
        <v>26729</v>
      </c>
      <c r="G5473" t="s">
        <v>26730</v>
      </c>
      <c r="L5473" t="s">
        <v>102</v>
      </c>
      <c r="M5473" t="s">
        <v>75</v>
      </c>
      <c r="R5473" t="s">
        <v>26731</v>
      </c>
      <c r="W5473" t="s">
        <v>26729</v>
      </c>
      <c r="X5473" t="s">
        <v>329</v>
      </c>
      <c r="Y5473" t="s">
        <v>97</v>
      </c>
      <c r="Z5473" t="s">
        <v>77</v>
      </c>
      <c r="AA5473" t="str">
        <f>"10029-6504"</f>
        <v>10029-6504</v>
      </c>
      <c r="AB5473" t="s">
        <v>78</v>
      </c>
      <c r="AC5473" t="s">
        <v>79</v>
      </c>
      <c r="AD5473" t="s">
        <v>75</v>
      </c>
      <c r="AE5473" t="s">
        <v>80</v>
      </c>
      <c r="AG5473" t="s">
        <v>81</v>
      </c>
    </row>
    <row r="5474" spans="1:33" x14ac:dyDescent="0.25">
      <c r="A5474" t="str">
        <f>"1841495546"</f>
        <v>1841495546</v>
      </c>
      <c r="B5474" t="str">
        <f>"03270106"</f>
        <v>03270106</v>
      </c>
      <c r="C5474" t="s">
        <v>13436</v>
      </c>
      <c r="D5474" t="s">
        <v>26732</v>
      </c>
      <c r="E5474" t="s">
        <v>26733</v>
      </c>
      <c r="G5474" t="s">
        <v>26734</v>
      </c>
      <c r="L5474" t="s">
        <v>74</v>
      </c>
      <c r="M5474" t="s">
        <v>85</v>
      </c>
      <c r="R5474" t="s">
        <v>26735</v>
      </c>
      <c r="W5474" t="s">
        <v>26733</v>
      </c>
      <c r="X5474" t="s">
        <v>3553</v>
      </c>
      <c r="Y5474" t="s">
        <v>97</v>
      </c>
      <c r="Z5474" t="s">
        <v>77</v>
      </c>
      <c r="AA5474" t="str">
        <f>"10003-3851"</f>
        <v>10003-3851</v>
      </c>
      <c r="AB5474" t="s">
        <v>78</v>
      </c>
      <c r="AC5474" t="s">
        <v>79</v>
      </c>
      <c r="AD5474" t="s">
        <v>75</v>
      </c>
      <c r="AE5474" t="s">
        <v>80</v>
      </c>
      <c r="AG5474" t="s">
        <v>81</v>
      </c>
    </row>
    <row r="5475" spans="1:33" x14ac:dyDescent="0.25">
      <c r="A5475" t="str">
        <f>"1851371272"</f>
        <v>1851371272</v>
      </c>
      <c r="B5475" t="str">
        <f>"01245752"</f>
        <v>01245752</v>
      </c>
      <c r="C5475" t="s">
        <v>13436</v>
      </c>
      <c r="D5475" t="s">
        <v>26736</v>
      </c>
      <c r="E5475" t="s">
        <v>26737</v>
      </c>
      <c r="L5475" t="s">
        <v>83</v>
      </c>
      <c r="M5475" t="s">
        <v>85</v>
      </c>
      <c r="R5475" t="s">
        <v>26738</v>
      </c>
      <c r="W5475" t="s">
        <v>26737</v>
      </c>
      <c r="X5475" t="s">
        <v>26739</v>
      </c>
      <c r="Y5475" t="s">
        <v>5294</v>
      </c>
      <c r="Z5475" t="s">
        <v>156</v>
      </c>
      <c r="AA5475" t="str">
        <f>"08820-3938"</f>
        <v>08820-3938</v>
      </c>
      <c r="AB5475" t="s">
        <v>78</v>
      </c>
      <c r="AC5475" t="s">
        <v>79</v>
      </c>
      <c r="AD5475" t="s">
        <v>75</v>
      </c>
      <c r="AE5475" t="s">
        <v>80</v>
      </c>
      <c r="AG5475" t="s">
        <v>81</v>
      </c>
    </row>
    <row r="5476" spans="1:33" x14ac:dyDescent="0.25">
      <c r="A5476" t="str">
        <f>"1851372429"</f>
        <v>1851372429</v>
      </c>
      <c r="B5476" t="str">
        <f>"02685821"</f>
        <v>02685821</v>
      </c>
      <c r="C5476" t="s">
        <v>13436</v>
      </c>
      <c r="D5476" t="s">
        <v>26740</v>
      </c>
      <c r="E5476" t="s">
        <v>26741</v>
      </c>
      <c r="G5476" t="s">
        <v>26742</v>
      </c>
      <c r="L5476" t="s">
        <v>105</v>
      </c>
      <c r="M5476" t="s">
        <v>85</v>
      </c>
      <c r="R5476" t="s">
        <v>26743</v>
      </c>
      <c r="W5476" t="s">
        <v>26743</v>
      </c>
      <c r="X5476" t="s">
        <v>329</v>
      </c>
      <c r="Y5476" t="s">
        <v>97</v>
      </c>
      <c r="Z5476" t="s">
        <v>77</v>
      </c>
      <c r="AA5476" t="str">
        <f>"10029-6504"</f>
        <v>10029-6504</v>
      </c>
      <c r="AB5476" t="s">
        <v>78</v>
      </c>
      <c r="AC5476" t="s">
        <v>79</v>
      </c>
      <c r="AD5476" t="s">
        <v>75</v>
      </c>
      <c r="AE5476" t="s">
        <v>80</v>
      </c>
      <c r="AG5476" t="s">
        <v>81</v>
      </c>
    </row>
    <row r="5477" spans="1:33" x14ac:dyDescent="0.25">
      <c r="A5477" t="str">
        <f>"1851380711"</f>
        <v>1851380711</v>
      </c>
      <c r="B5477" t="str">
        <f>"01032122"</f>
        <v>01032122</v>
      </c>
      <c r="C5477" t="s">
        <v>13436</v>
      </c>
      <c r="D5477" t="s">
        <v>26744</v>
      </c>
      <c r="E5477" t="s">
        <v>26745</v>
      </c>
      <c r="L5477" t="s">
        <v>83</v>
      </c>
      <c r="M5477" t="s">
        <v>85</v>
      </c>
      <c r="R5477" t="s">
        <v>26746</v>
      </c>
      <c r="W5477" t="s">
        <v>26747</v>
      </c>
      <c r="Y5477" t="s">
        <v>97</v>
      </c>
      <c r="Z5477" t="s">
        <v>77</v>
      </c>
      <c r="AA5477" t="str">
        <f>"10029-6500"</f>
        <v>10029-6500</v>
      </c>
      <c r="AB5477" t="s">
        <v>78</v>
      </c>
      <c r="AC5477" t="s">
        <v>79</v>
      </c>
      <c r="AD5477" t="s">
        <v>75</v>
      </c>
      <c r="AE5477" t="s">
        <v>80</v>
      </c>
      <c r="AG5477" t="s">
        <v>81</v>
      </c>
    </row>
    <row r="5478" spans="1:33" x14ac:dyDescent="0.25">
      <c r="A5478" t="str">
        <f>"1851384820"</f>
        <v>1851384820</v>
      </c>
      <c r="B5478" t="str">
        <f>"00961495"</f>
        <v>00961495</v>
      </c>
      <c r="C5478" t="s">
        <v>13436</v>
      </c>
      <c r="D5478" t="s">
        <v>26748</v>
      </c>
      <c r="E5478" t="s">
        <v>26749</v>
      </c>
      <c r="L5478" t="s">
        <v>83</v>
      </c>
      <c r="M5478" t="s">
        <v>85</v>
      </c>
      <c r="R5478" t="s">
        <v>26750</v>
      </c>
      <c r="W5478" t="s">
        <v>26751</v>
      </c>
      <c r="Y5478" t="s">
        <v>97</v>
      </c>
      <c r="Z5478" t="s">
        <v>77</v>
      </c>
      <c r="AA5478" t="str">
        <f>"10029-6503"</f>
        <v>10029-6503</v>
      </c>
      <c r="AB5478" t="s">
        <v>78</v>
      </c>
      <c r="AC5478" t="s">
        <v>79</v>
      </c>
      <c r="AD5478" t="s">
        <v>75</v>
      </c>
      <c r="AE5478" t="s">
        <v>80</v>
      </c>
      <c r="AG5478" t="s">
        <v>81</v>
      </c>
    </row>
    <row r="5479" spans="1:33" x14ac:dyDescent="0.25">
      <c r="A5479" t="str">
        <f>"1851390173"</f>
        <v>1851390173</v>
      </c>
      <c r="B5479" t="str">
        <f>"01500765"</f>
        <v>01500765</v>
      </c>
      <c r="C5479" t="s">
        <v>13436</v>
      </c>
      <c r="D5479" t="s">
        <v>26752</v>
      </c>
      <c r="E5479" t="s">
        <v>26753</v>
      </c>
      <c r="G5479" t="s">
        <v>26754</v>
      </c>
      <c r="L5479" t="s">
        <v>83</v>
      </c>
      <c r="M5479" t="s">
        <v>85</v>
      </c>
      <c r="R5479" t="s">
        <v>26755</v>
      </c>
      <c r="W5479" t="s">
        <v>26753</v>
      </c>
      <c r="Y5479" t="s">
        <v>97</v>
      </c>
      <c r="Z5479" t="s">
        <v>77</v>
      </c>
      <c r="AA5479" t="str">
        <f>"10029-6501"</f>
        <v>10029-6501</v>
      </c>
      <c r="AB5479" t="s">
        <v>78</v>
      </c>
      <c r="AC5479" t="s">
        <v>79</v>
      </c>
      <c r="AD5479" t="s">
        <v>75</v>
      </c>
      <c r="AE5479" t="s">
        <v>80</v>
      </c>
      <c r="AG5479" t="s">
        <v>81</v>
      </c>
    </row>
    <row r="5480" spans="1:33" x14ac:dyDescent="0.25">
      <c r="A5480" t="str">
        <f>"1851390942"</f>
        <v>1851390942</v>
      </c>
      <c r="B5480" t="str">
        <f>"02098671"</f>
        <v>02098671</v>
      </c>
      <c r="C5480" t="s">
        <v>13436</v>
      </c>
      <c r="D5480" t="s">
        <v>26756</v>
      </c>
      <c r="E5480" t="s">
        <v>26757</v>
      </c>
      <c r="G5480" t="s">
        <v>26758</v>
      </c>
      <c r="L5480" t="s">
        <v>83</v>
      </c>
      <c r="M5480" t="s">
        <v>85</v>
      </c>
      <c r="R5480" t="s">
        <v>26759</v>
      </c>
      <c r="W5480" t="s">
        <v>26757</v>
      </c>
      <c r="X5480" t="s">
        <v>26760</v>
      </c>
      <c r="Y5480" t="s">
        <v>4845</v>
      </c>
      <c r="Z5480" t="s">
        <v>77</v>
      </c>
      <c r="AA5480" t="str">
        <f>"10994-2229"</f>
        <v>10994-2229</v>
      </c>
      <c r="AB5480" t="s">
        <v>78</v>
      </c>
      <c r="AC5480" t="s">
        <v>79</v>
      </c>
      <c r="AD5480" t="s">
        <v>75</v>
      </c>
      <c r="AE5480" t="s">
        <v>80</v>
      </c>
      <c r="AG5480" t="s">
        <v>81</v>
      </c>
    </row>
    <row r="5481" spans="1:33" x14ac:dyDescent="0.25">
      <c r="A5481" t="str">
        <f>"1851394936"</f>
        <v>1851394936</v>
      </c>
      <c r="B5481" t="str">
        <f>"01710269"</f>
        <v>01710269</v>
      </c>
      <c r="C5481" t="s">
        <v>13436</v>
      </c>
      <c r="D5481" t="s">
        <v>26761</v>
      </c>
      <c r="E5481" t="s">
        <v>26762</v>
      </c>
      <c r="L5481" t="s">
        <v>83</v>
      </c>
      <c r="M5481" t="s">
        <v>85</v>
      </c>
      <c r="R5481" t="s">
        <v>26763</v>
      </c>
      <c r="W5481" t="s">
        <v>26764</v>
      </c>
      <c r="X5481" t="s">
        <v>262</v>
      </c>
      <c r="Y5481" t="s">
        <v>91</v>
      </c>
      <c r="Z5481" t="s">
        <v>77</v>
      </c>
      <c r="AA5481" t="str">
        <f>"11373-1329"</f>
        <v>11373-1329</v>
      </c>
      <c r="AB5481" t="s">
        <v>78</v>
      </c>
      <c r="AC5481" t="s">
        <v>79</v>
      </c>
      <c r="AD5481" t="s">
        <v>75</v>
      </c>
      <c r="AE5481" t="s">
        <v>80</v>
      </c>
      <c r="AG5481" t="s">
        <v>81</v>
      </c>
    </row>
    <row r="5482" spans="1:33" x14ac:dyDescent="0.25">
      <c r="A5482" t="str">
        <f>"1851399869"</f>
        <v>1851399869</v>
      </c>
      <c r="B5482" t="str">
        <f>"02413812"</f>
        <v>02413812</v>
      </c>
      <c r="C5482" t="s">
        <v>13436</v>
      </c>
      <c r="D5482" t="s">
        <v>26765</v>
      </c>
      <c r="E5482" t="s">
        <v>26766</v>
      </c>
      <c r="L5482" t="s">
        <v>83</v>
      </c>
      <c r="M5482" t="s">
        <v>85</v>
      </c>
      <c r="R5482" t="s">
        <v>26767</v>
      </c>
      <c r="W5482" t="s">
        <v>26766</v>
      </c>
      <c r="X5482" t="s">
        <v>26768</v>
      </c>
      <c r="Y5482" t="s">
        <v>97</v>
      </c>
      <c r="Z5482" t="s">
        <v>77</v>
      </c>
      <c r="AA5482" t="str">
        <f>"10128"</f>
        <v>10128</v>
      </c>
      <c r="AB5482" t="s">
        <v>78</v>
      </c>
      <c r="AC5482" t="s">
        <v>79</v>
      </c>
      <c r="AD5482" t="s">
        <v>75</v>
      </c>
      <c r="AE5482" t="s">
        <v>80</v>
      </c>
      <c r="AG5482" t="s">
        <v>81</v>
      </c>
    </row>
    <row r="5483" spans="1:33" x14ac:dyDescent="0.25">
      <c r="A5483" t="str">
        <f>"1164789772"</f>
        <v>1164789772</v>
      </c>
      <c r="C5483" t="s">
        <v>13436</v>
      </c>
      <c r="K5483" t="s">
        <v>99</v>
      </c>
      <c r="L5483" t="s">
        <v>102</v>
      </c>
      <c r="M5483" t="s">
        <v>75</v>
      </c>
      <c r="R5483" t="s">
        <v>26769</v>
      </c>
      <c r="S5483" t="s">
        <v>26770</v>
      </c>
      <c r="T5483" t="s">
        <v>2660</v>
      </c>
      <c r="U5483" t="s">
        <v>2661</v>
      </c>
      <c r="V5483" t="str">
        <f>"212051901"</f>
        <v>212051901</v>
      </c>
      <c r="AC5483" t="s">
        <v>79</v>
      </c>
      <c r="AD5483" t="s">
        <v>75</v>
      </c>
      <c r="AE5483" t="s">
        <v>103</v>
      </c>
      <c r="AG5483" t="s">
        <v>81</v>
      </c>
    </row>
    <row r="5484" spans="1:33" x14ac:dyDescent="0.25">
      <c r="A5484" t="str">
        <f>"1164797494"</f>
        <v>1164797494</v>
      </c>
      <c r="C5484" t="s">
        <v>13436</v>
      </c>
      <c r="K5484" t="s">
        <v>99</v>
      </c>
      <c r="L5484" t="s">
        <v>102</v>
      </c>
      <c r="M5484" t="s">
        <v>75</v>
      </c>
      <c r="R5484" t="s">
        <v>26771</v>
      </c>
      <c r="S5484" t="s">
        <v>14343</v>
      </c>
      <c r="T5484" t="s">
        <v>97</v>
      </c>
      <c r="U5484" t="s">
        <v>77</v>
      </c>
      <c r="V5484" t="str">
        <f>"100296574"</f>
        <v>100296574</v>
      </c>
      <c r="AC5484" t="s">
        <v>79</v>
      </c>
      <c r="AD5484" t="s">
        <v>75</v>
      </c>
      <c r="AE5484" t="s">
        <v>103</v>
      </c>
      <c r="AG5484" t="s">
        <v>81</v>
      </c>
    </row>
    <row r="5485" spans="1:33" x14ac:dyDescent="0.25">
      <c r="A5485" t="str">
        <f>"1366588923"</f>
        <v>1366588923</v>
      </c>
      <c r="B5485" t="str">
        <f>"00850399"</f>
        <v>00850399</v>
      </c>
      <c r="C5485" t="s">
        <v>13436</v>
      </c>
      <c r="D5485" t="s">
        <v>26772</v>
      </c>
      <c r="E5485" t="s">
        <v>26773</v>
      </c>
      <c r="G5485" t="s">
        <v>26774</v>
      </c>
      <c r="L5485" t="s">
        <v>94</v>
      </c>
      <c r="M5485" t="s">
        <v>75</v>
      </c>
      <c r="R5485" t="s">
        <v>26775</v>
      </c>
      <c r="W5485" t="s">
        <v>26773</v>
      </c>
      <c r="AB5485" t="s">
        <v>78</v>
      </c>
      <c r="AC5485" t="s">
        <v>79</v>
      </c>
      <c r="AD5485" t="s">
        <v>75</v>
      </c>
      <c r="AE5485" t="s">
        <v>80</v>
      </c>
      <c r="AG5485" t="s">
        <v>81</v>
      </c>
    </row>
    <row r="5486" spans="1:33" x14ac:dyDescent="0.25">
      <c r="A5486" t="str">
        <f>"1366649246"</f>
        <v>1366649246</v>
      </c>
      <c r="B5486" t="str">
        <f>"03229307"</f>
        <v>03229307</v>
      </c>
      <c r="C5486" t="s">
        <v>13436</v>
      </c>
      <c r="D5486" t="s">
        <v>26776</v>
      </c>
      <c r="E5486" t="s">
        <v>26777</v>
      </c>
      <c r="G5486" t="s">
        <v>26778</v>
      </c>
      <c r="L5486" t="s">
        <v>74</v>
      </c>
      <c r="M5486" t="s">
        <v>85</v>
      </c>
      <c r="R5486" t="s">
        <v>26779</v>
      </c>
      <c r="W5486" t="s">
        <v>26780</v>
      </c>
      <c r="X5486" t="s">
        <v>2587</v>
      </c>
      <c r="Y5486" t="s">
        <v>97</v>
      </c>
      <c r="Z5486" t="s">
        <v>77</v>
      </c>
      <c r="AA5486" t="str">
        <f>"10003-3314"</f>
        <v>10003-3314</v>
      </c>
      <c r="AB5486" t="s">
        <v>78</v>
      </c>
      <c r="AC5486" t="s">
        <v>79</v>
      </c>
      <c r="AD5486" t="s">
        <v>75</v>
      </c>
      <c r="AE5486" t="s">
        <v>80</v>
      </c>
      <c r="AG5486" t="s">
        <v>81</v>
      </c>
    </row>
    <row r="5487" spans="1:33" x14ac:dyDescent="0.25">
      <c r="A5487" t="str">
        <f>"1730168410"</f>
        <v>1730168410</v>
      </c>
      <c r="B5487" t="str">
        <f>"01144169"</f>
        <v>01144169</v>
      </c>
      <c r="C5487" t="s">
        <v>13436</v>
      </c>
      <c r="D5487" t="s">
        <v>26781</v>
      </c>
      <c r="E5487" t="s">
        <v>26782</v>
      </c>
      <c r="G5487" t="s">
        <v>26783</v>
      </c>
      <c r="L5487" t="s">
        <v>83</v>
      </c>
      <c r="M5487" t="s">
        <v>85</v>
      </c>
      <c r="R5487" t="s">
        <v>26784</v>
      </c>
      <c r="W5487" t="s">
        <v>26782</v>
      </c>
      <c r="X5487" t="s">
        <v>26785</v>
      </c>
      <c r="Y5487" t="s">
        <v>91</v>
      </c>
      <c r="Z5487" t="s">
        <v>77</v>
      </c>
      <c r="AA5487" t="str">
        <f>"11373-1329"</f>
        <v>11373-1329</v>
      </c>
      <c r="AB5487" t="s">
        <v>78</v>
      </c>
      <c r="AC5487" t="s">
        <v>79</v>
      </c>
      <c r="AD5487" t="s">
        <v>75</v>
      </c>
      <c r="AE5487" t="s">
        <v>80</v>
      </c>
      <c r="AG5487" t="s">
        <v>81</v>
      </c>
    </row>
    <row r="5488" spans="1:33" x14ac:dyDescent="0.25">
      <c r="A5488" t="str">
        <f>"1730280504"</f>
        <v>1730280504</v>
      </c>
      <c r="B5488" t="str">
        <f>"01886768"</f>
        <v>01886768</v>
      </c>
      <c r="C5488" t="s">
        <v>13436</v>
      </c>
      <c r="D5488" t="s">
        <v>26786</v>
      </c>
      <c r="E5488" t="s">
        <v>26787</v>
      </c>
      <c r="G5488" t="s">
        <v>26788</v>
      </c>
      <c r="L5488" t="s">
        <v>84</v>
      </c>
      <c r="M5488" t="s">
        <v>85</v>
      </c>
      <c r="R5488" t="s">
        <v>26789</v>
      </c>
      <c r="W5488" t="s">
        <v>26787</v>
      </c>
      <c r="X5488" t="s">
        <v>4556</v>
      </c>
      <c r="Y5488" t="s">
        <v>97</v>
      </c>
      <c r="Z5488" t="s">
        <v>77</v>
      </c>
      <c r="AA5488" t="str">
        <f>"10011-8202"</f>
        <v>10011-8202</v>
      </c>
      <c r="AB5488" t="s">
        <v>78</v>
      </c>
      <c r="AC5488" t="s">
        <v>79</v>
      </c>
      <c r="AD5488" t="s">
        <v>75</v>
      </c>
      <c r="AE5488" t="s">
        <v>80</v>
      </c>
      <c r="AG5488" t="s">
        <v>81</v>
      </c>
    </row>
    <row r="5489" spans="1:33" x14ac:dyDescent="0.25">
      <c r="A5489" t="str">
        <f>"1477879989"</f>
        <v>1477879989</v>
      </c>
      <c r="B5489" t="str">
        <f>"03666382"</f>
        <v>03666382</v>
      </c>
      <c r="C5489" t="s">
        <v>26790</v>
      </c>
      <c r="D5489" t="s">
        <v>4959</v>
      </c>
      <c r="E5489" t="s">
        <v>4960</v>
      </c>
      <c r="G5489" t="s">
        <v>7218</v>
      </c>
      <c r="H5489" t="s">
        <v>6801</v>
      </c>
      <c r="I5489">
        <v>6136</v>
      </c>
      <c r="J5489" t="s">
        <v>7219</v>
      </c>
      <c r="L5489" t="s">
        <v>74</v>
      </c>
      <c r="M5489" t="s">
        <v>75</v>
      </c>
      <c r="R5489" t="s">
        <v>4961</v>
      </c>
      <c r="W5489" t="s">
        <v>4960</v>
      </c>
      <c r="X5489" t="s">
        <v>2997</v>
      </c>
      <c r="Y5489" t="s">
        <v>87</v>
      </c>
      <c r="Z5489" t="s">
        <v>77</v>
      </c>
      <c r="AA5489" t="str">
        <f>"11201-4333"</f>
        <v>11201-4333</v>
      </c>
      <c r="AB5489" t="s">
        <v>109</v>
      </c>
      <c r="AC5489" t="s">
        <v>79</v>
      </c>
      <c r="AD5489" t="s">
        <v>75</v>
      </c>
      <c r="AE5489" t="s">
        <v>80</v>
      </c>
      <c r="AG5489" t="s">
        <v>81</v>
      </c>
    </row>
    <row r="5490" spans="1:33" x14ac:dyDescent="0.25">
      <c r="A5490" t="str">
        <f>"1487087169"</f>
        <v>1487087169</v>
      </c>
      <c r="C5490" t="s">
        <v>26791</v>
      </c>
      <c r="G5490" t="s">
        <v>7218</v>
      </c>
      <c r="H5490" t="s">
        <v>6801</v>
      </c>
      <c r="I5490">
        <v>6136</v>
      </c>
      <c r="J5490" t="s">
        <v>7219</v>
      </c>
      <c r="K5490" t="s">
        <v>99</v>
      </c>
      <c r="L5490" t="s">
        <v>102</v>
      </c>
      <c r="M5490" t="s">
        <v>75</v>
      </c>
      <c r="R5490" t="s">
        <v>26792</v>
      </c>
      <c r="S5490" t="s">
        <v>15477</v>
      </c>
      <c r="T5490" t="s">
        <v>97</v>
      </c>
      <c r="U5490" t="s">
        <v>77</v>
      </c>
      <c r="V5490" t="str">
        <f>"10001"</f>
        <v>10001</v>
      </c>
      <c r="AC5490" t="s">
        <v>79</v>
      </c>
      <c r="AD5490" t="s">
        <v>75</v>
      </c>
      <c r="AE5490" t="s">
        <v>103</v>
      </c>
      <c r="AG5490" t="s">
        <v>81</v>
      </c>
    </row>
    <row r="5491" spans="1:33" x14ac:dyDescent="0.25">
      <c r="A5491" t="str">
        <f>"1174559231"</f>
        <v>1174559231</v>
      </c>
      <c r="B5491" t="str">
        <f>"02517577"</f>
        <v>02517577</v>
      </c>
      <c r="C5491" t="s">
        <v>13436</v>
      </c>
      <c r="D5491" t="s">
        <v>26793</v>
      </c>
      <c r="E5491" t="s">
        <v>26794</v>
      </c>
      <c r="G5491" t="s">
        <v>26795</v>
      </c>
      <c r="L5491" t="s">
        <v>83</v>
      </c>
      <c r="M5491" t="s">
        <v>85</v>
      </c>
      <c r="R5491" t="s">
        <v>26796</v>
      </c>
      <c r="W5491" t="s">
        <v>26794</v>
      </c>
      <c r="X5491" t="s">
        <v>4029</v>
      </c>
      <c r="Y5491" t="s">
        <v>97</v>
      </c>
      <c r="Z5491" t="s">
        <v>77</v>
      </c>
      <c r="AA5491" t="str">
        <f>"10029-6503"</f>
        <v>10029-6503</v>
      </c>
      <c r="AB5491" t="s">
        <v>78</v>
      </c>
      <c r="AC5491" t="s">
        <v>79</v>
      </c>
      <c r="AD5491" t="s">
        <v>75</v>
      </c>
      <c r="AE5491" t="s">
        <v>80</v>
      </c>
      <c r="AG5491" t="s">
        <v>81</v>
      </c>
    </row>
    <row r="5492" spans="1:33" x14ac:dyDescent="0.25">
      <c r="A5492" t="str">
        <f>"1174579478"</f>
        <v>1174579478</v>
      </c>
      <c r="B5492" t="str">
        <f>"02310630"</f>
        <v>02310630</v>
      </c>
      <c r="C5492" t="s">
        <v>13436</v>
      </c>
      <c r="D5492" t="s">
        <v>26797</v>
      </c>
      <c r="E5492" t="s">
        <v>26798</v>
      </c>
      <c r="G5492" t="s">
        <v>26799</v>
      </c>
      <c r="L5492" t="s">
        <v>83</v>
      </c>
      <c r="M5492" t="s">
        <v>85</v>
      </c>
      <c r="R5492" t="s">
        <v>26800</v>
      </c>
      <c r="W5492" t="s">
        <v>26801</v>
      </c>
      <c r="X5492" t="s">
        <v>169</v>
      </c>
      <c r="Y5492" t="s">
        <v>155</v>
      </c>
      <c r="Z5492" t="s">
        <v>77</v>
      </c>
      <c r="AA5492" t="str">
        <f>"10305-3436"</f>
        <v>10305-3436</v>
      </c>
      <c r="AB5492" t="s">
        <v>78</v>
      </c>
      <c r="AC5492" t="s">
        <v>79</v>
      </c>
      <c r="AD5492" t="s">
        <v>75</v>
      </c>
      <c r="AE5492" t="s">
        <v>80</v>
      </c>
      <c r="AG5492" t="s">
        <v>81</v>
      </c>
    </row>
    <row r="5493" spans="1:33" x14ac:dyDescent="0.25">
      <c r="A5493" t="str">
        <f>"1174583686"</f>
        <v>1174583686</v>
      </c>
      <c r="B5493" t="str">
        <f>"00715013"</f>
        <v>00715013</v>
      </c>
      <c r="C5493" t="s">
        <v>13436</v>
      </c>
      <c r="D5493" t="s">
        <v>26802</v>
      </c>
      <c r="E5493" t="s">
        <v>26803</v>
      </c>
      <c r="L5493" t="s">
        <v>83</v>
      </c>
      <c r="M5493" t="s">
        <v>75</v>
      </c>
      <c r="R5493" t="s">
        <v>26804</v>
      </c>
      <c r="W5493" t="s">
        <v>26803</v>
      </c>
      <c r="X5493" t="s">
        <v>150</v>
      </c>
      <c r="Y5493" t="s">
        <v>87</v>
      </c>
      <c r="Z5493" t="s">
        <v>77</v>
      </c>
      <c r="AA5493" t="str">
        <f>"11212-3139"</f>
        <v>11212-3139</v>
      </c>
      <c r="AB5493" t="s">
        <v>78</v>
      </c>
      <c r="AC5493" t="s">
        <v>79</v>
      </c>
      <c r="AD5493" t="s">
        <v>75</v>
      </c>
      <c r="AE5493" t="s">
        <v>80</v>
      </c>
      <c r="AG5493" t="s">
        <v>81</v>
      </c>
    </row>
    <row r="5494" spans="1:33" x14ac:dyDescent="0.25">
      <c r="A5494" t="str">
        <f>"1174673883"</f>
        <v>1174673883</v>
      </c>
      <c r="B5494" t="str">
        <f>"02841665"</f>
        <v>02841665</v>
      </c>
      <c r="C5494" t="s">
        <v>13436</v>
      </c>
      <c r="D5494" t="s">
        <v>26805</v>
      </c>
      <c r="E5494" t="s">
        <v>26806</v>
      </c>
      <c r="L5494" t="s">
        <v>102</v>
      </c>
      <c r="M5494" t="s">
        <v>75</v>
      </c>
      <c r="R5494" t="s">
        <v>26807</v>
      </c>
      <c r="W5494" t="s">
        <v>26806</v>
      </c>
      <c r="X5494" t="s">
        <v>173</v>
      </c>
      <c r="Y5494" t="s">
        <v>87</v>
      </c>
      <c r="Z5494" t="s">
        <v>77</v>
      </c>
      <c r="AA5494" t="str">
        <f>"11219-2916"</f>
        <v>11219-2916</v>
      </c>
      <c r="AB5494" t="s">
        <v>78</v>
      </c>
      <c r="AC5494" t="s">
        <v>79</v>
      </c>
      <c r="AD5494" t="s">
        <v>75</v>
      </c>
      <c r="AE5494" t="s">
        <v>80</v>
      </c>
      <c r="AG5494" t="s">
        <v>81</v>
      </c>
    </row>
    <row r="5495" spans="1:33" x14ac:dyDescent="0.25">
      <c r="A5495" t="str">
        <f>"1487655171"</f>
        <v>1487655171</v>
      </c>
      <c r="B5495" t="str">
        <f>"02389206"</f>
        <v>02389206</v>
      </c>
      <c r="C5495" t="s">
        <v>13436</v>
      </c>
      <c r="D5495" t="s">
        <v>26808</v>
      </c>
      <c r="E5495" t="s">
        <v>26809</v>
      </c>
      <c r="G5495" t="s">
        <v>26810</v>
      </c>
      <c r="L5495" t="s">
        <v>83</v>
      </c>
      <c r="M5495" t="s">
        <v>85</v>
      </c>
      <c r="R5495" t="s">
        <v>26811</v>
      </c>
      <c r="W5495" t="s">
        <v>26809</v>
      </c>
      <c r="X5495" t="s">
        <v>26812</v>
      </c>
      <c r="Y5495" t="s">
        <v>97</v>
      </c>
      <c r="Z5495" t="s">
        <v>77</v>
      </c>
      <c r="AA5495" t="str">
        <f>"10019-3149"</f>
        <v>10019-3149</v>
      </c>
      <c r="AB5495" t="s">
        <v>78</v>
      </c>
      <c r="AC5495" t="s">
        <v>79</v>
      </c>
      <c r="AD5495" t="s">
        <v>75</v>
      </c>
      <c r="AE5495" t="s">
        <v>80</v>
      </c>
      <c r="AG5495" t="s">
        <v>81</v>
      </c>
    </row>
    <row r="5496" spans="1:33" x14ac:dyDescent="0.25">
      <c r="A5496" t="str">
        <f>"1487689923"</f>
        <v>1487689923</v>
      </c>
      <c r="B5496" t="str">
        <f>"00812895"</f>
        <v>00812895</v>
      </c>
      <c r="C5496" t="s">
        <v>13436</v>
      </c>
      <c r="D5496" t="s">
        <v>26813</v>
      </c>
      <c r="E5496" t="s">
        <v>26814</v>
      </c>
      <c r="G5496" t="s">
        <v>26815</v>
      </c>
      <c r="L5496" t="s">
        <v>105</v>
      </c>
      <c r="M5496" t="s">
        <v>85</v>
      </c>
      <c r="R5496" t="s">
        <v>26816</v>
      </c>
      <c r="W5496" t="s">
        <v>26814</v>
      </c>
      <c r="X5496" t="s">
        <v>5345</v>
      </c>
      <c r="Y5496" t="s">
        <v>131</v>
      </c>
      <c r="Z5496" t="s">
        <v>77</v>
      </c>
      <c r="AA5496" t="str">
        <f>"10467-2401"</f>
        <v>10467-2401</v>
      </c>
      <c r="AB5496" t="s">
        <v>78</v>
      </c>
      <c r="AC5496" t="s">
        <v>79</v>
      </c>
      <c r="AD5496" t="s">
        <v>75</v>
      </c>
      <c r="AE5496" t="s">
        <v>80</v>
      </c>
      <c r="AG5496" t="s">
        <v>81</v>
      </c>
    </row>
    <row r="5497" spans="1:33" x14ac:dyDescent="0.25">
      <c r="A5497" t="str">
        <f>"1497067912"</f>
        <v>1497067912</v>
      </c>
      <c r="B5497" t="str">
        <f>"03258266"</f>
        <v>03258266</v>
      </c>
      <c r="C5497" t="s">
        <v>13436</v>
      </c>
      <c r="D5497" t="s">
        <v>26817</v>
      </c>
      <c r="E5497" t="s">
        <v>26818</v>
      </c>
      <c r="G5497" t="s">
        <v>26819</v>
      </c>
      <c r="L5497" t="s">
        <v>94</v>
      </c>
      <c r="M5497" t="s">
        <v>85</v>
      </c>
      <c r="R5497" t="s">
        <v>26820</v>
      </c>
      <c r="W5497" t="s">
        <v>26818</v>
      </c>
      <c r="X5497" t="s">
        <v>2587</v>
      </c>
      <c r="Y5497" t="s">
        <v>97</v>
      </c>
      <c r="Z5497" t="s">
        <v>77</v>
      </c>
      <c r="AA5497" t="str">
        <f>"10003-3314"</f>
        <v>10003-3314</v>
      </c>
      <c r="AB5497" t="s">
        <v>78</v>
      </c>
      <c r="AC5497" t="s">
        <v>79</v>
      </c>
      <c r="AD5497" t="s">
        <v>75</v>
      </c>
      <c r="AE5497" t="s">
        <v>80</v>
      </c>
      <c r="AG5497" t="s">
        <v>81</v>
      </c>
    </row>
    <row r="5498" spans="1:33" x14ac:dyDescent="0.25">
      <c r="A5498" t="str">
        <f>"1992706493"</f>
        <v>1992706493</v>
      </c>
      <c r="B5498" t="str">
        <f>"01502854"</f>
        <v>01502854</v>
      </c>
      <c r="C5498" t="s">
        <v>13436</v>
      </c>
      <c r="D5498" t="s">
        <v>26821</v>
      </c>
      <c r="E5498" t="s">
        <v>26822</v>
      </c>
      <c r="G5498" t="s">
        <v>26823</v>
      </c>
      <c r="L5498" t="s">
        <v>83</v>
      </c>
      <c r="M5498" t="s">
        <v>85</v>
      </c>
      <c r="R5498" t="s">
        <v>26824</v>
      </c>
      <c r="W5498" t="s">
        <v>26822</v>
      </c>
      <c r="X5498" t="s">
        <v>5616</v>
      </c>
      <c r="Y5498" t="s">
        <v>97</v>
      </c>
      <c r="Z5498" t="s">
        <v>77</v>
      </c>
      <c r="AA5498" t="str">
        <f>"10032-3725"</f>
        <v>10032-3725</v>
      </c>
      <c r="AB5498" t="s">
        <v>78</v>
      </c>
      <c r="AC5498" t="s">
        <v>79</v>
      </c>
      <c r="AD5498" t="s">
        <v>75</v>
      </c>
      <c r="AE5498" t="s">
        <v>80</v>
      </c>
      <c r="AG5498" t="s">
        <v>81</v>
      </c>
    </row>
    <row r="5499" spans="1:33" x14ac:dyDescent="0.25">
      <c r="A5499" t="str">
        <f>"1033350814"</f>
        <v>1033350814</v>
      </c>
      <c r="B5499" t="str">
        <f>"03422364"</f>
        <v>03422364</v>
      </c>
      <c r="C5499" t="s">
        <v>13436</v>
      </c>
      <c r="D5499" t="s">
        <v>26825</v>
      </c>
      <c r="E5499" t="s">
        <v>26826</v>
      </c>
      <c r="G5499" t="s">
        <v>26827</v>
      </c>
      <c r="L5499" t="s">
        <v>83</v>
      </c>
      <c r="M5499" t="s">
        <v>85</v>
      </c>
      <c r="R5499" t="s">
        <v>26826</v>
      </c>
      <c r="W5499" t="s">
        <v>26826</v>
      </c>
      <c r="X5499" t="s">
        <v>229</v>
      </c>
      <c r="Y5499" t="s">
        <v>230</v>
      </c>
      <c r="Z5499" t="s">
        <v>77</v>
      </c>
      <c r="AA5499" t="str">
        <f>"11795-4927"</f>
        <v>11795-4927</v>
      </c>
      <c r="AB5499" t="s">
        <v>78</v>
      </c>
      <c r="AC5499" t="s">
        <v>79</v>
      </c>
      <c r="AD5499" t="s">
        <v>75</v>
      </c>
      <c r="AE5499" t="s">
        <v>80</v>
      </c>
      <c r="AG5499" t="s">
        <v>81</v>
      </c>
    </row>
    <row r="5500" spans="1:33" x14ac:dyDescent="0.25">
      <c r="A5500" t="str">
        <f>"1033357843"</f>
        <v>1033357843</v>
      </c>
      <c r="B5500" t="str">
        <f>"03747904"</f>
        <v>03747904</v>
      </c>
      <c r="C5500" t="s">
        <v>13436</v>
      </c>
      <c r="D5500" t="s">
        <v>26828</v>
      </c>
      <c r="E5500" t="s">
        <v>26829</v>
      </c>
      <c r="G5500" t="s">
        <v>26830</v>
      </c>
      <c r="L5500" t="s">
        <v>102</v>
      </c>
      <c r="M5500" t="s">
        <v>75</v>
      </c>
      <c r="R5500" t="s">
        <v>26831</v>
      </c>
      <c r="W5500" t="s">
        <v>26829</v>
      </c>
      <c r="X5500" t="s">
        <v>23664</v>
      </c>
      <c r="Y5500" t="s">
        <v>97</v>
      </c>
      <c r="Z5500" t="s">
        <v>77</v>
      </c>
      <c r="AA5500" t="str">
        <f>"10029-6574"</f>
        <v>10029-6574</v>
      </c>
      <c r="AB5500" t="s">
        <v>78</v>
      </c>
      <c r="AC5500" t="s">
        <v>79</v>
      </c>
      <c r="AD5500" t="s">
        <v>75</v>
      </c>
      <c r="AE5500" t="s">
        <v>80</v>
      </c>
      <c r="AG5500" t="s">
        <v>81</v>
      </c>
    </row>
    <row r="5501" spans="1:33" x14ac:dyDescent="0.25">
      <c r="A5501" t="str">
        <f>"1033388111"</f>
        <v>1033388111</v>
      </c>
      <c r="B5501" t="str">
        <f>"03718783"</f>
        <v>03718783</v>
      </c>
      <c r="C5501" t="s">
        <v>13436</v>
      </c>
      <c r="D5501" t="s">
        <v>26832</v>
      </c>
      <c r="E5501" t="s">
        <v>26833</v>
      </c>
      <c r="G5501" t="s">
        <v>26834</v>
      </c>
      <c r="L5501" t="s">
        <v>74</v>
      </c>
      <c r="M5501" t="s">
        <v>75</v>
      </c>
      <c r="R5501" t="s">
        <v>26833</v>
      </c>
      <c r="W5501" t="s">
        <v>26833</v>
      </c>
      <c r="X5501" t="s">
        <v>11156</v>
      </c>
      <c r="Y5501" t="s">
        <v>97</v>
      </c>
      <c r="Z5501" t="s">
        <v>77</v>
      </c>
      <c r="AA5501" t="str">
        <f>"10029-6504"</f>
        <v>10029-6504</v>
      </c>
      <c r="AB5501" t="s">
        <v>78</v>
      </c>
      <c r="AC5501" t="s">
        <v>79</v>
      </c>
      <c r="AD5501" t="s">
        <v>75</v>
      </c>
      <c r="AE5501" t="s">
        <v>80</v>
      </c>
      <c r="AG5501" t="s">
        <v>81</v>
      </c>
    </row>
    <row r="5502" spans="1:33" x14ac:dyDescent="0.25">
      <c r="A5502" t="str">
        <f>"1033389689"</f>
        <v>1033389689</v>
      </c>
      <c r="B5502" t="str">
        <f>"03107499"</f>
        <v>03107499</v>
      </c>
      <c r="C5502" t="s">
        <v>13436</v>
      </c>
      <c r="D5502" t="s">
        <v>26835</v>
      </c>
      <c r="E5502" t="s">
        <v>26836</v>
      </c>
      <c r="G5502" t="s">
        <v>26837</v>
      </c>
      <c r="L5502" t="s">
        <v>83</v>
      </c>
      <c r="M5502" t="s">
        <v>85</v>
      </c>
      <c r="R5502" t="s">
        <v>26836</v>
      </c>
      <c r="W5502" t="s">
        <v>26838</v>
      </c>
      <c r="X5502" t="s">
        <v>329</v>
      </c>
      <c r="Y5502" t="s">
        <v>97</v>
      </c>
      <c r="Z5502" t="s">
        <v>77</v>
      </c>
      <c r="AA5502" t="str">
        <f>"10029-6500"</f>
        <v>10029-6500</v>
      </c>
      <c r="AB5502" t="s">
        <v>78</v>
      </c>
      <c r="AC5502" t="s">
        <v>79</v>
      </c>
      <c r="AD5502" t="s">
        <v>75</v>
      </c>
      <c r="AE5502" t="s">
        <v>80</v>
      </c>
      <c r="AG5502" t="s">
        <v>81</v>
      </c>
    </row>
    <row r="5503" spans="1:33" x14ac:dyDescent="0.25">
      <c r="A5503" t="str">
        <f>"1285849489"</f>
        <v>1285849489</v>
      </c>
      <c r="B5503" t="str">
        <f>"02882002"</f>
        <v>02882002</v>
      </c>
      <c r="C5503" t="s">
        <v>13436</v>
      </c>
      <c r="D5503" t="s">
        <v>26839</v>
      </c>
      <c r="E5503" t="s">
        <v>26840</v>
      </c>
      <c r="G5503" t="s">
        <v>26841</v>
      </c>
      <c r="L5503" t="s">
        <v>74</v>
      </c>
      <c r="M5503" t="s">
        <v>85</v>
      </c>
      <c r="R5503" t="s">
        <v>26842</v>
      </c>
      <c r="W5503" t="s">
        <v>26840</v>
      </c>
      <c r="X5503" t="s">
        <v>4029</v>
      </c>
      <c r="Y5503" t="s">
        <v>97</v>
      </c>
      <c r="Z5503" t="s">
        <v>77</v>
      </c>
      <c r="AA5503" t="str">
        <f>"10029-6503"</f>
        <v>10029-6503</v>
      </c>
      <c r="AB5503" t="s">
        <v>78</v>
      </c>
      <c r="AC5503" t="s">
        <v>79</v>
      </c>
      <c r="AD5503" t="s">
        <v>75</v>
      </c>
      <c r="AE5503" t="s">
        <v>80</v>
      </c>
      <c r="AG5503" t="s">
        <v>81</v>
      </c>
    </row>
    <row r="5504" spans="1:33" x14ac:dyDescent="0.25">
      <c r="A5504" t="str">
        <f>"1285849620"</f>
        <v>1285849620</v>
      </c>
      <c r="B5504" t="str">
        <f>"03784714"</f>
        <v>03784714</v>
      </c>
      <c r="C5504" t="s">
        <v>13436</v>
      </c>
      <c r="D5504" t="s">
        <v>26843</v>
      </c>
      <c r="E5504" t="s">
        <v>26844</v>
      </c>
      <c r="L5504" t="s">
        <v>105</v>
      </c>
      <c r="M5504" t="s">
        <v>85</v>
      </c>
      <c r="R5504" t="s">
        <v>26845</v>
      </c>
      <c r="W5504" t="s">
        <v>26846</v>
      </c>
      <c r="X5504" t="s">
        <v>1455</v>
      </c>
      <c r="Y5504" t="s">
        <v>91</v>
      </c>
      <c r="Z5504" t="s">
        <v>77</v>
      </c>
      <c r="AA5504" t="str">
        <f>"11373-1329"</f>
        <v>11373-1329</v>
      </c>
      <c r="AB5504" t="s">
        <v>78</v>
      </c>
      <c r="AC5504" t="s">
        <v>79</v>
      </c>
      <c r="AD5504" t="s">
        <v>75</v>
      </c>
      <c r="AE5504" t="s">
        <v>80</v>
      </c>
      <c r="AG5504" t="s">
        <v>81</v>
      </c>
    </row>
    <row r="5505" spans="1:33" x14ac:dyDescent="0.25">
      <c r="A5505" t="str">
        <f>"1285879304"</f>
        <v>1285879304</v>
      </c>
      <c r="B5505" t="str">
        <f>"03728654"</f>
        <v>03728654</v>
      </c>
      <c r="C5505" t="s">
        <v>13436</v>
      </c>
      <c r="D5505" t="s">
        <v>26847</v>
      </c>
      <c r="E5505" t="s">
        <v>26848</v>
      </c>
      <c r="G5505" t="s">
        <v>26849</v>
      </c>
      <c r="L5505" t="s">
        <v>74</v>
      </c>
      <c r="M5505" t="s">
        <v>75</v>
      </c>
      <c r="R5505" t="s">
        <v>26850</v>
      </c>
      <c r="W5505" t="s">
        <v>26848</v>
      </c>
      <c r="X5505" t="s">
        <v>26851</v>
      </c>
      <c r="Y5505" t="s">
        <v>97</v>
      </c>
      <c r="Z5505" t="s">
        <v>77</v>
      </c>
      <c r="AA5505" t="str">
        <f>"10029-6504"</f>
        <v>10029-6504</v>
      </c>
      <c r="AB5505" t="s">
        <v>78</v>
      </c>
      <c r="AC5505" t="s">
        <v>79</v>
      </c>
      <c r="AD5505" t="s">
        <v>75</v>
      </c>
      <c r="AE5505" t="s">
        <v>80</v>
      </c>
      <c r="AG5505" t="s">
        <v>81</v>
      </c>
    </row>
    <row r="5506" spans="1:33" x14ac:dyDescent="0.25">
      <c r="A5506" t="str">
        <f>"1962688978"</f>
        <v>1962688978</v>
      </c>
      <c r="B5506" t="str">
        <f>"03120936"</f>
        <v>03120936</v>
      </c>
      <c r="C5506" t="s">
        <v>13436</v>
      </c>
      <c r="D5506" t="s">
        <v>26852</v>
      </c>
      <c r="E5506" t="s">
        <v>26853</v>
      </c>
      <c r="G5506" t="s">
        <v>26854</v>
      </c>
      <c r="L5506" t="s">
        <v>83</v>
      </c>
      <c r="M5506" t="s">
        <v>85</v>
      </c>
      <c r="R5506" t="s">
        <v>26855</v>
      </c>
      <c r="W5506" t="s">
        <v>26856</v>
      </c>
      <c r="X5506" t="s">
        <v>2587</v>
      </c>
      <c r="Y5506" t="s">
        <v>97</v>
      </c>
      <c r="Z5506" t="s">
        <v>77</v>
      </c>
      <c r="AA5506" t="str">
        <f>"10003-3314"</f>
        <v>10003-3314</v>
      </c>
      <c r="AB5506" t="s">
        <v>78</v>
      </c>
      <c r="AC5506" t="s">
        <v>79</v>
      </c>
      <c r="AD5506" t="s">
        <v>75</v>
      </c>
      <c r="AE5506" t="s">
        <v>80</v>
      </c>
      <c r="AG5506" t="s">
        <v>81</v>
      </c>
    </row>
    <row r="5507" spans="1:33" x14ac:dyDescent="0.25">
      <c r="A5507" t="str">
        <f>"1972504132"</f>
        <v>1972504132</v>
      </c>
      <c r="B5507" t="str">
        <f>"02317839"</f>
        <v>02317839</v>
      </c>
      <c r="C5507" t="s">
        <v>13436</v>
      </c>
      <c r="D5507" t="s">
        <v>26857</v>
      </c>
      <c r="E5507" t="s">
        <v>26858</v>
      </c>
      <c r="G5507" t="s">
        <v>26859</v>
      </c>
      <c r="L5507" t="s">
        <v>83</v>
      </c>
      <c r="M5507" t="s">
        <v>85</v>
      </c>
      <c r="R5507" t="s">
        <v>26860</v>
      </c>
      <c r="W5507" t="s">
        <v>26858</v>
      </c>
      <c r="X5507" t="s">
        <v>26861</v>
      </c>
      <c r="Y5507" t="s">
        <v>97</v>
      </c>
      <c r="Z5507" t="s">
        <v>77</v>
      </c>
      <c r="AA5507" t="str">
        <f>"10027"</f>
        <v>10027</v>
      </c>
      <c r="AB5507" t="s">
        <v>78</v>
      </c>
      <c r="AC5507" t="s">
        <v>79</v>
      </c>
      <c r="AD5507" t="s">
        <v>75</v>
      </c>
      <c r="AE5507" t="s">
        <v>80</v>
      </c>
      <c r="AG5507" t="s">
        <v>81</v>
      </c>
    </row>
    <row r="5508" spans="1:33" x14ac:dyDescent="0.25">
      <c r="A5508" t="str">
        <f>"1972564508"</f>
        <v>1972564508</v>
      </c>
      <c r="B5508" t="str">
        <f>"01872971"</f>
        <v>01872971</v>
      </c>
      <c r="C5508" t="s">
        <v>13436</v>
      </c>
      <c r="D5508" t="s">
        <v>26862</v>
      </c>
      <c r="E5508" t="s">
        <v>26863</v>
      </c>
      <c r="G5508" t="s">
        <v>26864</v>
      </c>
      <c r="L5508" t="s">
        <v>74</v>
      </c>
      <c r="M5508" t="s">
        <v>85</v>
      </c>
      <c r="R5508" t="s">
        <v>26865</v>
      </c>
      <c r="W5508" t="s">
        <v>26866</v>
      </c>
      <c r="X5508" t="s">
        <v>26867</v>
      </c>
      <c r="Y5508" t="s">
        <v>97</v>
      </c>
      <c r="Z5508" t="s">
        <v>77</v>
      </c>
      <c r="AA5508" t="str">
        <f>"10019-3234"</f>
        <v>10019-3234</v>
      </c>
      <c r="AB5508" t="s">
        <v>78</v>
      </c>
      <c r="AC5508" t="s">
        <v>79</v>
      </c>
      <c r="AD5508" t="s">
        <v>75</v>
      </c>
      <c r="AE5508" t="s">
        <v>80</v>
      </c>
      <c r="AG5508" t="s">
        <v>81</v>
      </c>
    </row>
    <row r="5509" spans="1:33" x14ac:dyDescent="0.25">
      <c r="A5509" t="str">
        <f>"1972654200"</f>
        <v>1972654200</v>
      </c>
      <c r="B5509" t="str">
        <f>"03117911"</f>
        <v>03117911</v>
      </c>
      <c r="C5509" t="s">
        <v>13436</v>
      </c>
      <c r="D5509" t="s">
        <v>26868</v>
      </c>
      <c r="E5509" t="s">
        <v>26869</v>
      </c>
      <c r="G5509" t="s">
        <v>26870</v>
      </c>
      <c r="L5509" t="s">
        <v>74</v>
      </c>
      <c r="M5509" t="s">
        <v>85</v>
      </c>
      <c r="R5509" t="s">
        <v>26869</v>
      </c>
      <c r="W5509" t="s">
        <v>26869</v>
      </c>
      <c r="X5509" t="s">
        <v>5248</v>
      </c>
      <c r="Y5509" t="s">
        <v>97</v>
      </c>
      <c r="Z5509" t="s">
        <v>77</v>
      </c>
      <c r="AA5509" t="str">
        <f>"10023-7410"</f>
        <v>10023-7410</v>
      </c>
      <c r="AB5509" t="s">
        <v>78</v>
      </c>
      <c r="AC5509" t="s">
        <v>79</v>
      </c>
      <c r="AD5509" t="s">
        <v>75</v>
      </c>
      <c r="AE5509" t="s">
        <v>80</v>
      </c>
      <c r="AG5509" t="s">
        <v>81</v>
      </c>
    </row>
    <row r="5510" spans="1:33" x14ac:dyDescent="0.25">
      <c r="A5510" t="str">
        <f>"1972692374"</f>
        <v>1972692374</v>
      </c>
      <c r="B5510" t="str">
        <f>"02656408"</f>
        <v>02656408</v>
      </c>
      <c r="C5510" t="s">
        <v>13436</v>
      </c>
      <c r="D5510" t="s">
        <v>26871</v>
      </c>
      <c r="E5510" t="s">
        <v>26872</v>
      </c>
      <c r="G5510" t="s">
        <v>26873</v>
      </c>
      <c r="L5510" t="s">
        <v>94</v>
      </c>
      <c r="M5510" t="s">
        <v>85</v>
      </c>
      <c r="R5510" t="s">
        <v>26874</v>
      </c>
      <c r="W5510" t="s">
        <v>26872</v>
      </c>
      <c r="X5510" t="s">
        <v>2587</v>
      </c>
      <c r="Y5510" t="s">
        <v>97</v>
      </c>
      <c r="Z5510" t="s">
        <v>77</v>
      </c>
      <c r="AA5510" t="str">
        <f>"10003-3314"</f>
        <v>10003-3314</v>
      </c>
      <c r="AB5510" t="s">
        <v>78</v>
      </c>
      <c r="AC5510" t="s">
        <v>79</v>
      </c>
      <c r="AD5510" t="s">
        <v>75</v>
      </c>
      <c r="AE5510" t="s">
        <v>80</v>
      </c>
      <c r="AG5510" t="s">
        <v>81</v>
      </c>
    </row>
    <row r="5511" spans="1:33" x14ac:dyDescent="0.25">
      <c r="A5511" t="str">
        <f>"1942318977"</f>
        <v>1942318977</v>
      </c>
      <c r="C5511" t="s">
        <v>13436</v>
      </c>
      <c r="G5511" t="s">
        <v>26875</v>
      </c>
      <c r="K5511" t="s">
        <v>99</v>
      </c>
      <c r="L5511" t="s">
        <v>74</v>
      </c>
      <c r="M5511" t="s">
        <v>85</v>
      </c>
      <c r="R5511" t="s">
        <v>26876</v>
      </c>
      <c r="S5511" t="s">
        <v>181</v>
      </c>
      <c r="T5511" t="s">
        <v>97</v>
      </c>
      <c r="U5511" t="s">
        <v>77</v>
      </c>
      <c r="V5511" t="str">
        <f>"100251716"</f>
        <v>100251716</v>
      </c>
      <c r="AC5511" t="s">
        <v>79</v>
      </c>
      <c r="AD5511" t="s">
        <v>75</v>
      </c>
      <c r="AE5511" t="s">
        <v>103</v>
      </c>
      <c r="AG5511" t="s">
        <v>81</v>
      </c>
    </row>
    <row r="5512" spans="1:33" x14ac:dyDescent="0.25">
      <c r="A5512" t="str">
        <f>"1942319579"</f>
        <v>1942319579</v>
      </c>
      <c r="B5512" t="str">
        <f>"02981331"</f>
        <v>02981331</v>
      </c>
      <c r="C5512" t="s">
        <v>13436</v>
      </c>
      <c r="D5512" t="s">
        <v>26877</v>
      </c>
      <c r="E5512" t="s">
        <v>26878</v>
      </c>
      <c r="G5512" t="s">
        <v>26879</v>
      </c>
      <c r="L5512" t="s">
        <v>74</v>
      </c>
      <c r="M5512" t="s">
        <v>85</v>
      </c>
      <c r="R5512" t="s">
        <v>26880</v>
      </c>
      <c r="W5512" t="s">
        <v>26881</v>
      </c>
      <c r="X5512" t="s">
        <v>14826</v>
      </c>
      <c r="Y5512" t="s">
        <v>97</v>
      </c>
      <c r="Z5512" t="s">
        <v>77</v>
      </c>
      <c r="AA5512" t="str">
        <f>"10003-0000"</f>
        <v>10003-0000</v>
      </c>
      <c r="AB5512" t="s">
        <v>78</v>
      </c>
      <c r="AC5512" t="s">
        <v>79</v>
      </c>
      <c r="AD5512" t="s">
        <v>75</v>
      </c>
      <c r="AE5512" t="s">
        <v>80</v>
      </c>
      <c r="AG5512" t="s">
        <v>81</v>
      </c>
    </row>
    <row r="5513" spans="1:33" x14ac:dyDescent="0.25">
      <c r="A5513" t="str">
        <f>"1942361183"</f>
        <v>1942361183</v>
      </c>
      <c r="B5513" t="str">
        <f>"03108096"</f>
        <v>03108096</v>
      </c>
      <c r="C5513" t="s">
        <v>13436</v>
      </c>
      <c r="D5513" t="s">
        <v>26882</v>
      </c>
      <c r="E5513" t="s">
        <v>26883</v>
      </c>
      <c r="G5513" t="s">
        <v>26884</v>
      </c>
      <c r="L5513" t="s">
        <v>84</v>
      </c>
      <c r="M5513" t="s">
        <v>85</v>
      </c>
      <c r="R5513" t="s">
        <v>26883</v>
      </c>
      <c r="W5513" t="s">
        <v>26885</v>
      </c>
      <c r="X5513" t="s">
        <v>26886</v>
      </c>
      <c r="Y5513" t="s">
        <v>97</v>
      </c>
      <c r="Z5513" t="s">
        <v>77</v>
      </c>
      <c r="AA5513" t="str">
        <f>"10024-3625"</f>
        <v>10024-3625</v>
      </c>
      <c r="AB5513" t="s">
        <v>78</v>
      </c>
      <c r="AC5513" t="s">
        <v>79</v>
      </c>
      <c r="AD5513" t="s">
        <v>75</v>
      </c>
      <c r="AE5513" t="s">
        <v>80</v>
      </c>
      <c r="AG5513" t="s">
        <v>81</v>
      </c>
    </row>
    <row r="5514" spans="1:33" x14ac:dyDescent="0.25">
      <c r="A5514" t="str">
        <f>"1194048223"</f>
        <v>1194048223</v>
      </c>
      <c r="B5514" t="str">
        <f>"03604428"</f>
        <v>03604428</v>
      </c>
      <c r="C5514" t="s">
        <v>13436</v>
      </c>
      <c r="D5514" t="s">
        <v>26887</v>
      </c>
      <c r="E5514" t="s">
        <v>26888</v>
      </c>
      <c r="G5514" t="s">
        <v>26889</v>
      </c>
      <c r="L5514" t="s">
        <v>83</v>
      </c>
      <c r="M5514" t="s">
        <v>85</v>
      </c>
      <c r="R5514" t="s">
        <v>26890</v>
      </c>
      <c r="W5514" t="s">
        <v>26891</v>
      </c>
      <c r="X5514" t="s">
        <v>329</v>
      </c>
      <c r="Y5514" t="s">
        <v>97</v>
      </c>
      <c r="Z5514" t="s">
        <v>77</v>
      </c>
      <c r="AA5514" t="str">
        <f>"10029-6504"</f>
        <v>10029-6504</v>
      </c>
      <c r="AB5514" t="s">
        <v>78</v>
      </c>
      <c r="AC5514" t="s">
        <v>79</v>
      </c>
      <c r="AD5514" t="s">
        <v>75</v>
      </c>
      <c r="AE5514" t="s">
        <v>80</v>
      </c>
      <c r="AG5514" t="s">
        <v>81</v>
      </c>
    </row>
    <row r="5515" spans="1:33" x14ac:dyDescent="0.25">
      <c r="A5515" t="str">
        <f>"1508922907"</f>
        <v>1508922907</v>
      </c>
      <c r="B5515" t="str">
        <f>"03438011"</f>
        <v>03438011</v>
      </c>
      <c r="C5515" t="s">
        <v>13436</v>
      </c>
      <c r="D5515" t="s">
        <v>26892</v>
      </c>
      <c r="E5515" t="s">
        <v>26893</v>
      </c>
      <c r="G5515" t="s">
        <v>26894</v>
      </c>
      <c r="L5515" t="s">
        <v>74</v>
      </c>
      <c r="M5515" t="s">
        <v>85</v>
      </c>
      <c r="R5515" t="s">
        <v>26893</v>
      </c>
      <c r="W5515" t="s">
        <v>26893</v>
      </c>
      <c r="X5515" t="s">
        <v>329</v>
      </c>
      <c r="Y5515" t="s">
        <v>97</v>
      </c>
      <c r="Z5515" t="s">
        <v>77</v>
      </c>
      <c r="AA5515" t="str">
        <f>"10029-6504"</f>
        <v>10029-6504</v>
      </c>
      <c r="AB5515" t="s">
        <v>78</v>
      </c>
      <c r="AC5515" t="s">
        <v>79</v>
      </c>
      <c r="AD5515" t="s">
        <v>75</v>
      </c>
      <c r="AE5515" t="s">
        <v>80</v>
      </c>
      <c r="AG5515" t="s">
        <v>81</v>
      </c>
    </row>
    <row r="5516" spans="1:33" x14ac:dyDescent="0.25">
      <c r="A5516" t="str">
        <f>"1770870172"</f>
        <v>1770870172</v>
      </c>
      <c r="B5516" t="str">
        <f>"03426946"</f>
        <v>03426946</v>
      </c>
      <c r="C5516" t="s">
        <v>13436</v>
      </c>
      <c r="D5516" t="s">
        <v>26895</v>
      </c>
      <c r="E5516" t="s">
        <v>26896</v>
      </c>
      <c r="G5516" t="s">
        <v>26897</v>
      </c>
      <c r="L5516" t="s">
        <v>84</v>
      </c>
      <c r="M5516" t="s">
        <v>85</v>
      </c>
      <c r="R5516" t="s">
        <v>26898</v>
      </c>
      <c r="W5516" t="s">
        <v>26896</v>
      </c>
      <c r="X5516" t="s">
        <v>186</v>
      </c>
      <c r="Y5516" t="s">
        <v>97</v>
      </c>
      <c r="Z5516" t="s">
        <v>77</v>
      </c>
      <c r="AA5516" t="str">
        <f>"10029-7404"</f>
        <v>10029-7404</v>
      </c>
      <c r="AB5516" t="s">
        <v>78</v>
      </c>
      <c r="AC5516" t="s">
        <v>79</v>
      </c>
      <c r="AD5516" t="s">
        <v>75</v>
      </c>
      <c r="AE5516" t="s">
        <v>80</v>
      </c>
      <c r="AG5516" t="s">
        <v>81</v>
      </c>
    </row>
    <row r="5517" spans="1:33" x14ac:dyDescent="0.25">
      <c r="A5517" t="str">
        <f>"1003014267"</f>
        <v>1003014267</v>
      </c>
      <c r="B5517" t="str">
        <f>"03748381"</f>
        <v>03748381</v>
      </c>
      <c r="C5517" t="s">
        <v>13436</v>
      </c>
      <c r="D5517" t="s">
        <v>26899</v>
      </c>
      <c r="E5517" t="s">
        <v>26900</v>
      </c>
      <c r="G5517" t="s">
        <v>26901</v>
      </c>
      <c r="L5517" t="s">
        <v>83</v>
      </c>
      <c r="M5517" t="s">
        <v>75</v>
      </c>
      <c r="R5517" t="s">
        <v>26902</v>
      </c>
      <c r="W5517" t="s">
        <v>26900</v>
      </c>
      <c r="X5517" t="s">
        <v>26903</v>
      </c>
      <c r="Y5517" t="s">
        <v>97</v>
      </c>
      <c r="Z5517" t="s">
        <v>77</v>
      </c>
      <c r="AA5517" t="str">
        <f>"10029-6504"</f>
        <v>10029-6504</v>
      </c>
      <c r="AB5517" t="s">
        <v>78</v>
      </c>
      <c r="AC5517" t="s">
        <v>79</v>
      </c>
      <c r="AD5517" t="s">
        <v>75</v>
      </c>
      <c r="AE5517" t="s">
        <v>80</v>
      </c>
      <c r="AG5517" t="s">
        <v>81</v>
      </c>
    </row>
    <row r="5518" spans="1:33" x14ac:dyDescent="0.25">
      <c r="A5518" t="str">
        <f>"1003040056"</f>
        <v>1003040056</v>
      </c>
      <c r="B5518" t="str">
        <f>"03579953"</f>
        <v>03579953</v>
      </c>
      <c r="C5518" t="s">
        <v>13436</v>
      </c>
      <c r="D5518" t="s">
        <v>26904</v>
      </c>
      <c r="E5518" t="s">
        <v>26905</v>
      </c>
      <c r="G5518" t="s">
        <v>26906</v>
      </c>
      <c r="L5518" t="s">
        <v>74</v>
      </c>
      <c r="M5518" t="s">
        <v>85</v>
      </c>
      <c r="R5518" t="s">
        <v>26905</v>
      </c>
      <c r="W5518" t="s">
        <v>26907</v>
      </c>
      <c r="X5518" t="s">
        <v>1455</v>
      </c>
      <c r="Y5518" t="s">
        <v>91</v>
      </c>
      <c r="Z5518" t="s">
        <v>77</v>
      </c>
      <c r="AA5518" t="str">
        <f>"11373-1329"</f>
        <v>11373-1329</v>
      </c>
      <c r="AB5518" t="s">
        <v>78</v>
      </c>
      <c r="AC5518" t="s">
        <v>79</v>
      </c>
      <c r="AD5518" t="s">
        <v>75</v>
      </c>
      <c r="AE5518" t="s">
        <v>80</v>
      </c>
      <c r="AG5518" t="s">
        <v>81</v>
      </c>
    </row>
    <row r="5519" spans="1:33" x14ac:dyDescent="0.25">
      <c r="A5519" t="str">
        <f>"1003040726"</f>
        <v>1003040726</v>
      </c>
      <c r="B5519" t="str">
        <f>"00872422"</f>
        <v>00872422</v>
      </c>
      <c r="C5519" t="s">
        <v>13436</v>
      </c>
      <c r="D5519" t="s">
        <v>26908</v>
      </c>
      <c r="E5519" t="s">
        <v>26909</v>
      </c>
      <c r="G5519" t="s">
        <v>26910</v>
      </c>
      <c r="L5519" t="s">
        <v>83</v>
      </c>
      <c r="M5519" t="s">
        <v>85</v>
      </c>
      <c r="R5519" t="s">
        <v>26911</v>
      </c>
      <c r="W5519" t="s">
        <v>26912</v>
      </c>
      <c r="X5519" t="s">
        <v>12961</v>
      </c>
      <c r="Y5519" t="s">
        <v>1965</v>
      </c>
      <c r="Z5519" t="s">
        <v>77</v>
      </c>
      <c r="AA5519" t="str">
        <f>"11767-1090"</f>
        <v>11767-1090</v>
      </c>
      <c r="AB5519" t="s">
        <v>78</v>
      </c>
      <c r="AC5519" t="s">
        <v>79</v>
      </c>
      <c r="AD5519" t="s">
        <v>75</v>
      </c>
      <c r="AE5519" t="s">
        <v>80</v>
      </c>
      <c r="AG5519" t="s">
        <v>81</v>
      </c>
    </row>
    <row r="5520" spans="1:33" x14ac:dyDescent="0.25">
      <c r="A5520" t="str">
        <f>"1003045394"</f>
        <v>1003045394</v>
      </c>
      <c r="B5520" t="str">
        <f>"03631936"</f>
        <v>03631936</v>
      </c>
      <c r="C5520" t="s">
        <v>13436</v>
      </c>
      <c r="D5520" t="s">
        <v>26913</v>
      </c>
      <c r="E5520" t="s">
        <v>26914</v>
      </c>
      <c r="L5520" t="s">
        <v>83</v>
      </c>
      <c r="M5520" t="s">
        <v>85</v>
      </c>
      <c r="R5520" t="s">
        <v>26915</v>
      </c>
      <c r="W5520" t="s">
        <v>26914</v>
      </c>
      <c r="X5520" t="s">
        <v>11436</v>
      </c>
      <c r="Y5520" t="s">
        <v>97</v>
      </c>
      <c r="Z5520" t="s">
        <v>77</v>
      </c>
      <c r="AA5520" t="str">
        <f>"10029-0000"</f>
        <v>10029-0000</v>
      </c>
      <c r="AB5520" t="s">
        <v>78</v>
      </c>
      <c r="AC5520" t="s">
        <v>79</v>
      </c>
      <c r="AD5520" t="s">
        <v>75</v>
      </c>
      <c r="AE5520" t="s">
        <v>80</v>
      </c>
      <c r="AG5520" t="s">
        <v>81</v>
      </c>
    </row>
    <row r="5521" spans="1:33" x14ac:dyDescent="0.25">
      <c r="A5521" t="str">
        <f>"1003050626"</f>
        <v>1003050626</v>
      </c>
      <c r="B5521" t="str">
        <f>"03368921"</f>
        <v>03368921</v>
      </c>
      <c r="C5521" t="s">
        <v>13436</v>
      </c>
      <c r="D5521" t="s">
        <v>26916</v>
      </c>
      <c r="E5521" t="s">
        <v>26917</v>
      </c>
      <c r="G5521" t="s">
        <v>26918</v>
      </c>
      <c r="L5521" t="s">
        <v>105</v>
      </c>
      <c r="M5521" t="s">
        <v>75</v>
      </c>
      <c r="R5521" t="s">
        <v>26919</v>
      </c>
      <c r="W5521" t="s">
        <v>26920</v>
      </c>
      <c r="X5521" t="s">
        <v>2587</v>
      </c>
      <c r="Y5521" t="s">
        <v>97</v>
      </c>
      <c r="Z5521" t="s">
        <v>77</v>
      </c>
      <c r="AA5521" t="str">
        <f>"10003-3314"</f>
        <v>10003-3314</v>
      </c>
      <c r="AB5521" t="s">
        <v>125</v>
      </c>
      <c r="AC5521" t="s">
        <v>79</v>
      </c>
      <c r="AD5521" t="s">
        <v>75</v>
      </c>
      <c r="AE5521" t="s">
        <v>80</v>
      </c>
      <c r="AG5521" t="s">
        <v>81</v>
      </c>
    </row>
    <row r="5522" spans="1:33" x14ac:dyDescent="0.25">
      <c r="A5522" t="str">
        <f>"1952348799"</f>
        <v>1952348799</v>
      </c>
      <c r="B5522" t="str">
        <f>"01249105"</f>
        <v>01249105</v>
      </c>
      <c r="C5522" t="s">
        <v>13436</v>
      </c>
      <c r="D5522" t="s">
        <v>26921</v>
      </c>
      <c r="E5522" t="s">
        <v>26922</v>
      </c>
      <c r="G5522" t="s">
        <v>26923</v>
      </c>
      <c r="L5522" t="s">
        <v>83</v>
      </c>
      <c r="M5522" t="s">
        <v>85</v>
      </c>
      <c r="R5522" t="s">
        <v>26924</v>
      </c>
      <c r="W5522" t="s">
        <v>26922</v>
      </c>
      <c r="X5522" t="s">
        <v>26925</v>
      </c>
      <c r="Y5522" t="s">
        <v>152</v>
      </c>
      <c r="Z5522" t="s">
        <v>77</v>
      </c>
      <c r="AA5522" t="str">
        <f>"11375-5553"</f>
        <v>11375-5553</v>
      </c>
      <c r="AB5522" t="s">
        <v>78</v>
      </c>
      <c r="AC5522" t="s">
        <v>79</v>
      </c>
      <c r="AD5522" t="s">
        <v>75</v>
      </c>
      <c r="AE5522" t="s">
        <v>80</v>
      </c>
      <c r="AG5522" t="s">
        <v>81</v>
      </c>
    </row>
    <row r="5523" spans="1:33" x14ac:dyDescent="0.25">
      <c r="A5523" t="str">
        <f>"1952362188"</f>
        <v>1952362188</v>
      </c>
      <c r="B5523" t="str">
        <f>"01706798"</f>
        <v>01706798</v>
      </c>
      <c r="C5523" t="s">
        <v>13436</v>
      </c>
      <c r="D5523" t="s">
        <v>26926</v>
      </c>
      <c r="E5523" t="s">
        <v>26927</v>
      </c>
      <c r="G5523" t="s">
        <v>26928</v>
      </c>
      <c r="L5523" t="s">
        <v>84</v>
      </c>
      <c r="M5523" t="s">
        <v>85</v>
      </c>
      <c r="R5523" t="s">
        <v>26929</v>
      </c>
      <c r="W5523" t="s">
        <v>26927</v>
      </c>
      <c r="X5523" t="s">
        <v>4678</v>
      </c>
      <c r="Y5523" t="s">
        <v>97</v>
      </c>
      <c r="Z5523" t="s">
        <v>77</v>
      </c>
      <c r="AA5523" t="str">
        <f>"10024-5116"</f>
        <v>10024-5116</v>
      </c>
      <c r="AB5523" t="s">
        <v>78</v>
      </c>
      <c r="AC5523" t="s">
        <v>79</v>
      </c>
      <c r="AD5523" t="s">
        <v>75</v>
      </c>
      <c r="AE5523" t="s">
        <v>80</v>
      </c>
      <c r="AG5523" t="s">
        <v>81</v>
      </c>
    </row>
    <row r="5524" spans="1:33" x14ac:dyDescent="0.25">
      <c r="A5524" t="str">
        <f>"1952382376"</f>
        <v>1952382376</v>
      </c>
      <c r="B5524" t="str">
        <f>"01952258"</f>
        <v>01952258</v>
      </c>
      <c r="C5524" t="s">
        <v>13436</v>
      </c>
      <c r="D5524" t="s">
        <v>26930</v>
      </c>
      <c r="E5524" t="s">
        <v>26931</v>
      </c>
      <c r="G5524" t="s">
        <v>26932</v>
      </c>
      <c r="L5524" t="s">
        <v>83</v>
      </c>
      <c r="M5524" t="s">
        <v>85</v>
      </c>
      <c r="R5524" t="s">
        <v>26933</v>
      </c>
      <c r="W5524" t="s">
        <v>26931</v>
      </c>
      <c r="X5524" t="s">
        <v>200</v>
      </c>
      <c r="Y5524" t="s">
        <v>97</v>
      </c>
      <c r="Z5524" t="s">
        <v>77</v>
      </c>
      <c r="AA5524" t="str">
        <f>"10032-3720"</f>
        <v>10032-3720</v>
      </c>
      <c r="AB5524" t="s">
        <v>78</v>
      </c>
      <c r="AC5524" t="s">
        <v>79</v>
      </c>
      <c r="AD5524" t="s">
        <v>75</v>
      </c>
      <c r="AE5524" t="s">
        <v>80</v>
      </c>
      <c r="AG5524" t="s">
        <v>81</v>
      </c>
    </row>
    <row r="5525" spans="1:33" x14ac:dyDescent="0.25">
      <c r="A5525" t="str">
        <f>"1952388845"</f>
        <v>1952388845</v>
      </c>
      <c r="B5525" t="str">
        <f>"02646537"</f>
        <v>02646537</v>
      </c>
      <c r="C5525" t="s">
        <v>13436</v>
      </c>
      <c r="D5525" t="s">
        <v>26934</v>
      </c>
      <c r="E5525" t="s">
        <v>26935</v>
      </c>
      <c r="G5525" t="s">
        <v>26936</v>
      </c>
      <c r="L5525" t="s">
        <v>84</v>
      </c>
      <c r="M5525" t="s">
        <v>85</v>
      </c>
      <c r="R5525" t="s">
        <v>26937</v>
      </c>
      <c r="W5525" t="s">
        <v>26935</v>
      </c>
      <c r="X5525" t="s">
        <v>181</v>
      </c>
      <c r="Y5525" t="s">
        <v>97</v>
      </c>
      <c r="Z5525" t="s">
        <v>77</v>
      </c>
      <c r="AA5525" t="str">
        <f>"10025-1716"</f>
        <v>10025-1716</v>
      </c>
      <c r="AB5525" t="s">
        <v>78</v>
      </c>
      <c r="AC5525" t="s">
        <v>79</v>
      </c>
      <c r="AD5525" t="s">
        <v>75</v>
      </c>
      <c r="AE5525" t="s">
        <v>80</v>
      </c>
      <c r="AG5525" t="s">
        <v>81</v>
      </c>
    </row>
    <row r="5526" spans="1:33" x14ac:dyDescent="0.25">
      <c r="A5526" t="str">
        <f>"1952389793"</f>
        <v>1952389793</v>
      </c>
      <c r="B5526" t="str">
        <f>"01761004"</f>
        <v>01761004</v>
      </c>
      <c r="C5526" t="s">
        <v>13436</v>
      </c>
      <c r="D5526" t="s">
        <v>26938</v>
      </c>
      <c r="E5526" t="s">
        <v>26939</v>
      </c>
      <c r="G5526" t="s">
        <v>26940</v>
      </c>
      <c r="L5526" t="s">
        <v>84</v>
      </c>
      <c r="M5526" t="s">
        <v>85</v>
      </c>
      <c r="R5526" t="s">
        <v>26941</v>
      </c>
      <c r="W5526" t="s">
        <v>26939</v>
      </c>
      <c r="X5526" t="s">
        <v>14807</v>
      </c>
      <c r="Y5526" t="s">
        <v>97</v>
      </c>
      <c r="Z5526" t="s">
        <v>77</v>
      </c>
      <c r="AA5526" t="str">
        <f>"10128-7603"</f>
        <v>10128-7603</v>
      </c>
      <c r="AB5526" t="s">
        <v>78</v>
      </c>
      <c r="AC5526" t="s">
        <v>79</v>
      </c>
      <c r="AD5526" t="s">
        <v>75</v>
      </c>
      <c r="AE5526" t="s">
        <v>80</v>
      </c>
      <c r="AG5526" t="s">
        <v>81</v>
      </c>
    </row>
    <row r="5527" spans="1:33" x14ac:dyDescent="0.25">
      <c r="A5527" t="str">
        <f>"1952394967"</f>
        <v>1952394967</v>
      </c>
      <c r="B5527" t="str">
        <f>"01024831"</f>
        <v>01024831</v>
      </c>
      <c r="C5527" t="s">
        <v>13436</v>
      </c>
      <c r="D5527" t="s">
        <v>26942</v>
      </c>
      <c r="E5527" t="s">
        <v>26943</v>
      </c>
      <c r="G5527" t="s">
        <v>26944</v>
      </c>
      <c r="L5527" t="s">
        <v>84</v>
      </c>
      <c r="M5527" t="s">
        <v>85</v>
      </c>
      <c r="R5527" t="s">
        <v>26945</v>
      </c>
      <c r="W5527" t="s">
        <v>26943</v>
      </c>
      <c r="X5527" t="s">
        <v>24391</v>
      </c>
      <c r="Y5527" t="s">
        <v>97</v>
      </c>
      <c r="Z5527" t="s">
        <v>77</v>
      </c>
      <c r="AA5527" t="str">
        <f>"10019-1147"</f>
        <v>10019-1147</v>
      </c>
      <c r="AB5527" t="s">
        <v>78</v>
      </c>
      <c r="AC5527" t="s">
        <v>79</v>
      </c>
      <c r="AD5527" t="s">
        <v>75</v>
      </c>
      <c r="AE5527" t="s">
        <v>80</v>
      </c>
      <c r="AG5527" t="s">
        <v>81</v>
      </c>
    </row>
    <row r="5528" spans="1:33" x14ac:dyDescent="0.25">
      <c r="A5528" t="str">
        <f>"1952407934"</f>
        <v>1952407934</v>
      </c>
      <c r="B5528" t="str">
        <f>"03052155"</f>
        <v>03052155</v>
      </c>
      <c r="C5528" t="s">
        <v>13436</v>
      </c>
      <c r="D5528" t="s">
        <v>26946</v>
      </c>
      <c r="E5528" t="s">
        <v>26947</v>
      </c>
      <c r="G5528" t="s">
        <v>26948</v>
      </c>
      <c r="L5528" t="s">
        <v>84</v>
      </c>
      <c r="M5528" t="s">
        <v>85</v>
      </c>
      <c r="R5528" t="s">
        <v>26949</v>
      </c>
      <c r="W5528" t="s">
        <v>26950</v>
      </c>
      <c r="X5528" t="s">
        <v>15119</v>
      </c>
      <c r="Y5528" t="s">
        <v>97</v>
      </c>
      <c r="Z5528" t="s">
        <v>77</v>
      </c>
      <c r="AA5528" t="str">
        <f>"10024-4530"</f>
        <v>10024-4530</v>
      </c>
      <c r="AB5528" t="s">
        <v>78</v>
      </c>
      <c r="AC5528" t="s">
        <v>79</v>
      </c>
      <c r="AD5528" t="s">
        <v>75</v>
      </c>
      <c r="AE5528" t="s">
        <v>80</v>
      </c>
      <c r="AG5528" t="s">
        <v>81</v>
      </c>
    </row>
    <row r="5529" spans="1:33" x14ac:dyDescent="0.25">
      <c r="A5529" t="str">
        <f>"1952455214"</f>
        <v>1952455214</v>
      </c>
      <c r="C5529" t="s">
        <v>13436</v>
      </c>
      <c r="G5529" t="s">
        <v>26951</v>
      </c>
      <c r="K5529" t="s">
        <v>99</v>
      </c>
      <c r="L5529" t="s">
        <v>102</v>
      </c>
      <c r="M5529" t="s">
        <v>85</v>
      </c>
      <c r="R5529" t="s">
        <v>26952</v>
      </c>
      <c r="S5529" t="s">
        <v>181</v>
      </c>
      <c r="T5529" t="s">
        <v>97</v>
      </c>
      <c r="U5529" t="s">
        <v>77</v>
      </c>
      <c r="V5529" t="str">
        <f>"100251716"</f>
        <v>100251716</v>
      </c>
      <c r="AC5529" t="s">
        <v>79</v>
      </c>
      <c r="AD5529" t="s">
        <v>75</v>
      </c>
      <c r="AE5529" t="s">
        <v>103</v>
      </c>
      <c r="AG5529" t="s">
        <v>81</v>
      </c>
    </row>
    <row r="5530" spans="1:33" x14ac:dyDescent="0.25">
      <c r="A5530" t="str">
        <f>"1952474736"</f>
        <v>1952474736</v>
      </c>
      <c r="B5530" t="str">
        <f>"01288348"</f>
        <v>01288348</v>
      </c>
      <c r="C5530" t="s">
        <v>13436</v>
      </c>
      <c r="D5530" t="s">
        <v>26953</v>
      </c>
      <c r="E5530" t="s">
        <v>26954</v>
      </c>
      <c r="G5530" t="s">
        <v>26955</v>
      </c>
      <c r="L5530" t="s">
        <v>83</v>
      </c>
      <c r="M5530" t="s">
        <v>85</v>
      </c>
      <c r="R5530" t="s">
        <v>26956</v>
      </c>
      <c r="W5530" t="s">
        <v>26956</v>
      </c>
      <c r="X5530" t="s">
        <v>88</v>
      </c>
      <c r="Y5530" t="s">
        <v>89</v>
      </c>
      <c r="Z5530" t="s">
        <v>77</v>
      </c>
      <c r="AA5530" t="str">
        <f>"13905-4246"</f>
        <v>13905-4246</v>
      </c>
      <c r="AB5530" t="s">
        <v>78</v>
      </c>
      <c r="AC5530" t="s">
        <v>79</v>
      </c>
      <c r="AD5530" t="s">
        <v>75</v>
      </c>
      <c r="AE5530" t="s">
        <v>80</v>
      </c>
      <c r="AG5530" t="s">
        <v>81</v>
      </c>
    </row>
    <row r="5531" spans="1:33" x14ac:dyDescent="0.25">
      <c r="A5531" t="str">
        <f>"1558308684"</f>
        <v>1558308684</v>
      </c>
      <c r="B5531" t="str">
        <f>"02316310"</f>
        <v>02316310</v>
      </c>
      <c r="C5531" t="s">
        <v>13436</v>
      </c>
      <c r="D5531" t="s">
        <v>26957</v>
      </c>
      <c r="E5531" t="s">
        <v>26958</v>
      </c>
      <c r="G5531" t="s">
        <v>26959</v>
      </c>
      <c r="L5531" t="s">
        <v>84</v>
      </c>
      <c r="M5531" t="s">
        <v>75</v>
      </c>
      <c r="R5531" t="s">
        <v>26960</v>
      </c>
      <c r="W5531" t="s">
        <v>26958</v>
      </c>
      <c r="X5531" t="s">
        <v>26961</v>
      </c>
      <c r="Y5531" t="s">
        <v>97</v>
      </c>
      <c r="Z5531" t="s">
        <v>77</v>
      </c>
      <c r="AA5531" t="str">
        <f>"10128-4077"</f>
        <v>10128-4077</v>
      </c>
      <c r="AB5531" t="s">
        <v>78</v>
      </c>
      <c r="AC5531" t="s">
        <v>79</v>
      </c>
      <c r="AD5531" t="s">
        <v>75</v>
      </c>
      <c r="AE5531" t="s">
        <v>80</v>
      </c>
      <c r="AG5531" t="s">
        <v>81</v>
      </c>
    </row>
    <row r="5532" spans="1:33" x14ac:dyDescent="0.25">
      <c r="A5532" t="str">
        <f>"1740269398"</f>
        <v>1740269398</v>
      </c>
      <c r="B5532" t="str">
        <f>"01911540"</f>
        <v>01911540</v>
      </c>
      <c r="C5532" t="s">
        <v>13436</v>
      </c>
      <c r="D5532" t="s">
        <v>26962</v>
      </c>
      <c r="E5532" t="s">
        <v>26963</v>
      </c>
      <c r="G5532" t="s">
        <v>26964</v>
      </c>
      <c r="L5532" t="s">
        <v>83</v>
      </c>
      <c r="M5532" t="s">
        <v>85</v>
      </c>
      <c r="R5532" t="s">
        <v>26965</v>
      </c>
      <c r="W5532" t="s">
        <v>26963</v>
      </c>
      <c r="Y5532" t="s">
        <v>97</v>
      </c>
      <c r="Z5532" t="s">
        <v>77</v>
      </c>
      <c r="AA5532" t="str">
        <f>"10128-7603"</f>
        <v>10128-7603</v>
      </c>
      <c r="AB5532" t="s">
        <v>78</v>
      </c>
      <c r="AC5532" t="s">
        <v>79</v>
      </c>
      <c r="AD5532" t="s">
        <v>75</v>
      </c>
      <c r="AE5532" t="s">
        <v>80</v>
      </c>
      <c r="AG5532" t="s">
        <v>81</v>
      </c>
    </row>
    <row r="5533" spans="1:33" x14ac:dyDescent="0.25">
      <c r="A5533" t="str">
        <f>"1740321462"</f>
        <v>1740321462</v>
      </c>
      <c r="B5533" t="str">
        <f>"02867765"</f>
        <v>02867765</v>
      </c>
      <c r="C5533" t="s">
        <v>13436</v>
      </c>
      <c r="D5533" t="s">
        <v>26966</v>
      </c>
      <c r="E5533" t="s">
        <v>26967</v>
      </c>
      <c r="G5533" t="s">
        <v>26968</v>
      </c>
      <c r="L5533" t="s">
        <v>84</v>
      </c>
      <c r="M5533" t="s">
        <v>75</v>
      </c>
      <c r="R5533" t="s">
        <v>26969</v>
      </c>
      <c r="W5533" t="s">
        <v>26967</v>
      </c>
      <c r="X5533" t="s">
        <v>191</v>
      </c>
      <c r="Y5533" t="s">
        <v>97</v>
      </c>
      <c r="Z5533" t="s">
        <v>77</v>
      </c>
      <c r="AA5533" t="str">
        <f>"10019-1147"</f>
        <v>10019-1147</v>
      </c>
      <c r="AB5533" t="s">
        <v>78</v>
      </c>
      <c r="AC5533" t="s">
        <v>79</v>
      </c>
      <c r="AD5533" t="s">
        <v>75</v>
      </c>
      <c r="AE5533" t="s">
        <v>80</v>
      </c>
      <c r="AG5533" t="s">
        <v>81</v>
      </c>
    </row>
    <row r="5534" spans="1:33" x14ac:dyDescent="0.25">
      <c r="A5534" t="str">
        <f>"1740374222"</f>
        <v>1740374222</v>
      </c>
      <c r="B5534" t="str">
        <f>"00731782"</f>
        <v>00731782</v>
      </c>
      <c r="C5534" t="s">
        <v>13436</v>
      </c>
      <c r="D5534" t="s">
        <v>26970</v>
      </c>
      <c r="E5534" t="s">
        <v>26971</v>
      </c>
      <c r="G5534" t="s">
        <v>26972</v>
      </c>
      <c r="L5534" t="s">
        <v>74</v>
      </c>
      <c r="M5534" t="s">
        <v>75</v>
      </c>
      <c r="R5534" t="s">
        <v>26973</v>
      </c>
      <c r="W5534" t="s">
        <v>26971</v>
      </c>
      <c r="X5534" t="s">
        <v>26974</v>
      </c>
      <c r="Y5534" t="s">
        <v>87</v>
      </c>
      <c r="Z5534" t="s">
        <v>77</v>
      </c>
      <c r="AA5534" t="str">
        <f>"11212"</f>
        <v>11212</v>
      </c>
      <c r="AB5534" t="s">
        <v>78</v>
      </c>
      <c r="AC5534" t="s">
        <v>79</v>
      </c>
      <c r="AD5534" t="s">
        <v>75</v>
      </c>
      <c r="AE5534" t="s">
        <v>80</v>
      </c>
      <c r="AG5534" t="s">
        <v>81</v>
      </c>
    </row>
    <row r="5535" spans="1:33" x14ac:dyDescent="0.25">
      <c r="A5535" t="str">
        <f>"1750309563"</f>
        <v>1750309563</v>
      </c>
      <c r="B5535" t="str">
        <f>"02662839"</f>
        <v>02662839</v>
      </c>
      <c r="C5535" t="s">
        <v>13436</v>
      </c>
      <c r="D5535" t="s">
        <v>26975</v>
      </c>
      <c r="E5535" t="s">
        <v>26976</v>
      </c>
      <c r="G5535" t="s">
        <v>26977</v>
      </c>
      <c r="L5535" t="s">
        <v>83</v>
      </c>
      <c r="M5535" t="s">
        <v>85</v>
      </c>
      <c r="R5535" t="s">
        <v>26978</v>
      </c>
      <c r="W5535" t="s">
        <v>26976</v>
      </c>
      <c r="X5535" t="s">
        <v>272</v>
      </c>
      <c r="Y5535" t="s">
        <v>97</v>
      </c>
      <c r="Z5535" t="s">
        <v>77</v>
      </c>
      <c r="AA5535" t="str">
        <f>"10029-6501"</f>
        <v>10029-6501</v>
      </c>
      <c r="AB5535" t="s">
        <v>78</v>
      </c>
      <c r="AC5535" t="s">
        <v>79</v>
      </c>
      <c r="AD5535" t="s">
        <v>75</v>
      </c>
      <c r="AE5535" t="s">
        <v>80</v>
      </c>
      <c r="AG5535" t="s">
        <v>81</v>
      </c>
    </row>
    <row r="5536" spans="1:33" x14ac:dyDescent="0.25">
      <c r="A5536" t="str">
        <f>"1750523650"</f>
        <v>1750523650</v>
      </c>
      <c r="B5536" t="str">
        <f>"03811332"</f>
        <v>03811332</v>
      </c>
      <c r="C5536" t="s">
        <v>13436</v>
      </c>
      <c r="D5536" t="s">
        <v>26979</v>
      </c>
      <c r="E5536" t="s">
        <v>26980</v>
      </c>
      <c r="G5536" t="s">
        <v>26981</v>
      </c>
      <c r="L5536" t="s">
        <v>84</v>
      </c>
      <c r="M5536" t="s">
        <v>85</v>
      </c>
      <c r="R5536" t="s">
        <v>26982</v>
      </c>
      <c r="W5536" t="s">
        <v>26980</v>
      </c>
      <c r="X5536" t="s">
        <v>11195</v>
      </c>
      <c r="Y5536" t="s">
        <v>97</v>
      </c>
      <c r="Z5536" t="s">
        <v>77</v>
      </c>
      <c r="AA5536" t="str">
        <f>"10029-6030"</f>
        <v>10029-6030</v>
      </c>
      <c r="AB5536" t="s">
        <v>78</v>
      </c>
      <c r="AC5536" t="s">
        <v>79</v>
      </c>
      <c r="AD5536" t="s">
        <v>75</v>
      </c>
      <c r="AE5536" t="s">
        <v>80</v>
      </c>
      <c r="AG5536" t="s">
        <v>81</v>
      </c>
    </row>
    <row r="5537" spans="1:33" x14ac:dyDescent="0.25">
      <c r="A5537" t="str">
        <f>"1750565834"</f>
        <v>1750565834</v>
      </c>
      <c r="B5537" t="str">
        <f>"02079789"</f>
        <v>02079789</v>
      </c>
      <c r="C5537" t="s">
        <v>13436</v>
      </c>
      <c r="D5537" t="s">
        <v>26983</v>
      </c>
      <c r="E5537" t="s">
        <v>26984</v>
      </c>
      <c r="G5537" t="s">
        <v>26985</v>
      </c>
      <c r="L5537" t="s">
        <v>94</v>
      </c>
      <c r="M5537" t="s">
        <v>75</v>
      </c>
      <c r="R5537" t="s">
        <v>26986</v>
      </c>
      <c r="W5537" t="s">
        <v>26984</v>
      </c>
      <c r="X5537" t="s">
        <v>26987</v>
      </c>
      <c r="Y5537" t="s">
        <v>97</v>
      </c>
      <c r="Z5537" t="s">
        <v>77</v>
      </c>
      <c r="AA5537" t="str">
        <f>"10018-4233"</f>
        <v>10018-4233</v>
      </c>
      <c r="AB5537" t="s">
        <v>78</v>
      </c>
      <c r="AC5537" t="s">
        <v>79</v>
      </c>
      <c r="AD5537" t="s">
        <v>75</v>
      </c>
      <c r="AE5537" t="s">
        <v>80</v>
      </c>
      <c r="AG5537" t="s">
        <v>81</v>
      </c>
    </row>
    <row r="5538" spans="1:33" x14ac:dyDescent="0.25">
      <c r="A5538" t="str">
        <f>"1750623237"</f>
        <v>1750623237</v>
      </c>
      <c r="C5538" t="s">
        <v>13436</v>
      </c>
      <c r="G5538" t="s">
        <v>26988</v>
      </c>
      <c r="K5538" t="s">
        <v>99</v>
      </c>
      <c r="L5538" t="s">
        <v>102</v>
      </c>
      <c r="M5538" t="s">
        <v>75</v>
      </c>
      <c r="R5538" t="s">
        <v>26989</v>
      </c>
      <c r="S5538" t="s">
        <v>329</v>
      </c>
      <c r="T5538" t="s">
        <v>97</v>
      </c>
      <c r="U5538" t="s">
        <v>77</v>
      </c>
      <c r="V5538" t="str">
        <f>"100296500"</f>
        <v>100296500</v>
      </c>
      <c r="AC5538" t="s">
        <v>79</v>
      </c>
      <c r="AD5538" t="s">
        <v>75</v>
      </c>
      <c r="AE5538" t="s">
        <v>103</v>
      </c>
      <c r="AG5538" t="s">
        <v>81</v>
      </c>
    </row>
    <row r="5539" spans="1:33" x14ac:dyDescent="0.25">
      <c r="A5539" t="str">
        <f>"1760629323"</f>
        <v>1760629323</v>
      </c>
      <c r="B5539" t="str">
        <f>"04274475"</f>
        <v>04274475</v>
      </c>
      <c r="C5539" t="s">
        <v>13436</v>
      </c>
      <c r="D5539" t="s">
        <v>26990</v>
      </c>
      <c r="E5539" t="s">
        <v>26991</v>
      </c>
      <c r="G5539" t="s">
        <v>26992</v>
      </c>
      <c r="L5539" t="s">
        <v>83</v>
      </c>
      <c r="M5539" t="s">
        <v>75</v>
      </c>
      <c r="R5539" t="s">
        <v>26993</v>
      </c>
      <c r="W5539" t="s">
        <v>26991</v>
      </c>
      <c r="X5539" t="s">
        <v>1169</v>
      </c>
      <c r="Y5539" t="s">
        <v>97</v>
      </c>
      <c r="Z5539" t="s">
        <v>77</v>
      </c>
      <c r="AA5539" t="str">
        <f>"10019-6239"</f>
        <v>10019-6239</v>
      </c>
      <c r="AB5539" t="s">
        <v>78</v>
      </c>
      <c r="AC5539" t="s">
        <v>79</v>
      </c>
      <c r="AD5539" t="s">
        <v>75</v>
      </c>
      <c r="AE5539" t="s">
        <v>80</v>
      </c>
      <c r="AG5539" t="s">
        <v>81</v>
      </c>
    </row>
    <row r="5540" spans="1:33" x14ac:dyDescent="0.25">
      <c r="A5540" t="str">
        <f>"1760657050"</f>
        <v>1760657050</v>
      </c>
      <c r="B5540" t="str">
        <f>"03384883"</f>
        <v>03384883</v>
      </c>
      <c r="C5540" t="s">
        <v>13436</v>
      </c>
      <c r="D5540" t="s">
        <v>26994</v>
      </c>
      <c r="E5540" t="s">
        <v>26995</v>
      </c>
      <c r="G5540" t="s">
        <v>26996</v>
      </c>
      <c r="L5540" t="s">
        <v>94</v>
      </c>
      <c r="M5540" t="s">
        <v>85</v>
      </c>
      <c r="R5540" t="s">
        <v>26997</v>
      </c>
      <c r="W5540" t="s">
        <v>26995</v>
      </c>
      <c r="X5540" t="s">
        <v>11379</v>
      </c>
      <c r="Y5540" t="s">
        <v>97</v>
      </c>
      <c r="Z5540" t="s">
        <v>77</v>
      </c>
      <c r="AA5540" t="str">
        <f>"10029-6500"</f>
        <v>10029-6500</v>
      </c>
      <c r="AB5540" t="s">
        <v>78</v>
      </c>
      <c r="AC5540" t="s">
        <v>79</v>
      </c>
      <c r="AD5540" t="s">
        <v>75</v>
      </c>
      <c r="AE5540" t="s">
        <v>80</v>
      </c>
      <c r="AG5540" t="s">
        <v>81</v>
      </c>
    </row>
    <row r="5541" spans="1:33" x14ac:dyDescent="0.25">
      <c r="A5541" t="str">
        <f>"1760724504"</f>
        <v>1760724504</v>
      </c>
      <c r="C5541" t="s">
        <v>13436</v>
      </c>
      <c r="G5541" t="s">
        <v>26998</v>
      </c>
      <c r="K5541" t="s">
        <v>99</v>
      </c>
      <c r="L5541" t="s">
        <v>102</v>
      </c>
      <c r="M5541" t="s">
        <v>75</v>
      </c>
      <c r="R5541" t="s">
        <v>26999</v>
      </c>
      <c r="S5541" t="s">
        <v>329</v>
      </c>
      <c r="T5541" t="s">
        <v>97</v>
      </c>
      <c r="U5541" t="s">
        <v>77</v>
      </c>
      <c r="V5541" t="str">
        <f>"100296500"</f>
        <v>100296500</v>
      </c>
      <c r="AC5541" t="s">
        <v>79</v>
      </c>
      <c r="AD5541" t="s">
        <v>75</v>
      </c>
      <c r="AE5541" t="s">
        <v>103</v>
      </c>
      <c r="AG5541" t="s">
        <v>81</v>
      </c>
    </row>
    <row r="5542" spans="1:33" x14ac:dyDescent="0.25">
      <c r="A5542" t="str">
        <f>"1760775662"</f>
        <v>1760775662</v>
      </c>
      <c r="B5542" t="str">
        <f>"03716341"</f>
        <v>03716341</v>
      </c>
      <c r="C5542" t="s">
        <v>13436</v>
      </c>
      <c r="D5542" t="s">
        <v>27000</v>
      </c>
      <c r="E5542" t="s">
        <v>27001</v>
      </c>
      <c r="G5542" t="s">
        <v>27002</v>
      </c>
      <c r="L5542" t="s">
        <v>74</v>
      </c>
      <c r="M5542" t="s">
        <v>75</v>
      </c>
      <c r="R5542" t="s">
        <v>27001</v>
      </c>
      <c r="W5542" t="s">
        <v>27001</v>
      </c>
      <c r="X5542" t="s">
        <v>15494</v>
      </c>
      <c r="Y5542" t="s">
        <v>97</v>
      </c>
      <c r="Z5542" t="s">
        <v>77</v>
      </c>
      <c r="AA5542" t="str">
        <f>"10128-5604"</f>
        <v>10128-5604</v>
      </c>
      <c r="AB5542" t="s">
        <v>125</v>
      </c>
      <c r="AC5542" t="s">
        <v>79</v>
      </c>
      <c r="AD5542" t="s">
        <v>75</v>
      </c>
      <c r="AE5542" t="s">
        <v>80</v>
      </c>
      <c r="AG5542" t="s">
        <v>81</v>
      </c>
    </row>
    <row r="5543" spans="1:33" x14ac:dyDescent="0.25">
      <c r="A5543" t="str">
        <f>"1457445108"</f>
        <v>1457445108</v>
      </c>
      <c r="B5543" t="str">
        <f>"00718130"</f>
        <v>00718130</v>
      </c>
      <c r="C5543" t="s">
        <v>13436</v>
      </c>
      <c r="D5543" t="s">
        <v>1276</v>
      </c>
      <c r="E5543" t="s">
        <v>1277</v>
      </c>
      <c r="G5543" t="s">
        <v>27003</v>
      </c>
      <c r="L5543" t="s">
        <v>83</v>
      </c>
      <c r="M5543" t="s">
        <v>85</v>
      </c>
      <c r="R5543" t="s">
        <v>1278</v>
      </c>
      <c r="W5543" t="s">
        <v>1279</v>
      </c>
      <c r="Y5543" t="s">
        <v>97</v>
      </c>
      <c r="Z5543" t="s">
        <v>77</v>
      </c>
      <c r="AA5543" t="str">
        <f>"10011-8305"</f>
        <v>10011-8305</v>
      </c>
      <c r="AB5543" t="s">
        <v>78</v>
      </c>
      <c r="AC5543" t="s">
        <v>79</v>
      </c>
      <c r="AD5543" t="s">
        <v>75</v>
      </c>
      <c r="AE5543" t="s">
        <v>80</v>
      </c>
      <c r="AG5543" t="s">
        <v>81</v>
      </c>
    </row>
    <row r="5544" spans="1:33" x14ac:dyDescent="0.25">
      <c r="A5544" t="str">
        <f>"1467410498"</f>
        <v>1467410498</v>
      </c>
      <c r="B5544" t="str">
        <f>"02924894"</f>
        <v>02924894</v>
      </c>
      <c r="C5544" t="s">
        <v>13436</v>
      </c>
      <c r="D5544" t="s">
        <v>27004</v>
      </c>
      <c r="E5544" t="s">
        <v>27005</v>
      </c>
      <c r="G5544" t="s">
        <v>27006</v>
      </c>
      <c r="L5544" t="s">
        <v>74</v>
      </c>
      <c r="M5544" t="s">
        <v>85</v>
      </c>
      <c r="R5544" t="s">
        <v>27005</v>
      </c>
      <c r="W5544" t="s">
        <v>27007</v>
      </c>
      <c r="X5544" t="s">
        <v>19934</v>
      </c>
      <c r="Y5544" t="s">
        <v>97</v>
      </c>
      <c r="Z5544" t="s">
        <v>77</v>
      </c>
      <c r="AA5544" t="str">
        <f>"10019-3234"</f>
        <v>10019-3234</v>
      </c>
      <c r="AB5544" t="s">
        <v>78</v>
      </c>
      <c r="AC5544" t="s">
        <v>79</v>
      </c>
      <c r="AD5544" t="s">
        <v>75</v>
      </c>
      <c r="AE5544" t="s">
        <v>80</v>
      </c>
      <c r="AG5544" t="s">
        <v>81</v>
      </c>
    </row>
    <row r="5545" spans="1:33" x14ac:dyDescent="0.25">
      <c r="A5545" t="str">
        <f>"1255537312"</f>
        <v>1255537312</v>
      </c>
      <c r="B5545" t="str">
        <f>"03604226"</f>
        <v>03604226</v>
      </c>
      <c r="C5545" t="s">
        <v>13436</v>
      </c>
      <c r="D5545" t="s">
        <v>27008</v>
      </c>
      <c r="E5545" t="s">
        <v>27009</v>
      </c>
      <c r="G5545" t="s">
        <v>27010</v>
      </c>
      <c r="L5545" t="s">
        <v>74</v>
      </c>
      <c r="M5545" t="s">
        <v>85</v>
      </c>
      <c r="R5545" t="s">
        <v>27011</v>
      </c>
      <c r="W5545" t="s">
        <v>27012</v>
      </c>
      <c r="X5545" t="s">
        <v>10363</v>
      </c>
      <c r="Y5545" t="s">
        <v>97</v>
      </c>
      <c r="Z5545" t="s">
        <v>77</v>
      </c>
      <c r="AA5545" t="str">
        <f>"10029-6508"</f>
        <v>10029-6508</v>
      </c>
      <c r="AB5545" t="s">
        <v>78</v>
      </c>
      <c r="AC5545" t="s">
        <v>79</v>
      </c>
      <c r="AD5545" t="s">
        <v>75</v>
      </c>
      <c r="AE5545" t="s">
        <v>80</v>
      </c>
      <c r="AG5545" t="s">
        <v>81</v>
      </c>
    </row>
    <row r="5546" spans="1:33" x14ac:dyDescent="0.25">
      <c r="A5546" t="str">
        <f>"1255540456"</f>
        <v>1255540456</v>
      </c>
      <c r="B5546" t="str">
        <f>"03110565"</f>
        <v>03110565</v>
      </c>
      <c r="C5546" t="s">
        <v>13436</v>
      </c>
      <c r="D5546" t="s">
        <v>27013</v>
      </c>
      <c r="E5546" t="s">
        <v>27014</v>
      </c>
      <c r="G5546" t="s">
        <v>27015</v>
      </c>
      <c r="L5546" t="s">
        <v>84</v>
      </c>
      <c r="M5546" t="s">
        <v>85</v>
      </c>
      <c r="R5546" t="s">
        <v>27016</v>
      </c>
      <c r="W5546" t="s">
        <v>27014</v>
      </c>
      <c r="X5546" t="s">
        <v>590</v>
      </c>
      <c r="Y5546" t="s">
        <v>97</v>
      </c>
      <c r="Z5546" t="s">
        <v>77</v>
      </c>
      <c r="AA5546" t="str">
        <f>"10128-4077"</f>
        <v>10128-4077</v>
      </c>
      <c r="AB5546" t="s">
        <v>78</v>
      </c>
      <c r="AC5546" t="s">
        <v>79</v>
      </c>
      <c r="AD5546" t="s">
        <v>75</v>
      </c>
      <c r="AE5546" t="s">
        <v>80</v>
      </c>
      <c r="AG5546" t="s">
        <v>81</v>
      </c>
    </row>
    <row r="5547" spans="1:33" x14ac:dyDescent="0.25">
      <c r="A5547" t="str">
        <f>"1255580783"</f>
        <v>1255580783</v>
      </c>
      <c r="B5547" t="str">
        <f>"03248886"</f>
        <v>03248886</v>
      </c>
      <c r="C5547" t="s">
        <v>13436</v>
      </c>
      <c r="D5547" t="s">
        <v>27017</v>
      </c>
      <c r="E5547" t="s">
        <v>27018</v>
      </c>
      <c r="G5547" t="s">
        <v>27019</v>
      </c>
      <c r="L5547" t="s">
        <v>94</v>
      </c>
      <c r="M5547" t="s">
        <v>75</v>
      </c>
      <c r="R5547" t="s">
        <v>27020</v>
      </c>
      <c r="W5547" t="s">
        <v>27018</v>
      </c>
      <c r="X5547" t="s">
        <v>2587</v>
      </c>
      <c r="Y5547" t="s">
        <v>97</v>
      </c>
      <c r="Z5547" t="s">
        <v>77</v>
      </c>
      <c r="AA5547" t="str">
        <f>"10003-3314"</f>
        <v>10003-3314</v>
      </c>
      <c r="AB5547" t="s">
        <v>78</v>
      </c>
      <c r="AC5547" t="s">
        <v>79</v>
      </c>
      <c r="AD5547" t="s">
        <v>75</v>
      </c>
      <c r="AE5547" t="s">
        <v>80</v>
      </c>
      <c r="AG5547" t="s">
        <v>81</v>
      </c>
    </row>
    <row r="5548" spans="1:33" x14ac:dyDescent="0.25">
      <c r="A5548" t="str">
        <f>"1255590022"</f>
        <v>1255590022</v>
      </c>
      <c r="B5548" t="str">
        <f>"03469683"</f>
        <v>03469683</v>
      </c>
      <c r="C5548" t="s">
        <v>13436</v>
      </c>
      <c r="D5548" t="s">
        <v>27021</v>
      </c>
      <c r="E5548" t="s">
        <v>27022</v>
      </c>
      <c r="G5548" t="s">
        <v>27023</v>
      </c>
      <c r="L5548" t="s">
        <v>105</v>
      </c>
      <c r="M5548" t="s">
        <v>85</v>
      </c>
      <c r="R5548" t="s">
        <v>27024</v>
      </c>
      <c r="W5548" t="s">
        <v>27022</v>
      </c>
      <c r="X5548" t="s">
        <v>329</v>
      </c>
      <c r="Y5548" t="s">
        <v>97</v>
      </c>
      <c r="Z5548" t="s">
        <v>77</v>
      </c>
      <c r="AA5548" t="str">
        <f>"10029-6500"</f>
        <v>10029-6500</v>
      </c>
      <c r="AB5548" t="s">
        <v>78</v>
      </c>
      <c r="AC5548" t="s">
        <v>79</v>
      </c>
      <c r="AD5548" t="s">
        <v>75</v>
      </c>
      <c r="AE5548" t="s">
        <v>80</v>
      </c>
      <c r="AG5548" t="s">
        <v>81</v>
      </c>
    </row>
    <row r="5549" spans="1:33" x14ac:dyDescent="0.25">
      <c r="A5549" t="str">
        <f>"1255607925"</f>
        <v>1255607925</v>
      </c>
      <c r="C5549" t="s">
        <v>13436</v>
      </c>
      <c r="G5549" t="s">
        <v>27025</v>
      </c>
      <c r="K5549" t="s">
        <v>99</v>
      </c>
      <c r="L5549" t="s">
        <v>102</v>
      </c>
      <c r="M5549" t="s">
        <v>75</v>
      </c>
      <c r="R5549" t="s">
        <v>27026</v>
      </c>
      <c r="S5549" t="s">
        <v>4766</v>
      </c>
      <c r="T5549" t="s">
        <v>97</v>
      </c>
      <c r="U5549" t="s">
        <v>77</v>
      </c>
      <c r="V5549" t="str">
        <f>"100214823"</f>
        <v>100214823</v>
      </c>
      <c r="AC5549" t="s">
        <v>79</v>
      </c>
      <c r="AD5549" t="s">
        <v>75</v>
      </c>
      <c r="AE5549" t="s">
        <v>103</v>
      </c>
      <c r="AG5549" t="s">
        <v>81</v>
      </c>
    </row>
    <row r="5550" spans="1:33" x14ac:dyDescent="0.25">
      <c r="A5550" t="str">
        <f>"1841440450"</f>
        <v>1841440450</v>
      </c>
      <c r="B5550" t="str">
        <f>"04062891"</f>
        <v>04062891</v>
      </c>
      <c r="C5550" t="s">
        <v>13436</v>
      </c>
      <c r="D5550" t="s">
        <v>27027</v>
      </c>
      <c r="E5550" t="s">
        <v>27028</v>
      </c>
      <c r="G5550" t="s">
        <v>27029</v>
      </c>
      <c r="L5550" t="s">
        <v>94</v>
      </c>
      <c r="M5550" t="s">
        <v>85</v>
      </c>
      <c r="R5550" t="s">
        <v>27030</v>
      </c>
      <c r="W5550" t="s">
        <v>27028</v>
      </c>
      <c r="X5550" t="s">
        <v>27031</v>
      </c>
      <c r="Y5550" t="s">
        <v>97</v>
      </c>
      <c r="Z5550" t="s">
        <v>77</v>
      </c>
      <c r="AA5550" t="str">
        <f>"10011-2202"</f>
        <v>10011-2202</v>
      </c>
      <c r="AB5550" t="s">
        <v>78</v>
      </c>
      <c r="AC5550" t="s">
        <v>79</v>
      </c>
      <c r="AD5550" t="s">
        <v>75</v>
      </c>
      <c r="AE5550" t="s">
        <v>80</v>
      </c>
      <c r="AG5550" t="s">
        <v>81</v>
      </c>
    </row>
    <row r="5551" spans="1:33" x14ac:dyDescent="0.25">
      <c r="A5551" t="str">
        <f>"1962495788"</f>
        <v>1962495788</v>
      </c>
      <c r="B5551" t="str">
        <f>"00653732"</f>
        <v>00653732</v>
      </c>
      <c r="C5551" t="s">
        <v>13436</v>
      </c>
      <c r="D5551" t="s">
        <v>27032</v>
      </c>
      <c r="E5551" t="s">
        <v>27033</v>
      </c>
      <c r="G5551" t="s">
        <v>27034</v>
      </c>
      <c r="L5551" t="s">
        <v>83</v>
      </c>
      <c r="M5551" t="s">
        <v>85</v>
      </c>
      <c r="R5551" t="s">
        <v>27035</v>
      </c>
      <c r="W5551" t="s">
        <v>27033</v>
      </c>
      <c r="X5551" t="s">
        <v>27036</v>
      </c>
      <c r="Y5551" t="s">
        <v>97</v>
      </c>
      <c r="Z5551" t="s">
        <v>77</v>
      </c>
      <c r="AA5551" t="str">
        <f>"10025"</f>
        <v>10025</v>
      </c>
      <c r="AB5551" t="s">
        <v>78</v>
      </c>
      <c r="AC5551" t="s">
        <v>79</v>
      </c>
      <c r="AD5551" t="s">
        <v>75</v>
      </c>
      <c r="AE5551" t="s">
        <v>80</v>
      </c>
      <c r="AG5551" t="s">
        <v>81</v>
      </c>
    </row>
    <row r="5552" spans="1:33" x14ac:dyDescent="0.25">
      <c r="A5552" t="str">
        <f>"1598914582"</f>
        <v>1598914582</v>
      </c>
      <c r="B5552" t="str">
        <f>"03384865"</f>
        <v>03384865</v>
      </c>
      <c r="C5552" t="s">
        <v>13436</v>
      </c>
      <c r="D5552" t="s">
        <v>27037</v>
      </c>
      <c r="E5552" t="s">
        <v>27038</v>
      </c>
      <c r="G5552" t="s">
        <v>27039</v>
      </c>
      <c r="L5552" t="s">
        <v>74</v>
      </c>
      <c r="M5552" t="s">
        <v>85</v>
      </c>
      <c r="R5552" t="s">
        <v>27040</v>
      </c>
      <c r="W5552" t="s">
        <v>27038</v>
      </c>
      <c r="X5552" t="s">
        <v>5585</v>
      </c>
      <c r="Y5552" t="s">
        <v>97</v>
      </c>
      <c r="Z5552" t="s">
        <v>77</v>
      </c>
      <c r="AA5552" t="str">
        <f>"10003-0001"</f>
        <v>10003-0001</v>
      </c>
      <c r="AB5552" t="s">
        <v>78</v>
      </c>
      <c r="AC5552" t="s">
        <v>79</v>
      </c>
      <c r="AD5552" t="s">
        <v>75</v>
      </c>
      <c r="AE5552" t="s">
        <v>80</v>
      </c>
      <c r="AG5552" t="s">
        <v>81</v>
      </c>
    </row>
    <row r="5553" spans="1:33" x14ac:dyDescent="0.25">
      <c r="A5553" t="str">
        <f>"1598965766"</f>
        <v>1598965766</v>
      </c>
      <c r="B5553" t="str">
        <f>"03224682"</f>
        <v>03224682</v>
      </c>
      <c r="C5553" t="s">
        <v>13436</v>
      </c>
      <c r="D5553" t="s">
        <v>27041</v>
      </c>
      <c r="E5553" t="s">
        <v>27042</v>
      </c>
      <c r="G5553" t="s">
        <v>27043</v>
      </c>
      <c r="L5553" t="s">
        <v>74</v>
      </c>
      <c r="M5553" t="s">
        <v>85</v>
      </c>
      <c r="R5553" t="s">
        <v>27042</v>
      </c>
      <c r="W5553" t="s">
        <v>27042</v>
      </c>
      <c r="X5553" t="s">
        <v>27044</v>
      </c>
      <c r="Y5553" t="s">
        <v>2262</v>
      </c>
      <c r="Z5553" t="s">
        <v>123</v>
      </c>
      <c r="AA5553" t="str">
        <f>"02115-5724"</f>
        <v>02115-5724</v>
      </c>
      <c r="AB5553" t="s">
        <v>78</v>
      </c>
      <c r="AC5553" t="s">
        <v>79</v>
      </c>
      <c r="AD5553" t="s">
        <v>75</v>
      </c>
      <c r="AE5553" t="s">
        <v>80</v>
      </c>
      <c r="AG5553" t="s">
        <v>81</v>
      </c>
    </row>
    <row r="5554" spans="1:33" x14ac:dyDescent="0.25">
      <c r="A5554" t="str">
        <f>"1609080027"</f>
        <v>1609080027</v>
      </c>
      <c r="B5554" t="str">
        <f>"02946849"</f>
        <v>02946849</v>
      </c>
      <c r="C5554" t="s">
        <v>13436</v>
      </c>
      <c r="D5554" t="s">
        <v>27045</v>
      </c>
      <c r="E5554" t="s">
        <v>27046</v>
      </c>
      <c r="G5554" t="s">
        <v>27047</v>
      </c>
      <c r="L5554" t="s">
        <v>83</v>
      </c>
      <c r="M5554" t="s">
        <v>85</v>
      </c>
      <c r="R5554" t="s">
        <v>27048</v>
      </c>
      <c r="W5554" t="s">
        <v>27049</v>
      </c>
      <c r="X5554" t="s">
        <v>6922</v>
      </c>
      <c r="Y5554" t="s">
        <v>97</v>
      </c>
      <c r="Z5554" t="s">
        <v>77</v>
      </c>
      <c r="AA5554" t="str">
        <f>"10003-0000"</f>
        <v>10003-0000</v>
      </c>
      <c r="AB5554" t="s">
        <v>78</v>
      </c>
      <c r="AC5554" t="s">
        <v>79</v>
      </c>
      <c r="AD5554" t="s">
        <v>75</v>
      </c>
      <c r="AE5554" t="s">
        <v>80</v>
      </c>
      <c r="AG5554" t="s">
        <v>81</v>
      </c>
    </row>
    <row r="5555" spans="1:33" x14ac:dyDescent="0.25">
      <c r="A5555" t="str">
        <f>"1992772388"</f>
        <v>1992772388</v>
      </c>
      <c r="B5555" t="str">
        <f>"02718192"</f>
        <v>02718192</v>
      </c>
      <c r="C5555" t="s">
        <v>13436</v>
      </c>
      <c r="D5555" t="s">
        <v>27050</v>
      </c>
      <c r="E5555" t="s">
        <v>27051</v>
      </c>
      <c r="G5555" t="s">
        <v>27052</v>
      </c>
      <c r="L5555" t="s">
        <v>83</v>
      </c>
      <c r="M5555" t="s">
        <v>85</v>
      </c>
      <c r="R5555" t="s">
        <v>27053</v>
      </c>
      <c r="W5555" t="s">
        <v>27051</v>
      </c>
      <c r="X5555" t="s">
        <v>14894</v>
      </c>
      <c r="Y5555" t="s">
        <v>97</v>
      </c>
      <c r="Z5555" t="s">
        <v>77</v>
      </c>
      <c r="AA5555" t="str">
        <f>"10003-3851"</f>
        <v>10003-3851</v>
      </c>
      <c r="AB5555" t="s">
        <v>78</v>
      </c>
      <c r="AC5555" t="s">
        <v>79</v>
      </c>
      <c r="AD5555" t="s">
        <v>75</v>
      </c>
      <c r="AE5555" t="s">
        <v>80</v>
      </c>
      <c r="AG5555" t="s">
        <v>81</v>
      </c>
    </row>
    <row r="5556" spans="1:33" x14ac:dyDescent="0.25">
      <c r="A5556" t="str">
        <f>"1548497902"</f>
        <v>1548497902</v>
      </c>
      <c r="C5556" t="s">
        <v>13436</v>
      </c>
      <c r="G5556" t="s">
        <v>27054</v>
      </c>
      <c r="K5556" t="s">
        <v>99</v>
      </c>
      <c r="L5556" t="s">
        <v>74</v>
      </c>
      <c r="M5556" t="s">
        <v>85</v>
      </c>
      <c r="R5556" t="s">
        <v>27055</v>
      </c>
      <c r="S5556" t="s">
        <v>27056</v>
      </c>
      <c r="T5556" t="s">
        <v>97</v>
      </c>
      <c r="U5556" t="s">
        <v>77</v>
      </c>
      <c r="V5556" t="str">
        <f>"100106505"</f>
        <v>100106505</v>
      </c>
      <c r="AC5556" t="s">
        <v>79</v>
      </c>
      <c r="AD5556" t="s">
        <v>75</v>
      </c>
      <c r="AE5556" t="s">
        <v>103</v>
      </c>
      <c r="AG5556" t="s">
        <v>81</v>
      </c>
    </row>
    <row r="5557" spans="1:33" x14ac:dyDescent="0.25">
      <c r="A5557" t="str">
        <f>"1578881264"</f>
        <v>1578881264</v>
      </c>
      <c r="B5557" t="str">
        <f>"03446935"</f>
        <v>03446935</v>
      </c>
      <c r="C5557" t="s">
        <v>13436</v>
      </c>
      <c r="D5557" t="s">
        <v>6239</v>
      </c>
      <c r="E5557" t="s">
        <v>6240</v>
      </c>
      <c r="G5557" t="s">
        <v>27057</v>
      </c>
      <c r="L5557" t="s">
        <v>74</v>
      </c>
      <c r="M5557" t="s">
        <v>85</v>
      </c>
      <c r="R5557" t="s">
        <v>6241</v>
      </c>
      <c r="W5557" t="s">
        <v>6240</v>
      </c>
      <c r="X5557" t="s">
        <v>3433</v>
      </c>
      <c r="Y5557" t="s">
        <v>97</v>
      </c>
      <c r="Z5557" t="s">
        <v>77</v>
      </c>
      <c r="AA5557" t="str">
        <f>"10003-3805"</f>
        <v>10003-3805</v>
      </c>
      <c r="AB5557" t="s">
        <v>78</v>
      </c>
      <c r="AC5557" t="s">
        <v>79</v>
      </c>
      <c r="AD5557" t="s">
        <v>75</v>
      </c>
      <c r="AE5557" t="s">
        <v>80</v>
      </c>
      <c r="AG5557" t="s">
        <v>81</v>
      </c>
    </row>
    <row r="5558" spans="1:33" x14ac:dyDescent="0.25">
      <c r="A5558" t="str">
        <f>"1629104302"</f>
        <v>1629104302</v>
      </c>
      <c r="B5558" t="str">
        <f>"03569486"</f>
        <v>03569486</v>
      </c>
      <c r="C5558" t="s">
        <v>13436</v>
      </c>
      <c r="D5558" t="s">
        <v>27058</v>
      </c>
      <c r="E5558" t="s">
        <v>27059</v>
      </c>
      <c r="G5558" t="s">
        <v>27060</v>
      </c>
      <c r="L5558" t="s">
        <v>84</v>
      </c>
      <c r="M5558" t="s">
        <v>85</v>
      </c>
      <c r="R5558" t="s">
        <v>27061</v>
      </c>
      <c r="W5558" t="s">
        <v>27059</v>
      </c>
      <c r="X5558" t="s">
        <v>21087</v>
      </c>
      <c r="Y5558" t="s">
        <v>97</v>
      </c>
      <c r="Z5558" t="s">
        <v>77</v>
      </c>
      <c r="AA5558" t="str">
        <f>"10011-5368"</f>
        <v>10011-5368</v>
      </c>
      <c r="AB5558" t="s">
        <v>78</v>
      </c>
      <c r="AC5558" t="s">
        <v>79</v>
      </c>
      <c r="AD5558" t="s">
        <v>75</v>
      </c>
      <c r="AE5558" t="s">
        <v>80</v>
      </c>
      <c r="AG5558" t="s">
        <v>81</v>
      </c>
    </row>
    <row r="5559" spans="1:33" x14ac:dyDescent="0.25">
      <c r="A5559" t="str">
        <f>"1629202965"</f>
        <v>1629202965</v>
      </c>
      <c r="B5559" t="str">
        <f>"03475876"</f>
        <v>03475876</v>
      </c>
      <c r="C5559" t="s">
        <v>13436</v>
      </c>
      <c r="D5559" t="s">
        <v>27062</v>
      </c>
      <c r="E5559" t="s">
        <v>27063</v>
      </c>
      <c r="G5559" t="s">
        <v>27064</v>
      </c>
      <c r="L5559" t="s">
        <v>74</v>
      </c>
      <c r="M5559" t="s">
        <v>85</v>
      </c>
      <c r="R5559" t="s">
        <v>27063</v>
      </c>
      <c r="W5559" t="s">
        <v>27065</v>
      </c>
      <c r="X5559" t="s">
        <v>3553</v>
      </c>
      <c r="Y5559" t="s">
        <v>97</v>
      </c>
      <c r="Z5559" t="s">
        <v>77</v>
      </c>
      <c r="AA5559" t="str">
        <f>"10009-0000"</f>
        <v>10009-0000</v>
      </c>
      <c r="AB5559" t="s">
        <v>78</v>
      </c>
      <c r="AC5559" t="s">
        <v>79</v>
      </c>
      <c r="AD5559" t="s">
        <v>75</v>
      </c>
      <c r="AE5559" t="s">
        <v>80</v>
      </c>
      <c r="AG5559" t="s">
        <v>81</v>
      </c>
    </row>
    <row r="5560" spans="1:33" x14ac:dyDescent="0.25">
      <c r="A5560" t="str">
        <f>"1548418833"</f>
        <v>1548418833</v>
      </c>
      <c r="B5560" t="str">
        <f>"03404359"</f>
        <v>03404359</v>
      </c>
      <c r="C5560" t="s">
        <v>13436</v>
      </c>
      <c r="D5560" t="s">
        <v>27066</v>
      </c>
      <c r="E5560" t="s">
        <v>27067</v>
      </c>
      <c r="G5560" t="s">
        <v>27068</v>
      </c>
      <c r="L5560" t="s">
        <v>84</v>
      </c>
      <c r="M5560" t="s">
        <v>85</v>
      </c>
      <c r="R5560" t="s">
        <v>27069</v>
      </c>
      <c r="W5560" t="s">
        <v>27067</v>
      </c>
      <c r="X5560" t="s">
        <v>251</v>
      </c>
      <c r="Y5560" t="s">
        <v>87</v>
      </c>
      <c r="Z5560" t="s">
        <v>77</v>
      </c>
      <c r="AA5560" t="str">
        <f>"11203-1809"</f>
        <v>11203-1809</v>
      </c>
      <c r="AB5560" t="s">
        <v>78</v>
      </c>
      <c r="AC5560" t="s">
        <v>79</v>
      </c>
      <c r="AD5560" t="s">
        <v>75</v>
      </c>
      <c r="AE5560" t="s">
        <v>80</v>
      </c>
      <c r="AG5560" t="s">
        <v>81</v>
      </c>
    </row>
    <row r="5561" spans="1:33" x14ac:dyDescent="0.25">
      <c r="A5561" t="str">
        <f>"1548434517"</f>
        <v>1548434517</v>
      </c>
      <c r="B5561" t="str">
        <f>"03582318"</f>
        <v>03582318</v>
      </c>
      <c r="C5561" t="s">
        <v>13436</v>
      </c>
      <c r="D5561" t="s">
        <v>27070</v>
      </c>
      <c r="E5561" t="s">
        <v>27071</v>
      </c>
      <c r="G5561" t="s">
        <v>27072</v>
      </c>
      <c r="L5561" t="s">
        <v>84</v>
      </c>
      <c r="M5561" t="s">
        <v>85</v>
      </c>
      <c r="R5561" t="s">
        <v>27073</v>
      </c>
      <c r="W5561" t="s">
        <v>27071</v>
      </c>
      <c r="X5561" t="s">
        <v>181</v>
      </c>
      <c r="Y5561" t="s">
        <v>97</v>
      </c>
      <c r="Z5561" t="s">
        <v>77</v>
      </c>
      <c r="AA5561" t="str">
        <f>"10025-1716"</f>
        <v>10025-1716</v>
      </c>
      <c r="AB5561" t="s">
        <v>78</v>
      </c>
      <c r="AC5561" t="s">
        <v>79</v>
      </c>
      <c r="AD5561" t="s">
        <v>75</v>
      </c>
      <c r="AE5561" t="s">
        <v>80</v>
      </c>
      <c r="AG5561" t="s">
        <v>81</v>
      </c>
    </row>
    <row r="5562" spans="1:33" x14ac:dyDescent="0.25">
      <c r="A5562" t="str">
        <f>"1548461429"</f>
        <v>1548461429</v>
      </c>
      <c r="B5562" t="str">
        <f>"03382074"</f>
        <v>03382074</v>
      </c>
      <c r="C5562" t="s">
        <v>13436</v>
      </c>
      <c r="D5562" t="s">
        <v>27074</v>
      </c>
      <c r="E5562" t="s">
        <v>27075</v>
      </c>
      <c r="G5562" t="s">
        <v>27076</v>
      </c>
      <c r="L5562" t="s">
        <v>83</v>
      </c>
      <c r="M5562" t="s">
        <v>85</v>
      </c>
      <c r="R5562" t="s">
        <v>27077</v>
      </c>
      <c r="W5562" t="s">
        <v>27078</v>
      </c>
      <c r="X5562" t="s">
        <v>27079</v>
      </c>
      <c r="Y5562" t="s">
        <v>97</v>
      </c>
      <c r="Z5562" t="s">
        <v>77</v>
      </c>
      <c r="AA5562" t="str">
        <f>"10025-1737"</f>
        <v>10025-1737</v>
      </c>
      <c r="AB5562" t="s">
        <v>78</v>
      </c>
      <c r="AC5562" t="s">
        <v>79</v>
      </c>
      <c r="AD5562" t="s">
        <v>75</v>
      </c>
      <c r="AE5562" t="s">
        <v>80</v>
      </c>
      <c r="AG5562" t="s">
        <v>81</v>
      </c>
    </row>
    <row r="5563" spans="1:33" x14ac:dyDescent="0.25">
      <c r="A5563" t="str">
        <f>"1558435875"</f>
        <v>1558435875</v>
      </c>
      <c r="B5563" t="str">
        <f>"03380921"</f>
        <v>03380921</v>
      </c>
      <c r="C5563" t="s">
        <v>13436</v>
      </c>
      <c r="D5563" t="s">
        <v>27080</v>
      </c>
      <c r="E5563" t="s">
        <v>27081</v>
      </c>
      <c r="G5563" t="s">
        <v>27082</v>
      </c>
      <c r="L5563" t="s">
        <v>74</v>
      </c>
      <c r="M5563" t="s">
        <v>85</v>
      </c>
      <c r="R5563" t="s">
        <v>27083</v>
      </c>
      <c r="W5563" t="s">
        <v>27081</v>
      </c>
      <c r="X5563" t="s">
        <v>251</v>
      </c>
      <c r="Y5563" t="s">
        <v>87</v>
      </c>
      <c r="Z5563" t="s">
        <v>77</v>
      </c>
      <c r="AA5563" t="str">
        <f>"11203-1809"</f>
        <v>11203-1809</v>
      </c>
      <c r="AB5563" t="s">
        <v>78</v>
      </c>
      <c r="AC5563" t="s">
        <v>79</v>
      </c>
      <c r="AD5563" t="s">
        <v>75</v>
      </c>
      <c r="AE5563" t="s">
        <v>80</v>
      </c>
      <c r="AG5563" t="s">
        <v>81</v>
      </c>
    </row>
    <row r="5564" spans="1:33" x14ac:dyDescent="0.25">
      <c r="A5564" t="str">
        <f>"1316380231"</f>
        <v>1316380231</v>
      </c>
      <c r="C5564" t="s">
        <v>13436</v>
      </c>
      <c r="K5564" t="s">
        <v>99</v>
      </c>
      <c r="L5564" t="s">
        <v>102</v>
      </c>
      <c r="M5564" t="s">
        <v>75</v>
      </c>
      <c r="R5564" t="s">
        <v>27084</v>
      </c>
      <c r="S5564" t="s">
        <v>27085</v>
      </c>
      <c r="T5564" t="s">
        <v>97</v>
      </c>
      <c r="U5564" t="s">
        <v>77</v>
      </c>
      <c r="V5564" t="str">
        <f>"100243411"</f>
        <v>100243411</v>
      </c>
      <c r="AC5564" t="s">
        <v>79</v>
      </c>
      <c r="AD5564" t="s">
        <v>75</v>
      </c>
      <c r="AE5564" t="s">
        <v>103</v>
      </c>
      <c r="AG5564" t="s">
        <v>81</v>
      </c>
    </row>
    <row r="5565" spans="1:33" x14ac:dyDescent="0.25">
      <c r="A5565" t="str">
        <f>"1568739134"</f>
        <v>1568739134</v>
      </c>
      <c r="C5565" t="s">
        <v>13436</v>
      </c>
      <c r="K5565" t="s">
        <v>99</v>
      </c>
      <c r="L5565" t="s">
        <v>102</v>
      </c>
      <c r="M5565" t="s">
        <v>75</v>
      </c>
      <c r="R5565" t="s">
        <v>27086</v>
      </c>
      <c r="S5565" t="s">
        <v>27087</v>
      </c>
      <c r="T5565" t="s">
        <v>27088</v>
      </c>
      <c r="U5565" t="s">
        <v>123</v>
      </c>
      <c r="V5565" t="str">
        <f>"021512600"</f>
        <v>021512600</v>
      </c>
      <c r="AC5565" t="s">
        <v>79</v>
      </c>
      <c r="AD5565" t="s">
        <v>75</v>
      </c>
      <c r="AE5565" t="s">
        <v>103</v>
      </c>
      <c r="AG5565" t="s">
        <v>81</v>
      </c>
    </row>
    <row r="5566" spans="1:33" x14ac:dyDescent="0.25">
      <c r="A5566" t="str">
        <f>"1134446503"</f>
        <v>1134446503</v>
      </c>
      <c r="B5566" t="str">
        <f>"04501864"</f>
        <v>04501864</v>
      </c>
      <c r="C5566" t="s">
        <v>13436</v>
      </c>
      <c r="D5566" t="s">
        <v>27089</v>
      </c>
      <c r="E5566" t="s">
        <v>27090</v>
      </c>
      <c r="L5566" t="s">
        <v>102</v>
      </c>
      <c r="M5566" t="s">
        <v>75</v>
      </c>
      <c r="R5566" t="s">
        <v>27090</v>
      </c>
      <c r="W5566" t="s">
        <v>27090</v>
      </c>
      <c r="AB5566" t="s">
        <v>78</v>
      </c>
      <c r="AC5566" t="s">
        <v>79</v>
      </c>
      <c r="AD5566" t="s">
        <v>75</v>
      </c>
      <c r="AE5566" t="s">
        <v>80</v>
      </c>
      <c r="AG5566" t="s">
        <v>81</v>
      </c>
    </row>
    <row r="5567" spans="1:33" x14ac:dyDescent="0.25">
      <c r="A5567" t="str">
        <f>"1497773402"</f>
        <v>1497773402</v>
      </c>
      <c r="B5567" t="str">
        <f>"01415347"</f>
        <v>01415347</v>
      </c>
      <c r="C5567" t="s">
        <v>13436</v>
      </c>
      <c r="D5567" t="s">
        <v>27091</v>
      </c>
      <c r="E5567" t="s">
        <v>27092</v>
      </c>
      <c r="G5567" t="s">
        <v>27093</v>
      </c>
      <c r="L5567" t="s">
        <v>102</v>
      </c>
      <c r="M5567" t="s">
        <v>85</v>
      </c>
      <c r="R5567" t="s">
        <v>27094</v>
      </c>
      <c r="W5567" t="s">
        <v>27095</v>
      </c>
      <c r="X5567" t="s">
        <v>27096</v>
      </c>
      <c r="Y5567" t="s">
        <v>97</v>
      </c>
      <c r="Z5567" t="s">
        <v>77</v>
      </c>
      <c r="AA5567" t="str">
        <f>"10028-3623"</f>
        <v>10028-3623</v>
      </c>
      <c r="AB5567" t="s">
        <v>78</v>
      </c>
      <c r="AC5567" t="s">
        <v>79</v>
      </c>
      <c r="AD5567" t="s">
        <v>75</v>
      </c>
      <c r="AE5567" t="s">
        <v>80</v>
      </c>
      <c r="AG5567" t="s">
        <v>81</v>
      </c>
    </row>
    <row r="5568" spans="1:33" x14ac:dyDescent="0.25">
      <c r="A5568" t="str">
        <f>"1053758292"</f>
        <v>1053758292</v>
      </c>
      <c r="C5568" t="s">
        <v>13436</v>
      </c>
      <c r="K5568" t="s">
        <v>99</v>
      </c>
      <c r="L5568" t="s">
        <v>102</v>
      </c>
      <c r="M5568" t="s">
        <v>75</v>
      </c>
      <c r="R5568" t="s">
        <v>27097</v>
      </c>
      <c r="S5568" t="s">
        <v>12605</v>
      </c>
      <c r="T5568" t="s">
        <v>97</v>
      </c>
      <c r="U5568" t="s">
        <v>77</v>
      </c>
      <c r="V5568" t="str">
        <f>"100251737"</f>
        <v>100251737</v>
      </c>
      <c r="AC5568" t="s">
        <v>79</v>
      </c>
      <c r="AD5568" t="s">
        <v>75</v>
      </c>
      <c r="AE5568" t="s">
        <v>103</v>
      </c>
      <c r="AG5568" t="s">
        <v>81</v>
      </c>
    </row>
    <row r="5569" spans="1:33" x14ac:dyDescent="0.25">
      <c r="A5569" t="str">
        <f>"1053758425"</f>
        <v>1053758425</v>
      </c>
      <c r="C5569" t="s">
        <v>13436</v>
      </c>
      <c r="K5569" t="s">
        <v>99</v>
      </c>
      <c r="L5569" t="s">
        <v>102</v>
      </c>
      <c r="M5569" t="s">
        <v>75</v>
      </c>
      <c r="R5569" t="s">
        <v>27098</v>
      </c>
      <c r="S5569" t="s">
        <v>27099</v>
      </c>
      <c r="T5569" t="s">
        <v>1859</v>
      </c>
      <c r="U5569" t="s">
        <v>77</v>
      </c>
      <c r="V5569" t="str">
        <f>"117771261"</f>
        <v>117771261</v>
      </c>
      <c r="AC5569" t="s">
        <v>79</v>
      </c>
      <c r="AD5569" t="s">
        <v>75</v>
      </c>
      <c r="AE5569" t="s">
        <v>103</v>
      </c>
      <c r="AG5569" t="s">
        <v>81</v>
      </c>
    </row>
    <row r="5570" spans="1:33" x14ac:dyDescent="0.25">
      <c r="A5570" t="str">
        <f>"1255758116"</f>
        <v>1255758116</v>
      </c>
      <c r="C5570" t="s">
        <v>13436</v>
      </c>
      <c r="K5570" t="s">
        <v>99</v>
      </c>
      <c r="L5570" t="s">
        <v>102</v>
      </c>
      <c r="M5570" t="s">
        <v>75</v>
      </c>
      <c r="R5570" t="s">
        <v>27100</v>
      </c>
      <c r="S5570" t="s">
        <v>27101</v>
      </c>
      <c r="T5570" t="s">
        <v>894</v>
      </c>
      <c r="U5570" t="s">
        <v>77</v>
      </c>
      <c r="V5570" t="str">
        <f>"10029"</f>
        <v>10029</v>
      </c>
      <c r="AC5570" t="s">
        <v>79</v>
      </c>
      <c r="AD5570" t="s">
        <v>75</v>
      </c>
      <c r="AE5570" t="s">
        <v>103</v>
      </c>
      <c r="AG5570" t="s">
        <v>81</v>
      </c>
    </row>
    <row r="5571" spans="1:33" x14ac:dyDescent="0.25">
      <c r="A5571" t="str">
        <f>"1255758546"</f>
        <v>1255758546</v>
      </c>
      <c r="C5571" t="s">
        <v>13436</v>
      </c>
      <c r="K5571" t="s">
        <v>99</v>
      </c>
      <c r="L5571" t="s">
        <v>102</v>
      </c>
      <c r="M5571" t="s">
        <v>75</v>
      </c>
      <c r="R5571" t="s">
        <v>27102</v>
      </c>
      <c r="S5571" t="s">
        <v>3553</v>
      </c>
      <c r="T5571" t="s">
        <v>97</v>
      </c>
      <c r="U5571" t="s">
        <v>77</v>
      </c>
      <c r="V5571" t="str">
        <f>"100033851"</f>
        <v>100033851</v>
      </c>
      <c r="AC5571" t="s">
        <v>79</v>
      </c>
      <c r="AD5571" t="s">
        <v>75</v>
      </c>
      <c r="AE5571" t="s">
        <v>103</v>
      </c>
      <c r="AG5571" t="s">
        <v>81</v>
      </c>
    </row>
    <row r="5572" spans="1:33" x14ac:dyDescent="0.25">
      <c r="A5572" t="str">
        <f>"1144596685"</f>
        <v>1144596685</v>
      </c>
      <c r="C5572" t="s">
        <v>13436</v>
      </c>
      <c r="K5572" t="s">
        <v>99</v>
      </c>
      <c r="L5572" t="s">
        <v>102</v>
      </c>
      <c r="M5572" t="s">
        <v>75</v>
      </c>
      <c r="R5572" t="s">
        <v>27103</v>
      </c>
      <c r="S5572" t="s">
        <v>27104</v>
      </c>
      <c r="T5572" t="s">
        <v>27105</v>
      </c>
      <c r="U5572" t="s">
        <v>2595</v>
      </c>
      <c r="V5572" t="str">
        <f>"914023904"</f>
        <v>914023904</v>
      </c>
      <c r="AC5572" t="s">
        <v>79</v>
      </c>
      <c r="AD5572" t="s">
        <v>75</v>
      </c>
      <c r="AE5572" t="s">
        <v>103</v>
      </c>
      <c r="AG5572" t="s">
        <v>81</v>
      </c>
    </row>
    <row r="5573" spans="1:33" x14ac:dyDescent="0.25">
      <c r="A5573" t="str">
        <f>"1437117983"</f>
        <v>1437117983</v>
      </c>
      <c r="B5573" t="str">
        <f>"01592850"</f>
        <v>01592850</v>
      </c>
      <c r="C5573" t="s">
        <v>13436</v>
      </c>
      <c r="D5573" t="s">
        <v>27106</v>
      </c>
      <c r="E5573" t="s">
        <v>27107</v>
      </c>
      <c r="L5573" t="s">
        <v>83</v>
      </c>
      <c r="M5573" t="s">
        <v>75</v>
      </c>
      <c r="R5573" t="s">
        <v>27108</v>
      </c>
      <c r="W5573" t="s">
        <v>27107</v>
      </c>
      <c r="X5573" t="s">
        <v>4891</v>
      </c>
      <c r="Y5573" t="s">
        <v>97</v>
      </c>
      <c r="Z5573" t="s">
        <v>77</v>
      </c>
      <c r="AA5573" t="str">
        <f>"10029-6500"</f>
        <v>10029-6500</v>
      </c>
      <c r="AB5573" t="s">
        <v>78</v>
      </c>
      <c r="AC5573" t="s">
        <v>79</v>
      </c>
      <c r="AD5573" t="s">
        <v>75</v>
      </c>
      <c r="AE5573" t="s">
        <v>80</v>
      </c>
      <c r="AG5573" t="s">
        <v>81</v>
      </c>
    </row>
    <row r="5574" spans="1:33" x14ac:dyDescent="0.25">
      <c r="A5574" t="str">
        <f>"1669730941"</f>
        <v>1669730941</v>
      </c>
      <c r="C5574" t="s">
        <v>13436</v>
      </c>
      <c r="K5574" t="s">
        <v>99</v>
      </c>
      <c r="L5574" t="s">
        <v>102</v>
      </c>
      <c r="M5574" t="s">
        <v>75</v>
      </c>
      <c r="R5574" t="s">
        <v>27109</v>
      </c>
      <c r="S5574" t="s">
        <v>27110</v>
      </c>
      <c r="T5574" t="s">
        <v>11614</v>
      </c>
      <c r="U5574" t="s">
        <v>11615</v>
      </c>
      <c r="V5574" t="str">
        <f>"200103017"</f>
        <v>200103017</v>
      </c>
      <c r="AC5574" t="s">
        <v>79</v>
      </c>
      <c r="AD5574" t="s">
        <v>75</v>
      </c>
      <c r="AE5574" t="s">
        <v>103</v>
      </c>
      <c r="AG5574" t="s">
        <v>81</v>
      </c>
    </row>
    <row r="5575" spans="1:33" x14ac:dyDescent="0.25">
      <c r="A5575" t="str">
        <f>"1669738571"</f>
        <v>1669738571</v>
      </c>
      <c r="B5575" t="str">
        <f>"04438524"</f>
        <v>04438524</v>
      </c>
      <c r="C5575" t="s">
        <v>13436</v>
      </c>
      <c r="D5575" t="s">
        <v>27111</v>
      </c>
      <c r="E5575" t="s">
        <v>27112</v>
      </c>
      <c r="L5575" t="s">
        <v>102</v>
      </c>
      <c r="M5575" t="s">
        <v>75</v>
      </c>
      <c r="R5575" t="s">
        <v>27113</v>
      </c>
      <c r="W5575" t="s">
        <v>27112</v>
      </c>
      <c r="AB5575" t="s">
        <v>78</v>
      </c>
      <c r="AC5575" t="s">
        <v>79</v>
      </c>
      <c r="AD5575" t="s">
        <v>75</v>
      </c>
      <c r="AE5575" t="s">
        <v>80</v>
      </c>
      <c r="AG5575" t="s">
        <v>81</v>
      </c>
    </row>
    <row r="5576" spans="1:33" x14ac:dyDescent="0.25">
      <c r="A5576" t="str">
        <f>"1669747051"</f>
        <v>1669747051</v>
      </c>
      <c r="C5576" t="s">
        <v>13436</v>
      </c>
      <c r="K5576" t="s">
        <v>99</v>
      </c>
      <c r="L5576" t="s">
        <v>102</v>
      </c>
      <c r="M5576" t="s">
        <v>75</v>
      </c>
      <c r="R5576" t="s">
        <v>27114</v>
      </c>
      <c r="S5576" t="s">
        <v>12670</v>
      </c>
      <c r="T5576" t="s">
        <v>97</v>
      </c>
      <c r="U5576" t="s">
        <v>77</v>
      </c>
      <c r="V5576" t="str">
        <f>"100033821"</f>
        <v>100033821</v>
      </c>
      <c r="AC5576" t="s">
        <v>79</v>
      </c>
      <c r="AD5576" t="s">
        <v>75</v>
      </c>
      <c r="AE5576" t="s">
        <v>103</v>
      </c>
      <c r="AG5576" t="s">
        <v>81</v>
      </c>
    </row>
    <row r="5577" spans="1:33" x14ac:dyDescent="0.25">
      <c r="A5577" t="str">
        <f>"1669748067"</f>
        <v>1669748067</v>
      </c>
      <c r="C5577" t="s">
        <v>13436</v>
      </c>
      <c r="K5577" t="s">
        <v>99</v>
      </c>
      <c r="L5577" t="s">
        <v>102</v>
      </c>
      <c r="M5577" t="s">
        <v>75</v>
      </c>
      <c r="R5577" t="s">
        <v>27115</v>
      </c>
      <c r="S5577" t="s">
        <v>191</v>
      </c>
      <c r="T5577" t="s">
        <v>97</v>
      </c>
      <c r="U5577" t="s">
        <v>77</v>
      </c>
      <c r="V5577" t="str">
        <f>"100191147"</f>
        <v>100191147</v>
      </c>
      <c r="AC5577" t="s">
        <v>79</v>
      </c>
      <c r="AD5577" t="s">
        <v>75</v>
      </c>
      <c r="AE5577" t="s">
        <v>103</v>
      </c>
      <c r="AG5577" t="s">
        <v>81</v>
      </c>
    </row>
    <row r="5578" spans="1:33" x14ac:dyDescent="0.25">
      <c r="B5578" t="str">
        <f>"01491189"</f>
        <v>01491189</v>
      </c>
      <c r="C5578" t="s">
        <v>4434</v>
      </c>
      <c r="D5578" t="s">
        <v>27116</v>
      </c>
      <c r="E5578" t="s">
        <v>27117</v>
      </c>
      <c r="G5578" t="s">
        <v>27118</v>
      </c>
      <c r="H5578" t="s">
        <v>27119</v>
      </c>
      <c r="J5578" t="s">
        <v>27120</v>
      </c>
      <c r="L5578" t="s">
        <v>37</v>
      </c>
      <c r="M5578" t="s">
        <v>75</v>
      </c>
      <c r="W5578" t="s">
        <v>27117</v>
      </c>
      <c r="X5578" t="s">
        <v>27121</v>
      </c>
      <c r="Y5578" t="s">
        <v>198</v>
      </c>
      <c r="Z5578" t="s">
        <v>77</v>
      </c>
      <c r="AA5578" t="str">
        <f>"11542-3745"</f>
        <v>11542-3745</v>
      </c>
      <c r="AB5578" t="s">
        <v>98</v>
      </c>
      <c r="AC5578" t="s">
        <v>79</v>
      </c>
      <c r="AD5578" t="s">
        <v>75</v>
      </c>
      <c r="AE5578" t="s">
        <v>80</v>
      </c>
      <c r="AG5578" t="s">
        <v>81</v>
      </c>
    </row>
    <row r="5579" spans="1:33" x14ac:dyDescent="0.25">
      <c r="A5579" t="str">
        <f>"1033491303"</f>
        <v>1033491303</v>
      </c>
      <c r="B5579" t="str">
        <f>"02337566"</f>
        <v>02337566</v>
      </c>
      <c r="C5579" t="s">
        <v>13436</v>
      </c>
      <c r="D5579" t="s">
        <v>27122</v>
      </c>
      <c r="E5579" t="s">
        <v>27123</v>
      </c>
      <c r="L5579" t="s">
        <v>102</v>
      </c>
      <c r="M5579" t="s">
        <v>75</v>
      </c>
      <c r="R5579" t="s">
        <v>27124</v>
      </c>
      <c r="W5579" t="s">
        <v>27123</v>
      </c>
      <c r="X5579" t="s">
        <v>27125</v>
      </c>
      <c r="Y5579" t="s">
        <v>97</v>
      </c>
      <c r="Z5579" t="s">
        <v>77</v>
      </c>
      <c r="AA5579" t="str">
        <f>"10003"</f>
        <v>10003</v>
      </c>
      <c r="AB5579" t="s">
        <v>78</v>
      </c>
      <c r="AC5579" t="s">
        <v>79</v>
      </c>
      <c r="AD5579" t="s">
        <v>75</v>
      </c>
      <c r="AE5579" t="s">
        <v>80</v>
      </c>
      <c r="AG5579" t="s">
        <v>81</v>
      </c>
    </row>
    <row r="5580" spans="1:33" x14ac:dyDescent="0.25">
      <c r="A5580" t="str">
        <f>"1033498100"</f>
        <v>1033498100</v>
      </c>
      <c r="B5580" t="str">
        <f>"03738910"</f>
        <v>03738910</v>
      </c>
      <c r="C5580" t="s">
        <v>13436</v>
      </c>
      <c r="D5580" t="s">
        <v>27126</v>
      </c>
      <c r="E5580" t="s">
        <v>27127</v>
      </c>
      <c r="G5580" t="s">
        <v>27128</v>
      </c>
      <c r="L5580" t="s">
        <v>74</v>
      </c>
      <c r="M5580" t="s">
        <v>75</v>
      </c>
      <c r="R5580" t="s">
        <v>27129</v>
      </c>
      <c r="W5580" t="s">
        <v>27127</v>
      </c>
      <c r="X5580" t="s">
        <v>27130</v>
      </c>
      <c r="Y5580" t="s">
        <v>97</v>
      </c>
      <c r="Z5580" t="s">
        <v>77</v>
      </c>
      <c r="AA5580" t="str">
        <f>"10029-6504"</f>
        <v>10029-6504</v>
      </c>
      <c r="AB5580" t="s">
        <v>78</v>
      </c>
      <c r="AC5580" t="s">
        <v>79</v>
      </c>
      <c r="AD5580" t="s">
        <v>75</v>
      </c>
      <c r="AE5580" t="s">
        <v>80</v>
      </c>
      <c r="AG5580" t="s">
        <v>81</v>
      </c>
    </row>
    <row r="5581" spans="1:33" x14ac:dyDescent="0.25">
      <c r="A5581" t="str">
        <f>"1033537634"</f>
        <v>1033537634</v>
      </c>
      <c r="C5581" t="s">
        <v>13436</v>
      </c>
      <c r="K5581" t="s">
        <v>99</v>
      </c>
      <c r="L5581" t="s">
        <v>102</v>
      </c>
      <c r="M5581" t="s">
        <v>75</v>
      </c>
      <c r="R5581" t="s">
        <v>27131</v>
      </c>
      <c r="S5581" t="s">
        <v>27132</v>
      </c>
      <c r="T5581" t="s">
        <v>97</v>
      </c>
      <c r="U5581" t="s">
        <v>77</v>
      </c>
      <c r="V5581" t="str">
        <f>"100296574"</f>
        <v>100296574</v>
      </c>
      <c r="AC5581" t="s">
        <v>79</v>
      </c>
      <c r="AD5581" t="s">
        <v>75</v>
      </c>
      <c r="AE5581" t="s">
        <v>103</v>
      </c>
      <c r="AG5581" t="s">
        <v>81</v>
      </c>
    </row>
    <row r="5582" spans="1:33" x14ac:dyDescent="0.25">
      <c r="A5582" t="str">
        <f>"1033538038"</f>
        <v>1033538038</v>
      </c>
      <c r="C5582" t="s">
        <v>13436</v>
      </c>
      <c r="K5582" t="s">
        <v>99</v>
      </c>
      <c r="L5582" t="s">
        <v>102</v>
      </c>
      <c r="M5582" t="s">
        <v>75</v>
      </c>
      <c r="R5582" t="s">
        <v>27133</v>
      </c>
      <c r="S5582" t="s">
        <v>191</v>
      </c>
      <c r="T5582" t="s">
        <v>97</v>
      </c>
      <c r="U5582" t="s">
        <v>77</v>
      </c>
      <c r="V5582" t="str">
        <f>"100191147"</f>
        <v>100191147</v>
      </c>
      <c r="AC5582" t="s">
        <v>79</v>
      </c>
      <c r="AD5582" t="s">
        <v>75</v>
      </c>
      <c r="AE5582" t="s">
        <v>103</v>
      </c>
      <c r="AG5582" t="s">
        <v>81</v>
      </c>
    </row>
    <row r="5583" spans="1:33" x14ac:dyDescent="0.25">
      <c r="A5583" t="str">
        <f>"1033539077"</f>
        <v>1033539077</v>
      </c>
      <c r="C5583" t="s">
        <v>13436</v>
      </c>
      <c r="K5583" t="s">
        <v>99</v>
      </c>
      <c r="L5583" t="s">
        <v>102</v>
      </c>
      <c r="M5583" t="s">
        <v>75</v>
      </c>
      <c r="R5583" t="s">
        <v>27134</v>
      </c>
      <c r="S5583" t="s">
        <v>181</v>
      </c>
      <c r="T5583" t="s">
        <v>97</v>
      </c>
      <c r="U5583" t="s">
        <v>77</v>
      </c>
      <c r="V5583" t="str">
        <f>"100251716"</f>
        <v>100251716</v>
      </c>
      <c r="AC5583" t="s">
        <v>79</v>
      </c>
      <c r="AD5583" t="s">
        <v>75</v>
      </c>
      <c r="AE5583" t="s">
        <v>103</v>
      </c>
      <c r="AG5583" t="s">
        <v>81</v>
      </c>
    </row>
    <row r="5584" spans="1:33" x14ac:dyDescent="0.25">
      <c r="A5584" t="str">
        <f>"1033552930"</f>
        <v>1033552930</v>
      </c>
      <c r="C5584" t="s">
        <v>13436</v>
      </c>
      <c r="K5584" t="s">
        <v>99</v>
      </c>
      <c r="L5584" t="s">
        <v>102</v>
      </c>
      <c r="M5584" t="s">
        <v>75</v>
      </c>
      <c r="R5584" t="s">
        <v>27135</v>
      </c>
      <c r="S5584" t="s">
        <v>27136</v>
      </c>
      <c r="T5584" t="s">
        <v>97</v>
      </c>
      <c r="U5584" t="s">
        <v>77</v>
      </c>
      <c r="V5584" t="str">
        <f>"100296552"</f>
        <v>100296552</v>
      </c>
      <c r="AC5584" t="s">
        <v>79</v>
      </c>
      <c r="AD5584" t="s">
        <v>75</v>
      </c>
      <c r="AE5584" t="s">
        <v>103</v>
      </c>
      <c r="AG5584" t="s">
        <v>81</v>
      </c>
    </row>
    <row r="5585" spans="1:33" x14ac:dyDescent="0.25">
      <c r="A5585" t="str">
        <f>"1033554381"</f>
        <v>1033554381</v>
      </c>
      <c r="C5585" t="s">
        <v>13436</v>
      </c>
      <c r="K5585" t="s">
        <v>99</v>
      </c>
      <c r="L5585" t="s">
        <v>102</v>
      </c>
      <c r="M5585" t="s">
        <v>75</v>
      </c>
      <c r="R5585" t="s">
        <v>27137</v>
      </c>
      <c r="S5585" t="s">
        <v>27138</v>
      </c>
      <c r="T5585" t="s">
        <v>27139</v>
      </c>
      <c r="U5585" t="s">
        <v>2595</v>
      </c>
      <c r="V5585" t="str">
        <f>"943052200"</f>
        <v>943052200</v>
      </c>
      <c r="AC5585" t="s">
        <v>79</v>
      </c>
      <c r="AD5585" t="s">
        <v>75</v>
      </c>
      <c r="AE5585" t="s">
        <v>103</v>
      </c>
      <c r="AG5585" t="s">
        <v>81</v>
      </c>
    </row>
    <row r="5586" spans="1:33" x14ac:dyDescent="0.25">
      <c r="A5586" t="str">
        <f>"1033554431"</f>
        <v>1033554431</v>
      </c>
      <c r="C5586" t="s">
        <v>13436</v>
      </c>
      <c r="K5586" t="s">
        <v>99</v>
      </c>
      <c r="L5586" t="s">
        <v>102</v>
      </c>
      <c r="M5586" t="s">
        <v>75</v>
      </c>
      <c r="R5586" t="s">
        <v>27140</v>
      </c>
      <c r="S5586" t="s">
        <v>27141</v>
      </c>
      <c r="T5586" t="s">
        <v>97</v>
      </c>
      <c r="U5586" t="s">
        <v>77</v>
      </c>
      <c r="V5586" t="str">
        <f>"100191047"</f>
        <v>100191047</v>
      </c>
      <c r="AC5586" t="s">
        <v>79</v>
      </c>
      <c r="AD5586" t="s">
        <v>75</v>
      </c>
      <c r="AE5586" t="s">
        <v>103</v>
      </c>
      <c r="AG5586" t="s">
        <v>81</v>
      </c>
    </row>
    <row r="5587" spans="1:33" x14ac:dyDescent="0.25">
      <c r="A5587" t="str">
        <f>"1043210297"</f>
        <v>1043210297</v>
      </c>
      <c r="B5587" t="str">
        <f>"01103346"</f>
        <v>01103346</v>
      </c>
      <c r="C5587" t="s">
        <v>13436</v>
      </c>
      <c r="D5587" t="s">
        <v>27142</v>
      </c>
      <c r="E5587" t="s">
        <v>27143</v>
      </c>
      <c r="G5587" t="s">
        <v>27144</v>
      </c>
      <c r="L5587" t="s">
        <v>83</v>
      </c>
      <c r="M5587" t="s">
        <v>85</v>
      </c>
      <c r="R5587" t="s">
        <v>27145</v>
      </c>
      <c r="W5587" t="s">
        <v>27146</v>
      </c>
      <c r="X5587" t="s">
        <v>27147</v>
      </c>
      <c r="Y5587" t="s">
        <v>146</v>
      </c>
      <c r="Z5587" t="s">
        <v>77</v>
      </c>
      <c r="AA5587" t="str">
        <f>"10595"</f>
        <v>10595</v>
      </c>
      <c r="AB5587" t="s">
        <v>78</v>
      </c>
      <c r="AC5587" t="s">
        <v>79</v>
      </c>
      <c r="AD5587" t="s">
        <v>75</v>
      </c>
      <c r="AE5587" t="s">
        <v>80</v>
      </c>
      <c r="AG5587" t="s">
        <v>81</v>
      </c>
    </row>
    <row r="5588" spans="1:33" x14ac:dyDescent="0.25">
      <c r="A5588" t="str">
        <f>"1043219777"</f>
        <v>1043219777</v>
      </c>
      <c r="B5588" t="str">
        <f>"02237429"</f>
        <v>02237429</v>
      </c>
      <c r="C5588" t="s">
        <v>13436</v>
      </c>
      <c r="D5588" t="s">
        <v>27148</v>
      </c>
      <c r="E5588" t="s">
        <v>27149</v>
      </c>
      <c r="L5588" t="s">
        <v>83</v>
      </c>
      <c r="M5588" t="s">
        <v>85</v>
      </c>
      <c r="R5588" t="s">
        <v>27150</v>
      </c>
      <c r="W5588" t="s">
        <v>27149</v>
      </c>
      <c r="X5588" t="s">
        <v>27151</v>
      </c>
      <c r="Y5588" t="s">
        <v>97</v>
      </c>
      <c r="Z5588" t="s">
        <v>77</v>
      </c>
      <c r="AA5588" t="str">
        <f>"10128"</f>
        <v>10128</v>
      </c>
      <c r="AB5588" t="s">
        <v>78</v>
      </c>
      <c r="AC5588" t="s">
        <v>79</v>
      </c>
      <c r="AD5588" t="s">
        <v>75</v>
      </c>
      <c r="AE5588" t="s">
        <v>80</v>
      </c>
      <c r="AG5588" t="s">
        <v>81</v>
      </c>
    </row>
    <row r="5589" spans="1:33" x14ac:dyDescent="0.25">
      <c r="A5589" t="str">
        <f>"1043220254"</f>
        <v>1043220254</v>
      </c>
      <c r="B5589" t="str">
        <f>"02720529"</f>
        <v>02720529</v>
      </c>
      <c r="C5589" t="s">
        <v>13436</v>
      </c>
      <c r="D5589" t="s">
        <v>27152</v>
      </c>
      <c r="E5589" t="s">
        <v>27153</v>
      </c>
      <c r="G5589" t="s">
        <v>27154</v>
      </c>
      <c r="L5589" t="s">
        <v>84</v>
      </c>
      <c r="M5589" t="s">
        <v>75</v>
      </c>
      <c r="R5589" t="s">
        <v>27155</v>
      </c>
      <c r="W5589" t="s">
        <v>27156</v>
      </c>
      <c r="X5589" t="s">
        <v>5652</v>
      </c>
      <c r="Y5589" t="s">
        <v>281</v>
      </c>
      <c r="Z5589" t="s">
        <v>77</v>
      </c>
      <c r="AA5589" t="str">
        <f>"11365-2242"</f>
        <v>11365-2242</v>
      </c>
      <c r="AB5589" t="s">
        <v>78</v>
      </c>
      <c r="AC5589" t="s">
        <v>79</v>
      </c>
      <c r="AD5589" t="s">
        <v>75</v>
      </c>
      <c r="AE5589" t="s">
        <v>80</v>
      </c>
      <c r="AG5589" t="s">
        <v>81</v>
      </c>
    </row>
    <row r="5590" spans="1:33" x14ac:dyDescent="0.25">
      <c r="A5590" t="str">
        <f>"1043220460"</f>
        <v>1043220460</v>
      </c>
      <c r="B5590" t="str">
        <f>"01237801"</f>
        <v>01237801</v>
      </c>
      <c r="C5590" t="s">
        <v>13436</v>
      </c>
      <c r="D5590" t="s">
        <v>27157</v>
      </c>
      <c r="E5590" t="s">
        <v>27158</v>
      </c>
      <c r="G5590" t="s">
        <v>27159</v>
      </c>
      <c r="L5590" t="s">
        <v>83</v>
      </c>
      <c r="M5590" t="s">
        <v>85</v>
      </c>
      <c r="R5590" t="s">
        <v>27160</v>
      </c>
      <c r="W5590" t="s">
        <v>27158</v>
      </c>
      <c r="X5590" t="s">
        <v>27161</v>
      </c>
      <c r="Y5590" t="s">
        <v>2128</v>
      </c>
      <c r="Z5590" t="s">
        <v>77</v>
      </c>
      <c r="AA5590" t="str">
        <f>"11743-2779"</f>
        <v>11743-2779</v>
      </c>
      <c r="AB5590" t="s">
        <v>78</v>
      </c>
      <c r="AC5590" t="s">
        <v>79</v>
      </c>
      <c r="AD5590" t="s">
        <v>75</v>
      </c>
      <c r="AE5590" t="s">
        <v>80</v>
      </c>
      <c r="AG5590" t="s">
        <v>81</v>
      </c>
    </row>
    <row r="5591" spans="1:33" x14ac:dyDescent="0.25">
      <c r="A5591" t="str">
        <f>"1154337087"</f>
        <v>1154337087</v>
      </c>
      <c r="B5591" t="str">
        <f>"02349544"</f>
        <v>02349544</v>
      </c>
      <c r="C5591" t="s">
        <v>13436</v>
      </c>
      <c r="D5591" t="s">
        <v>27162</v>
      </c>
      <c r="E5591" t="s">
        <v>27163</v>
      </c>
      <c r="G5591" t="s">
        <v>27164</v>
      </c>
      <c r="L5591" t="s">
        <v>83</v>
      </c>
      <c r="M5591" t="s">
        <v>85</v>
      </c>
      <c r="R5591" t="s">
        <v>27165</v>
      </c>
      <c r="W5591" t="s">
        <v>27166</v>
      </c>
      <c r="X5591" t="s">
        <v>4386</v>
      </c>
      <c r="Y5591" t="s">
        <v>2128</v>
      </c>
      <c r="Z5591" t="s">
        <v>77</v>
      </c>
      <c r="AA5591" t="str">
        <f>"11743-2924"</f>
        <v>11743-2924</v>
      </c>
      <c r="AB5591" t="s">
        <v>78</v>
      </c>
      <c r="AC5591" t="s">
        <v>79</v>
      </c>
      <c r="AD5591" t="s">
        <v>75</v>
      </c>
      <c r="AE5591" t="s">
        <v>80</v>
      </c>
      <c r="AG5591" t="s">
        <v>81</v>
      </c>
    </row>
    <row r="5592" spans="1:33" x14ac:dyDescent="0.25">
      <c r="A5592" t="str">
        <f>"1356474662"</f>
        <v>1356474662</v>
      </c>
      <c r="B5592" t="str">
        <f>"01621094"</f>
        <v>01621094</v>
      </c>
      <c r="C5592" t="s">
        <v>13436</v>
      </c>
      <c r="D5592" t="s">
        <v>27167</v>
      </c>
      <c r="E5592" t="s">
        <v>27168</v>
      </c>
      <c r="G5592" t="s">
        <v>27169</v>
      </c>
      <c r="L5592" t="s">
        <v>94</v>
      </c>
      <c r="M5592" t="s">
        <v>85</v>
      </c>
      <c r="R5592" t="s">
        <v>27170</v>
      </c>
      <c r="W5592" t="s">
        <v>27168</v>
      </c>
      <c r="X5592" t="s">
        <v>604</v>
      </c>
      <c r="Y5592" t="s">
        <v>97</v>
      </c>
      <c r="Z5592" t="s">
        <v>77</v>
      </c>
      <c r="AA5592" t="str">
        <f>"10029-7491"</f>
        <v>10029-7491</v>
      </c>
      <c r="AB5592" t="s">
        <v>78</v>
      </c>
      <c r="AC5592" t="s">
        <v>79</v>
      </c>
      <c r="AD5592" t="s">
        <v>75</v>
      </c>
      <c r="AE5592" t="s">
        <v>80</v>
      </c>
      <c r="AG5592" t="s">
        <v>81</v>
      </c>
    </row>
    <row r="5593" spans="1:33" x14ac:dyDescent="0.25">
      <c r="A5593" t="str">
        <f>"1356482715"</f>
        <v>1356482715</v>
      </c>
      <c r="B5593" t="str">
        <f>"03223356"</f>
        <v>03223356</v>
      </c>
      <c r="C5593" t="s">
        <v>13436</v>
      </c>
      <c r="D5593" t="s">
        <v>27171</v>
      </c>
      <c r="E5593" t="s">
        <v>27172</v>
      </c>
      <c r="G5593" t="s">
        <v>27173</v>
      </c>
      <c r="L5593" t="s">
        <v>74</v>
      </c>
      <c r="M5593" t="s">
        <v>75</v>
      </c>
      <c r="R5593" t="s">
        <v>27174</v>
      </c>
      <c r="W5593" t="s">
        <v>27172</v>
      </c>
      <c r="X5593" t="s">
        <v>2177</v>
      </c>
      <c r="Y5593" t="s">
        <v>97</v>
      </c>
      <c r="Z5593" t="s">
        <v>77</v>
      </c>
      <c r="AA5593" t="str">
        <f>"10119-0206"</f>
        <v>10119-0206</v>
      </c>
      <c r="AB5593" t="s">
        <v>78</v>
      </c>
      <c r="AC5593" t="s">
        <v>79</v>
      </c>
      <c r="AD5593" t="s">
        <v>75</v>
      </c>
      <c r="AE5593" t="s">
        <v>80</v>
      </c>
      <c r="AG5593" t="s">
        <v>81</v>
      </c>
    </row>
    <row r="5594" spans="1:33" x14ac:dyDescent="0.25">
      <c r="A5594" t="str">
        <f>"1407288996"</f>
        <v>1407288996</v>
      </c>
      <c r="C5594" t="s">
        <v>13436</v>
      </c>
      <c r="G5594" t="s">
        <v>27175</v>
      </c>
      <c r="K5594" t="s">
        <v>99</v>
      </c>
      <c r="L5594" t="s">
        <v>102</v>
      </c>
      <c r="M5594" t="s">
        <v>75</v>
      </c>
      <c r="R5594" t="s">
        <v>27176</v>
      </c>
      <c r="S5594" t="s">
        <v>12769</v>
      </c>
      <c r="T5594" t="s">
        <v>4861</v>
      </c>
      <c r="U5594" t="s">
        <v>156</v>
      </c>
      <c r="V5594" t="str">
        <f>"076311808"</f>
        <v>076311808</v>
      </c>
      <c r="AC5594" t="s">
        <v>79</v>
      </c>
      <c r="AD5594" t="s">
        <v>75</v>
      </c>
      <c r="AE5594" t="s">
        <v>103</v>
      </c>
      <c r="AG5594" t="s">
        <v>81</v>
      </c>
    </row>
    <row r="5595" spans="1:33" x14ac:dyDescent="0.25">
      <c r="A5595" t="str">
        <f>"1609865195"</f>
        <v>1609865195</v>
      </c>
      <c r="B5595" t="str">
        <f>"04180654"</f>
        <v>04180654</v>
      </c>
      <c r="C5595" t="s">
        <v>13436</v>
      </c>
      <c r="D5595" t="s">
        <v>27177</v>
      </c>
      <c r="E5595" t="s">
        <v>27178</v>
      </c>
      <c r="L5595" t="s">
        <v>74</v>
      </c>
      <c r="M5595" t="s">
        <v>75</v>
      </c>
      <c r="R5595" t="s">
        <v>27178</v>
      </c>
      <c r="W5595" t="s">
        <v>27178</v>
      </c>
      <c r="X5595" t="s">
        <v>14826</v>
      </c>
      <c r="Y5595" t="s">
        <v>97</v>
      </c>
      <c r="Z5595" t="s">
        <v>77</v>
      </c>
      <c r="AA5595" t="str">
        <f>"10003-5851"</f>
        <v>10003-5851</v>
      </c>
      <c r="AB5595" t="s">
        <v>78</v>
      </c>
      <c r="AC5595" t="s">
        <v>79</v>
      </c>
      <c r="AD5595" t="s">
        <v>75</v>
      </c>
      <c r="AE5595" t="s">
        <v>80</v>
      </c>
      <c r="AG5595" t="s">
        <v>81</v>
      </c>
    </row>
    <row r="5596" spans="1:33" x14ac:dyDescent="0.25">
      <c r="A5596" t="str">
        <f>"1346561826"</f>
        <v>1346561826</v>
      </c>
      <c r="C5596" t="s">
        <v>13436</v>
      </c>
      <c r="K5596" t="s">
        <v>99</v>
      </c>
      <c r="L5596" t="s">
        <v>102</v>
      </c>
      <c r="M5596" t="s">
        <v>75</v>
      </c>
      <c r="R5596" t="s">
        <v>27179</v>
      </c>
      <c r="S5596" t="s">
        <v>27180</v>
      </c>
      <c r="T5596" t="s">
        <v>97</v>
      </c>
      <c r="U5596" t="s">
        <v>77</v>
      </c>
      <c r="V5596" t="str">
        <f>"100654870"</f>
        <v>100654870</v>
      </c>
      <c r="AC5596" t="s">
        <v>79</v>
      </c>
      <c r="AD5596" t="s">
        <v>75</v>
      </c>
      <c r="AE5596" t="s">
        <v>103</v>
      </c>
      <c r="AG5596" t="s">
        <v>81</v>
      </c>
    </row>
    <row r="5597" spans="1:33" x14ac:dyDescent="0.25">
      <c r="A5597" t="str">
        <f>"1346568029"</f>
        <v>1346568029</v>
      </c>
      <c r="B5597" t="str">
        <f>"03713444"</f>
        <v>03713444</v>
      </c>
      <c r="C5597" t="s">
        <v>13436</v>
      </c>
      <c r="D5597" t="s">
        <v>27181</v>
      </c>
      <c r="E5597" t="s">
        <v>27182</v>
      </c>
      <c r="G5597" t="s">
        <v>27183</v>
      </c>
      <c r="L5597" t="s">
        <v>74</v>
      </c>
      <c r="M5597" t="s">
        <v>85</v>
      </c>
      <c r="R5597" t="s">
        <v>27184</v>
      </c>
      <c r="W5597" t="s">
        <v>27182</v>
      </c>
      <c r="X5597" t="s">
        <v>329</v>
      </c>
      <c r="Y5597" t="s">
        <v>97</v>
      </c>
      <c r="Z5597" t="s">
        <v>77</v>
      </c>
      <c r="AA5597" t="str">
        <f>"10029-6504"</f>
        <v>10029-6504</v>
      </c>
      <c r="AB5597" t="s">
        <v>78</v>
      </c>
      <c r="AC5597" t="s">
        <v>79</v>
      </c>
      <c r="AD5597" t="s">
        <v>75</v>
      </c>
      <c r="AE5597" t="s">
        <v>80</v>
      </c>
      <c r="AG5597" t="s">
        <v>81</v>
      </c>
    </row>
    <row r="5598" spans="1:33" x14ac:dyDescent="0.25">
      <c r="A5598" t="str">
        <f>"1346568128"</f>
        <v>1346568128</v>
      </c>
      <c r="B5598" t="str">
        <f>"04379291"</f>
        <v>04379291</v>
      </c>
      <c r="C5598" t="s">
        <v>13436</v>
      </c>
      <c r="D5598" t="s">
        <v>27185</v>
      </c>
      <c r="E5598" t="s">
        <v>27186</v>
      </c>
      <c r="L5598" t="s">
        <v>74</v>
      </c>
      <c r="M5598" t="s">
        <v>75</v>
      </c>
      <c r="R5598" t="s">
        <v>27187</v>
      </c>
      <c r="W5598" t="s">
        <v>27186</v>
      </c>
      <c r="X5598" t="s">
        <v>27188</v>
      </c>
      <c r="Y5598" t="s">
        <v>182</v>
      </c>
      <c r="Z5598" t="s">
        <v>77</v>
      </c>
      <c r="AA5598" t="str">
        <f>"11501-3893"</f>
        <v>11501-3893</v>
      </c>
      <c r="AB5598" t="s">
        <v>78</v>
      </c>
      <c r="AC5598" t="s">
        <v>79</v>
      </c>
      <c r="AD5598" t="s">
        <v>75</v>
      </c>
      <c r="AE5598" t="s">
        <v>80</v>
      </c>
      <c r="AG5598" t="s">
        <v>81</v>
      </c>
    </row>
    <row r="5599" spans="1:33" x14ac:dyDescent="0.25">
      <c r="A5599" t="str">
        <f>"1235112673"</f>
        <v>1235112673</v>
      </c>
      <c r="B5599" t="str">
        <f>"01274111"</f>
        <v>01274111</v>
      </c>
      <c r="C5599" t="s">
        <v>13436</v>
      </c>
      <c r="D5599" t="s">
        <v>27189</v>
      </c>
      <c r="E5599" t="s">
        <v>27190</v>
      </c>
      <c r="G5599" t="s">
        <v>27191</v>
      </c>
      <c r="L5599" t="s">
        <v>83</v>
      </c>
      <c r="M5599" t="s">
        <v>85</v>
      </c>
      <c r="R5599" t="s">
        <v>27192</v>
      </c>
      <c r="W5599" t="s">
        <v>27193</v>
      </c>
      <c r="X5599" t="s">
        <v>329</v>
      </c>
      <c r="Y5599" t="s">
        <v>97</v>
      </c>
      <c r="Z5599" t="s">
        <v>77</v>
      </c>
      <c r="AA5599" t="str">
        <f>"10029-6500"</f>
        <v>10029-6500</v>
      </c>
      <c r="AB5599" t="s">
        <v>78</v>
      </c>
      <c r="AC5599" t="s">
        <v>79</v>
      </c>
      <c r="AD5599" t="s">
        <v>75</v>
      </c>
      <c r="AE5599" t="s">
        <v>80</v>
      </c>
      <c r="AG5599" t="s">
        <v>81</v>
      </c>
    </row>
    <row r="5600" spans="1:33" x14ac:dyDescent="0.25">
      <c r="A5600" t="str">
        <f>"1841450111"</f>
        <v>1841450111</v>
      </c>
      <c r="B5600" t="str">
        <f>"03219770"</f>
        <v>03219770</v>
      </c>
      <c r="C5600" t="s">
        <v>13436</v>
      </c>
      <c r="D5600" t="s">
        <v>27194</v>
      </c>
      <c r="E5600" t="s">
        <v>27195</v>
      </c>
      <c r="G5600" t="s">
        <v>27196</v>
      </c>
      <c r="L5600" t="s">
        <v>83</v>
      </c>
      <c r="M5600" t="s">
        <v>85</v>
      </c>
      <c r="R5600" t="s">
        <v>27197</v>
      </c>
      <c r="W5600" t="s">
        <v>27198</v>
      </c>
      <c r="X5600" t="s">
        <v>329</v>
      </c>
      <c r="Y5600" t="s">
        <v>97</v>
      </c>
      <c r="Z5600" t="s">
        <v>77</v>
      </c>
      <c r="AA5600" t="str">
        <f>"10029-6500"</f>
        <v>10029-6500</v>
      </c>
      <c r="AB5600" t="s">
        <v>78</v>
      </c>
      <c r="AC5600" t="s">
        <v>79</v>
      </c>
      <c r="AD5600" t="s">
        <v>75</v>
      </c>
      <c r="AE5600" t="s">
        <v>80</v>
      </c>
      <c r="AG5600" t="s">
        <v>81</v>
      </c>
    </row>
    <row r="5601" spans="1:33" x14ac:dyDescent="0.25">
      <c r="A5601" t="str">
        <f>"1396847976"</f>
        <v>1396847976</v>
      </c>
      <c r="B5601" t="str">
        <f>"01537402"</f>
        <v>01537402</v>
      </c>
      <c r="C5601" t="s">
        <v>13436</v>
      </c>
      <c r="D5601" t="s">
        <v>962</v>
      </c>
      <c r="E5601" t="s">
        <v>963</v>
      </c>
      <c r="G5601" t="s">
        <v>27199</v>
      </c>
      <c r="L5601" t="s">
        <v>83</v>
      </c>
      <c r="M5601" t="s">
        <v>85</v>
      </c>
      <c r="R5601" t="s">
        <v>964</v>
      </c>
      <c r="W5601" t="s">
        <v>965</v>
      </c>
      <c r="X5601" t="s">
        <v>966</v>
      </c>
      <c r="Y5601" t="s">
        <v>87</v>
      </c>
      <c r="Z5601" t="s">
        <v>77</v>
      </c>
      <c r="AA5601" t="str">
        <f>"11230-2130"</f>
        <v>11230-2130</v>
      </c>
      <c r="AB5601" t="s">
        <v>78</v>
      </c>
      <c r="AC5601" t="s">
        <v>79</v>
      </c>
      <c r="AD5601" t="s">
        <v>75</v>
      </c>
      <c r="AE5601" t="s">
        <v>80</v>
      </c>
      <c r="AG5601" t="s">
        <v>81</v>
      </c>
    </row>
    <row r="5602" spans="1:33" x14ac:dyDescent="0.25">
      <c r="A5602" t="str">
        <f>"1396851176"</f>
        <v>1396851176</v>
      </c>
      <c r="B5602" t="str">
        <f>"01947617"</f>
        <v>01947617</v>
      </c>
      <c r="C5602" t="s">
        <v>13436</v>
      </c>
      <c r="D5602" t="s">
        <v>27200</v>
      </c>
      <c r="E5602" t="s">
        <v>27201</v>
      </c>
      <c r="G5602" t="s">
        <v>27202</v>
      </c>
      <c r="L5602" t="s">
        <v>74</v>
      </c>
      <c r="M5602" t="s">
        <v>85</v>
      </c>
      <c r="R5602" t="s">
        <v>27203</v>
      </c>
      <c r="W5602" t="s">
        <v>27201</v>
      </c>
      <c r="X5602" t="s">
        <v>27204</v>
      </c>
      <c r="Y5602" t="s">
        <v>97</v>
      </c>
      <c r="Z5602" t="s">
        <v>77</v>
      </c>
      <c r="AA5602" t="str">
        <f>"10022-3045"</f>
        <v>10022-3045</v>
      </c>
      <c r="AB5602" t="s">
        <v>78</v>
      </c>
      <c r="AC5602" t="s">
        <v>79</v>
      </c>
      <c r="AD5602" t="s">
        <v>75</v>
      </c>
      <c r="AE5602" t="s">
        <v>80</v>
      </c>
      <c r="AG5602" t="s">
        <v>81</v>
      </c>
    </row>
    <row r="5603" spans="1:33" x14ac:dyDescent="0.25">
      <c r="A5603" t="str">
        <f>"1407838451"</f>
        <v>1407838451</v>
      </c>
      <c r="B5603" t="str">
        <f>"00970627"</f>
        <v>00970627</v>
      </c>
      <c r="C5603" t="s">
        <v>13436</v>
      </c>
      <c r="D5603" t="s">
        <v>27205</v>
      </c>
      <c r="E5603" t="s">
        <v>27206</v>
      </c>
      <c r="G5603" t="s">
        <v>27207</v>
      </c>
      <c r="L5603" t="s">
        <v>83</v>
      </c>
      <c r="M5603" t="s">
        <v>85</v>
      </c>
      <c r="R5603" t="s">
        <v>27208</v>
      </c>
      <c r="W5603" t="s">
        <v>27206</v>
      </c>
      <c r="X5603" t="s">
        <v>27209</v>
      </c>
      <c r="Y5603" t="s">
        <v>97</v>
      </c>
      <c r="Z5603" t="s">
        <v>77</v>
      </c>
      <c r="AA5603" t="str">
        <f>"10003"</f>
        <v>10003</v>
      </c>
      <c r="AB5603" t="s">
        <v>78</v>
      </c>
      <c r="AC5603" t="s">
        <v>79</v>
      </c>
      <c r="AD5603" t="s">
        <v>75</v>
      </c>
      <c r="AE5603" t="s">
        <v>80</v>
      </c>
      <c r="AG5603" t="s">
        <v>81</v>
      </c>
    </row>
    <row r="5604" spans="1:33" x14ac:dyDescent="0.25">
      <c r="A5604" t="str">
        <f>"1407846652"</f>
        <v>1407846652</v>
      </c>
      <c r="B5604" t="str">
        <f>"01022393"</f>
        <v>01022393</v>
      </c>
      <c r="C5604" t="s">
        <v>13436</v>
      </c>
      <c r="D5604" t="s">
        <v>27210</v>
      </c>
      <c r="E5604" t="s">
        <v>27211</v>
      </c>
      <c r="G5604" t="s">
        <v>27212</v>
      </c>
      <c r="L5604" t="s">
        <v>83</v>
      </c>
      <c r="M5604" t="s">
        <v>85</v>
      </c>
      <c r="R5604" t="s">
        <v>27213</v>
      </c>
      <c r="W5604" t="s">
        <v>27214</v>
      </c>
      <c r="X5604" t="s">
        <v>27215</v>
      </c>
      <c r="Y5604" t="s">
        <v>97</v>
      </c>
      <c r="Z5604" t="s">
        <v>77</v>
      </c>
      <c r="AA5604" t="str">
        <f>"10003-2604"</f>
        <v>10003-2604</v>
      </c>
      <c r="AB5604" t="s">
        <v>78</v>
      </c>
      <c r="AC5604" t="s">
        <v>79</v>
      </c>
      <c r="AD5604" t="s">
        <v>75</v>
      </c>
      <c r="AE5604" t="s">
        <v>80</v>
      </c>
      <c r="AG5604" t="s">
        <v>81</v>
      </c>
    </row>
    <row r="5605" spans="1:33" x14ac:dyDescent="0.25">
      <c r="A5605" t="str">
        <f>"1568456713"</f>
        <v>1568456713</v>
      </c>
      <c r="B5605" t="str">
        <f>"02410084"</f>
        <v>02410084</v>
      </c>
      <c r="C5605" t="s">
        <v>13436</v>
      </c>
      <c r="D5605" t="s">
        <v>27216</v>
      </c>
      <c r="E5605" t="s">
        <v>27217</v>
      </c>
      <c r="G5605" t="s">
        <v>27218</v>
      </c>
      <c r="L5605" t="s">
        <v>84</v>
      </c>
      <c r="M5605" t="s">
        <v>85</v>
      </c>
      <c r="R5605" t="s">
        <v>27219</v>
      </c>
      <c r="W5605" t="s">
        <v>27217</v>
      </c>
      <c r="X5605" t="s">
        <v>3743</v>
      </c>
      <c r="Y5605" t="s">
        <v>97</v>
      </c>
      <c r="Z5605" t="s">
        <v>77</v>
      </c>
      <c r="AA5605" t="str">
        <f>"10011-4401"</f>
        <v>10011-4401</v>
      </c>
      <c r="AB5605" t="s">
        <v>78</v>
      </c>
      <c r="AC5605" t="s">
        <v>79</v>
      </c>
      <c r="AD5605" t="s">
        <v>75</v>
      </c>
      <c r="AE5605" t="s">
        <v>80</v>
      </c>
      <c r="AG5605" t="s">
        <v>81</v>
      </c>
    </row>
    <row r="5606" spans="1:33" x14ac:dyDescent="0.25">
      <c r="A5606" t="str">
        <f>"1467484923"</f>
        <v>1467484923</v>
      </c>
      <c r="B5606" t="str">
        <f>"00352630"</f>
        <v>00352630</v>
      </c>
      <c r="C5606" t="s">
        <v>13436</v>
      </c>
      <c r="D5606" t="s">
        <v>27220</v>
      </c>
      <c r="E5606" t="s">
        <v>27221</v>
      </c>
      <c r="G5606" t="s">
        <v>27222</v>
      </c>
      <c r="L5606" t="s">
        <v>83</v>
      </c>
      <c r="M5606" t="s">
        <v>85</v>
      </c>
      <c r="R5606" t="s">
        <v>27223</v>
      </c>
      <c r="W5606" t="s">
        <v>27221</v>
      </c>
      <c r="X5606" t="s">
        <v>3446</v>
      </c>
      <c r="Y5606" t="s">
        <v>97</v>
      </c>
      <c r="Z5606" t="s">
        <v>77</v>
      </c>
      <c r="AA5606" t="str">
        <f>"10065-8183"</f>
        <v>10065-8183</v>
      </c>
      <c r="AB5606" t="s">
        <v>78</v>
      </c>
      <c r="AC5606" t="s">
        <v>79</v>
      </c>
      <c r="AD5606" t="s">
        <v>75</v>
      </c>
      <c r="AE5606" t="s">
        <v>80</v>
      </c>
      <c r="AG5606" t="s">
        <v>81</v>
      </c>
    </row>
    <row r="5607" spans="1:33" x14ac:dyDescent="0.25">
      <c r="A5607" t="str">
        <f>"1467507459"</f>
        <v>1467507459</v>
      </c>
      <c r="B5607" t="str">
        <f>"00824722"</f>
        <v>00824722</v>
      </c>
      <c r="C5607" t="s">
        <v>13436</v>
      </c>
      <c r="D5607" t="s">
        <v>27224</v>
      </c>
      <c r="E5607" t="s">
        <v>27225</v>
      </c>
      <c r="G5607" t="s">
        <v>27226</v>
      </c>
      <c r="L5607" t="s">
        <v>83</v>
      </c>
      <c r="M5607" t="s">
        <v>85</v>
      </c>
      <c r="R5607" t="s">
        <v>27227</v>
      </c>
      <c r="W5607" t="s">
        <v>27225</v>
      </c>
      <c r="X5607" t="s">
        <v>27228</v>
      </c>
      <c r="Y5607" t="s">
        <v>97</v>
      </c>
      <c r="Z5607" t="s">
        <v>77</v>
      </c>
      <c r="AA5607" t="str">
        <f>"10019"</f>
        <v>10019</v>
      </c>
      <c r="AB5607" t="s">
        <v>78</v>
      </c>
      <c r="AC5607" t="s">
        <v>79</v>
      </c>
      <c r="AD5607" t="s">
        <v>75</v>
      </c>
      <c r="AE5607" t="s">
        <v>80</v>
      </c>
      <c r="AG5607" t="s">
        <v>81</v>
      </c>
    </row>
    <row r="5608" spans="1:33" x14ac:dyDescent="0.25">
      <c r="A5608" t="str">
        <f>"1467518845"</f>
        <v>1467518845</v>
      </c>
      <c r="B5608" t="str">
        <f>"02580463"</f>
        <v>02580463</v>
      </c>
      <c r="C5608" t="s">
        <v>13436</v>
      </c>
      <c r="D5608" t="s">
        <v>27229</v>
      </c>
      <c r="E5608" t="s">
        <v>27230</v>
      </c>
      <c r="G5608" t="s">
        <v>27231</v>
      </c>
      <c r="L5608" t="s">
        <v>83</v>
      </c>
      <c r="M5608" t="s">
        <v>85</v>
      </c>
      <c r="R5608" t="s">
        <v>27232</v>
      </c>
      <c r="W5608" t="s">
        <v>27230</v>
      </c>
      <c r="X5608" t="s">
        <v>130</v>
      </c>
      <c r="Y5608" t="s">
        <v>131</v>
      </c>
      <c r="Z5608" t="s">
        <v>77</v>
      </c>
      <c r="AA5608" t="str">
        <f>"10461-1138"</f>
        <v>10461-1138</v>
      </c>
      <c r="AB5608" t="s">
        <v>78</v>
      </c>
      <c r="AC5608" t="s">
        <v>79</v>
      </c>
      <c r="AD5608" t="s">
        <v>75</v>
      </c>
      <c r="AE5608" t="s">
        <v>80</v>
      </c>
      <c r="AG5608" t="s">
        <v>81</v>
      </c>
    </row>
    <row r="5609" spans="1:33" x14ac:dyDescent="0.25">
      <c r="A5609" t="str">
        <f>"1467556902"</f>
        <v>1467556902</v>
      </c>
      <c r="B5609" t="str">
        <f>"02281890"</f>
        <v>02281890</v>
      </c>
      <c r="C5609" t="s">
        <v>13436</v>
      </c>
      <c r="D5609" t="s">
        <v>27233</v>
      </c>
      <c r="E5609" t="s">
        <v>27234</v>
      </c>
      <c r="G5609" t="s">
        <v>27235</v>
      </c>
      <c r="L5609" t="s">
        <v>83</v>
      </c>
      <c r="M5609" t="s">
        <v>85</v>
      </c>
      <c r="R5609" t="s">
        <v>27236</v>
      </c>
      <c r="W5609" t="s">
        <v>27234</v>
      </c>
      <c r="X5609" t="s">
        <v>27237</v>
      </c>
      <c r="Y5609" t="s">
        <v>97</v>
      </c>
      <c r="Z5609" t="s">
        <v>77</v>
      </c>
      <c r="AA5609" t="str">
        <f>"10019-1147"</f>
        <v>10019-1147</v>
      </c>
      <c r="AB5609" t="s">
        <v>78</v>
      </c>
      <c r="AC5609" t="s">
        <v>79</v>
      </c>
      <c r="AD5609" t="s">
        <v>75</v>
      </c>
      <c r="AE5609" t="s">
        <v>80</v>
      </c>
      <c r="AG5609" t="s">
        <v>81</v>
      </c>
    </row>
    <row r="5610" spans="1:33" x14ac:dyDescent="0.25">
      <c r="A5610" t="str">
        <f>"1477569549"</f>
        <v>1477569549</v>
      </c>
      <c r="B5610" t="str">
        <f>"01900581"</f>
        <v>01900581</v>
      </c>
      <c r="C5610" t="s">
        <v>13436</v>
      </c>
      <c r="D5610" t="s">
        <v>2689</v>
      </c>
      <c r="E5610" t="s">
        <v>2690</v>
      </c>
      <c r="G5610" t="s">
        <v>27238</v>
      </c>
      <c r="L5610" t="s">
        <v>94</v>
      </c>
      <c r="M5610" t="s">
        <v>85</v>
      </c>
      <c r="R5610" t="s">
        <v>2691</v>
      </c>
      <c r="W5610" t="s">
        <v>2690</v>
      </c>
      <c r="X5610" t="s">
        <v>202</v>
      </c>
      <c r="Y5610" t="s">
        <v>87</v>
      </c>
      <c r="Z5610" t="s">
        <v>77</v>
      </c>
      <c r="AA5610" t="str">
        <f>"11201-5425"</f>
        <v>11201-5425</v>
      </c>
      <c r="AB5610" t="s">
        <v>78</v>
      </c>
      <c r="AC5610" t="s">
        <v>79</v>
      </c>
      <c r="AD5610" t="s">
        <v>75</v>
      </c>
      <c r="AE5610" t="s">
        <v>80</v>
      </c>
      <c r="AG5610" t="s">
        <v>81</v>
      </c>
    </row>
    <row r="5611" spans="1:33" x14ac:dyDescent="0.25">
      <c r="A5611" t="str">
        <f>"1316380611"</f>
        <v>1316380611</v>
      </c>
      <c r="C5611" t="s">
        <v>13436</v>
      </c>
      <c r="K5611" t="s">
        <v>99</v>
      </c>
      <c r="L5611" t="s">
        <v>102</v>
      </c>
      <c r="M5611" t="s">
        <v>75</v>
      </c>
      <c r="R5611" t="s">
        <v>27239</v>
      </c>
      <c r="S5611" t="s">
        <v>27240</v>
      </c>
      <c r="T5611" t="s">
        <v>97</v>
      </c>
      <c r="U5611" t="s">
        <v>77</v>
      </c>
      <c r="V5611" t="str">
        <f>"10003"</f>
        <v>10003</v>
      </c>
      <c r="AC5611" t="s">
        <v>79</v>
      </c>
      <c r="AD5611" t="s">
        <v>75</v>
      </c>
      <c r="AE5611" t="s">
        <v>103</v>
      </c>
      <c r="AG5611" t="s">
        <v>81</v>
      </c>
    </row>
    <row r="5612" spans="1:33" x14ac:dyDescent="0.25">
      <c r="A5612" t="str">
        <f>"1568782910"</f>
        <v>1568782910</v>
      </c>
      <c r="C5612" t="s">
        <v>13436</v>
      </c>
      <c r="K5612" t="s">
        <v>99</v>
      </c>
      <c r="L5612" t="s">
        <v>102</v>
      </c>
      <c r="M5612" t="s">
        <v>75</v>
      </c>
      <c r="R5612" t="s">
        <v>27241</v>
      </c>
      <c r="S5612" t="s">
        <v>27242</v>
      </c>
      <c r="T5612" t="s">
        <v>1783</v>
      </c>
      <c r="U5612" t="s">
        <v>1784</v>
      </c>
      <c r="V5612" t="str">
        <f>"191074824"</f>
        <v>191074824</v>
      </c>
      <c r="AC5612" t="s">
        <v>79</v>
      </c>
      <c r="AD5612" t="s">
        <v>75</v>
      </c>
      <c r="AE5612" t="s">
        <v>103</v>
      </c>
      <c r="AG5612" t="s">
        <v>81</v>
      </c>
    </row>
    <row r="5613" spans="1:33" x14ac:dyDescent="0.25">
      <c r="A5613" t="str">
        <f>"1568787026"</f>
        <v>1568787026</v>
      </c>
      <c r="B5613" t="str">
        <f>"04015096"</f>
        <v>04015096</v>
      </c>
      <c r="C5613" t="s">
        <v>13436</v>
      </c>
      <c r="D5613" t="s">
        <v>27243</v>
      </c>
      <c r="E5613" t="s">
        <v>27244</v>
      </c>
      <c r="L5613" t="s">
        <v>105</v>
      </c>
      <c r="M5613" t="s">
        <v>75</v>
      </c>
      <c r="R5613" t="s">
        <v>27245</v>
      </c>
      <c r="W5613" t="s">
        <v>27244</v>
      </c>
      <c r="X5613" t="s">
        <v>12648</v>
      </c>
      <c r="Y5613" t="s">
        <v>97</v>
      </c>
      <c r="Z5613" t="s">
        <v>77</v>
      </c>
      <c r="AA5613" t="str">
        <f>"10003-3112"</f>
        <v>10003-3112</v>
      </c>
      <c r="AB5613" t="s">
        <v>78</v>
      </c>
      <c r="AC5613" t="s">
        <v>79</v>
      </c>
      <c r="AD5613" t="s">
        <v>75</v>
      </c>
      <c r="AE5613" t="s">
        <v>80</v>
      </c>
      <c r="AG5613" t="s">
        <v>81</v>
      </c>
    </row>
    <row r="5614" spans="1:33" x14ac:dyDescent="0.25">
      <c r="A5614" t="str">
        <f>"1568788925"</f>
        <v>1568788925</v>
      </c>
      <c r="C5614" t="s">
        <v>13436</v>
      </c>
      <c r="K5614" t="s">
        <v>99</v>
      </c>
      <c r="L5614" t="s">
        <v>102</v>
      </c>
      <c r="M5614" t="s">
        <v>75</v>
      </c>
      <c r="R5614" t="s">
        <v>27246</v>
      </c>
      <c r="S5614" t="s">
        <v>27247</v>
      </c>
      <c r="T5614" t="s">
        <v>988</v>
      </c>
      <c r="U5614" t="s">
        <v>290</v>
      </c>
      <c r="V5614" t="str">
        <f>"631417000"</f>
        <v>631417000</v>
      </c>
      <c r="AC5614" t="s">
        <v>79</v>
      </c>
      <c r="AD5614" t="s">
        <v>75</v>
      </c>
      <c r="AE5614" t="s">
        <v>103</v>
      </c>
      <c r="AG5614" t="s">
        <v>81</v>
      </c>
    </row>
    <row r="5615" spans="1:33" x14ac:dyDescent="0.25">
      <c r="A5615" t="str">
        <f>"1568805471"</f>
        <v>1568805471</v>
      </c>
      <c r="C5615" t="s">
        <v>13436</v>
      </c>
      <c r="K5615" t="s">
        <v>99</v>
      </c>
      <c r="L5615" t="s">
        <v>102</v>
      </c>
      <c r="M5615" t="s">
        <v>75</v>
      </c>
      <c r="R5615" t="s">
        <v>27248</v>
      </c>
      <c r="S5615" t="s">
        <v>443</v>
      </c>
      <c r="T5615" t="s">
        <v>97</v>
      </c>
      <c r="U5615" t="s">
        <v>77</v>
      </c>
      <c r="V5615" t="str">
        <f>"100751850"</f>
        <v>100751850</v>
      </c>
      <c r="AC5615" t="s">
        <v>79</v>
      </c>
      <c r="AD5615" t="s">
        <v>75</v>
      </c>
      <c r="AE5615" t="s">
        <v>103</v>
      </c>
      <c r="AG5615" t="s">
        <v>81</v>
      </c>
    </row>
    <row r="5616" spans="1:33" x14ac:dyDescent="0.25">
      <c r="A5616" t="str">
        <f>"1114945946"</f>
        <v>1114945946</v>
      </c>
      <c r="B5616" t="str">
        <f>"01825034"</f>
        <v>01825034</v>
      </c>
      <c r="C5616" t="s">
        <v>13436</v>
      </c>
      <c r="D5616" t="s">
        <v>27249</v>
      </c>
      <c r="E5616" t="s">
        <v>27250</v>
      </c>
      <c r="G5616" t="s">
        <v>27251</v>
      </c>
      <c r="L5616" t="s">
        <v>74</v>
      </c>
      <c r="M5616" t="s">
        <v>85</v>
      </c>
      <c r="R5616" t="s">
        <v>27252</v>
      </c>
      <c r="W5616" t="s">
        <v>27250</v>
      </c>
      <c r="X5616" t="s">
        <v>329</v>
      </c>
      <c r="Y5616" t="s">
        <v>97</v>
      </c>
      <c r="Z5616" t="s">
        <v>77</v>
      </c>
      <c r="AA5616" t="str">
        <f>"10029-6504"</f>
        <v>10029-6504</v>
      </c>
      <c r="AB5616" t="s">
        <v>78</v>
      </c>
      <c r="AC5616" t="s">
        <v>79</v>
      </c>
      <c r="AD5616" t="s">
        <v>75</v>
      </c>
      <c r="AE5616" t="s">
        <v>80</v>
      </c>
      <c r="AG5616" t="s">
        <v>81</v>
      </c>
    </row>
    <row r="5617" spans="1:33" x14ac:dyDescent="0.25">
      <c r="A5617" t="str">
        <f>"1114959236"</f>
        <v>1114959236</v>
      </c>
      <c r="B5617" t="str">
        <f>"02000035"</f>
        <v>02000035</v>
      </c>
      <c r="C5617" t="s">
        <v>13436</v>
      </c>
      <c r="D5617" t="s">
        <v>27253</v>
      </c>
      <c r="E5617" t="s">
        <v>27254</v>
      </c>
      <c r="G5617" t="s">
        <v>27255</v>
      </c>
      <c r="L5617" t="s">
        <v>84</v>
      </c>
      <c r="M5617" t="s">
        <v>85</v>
      </c>
      <c r="R5617" t="s">
        <v>27256</v>
      </c>
      <c r="W5617" t="s">
        <v>27254</v>
      </c>
      <c r="X5617" t="s">
        <v>5557</v>
      </c>
      <c r="Y5617" t="s">
        <v>97</v>
      </c>
      <c r="Z5617" t="s">
        <v>77</v>
      </c>
      <c r="AA5617" t="str">
        <f>"10029-6501"</f>
        <v>10029-6501</v>
      </c>
      <c r="AB5617" t="s">
        <v>78</v>
      </c>
      <c r="AC5617" t="s">
        <v>79</v>
      </c>
      <c r="AD5617" t="s">
        <v>75</v>
      </c>
      <c r="AE5617" t="s">
        <v>80</v>
      </c>
      <c r="AG5617" t="s">
        <v>81</v>
      </c>
    </row>
    <row r="5618" spans="1:33" x14ac:dyDescent="0.25">
      <c r="A5618" t="str">
        <f>"1083039382"</f>
        <v>1083039382</v>
      </c>
      <c r="B5618" t="str">
        <f>"04318085"</f>
        <v>04318085</v>
      </c>
      <c r="C5618" t="s">
        <v>13436</v>
      </c>
      <c r="D5618" t="s">
        <v>27257</v>
      </c>
      <c r="E5618" t="s">
        <v>27258</v>
      </c>
      <c r="G5618" t="s">
        <v>27259</v>
      </c>
      <c r="L5618" t="s">
        <v>102</v>
      </c>
      <c r="M5618" t="s">
        <v>75</v>
      </c>
      <c r="R5618" t="s">
        <v>27260</v>
      </c>
      <c r="W5618" t="s">
        <v>27258</v>
      </c>
      <c r="X5618" t="s">
        <v>6696</v>
      </c>
      <c r="Y5618" t="s">
        <v>97</v>
      </c>
      <c r="Z5618" t="s">
        <v>77</v>
      </c>
      <c r="AA5618" t="str">
        <f>"10003-0000"</f>
        <v>10003-0000</v>
      </c>
      <c r="AB5618" t="s">
        <v>125</v>
      </c>
      <c r="AC5618" t="s">
        <v>79</v>
      </c>
      <c r="AD5618" t="s">
        <v>75</v>
      </c>
      <c r="AE5618" t="s">
        <v>80</v>
      </c>
      <c r="AG5618" t="s">
        <v>81</v>
      </c>
    </row>
    <row r="5619" spans="1:33" x14ac:dyDescent="0.25">
      <c r="A5619" t="str">
        <f>"1083050173"</f>
        <v>1083050173</v>
      </c>
      <c r="B5619" t="str">
        <f>"03624297"</f>
        <v>03624297</v>
      </c>
      <c r="C5619" t="s">
        <v>13436</v>
      </c>
      <c r="D5619" t="s">
        <v>5359</v>
      </c>
      <c r="E5619" t="s">
        <v>5360</v>
      </c>
      <c r="L5619" t="s">
        <v>83</v>
      </c>
      <c r="M5619" t="s">
        <v>75</v>
      </c>
      <c r="R5619" t="s">
        <v>5361</v>
      </c>
      <c r="W5619" t="s">
        <v>5360</v>
      </c>
      <c r="X5619" t="s">
        <v>174</v>
      </c>
      <c r="Y5619" t="s">
        <v>131</v>
      </c>
      <c r="Z5619" t="s">
        <v>77</v>
      </c>
      <c r="AA5619" t="str">
        <f>"10461-2301"</f>
        <v>10461-2301</v>
      </c>
      <c r="AB5619" t="s">
        <v>78</v>
      </c>
      <c r="AC5619" t="s">
        <v>79</v>
      </c>
      <c r="AD5619" t="s">
        <v>75</v>
      </c>
      <c r="AE5619" t="s">
        <v>80</v>
      </c>
      <c r="AG5619" t="s">
        <v>81</v>
      </c>
    </row>
    <row r="5620" spans="1:33" x14ac:dyDescent="0.25">
      <c r="A5620" t="str">
        <f>"1083054142"</f>
        <v>1083054142</v>
      </c>
      <c r="C5620" t="s">
        <v>13436</v>
      </c>
      <c r="K5620" t="s">
        <v>99</v>
      </c>
      <c r="L5620" t="s">
        <v>102</v>
      </c>
      <c r="M5620" t="s">
        <v>75</v>
      </c>
      <c r="R5620" t="s">
        <v>27261</v>
      </c>
      <c r="S5620" t="s">
        <v>168</v>
      </c>
      <c r="T5620" t="s">
        <v>155</v>
      </c>
      <c r="U5620" t="s">
        <v>77</v>
      </c>
      <c r="V5620" t="str">
        <f>"103101664"</f>
        <v>103101664</v>
      </c>
      <c r="AC5620" t="s">
        <v>79</v>
      </c>
      <c r="AD5620" t="s">
        <v>75</v>
      </c>
      <c r="AE5620" t="s">
        <v>103</v>
      </c>
      <c r="AG5620" t="s">
        <v>81</v>
      </c>
    </row>
    <row r="5621" spans="1:33" x14ac:dyDescent="0.25">
      <c r="A5621" t="str">
        <f>"1083057301"</f>
        <v>1083057301</v>
      </c>
      <c r="C5621" t="s">
        <v>13436</v>
      </c>
      <c r="K5621" t="s">
        <v>99</v>
      </c>
      <c r="L5621" t="s">
        <v>102</v>
      </c>
      <c r="M5621" t="s">
        <v>75</v>
      </c>
      <c r="R5621" t="s">
        <v>27262</v>
      </c>
      <c r="S5621" t="s">
        <v>27263</v>
      </c>
      <c r="T5621" t="s">
        <v>4568</v>
      </c>
      <c r="U5621" t="s">
        <v>156</v>
      </c>
      <c r="V5621" t="str">
        <f>"070036054"</f>
        <v>070036054</v>
      </c>
      <c r="AC5621" t="s">
        <v>79</v>
      </c>
      <c r="AD5621" t="s">
        <v>75</v>
      </c>
      <c r="AE5621" t="s">
        <v>103</v>
      </c>
      <c r="AG5621" t="s">
        <v>81</v>
      </c>
    </row>
    <row r="5622" spans="1:33" x14ac:dyDescent="0.25">
      <c r="A5622" t="str">
        <f>"1003158486"</f>
        <v>1003158486</v>
      </c>
      <c r="C5622" t="s">
        <v>13436</v>
      </c>
      <c r="K5622" t="s">
        <v>99</v>
      </c>
      <c r="L5622" t="s">
        <v>102</v>
      </c>
      <c r="M5622" t="s">
        <v>75</v>
      </c>
      <c r="R5622" t="s">
        <v>27264</v>
      </c>
      <c r="S5622" t="s">
        <v>27265</v>
      </c>
      <c r="T5622" t="s">
        <v>97</v>
      </c>
      <c r="U5622" t="s">
        <v>77</v>
      </c>
      <c r="V5622" t="str">
        <f>"100296508"</f>
        <v>100296508</v>
      </c>
      <c r="AC5622" t="s">
        <v>79</v>
      </c>
      <c r="AD5622" t="s">
        <v>75</v>
      </c>
      <c r="AE5622" t="s">
        <v>103</v>
      </c>
      <c r="AG5622" t="s">
        <v>81</v>
      </c>
    </row>
    <row r="5623" spans="1:33" x14ac:dyDescent="0.25">
      <c r="A5623" t="str">
        <f>"1003159302"</f>
        <v>1003159302</v>
      </c>
      <c r="C5623" t="s">
        <v>13436</v>
      </c>
      <c r="K5623" t="s">
        <v>99</v>
      </c>
      <c r="L5623" t="s">
        <v>102</v>
      </c>
      <c r="M5623" t="s">
        <v>75</v>
      </c>
      <c r="R5623" t="s">
        <v>27266</v>
      </c>
      <c r="S5623" t="s">
        <v>27267</v>
      </c>
      <c r="T5623" t="s">
        <v>2360</v>
      </c>
      <c r="U5623" t="s">
        <v>77</v>
      </c>
      <c r="V5623" t="str">
        <f>"105836924"</f>
        <v>105836924</v>
      </c>
      <c r="AC5623" t="s">
        <v>79</v>
      </c>
      <c r="AD5623" t="s">
        <v>75</v>
      </c>
      <c r="AE5623" t="s">
        <v>103</v>
      </c>
      <c r="AG5623" t="s">
        <v>81</v>
      </c>
    </row>
    <row r="5624" spans="1:33" x14ac:dyDescent="0.25">
      <c r="A5624" t="str">
        <f>"1851500060"</f>
        <v>1851500060</v>
      </c>
      <c r="B5624" t="str">
        <f>"03116589"</f>
        <v>03116589</v>
      </c>
      <c r="C5624" t="s">
        <v>13436</v>
      </c>
      <c r="D5624" t="s">
        <v>27268</v>
      </c>
      <c r="E5624" t="s">
        <v>27269</v>
      </c>
      <c r="L5624" t="s">
        <v>83</v>
      </c>
      <c r="M5624" t="s">
        <v>85</v>
      </c>
      <c r="R5624" t="s">
        <v>27270</v>
      </c>
      <c r="W5624" t="s">
        <v>27269</v>
      </c>
      <c r="X5624" t="s">
        <v>272</v>
      </c>
      <c r="Y5624" t="s">
        <v>97</v>
      </c>
      <c r="Z5624" t="s">
        <v>77</v>
      </c>
      <c r="AA5624" t="str">
        <f>"10029-6501"</f>
        <v>10029-6501</v>
      </c>
      <c r="AB5624" t="s">
        <v>78</v>
      </c>
      <c r="AC5624" t="s">
        <v>79</v>
      </c>
      <c r="AD5624" t="s">
        <v>75</v>
      </c>
      <c r="AE5624" t="s">
        <v>80</v>
      </c>
      <c r="AG5624" t="s">
        <v>81</v>
      </c>
    </row>
    <row r="5625" spans="1:33" x14ac:dyDescent="0.25">
      <c r="A5625" t="str">
        <f>"1851559694"</f>
        <v>1851559694</v>
      </c>
      <c r="B5625" t="str">
        <f>"03227507"</f>
        <v>03227507</v>
      </c>
      <c r="C5625" t="s">
        <v>13436</v>
      </c>
      <c r="D5625" t="s">
        <v>27271</v>
      </c>
      <c r="E5625" t="s">
        <v>27272</v>
      </c>
      <c r="L5625" t="s">
        <v>83</v>
      </c>
      <c r="M5625" t="s">
        <v>85</v>
      </c>
      <c r="R5625" t="s">
        <v>27273</v>
      </c>
      <c r="W5625" t="s">
        <v>27274</v>
      </c>
      <c r="X5625" t="s">
        <v>272</v>
      </c>
      <c r="Y5625" t="s">
        <v>97</v>
      </c>
      <c r="Z5625" t="s">
        <v>77</v>
      </c>
      <c r="AA5625" t="str">
        <f>"10029-6501"</f>
        <v>10029-6501</v>
      </c>
      <c r="AB5625" t="s">
        <v>78</v>
      </c>
      <c r="AC5625" t="s">
        <v>79</v>
      </c>
      <c r="AD5625" t="s">
        <v>75</v>
      </c>
      <c r="AE5625" t="s">
        <v>80</v>
      </c>
      <c r="AG5625" t="s">
        <v>81</v>
      </c>
    </row>
    <row r="5626" spans="1:33" x14ac:dyDescent="0.25">
      <c r="A5626" t="str">
        <f>"1538507975"</f>
        <v>1538507975</v>
      </c>
      <c r="B5626" t="str">
        <f>"03610515"</f>
        <v>03610515</v>
      </c>
      <c r="C5626" t="s">
        <v>13436</v>
      </c>
      <c r="D5626" t="s">
        <v>27275</v>
      </c>
      <c r="E5626" t="s">
        <v>27276</v>
      </c>
      <c r="L5626" t="s">
        <v>74</v>
      </c>
      <c r="M5626" t="s">
        <v>75</v>
      </c>
      <c r="R5626" t="s">
        <v>27277</v>
      </c>
      <c r="W5626" t="s">
        <v>27276</v>
      </c>
      <c r="X5626" t="s">
        <v>27278</v>
      </c>
      <c r="Y5626" t="s">
        <v>2360</v>
      </c>
      <c r="Z5626" t="s">
        <v>77</v>
      </c>
      <c r="AA5626" t="str">
        <f>"10583-2456"</f>
        <v>10583-2456</v>
      </c>
      <c r="AB5626" t="s">
        <v>82</v>
      </c>
      <c r="AC5626" t="s">
        <v>79</v>
      </c>
      <c r="AD5626" t="s">
        <v>75</v>
      </c>
      <c r="AE5626" t="s">
        <v>80</v>
      </c>
      <c r="AG5626" t="s">
        <v>81</v>
      </c>
    </row>
    <row r="5627" spans="1:33" x14ac:dyDescent="0.25">
      <c r="A5627" t="str">
        <f>"1538509039"</f>
        <v>1538509039</v>
      </c>
      <c r="C5627" t="s">
        <v>13436</v>
      </c>
      <c r="K5627" t="s">
        <v>99</v>
      </c>
      <c r="L5627" t="s">
        <v>102</v>
      </c>
      <c r="M5627" t="s">
        <v>75</v>
      </c>
      <c r="R5627" t="s">
        <v>27279</v>
      </c>
      <c r="S5627" t="s">
        <v>2838</v>
      </c>
      <c r="T5627" t="s">
        <v>97</v>
      </c>
      <c r="U5627" t="s">
        <v>77</v>
      </c>
      <c r="V5627" t="str">
        <f>"100033105"</f>
        <v>100033105</v>
      </c>
      <c r="AC5627" t="s">
        <v>79</v>
      </c>
      <c r="AD5627" t="s">
        <v>75</v>
      </c>
      <c r="AE5627" t="s">
        <v>103</v>
      </c>
      <c r="AG5627" t="s">
        <v>81</v>
      </c>
    </row>
    <row r="5628" spans="1:33" x14ac:dyDescent="0.25">
      <c r="A5628" t="str">
        <f>"1538509880"</f>
        <v>1538509880</v>
      </c>
      <c r="C5628" t="s">
        <v>13436</v>
      </c>
      <c r="K5628" t="s">
        <v>99</v>
      </c>
      <c r="L5628" t="s">
        <v>102</v>
      </c>
      <c r="M5628" t="s">
        <v>75</v>
      </c>
      <c r="R5628" t="s">
        <v>27280</v>
      </c>
      <c r="S5628" t="s">
        <v>27281</v>
      </c>
      <c r="T5628" t="s">
        <v>97</v>
      </c>
      <c r="U5628" t="s">
        <v>77</v>
      </c>
      <c r="V5628" t="str">
        <f>"100104602"</f>
        <v>100104602</v>
      </c>
      <c r="AC5628" t="s">
        <v>79</v>
      </c>
      <c r="AD5628" t="s">
        <v>75</v>
      </c>
      <c r="AE5628" t="s">
        <v>103</v>
      </c>
      <c r="AG5628" t="s">
        <v>81</v>
      </c>
    </row>
    <row r="5629" spans="1:33" x14ac:dyDescent="0.25">
      <c r="A5629" t="str">
        <f>"1417957481"</f>
        <v>1417957481</v>
      </c>
      <c r="B5629" t="str">
        <f>"01825043"</f>
        <v>01825043</v>
      </c>
      <c r="C5629" t="s">
        <v>13436</v>
      </c>
      <c r="D5629" t="s">
        <v>27282</v>
      </c>
      <c r="E5629" t="s">
        <v>27283</v>
      </c>
      <c r="G5629" t="s">
        <v>27284</v>
      </c>
      <c r="L5629" t="s">
        <v>84</v>
      </c>
      <c r="M5629" t="s">
        <v>85</v>
      </c>
      <c r="R5629" t="s">
        <v>27285</v>
      </c>
      <c r="W5629" t="s">
        <v>27283</v>
      </c>
      <c r="X5629" t="s">
        <v>2838</v>
      </c>
      <c r="Y5629" t="s">
        <v>97</v>
      </c>
      <c r="Z5629" t="s">
        <v>77</v>
      </c>
      <c r="AA5629" t="str">
        <f>"10003-3105"</f>
        <v>10003-3105</v>
      </c>
      <c r="AB5629" t="s">
        <v>78</v>
      </c>
      <c r="AC5629" t="s">
        <v>79</v>
      </c>
      <c r="AD5629" t="s">
        <v>75</v>
      </c>
      <c r="AE5629" t="s">
        <v>80</v>
      </c>
      <c r="AG5629" t="s">
        <v>81</v>
      </c>
    </row>
    <row r="5630" spans="1:33" x14ac:dyDescent="0.25">
      <c r="A5630" t="str">
        <f>"1215226824"</f>
        <v>1215226824</v>
      </c>
      <c r="C5630" t="s">
        <v>13436</v>
      </c>
      <c r="K5630" t="s">
        <v>99</v>
      </c>
      <c r="L5630" t="s">
        <v>102</v>
      </c>
      <c r="M5630" t="s">
        <v>75</v>
      </c>
      <c r="R5630" t="s">
        <v>27286</v>
      </c>
      <c r="S5630" t="s">
        <v>27287</v>
      </c>
      <c r="T5630" t="s">
        <v>97</v>
      </c>
      <c r="U5630" t="s">
        <v>77</v>
      </c>
      <c r="V5630" t="str">
        <f>"10003"</f>
        <v>10003</v>
      </c>
      <c r="AC5630" t="s">
        <v>79</v>
      </c>
      <c r="AD5630" t="s">
        <v>75</v>
      </c>
      <c r="AE5630" t="s">
        <v>103</v>
      </c>
      <c r="AG5630" t="s">
        <v>81</v>
      </c>
    </row>
    <row r="5631" spans="1:33" x14ac:dyDescent="0.25">
      <c r="A5631" t="str">
        <f>"1215227459"</f>
        <v>1215227459</v>
      </c>
      <c r="C5631" t="s">
        <v>13436</v>
      </c>
      <c r="K5631" t="s">
        <v>99</v>
      </c>
      <c r="L5631" t="s">
        <v>102</v>
      </c>
      <c r="M5631" t="s">
        <v>75</v>
      </c>
      <c r="R5631" t="s">
        <v>27288</v>
      </c>
      <c r="S5631" t="s">
        <v>27289</v>
      </c>
      <c r="T5631" t="s">
        <v>2646</v>
      </c>
      <c r="U5631" t="s">
        <v>351</v>
      </c>
      <c r="V5631" t="str">
        <f>"336471337"</f>
        <v>336471337</v>
      </c>
      <c r="AC5631" t="s">
        <v>79</v>
      </c>
      <c r="AD5631" t="s">
        <v>75</v>
      </c>
      <c r="AE5631" t="s">
        <v>103</v>
      </c>
      <c r="AG5631" t="s">
        <v>81</v>
      </c>
    </row>
    <row r="5632" spans="1:33" x14ac:dyDescent="0.25">
      <c r="A5632" t="str">
        <f>"1417167891"</f>
        <v>1417167891</v>
      </c>
      <c r="B5632" t="str">
        <f>"03762347"</f>
        <v>03762347</v>
      </c>
      <c r="C5632" t="s">
        <v>13436</v>
      </c>
      <c r="D5632" t="s">
        <v>27290</v>
      </c>
      <c r="E5632" t="s">
        <v>27291</v>
      </c>
      <c r="G5632" t="s">
        <v>27292</v>
      </c>
      <c r="L5632" t="s">
        <v>102</v>
      </c>
      <c r="M5632" t="s">
        <v>75</v>
      </c>
      <c r="R5632" t="s">
        <v>27293</v>
      </c>
      <c r="W5632" t="s">
        <v>27291</v>
      </c>
      <c r="X5632" t="s">
        <v>27294</v>
      </c>
      <c r="Y5632" t="s">
        <v>227</v>
      </c>
      <c r="Z5632" t="s">
        <v>77</v>
      </c>
      <c r="AA5632" t="str">
        <f>"10604-2925"</f>
        <v>10604-2925</v>
      </c>
      <c r="AB5632" t="s">
        <v>78</v>
      </c>
      <c r="AC5632" t="s">
        <v>79</v>
      </c>
      <c r="AD5632" t="s">
        <v>75</v>
      </c>
      <c r="AE5632" t="s">
        <v>80</v>
      </c>
      <c r="AG5632" t="s">
        <v>81</v>
      </c>
    </row>
    <row r="5633" spans="1:33" x14ac:dyDescent="0.25">
      <c r="A5633" t="str">
        <f>"1417197856"</f>
        <v>1417197856</v>
      </c>
      <c r="B5633" t="str">
        <f>"03607027"</f>
        <v>03607027</v>
      </c>
      <c r="C5633" t="s">
        <v>13436</v>
      </c>
      <c r="D5633" t="s">
        <v>27295</v>
      </c>
      <c r="E5633" t="s">
        <v>27296</v>
      </c>
      <c r="G5633" t="s">
        <v>27297</v>
      </c>
      <c r="L5633" t="s">
        <v>83</v>
      </c>
      <c r="M5633" t="s">
        <v>85</v>
      </c>
      <c r="R5633" t="s">
        <v>27298</v>
      </c>
      <c r="W5633" t="s">
        <v>27296</v>
      </c>
      <c r="X5633" t="s">
        <v>14992</v>
      </c>
      <c r="Y5633" t="s">
        <v>97</v>
      </c>
      <c r="Z5633" t="s">
        <v>77</v>
      </c>
      <c r="AA5633" t="str">
        <f>"10029-6503"</f>
        <v>10029-6503</v>
      </c>
      <c r="AB5633" t="s">
        <v>78</v>
      </c>
      <c r="AC5633" t="s">
        <v>79</v>
      </c>
      <c r="AD5633" t="s">
        <v>75</v>
      </c>
      <c r="AE5633" t="s">
        <v>80</v>
      </c>
      <c r="AG5633" t="s">
        <v>81</v>
      </c>
    </row>
    <row r="5634" spans="1:33" x14ac:dyDescent="0.25">
      <c r="A5634" t="str">
        <f>"1417214503"</f>
        <v>1417214503</v>
      </c>
      <c r="C5634" t="s">
        <v>13436</v>
      </c>
      <c r="K5634" t="s">
        <v>99</v>
      </c>
      <c r="L5634" t="s">
        <v>102</v>
      </c>
      <c r="M5634" t="s">
        <v>75</v>
      </c>
      <c r="R5634" t="s">
        <v>24672</v>
      </c>
      <c r="S5634" t="s">
        <v>27299</v>
      </c>
      <c r="T5634" t="s">
        <v>97</v>
      </c>
      <c r="U5634" t="s">
        <v>77</v>
      </c>
      <c r="V5634" t="str">
        <f>"100033821"</f>
        <v>100033821</v>
      </c>
      <c r="AC5634" t="s">
        <v>79</v>
      </c>
      <c r="AD5634" t="s">
        <v>75</v>
      </c>
      <c r="AE5634" t="s">
        <v>103</v>
      </c>
      <c r="AG5634" t="s">
        <v>81</v>
      </c>
    </row>
    <row r="5635" spans="1:33" x14ac:dyDescent="0.25">
      <c r="A5635" t="str">
        <f>"1417218892"</f>
        <v>1417218892</v>
      </c>
      <c r="B5635" t="str">
        <f>"03604060"</f>
        <v>03604060</v>
      </c>
      <c r="C5635" t="s">
        <v>13436</v>
      </c>
      <c r="D5635" t="s">
        <v>27300</v>
      </c>
      <c r="E5635" t="s">
        <v>27301</v>
      </c>
      <c r="G5635" t="s">
        <v>27302</v>
      </c>
      <c r="L5635" t="s">
        <v>74</v>
      </c>
      <c r="M5635" t="s">
        <v>75</v>
      </c>
      <c r="R5635" t="s">
        <v>27301</v>
      </c>
      <c r="W5635" t="s">
        <v>27301</v>
      </c>
      <c r="X5635" t="s">
        <v>130</v>
      </c>
      <c r="Y5635" t="s">
        <v>131</v>
      </c>
      <c r="Z5635" t="s">
        <v>77</v>
      </c>
      <c r="AA5635" t="str">
        <f>"10461-1119"</f>
        <v>10461-1119</v>
      </c>
      <c r="AB5635" t="s">
        <v>78</v>
      </c>
      <c r="AC5635" t="s">
        <v>79</v>
      </c>
      <c r="AD5635" t="s">
        <v>75</v>
      </c>
      <c r="AE5635" t="s">
        <v>80</v>
      </c>
      <c r="AG5635" t="s">
        <v>81</v>
      </c>
    </row>
    <row r="5636" spans="1:33" x14ac:dyDescent="0.25">
      <c r="A5636" t="str">
        <f>"1417226465"</f>
        <v>1417226465</v>
      </c>
      <c r="C5636" t="s">
        <v>13436</v>
      </c>
      <c r="K5636" t="s">
        <v>99</v>
      </c>
      <c r="L5636" t="s">
        <v>102</v>
      </c>
      <c r="M5636" t="s">
        <v>75</v>
      </c>
      <c r="R5636" t="s">
        <v>27303</v>
      </c>
      <c r="S5636" t="s">
        <v>27304</v>
      </c>
      <c r="T5636" t="s">
        <v>4615</v>
      </c>
      <c r="U5636" t="s">
        <v>3878</v>
      </c>
      <c r="V5636" t="str">
        <f>"770301501"</f>
        <v>770301501</v>
      </c>
      <c r="AC5636" t="s">
        <v>79</v>
      </c>
      <c r="AD5636" t="s">
        <v>75</v>
      </c>
      <c r="AE5636" t="s">
        <v>103</v>
      </c>
      <c r="AG5636" t="s">
        <v>81</v>
      </c>
    </row>
    <row r="5637" spans="1:33" x14ac:dyDescent="0.25">
      <c r="A5637" t="str">
        <f>"1417240268"</f>
        <v>1417240268</v>
      </c>
      <c r="C5637" t="s">
        <v>13436</v>
      </c>
      <c r="K5637" t="s">
        <v>99</v>
      </c>
      <c r="L5637" t="s">
        <v>102</v>
      </c>
      <c r="M5637" t="s">
        <v>75</v>
      </c>
      <c r="R5637" t="s">
        <v>27305</v>
      </c>
      <c r="S5637" t="s">
        <v>27306</v>
      </c>
      <c r="T5637" t="s">
        <v>27307</v>
      </c>
      <c r="U5637" t="s">
        <v>2625</v>
      </c>
      <c r="V5637" t="str">
        <f>"110003"</f>
        <v>110003</v>
      </c>
      <c r="AC5637" t="s">
        <v>79</v>
      </c>
      <c r="AD5637" t="s">
        <v>75</v>
      </c>
      <c r="AE5637" t="s">
        <v>103</v>
      </c>
      <c r="AG5637" t="s">
        <v>81</v>
      </c>
    </row>
    <row r="5638" spans="1:33" x14ac:dyDescent="0.25">
      <c r="A5638" t="str">
        <f>"1598784134"</f>
        <v>1598784134</v>
      </c>
      <c r="B5638" t="str">
        <f>"00896346"</f>
        <v>00896346</v>
      </c>
      <c r="C5638" t="s">
        <v>13436</v>
      </c>
      <c r="D5638" t="s">
        <v>27308</v>
      </c>
      <c r="E5638" t="s">
        <v>27309</v>
      </c>
      <c r="G5638" t="s">
        <v>27310</v>
      </c>
      <c r="L5638" t="s">
        <v>102</v>
      </c>
      <c r="M5638" t="s">
        <v>75</v>
      </c>
      <c r="R5638" t="s">
        <v>27311</v>
      </c>
      <c r="W5638" t="s">
        <v>27309</v>
      </c>
      <c r="X5638" t="s">
        <v>27312</v>
      </c>
      <c r="Y5638" t="s">
        <v>97</v>
      </c>
      <c r="Z5638" t="s">
        <v>77</v>
      </c>
      <c r="AA5638" t="str">
        <f>"10029-6500"</f>
        <v>10029-6500</v>
      </c>
      <c r="AB5638" t="s">
        <v>78</v>
      </c>
      <c r="AC5638" t="s">
        <v>79</v>
      </c>
      <c r="AD5638" t="s">
        <v>75</v>
      </c>
      <c r="AE5638" t="s">
        <v>80</v>
      </c>
      <c r="AG5638" t="s">
        <v>81</v>
      </c>
    </row>
    <row r="5639" spans="1:33" x14ac:dyDescent="0.25">
      <c r="A5639" t="str">
        <f>"1144540964"</f>
        <v>1144540964</v>
      </c>
      <c r="B5639" t="str">
        <f>"04546829"</f>
        <v>04546829</v>
      </c>
      <c r="C5639" t="s">
        <v>13436</v>
      </c>
      <c r="D5639" t="s">
        <v>27313</v>
      </c>
      <c r="E5639" t="s">
        <v>27314</v>
      </c>
      <c r="L5639" t="s">
        <v>102</v>
      </c>
      <c r="M5639" t="s">
        <v>75</v>
      </c>
      <c r="R5639" t="s">
        <v>27315</v>
      </c>
      <c r="W5639" t="s">
        <v>27314</v>
      </c>
      <c r="AB5639" t="s">
        <v>78</v>
      </c>
      <c r="AC5639" t="s">
        <v>79</v>
      </c>
      <c r="AD5639" t="s">
        <v>75</v>
      </c>
      <c r="AE5639" t="s">
        <v>80</v>
      </c>
      <c r="AG5639" t="s">
        <v>81</v>
      </c>
    </row>
    <row r="5640" spans="1:33" x14ac:dyDescent="0.25">
      <c r="A5640" t="str">
        <f>"1144547050"</f>
        <v>1144547050</v>
      </c>
      <c r="B5640" t="str">
        <f>"03294608"</f>
        <v>03294608</v>
      </c>
      <c r="C5640" t="s">
        <v>13436</v>
      </c>
      <c r="D5640" t="s">
        <v>27316</v>
      </c>
      <c r="E5640" t="s">
        <v>27317</v>
      </c>
      <c r="L5640" t="s">
        <v>74</v>
      </c>
      <c r="M5640" t="s">
        <v>75</v>
      </c>
      <c r="R5640" t="s">
        <v>27318</v>
      </c>
      <c r="W5640" t="s">
        <v>27317</v>
      </c>
      <c r="X5640" t="s">
        <v>365</v>
      </c>
      <c r="Y5640" t="s">
        <v>190</v>
      </c>
      <c r="Z5640" t="s">
        <v>77</v>
      </c>
      <c r="AA5640" t="str">
        <f>"11102-2448"</f>
        <v>11102-2448</v>
      </c>
      <c r="AB5640" t="s">
        <v>78</v>
      </c>
      <c r="AC5640" t="s">
        <v>79</v>
      </c>
      <c r="AD5640" t="s">
        <v>75</v>
      </c>
      <c r="AE5640" t="s">
        <v>80</v>
      </c>
      <c r="AG5640" t="s">
        <v>81</v>
      </c>
    </row>
    <row r="5641" spans="1:33" x14ac:dyDescent="0.25">
      <c r="A5641" t="str">
        <f>"1144562125"</f>
        <v>1144562125</v>
      </c>
      <c r="C5641" t="s">
        <v>13436</v>
      </c>
      <c r="K5641" t="s">
        <v>99</v>
      </c>
      <c r="L5641" t="s">
        <v>102</v>
      </c>
      <c r="M5641" t="s">
        <v>75</v>
      </c>
      <c r="R5641" t="s">
        <v>27319</v>
      </c>
      <c r="S5641" t="s">
        <v>27320</v>
      </c>
      <c r="T5641" t="s">
        <v>4483</v>
      </c>
      <c r="U5641" t="s">
        <v>1842</v>
      </c>
      <c r="V5641" t="str">
        <f>"065208070"</f>
        <v>065208070</v>
      </c>
      <c r="AC5641" t="s">
        <v>79</v>
      </c>
      <c r="AD5641" t="s">
        <v>75</v>
      </c>
      <c r="AE5641" t="s">
        <v>103</v>
      </c>
      <c r="AG5641" t="s">
        <v>81</v>
      </c>
    </row>
    <row r="5642" spans="1:33" x14ac:dyDescent="0.25">
      <c r="A5642" t="str">
        <f>"1881820363"</f>
        <v>1881820363</v>
      </c>
      <c r="B5642" t="str">
        <f>"03489750"</f>
        <v>03489750</v>
      </c>
      <c r="C5642" t="s">
        <v>13436</v>
      </c>
      <c r="D5642" t="s">
        <v>27321</v>
      </c>
      <c r="E5642" t="s">
        <v>27322</v>
      </c>
      <c r="G5642" t="s">
        <v>27323</v>
      </c>
      <c r="L5642" t="s">
        <v>83</v>
      </c>
      <c r="M5642" t="s">
        <v>85</v>
      </c>
      <c r="R5642" t="s">
        <v>27324</v>
      </c>
      <c r="W5642" t="s">
        <v>27322</v>
      </c>
      <c r="X5642" t="s">
        <v>181</v>
      </c>
      <c r="Y5642" t="s">
        <v>97</v>
      </c>
      <c r="Z5642" t="s">
        <v>77</v>
      </c>
      <c r="AA5642" t="str">
        <f>"10025-1716"</f>
        <v>10025-1716</v>
      </c>
      <c r="AB5642" t="s">
        <v>78</v>
      </c>
      <c r="AC5642" t="s">
        <v>79</v>
      </c>
      <c r="AD5642" t="s">
        <v>75</v>
      </c>
      <c r="AE5642" t="s">
        <v>80</v>
      </c>
      <c r="AG5642" t="s">
        <v>81</v>
      </c>
    </row>
    <row r="5643" spans="1:33" x14ac:dyDescent="0.25">
      <c r="A5643" t="str">
        <f>"1881821122"</f>
        <v>1881821122</v>
      </c>
      <c r="B5643" t="str">
        <f>"04249872"</f>
        <v>04249872</v>
      </c>
      <c r="C5643" t="s">
        <v>13436</v>
      </c>
      <c r="D5643" t="s">
        <v>27325</v>
      </c>
      <c r="E5643" t="s">
        <v>27326</v>
      </c>
      <c r="G5643" t="s">
        <v>27327</v>
      </c>
      <c r="L5643" t="s">
        <v>74</v>
      </c>
      <c r="M5643" t="s">
        <v>85</v>
      </c>
      <c r="R5643" t="s">
        <v>27328</v>
      </c>
      <c r="W5643" t="s">
        <v>27326</v>
      </c>
      <c r="X5643" t="s">
        <v>16708</v>
      </c>
      <c r="Y5643" t="s">
        <v>97</v>
      </c>
      <c r="Z5643" t="s">
        <v>77</v>
      </c>
      <c r="AA5643" t="str">
        <f>"10024-5116"</f>
        <v>10024-5116</v>
      </c>
      <c r="AB5643" t="s">
        <v>78</v>
      </c>
      <c r="AC5643" t="s">
        <v>79</v>
      </c>
      <c r="AD5643" t="s">
        <v>75</v>
      </c>
      <c r="AE5643" t="s">
        <v>80</v>
      </c>
      <c r="AG5643" t="s">
        <v>81</v>
      </c>
    </row>
    <row r="5644" spans="1:33" x14ac:dyDescent="0.25">
      <c r="A5644" t="str">
        <f>"1881840072"</f>
        <v>1881840072</v>
      </c>
      <c r="C5644" t="s">
        <v>13436</v>
      </c>
      <c r="G5644" t="s">
        <v>27329</v>
      </c>
      <c r="K5644" t="s">
        <v>99</v>
      </c>
      <c r="L5644" t="s">
        <v>102</v>
      </c>
      <c r="M5644" t="s">
        <v>75</v>
      </c>
      <c r="R5644" t="s">
        <v>27330</v>
      </c>
      <c r="S5644" t="s">
        <v>27331</v>
      </c>
      <c r="T5644" t="s">
        <v>97</v>
      </c>
      <c r="U5644" t="s">
        <v>77</v>
      </c>
      <c r="V5644" t="str">
        <f>"100191147"</f>
        <v>100191147</v>
      </c>
      <c r="AC5644" t="s">
        <v>79</v>
      </c>
      <c r="AD5644" t="s">
        <v>75</v>
      </c>
      <c r="AE5644" t="s">
        <v>103</v>
      </c>
      <c r="AG5644" t="s">
        <v>81</v>
      </c>
    </row>
    <row r="5645" spans="1:33" x14ac:dyDescent="0.25">
      <c r="A5645" t="str">
        <f>"1285696005"</f>
        <v>1285696005</v>
      </c>
      <c r="B5645" t="str">
        <f>"03743579"</f>
        <v>03743579</v>
      </c>
      <c r="C5645" t="s">
        <v>13436</v>
      </c>
      <c r="D5645" t="s">
        <v>27332</v>
      </c>
      <c r="E5645" t="s">
        <v>27333</v>
      </c>
      <c r="L5645" t="s">
        <v>74</v>
      </c>
      <c r="M5645" t="s">
        <v>75</v>
      </c>
      <c r="R5645" t="s">
        <v>27334</v>
      </c>
      <c r="W5645" t="s">
        <v>27333</v>
      </c>
      <c r="X5645" t="s">
        <v>168</v>
      </c>
      <c r="Y5645" t="s">
        <v>155</v>
      </c>
      <c r="Z5645" t="s">
        <v>77</v>
      </c>
      <c r="AA5645" t="str">
        <f>"10310-1664"</f>
        <v>10310-1664</v>
      </c>
      <c r="AB5645" t="s">
        <v>78</v>
      </c>
      <c r="AC5645" t="s">
        <v>79</v>
      </c>
      <c r="AD5645" t="s">
        <v>75</v>
      </c>
      <c r="AE5645" t="s">
        <v>80</v>
      </c>
      <c r="AG5645" t="s">
        <v>81</v>
      </c>
    </row>
    <row r="5646" spans="1:33" x14ac:dyDescent="0.25">
      <c r="A5646" t="str">
        <f>"1285696260"</f>
        <v>1285696260</v>
      </c>
      <c r="B5646" t="str">
        <f>"01249123"</f>
        <v>01249123</v>
      </c>
      <c r="C5646" t="s">
        <v>13436</v>
      </c>
      <c r="D5646" t="s">
        <v>27335</v>
      </c>
      <c r="E5646" t="s">
        <v>27336</v>
      </c>
      <c r="G5646" t="s">
        <v>27337</v>
      </c>
      <c r="L5646" t="s">
        <v>84</v>
      </c>
      <c r="M5646" t="s">
        <v>75</v>
      </c>
      <c r="R5646" t="s">
        <v>27338</v>
      </c>
      <c r="W5646" t="s">
        <v>27339</v>
      </c>
      <c r="X5646" t="s">
        <v>27340</v>
      </c>
      <c r="Y5646" t="s">
        <v>87</v>
      </c>
      <c r="Z5646" t="s">
        <v>77</v>
      </c>
      <c r="AA5646" t="str">
        <f>"11201-1402"</f>
        <v>11201-1402</v>
      </c>
      <c r="AB5646" t="s">
        <v>78</v>
      </c>
      <c r="AC5646" t="s">
        <v>79</v>
      </c>
      <c r="AD5646" t="s">
        <v>75</v>
      </c>
      <c r="AE5646" t="s">
        <v>80</v>
      </c>
      <c r="AG5646" t="s">
        <v>81</v>
      </c>
    </row>
    <row r="5647" spans="1:33" x14ac:dyDescent="0.25">
      <c r="A5647" t="str">
        <f>"1326313370"</f>
        <v>1326313370</v>
      </c>
      <c r="C5647" t="s">
        <v>13436</v>
      </c>
      <c r="G5647" t="s">
        <v>27341</v>
      </c>
      <c r="K5647" t="s">
        <v>99</v>
      </c>
      <c r="L5647" t="s">
        <v>102</v>
      </c>
      <c r="M5647" t="s">
        <v>75</v>
      </c>
      <c r="R5647" t="s">
        <v>27342</v>
      </c>
      <c r="S5647" t="s">
        <v>27343</v>
      </c>
      <c r="T5647" t="s">
        <v>1747</v>
      </c>
      <c r="U5647" t="s">
        <v>285</v>
      </c>
      <c r="V5647" t="str">
        <f>"627032403"</f>
        <v>627032403</v>
      </c>
      <c r="AC5647" t="s">
        <v>79</v>
      </c>
      <c r="AD5647" t="s">
        <v>75</v>
      </c>
      <c r="AE5647" t="s">
        <v>103</v>
      </c>
      <c r="AG5647" t="s">
        <v>81</v>
      </c>
    </row>
    <row r="5648" spans="1:33" x14ac:dyDescent="0.25">
      <c r="A5648" t="str">
        <f>"1326332180"</f>
        <v>1326332180</v>
      </c>
      <c r="C5648" t="s">
        <v>13436</v>
      </c>
      <c r="K5648" t="s">
        <v>99</v>
      </c>
      <c r="L5648" t="s">
        <v>102</v>
      </c>
      <c r="M5648" t="s">
        <v>75</v>
      </c>
      <c r="R5648" t="s">
        <v>27344</v>
      </c>
      <c r="S5648" t="s">
        <v>4633</v>
      </c>
      <c r="T5648" t="s">
        <v>27345</v>
      </c>
      <c r="U5648" t="s">
        <v>1784</v>
      </c>
      <c r="V5648" t="str">
        <f>"191405103"</f>
        <v>191405103</v>
      </c>
      <c r="AC5648" t="s">
        <v>79</v>
      </c>
      <c r="AD5648" t="s">
        <v>75</v>
      </c>
      <c r="AE5648" t="s">
        <v>103</v>
      </c>
      <c r="AG5648" t="s">
        <v>81</v>
      </c>
    </row>
    <row r="5649" spans="1:33" x14ac:dyDescent="0.25">
      <c r="A5649" t="str">
        <f>"1578839205"</f>
        <v>1578839205</v>
      </c>
      <c r="C5649" t="s">
        <v>13436</v>
      </c>
      <c r="K5649" t="s">
        <v>99</v>
      </c>
      <c r="L5649" t="s">
        <v>102</v>
      </c>
      <c r="M5649" t="s">
        <v>75</v>
      </c>
      <c r="R5649" t="s">
        <v>27346</v>
      </c>
      <c r="S5649" t="s">
        <v>27347</v>
      </c>
      <c r="T5649" t="s">
        <v>27348</v>
      </c>
      <c r="U5649" t="s">
        <v>5646</v>
      </c>
      <c r="V5649" t="str">
        <f>"722112047"</f>
        <v>722112047</v>
      </c>
      <c r="AC5649" t="s">
        <v>79</v>
      </c>
      <c r="AD5649" t="s">
        <v>75</v>
      </c>
      <c r="AE5649" t="s">
        <v>103</v>
      </c>
      <c r="AG5649" t="s">
        <v>81</v>
      </c>
    </row>
    <row r="5650" spans="1:33" x14ac:dyDescent="0.25">
      <c r="A5650" t="str">
        <f>"1548266471"</f>
        <v>1548266471</v>
      </c>
      <c r="B5650" t="str">
        <f>"01971306"</f>
        <v>01971306</v>
      </c>
      <c r="C5650" t="s">
        <v>13436</v>
      </c>
      <c r="D5650" t="s">
        <v>27349</v>
      </c>
      <c r="E5650" t="s">
        <v>27350</v>
      </c>
      <c r="G5650" t="s">
        <v>27351</v>
      </c>
      <c r="L5650" t="s">
        <v>83</v>
      </c>
      <c r="M5650" t="s">
        <v>85</v>
      </c>
      <c r="R5650" t="s">
        <v>27350</v>
      </c>
      <c r="W5650" t="s">
        <v>27350</v>
      </c>
      <c r="X5650" t="s">
        <v>27352</v>
      </c>
      <c r="Y5650" t="s">
        <v>160</v>
      </c>
      <c r="Z5650" t="s">
        <v>77</v>
      </c>
      <c r="AA5650" t="str">
        <f>"11030-3008"</f>
        <v>11030-3008</v>
      </c>
      <c r="AB5650" t="s">
        <v>78</v>
      </c>
      <c r="AC5650" t="s">
        <v>79</v>
      </c>
      <c r="AD5650" t="s">
        <v>75</v>
      </c>
      <c r="AE5650" t="s">
        <v>80</v>
      </c>
      <c r="AG5650" t="s">
        <v>81</v>
      </c>
    </row>
    <row r="5651" spans="1:33" x14ac:dyDescent="0.25">
      <c r="A5651" t="str">
        <f>"1548286529"</f>
        <v>1548286529</v>
      </c>
      <c r="B5651" t="str">
        <f>"02494833"</f>
        <v>02494833</v>
      </c>
      <c r="C5651" t="s">
        <v>13436</v>
      </c>
      <c r="D5651" t="s">
        <v>27353</v>
      </c>
      <c r="E5651" t="s">
        <v>27354</v>
      </c>
      <c r="L5651" t="s">
        <v>74</v>
      </c>
      <c r="M5651" t="s">
        <v>75</v>
      </c>
      <c r="R5651" t="s">
        <v>27355</v>
      </c>
      <c r="W5651" t="s">
        <v>27354</v>
      </c>
      <c r="X5651" t="s">
        <v>1171</v>
      </c>
      <c r="Y5651" t="s">
        <v>171</v>
      </c>
      <c r="Z5651" t="s">
        <v>77</v>
      </c>
      <c r="AA5651" t="str">
        <f>"11418"</f>
        <v>11418</v>
      </c>
      <c r="AB5651" t="s">
        <v>78</v>
      </c>
      <c r="AC5651" t="s">
        <v>79</v>
      </c>
      <c r="AD5651" t="s">
        <v>75</v>
      </c>
      <c r="AE5651" t="s">
        <v>80</v>
      </c>
      <c r="AG5651" t="s">
        <v>81</v>
      </c>
    </row>
    <row r="5652" spans="1:33" x14ac:dyDescent="0.25">
      <c r="A5652" t="str">
        <f>"1548288673"</f>
        <v>1548288673</v>
      </c>
      <c r="B5652" t="str">
        <f>"02808102"</f>
        <v>02808102</v>
      </c>
      <c r="C5652" t="s">
        <v>13436</v>
      </c>
      <c r="D5652" t="s">
        <v>27356</v>
      </c>
      <c r="E5652" t="s">
        <v>27357</v>
      </c>
      <c r="G5652" t="s">
        <v>27358</v>
      </c>
      <c r="L5652" t="s">
        <v>83</v>
      </c>
      <c r="M5652" t="s">
        <v>85</v>
      </c>
      <c r="R5652" t="s">
        <v>27359</v>
      </c>
      <c r="W5652" t="s">
        <v>27357</v>
      </c>
      <c r="X5652" t="s">
        <v>4029</v>
      </c>
      <c r="Y5652" t="s">
        <v>97</v>
      </c>
      <c r="Z5652" t="s">
        <v>77</v>
      </c>
      <c r="AA5652" t="str">
        <f>"10029-6503"</f>
        <v>10029-6503</v>
      </c>
      <c r="AB5652" t="s">
        <v>78</v>
      </c>
      <c r="AC5652" t="s">
        <v>79</v>
      </c>
      <c r="AD5652" t="s">
        <v>75</v>
      </c>
      <c r="AE5652" t="s">
        <v>80</v>
      </c>
      <c r="AG5652" t="s">
        <v>81</v>
      </c>
    </row>
    <row r="5653" spans="1:33" x14ac:dyDescent="0.25">
      <c r="A5653" t="str">
        <f>"1548300874"</f>
        <v>1548300874</v>
      </c>
      <c r="B5653" t="str">
        <f>"03233589"</f>
        <v>03233589</v>
      </c>
      <c r="C5653" t="s">
        <v>13436</v>
      </c>
      <c r="D5653" t="s">
        <v>27360</v>
      </c>
      <c r="E5653" t="s">
        <v>27361</v>
      </c>
      <c r="G5653" t="s">
        <v>27362</v>
      </c>
      <c r="L5653" t="s">
        <v>74</v>
      </c>
      <c r="M5653" t="s">
        <v>75</v>
      </c>
      <c r="R5653" t="s">
        <v>27363</v>
      </c>
      <c r="W5653" t="s">
        <v>27361</v>
      </c>
      <c r="X5653" t="s">
        <v>27364</v>
      </c>
      <c r="Y5653" t="s">
        <v>97</v>
      </c>
      <c r="Z5653" t="s">
        <v>77</v>
      </c>
      <c r="AA5653" t="str">
        <f>"10031-2519"</f>
        <v>10031-2519</v>
      </c>
      <c r="AB5653" t="s">
        <v>78</v>
      </c>
      <c r="AC5653" t="s">
        <v>79</v>
      </c>
      <c r="AD5653" t="s">
        <v>75</v>
      </c>
      <c r="AE5653" t="s">
        <v>80</v>
      </c>
      <c r="AG5653" t="s">
        <v>81</v>
      </c>
    </row>
    <row r="5654" spans="1:33" x14ac:dyDescent="0.25">
      <c r="A5654" t="str">
        <f>"1548311475"</f>
        <v>1548311475</v>
      </c>
      <c r="B5654" t="str">
        <f>"01294600"</f>
        <v>01294600</v>
      </c>
      <c r="C5654" t="s">
        <v>13436</v>
      </c>
      <c r="D5654" t="s">
        <v>27365</v>
      </c>
      <c r="E5654" t="s">
        <v>27366</v>
      </c>
      <c r="L5654" t="s">
        <v>74</v>
      </c>
      <c r="M5654" t="s">
        <v>75</v>
      </c>
      <c r="R5654" t="s">
        <v>27366</v>
      </c>
      <c r="W5654" t="s">
        <v>27366</v>
      </c>
      <c r="X5654" t="s">
        <v>27367</v>
      </c>
      <c r="Y5654" t="s">
        <v>87</v>
      </c>
      <c r="Z5654" t="s">
        <v>77</v>
      </c>
      <c r="AA5654" t="str">
        <f>"11226-5904"</f>
        <v>11226-5904</v>
      </c>
      <c r="AB5654" t="s">
        <v>78</v>
      </c>
      <c r="AC5654" t="s">
        <v>79</v>
      </c>
      <c r="AD5654" t="s">
        <v>75</v>
      </c>
      <c r="AE5654" t="s">
        <v>80</v>
      </c>
      <c r="AG5654" t="s">
        <v>81</v>
      </c>
    </row>
    <row r="5655" spans="1:33" x14ac:dyDescent="0.25">
      <c r="A5655" t="str">
        <f>"1235114984"</f>
        <v>1235114984</v>
      </c>
      <c r="B5655" t="str">
        <f>"02057436"</f>
        <v>02057436</v>
      </c>
      <c r="C5655" t="s">
        <v>13436</v>
      </c>
      <c r="D5655" t="s">
        <v>27368</v>
      </c>
      <c r="E5655" t="s">
        <v>27369</v>
      </c>
      <c r="G5655" t="s">
        <v>27370</v>
      </c>
      <c r="L5655" t="s">
        <v>83</v>
      </c>
      <c r="M5655" t="s">
        <v>85</v>
      </c>
      <c r="R5655" t="s">
        <v>27371</v>
      </c>
      <c r="W5655" t="s">
        <v>27372</v>
      </c>
      <c r="X5655" t="s">
        <v>329</v>
      </c>
      <c r="Y5655" t="s">
        <v>97</v>
      </c>
      <c r="Z5655" t="s">
        <v>77</v>
      </c>
      <c r="AA5655" t="str">
        <f>"10029-6500"</f>
        <v>10029-6500</v>
      </c>
      <c r="AB5655" t="s">
        <v>78</v>
      </c>
      <c r="AC5655" t="s">
        <v>79</v>
      </c>
      <c r="AD5655" t="s">
        <v>75</v>
      </c>
      <c r="AE5655" t="s">
        <v>80</v>
      </c>
      <c r="AG5655" t="s">
        <v>81</v>
      </c>
    </row>
    <row r="5656" spans="1:33" x14ac:dyDescent="0.25">
      <c r="A5656" t="str">
        <f>"1669639662"</f>
        <v>1669639662</v>
      </c>
      <c r="B5656" t="str">
        <f>"03217489"</f>
        <v>03217489</v>
      </c>
      <c r="C5656" t="s">
        <v>13436</v>
      </c>
      <c r="D5656" t="s">
        <v>5692</v>
      </c>
      <c r="E5656" t="s">
        <v>5693</v>
      </c>
      <c r="G5656" t="s">
        <v>27373</v>
      </c>
      <c r="L5656" t="s">
        <v>83</v>
      </c>
      <c r="M5656" t="s">
        <v>85</v>
      </c>
      <c r="R5656" t="s">
        <v>5694</v>
      </c>
      <c r="W5656" t="s">
        <v>5693</v>
      </c>
      <c r="X5656" t="s">
        <v>2587</v>
      </c>
      <c r="Y5656" t="s">
        <v>97</v>
      </c>
      <c r="Z5656" t="s">
        <v>77</v>
      </c>
      <c r="AA5656" t="str">
        <f>"10003-3314"</f>
        <v>10003-3314</v>
      </c>
      <c r="AB5656" t="s">
        <v>78</v>
      </c>
      <c r="AC5656" t="s">
        <v>79</v>
      </c>
      <c r="AD5656" t="s">
        <v>75</v>
      </c>
      <c r="AE5656" t="s">
        <v>80</v>
      </c>
      <c r="AG5656" t="s">
        <v>81</v>
      </c>
    </row>
    <row r="5657" spans="1:33" x14ac:dyDescent="0.25">
      <c r="A5657" t="str">
        <f>"1679549265"</f>
        <v>1679549265</v>
      </c>
      <c r="B5657" t="str">
        <f>"02049241"</f>
        <v>02049241</v>
      </c>
      <c r="C5657" t="s">
        <v>13436</v>
      </c>
      <c r="D5657" t="s">
        <v>27374</v>
      </c>
      <c r="E5657" t="s">
        <v>27375</v>
      </c>
      <c r="G5657" t="s">
        <v>27376</v>
      </c>
      <c r="L5657" t="s">
        <v>84</v>
      </c>
      <c r="M5657" t="s">
        <v>85</v>
      </c>
      <c r="R5657" t="s">
        <v>27377</v>
      </c>
      <c r="W5657" t="s">
        <v>27375</v>
      </c>
      <c r="X5657" t="s">
        <v>4799</v>
      </c>
      <c r="Y5657" t="s">
        <v>87</v>
      </c>
      <c r="Z5657" t="s">
        <v>77</v>
      </c>
      <c r="AA5657" t="str">
        <f>"11234-2625"</f>
        <v>11234-2625</v>
      </c>
      <c r="AB5657" t="s">
        <v>78</v>
      </c>
      <c r="AC5657" t="s">
        <v>79</v>
      </c>
      <c r="AD5657" t="s">
        <v>75</v>
      </c>
      <c r="AE5657" t="s">
        <v>80</v>
      </c>
      <c r="AG5657" t="s">
        <v>81</v>
      </c>
    </row>
    <row r="5658" spans="1:33" x14ac:dyDescent="0.25">
      <c r="A5658" t="str">
        <f>"1679560692"</f>
        <v>1679560692</v>
      </c>
      <c r="B5658" t="str">
        <f>"00965664"</f>
        <v>00965664</v>
      </c>
      <c r="C5658" t="s">
        <v>13436</v>
      </c>
      <c r="D5658" t="s">
        <v>27378</v>
      </c>
      <c r="E5658" t="s">
        <v>27379</v>
      </c>
      <c r="G5658" t="s">
        <v>27380</v>
      </c>
      <c r="L5658" t="s">
        <v>83</v>
      </c>
      <c r="M5658" t="s">
        <v>85</v>
      </c>
      <c r="R5658" t="s">
        <v>27381</v>
      </c>
      <c r="W5658" t="s">
        <v>27379</v>
      </c>
      <c r="X5658" t="s">
        <v>27382</v>
      </c>
      <c r="Y5658" t="s">
        <v>87</v>
      </c>
      <c r="Z5658" t="s">
        <v>77</v>
      </c>
      <c r="AA5658" t="str">
        <f>"11234-5117"</f>
        <v>11234-5117</v>
      </c>
      <c r="AB5658" t="s">
        <v>78</v>
      </c>
      <c r="AC5658" t="s">
        <v>79</v>
      </c>
      <c r="AD5658" t="s">
        <v>75</v>
      </c>
      <c r="AE5658" t="s">
        <v>80</v>
      </c>
      <c r="AG5658" t="s">
        <v>81</v>
      </c>
    </row>
    <row r="5659" spans="1:33" x14ac:dyDescent="0.25">
      <c r="A5659" t="str">
        <f>"1679749477"</f>
        <v>1679749477</v>
      </c>
      <c r="B5659" t="str">
        <f>"03039067"</f>
        <v>03039067</v>
      </c>
      <c r="C5659" t="s">
        <v>13436</v>
      </c>
      <c r="D5659" t="s">
        <v>27383</v>
      </c>
      <c r="E5659" t="s">
        <v>27384</v>
      </c>
      <c r="G5659" t="s">
        <v>27385</v>
      </c>
      <c r="L5659" t="s">
        <v>83</v>
      </c>
      <c r="M5659" t="s">
        <v>85</v>
      </c>
      <c r="R5659" t="s">
        <v>27386</v>
      </c>
      <c r="W5659" t="s">
        <v>27387</v>
      </c>
      <c r="X5659" t="s">
        <v>86</v>
      </c>
      <c r="Y5659" t="s">
        <v>87</v>
      </c>
      <c r="Z5659" t="s">
        <v>77</v>
      </c>
      <c r="AA5659" t="str">
        <f>"11220-2559"</f>
        <v>11220-2559</v>
      </c>
      <c r="AB5659" t="s">
        <v>78</v>
      </c>
      <c r="AC5659" t="s">
        <v>79</v>
      </c>
      <c r="AD5659" t="s">
        <v>75</v>
      </c>
      <c r="AE5659" t="s">
        <v>80</v>
      </c>
      <c r="AG5659" t="s">
        <v>81</v>
      </c>
    </row>
    <row r="5660" spans="1:33" x14ac:dyDescent="0.25">
      <c r="A5660" t="str">
        <f>"1699869883"</f>
        <v>1699869883</v>
      </c>
      <c r="B5660" t="str">
        <f>"01919319"</f>
        <v>01919319</v>
      </c>
      <c r="C5660" t="s">
        <v>13436</v>
      </c>
      <c r="D5660" t="s">
        <v>27388</v>
      </c>
      <c r="E5660" t="s">
        <v>27389</v>
      </c>
      <c r="G5660" t="s">
        <v>27390</v>
      </c>
      <c r="L5660" t="s">
        <v>83</v>
      </c>
      <c r="M5660" t="s">
        <v>85</v>
      </c>
      <c r="R5660" t="s">
        <v>27391</v>
      </c>
      <c r="W5660" t="s">
        <v>27389</v>
      </c>
      <c r="X5660" t="s">
        <v>443</v>
      </c>
      <c r="Y5660" t="s">
        <v>97</v>
      </c>
      <c r="Z5660" t="s">
        <v>77</v>
      </c>
      <c r="AA5660" t="str">
        <f>"10075-1850"</f>
        <v>10075-1850</v>
      </c>
      <c r="AB5660" t="s">
        <v>78</v>
      </c>
      <c r="AC5660" t="s">
        <v>79</v>
      </c>
      <c r="AD5660" t="s">
        <v>75</v>
      </c>
      <c r="AE5660" t="s">
        <v>80</v>
      </c>
      <c r="AG5660" t="s">
        <v>81</v>
      </c>
    </row>
    <row r="5661" spans="1:33" x14ac:dyDescent="0.25">
      <c r="A5661" t="str">
        <f>"1700815032"</f>
        <v>1700815032</v>
      </c>
      <c r="B5661" t="str">
        <f>"01732443"</f>
        <v>01732443</v>
      </c>
      <c r="C5661" t="s">
        <v>13436</v>
      </c>
      <c r="D5661" t="s">
        <v>27392</v>
      </c>
      <c r="E5661" t="s">
        <v>27393</v>
      </c>
      <c r="G5661" t="s">
        <v>27394</v>
      </c>
      <c r="L5661" t="s">
        <v>83</v>
      </c>
      <c r="M5661" t="s">
        <v>85</v>
      </c>
      <c r="R5661" t="s">
        <v>27395</v>
      </c>
      <c r="W5661" t="s">
        <v>27393</v>
      </c>
      <c r="X5661" t="s">
        <v>175</v>
      </c>
      <c r="Y5661" t="s">
        <v>87</v>
      </c>
      <c r="Z5661" t="s">
        <v>77</v>
      </c>
      <c r="AA5661" t="str">
        <f>"11235-7745"</f>
        <v>11235-7745</v>
      </c>
      <c r="AB5661" t="s">
        <v>78</v>
      </c>
      <c r="AC5661" t="s">
        <v>79</v>
      </c>
      <c r="AD5661" t="s">
        <v>75</v>
      </c>
      <c r="AE5661" t="s">
        <v>80</v>
      </c>
      <c r="AG5661" t="s">
        <v>81</v>
      </c>
    </row>
    <row r="5662" spans="1:33" x14ac:dyDescent="0.25">
      <c r="A5662" t="str">
        <f>"1700840428"</f>
        <v>1700840428</v>
      </c>
      <c r="B5662" t="str">
        <f>"01753355"</f>
        <v>01753355</v>
      </c>
      <c r="C5662" t="s">
        <v>13436</v>
      </c>
      <c r="D5662" t="s">
        <v>27396</v>
      </c>
      <c r="E5662" t="s">
        <v>27397</v>
      </c>
      <c r="G5662" t="s">
        <v>27398</v>
      </c>
      <c r="L5662" t="s">
        <v>102</v>
      </c>
      <c r="M5662" t="s">
        <v>85</v>
      </c>
      <c r="R5662" t="s">
        <v>27399</v>
      </c>
      <c r="W5662" t="s">
        <v>27397</v>
      </c>
      <c r="X5662" t="s">
        <v>27400</v>
      </c>
      <c r="Y5662" t="s">
        <v>97</v>
      </c>
      <c r="Z5662" t="s">
        <v>77</v>
      </c>
      <c r="AA5662" t="str">
        <f>"10016-3823"</f>
        <v>10016-3823</v>
      </c>
      <c r="AB5662" t="s">
        <v>78</v>
      </c>
      <c r="AC5662" t="s">
        <v>79</v>
      </c>
      <c r="AD5662" t="s">
        <v>75</v>
      </c>
      <c r="AE5662" t="s">
        <v>80</v>
      </c>
      <c r="AG5662" t="s">
        <v>81</v>
      </c>
    </row>
    <row r="5663" spans="1:33" x14ac:dyDescent="0.25">
      <c r="A5663" t="str">
        <f>"1437107810"</f>
        <v>1437107810</v>
      </c>
      <c r="B5663" t="str">
        <f>"01135437"</f>
        <v>01135437</v>
      </c>
      <c r="C5663" t="s">
        <v>13436</v>
      </c>
      <c r="D5663" t="s">
        <v>27401</v>
      </c>
      <c r="E5663" t="s">
        <v>27402</v>
      </c>
      <c r="G5663" t="s">
        <v>27403</v>
      </c>
      <c r="L5663" t="s">
        <v>83</v>
      </c>
      <c r="M5663" t="s">
        <v>85</v>
      </c>
      <c r="R5663" t="s">
        <v>27404</v>
      </c>
      <c r="W5663" t="s">
        <v>27402</v>
      </c>
      <c r="X5663" t="s">
        <v>2926</v>
      </c>
      <c r="Y5663" t="s">
        <v>97</v>
      </c>
      <c r="Z5663" t="s">
        <v>77</v>
      </c>
      <c r="AA5663" t="str">
        <f>"10029-6503"</f>
        <v>10029-6503</v>
      </c>
      <c r="AB5663" t="s">
        <v>78</v>
      </c>
      <c r="AC5663" t="s">
        <v>79</v>
      </c>
      <c r="AD5663" t="s">
        <v>75</v>
      </c>
      <c r="AE5663" t="s">
        <v>80</v>
      </c>
      <c r="AG5663" t="s">
        <v>81</v>
      </c>
    </row>
    <row r="5664" spans="1:33" x14ac:dyDescent="0.25">
      <c r="A5664" t="str">
        <f>"1437128378"</f>
        <v>1437128378</v>
      </c>
      <c r="B5664" t="str">
        <f>"01439138"</f>
        <v>01439138</v>
      </c>
      <c r="C5664" t="s">
        <v>13436</v>
      </c>
      <c r="D5664" t="s">
        <v>27405</v>
      </c>
      <c r="E5664" t="s">
        <v>27406</v>
      </c>
      <c r="G5664" t="s">
        <v>27407</v>
      </c>
      <c r="L5664" t="s">
        <v>74</v>
      </c>
      <c r="M5664" t="s">
        <v>85</v>
      </c>
      <c r="R5664" t="s">
        <v>27408</v>
      </c>
      <c r="W5664" t="s">
        <v>27406</v>
      </c>
      <c r="Y5664" t="s">
        <v>97</v>
      </c>
      <c r="Z5664" t="s">
        <v>77</v>
      </c>
      <c r="AA5664" t="str">
        <f>"10029-6500"</f>
        <v>10029-6500</v>
      </c>
      <c r="AB5664" t="s">
        <v>78</v>
      </c>
      <c r="AC5664" t="s">
        <v>79</v>
      </c>
      <c r="AD5664" t="s">
        <v>75</v>
      </c>
      <c r="AE5664" t="s">
        <v>80</v>
      </c>
      <c r="AG5664" t="s">
        <v>81</v>
      </c>
    </row>
    <row r="5665" spans="1:33" x14ac:dyDescent="0.25">
      <c r="A5665" t="str">
        <f>"1528169802"</f>
        <v>1528169802</v>
      </c>
      <c r="B5665" t="str">
        <f>"00275874"</f>
        <v>00275874</v>
      </c>
      <c r="C5665" t="s">
        <v>13436</v>
      </c>
      <c r="D5665" t="s">
        <v>27409</v>
      </c>
      <c r="E5665" t="s">
        <v>27410</v>
      </c>
      <c r="G5665" t="s">
        <v>27411</v>
      </c>
      <c r="L5665" t="s">
        <v>74</v>
      </c>
      <c r="M5665" t="s">
        <v>75</v>
      </c>
      <c r="R5665" t="s">
        <v>27412</v>
      </c>
      <c r="W5665" t="s">
        <v>27413</v>
      </c>
      <c r="X5665" t="s">
        <v>27414</v>
      </c>
      <c r="Y5665" t="s">
        <v>97</v>
      </c>
      <c r="Z5665" t="s">
        <v>77</v>
      </c>
      <c r="AA5665" t="str">
        <f>"10010-5645"</f>
        <v>10010-5645</v>
      </c>
      <c r="AB5665" t="s">
        <v>78</v>
      </c>
      <c r="AC5665" t="s">
        <v>79</v>
      </c>
      <c r="AD5665" t="s">
        <v>75</v>
      </c>
      <c r="AE5665" t="s">
        <v>80</v>
      </c>
      <c r="AG5665" t="s">
        <v>81</v>
      </c>
    </row>
    <row r="5666" spans="1:33" x14ac:dyDescent="0.25">
      <c r="A5666" t="str">
        <f>"1528188190"</f>
        <v>1528188190</v>
      </c>
      <c r="B5666" t="str">
        <f>"03396283"</f>
        <v>03396283</v>
      </c>
      <c r="C5666" t="s">
        <v>13436</v>
      </c>
      <c r="D5666" t="s">
        <v>27415</v>
      </c>
      <c r="E5666" t="s">
        <v>27416</v>
      </c>
      <c r="G5666" t="s">
        <v>27417</v>
      </c>
      <c r="L5666" t="s">
        <v>84</v>
      </c>
      <c r="M5666" t="s">
        <v>85</v>
      </c>
      <c r="R5666" t="s">
        <v>27418</v>
      </c>
      <c r="W5666" t="s">
        <v>27416</v>
      </c>
      <c r="X5666" t="s">
        <v>329</v>
      </c>
      <c r="Y5666" t="s">
        <v>97</v>
      </c>
      <c r="Z5666" t="s">
        <v>77</v>
      </c>
      <c r="AA5666" t="str">
        <f>"10029-6500"</f>
        <v>10029-6500</v>
      </c>
      <c r="AB5666" t="s">
        <v>78</v>
      </c>
      <c r="AC5666" t="s">
        <v>79</v>
      </c>
      <c r="AD5666" t="s">
        <v>75</v>
      </c>
      <c r="AE5666" t="s">
        <v>80</v>
      </c>
      <c r="AG5666" t="s">
        <v>81</v>
      </c>
    </row>
    <row r="5667" spans="1:33" x14ac:dyDescent="0.25">
      <c r="A5667" t="str">
        <f>"1245651009"</f>
        <v>1245651009</v>
      </c>
      <c r="C5667" t="s">
        <v>13436</v>
      </c>
      <c r="K5667" t="s">
        <v>99</v>
      </c>
      <c r="L5667" t="s">
        <v>102</v>
      </c>
      <c r="M5667" t="s">
        <v>75</v>
      </c>
      <c r="R5667" t="s">
        <v>27419</v>
      </c>
      <c r="S5667" t="s">
        <v>27420</v>
      </c>
      <c r="T5667" t="s">
        <v>1846</v>
      </c>
      <c r="U5667" t="s">
        <v>1784</v>
      </c>
      <c r="V5667" t="str">
        <f>"152321309"</f>
        <v>152321309</v>
      </c>
      <c r="AC5667" t="s">
        <v>79</v>
      </c>
      <c r="AD5667" t="s">
        <v>75</v>
      </c>
      <c r="AE5667" t="s">
        <v>103</v>
      </c>
      <c r="AG5667" t="s">
        <v>81</v>
      </c>
    </row>
    <row r="5668" spans="1:33" x14ac:dyDescent="0.25">
      <c r="A5668" t="str">
        <f>"1245658293"</f>
        <v>1245658293</v>
      </c>
      <c r="C5668" t="s">
        <v>13436</v>
      </c>
      <c r="K5668" t="s">
        <v>99</v>
      </c>
      <c r="L5668" t="s">
        <v>102</v>
      </c>
      <c r="M5668" t="s">
        <v>75</v>
      </c>
      <c r="R5668" t="s">
        <v>27421</v>
      </c>
      <c r="S5668" t="s">
        <v>27422</v>
      </c>
      <c r="T5668" t="s">
        <v>2480</v>
      </c>
      <c r="U5668" t="s">
        <v>77</v>
      </c>
      <c r="V5668" t="str">
        <f>"115664935"</f>
        <v>115664935</v>
      </c>
      <c r="AC5668" t="s">
        <v>79</v>
      </c>
      <c r="AD5668" t="s">
        <v>75</v>
      </c>
      <c r="AE5668" t="s">
        <v>103</v>
      </c>
      <c r="AG5668" t="s">
        <v>81</v>
      </c>
    </row>
    <row r="5669" spans="1:33" x14ac:dyDescent="0.25">
      <c r="A5669" t="str">
        <f>"1245659911"</f>
        <v>1245659911</v>
      </c>
      <c r="B5669" t="str">
        <f>"04304629"</f>
        <v>04304629</v>
      </c>
      <c r="C5669" t="s">
        <v>13436</v>
      </c>
      <c r="D5669" t="s">
        <v>27423</v>
      </c>
      <c r="E5669" t="s">
        <v>27424</v>
      </c>
      <c r="L5669" t="s">
        <v>102</v>
      </c>
      <c r="M5669" t="s">
        <v>75</v>
      </c>
      <c r="R5669" t="s">
        <v>27425</v>
      </c>
      <c r="W5669" t="s">
        <v>27424</v>
      </c>
      <c r="X5669" t="s">
        <v>12304</v>
      </c>
      <c r="Y5669" t="s">
        <v>97</v>
      </c>
      <c r="Z5669" t="s">
        <v>77</v>
      </c>
      <c r="AA5669" t="str">
        <f>"10003-4201"</f>
        <v>10003-4201</v>
      </c>
      <c r="AB5669" t="s">
        <v>78</v>
      </c>
      <c r="AC5669" t="s">
        <v>79</v>
      </c>
      <c r="AD5669" t="s">
        <v>75</v>
      </c>
      <c r="AE5669" t="s">
        <v>80</v>
      </c>
      <c r="AG5669" t="s">
        <v>81</v>
      </c>
    </row>
    <row r="5670" spans="1:33" x14ac:dyDescent="0.25">
      <c r="A5670" t="str">
        <f>"1316380967"</f>
        <v>1316380967</v>
      </c>
      <c r="C5670" t="s">
        <v>13436</v>
      </c>
      <c r="K5670" t="s">
        <v>99</v>
      </c>
      <c r="L5670" t="s">
        <v>102</v>
      </c>
      <c r="M5670" t="s">
        <v>75</v>
      </c>
      <c r="R5670" t="s">
        <v>27426</v>
      </c>
      <c r="S5670" t="s">
        <v>12670</v>
      </c>
      <c r="T5670" t="s">
        <v>97</v>
      </c>
      <c r="U5670" t="s">
        <v>77</v>
      </c>
      <c r="V5670" t="str">
        <f>"100033821"</f>
        <v>100033821</v>
      </c>
      <c r="AC5670" t="s">
        <v>79</v>
      </c>
      <c r="AD5670" t="s">
        <v>75</v>
      </c>
      <c r="AE5670" t="s">
        <v>103</v>
      </c>
      <c r="AG5670" t="s">
        <v>81</v>
      </c>
    </row>
    <row r="5671" spans="1:33" x14ac:dyDescent="0.25">
      <c r="A5671" t="str">
        <f>"1316381106"</f>
        <v>1316381106</v>
      </c>
      <c r="C5671" t="s">
        <v>13436</v>
      </c>
      <c r="K5671" t="s">
        <v>99</v>
      </c>
      <c r="L5671" t="s">
        <v>102</v>
      </c>
      <c r="M5671" t="s">
        <v>75</v>
      </c>
      <c r="R5671" t="s">
        <v>27427</v>
      </c>
      <c r="S5671" t="s">
        <v>191</v>
      </c>
      <c r="T5671" t="s">
        <v>97</v>
      </c>
      <c r="U5671" t="s">
        <v>77</v>
      </c>
      <c r="V5671" t="str">
        <f>"100191147"</f>
        <v>100191147</v>
      </c>
      <c r="AC5671" t="s">
        <v>79</v>
      </c>
      <c r="AD5671" t="s">
        <v>75</v>
      </c>
      <c r="AE5671" t="s">
        <v>103</v>
      </c>
      <c r="AG5671" t="s">
        <v>81</v>
      </c>
    </row>
    <row r="5672" spans="1:33" x14ac:dyDescent="0.25">
      <c r="A5672" t="str">
        <f>"1316387368"</f>
        <v>1316387368</v>
      </c>
      <c r="C5672" t="s">
        <v>13436</v>
      </c>
      <c r="K5672" t="s">
        <v>99</v>
      </c>
      <c r="L5672" t="s">
        <v>102</v>
      </c>
      <c r="M5672" t="s">
        <v>75</v>
      </c>
      <c r="R5672" t="s">
        <v>27428</v>
      </c>
      <c r="S5672" t="s">
        <v>191</v>
      </c>
      <c r="T5672" t="s">
        <v>97</v>
      </c>
      <c r="U5672" t="s">
        <v>77</v>
      </c>
      <c r="V5672" t="str">
        <f>"100191147"</f>
        <v>100191147</v>
      </c>
      <c r="AC5672" t="s">
        <v>79</v>
      </c>
      <c r="AD5672" t="s">
        <v>75</v>
      </c>
      <c r="AE5672" t="s">
        <v>103</v>
      </c>
      <c r="AG5672" t="s">
        <v>81</v>
      </c>
    </row>
    <row r="5673" spans="1:33" x14ac:dyDescent="0.25">
      <c r="A5673" t="str">
        <f>"1477633931"</f>
        <v>1477633931</v>
      </c>
      <c r="B5673" t="str">
        <f>"02532754"</f>
        <v>02532754</v>
      </c>
      <c r="C5673" t="s">
        <v>13436</v>
      </c>
      <c r="D5673" t="s">
        <v>27429</v>
      </c>
      <c r="E5673" t="s">
        <v>27430</v>
      </c>
      <c r="G5673" t="s">
        <v>27431</v>
      </c>
      <c r="L5673" t="s">
        <v>83</v>
      </c>
      <c r="M5673" t="s">
        <v>85</v>
      </c>
      <c r="R5673" t="s">
        <v>27432</v>
      </c>
      <c r="W5673" t="s">
        <v>27430</v>
      </c>
      <c r="X5673" t="s">
        <v>174</v>
      </c>
      <c r="Y5673" t="s">
        <v>131</v>
      </c>
      <c r="Z5673" t="s">
        <v>77</v>
      </c>
      <c r="AA5673" t="str">
        <f>"10461-2301"</f>
        <v>10461-2301</v>
      </c>
      <c r="AB5673" t="s">
        <v>78</v>
      </c>
      <c r="AC5673" t="s">
        <v>79</v>
      </c>
      <c r="AD5673" t="s">
        <v>75</v>
      </c>
      <c r="AE5673" t="s">
        <v>80</v>
      </c>
      <c r="AG5673" t="s">
        <v>81</v>
      </c>
    </row>
    <row r="5674" spans="1:33" x14ac:dyDescent="0.25">
      <c r="A5674" t="str">
        <f>"1477664134"</f>
        <v>1477664134</v>
      </c>
      <c r="B5674" t="str">
        <f>"00846199"</f>
        <v>00846199</v>
      </c>
      <c r="C5674" t="s">
        <v>13436</v>
      </c>
      <c r="D5674" t="s">
        <v>27433</v>
      </c>
      <c r="E5674" t="s">
        <v>27434</v>
      </c>
      <c r="G5674" t="s">
        <v>27435</v>
      </c>
      <c r="L5674" t="s">
        <v>83</v>
      </c>
      <c r="M5674" t="s">
        <v>75</v>
      </c>
      <c r="R5674" t="s">
        <v>27436</v>
      </c>
      <c r="W5674" t="s">
        <v>27437</v>
      </c>
      <c r="X5674" t="s">
        <v>27438</v>
      </c>
      <c r="Y5674" t="s">
        <v>155</v>
      </c>
      <c r="Z5674" t="s">
        <v>77</v>
      </c>
      <c r="AA5674" t="str">
        <f>"10310-1699"</f>
        <v>10310-1699</v>
      </c>
      <c r="AB5674" t="s">
        <v>78</v>
      </c>
      <c r="AC5674" t="s">
        <v>79</v>
      </c>
      <c r="AD5674" t="s">
        <v>75</v>
      </c>
      <c r="AE5674" t="s">
        <v>80</v>
      </c>
      <c r="AG5674" t="s">
        <v>81</v>
      </c>
    </row>
    <row r="5675" spans="1:33" x14ac:dyDescent="0.25">
      <c r="A5675" t="str">
        <f>"1477668705"</f>
        <v>1477668705</v>
      </c>
      <c r="B5675" t="str">
        <f>"02808804"</f>
        <v>02808804</v>
      </c>
      <c r="C5675" t="s">
        <v>13436</v>
      </c>
      <c r="D5675" t="s">
        <v>27439</v>
      </c>
      <c r="E5675" t="s">
        <v>27440</v>
      </c>
      <c r="G5675" t="s">
        <v>27441</v>
      </c>
      <c r="L5675" t="s">
        <v>83</v>
      </c>
      <c r="M5675" t="s">
        <v>85</v>
      </c>
      <c r="R5675" t="s">
        <v>27442</v>
      </c>
      <c r="W5675" t="s">
        <v>27440</v>
      </c>
      <c r="X5675" t="s">
        <v>272</v>
      </c>
      <c r="Y5675" t="s">
        <v>97</v>
      </c>
      <c r="Z5675" t="s">
        <v>77</v>
      </c>
      <c r="AA5675" t="str">
        <f>"10029-6501"</f>
        <v>10029-6501</v>
      </c>
      <c r="AB5675" t="s">
        <v>78</v>
      </c>
      <c r="AC5675" t="s">
        <v>79</v>
      </c>
      <c r="AD5675" t="s">
        <v>75</v>
      </c>
      <c r="AE5675" t="s">
        <v>80</v>
      </c>
      <c r="AG5675" t="s">
        <v>81</v>
      </c>
    </row>
    <row r="5676" spans="1:33" x14ac:dyDescent="0.25">
      <c r="A5676" t="str">
        <f>"1477712271"</f>
        <v>1477712271</v>
      </c>
      <c r="B5676" t="str">
        <f>"03358225"</f>
        <v>03358225</v>
      </c>
      <c r="C5676" t="s">
        <v>13436</v>
      </c>
      <c r="D5676" t="s">
        <v>27443</v>
      </c>
      <c r="E5676" t="s">
        <v>27444</v>
      </c>
      <c r="G5676" t="s">
        <v>27445</v>
      </c>
      <c r="L5676" t="s">
        <v>74</v>
      </c>
      <c r="M5676" t="s">
        <v>75</v>
      </c>
      <c r="R5676" t="s">
        <v>27446</v>
      </c>
      <c r="W5676" t="s">
        <v>27444</v>
      </c>
      <c r="X5676" t="s">
        <v>329</v>
      </c>
      <c r="Y5676" t="s">
        <v>97</v>
      </c>
      <c r="Z5676" t="s">
        <v>77</v>
      </c>
      <c r="AA5676" t="str">
        <f>"10029-6500"</f>
        <v>10029-6500</v>
      </c>
      <c r="AB5676" t="s">
        <v>78</v>
      </c>
      <c r="AC5676" t="s">
        <v>79</v>
      </c>
      <c r="AD5676" t="s">
        <v>75</v>
      </c>
      <c r="AE5676" t="s">
        <v>80</v>
      </c>
      <c r="AG5676" t="s">
        <v>81</v>
      </c>
    </row>
    <row r="5677" spans="1:33" x14ac:dyDescent="0.25">
      <c r="A5677" t="str">
        <f>"1477713477"</f>
        <v>1477713477</v>
      </c>
      <c r="B5677" t="str">
        <f>"03338209"</f>
        <v>03338209</v>
      </c>
      <c r="C5677" t="s">
        <v>13436</v>
      </c>
      <c r="D5677" t="s">
        <v>27447</v>
      </c>
      <c r="E5677" t="s">
        <v>27448</v>
      </c>
      <c r="G5677" t="s">
        <v>27449</v>
      </c>
      <c r="L5677" t="s">
        <v>83</v>
      </c>
      <c r="M5677" t="s">
        <v>85</v>
      </c>
      <c r="R5677" t="s">
        <v>27448</v>
      </c>
      <c r="W5677" t="s">
        <v>27448</v>
      </c>
      <c r="X5677" t="s">
        <v>173</v>
      </c>
      <c r="Y5677" t="s">
        <v>87</v>
      </c>
      <c r="Z5677" t="s">
        <v>77</v>
      </c>
      <c r="AA5677" t="str">
        <f>"11219-2916"</f>
        <v>11219-2916</v>
      </c>
      <c r="AB5677" t="s">
        <v>78</v>
      </c>
      <c r="AC5677" t="s">
        <v>79</v>
      </c>
      <c r="AD5677" t="s">
        <v>75</v>
      </c>
      <c r="AE5677" t="s">
        <v>80</v>
      </c>
      <c r="AG5677" t="s">
        <v>81</v>
      </c>
    </row>
    <row r="5678" spans="1:33" x14ac:dyDescent="0.25">
      <c r="A5678" t="str">
        <f>"1477713949"</f>
        <v>1477713949</v>
      </c>
      <c r="B5678" t="str">
        <f>"03483974"</f>
        <v>03483974</v>
      </c>
      <c r="C5678" t="s">
        <v>13436</v>
      </c>
      <c r="D5678" t="s">
        <v>27450</v>
      </c>
      <c r="E5678" t="s">
        <v>27451</v>
      </c>
      <c r="G5678" t="s">
        <v>27452</v>
      </c>
      <c r="L5678" t="s">
        <v>83</v>
      </c>
      <c r="M5678" t="s">
        <v>85</v>
      </c>
      <c r="R5678" t="s">
        <v>27453</v>
      </c>
      <c r="W5678" t="s">
        <v>27451</v>
      </c>
      <c r="AB5678" t="s">
        <v>78</v>
      </c>
      <c r="AC5678" t="s">
        <v>79</v>
      </c>
      <c r="AD5678" t="s">
        <v>75</v>
      </c>
      <c r="AE5678" t="s">
        <v>80</v>
      </c>
      <c r="AG5678" t="s">
        <v>81</v>
      </c>
    </row>
    <row r="5679" spans="1:33" x14ac:dyDescent="0.25">
      <c r="A5679" t="str">
        <f>"1477729556"</f>
        <v>1477729556</v>
      </c>
      <c r="B5679" t="str">
        <f>"03027474"</f>
        <v>03027474</v>
      </c>
      <c r="C5679" t="s">
        <v>13436</v>
      </c>
      <c r="D5679" t="s">
        <v>27454</v>
      </c>
      <c r="E5679" t="s">
        <v>27455</v>
      </c>
      <c r="L5679" t="s">
        <v>84</v>
      </c>
      <c r="M5679" t="s">
        <v>85</v>
      </c>
      <c r="R5679" t="s">
        <v>27456</v>
      </c>
      <c r="W5679" t="s">
        <v>27457</v>
      </c>
      <c r="X5679" t="s">
        <v>1216</v>
      </c>
      <c r="Y5679" t="s">
        <v>97</v>
      </c>
      <c r="Z5679" t="s">
        <v>77</v>
      </c>
      <c r="AA5679" t="str">
        <f>"10032-1559"</f>
        <v>10032-1559</v>
      </c>
      <c r="AB5679" t="s">
        <v>78</v>
      </c>
      <c r="AC5679" t="s">
        <v>79</v>
      </c>
      <c r="AD5679" t="s">
        <v>75</v>
      </c>
      <c r="AE5679" t="s">
        <v>80</v>
      </c>
      <c r="AG5679" t="s">
        <v>81</v>
      </c>
    </row>
    <row r="5680" spans="1:33" x14ac:dyDescent="0.25">
      <c r="A5680" t="str">
        <f>"1477729606"</f>
        <v>1477729606</v>
      </c>
      <c r="B5680" t="str">
        <f>"03322387"</f>
        <v>03322387</v>
      </c>
      <c r="C5680" t="s">
        <v>13436</v>
      </c>
      <c r="D5680" t="s">
        <v>27458</v>
      </c>
      <c r="E5680" t="s">
        <v>27459</v>
      </c>
      <c r="G5680" t="s">
        <v>27460</v>
      </c>
      <c r="L5680" t="s">
        <v>74</v>
      </c>
      <c r="M5680" t="s">
        <v>75</v>
      </c>
      <c r="R5680" t="s">
        <v>27461</v>
      </c>
      <c r="W5680" t="s">
        <v>27462</v>
      </c>
      <c r="X5680" t="s">
        <v>187</v>
      </c>
      <c r="Y5680" t="s">
        <v>161</v>
      </c>
      <c r="Z5680" t="s">
        <v>77</v>
      </c>
      <c r="AA5680" t="str">
        <f>"11040-1402"</f>
        <v>11040-1402</v>
      </c>
      <c r="AB5680" t="s">
        <v>78</v>
      </c>
      <c r="AC5680" t="s">
        <v>79</v>
      </c>
      <c r="AD5680" t="s">
        <v>75</v>
      </c>
      <c r="AE5680" t="s">
        <v>80</v>
      </c>
      <c r="AG5680" t="s">
        <v>81</v>
      </c>
    </row>
    <row r="5681" spans="1:33" x14ac:dyDescent="0.25">
      <c r="A5681" t="str">
        <f>"1578695730"</f>
        <v>1578695730</v>
      </c>
      <c r="B5681" t="str">
        <f>"02927379"</f>
        <v>02927379</v>
      </c>
      <c r="C5681" t="s">
        <v>13436</v>
      </c>
      <c r="D5681" t="s">
        <v>27463</v>
      </c>
      <c r="E5681" t="s">
        <v>27464</v>
      </c>
      <c r="G5681" t="s">
        <v>27465</v>
      </c>
      <c r="L5681" t="s">
        <v>83</v>
      </c>
      <c r="M5681" t="s">
        <v>85</v>
      </c>
      <c r="R5681" t="s">
        <v>27464</v>
      </c>
      <c r="W5681" t="s">
        <v>27464</v>
      </c>
      <c r="X5681" t="s">
        <v>942</v>
      </c>
      <c r="Y5681" t="s">
        <v>97</v>
      </c>
      <c r="Z5681" t="s">
        <v>77</v>
      </c>
      <c r="AA5681" t="str">
        <f>"10029-6508"</f>
        <v>10029-6508</v>
      </c>
      <c r="AB5681" t="s">
        <v>78</v>
      </c>
      <c r="AC5681" t="s">
        <v>79</v>
      </c>
      <c r="AD5681" t="s">
        <v>75</v>
      </c>
      <c r="AE5681" t="s">
        <v>80</v>
      </c>
      <c r="AG5681" t="s">
        <v>81</v>
      </c>
    </row>
    <row r="5682" spans="1:33" x14ac:dyDescent="0.25">
      <c r="A5682" t="str">
        <f>"1578705463"</f>
        <v>1578705463</v>
      </c>
      <c r="B5682" t="str">
        <f>"03701044"</f>
        <v>03701044</v>
      </c>
      <c r="C5682" t="s">
        <v>13436</v>
      </c>
      <c r="D5682" t="s">
        <v>27466</v>
      </c>
      <c r="E5682" t="s">
        <v>27467</v>
      </c>
      <c r="G5682" t="s">
        <v>27468</v>
      </c>
      <c r="L5682" t="s">
        <v>74</v>
      </c>
      <c r="M5682" t="s">
        <v>75</v>
      </c>
      <c r="R5682" t="s">
        <v>27469</v>
      </c>
      <c r="W5682" t="s">
        <v>27470</v>
      </c>
      <c r="X5682" t="s">
        <v>27471</v>
      </c>
      <c r="Y5682" t="s">
        <v>97</v>
      </c>
      <c r="Z5682" t="s">
        <v>77</v>
      </c>
      <c r="AA5682" t="str">
        <f>"10029-6514"</f>
        <v>10029-6514</v>
      </c>
      <c r="AB5682" t="s">
        <v>78</v>
      </c>
      <c r="AC5682" t="s">
        <v>79</v>
      </c>
      <c r="AD5682" t="s">
        <v>75</v>
      </c>
      <c r="AE5682" t="s">
        <v>80</v>
      </c>
      <c r="AG5682" t="s">
        <v>81</v>
      </c>
    </row>
    <row r="5683" spans="1:33" x14ac:dyDescent="0.25">
      <c r="A5683" t="str">
        <f>"1184905192"</f>
        <v>1184905192</v>
      </c>
      <c r="B5683" t="str">
        <f>"03713715"</f>
        <v>03713715</v>
      </c>
      <c r="C5683" t="s">
        <v>27472</v>
      </c>
      <c r="D5683" t="s">
        <v>27473</v>
      </c>
      <c r="E5683" t="s">
        <v>27474</v>
      </c>
      <c r="G5683" t="s">
        <v>18627</v>
      </c>
      <c r="J5683" t="s">
        <v>18628</v>
      </c>
      <c r="L5683" t="s">
        <v>74</v>
      </c>
      <c r="M5683" t="s">
        <v>75</v>
      </c>
      <c r="R5683" t="s">
        <v>27474</v>
      </c>
      <c r="W5683" t="s">
        <v>27474</v>
      </c>
      <c r="X5683" t="s">
        <v>26131</v>
      </c>
      <c r="Y5683" t="s">
        <v>190</v>
      </c>
      <c r="Z5683" t="s">
        <v>77</v>
      </c>
      <c r="AA5683" t="str">
        <f>"11101-5465"</f>
        <v>11101-5465</v>
      </c>
      <c r="AB5683" t="s">
        <v>78</v>
      </c>
      <c r="AC5683" t="s">
        <v>79</v>
      </c>
      <c r="AD5683" t="s">
        <v>75</v>
      </c>
      <c r="AE5683" t="s">
        <v>80</v>
      </c>
      <c r="AG5683" t="s">
        <v>81</v>
      </c>
    </row>
    <row r="5684" spans="1:33" x14ac:dyDescent="0.25">
      <c r="A5684" t="str">
        <f>"1477793511"</f>
        <v>1477793511</v>
      </c>
      <c r="B5684" t="str">
        <f>"01468666"</f>
        <v>01468666</v>
      </c>
      <c r="C5684" t="s">
        <v>27475</v>
      </c>
      <c r="D5684" t="s">
        <v>27476</v>
      </c>
      <c r="E5684" t="s">
        <v>27477</v>
      </c>
      <c r="G5684" t="s">
        <v>18627</v>
      </c>
      <c r="J5684" t="s">
        <v>18628</v>
      </c>
      <c r="L5684" t="s">
        <v>102</v>
      </c>
      <c r="M5684" t="s">
        <v>75</v>
      </c>
      <c r="R5684" t="s">
        <v>27478</v>
      </c>
      <c r="W5684" t="s">
        <v>27479</v>
      </c>
      <c r="X5684" t="s">
        <v>18639</v>
      </c>
      <c r="Y5684" t="s">
        <v>131</v>
      </c>
      <c r="Z5684" t="s">
        <v>77</v>
      </c>
      <c r="AA5684" t="str">
        <f>"10454-4140"</f>
        <v>10454-4140</v>
      </c>
      <c r="AB5684" t="s">
        <v>78</v>
      </c>
      <c r="AC5684" t="s">
        <v>79</v>
      </c>
      <c r="AD5684" t="s">
        <v>75</v>
      </c>
      <c r="AE5684" t="s">
        <v>80</v>
      </c>
      <c r="AG5684" t="s">
        <v>81</v>
      </c>
    </row>
    <row r="5685" spans="1:33" x14ac:dyDescent="0.25">
      <c r="A5685" t="str">
        <f>"1689808958"</f>
        <v>1689808958</v>
      </c>
      <c r="B5685" t="str">
        <f>"03807650"</f>
        <v>03807650</v>
      </c>
      <c r="C5685" t="s">
        <v>27480</v>
      </c>
      <c r="D5685" t="s">
        <v>27481</v>
      </c>
      <c r="E5685" t="s">
        <v>27482</v>
      </c>
      <c r="G5685" t="s">
        <v>18627</v>
      </c>
      <c r="J5685" t="s">
        <v>18628</v>
      </c>
      <c r="L5685" t="s">
        <v>74</v>
      </c>
      <c r="M5685" t="s">
        <v>75</v>
      </c>
      <c r="R5685" t="s">
        <v>27483</v>
      </c>
      <c r="W5685" t="s">
        <v>27482</v>
      </c>
      <c r="X5685" t="s">
        <v>27484</v>
      </c>
      <c r="Y5685" t="s">
        <v>87</v>
      </c>
      <c r="Z5685" t="s">
        <v>77</v>
      </c>
      <c r="AA5685" t="str">
        <f>"11201-5861"</f>
        <v>11201-5861</v>
      </c>
      <c r="AB5685" t="s">
        <v>78</v>
      </c>
      <c r="AC5685" t="s">
        <v>79</v>
      </c>
      <c r="AD5685" t="s">
        <v>75</v>
      </c>
      <c r="AE5685" t="s">
        <v>80</v>
      </c>
      <c r="AG5685" t="s">
        <v>81</v>
      </c>
    </row>
    <row r="5686" spans="1:33" x14ac:dyDescent="0.25">
      <c r="A5686" t="str">
        <f>"1598956146"</f>
        <v>1598956146</v>
      </c>
      <c r="B5686" t="str">
        <f>"03822933"</f>
        <v>03822933</v>
      </c>
      <c r="C5686" t="s">
        <v>27485</v>
      </c>
      <c r="D5686" t="s">
        <v>27486</v>
      </c>
      <c r="E5686" t="s">
        <v>27487</v>
      </c>
      <c r="G5686" t="s">
        <v>18627</v>
      </c>
      <c r="J5686" t="s">
        <v>18628</v>
      </c>
      <c r="L5686" t="s">
        <v>74</v>
      </c>
      <c r="M5686" t="s">
        <v>75</v>
      </c>
      <c r="R5686" t="s">
        <v>27487</v>
      </c>
      <c r="W5686" t="s">
        <v>27487</v>
      </c>
      <c r="X5686" t="s">
        <v>27484</v>
      </c>
      <c r="Y5686" t="s">
        <v>87</v>
      </c>
      <c r="Z5686" t="s">
        <v>77</v>
      </c>
      <c r="AA5686" t="str">
        <f>"11201-5861"</f>
        <v>11201-5861</v>
      </c>
      <c r="AB5686" t="s">
        <v>78</v>
      </c>
      <c r="AC5686" t="s">
        <v>79</v>
      </c>
      <c r="AD5686" t="s">
        <v>75</v>
      </c>
      <c r="AE5686" t="s">
        <v>80</v>
      </c>
      <c r="AG5686" t="s">
        <v>81</v>
      </c>
    </row>
    <row r="5687" spans="1:33" x14ac:dyDescent="0.25">
      <c r="A5687" t="str">
        <f>"1720364029"</f>
        <v>1720364029</v>
      </c>
      <c r="B5687" t="str">
        <f>"03946678"</f>
        <v>03946678</v>
      </c>
      <c r="C5687" t="s">
        <v>27488</v>
      </c>
      <c r="D5687" t="s">
        <v>27489</v>
      </c>
      <c r="E5687" t="s">
        <v>27490</v>
      </c>
      <c r="G5687" t="s">
        <v>18627</v>
      </c>
      <c r="J5687" t="s">
        <v>18628</v>
      </c>
      <c r="L5687" t="s">
        <v>102</v>
      </c>
      <c r="M5687" t="s">
        <v>75</v>
      </c>
      <c r="R5687" t="s">
        <v>27491</v>
      </c>
      <c r="W5687" t="s">
        <v>27490</v>
      </c>
      <c r="X5687" t="s">
        <v>27492</v>
      </c>
      <c r="Y5687" t="s">
        <v>97</v>
      </c>
      <c r="Z5687" t="s">
        <v>77</v>
      </c>
      <c r="AA5687" t="str">
        <f>"10011-2019"</f>
        <v>10011-2019</v>
      </c>
      <c r="AB5687" t="s">
        <v>78</v>
      </c>
      <c r="AC5687" t="s">
        <v>79</v>
      </c>
      <c r="AD5687" t="s">
        <v>75</v>
      </c>
      <c r="AE5687" t="s">
        <v>80</v>
      </c>
      <c r="AG5687" t="s">
        <v>81</v>
      </c>
    </row>
    <row r="5688" spans="1:33" x14ac:dyDescent="0.25">
      <c r="A5688" t="str">
        <f>"1801937156"</f>
        <v>1801937156</v>
      </c>
      <c r="C5688" t="s">
        <v>27493</v>
      </c>
      <c r="G5688" t="s">
        <v>27493</v>
      </c>
      <c r="J5688" t="s">
        <v>27494</v>
      </c>
      <c r="K5688" t="s">
        <v>99</v>
      </c>
      <c r="L5688" t="s">
        <v>74</v>
      </c>
      <c r="M5688" t="s">
        <v>75</v>
      </c>
      <c r="R5688" t="s">
        <v>27495</v>
      </c>
      <c r="S5688" t="s">
        <v>27496</v>
      </c>
      <c r="T5688" t="s">
        <v>27497</v>
      </c>
      <c r="U5688" t="s">
        <v>4599</v>
      </c>
      <c r="V5688" t="str">
        <f>"967061909"</f>
        <v>967061909</v>
      </c>
      <c r="AC5688" t="s">
        <v>79</v>
      </c>
      <c r="AD5688" t="s">
        <v>75</v>
      </c>
      <c r="AE5688" t="s">
        <v>103</v>
      </c>
      <c r="AG5688" t="s">
        <v>81</v>
      </c>
    </row>
    <row r="5689" spans="1:33" x14ac:dyDescent="0.25">
      <c r="A5689" t="str">
        <f>"1326392226"</f>
        <v>1326392226</v>
      </c>
      <c r="C5689" t="s">
        <v>27498</v>
      </c>
      <c r="G5689" t="s">
        <v>27493</v>
      </c>
      <c r="J5689" t="s">
        <v>27494</v>
      </c>
      <c r="K5689" t="s">
        <v>99</v>
      </c>
      <c r="L5689" t="s">
        <v>74</v>
      </c>
      <c r="M5689" t="s">
        <v>75</v>
      </c>
      <c r="R5689" t="s">
        <v>27499</v>
      </c>
      <c r="S5689" t="s">
        <v>3076</v>
      </c>
      <c r="T5689" t="s">
        <v>97</v>
      </c>
      <c r="U5689" t="s">
        <v>77</v>
      </c>
      <c r="V5689" t="str">
        <f>"100143518"</f>
        <v>100143518</v>
      </c>
      <c r="AC5689" t="s">
        <v>79</v>
      </c>
      <c r="AD5689" t="s">
        <v>75</v>
      </c>
      <c r="AE5689" t="s">
        <v>103</v>
      </c>
      <c r="AG5689" t="s">
        <v>81</v>
      </c>
    </row>
    <row r="5690" spans="1:33" x14ac:dyDescent="0.25">
      <c r="A5690" t="str">
        <f>"1053745075"</f>
        <v>1053745075</v>
      </c>
      <c r="C5690" t="s">
        <v>27500</v>
      </c>
      <c r="G5690" t="s">
        <v>27493</v>
      </c>
      <c r="J5690" t="s">
        <v>27494</v>
      </c>
      <c r="K5690" t="s">
        <v>99</v>
      </c>
      <c r="L5690" t="s">
        <v>102</v>
      </c>
      <c r="M5690" t="s">
        <v>75</v>
      </c>
      <c r="R5690" t="s">
        <v>27501</v>
      </c>
      <c r="S5690" t="s">
        <v>4780</v>
      </c>
      <c r="T5690" t="s">
        <v>97</v>
      </c>
      <c r="U5690" t="s">
        <v>77</v>
      </c>
      <c r="V5690" t="str">
        <f>"10011"</f>
        <v>10011</v>
      </c>
      <c r="AC5690" t="s">
        <v>79</v>
      </c>
      <c r="AD5690" t="s">
        <v>75</v>
      </c>
      <c r="AE5690" t="s">
        <v>103</v>
      </c>
      <c r="AG5690" t="s">
        <v>81</v>
      </c>
    </row>
    <row r="5691" spans="1:33" x14ac:dyDescent="0.25">
      <c r="A5691" t="str">
        <f>"1518389279"</f>
        <v>1518389279</v>
      </c>
      <c r="C5691" t="s">
        <v>27502</v>
      </c>
      <c r="G5691" t="s">
        <v>27493</v>
      </c>
      <c r="J5691" t="s">
        <v>27494</v>
      </c>
      <c r="K5691" t="s">
        <v>99</v>
      </c>
      <c r="L5691" t="s">
        <v>102</v>
      </c>
      <c r="M5691" t="s">
        <v>75</v>
      </c>
      <c r="R5691" t="s">
        <v>27503</v>
      </c>
      <c r="S5691" t="s">
        <v>5322</v>
      </c>
      <c r="T5691" t="s">
        <v>97</v>
      </c>
      <c r="U5691" t="s">
        <v>77</v>
      </c>
      <c r="V5691" t="str">
        <f>"100112019"</f>
        <v>100112019</v>
      </c>
      <c r="AC5691" t="s">
        <v>79</v>
      </c>
      <c r="AD5691" t="s">
        <v>75</v>
      </c>
      <c r="AE5691" t="s">
        <v>103</v>
      </c>
      <c r="AG5691" t="s">
        <v>81</v>
      </c>
    </row>
    <row r="5692" spans="1:33" x14ac:dyDescent="0.25">
      <c r="A5692" t="str">
        <f>"1447300876"</f>
        <v>1447300876</v>
      </c>
      <c r="B5692" t="str">
        <f>"01405105"</f>
        <v>01405105</v>
      </c>
      <c r="C5692" t="s">
        <v>13436</v>
      </c>
      <c r="D5692" t="s">
        <v>27504</v>
      </c>
      <c r="E5692" t="s">
        <v>27505</v>
      </c>
      <c r="G5692" t="s">
        <v>27506</v>
      </c>
      <c r="L5692" t="s">
        <v>74</v>
      </c>
      <c r="M5692" t="s">
        <v>75</v>
      </c>
      <c r="R5692" t="s">
        <v>27507</v>
      </c>
      <c r="W5692" t="s">
        <v>27505</v>
      </c>
      <c r="X5692" t="s">
        <v>27508</v>
      </c>
      <c r="Y5692" t="s">
        <v>268</v>
      </c>
      <c r="Z5692" t="s">
        <v>77</v>
      </c>
      <c r="AA5692" t="str">
        <f>"11362-2244"</f>
        <v>11362-2244</v>
      </c>
      <c r="AB5692" t="s">
        <v>78</v>
      </c>
      <c r="AC5692" t="s">
        <v>79</v>
      </c>
      <c r="AD5692" t="s">
        <v>75</v>
      </c>
      <c r="AE5692" t="s">
        <v>80</v>
      </c>
      <c r="AG5692" t="s">
        <v>81</v>
      </c>
    </row>
    <row r="5693" spans="1:33" x14ac:dyDescent="0.25">
      <c r="A5693" t="str">
        <f>"1215228861"</f>
        <v>1215228861</v>
      </c>
      <c r="B5693" t="str">
        <f>"03924090"</f>
        <v>03924090</v>
      </c>
      <c r="C5693" t="s">
        <v>13436</v>
      </c>
      <c r="D5693" t="s">
        <v>27509</v>
      </c>
      <c r="E5693" t="s">
        <v>27510</v>
      </c>
      <c r="L5693" t="s">
        <v>84</v>
      </c>
      <c r="M5693" t="s">
        <v>75</v>
      </c>
      <c r="R5693" t="s">
        <v>27510</v>
      </c>
      <c r="W5693" t="s">
        <v>27511</v>
      </c>
      <c r="X5693" t="s">
        <v>4446</v>
      </c>
      <c r="Y5693" t="s">
        <v>131</v>
      </c>
      <c r="Z5693" t="s">
        <v>77</v>
      </c>
      <c r="AA5693" t="str">
        <f>"10453-6018"</f>
        <v>10453-6018</v>
      </c>
      <c r="AB5693" t="s">
        <v>78</v>
      </c>
      <c r="AC5693" t="s">
        <v>79</v>
      </c>
      <c r="AD5693" t="s">
        <v>75</v>
      </c>
      <c r="AE5693" t="s">
        <v>80</v>
      </c>
      <c r="AG5693" t="s">
        <v>81</v>
      </c>
    </row>
    <row r="5694" spans="1:33" x14ac:dyDescent="0.25">
      <c r="A5694" t="str">
        <f>"1215236609"</f>
        <v>1215236609</v>
      </c>
      <c r="B5694" t="str">
        <f>"04242146"</f>
        <v>04242146</v>
      </c>
      <c r="C5694" t="s">
        <v>13436</v>
      </c>
      <c r="D5694" t="s">
        <v>27512</v>
      </c>
      <c r="E5694" t="s">
        <v>27513</v>
      </c>
      <c r="L5694" t="s">
        <v>83</v>
      </c>
      <c r="M5694" t="s">
        <v>75</v>
      </c>
      <c r="R5694" t="s">
        <v>27514</v>
      </c>
      <c r="W5694" t="s">
        <v>27513</v>
      </c>
      <c r="X5694" t="s">
        <v>2926</v>
      </c>
      <c r="Y5694" t="s">
        <v>97</v>
      </c>
      <c r="Z5694" t="s">
        <v>77</v>
      </c>
      <c r="AA5694" t="str">
        <f>"10029-6503"</f>
        <v>10029-6503</v>
      </c>
      <c r="AB5694" t="s">
        <v>78</v>
      </c>
      <c r="AC5694" t="s">
        <v>79</v>
      </c>
      <c r="AD5694" t="s">
        <v>75</v>
      </c>
      <c r="AE5694" t="s">
        <v>80</v>
      </c>
      <c r="AG5694" t="s">
        <v>81</v>
      </c>
    </row>
    <row r="5695" spans="1:33" x14ac:dyDescent="0.25">
      <c r="A5695" t="str">
        <f>"1215237508"</f>
        <v>1215237508</v>
      </c>
      <c r="C5695" t="s">
        <v>13436</v>
      </c>
      <c r="G5695" t="s">
        <v>27515</v>
      </c>
      <c r="K5695" t="s">
        <v>99</v>
      </c>
      <c r="L5695" t="s">
        <v>74</v>
      </c>
      <c r="M5695" t="s">
        <v>75</v>
      </c>
      <c r="R5695" t="s">
        <v>27516</v>
      </c>
      <c r="S5695" t="s">
        <v>11657</v>
      </c>
      <c r="T5695" t="s">
        <v>97</v>
      </c>
      <c r="U5695" t="s">
        <v>77</v>
      </c>
      <c r="V5695" t="str">
        <f>"100296574"</f>
        <v>100296574</v>
      </c>
      <c r="AC5695" t="s">
        <v>79</v>
      </c>
      <c r="AD5695" t="s">
        <v>75</v>
      </c>
      <c r="AE5695" t="s">
        <v>103</v>
      </c>
      <c r="AG5695" t="s">
        <v>81</v>
      </c>
    </row>
    <row r="5696" spans="1:33" x14ac:dyDescent="0.25">
      <c r="A5696" t="str">
        <f>"1215262084"</f>
        <v>1215262084</v>
      </c>
      <c r="B5696" t="str">
        <f>"03567860"</f>
        <v>03567860</v>
      </c>
      <c r="C5696" t="s">
        <v>13436</v>
      </c>
      <c r="D5696" t="s">
        <v>27517</v>
      </c>
      <c r="E5696" t="s">
        <v>27518</v>
      </c>
      <c r="G5696" t="s">
        <v>27519</v>
      </c>
      <c r="L5696" t="s">
        <v>74</v>
      </c>
      <c r="M5696" t="s">
        <v>75</v>
      </c>
      <c r="R5696" t="s">
        <v>27518</v>
      </c>
      <c r="W5696" t="s">
        <v>27518</v>
      </c>
      <c r="X5696" t="s">
        <v>181</v>
      </c>
      <c r="Y5696" t="s">
        <v>97</v>
      </c>
      <c r="Z5696" t="s">
        <v>77</v>
      </c>
      <c r="AA5696" t="str">
        <f>"10025-1716"</f>
        <v>10025-1716</v>
      </c>
      <c r="AB5696" t="s">
        <v>125</v>
      </c>
      <c r="AC5696" t="s">
        <v>79</v>
      </c>
      <c r="AD5696" t="s">
        <v>75</v>
      </c>
      <c r="AE5696" t="s">
        <v>80</v>
      </c>
      <c r="AG5696" t="s">
        <v>81</v>
      </c>
    </row>
    <row r="5697" spans="1:33" x14ac:dyDescent="0.25">
      <c r="A5697" t="str">
        <f>"1215279807"</f>
        <v>1215279807</v>
      </c>
      <c r="C5697" t="s">
        <v>13436</v>
      </c>
      <c r="K5697" t="s">
        <v>99</v>
      </c>
      <c r="L5697" t="s">
        <v>74</v>
      </c>
      <c r="M5697" t="s">
        <v>75</v>
      </c>
      <c r="R5697" t="s">
        <v>27520</v>
      </c>
      <c r="S5697" t="s">
        <v>27521</v>
      </c>
      <c r="T5697" t="s">
        <v>97</v>
      </c>
      <c r="U5697" t="s">
        <v>77</v>
      </c>
      <c r="V5697" t="str">
        <f>"100296500"</f>
        <v>100296500</v>
      </c>
      <c r="AC5697" t="s">
        <v>79</v>
      </c>
      <c r="AD5697" t="s">
        <v>75</v>
      </c>
      <c r="AE5697" t="s">
        <v>103</v>
      </c>
      <c r="AG5697" t="s">
        <v>81</v>
      </c>
    </row>
    <row r="5698" spans="1:33" x14ac:dyDescent="0.25">
      <c r="A5698" t="str">
        <f>"1215293188"</f>
        <v>1215293188</v>
      </c>
      <c r="B5698" t="str">
        <f>"04522809"</f>
        <v>04522809</v>
      </c>
      <c r="C5698" t="s">
        <v>13436</v>
      </c>
      <c r="D5698" t="s">
        <v>27522</v>
      </c>
      <c r="E5698" t="s">
        <v>27523</v>
      </c>
      <c r="L5698" t="s">
        <v>102</v>
      </c>
      <c r="M5698" t="s">
        <v>75</v>
      </c>
      <c r="R5698" t="s">
        <v>27524</v>
      </c>
      <c r="W5698" t="s">
        <v>27523</v>
      </c>
      <c r="AB5698" t="s">
        <v>78</v>
      </c>
      <c r="AC5698" t="s">
        <v>79</v>
      </c>
      <c r="AD5698" t="s">
        <v>75</v>
      </c>
      <c r="AE5698" t="s">
        <v>80</v>
      </c>
      <c r="AG5698" t="s">
        <v>81</v>
      </c>
    </row>
    <row r="5699" spans="1:33" x14ac:dyDescent="0.25">
      <c r="A5699" t="str">
        <f>"1215293212"</f>
        <v>1215293212</v>
      </c>
      <c r="C5699" t="s">
        <v>13436</v>
      </c>
      <c r="K5699" t="s">
        <v>99</v>
      </c>
      <c r="L5699" t="s">
        <v>102</v>
      </c>
      <c r="M5699" t="s">
        <v>75</v>
      </c>
      <c r="R5699" t="s">
        <v>27525</v>
      </c>
      <c r="S5699" t="s">
        <v>27526</v>
      </c>
      <c r="T5699" t="s">
        <v>27527</v>
      </c>
      <c r="U5699" t="s">
        <v>2659</v>
      </c>
      <c r="V5699" t="str">
        <f>"992042307"</f>
        <v>992042307</v>
      </c>
      <c r="AC5699" t="s">
        <v>79</v>
      </c>
      <c r="AD5699" t="s">
        <v>75</v>
      </c>
      <c r="AE5699" t="s">
        <v>103</v>
      </c>
      <c r="AG5699" t="s">
        <v>81</v>
      </c>
    </row>
    <row r="5700" spans="1:33" x14ac:dyDescent="0.25">
      <c r="A5700" t="str">
        <f>"1215293410"</f>
        <v>1215293410</v>
      </c>
      <c r="B5700" t="str">
        <f>"04425632"</f>
        <v>04425632</v>
      </c>
      <c r="C5700" t="s">
        <v>13436</v>
      </c>
      <c r="D5700" t="s">
        <v>27528</v>
      </c>
      <c r="E5700" t="s">
        <v>2663</v>
      </c>
      <c r="L5700" t="s">
        <v>74</v>
      </c>
      <c r="M5700" t="s">
        <v>75</v>
      </c>
      <c r="R5700" t="s">
        <v>27529</v>
      </c>
      <c r="W5700" t="s">
        <v>27530</v>
      </c>
      <c r="X5700" t="s">
        <v>329</v>
      </c>
      <c r="Y5700" t="s">
        <v>97</v>
      </c>
      <c r="Z5700" t="s">
        <v>77</v>
      </c>
      <c r="AA5700" t="str">
        <f>"10029-6504"</f>
        <v>10029-6504</v>
      </c>
      <c r="AB5700" t="s">
        <v>78</v>
      </c>
      <c r="AC5700" t="s">
        <v>79</v>
      </c>
      <c r="AD5700" t="s">
        <v>75</v>
      </c>
      <c r="AE5700" t="s">
        <v>80</v>
      </c>
      <c r="AG5700" t="s">
        <v>81</v>
      </c>
    </row>
    <row r="5701" spans="1:33" x14ac:dyDescent="0.25">
      <c r="A5701" t="str">
        <f>"1215293832"</f>
        <v>1215293832</v>
      </c>
      <c r="C5701" t="s">
        <v>13436</v>
      </c>
      <c r="K5701" t="s">
        <v>99</v>
      </c>
      <c r="L5701" t="s">
        <v>102</v>
      </c>
      <c r="M5701" t="s">
        <v>75</v>
      </c>
      <c r="R5701" t="s">
        <v>27531</v>
      </c>
      <c r="S5701" t="s">
        <v>12670</v>
      </c>
      <c r="T5701" t="s">
        <v>97</v>
      </c>
      <c r="U5701" t="s">
        <v>77</v>
      </c>
      <c r="V5701" t="str">
        <f>"100033821"</f>
        <v>100033821</v>
      </c>
      <c r="AC5701" t="s">
        <v>79</v>
      </c>
      <c r="AD5701" t="s">
        <v>75</v>
      </c>
      <c r="AE5701" t="s">
        <v>103</v>
      </c>
      <c r="AG5701" t="s">
        <v>81</v>
      </c>
    </row>
    <row r="5702" spans="1:33" x14ac:dyDescent="0.25">
      <c r="A5702" t="str">
        <f>"1215343116"</f>
        <v>1215343116</v>
      </c>
      <c r="B5702" t="str">
        <f>"04048844"</f>
        <v>04048844</v>
      </c>
      <c r="C5702" t="s">
        <v>13436</v>
      </c>
      <c r="D5702" t="s">
        <v>27532</v>
      </c>
      <c r="E5702" t="s">
        <v>27533</v>
      </c>
      <c r="G5702" t="s">
        <v>27534</v>
      </c>
      <c r="L5702" t="s">
        <v>102</v>
      </c>
      <c r="M5702" t="s">
        <v>75</v>
      </c>
      <c r="R5702" t="s">
        <v>27535</v>
      </c>
      <c r="W5702" t="s">
        <v>27533</v>
      </c>
      <c r="X5702" t="s">
        <v>1076</v>
      </c>
      <c r="Y5702" t="s">
        <v>97</v>
      </c>
      <c r="Z5702" t="s">
        <v>77</v>
      </c>
      <c r="AA5702" t="str">
        <f>"10025-1737"</f>
        <v>10025-1737</v>
      </c>
      <c r="AB5702" t="s">
        <v>125</v>
      </c>
      <c r="AC5702" t="s">
        <v>79</v>
      </c>
      <c r="AD5702" t="s">
        <v>75</v>
      </c>
      <c r="AE5702" t="s">
        <v>80</v>
      </c>
      <c r="AG5702" t="s">
        <v>81</v>
      </c>
    </row>
    <row r="5703" spans="1:33" x14ac:dyDescent="0.25">
      <c r="A5703" t="str">
        <f>"1669799920"</f>
        <v>1669799920</v>
      </c>
      <c r="B5703" t="str">
        <f>"04545424"</f>
        <v>04545424</v>
      </c>
      <c r="C5703" t="s">
        <v>13436</v>
      </c>
      <c r="D5703" t="s">
        <v>27536</v>
      </c>
      <c r="E5703" t="s">
        <v>27537</v>
      </c>
      <c r="L5703" t="s">
        <v>102</v>
      </c>
      <c r="M5703" t="s">
        <v>75</v>
      </c>
      <c r="R5703" t="s">
        <v>27537</v>
      </c>
      <c r="W5703" t="s">
        <v>27537</v>
      </c>
      <c r="AB5703" t="s">
        <v>78</v>
      </c>
      <c r="AC5703" t="s">
        <v>79</v>
      </c>
      <c r="AD5703" t="s">
        <v>75</v>
      </c>
      <c r="AE5703" t="s">
        <v>80</v>
      </c>
      <c r="AG5703" t="s">
        <v>81</v>
      </c>
    </row>
    <row r="5704" spans="1:33" x14ac:dyDescent="0.25">
      <c r="A5704" t="str">
        <f>"1356617534"</f>
        <v>1356617534</v>
      </c>
      <c r="B5704" t="str">
        <f>"03795071"</f>
        <v>03795071</v>
      </c>
      <c r="C5704" t="s">
        <v>13436</v>
      </c>
      <c r="D5704" t="s">
        <v>27538</v>
      </c>
      <c r="E5704" t="s">
        <v>27539</v>
      </c>
      <c r="L5704" t="s">
        <v>102</v>
      </c>
      <c r="M5704" t="s">
        <v>75</v>
      </c>
      <c r="R5704" t="s">
        <v>27540</v>
      </c>
      <c r="W5704" t="s">
        <v>27539</v>
      </c>
      <c r="X5704" t="s">
        <v>12304</v>
      </c>
      <c r="Y5704" t="s">
        <v>97</v>
      </c>
      <c r="Z5704" t="s">
        <v>77</v>
      </c>
      <c r="AA5704" t="str">
        <f>"10003-4201"</f>
        <v>10003-4201</v>
      </c>
      <c r="AB5704" t="s">
        <v>78</v>
      </c>
      <c r="AC5704" t="s">
        <v>79</v>
      </c>
      <c r="AD5704" t="s">
        <v>75</v>
      </c>
      <c r="AE5704" t="s">
        <v>80</v>
      </c>
      <c r="AG5704" t="s">
        <v>81</v>
      </c>
    </row>
    <row r="5705" spans="1:33" x14ac:dyDescent="0.25">
      <c r="A5705" t="str">
        <f>"1356630719"</f>
        <v>1356630719</v>
      </c>
      <c r="B5705" t="str">
        <f>"03949759"</f>
        <v>03949759</v>
      </c>
      <c r="C5705" t="s">
        <v>13436</v>
      </c>
      <c r="D5705" t="s">
        <v>27541</v>
      </c>
      <c r="E5705" t="s">
        <v>27542</v>
      </c>
      <c r="G5705" t="s">
        <v>27543</v>
      </c>
      <c r="L5705" t="s">
        <v>74</v>
      </c>
      <c r="M5705" t="s">
        <v>75</v>
      </c>
      <c r="R5705" t="s">
        <v>27542</v>
      </c>
      <c r="W5705" t="s">
        <v>27544</v>
      </c>
      <c r="X5705" t="s">
        <v>330</v>
      </c>
      <c r="Y5705" t="s">
        <v>97</v>
      </c>
      <c r="Z5705" t="s">
        <v>77</v>
      </c>
      <c r="AA5705" t="str">
        <f>"10029-5204"</f>
        <v>10029-5204</v>
      </c>
      <c r="AB5705" t="s">
        <v>78</v>
      </c>
      <c r="AC5705" t="s">
        <v>79</v>
      </c>
      <c r="AD5705" t="s">
        <v>75</v>
      </c>
      <c r="AE5705" t="s">
        <v>80</v>
      </c>
      <c r="AG5705" t="s">
        <v>81</v>
      </c>
    </row>
    <row r="5706" spans="1:33" x14ac:dyDescent="0.25">
      <c r="A5706" t="str">
        <f>"1356631998"</f>
        <v>1356631998</v>
      </c>
      <c r="B5706" t="str">
        <f>"04230897"</f>
        <v>04230897</v>
      </c>
      <c r="C5706" t="s">
        <v>13436</v>
      </c>
      <c r="D5706" t="s">
        <v>27545</v>
      </c>
      <c r="E5706" t="s">
        <v>27546</v>
      </c>
      <c r="L5706" t="s">
        <v>74</v>
      </c>
      <c r="M5706" t="s">
        <v>75</v>
      </c>
      <c r="R5706" t="s">
        <v>27546</v>
      </c>
      <c r="W5706" t="s">
        <v>27547</v>
      </c>
      <c r="X5706" t="s">
        <v>27548</v>
      </c>
      <c r="Y5706" t="s">
        <v>97</v>
      </c>
      <c r="Z5706" t="s">
        <v>77</v>
      </c>
      <c r="AA5706" t="str">
        <f>"10019-1147"</f>
        <v>10019-1147</v>
      </c>
      <c r="AB5706" t="s">
        <v>78</v>
      </c>
      <c r="AC5706" t="s">
        <v>79</v>
      </c>
      <c r="AD5706" t="s">
        <v>75</v>
      </c>
      <c r="AE5706" t="s">
        <v>80</v>
      </c>
      <c r="AG5706" t="s">
        <v>81</v>
      </c>
    </row>
    <row r="5707" spans="1:33" x14ac:dyDescent="0.25">
      <c r="A5707" t="str">
        <f>"1497736920"</f>
        <v>1497736920</v>
      </c>
      <c r="B5707" t="str">
        <f>"02103262"</f>
        <v>02103262</v>
      </c>
      <c r="C5707" t="s">
        <v>13436</v>
      </c>
      <c r="D5707" t="s">
        <v>27549</v>
      </c>
      <c r="E5707" t="s">
        <v>27550</v>
      </c>
      <c r="G5707" t="s">
        <v>27551</v>
      </c>
      <c r="L5707" t="s">
        <v>83</v>
      </c>
      <c r="M5707" t="s">
        <v>85</v>
      </c>
      <c r="R5707" t="s">
        <v>27552</v>
      </c>
      <c r="W5707" t="s">
        <v>27550</v>
      </c>
      <c r="X5707" t="s">
        <v>27553</v>
      </c>
      <c r="Y5707" t="s">
        <v>97</v>
      </c>
      <c r="Z5707" t="s">
        <v>77</v>
      </c>
      <c r="AA5707" t="str">
        <f>"10003-3314"</f>
        <v>10003-3314</v>
      </c>
      <c r="AB5707" t="s">
        <v>78</v>
      </c>
      <c r="AC5707" t="s">
        <v>79</v>
      </c>
      <c r="AD5707" t="s">
        <v>75</v>
      </c>
      <c r="AE5707" t="s">
        <v>80</v>
      </c>
      <c r="AG5707" t="s">
        <v>81</v>
      </c>
    </row>
    <row r="5708" spans="1:33" x14ac:dyDescent="0.25">
      <c r="A5708" t="str">
        <f>"1497748305"</f>
        <v>1497748305</v>
      </c>
      <c r="B5708" t="str">
        <f>"01655747"</f>
        <v>01655747</v>
      </c>
      <c r="C5708" t="s">
        <v>13436</v>
      </c>
      <c r="D5708" t="s">
        <v>27554</v>
      </c>
      <c r="E5708" t="s">
        <v>27555</v>
      </c>
      <c r="G5708" t="s">
        <v>27556</v>
      </c>
      <c r="L5708" t="s">
        <v>83</v>
      </c>
      <c r="M5708" t="s">
        <v>85</v>
      </c>
      <c r="R5708" t="s">
        <v>27557</v>
      </c>
      <c r="W5708" t="s">
        <v>27555</v>
      </c>
      <c r="X5708" t="s">
        <v>191</v>
      </c>
      <c r="Y5708" t="s">
        <v>97</v>
      </c>
      <c r="Z5708" t="s">
        <v>77</v>
      </c>
      <c r="AA5708" t="str">
        <f>"10019-1147"</f>
        <v>10019-1147</v>
      </c>
      <c r="AB5708" t="s">
        <v>78</v>
      </c>
      <c r="AC5708" t="s">
        <v>79</v>
      </c>
      <c r="AD5708" t="s">
        <v>75</v>
      </c>
      <c r="AE5708" t="s">
        <v>80</v>
      </c>
      <c r="AG5708" t="s">
        <v>81</v>
      </c>
    </row>
    <row r="5709" spans="1:33" x14ac:dyDescent="0.25">
      <c r="A5709" t="str">
        <f>"1497756035"</f>
        <v>1497756035</v>
      </c>
      <c r="B5709" t="str">
        <f>"02380858"</f>
        <v>02380858</v>
      </c>
      <c r="C5709" t="s">
        <v>13436</v>
      </c>
      <c r="D5709" t="s">
        <v>27558</v>
      </c>
      <c r="E5709" t="s">
        <v>27559</v>
      </c>
      <c r="G5709" t="s">
        <v>27560</v>
      </c>
      <c r="L5709" t="s">
        <v>83</v>
      </c>
      <c r="M5709" t="s">
        <v>85</v>
      </c>
      <c r="R5709" t="s">
        <v>27561</v>
      </c>
      <c r="W5709" t="s">
        <v>27559</v>
      </c>
      <c r="X5709" t="s">
        <v>27562</v>
      </c>
      <c r="Y5709" t="s">
        <v>97</v>
      </c>
      <c r="Z5709" t="s">
        <v>77</v>
      </c>
      <c r="AA5709" t="str">
        <f>"10024-5128"</f>
        <v>10024-5128</v>
      </c>
      <c r="AB5709" t="s">
        <v>78</v>
      </c>
      <c r="AC5709" t="s">
        <v>79</v>
      </c>
      <c r="AD5709" t="s">
        <v>75</v>
      </c>
      <c r="AE5709" t="s">
        <v>80</v>
      </c>
      <c r="AG5709" t="s">
        <v>81</v>
      </c>
    </row>
    <row r="5710" spans="1:33" x14ac:dyDescent="0.25">
      <c r="A5710" t="str">
        <f>"1417215518"</f>
        <v>1417215518</v>
      </c>
      <c r="B5710" t="str">
        <f>"03850520"</f>
        <v>03850520</v>
      </c>
      <c r="C5710" t="s">
        <v>27563</v>
      </c>
      <c r="D5710" t="s">
        <v>27564</v>
      </c>
      <c r="E5710" t="s">
        <v>27565</v>
      </c>
      <c r="G5710" t="s">
        <v>7218</v>
      </c>
      <c r="H5710" t="s">
        <v>6801</v>
      </c>
      <c r="I5710">
        <v>6136</v>
      </c>
      <c r="J5710" t="s">
        <v>7219</v>
      </c>
      <c r="L5710" t="s">
        <v>74</v>
      </c>
      <c r="M5710" t="s">
        <v>75</v>
      </c>
      <c r="R5710" t="s">
        <v>27566</v>
      </c>
      <c r="W5710" t="s">
        <v>27565</v>
      </c>
      <c r="X5710" t="s">
        <v>17156</v>
      </c>
      <c r="Y5710" t="s">
        <v>327</v>
      </c>
      <c r="Z5710" t="s">
        <v>77</v>
      </c>
      <c r="AA5710" t="str">
        <f>"11415-3600"</f>
        <v>11415-3600</v>
      </c>
      <c r="AB5710" t="s">
        <v>109</v>
      </c>
      <c r="AC5710" t="s">
        <v>79</v>
      </c>
      <c r="AD5710" t="s">
        <v>75</v>
      </c>
      <c r="AE5710" t="s">
        <v>80</v>
      </c>
      <c r="AG5710" t="s">
        <v>81</v>
      </c>
    </row>
    <row r="5711" spans="1:33" x14ac:dyDescent="0.25">
      <c r="A5711" t="str">
        <f>"1417244237"</f>
        <v>1417244237</v>
      </c>
      <c r="B5711" t="str">
        <f>"03600777"</f>
        <v>03600777</v>
      </c>
      <c r="C5711" t="s">
        <v>27567</v>
      </c>
      <c r="D5711" t="s">
        <v>27568</v>
      </c>
      <c r="E5711" t="s">
        <v>27569</v>
      </c>
      <c r="G5711" t="s">
        <v>7218</v>
      </c>
      <c r="H5711" t="s">
        <v>6801</v>
      </c>
      <c r="I5711">
        <v>6136</v>
      </c>
      <c r="J5711" t="s">
        <v>7219</v>
      </c>
      <c r="L5711" t="s">
        <v>74</v>
      </c>
      <c r="M5711" t="s">
        <v>75</v>
      </c>
      <c r="R5711" t="s">
        <v>27570</v>
      </c>
      <c r="W5711" t="s">
        <v>27569</v>
      </c>
      <c r="X5711" t="s">
        <v>2997</v>
      </c>
      <c r="Y5711" t="s">
        <v>87</v>
      </c>
      <c r="Z5711" t="s">
        <v>77</v>
      </c>
      <c r="AA5711" t="str">
        <f>"11201-4333"</f>
        <v>11201-4333</v>
      </c>
      <c r="AB5711" t="s">
        <v>109</v>
      </c>
      <c r="AC5711" t="s">
        <v>79</v>
      </c>
      <c r="AD5711" t="s">
        <v>75</v>
      </c>
      <c r="AE5711" t="s">
        <v>80</v>
      </c>
      <c r="AG5711" t="s">
        <v>81</v>
      </c>
    </row>
    <row r="5712" spans="1:33" x14ac:dyDescent="0.25">
      <c r="A5712" t="str">
        <f>"1427050764"</f>
        <v>1427050764</v>
      </c>
      <c r="B5712" t="str">
        <f>"00442113"</f>
        <v>00442113</v>
      </c>
      <c r="C5712" t="s">
        <v>27571</v>
      </c>
      <c r="D5712" t="s">
        <v>27572</v>
      </c>
      <c r="E5712" t="s">
        <v>5685</v>
      </c>
      <c r="G5712" t="s">
        <v>7218</v>
      </c>
      <c r="H5712" t="s">
        <v>6801</v>
      </c>
      <c r="I5712">
        <v>6136</v>
      </c>
      <c r="J5712" t="s">
        <v>7219</v>
      </c>
      <c r="L5712" t="s">
        <v>74</v>
      </c>
      <c r="M5712" t="s">
        <v>75</v>
      </c>
      <c r="R5712" t="s">
        <v>4553</v>
      </c>
      <c r="W5712" t="s">
        <v>27573</v>
      </c>
      <c r="X5712" t="s">
        <v>9151</v>
      </c>
      <c r="Y5712" t="s">
        <v>97</v>
      </c>
      <c r="Z5712" t="s">
        <v>77</v>
      </c>
      <c r="AA5712" t="str">
        <f>"10001-2320"</f>
        <v>10001-2320</v>
      </c>
      <c r="AB5712" t="s">
        <v>78</v>
      </c>
      <c r="AC5712" t="s">
        <v>79</v>
      </c>
      <c r="AD5712" t="s">
        <v>75</v>
      </c>
      <c r="AE5712" t="s">
        <v>80</v>
      </c>
      <c r="AG5712" t="s">
        <v>81</v>
      </c>
    </row>
    <row r="5713" spans="1:33" x14ac:dyDescent="0.25">
      <c r="A5713" t="str">
        <f>"1427481027"</f>
        <v>1427481027</v>
      </c>
      <c r="C5713" t="s">
        <v>27574</v>
      </c>
      <c r="G5713" t="s">
        <v>7218</v>
      </c>
      <c r="H5713" t="s">
        <v>6801</v>
      </c>
      <c r="I5713">
        <v>6136</v>
      </c>
      <c r="J5713" t="s">
        <v>7219</v>
      </c>
      <c r="K5713" t="s">
        <v>99</v>
      </c>
      <c r="L5713" t="s">
        <v>102</v>
      </c>
      <c r="M5713" t="s">
        <v>75</v>
      </c>
      <c r="R5713" t="s">
        <v>27575</v>
      </c>
      <c r="S5713" t="s">
        <v>27576</v>
      </c>
      <c r="T5713" t="s">
        <v>335</v>
      </c>
      <c r="U5713" t="s">
        <v>156</v>
      </c>
      <c r="V5713" t="str">
        <f>"074503247"</f>
        <v>074503247</v>
      </c>
      <c r="AC5713" t="s">
        <v>79</v>
      </c>
      <c r="AD5713" t="s">
        <v>75</v>
      </c>
      <c r="AE5713" t="s">
        <v>103</v>
      </c>
      <c r="AG5713" t="s">
        <v>81</v>
      </c>
    </row>
    <row r="5714" spans="1:33" x14ac:dyDescent="0.25">
      <c r="A5714" t="str">
        <f>"1437151537"</f>
        <v>1437151537</v>
      </c>
      <c r="B5714" t="str">
        <f>"01441116"</f>
        <v>01441116</v>
      </c>
      <c r="C5714" t="s">
        <v>27577</v>
      </c>
      <c r="D5714" t="s">
        <v>27578</v>
      </c>
      <c r="E5714" t="s">
        <v>27579</v>
      </c>
      <c r="G5714" t="s">
        <v>7218</v>
      </c>
      <c r="H5714" t="s">
        <v>6801</v>
      </c>
      <c r="I5714">
        <v>6136</v>
      </c>
      <c r="J5714" t="s">
        <v>7219</v>
      </c>
      <c r="L5714" t="s">
        <v>83</v>
      </c>
      <c r="M5714" t="s">
        <v>85</v>
      </c>
      <c r="R5714" t="s">
        <v>27580</v>
      </c>
      <c r="W5714" t="s">
        <v>27579</v>
      </c>
      <c r="X5714" t="s">
        <v>27581</v>
      </c>
      <c r="Y5714" t="s">
        <v>97</v>
      </c>
      <c r="Z5714" t="s">
        <v>77</v>
      </c>
      <c r="AA5714" t="str">
        <f>"10038-4812"</f>
        <v>10038-4812</v>
      </c>
      <c r="AB5714" t="s">
        <v>78</v>
      </c>
      <c r="AC5714" t="s">
        <v>79</v>
      </c>
      <c r="AD5714" t="s">
        <v>75</v>
      </c>
      <c r="AE5714" t="s">
        <v>80</v>
      </c>
      <c r="AG5714" t="s">
        <v>81</v>
      </c>
    </row>
    <row r="5715" spans="1:33" x14ac:dyDescent="0.25">
      <c r="A5715" t="str">
        <f>"1437375581"</f>
        <v>1437375581</v>
      </c>
      <c r="C5715" t="s">
        <v>27582</v>
      </c>
      <c r="G5715" t="s">
        <v>7218</v>
      </c>
      <c r="H5715" t="s">
        <v>6801</v>
      </c>
      <c r="I5715">
        <v>6136</v>
      </c>
      <c r="J5715" t="s">
        <v>7219</v>
      </c>
      <c r="K5715" t="s">
        <v>99</v>
      </c>
      <c r="L5715" t="s">
        <v>74</v>
      </c>
      <c r="M5715" t="s">
        <v>75</v>
      </c>
      <c r="R5715" t="s">
        <v>27583</v>
      </c>
      <c r="S5715" t="s">
        <v>27584</v>
      </c>
      <c r="T5715" t="s">
        <v>87</v>
      </c>
      <c r="U5715" t="s">
        <v>77</v>
      </c>
      <c r="V5715" t="str">
        <f>"112301103"</f>
        <v>112301103</v>
      </c>
      <c r="AC5715" t="s">
        <v>79</v>
      </c>
      <c r="AD5715" t="s">
        <v>75</v>
      </c>
      <c r="AE5715" t="s">
        <v>103</v>
      </c>
      <c r="AG5715" t="s">
        <v>81</v>
      </c>
    </row>
    <row r="5716" spans="1:33" x14ac:dyDescent="0.25">
      <c r="A5716" t="str">
        <f>"1447454293"</f>
        <v>1447454293</v>
      </c>
      <c r="B5716" t="str">
        <f>"03510767"</f>
        <v>03510767</v>
      </c>
      <c r="C5716" t="s">
        <v>27585</v>
      </c>
      <c r="D5716" t="s">
        <v>27586</v>
      </c>
      <c r="E5716" t="s">
        <v>27587</v>
      </c>
      <c r="G5716" t="s">
        <v>7218</v>
      </c>
      <c r="H5716" t="s">
        <v>6801</v>
      </c>
      <c r="I5716">
        <v>6136</v>
      </c>
      <c r="J5716" t="s">
        <v>7219</v>
      </c>
      <c r="L5716" t="s">
        <v>74</v>
      </c>
      <c r="M5716" t="s">
        <v>75</v>
      </c>
      <c r="R5716" t="s">
        <v>27588</v>
      </c>
      <c r="W5716" t="s">
        <v>27587</v>
      </c>
      <c r="X5716" t="s">
        <v>3458</v>
      </c>
      <c r="Y5716" t="s">
        <v>87</v>
      </c>
      <c r="Z5716" t="s">
        <v>77</v>
      </c>
      <c r="AA5716" t="str">
        <f>"11201-4300"</f>
        <v>11201-4300</v>
      </c>
      <c r="AB5716" t="s">
        <v>113</v>
      </c>
      <c r="AC5716" t="s">
        <v>79</v>
      </c>
      <c r="AD5716" t="s">
        <v>75</v>
      </c>
      <c r="AE5716" t="s">
        <v>80</v>
      </c>
      <c r="AG5716" t="s">
        <v>81</v>
      </c>
    </row>
    <row r="5717" spans="1:33" x14ac:dyDescent="0.25">
      <c r="A5717" t="str">
        <f>"1457536013"</f>
        <v>1457536013</v>
      </c>
      <c r="B5717" t="str">
        <f>"03656746"</f>
        <v>03656746</v>
      </c>
      <c r="C5717" t="s">
        <v>27589</v>
      </c>
      <c r="D5717" t="s">
        <v>27590</v>
      </c>
      <c r="E5717" t="s">
        <v>27591</v>
      </c>
      <c r="G5717" t="s">
        <v>7218</v>
      </c>
      <c r="H5717" t="s">
        <v>6801</v>
      </c>
      <c r="I5717">
        <v>6136</v>
      </c>
      <c r="J5717" t="s">
        <v>7219</v>
      </c>
      <c r="L5717" t="s">
        <v>74</v>
      </c>
      <c r="M5717" t="s">
        <v>75</v>
      </c>
      <c r="R5717" t="s">
        <v>27592</v>
      </c>
      <c r="W5717" t="s">
        <v>27591</v>
      </c>
      <c r="X5717" t="s">
        <v>8686</v>
      </c>
      <c r="Y5717" t="s">
        <v>145</v>
      </c>
      <c r="Z5717" t="s">
        <v>77</v>
      </c>
      <c r="AA5717" t="str">
        <f>"11361-3241"</f>
        <v>11361-3241</v>
      </c>
      <c r="AB5717" t="s">
        <v>109</v>
      </c>
      <c r="AC5717" t="s">
        <v>79</v>
      </c>
      <c r="AD5717" t="s">
        <v>75</v>
      </c>
      <c r="AE5717" t="s">
        <v>80</v>
      </c>
      <c r="AG5717" t="s">
        <v>81</v>
      </c>
    </row>
    <row r="5718" spans="1:33" x14ac:dyDescent="0.25">
      <c r="A5718" t="str">
        <f>"1457593543"</f>
        <v>1457593543</v>
      </c>
      <c r="C5718" t="s">
        <v>27593</v>
      </c>
      <c r="G5718" t="s">
        <v>7218</v>
      </c>
      <c r="H5718" t="s">
        <v>6801</v>
      </c>
      <c r="I5718">
        <v>6136</v>
      </c>
      <c r="J5718" t="s">
        <v>7219</v>
      </c>
      <c r="K5718" t="s">
        <v>99</v>
      </c>
      <c r="L5718" t="s">
        <v>102</v>
      </c>
      <c r="M5718" t="s">
        <v>75</v>
      </c>
      <c r="R5718" t="s">
        <v>27594</v>
      </c>
      <c r="S5718" t="s">
        <v>8385</v>
      </c>
      <c r="T5718" t="s">
        <v>97</v>
      </c>
      <c r="U5718" t="s">
        <v>77</v>
      </c>
      <c r="V5718" t="str">
        <f>"100012320"</f>
        <v>100012320</v>
      </c>
      <c r="AC5718" t="s">
        <v>79</v>
      </c>
      <c r="AD5718" t="s">
        <v>75</v>
      </c>
      <c r="AE5718" t="s">
        <v>103</v>
      </c>
      <c r="AG5718" t="s">
        <v>81</v>
      </c>
    </row>
    <row r="5719" spans="1:33" x14ac:dyDescent="0.25">
      <c r="A5719" t="str">
        <f>"1508280603"</f>
        <v>1508280603</v>
      </c>
      <c r="C5719" t="s">
        <v>13436</v>
      </c>
      <c r="G5719" t="s">
        <v>27595</v>
      </c>
      <c r="K5719" t="s">
        <v>99</v>
      </c>
      <c r="L5719" t="s">
        <v>102</v>
      </c>
      <c r="M5719" t="s">
        <v>75</v>
      </c>
      <c r="R5719" t="s">
        <v>27596</v>
      </c>
      <c r="S5719" t="s">
        <v>27597</v>
      </c>
      <c r="T5719" t="s">
        <v>131</v>
      </c>
      <c r="U5719" t="s">
        <v>77</v>
      </c>
      <c r="V5719" t="str">
        <f>"104683904"</f>
        <v>104683904</v>
      </c>
      <c r="AC5719" t="s">
        <v>79</v>
      </c>
      <c r="AD5719" t="s">
        <v>75</v>
      </c>
      <c r="AE5719" t="s">
        <v>103</v>
      </c>
      <c r="AG5719" t="s">
        <v>81</v>
      </c>
    </row>
    <row r="5720" spans="1:33" x14ac:dyDescent="0.25">
      <c r="A5720" t="str">
        <f>"1437122868"</f>
        <v>1437122868</v>
      </c>
      <c r="B5720" t="str">
        <f>"02278779"</f>
        <v>02278779</v>
      </c>
      <c r="C5720" t="s">
        <v>13436</v>
      </c>
      <c r="D5720" t="s">
        <v>5959</v>
      </c>
      <c r="E5720" t="s">
        <v>5960</v>
      </c>
      <c r="G5720" t="s">
        <v>27598</v>
      </c>
      <c r="L5720" t="s">
        <v>84</v>
      </c>
      <c r="M5720" t="s">
        <v>75</v>
      </c>
      <c r="R5720" t="s">
        <v>5961</v>
      </c>
      <c r="W5720" t="s">
        <v>5960</v>
      </c>
      <c r="X5720" t="s">
        <v>4690</v>
      </c>
      <c r="Y5720" t="s">
        <v>180</v>
      </c>
      <c r="Z5720" t="s">
        <v>77</v>
      </c>
      <c r="AA5720" t="str">
        <f>"10704-3060"</f>
        <v>10704-3060</v>
      </c>
      <c r="AB5720" t="s">
        <v>78</v>
      </c>
      <c r="AC5720" t="s">
        <v>79</v>
      </c>
      <c r="AD5720" t="s">
        <v>75</v>
      </c>
      <c r="AE5720" t="s">
        <v>80</v>
      </c>
      <c r="AG5720" t="s">
        <v>81</v>
      </c>
    </row>
    <row r="5721" spans="1:33" x14ac:dyDescent="0.25">
      <c r="A5721" t="str">
        <f>"1437154960"</f>
        <v>1437154960</v>
      </c>
      <c r="B5721" t="str">
        <f>"02428077"</f>
        <v>02428077</v>
      </c>
      <c r="C5721" t="s">
        <v>13436</v>
      </c>
      <c r="D5721" t="s">
        <v>27599</v>
      </c>
      <c r="E5721" t="s">
        <v>27600</v>
      </c>
      <c r="G5721" t="s">
        <v>27601</v>
      </c>
      <c r="L5721" t="s">
        <v>74</v>
      </c>
      <c r="M5721" t="s">
        <v>75</v>
      </c>
      <c r="R5721" t="s">
        <v>27602</v>
      </c>
      <c r="W5721" t="s">
        <v>27600</v>
      </c>
      <c r="X5721" t="s">
        <v>27603</v>
      </c>
      <c r="Y5721" t="s">
        <v>97</v>
      </c>
      <c r="Z5721" t="s">
        <v>77</v>
      </c>
      <c r="AA5721" t="str">
        <f>"10029-6501"</f>
        <v>10029-6501</v>
      </c>
      <c r="AB5721" t="s">
        <v>78</v>
      </c>
      <c r="AC5721" t="s">
        <v>79</v>
      </c>
      <c r="AD5721" t="s">
        <v>75</v>
      </c>
      <c r="AE5721" t="s">
        <v>80</v>
      </c>
      <c r="AG5721" t="s">
        <v>81</v>
      </c>
    </row>
    <row r="5722" spans="1:33" x14ac:dyDescent="0.25">
      <c r="A5722" t="str">
        <f>"1164663332"</f>
        <v>1164663332</v>
      </c>
      <c r="B5722" t="str">
        <f>"03326116"</f>
        <v>03326116</v>
      </c>
      <c r="C5722" t="s">
        <v>13436</v>
      </c>
      <c r="D5722" t="s">
        <v>27604</v>
      </c>
      <c r="E5722" t="s">
        <v>27605</v>
      </c>
      <c r="G5722" t="s">
        <v>27606</v>
      </c>
      <c r="L5722" t="s">
        <v>83</v>
      </c>
      <c r="M5722" t="s">
        <v>85</v>
      </c>
      <c r="R5722" t="s">
        <v>27607</v>
      </c>
      <c r="W5722" t="s">
        <v>27605</v>
      </c>
      <c r="X5722" t="s">
        <v>86</v>
      </c>
      <c r="Y5722" t="s">
        <v>87</v>
      </c>
      <c r="Z5722" t="s">
        <v>77</v>
      </c>
      <c r="AA5722" t="str">
        <f>"11220-2553"</f>
        <v>11220-2553</v>
      </c>
      <c r="AB5722" t="s">
        <v>78</v>
      </c>
      <c r="AC5722" t="s">
        <v>79</v>
      </c>
      <c r="AD5722" t="s">
        <v>75</v>
      </c>
      <c r="AE5722" t="s">
        <v>80</v>
      </c>
      <c r="AG5722" t="s">
        <v>81</v>
      </c>
    </row>
    <row r="5723" spans="1:33" x14ac:dyDescent="0.25">
      <c r="A5723" t="str">
        <f>"1528234788"</f>
        <v>1528234788</v>
      </c>
      <c r="B5723" t="str">
        <f>"03032831"</f>
        <v>03032831</v>
      </c>
      <c r="C5723" t="s">
        <v>13436</v>
      </c>
      <c r="D5723" t="s">
        <v>4738</v>
      </c>
      <c r="E5723" t="s">
        <v>4739</v>
      </c>
      <c r="L5723" t="s">
        <v>83</v>
      </c>
      <c r="M5723" t="s">
        <v>75</v>
      </c>
      <c r="R5723" t="s">
        <v>4740</v>
      </c>
      <c r="W5723" t="s">
        <v>4741</v>
      </c>
      <c r="X5723" t="s">
        <v>4742</v>
      </c>
      <c r="Y5723" t="s">
        <v>1077</v>
      </c>
      <c r="Z5723" t="s">
        <v>77</v>
      </c>
      <c r="AA5723" t="str">
        <f>"10532-2180"</f>
        <v>10532-2180</v>
      </c>
      <c r="AB5723" t="s">
        <v>78</v>
      </c>
      <c r="AC5723" t="s">
        <v>79</v>
      </c>
      <c r="AD5723" t="s">
        <v>75</v>
      </c>
      <c r="AE5723" t="s">
        <v>80</v>
      </c>
      <c r="AG5723" t="s">
        <v>81</v>
      </c>
    </row>
    <row r="5724" spans="1:33" x14ac:dyDescent="0.25">
      <c r="A5724" t="str">
        <f>"1528300332"</f>
        <v>1528300332</v>
      </c>
      <c r="C5724" t="s">
        <v>13436</v>
      </c>
      <c r="K5724" t="s">
        <v>99</v>
      </c>
      <c r="L5724" t="s">
        <v>102</v>
      </c>
      <c r="M5724" t="s">
        <v>75</v>
      </c>
      <c r="R5724" t="s">
        <v>27608</v>
      </c>
      <c r="S5724" t="s">
        <v>12254</v>
      </c>
      <c r="T5724" t="s">
        <v>97</v>
      </c>
      <c r="U5724" t="s">
        <v>77</v>
      </c>
      <c r="V5724" t="str">
        <f>"100295204"</f>
        <v>100295204</v>
      </c>
      <c r="AC5724" t="s">
        <v>79</v>
      </c>
      <c r="AD5724" t="s">
        <v>75</v>
      </c>
      <c r="AE5724" t="s">
        <v>103</v>
      </c>
      <c r="AG5724" t="s">
        <v>81</v>
      </c>
    </row>
    <row r="5725" spans="1:33" x14ac:dyDescent="0.25">
      <c r="A5725" t="str">
        <f>"1528301397"</f>
        <v>1528301397</v>
      </c>
      <c r="C5725" t="s">
        <v>13436</v>
      </c>
      <c r="K5725" t="s">
        <v>99</v>
      </c>
      <c r="L5725" t="s">
        <v>102</v>
      </c>
      <c r="M5725" t="s">
        <v>75</v>
      </c>
      <c r="R5725" t="s">
        <v>27609</v>
      </c>
      <c r="S5725" t="s">
        <v>27610</v>
      </c>
      <c r="T5725" t="s">
        <v>1354</v>
      </c>
      <c r="U5725" t="s">
        <v>77</v>
      </c>
      <c r="V5725" t="str">
        <f>"113701604"</f>
        <v>113701604</v>
      </c>
      <c r="AC5725" t="s">
        <v>79</v>
      </c>
      <c r="AD5725" t="s">
        <v>75</v>
      </c>
      <c r="AE5725" t="s">
        <v>103</v>
      </c>
      <c r="AG5725" t="s">
        <v>81</v>
      </c>
    </row>
    <row r="5726" spans="1:33" x14ac:dyDescent="0.25">
      <c r="A5726" t="str">
        <f>"1528334729"</f>
        <v>1528334729</v>
      </c>
      <c r="C5726" t="s">
        <v>13436</v>
      </c>
      <c r="K5726" t="s">
        <v>99</v>
      </c>
      <c r="L5726" t="s">
        <v>102</v>
      </c>
      <c r="M5726" t="s">
        <v>75</v>
      </c>
      <c r="R5726" t="s">
        <v>27611</v>
      </c>
      <c r="S5726" t="s">
        <v>27138</v>
      </c>
      <c r="T5726" t="s">
        <v>27139</v>
      </c>
      <c r="U5726" t="s">
        <v>2595</v>
      </c>
      <c r="V5726" t="str">
        <f>"943052200"</f>
        <v>943052200</v>
      </c>
      <c r="AC5726" t="s">
        <v>79</v>
      </c>
      <c r="AD5726" t="s">
        <v>75</v>
      </c>
      <c r="AE5726" t="s">
        <v>103</v>
      </c>
      <c r="AG5726" t="s">
        <v>81</v>
      </c>
    </row>
    <row r="5727" spans="1:33" x14ac:dyDescent="0.25">
      <c r="A5727" t="str">
        <f>"1093097263"</f>
        <v>1093097263</v>
      </c>
      <c r="B5727" t="str">
        <f>"03595613"</f>
        <v>03595613</v>
      </c>
      <c r="C5727" t="s">
        <v>13436</v>
      </c>
      <c r="D5727" t="s">
        <v>27612</v>
      </c>
      <c r="E5727" t="s">
        <v>27613</v>
      </c>
      <c r="G5727" t="s">
        <v>27614</v>
      </c>
      <c r="L5727" t="s">
        <v>105</v>
      </c>
      <c r="M5727" t="s">
        <v>75</v>
      </c>
      <c r="R5727" t="s">
        <v>27615</v>
      </c>
      <c r="W5727" t="s">
        <v>27613</v>
      </c>
      <c r="X5727" t="s">
        <v>15025</v>
      </c>
      <c r="Y5727" t="s">
        <v>97</v>
      </c>
      <c r="Z5727" t="s">
        <v>77</v>
      </c>
      <c r="AA5727" t="str">
        <f>"10025-2756"</f>
        <v>10025-2756</v>
      </c>
      <c r="AB5727" t="s">
        <v>125</v>
      </c>
      <c r="AC5727" t="s">
        <v>79</v>
      </c>
      <c r="AD5727" t="s">
        <v>75</v>
      </c>
      <c r="AE5727" t="s">
        <v>80</v>
      </c>
      <c r="AG5727" t="s">
        <v>81</v>
      </c>
    </row>
    <row r="5728" spans="1:33" x14ac:dyDescent="0.25">
      <c r="A5728" t="str">
        <f>"1093127508"</f>
        <v>1093127508</v>
      </c>
      <c r="C5728" t="s">
        <v>13436</v>
      </c>
      <c r="G5728" t="s">
        <v>27616</v>
      </c>
      <c r="K5728" t="s">
        <v>99</v>
      </c>
      <c r="L5728" t="s">
        <v>102</v>
      </c>
      <c r="M5728" t="s">
        <v>75</v>
      </c>
      <c r="R5728" t="s">
        <v>27617</v>
      </c>
      <c r="S5728" t="s">
        <v>12769</v>
      </c>
      <c r="T5728" t="s">
        <v>4861</v>
      </c>
      <c r="U5728" t="s">
        <v>156</v>
      </c>
      <c r="V5728" t="str">
        <f>"076311808"</f>
        <v>076311808</v>
      </c>
      <c r="AC5728" t="s">
        <v>79</v>
      </c>
      <c r="AD5728" t="s">
        <v>75</v>
      </c>
      <c r="AE5728" t="s">
        <v>103</v>
      </c>
      <c r="AG5728" t="s">
        <v>81</v>
      </c>
    </row>
    <row r="5729" spans="1:33" x14ac:dyDescent="0.25">
      <c r="A5729" t="str">
        <f>"1093133589"</f>
        <v>1093133589</v>
      </c>
      <c r="C5729" t="s">
        <v>13436</v>
      </c>
      <c r="K5729" t="s">
        <v>99</v>
      </c>
      <c r="L5729" t="s">
        <v>102</v>
      </c>
      <c r="M5729" t="s">
        <v>75</v>
      </c>
      <c r="R5729" t="s">
        <v>27618</v>
      </c>
      <c r="S5729" t="s">
        <v>11176</v>
      </c>
      <c r="T5729" t="s">
        <v>97</v>
      </c>
      <c r="U5729" t="s">
        <v>77</v>
      </c>
      <c r="V5729" t="str">
        <f>"100296542"</f>
        <v>100296542</v>
      </c>
      <c r="AC5729" t="s">
        <v>79</v>
      </c>
      <c r="AD5729" t="s">
        <v>75</v>
      </c>
      <c r="AE5729" t="s">
        <v>103</v>
      </c>
      <c r="AG5729" t="s">
        <v>81</v>
      </c>
    </row>
    <row r="5730" spans="1:33" x14ac:dyDescent="0.25">
      <c r="A5730" t="str">
        <f>"1366732687"</f>
        <v>1366732687</v>
      </c>
      <c r="B5730" t="str">
        <f>"04016184"</f>
        <v>04016184</v>
      </c>
      <c r="C5730" t="s">
        <v>13436</v>
      </c>
      <c r="D5730" t="s">
        <v>27619</v>
      </c>
      <c r="E5730" t="s">
        <v>27620</v>
      </c>
      <c r="L5730" t="s">
        <v>105</v>
      </c>
      <c r="M5730" t="s">
        <v>75</v>
      </c>
      <c r="R5730" t="s">
        <v>27620</v>
      </c>
      <c r="W5730" t="s">
        <v>27621</v>
      </c>
      <c r="X5730" t="s">
        <v>350</v>
      </c>
      <c r="Y5730" t="s">
        <v>131</v>
      </c>
      <c r="Z5730" t="s">
        <v>77</v>
      </c>
      <c r="AA5730" t="str">
        <f>"10451-5504"</f>
        <v>10451-5504</v>
      </c>
      <c r="AB5730" t="s">
        <v>78</v>
      </c>
      <c r="AC5730" t="s">
        <v>79</v>
      </c>
      <c r="AD5730" t="s">
        <v>75</v>
      </c>
      <c r="AE5730" t="s">
        <v>80</v>
      </c>
      <c r="AG5730" t="s">
        <v>81</v>
      </c>
    </row>
    <row r="5731" spans="1:33" x14ac:dyDescent="0.25">
      <c r="A5731" t="str">
        <f>"1366735433"</f>
        <v>1366735433</v>
      </c>
      <c r="C5731" t="s">
        <v>13436</v>
      </c>
      <c r="K5731" t="s">
        <v>99</v>
      </c>
      <c r="L5731" t="s">
        <v>102</v>
      </c>
      <c r="M5731" t="s">
        <v>75</v>
      </c>
      <c r="R5731" t="s">
        <v>27622</v>
      </c>
      <c r="S5731" t="s">
        <v>27623</v>
      </c>
      <c r="T5731" t="s">
        <v>27624</v>
      </c>
      <c r="U5731" t="s">
        <v>156</v>
      </c>
      <c r="V5731" t="str">
        <f>"070655181"</f>
        <v>070655181</v>
      </c>
      <c r="AC5731" t="s">
        <v>79</v>
      </c>
      <c r="AD5731" t="s">
        <v>75</v>
      </c>
      <c r="AE5731" t="s">
        <v>103</v>
      </c>
      <c r="AG5731" t="s">
        <v>81</v>
      </c>
    </row>
    <row r="5732" spans="1:33" x14ac:dyDescent="0.25">
      <c r="A5732" t="str">
        <f>"1366737959"</f>
        <v>1366737959</v>
      </c>
      <c r="C5732" t="s">
        <v>13436</v>
      </c>
      <c r="K5732" t="s">
        <v>99</v>
      </c>
      <c r="L5732" t="s">
        <v>102</v>
      </c>
      <c r="M5732" t="s">
        <v>75</v>
      </c>
      <c r="R5732" t="s">
        <v>27625</v>
      </c>
      <c r="S5732" t="s">
        <v>27626</v>
      </c>
      <c r="T5732" t="s">
        <v>4618</v>
      </c>
      <c r="U5732" t="s">
        <v>4619</v>
      </c>
      <c r="V5732" t="str">
        <f>"366172238"</f>
        <v>366172238</v>
      </c>
      <c r="AC5732" t="s">
        <v>79</v>
      </c>
      <c r="AD5732" t="s">
        <v>75</v>
      </c>
      <c r="AE5732" t="s">
        <v>103</v>
      </c>
      <c r="AG5732" t="s">
        <v>81</v>
      </c>
    </row>
    <row r="5733" spans="1:33" x14ac:dyDescent="0.25">
      <c r="A5733" t="str">
        <f>"1366741159"</f>
        <v>1366741159</v>
      </c>
      <c r="B5733" t="str">
        <f>"03822442"</f>
        <v>03822442</v>
      </c>
      <c r="C5733" t="s">
        <v>13436</v>
      </c>
      <c r="D5733" t="s">
        <v>27627</v>
      </c>
      <c r="E5733" t="s">
        <v>27628</v>
      </c>
      <c r="G5733" t="s">
        <v>27629</v>
      </c>
      <c r="L5733" t="s">
        <v>94</v>
      </c>
      <c r="M5733" t="s">
        <v>85</v>
      </c>
      <c r="R5733" t="s">
        <v>27630</v>
      </c>
      <c r="W5733" t="s">
        <v>27628</v>
      </c>
      <c r="X5733" t="s">
        <v>329</v>
      </c>
      <c r="Y5733" t="s">
        <v>97</v>
      </c>
      <c r="Z5733" t="s">
        <v>77</v>
      </c>
      <c r="AA5733" t="str">
        <f>"10029-6504"</f>
        <v>10029-6504</v>
      </c>
      <c r="AB5733" t="s">
        <v>78</v>
      </c>
      <c r="AC5733" t="s">
        <v>79</v>
      </c>
      <c r="AD5733" t="s">
        <v>75</v>
      </c>
      <c r="AE5733" t="s">
        <v>80</v>
      </c>
      <c r="AG5733" t="s">
        <v>81</v>
      </c>
    </row>
    <row r="5734" spans="1:33" x14ac:dyDescent="0.25">
      <c r="A5734" t="str">
        <f>"1265480180"</f>
        <v>1265480180</v>
      </c>
      <c r="B5734" t="str">
        <f>"02331262"</f>
        <v>02331262</v>
      </c>
      <c r="C5734" t="s">
        <v>13436</v>
      </c>
      <c r="D5734" t="s">
        <v>27631</v>
      </c>
      <c r="E5734" t="s">
        <v>27632</v>
      </c>
      <c r="G5734" t="s">
        <v>27633</v>
      </c>
      <c r="L5734" t="s">
        <v>74</v>
      </c>
      <c r="M5734" t="s">
        <v>75</v>
      </c>
      <c r="R5734" t="s">
        <v>27634</v>
      </c>
      <c r="W5734" t="s">
        <v>27632</v>
      </c>
      <c r="X5734" t="s">
        <v>443</v>
      </c>
      <c r="Y5734" t="s">
        <v>97</v>
      </c>
      <c r="Z5734" t="s">
        <v>77</v>
      </c>
      <c r="AA5734" t="str">
        <f>"10075-1850"</f>
        <v>10075-1850</v>
      </c>
      <c r="AB5734" t="s">
        <v>78</v>
      </c>
      <c r="AC5734" t="s">
        <v>79</v>
      </c>
      <c r="AD5734" t="s">
        <v>75</v>
      </c>
      <c r="AE5734" t="s">
        <v>80</v>
      </c>
      <c r="AG5734" t="s">
        <v>81</v>
      </c>
    </row>
    <row r="5735" spans="1:33" x14ac:dyDescent="0.25">
      <c r="A5735" t="str">
        <f>"1134417587"</f>
        <v>1134417587</v>
      </c>
      <c r="C5735" t="s">
        <v>13436</v>
      </c>
      <c r="K5735" t="s">
        <v>99</v>
      </c>
      <c r="L5735" t="s">
        <v>102</v>
      </c>
      <c r="M5735" t="s">
        <v>75</v>
      </c>
      <c r="R5735" t="s">
        <v>27635</v>
      </c>
      <c r="S5735" t="s">
        <v>27636</v>
      </c>
      <c r="T5735" t="s">
        <v>1789</v>
      </c>
      <c r="U5735" t="s">
        <v>285</v>
      </c>
      <c r="V5735" t="str">
        <f>"606162333"</f>
        <v>606162333</v>
      </c>
      <c r="AC5735" t="s">
        <v>79</v>
      </c>
      <c r="AD5735" t="s">
        <v>75</v>
      </c>
      <c r="AE5735" t="s">
        <v>103</v>
      </c>
      <c r="AG5735" t="s">
        <v>81</v>
      </c>
    </row>
    <row r="5736" spans="1:33" x14ac:dyDescent="0.25">
      <c r="A5736" t="str">
        <f>"1134443112"</f>
        <v>1134443112</v>
      </c>
      <c r="B5736" t="str">
        <f>"04375348"</f>
        <v>04375348</v>
      </c>
      <c r="C5736" t="s">
        <v>13436</v>
      </c>
      <c r="D5736" t="s">
        <v>27637</v>
      </c>
      <c r="E5736" t="s">
        <v>27638</v>
      </c>
      <c r="L5736" t="s">
        <v>94</v>
      </c>
      <c r="M5736" t="s">
        <v>75</v>
      </c>
      <c r="R5736" t="s">
        <v>27639</v>
      </c>
      <c r="W5736" t="s">
        <v>27638</v>
      </c>
      <c r="X5736" t="s">
        <v>27640</v>
      </c>
      <c r="Y5736" t="s">
        <v>247</v>
      </c>
      <c r="Z5736" t="s">
        <v>77</v>
      </c>
      <c r="AA5736" t="str">
        <f>"11791-4538"</f>
        <v>11791-4538</v>
      </c>
      <c r="AB5736" t="s">
        <v>78</v>
      </c>
      <c r="AC5736" t="s">
        <v>79</v>
      </c>
      <c r="AD5736" t="s">
        <v>75</v>
      </c>
      <c r="AE5736" t="s">
        <v>80</v>
      </c>
      <c r="AG5736" t="s">
        <v>81</v>
      </c>
    </row>
    <row r="5737" spans="1:33" x14ac:dyDescent="0.25">
      <c r="A5737" t="str">
        <f>"1134445943"</f>
        <v>1134445943</v>
      </c>
      <c r="C5737" t="s">
        <v>13436</v>
      </c>
      <c r="K5737" t="s">
        <v>99</v>
      </c>
      <c r="L5737" t="s">
        <v>102</v>
      </c>
      <c r="M5737" t="s">
        <v>75</v>
      </c>
      <c r="R5737" t="s">
        <v>27641</v>
      </c>
      <c r="S5737" t="s">
        <v>27642</v>
      </c>
      <c r="T5737" t="s">
        <v>97</v>
      </c>
      <c r="U5737" t="s">
        <v>77</v>
      </c>
      <c r="V5737" t="str">
        <f>"100297219"</f>
        <v>100297219</v>
      </c>
      <c r="AC5737" t="s">
        <v>79</v>
      </c>
      <c r="AD5737" t="s">
        <v>75</v>
      </c>
      <c r="AE5737" t="s">
        <v>103</v>
      </c>
      <c r="AG5737" t="s">
        <v>81</v>
      </c>
    </row>
    <row r="5738" spans="1:33" x14ac:dyDescent="0.25">
      <c r="A5738" t="str">
        <f>"1174819429"</f>
        <v>1174819429</v>
      </c>
      <c r="C5738" t="s">
        <v>13436</v>
      </c>
      <c r="K5738" t="s">
        <v>99</v>
      </c>
      <c r="L5738" t="s">
        <v>102</v>
      </c>
      <c r="M5738" t="s">
        <v>75</v>
      </c>
      <c r="R5738" t="s">
        <v>27643</v>
      </c>
      <c r="S5738" t="s">
        <v>27644</v>
      </c>
      <c r="T5738" t="s">
        <v>1846</v>
      </c>
      <c r="U5738" t="s">
        <v>1784</v>
      </c>
      <c r="V5738" t="str">
        <f>"152195114"</f>
        <v>152195114</v>
      </c>
      <c r="AC5738" t="s">
        <v>79</v>
      </c>
      <c r="AD5738" t="s">
        <v>75</v>
      </c>
      <c r="AE5738" t="s">
        <v>103</v>
      </c>
      <c r="AG5738" t="s">
        <v>81</v>
      </c>
    </row>
    <row r="5739" spans="1:33" x14ac:dyDescent="0.25">
      <c r="A5739" t="str">
        <f>"1174822738"</f>
        <v>1174822738</v>
      </c>
      <c r="C5739" t="s">
        <v>13436</v>
      </c>
      <c r="K5739" t="s">
        <v>99</v>
      </c>
      <c r="L5739" t="s">
        <v>102</v>
      </c>
      <c r="M5739" t="s">
        <v>75</v>
      </c>
      <c r="R5739" t="s">
        <v>27645</v>
      </c>
      <c r="S5739" t="s">
        <v>27646</v>
      </c>
      <c r="T5739" t="s">
        <v>97</v>
      </c>
      <c r="U5739" t="s">
        <v>77</v>
      </c>
      <c r="V5739" t="str">
        <f>"100296500"</f>
        <v>100296500</v>
      </c>
      <c r="AC5739" t="s">
        <v>79</v>
      </c>
      <c r="AD5739" t="s">
        <v>75</v>
      </c>
      <c r="AE5739" t="s">
        <v>103</v>
      </c>
      <c r="AG5739" t="s">
        <v>81</v>
      </c>
    </row>
    <row r="5740" spans="1:33" x14ac:dyDescent="0.25">
      <c r="A5740" t="str">
        <f>"1558422436"</f>
        <v>1558422436</v>
      </c>
      <c r="B5740" t="str">
        <f>"01083449"</f>
        <v>01083449</v>
      </c>
      <c r="C5740" t="s">
        <v>13436</v>
      </c>
      <c r="D5740" t="s">
        <v>27647</v>
      </c>
      <c r="E5740" t="s">
        <v>27648</v>
      </c>
      <c r="G5740" t="s">
        <v>27649</v>
      </c>
      <c r="L5740" t="s">
        <v>83</v>
      </c>
      <c r="M5740" t="s">
        <v>85</v>
      </c>
      <c r="R5740" t="s">
        <v>27650</v>
      </c>
      <c r="W5740" t="s">
        <v>27648</v>
      </c>
      <c r="X5740" t="s">
        <v>14871</v>
      </c>
      <c r="Y5740" t="s">
        <v>97</v>
      </c>
      <c r="Z5740" t="s">
        <v>77</v>
      </c>
      <c r="AA5740" t="str">
        <f>"10003"</f>
        <v>10003</v>
      </c>
      <c r="AB5740" t="s">
        <v>78</v>
      </c>
      <c r="AC5740" t="s">
        <v>79</v>
      </c>
      <c r="AD5740" t="s">
        <v>75</v>
      </c>
      <c r="AE5740" t="s">
        <v>80</v>
      </c>
      <c r="AG5740" t="s">
        <v>81</v>
      </c>
    </row>
    <row r="5741" spans="1:33" x14ac:dyDescent="0.25">
      <c r="A5741" t="str">
        <f>"1164407821"</f>
        <v>1164407821</v>
      </c>
      <c r="B5741" t="str">
        <f>"02568481"</f>
        <v>02568481</v>
      </c>
      <c r="C5741" t="s">
        <v>13436</v>
      </c>
      <c r="D5741" t="s">
        <v>27651</v>
      </c>
      <c r="E5741" t="s">
        <v>27652</v>
      </c>
      <c r="G5741" t="s">
        <v>27653</v>
      </c>
      <c r="L5741" t="s">
        <v>74</v>
      </c>
      <c r="M5741" t="s">
        <v>85</v>
      </c>
      <c r="R5741" t="s">
        <v>27654</v>
      </c>
      <c r="W5741" t="s">
        <v>27652</v>
      </c>
      <c r="X5741" t="s">
        <v>329</v>
      </c>
      <c r="Y5741" t="s">
        <v>97</v>
      </c>
      <c r="Z5741" t="s">
        <v>77</v>
      </c>
      <c r="AA5741" t="str">
        <f>"10029-6500"</f>
        <v>10029-6500</v>
      </c>
      <c r="AB5741" t="s">
        <v>78</v>
      </c>
      <c r="AC5741" t="s">
        <v>79</v>
      </c>
      <c r="AD5741" t="s">
        <v>75</v>
      </c>
      <c r="AE5741" t="s">
        <v>80</v>
      </c>
      <c r="AG5741" t="s">
        <v>81</v>
      </c>
    </row>
    <row r="5742" spans="1:33" x14ac:dyDescent="0.25">
      <c r="A5742" t="str">
        <f>"1093144735"</f>
        <v>1093144735</v>
      </c>
      <c r="C5742" t="s">
        <v>27655</v>
      </c>
      <c r="G5742" t="s">
        <v>27493</v>
      </c>
      <c r="J5742" t="s">
        <v>27494</v>
      </c>
      <c r="K5742" t="s">
        <v>99</v>
      </c>
      <c r="L5742" t="s">
        <v>102</v>
      </c>
      <c r="M5742" t="s">
        <v>75</v>
      </c>
      <c r="R5742" t="s">
        <v>27656</v>
      </c>
      <c r="S5742" t="s">
        <v>27657</v>
      </c>
      <c r="T5742" t="s">
        <v>97</v>
      </c>
      <c r="U5742" t="s">
        <v>77</v>
      </c>
      <c r="V5742" t="str">
        <f>"100143518"</f>
        <v>100143518</v>
      </c>
      <c r="AC5742" t="s">
        <v>79</v>
      </c>
      <c r="AD5742" t="s">
        <v>75</v>
      </c>
      <c r="AE5742" t="s">
        <v>103</v>
      </c>
      <c r="AG5742" t="s">
        <v>81</v>
      </c>
    </row>
    <row r="5743" spans="1:33" x14ac:dyDescent="0.25">
      <c r="A5743" t="str">
        <f>"1467710905"</f>
        <v>1467710905</v>
      </c>
      <c r="C5743" t="s">
        <v>27658</v>
      </c>
      <c r="G5743" t="s">
        <v>27493</v>
      </c>
      <c r="J5743" t="s">
        <v>27494</v>
      </c>
      <c r="K5743" t="s">
        <v>99</v>
      </c>
      <c r="L5743" t="s">
        <v>102</v>
      </c>
      <c r="M5743" t="s">
        <v>75</v>
      </c>
      <c r="R5743" t="s">
        <v>27659</v>
      </c>
      <c r="S5743" t="s">
        <v>3076</v>
      </c>
      <c r="T5743" t="s">
        <v>97</v>
      </c>
      <c r="U5743" t="s">
        <v>77</v>
      </c>
      <c r="V5743" t="str">
        <f>"100143518"</f>
        <v>100143518</v>
      </c>
      <c r="AC5743" t="s">
        <v>79</v>
      </c>
      <c r="AD5743" t="s">
        <v>75</v>
      </c>
      <c r="AE5743" t="s">
        <v>103</v>
      </c>
      <c r="AG5743" t="s">
        <v>81</v>
      </c>
    </row>
    <row r="5744" spans="1:33" x14ac:dyDescent="0.25">
      <c r="A5744" t="str">
        <f>"1881842490"</f>
        <v>1881842490</v>
      </c>
      <c r="B5744" t="str">
        <f>"03492913"</f>
        <v>03492913</v>
      </c>
      <c r="C5744" t="s">
        <v>27660</v>
      </c>
      <c r="D5744" t="s">
        <v>27661</v>
      </c>
      <c r="E5744" t="s">
        <v>27662</v>
      </c>
      <c r="G5744" t="s">
        <v>15186</v>
      </c>
      <c r="H5744" t="s">
        <v>15187</v>
      </c>
      <c r="J5744" t="s">
        <v>15188</v>
      </c>
      <c r="L5744" t="s">
        <v>74</v>
      </c>
      <c r="M5744" t="s">
        <v>75</v>
      </c>
      <c r="R5744" t="s">
        <v>27663</v>
      </c>
      <c r="W5744" t="s">
        <v>27664</v>
      </c>
      <c r="X5744" t="s">
        <v>27665</v>
      </c>
      <c r="Y5744" t="s">
        <v>310</v>
      </c>
      <c r="Z5744" t="s">
        <v>77</v>
      </c>
      <c r="AA5744" t="str">
        <f>"10512-2455"</f>
        <v>10512-2455</v>
      </c>
      <c r="AB5744" t="s">
        <v>125</v>
      </c>
      <c r="AC5744" t="s">
        <v>79</v>
      </c>
      <c r="AD5744" t="s">
        <v>75</v>
      </c>
      <c r="AE5744" t="s">
        <v>80</v>
      </c>
      <c r="AG5744" t="s">
        <v>81</v>
      </c>
    </row>
    <row r="5745" spans="1:33" x14ac:dyDescent="0.25">
      <c r="A5745" t="str">
        <f>"1407288046"</f>
        <v>1407288046</v>
      </c>
      <c r="C5745" t="s">
        <v>27666</v>
      </c>
      <c r="G5745" t="s">
        <v>15186</v>
      </c>
      <c r="H5745" t="s">
        <v>15187</v>
      </c>
      <c r="J5745" t="s">
        <v>15188</v>
      </c>
      <c r="K5745" t="s">
        <v>99</v>
      </c>
      <c r="L5745" t="s">
        <v>102</v>
      </c>
      <c r="M5745" t="s">
        <v>75</v>
      </c>
      <c r="R5745" t="s">
        <v>27667</v>
      </c>
      <c r="S5745" t="s">
        <v>27668</v>
      </c>
      <c r="T5745" t="s">
        <v>97</v>
      </c>
      <c r="U5745" t="s">
        <v>77</v>
      </c>
      <c r="V5745" t="str">
        <f>"101284047"</f>
        <v>101284047</v>
      </c>
      <c r="AC5745" t="s">
        <v>79</v>
      </c>
      <c r="AD5745" t="s">
        <v>75</v>
      </c>
      <c r="AE5745" t="s">
        <v>103</v>
      </c>
      <c r="AG5745" t="s">
        <v>81</v>
      </c>
    </row>
    <row r="5746" spans="1:33" x14ac:dyDescent="0.25">
      <c r="A5746" t="str">
        <f>"1619242625"</f>
        <v>1619242625</v>
      </c>
      <c r="B5746" t="str">
        <f>"03492977"</f>
        <v>03492977</v>
      </c>
      <c r="C5746" t="s">
        <v>27669</v>
      </c>
      <c r="D5746" t="s">
        <v>27670</v>
      </c>
      <c r="E5746" t="s">
        <v>27671</v>
      </c>
      <c r="G5746" t="s">
        <v>15186</v>
      </c>
      <c r="H5746" t="s">
        <v>15187</v>
      </c>
      <c r="J5746" t="s">
        <v>15188</v>
      </c>
      <c r="L5746" t="s">
        <v>105</v>
      </c>
      <c r="M5746" t="s">
        <v>75</v>
      </c>
      <c r="R5746" t="s">
        <v>27672</v>
      </c>
      <c r="W5746" t="s">
        <v>27671</v>
      </c>
      <c r="X5746" t="s">
        <v>13435</v>
      </c>
      <c r="Y5746" t="s">
        <v>97</v>
      </c>
      <c r="Z5746" t="s">
        <v>77</v>
      </c>
      <c r="AA5746" t="str">
        <f>"10027"</f>
        <v>10027</v>
      </c>
      <c r="AB5746" t="s">
        <v>113</v>
      </c>
      <c r="AC5746" t="s">
        <v>79</v>
      </c>
      <c r="AD5746" t="s">
        <v>75</v>
      </c>
      <c r="AE5746" t="s">
        <v>80</v>
      </c>
      <c r="AG5746" t="s">
        <v>81</v>
      </c>
    </row>
    <row r="5747" spans="1:33" x14ac:dyDescent="0.25">
      <c r="A5747" t="str">
        <f>"1588938799"</f>
        <v>1588938799</v>
      </c>
      <c r="C5747" t="s">
        <v>27673</v>
      </c>
      <c r="G5747" t="s">
        <v>15186</v>
      </c>
      <c r="H5747" t="s">
        <v>15187</v>
      </c>
      <c r="J5747" t="s">
        <v>15188</v>
      </c>
      <c r="K5747" t="s">
        <v>99</v>
      </c>
      <c r="L5747" t="s">
        <v>74</v>
      </c>
      <c r="M5747" t="s">
        <v>75</v>
      </c>
      <c r="R5747" t="s">
        <v>27674</v>
      </c>
      <c r="S5747" t="s">
        <v>27675</v>
      </c>
      <c r="T5747" t="s">
        <v>97</v>
      </c>
      <c r="U5747" t="s">
        <v>77</v>
      </c>
      <c r="V5747" t="str">
        <f>"100750810"</f>
        <v>100750810</v>
      </c>
      <c r="AC5747" t="s">
        <v>79</v>
      </c>
      <c r="AD5747" t="s">
        <v>75</v>
      </c>
      <c r="AE5747" t="s">
        <v>103</v>
      </c>
      <c r="AG5747" t="s">
        <v>81</v>
      </c>
    </row>
    <row r="5748" spans="1:33" x14ac:dyDescent="0.25">
      <c r="A5748" t="str">
        <f>"1417398348"</f>
        <v>1417398348</v>
      </c>
      <c r="C5748" t="s">
        <v>27676</v>
      </c>
      <c r="G5748" t="s">
        <v>15186</v>
      </c>
      <c r="H5748" t="s">
        <v>15187</v>
      </c>
      <c r="J5748" t="s">
        <v>15188</v>
      </c>
      <c r="K5748" t="s">
        <v>99</v>
      </c>
      <c r="L5748" t="s">
        <v>102</v>
      </c>
      <c r="M5748" t="s">
        <v>75</v>
      </c>
      <c r="R5748" t="s">
        <v>27677</v>
      </c>
      <c r="S5748" t="s">
        <v>27678</v>
      </c>
      <c r="T5748" t="s">
        <v>97</v>
      </c>
      <c r="U5748" t="s">
        <v>77</v>
      </c>
      <c r="V5748" t="str">
        <f>"100312132"</f>
        <v>100312132</v>
      </c>
      <c r="AC5748" t="s">
        <v>79</v>
      </c>
      <c r="AD5748" t="s">
        <v>75</v>
      </c>
      <c r="AE5748" t="s">
        <v>103</v>
      </c>
      <c r="AG5748" t="s">
        <v>81</v>
      </c>
    </row>
    <row r="5749" spans="1:33" x14ac:dyDescent="0.25">
      <c r="A5749" t="str">
        <f>"1124440987"</f>
        <v>1124440987</v>
      </c>
      <c r="C5749" t="s">
        <v>27679</v>
      </c>
      <c r="G5749" t="s">
        <v>15186</v>
      </c>
      <c r="H5749" t="s">
        <v>15187</v>
      </c>
      <c r="J5749" t="s">
        <v>15188</v>
      </c>
      <c r="K5749" t="s">
        <v>99</v>
      </c>
      <c r="L5749" t="s">
        <v>102</v>
      </c>
      <c r="M5749" t="s">
        <v>75</v>
      </c>
      <c r="R5749" t="s">
        <v>27680</v>
      </c>
      <c r="S5749" t="s">
        <v>3076</v>
      </c>
      <c r="T5749" t="s">
        <v>97</v>
      </c>
      <c r="U5749" t="s">
        <v>77</v>
      </c>
      <c r="V5749" t="str">
        <f>"100143518"</f>
        <v>100143518</v>
      </c>
      <c r="AC5749" t="s">
        <v>79</v>
      </c>
      <c r="AD5749" t="s">
        <v>75</v>
      </c>
      <c r="AE5749" t="s">
        <v>103</v>
      </c>
      <c r="AG5749" t="s">
        <v>81</v>
      </c>
    </row>
    <row r="5750" spans="1:33" x14ac:dyDescent="0.25">
      <c r="A5750" t="str">
        <f>"1871832808"</f>
        <v>1871832808</v>
      </c>
      <c r="C5750" t="s">
        <v>27681</v>
      </c>
      <c r="G5750" t="s">
        <v>15186</v>
      </c>
      <c r="H5750" t="s">
        <v>15187</v>
      </c>
      <c r="J5750" t="s">
        <v>15188</v>
      </c>
      <c r="K5750" t="s">
        <v>99</v>
      </c>
      <c r="L5750" t="s">
        <v>74</v>
      </c>
      <c r="M5750" t="s">
        <v>75</v>
      </c>
      <c r="R5750" t="s">
        <v>27682</v>
      </c>
      <c r="S5750" t="s">
        <v>27683</v>
      </c>
      <c r="T5750" t="s">
        <v>97</v>
      </c>
      <c r="U5750" t="s">
        <v>77</v>
      </c>
      <c r="V5750" t="str">
        <f>"100162401"</f>
        <v>100162401</v>
      </c>
      <c r="AC5750" t="s">
        <v>79</v>
      </c>
      <c r="AD5750" t="s">
        <v>75</v>
      </c>
      <c r="AE5750" t="s">
        <v>103</v>
      </c>
      <c r="AG5750" t="s">
        <v>81</v>
      </c>
    </row>
    <row r="5751" spans="1:33" x14ac:dyDescent="0.25">
      <c r="A5751" t="str">
        <f>"1194867010"</f>
        <v>1194867010</v>
      </c>
      <c r="C5751" t="s">
        <v>27684</v>
      </c>
      <c r="G5751" t="s">
        <v>13504</v>
      </c>
      <c r="H5751" t="s">
        <v>13505</v>
      </c>
      <c r="J5751" t="s">
        <v>13506</v>
      </c>
      <c r="K5751" t="s">
        <v>99</v>
      </c>
      <c r="L5751" t="s">
        <v>102</v>
      </c>
      <c r="M5751" t="s">
        <v>75</v>
      </c>
      <c r="R5751" t="s">
        <v>27685</v>
      </c>
      <c r="S5751" t="s">
        <v>27686</v>
      </c>
      <c r="T5751" t="s">
        <v>87</v>
      </c>
      <c r="U5751" t="s">
        <v>77</v>
      </c>
      <c r="V5751" t="str">
        <f>"112093325"</f>
        <v>112093325</v>
      </c>
      <c r="AC5751" t="s">
        <v>79</v>
      </c>
      <c r="AD5751" t="s">
        <v>75</v>
      </c>
      <c r="AE5751" t="s">
        <v>103</v>
      </c>
      <c r="AG5751" t="s">
        <v>81</v>
      </c>
    </row>
    <row r="5752" spans="1:33" x14ac:dyDescent="0.25">
      <c r="A5752" t="str">
        <f>"1699773036"</f>
        <v>1699773036</v>
      </c>
      <c r="B5752" t="str">
        <f>"00298586"</f>
        <v>00298586</v>
      </c>
      <c r="C5752" t="s">
        <v>27687</v>
      </c>
      <c r="D5752" t="s">
        <v>27688</v>
      </c>
      <c r="E5752" t="s">
        <v>27689</v>
      </c>
      <c r="G5752" t="s">
        <v>13504</v>
      </c>
      <c r="H5752" t="s">
        <v>13505</v>
      </c>
      <c r="J5752" t="s">
        <v>13506</v>
      </c>
      <c r="L5752" t="s">
        <v>74</v>
      </c>
      <c r="M5752" t="s">
        <v>75</v>
      </c>
      <c r="R5752" t="s">
        <v>27690</v>
      </c>
      <c r="W5752" t="s">
        <v>27689</v>
      </c>
      <c r="X5752" t="s">
        <v>27691</v>
      </c>
      <c r="Y5752" t="s">
        <v>87</v>
      </c>
      <c r="Z5752" t="s">
        <v>77</v>
      </c>
      <c r="AA5752" t="str">
        <f>"11237"</f>
        <v>11237</v>
      </c>
      <c r="AB5752" t="s">
        <v>82</v>
      </c>
      <c r="AC5752" t="s">
        <v>79</v>
      </c>
      <c r="AD5752" t="s">
        <v>75</v>
      </c>
      <c r="AE5752" t="s">
        <v>80</v>
      </c>
      <c r="AG5752" t="s">
        <v>81</v>
      </c>
    </row>
    <row r="5753" spans="1:33" x14ac:dyDescent="0.25">
      <c r="A5753" t="str">
        <f>"1447392345"</f>
        <v>1447392345</v>
      </c>
      <c r="B5753" t="str">
        <f>"00300394"</f>
        <v>00300394</v>
      </c>
      <c r="C5753" t="s">
        <v>27692</v>
      </c>
      <c r="D5753" t="s">
        <v>27693</v>
      </c>
      <c r="E5753" t="s">
        <v>27694</v>
      </c>
      <c r="G5753" t="s">
        <v>13504</v>
      </c>
      <c r="H5753" t="s">
        <v>13505</v>
      </c>
      <c r="J5753" t="s">
        <v>13506</v>
      </c>
      <c r="L5753" t="s">
        <v>74</v>
      </c>
      <c r="M5753" t="s">
        <v>75</v>
      </c>
      <c r="R5753" t="s">
        <v>27695</v>
      </c>
      <c r="W5753" t="s">
        <v>27694</v>
      </c>
      <c r="X5753" t="s">
        <v>27696</v>
      </c>
      <c r="Y5753" t="s">
        <v>155</v>
      </c>
      <c r="Z5753" t="s">
        <v>77</v>
      </c>
      <c r="AA5753" t="str">
        <f>"10314-4217"</f>
        <v>10314-4217</v>
      </c>
      <c r="AB5753" t="s">
        <v>82</v>
      </c>
      <c r="AC5753" t="s">
        <v>79</v>
      </c>
      <c r="AD5753" t="s">
        <v>75</v>
      </c>
      <c r="AE5753" t="s">
        <v>80</v>
      </c>
      <c r="AG5753" t="s">
        <v>81</v>
      </c>
    </row>
    <row r="5754" spans="1:33" x14ac:dyDescent="0.25">
      <c r="A5754" t="str">
        <f>"1033256201"</f>
        <v>1033256201</v>
      </c>
      <c r="B5754" t="str">
        <f>"01082764"</f>
        <v>01082764</v>
      </c>
      <c r="C5754" t="s">
        <v>27697</v>
      </c>
      <c r="D5754" t="s">
        <v>27698</v>
      </c>
      <c r="E5754" t="s">
        <v>27699</v>
      </c>
      <c r="G5754" t="s">
        <v>13504</v>
      </c>
      <c r="H5754" t="s">
        <v>13505</v>
      </c>
      <c r="J5754" t="s">
        <v>13506</v>
      </c>
      <c r="L5754" t="s">
        <v>83</v>
      </c>
      <c r="M5754" t="s">
        <v>75</v>
      </c>
      <c r="R5754" t="s">
        <v>27700</v>
      </c>
      <c r="W5754" t="s">
        <v>27701</v>
      </c>
      <c r="X5754" t="s">
        <v>202</v>
      </c>
      <c r="Y5754" t="s">
        <v>87</v>
      </c>
      <c r="Z5754" t="s">
        <v>77</v>
      </c>
      <c r="AA5754" t="str">
        <f>"11201-5425"</f>
        <v>11201-5425</v>
      </c>
      <c r="AB5754" t="s">
        <v>78</v>
      </c>
      <c r="AC5754" t="s">
        <v>79</v>
      </c>
      <c r="AD5754" t="s">
        <v>75</v>
      </c>
      <c r="AE5754" t="s">
        <v>80</v>
      </c>
      <c r="AG5754" t="s">
        <v>81</v>
      </c>
    </row>
    <row r="5755" spans="1:33" x14ac:dyDescent="0.25">
      <c r="A5755" t="str">
        <f>"1063503670"</f>
        <v>1063503670</v>
      </c>
      <c r="B5755" t="str">
        <f>"00795006"</f>
        <v>00795006</v>
      </c>
      <c r="C5755" t="s">
        <v>27702</v>
      </c>
      <c r="D5755" t="s">
        <v>27703</v>
      </c>
      <c r="E5755" t="s">
        <v>27704</v>
      </c>
      <c r="G5755" t="s">
        <v>13504</v>
      </c>
      <c r="H5755" t="s">
        <v>13505</v>
      </c>
      <c r="J5755" t="s">
        <v>13506</v>
      </c>
      <c r="L5755" t="s">
        <v>83</v>
      </c>
      <c r="M5755" t="s">
        <v>75</v>
      </c>
      <c r="R5755" t="s">
        <v>27705</v>
      </c>
      <c r="W5755" t="s">
        <v>27704</v>
      </c>
      <c r="X5755" t="s">
        <v>27706</v>
      </c>
      <c r="Y5755" t="s">
        <v>178</v>
      </c>
      <c r="Z5755" t="s">
        <v>77</v>
      </c>
      <c r="AA5755" t="str">
        <f>"11021-2025"</f>
        <v>11021-2025</v>
      </c>
      <c r="AB5755" t="s">
        <v>82</v>
      </c>
      <c r="AC5755" t="s">
        <v>79</v>
      </c>
      <c r="AD5755" t="s">
        <v>75</v>
      </c>
      <c r="AE5755" t="s">
        <v>80</v>
      </c>
      <c r="AG5755" t="s">
        <v>81</v>
      </c>
    </row>
    <row r="5756" spans="1:33" x14ac:dyDescent="0.25">
      <c r="A5756" t="str">
        <f>"1659397578"</f>
        <v>1659397578</v>
      </c>
      <c r="B5756" t="str">
        <f>"00759251"</f>
        <v>00759251</v>
      </c>
      <c r="C5756" t="s">
        <v>27707</v>
      </c>
      <c r="D5756" t="s">
        <v>27708</v>
      </c>
      <c r="E5756" t="s">
        <v>27709</v>
      </c>
      <c r="G5756" t="s">
        <v>13504</v>
      </c>
      <c r="H5756" t="s">
        <v>13505</v>
      </c>
      <c r="J5756" t="s">
        <v>13506</v>
      </c>
      <c r="L5756" t="s">
        <v>74</v>
      </c>
      <c r="M5756" t="s">
        <v>75</v>
      </c>
      <c r="R5756" t="s">
        <v>27710</v>
      </c>
      <c r="W5756" t="s">
        <v>27709</v>
      </c>
      <c r="X5756" t="s">
        <v>543</v>
      </c>
      <c r="Y5756" t="s">
        <v>87</v>
      </c>
      <c r="Z5756" t="s">
        <v>77</v>
      </c>
      <c r="AA5756" t="str">
        <f>"11206-5317"</f>
        <v>11206-5317</v>
      </c>
      <c r="AB5756" t="s">
        <v>82</v>
      </c>
      <c r="AC5756" t="s">
        <v>79</v>
      </c>
      <c r="AD5756" t="s">
        <v>75</v>
      </c>
      <c r="AE5756" t="s">
        <v>80</v>
      </c>
      <c r="AG5756" t="s">
        <v>81</v>
      </c>
    </row>
    <row r="5757" spans="1:33" x14ac:dyDescent="0.25">
      <c r="A5757" t="str">
        <f>"1366538910"</f>
        <v>1366538910</v>
      </c>
      <c r="B5757" t="str">
        <f>"00956721"</f>
        <v>00956721</v>
      </c>
      <c r="C5757" t="s">
        <v>27711</v>
      </c>
      <c r="D5757" t="s">
        <v>27712</v>
      </c>
      <c r="E5757" t="s">
        <v>27713</v>
      </c>
      <c r="G5757" t="s">
        <v>13504</v>
      </c>
      <c r="H5757" t="s">
        <v>13505</v>
      </c>
      <c r="J5757" t="s">
        <v>13506</v>
      </c>
      <c r="L5757" t="s">
        <v>74</v>
      </c>
      <c r="M5757" t="s">
        <v>75</v>
      </c>
      <c r="R5757" t="s">
        <v>27714</v>
      </c>
      <c r="W5757" t="s">
        <v>27713</v>
      </c>
      <c r="X5757" t="s">
        <v>543</v>
      </c>
      <c r="Y5757" t="s">
        <v>87</v>
      </c>
      <c r="Z5757" t="s">
        <v>77</v>
      </c>
      <c r="AA5757" t="str">
        <f>"11206-5317"</f>
        <v>11206-5317</v>
      </c>
      <c r="AB5757" t="s">
        <v>82</v>
      </c>
      <c r="AC5757" t="s">
        <v>79</v>
      </c>
      <c r="AD5757" t="s">
        <v>75</v>
      </c>
      <c r="AE5757" t="s">
        <v>80</v>
      </c>
      <c r="AG5757" t="s">
        <v>81</v>
      </c>
    </row>
    <row r="5758" spans="1:33" x14ac:dyDescent="0.25">
      <c r="A5758" t="str">
        <f>"1881804433"</f>
        <v>1881804433</v>
      </c>
      <c r="C5758" t="s">
        <v>27715</v>
      </c>
      <c r="G5758" t="s">
        <v>13504</v>
      </c>
      <c r="H5758" t="s">
        <v>13505</v>
      </c>
      <c r="J5758" t="s">
        <v>13506</v>
      </c>
      <c r="K5758" t="s">
        <v>99</v>
      </c>
      <c r="L5758" t="s">
        <v>102</v>
      </c>
      <c r="M5758" t="s">
        <v>75</v>
      </c>
      <c r="R5758" t="s">
        <v>27716</v>
      </c>
      <c r="S5758" t="s">
        <v>27717</v>
      </c>
      <c r="T5758" t="s">
        <v>2672</v>
      </c>
      <c r="U5758" t="s">
        <v>77</v>
      </c>
      <c r="V5758" t="str">
        <f>"11952"</f>
        <v>11952</v>
      </c>
      <c r="AC5758" t="s">
        <v>79</v>
      </c>
      <c r="AD5758" t="s">
        <v>75</v>
      </c>
      <c r="AE5758" t="s">
        <v>103</v>
      </c>
      <c r="AG5758" t="s">
        <v>81</v>
      </c>
    </row>
    <row r="5759" spans="1:33" x14ac:dyDescent="0.25">
      <c r="A5759" t="str">
        <f>"1407172620"</f>
        <v>1407172620</v>
      </c>
      <c r="B5759" t="str">
        <f>"03273163"</f>
        <v>03273163</v>
      </c>
      <c r="C5759" t="s">
        <v>27718</v>
      </c>
      <c r="D5759" t="s">
        <v>27719</v>
      </c>
      <c r="E5759" t="s">
        <v>27720</v>
      </c>
      <c r="G5759" t="s">
        <v>7218</v>
      </c>
      <c r="H5759" t="s">
        <v>6801</v>
      </c>
      <c r="I5759">
        <v>6136</v>
      </c>
      <c r="J5759" t="s">
        <v>7219</v>
      </c>
      <c r="L5759" t="s">
        <v>74</v>
      </c>
      <c r="M5759" t="s">
        <v>75</v>
      </c>
      <c r="R5759" t="s">
        <v>27721</v>
      </c>
      <c r="W5759" t="s">
        <v>27722</v>
      </c>
      <c r="X5759" t="s">
        <v>4888</v>
      </c>
      <c r="Y5759" t="s">
        <v>4665</v>
      </c>
      <c r="Z5759" t="s">
        <v>77</v>
      </c>
      <c r="AA5759" t="str">
        <f>"10952-3372"</f>
        <v>10952-3372</v>
      </c>
      <c r="AB5759" t="s">
        <v>109</v>
      </c>
      <c r="AC5759" t="s">
        <v>79</v>
      </c>
      <c r="AD5759" t="s">
        <v>75</v>
      </c>
      <c r="AE5759" t="s">
        <v>80</v>
      </c>
      <c r="AG5759" t="s">
        <v>81</v>
      </c>
    </row>
    <row r="5760" spans="1:33" x14ac:dyDescent="0.25">
      <c r="A5760" t="str">
        <f>"1982852836"</f>
        <v>1982852836</v>
      </c>
      <c r="B5760" t="str">
        <f>"03490897"</f>
        <v>03490897</v>
      </c>
      <c r="C5760" t="s">
        <v>13436</v>
      </c>
      <c r="D5760" t="s">
        <v>27723</v>
      </c>
      <c r="E5760" t="s">
        <v>27724</v>
      </c>
      <c r="G5760" t="s">
        <v>27725</v>
      </c>
      <c r="L5760" t="s">
        <v>105</v>
      </c>
      <c r="M5760" t="s">
        <v>85</v>
      </c>
      <c r="R5760" t="s">
        <v>27726</v>
      </c>
      <c r="W5760" t="s">
        <v>27724</v>
      </c>
      <c r="X5760" t="s">
        <v>3553</v>
      </c>
      <c r="Y5760" t="s">
        <v>97</v>
      </c>
      <c r="Z5760" t="s">
        <v>77</v>
      </c>
      <c r="AA5760" t="str">
        <f>"10003-3851"</f>
        <v>10003-3851</v>
      </c>
      <c r="AB5760" t="s">
        <v>78</v>
      </c>
      <c r="AC5760" t="s">
        <v>79</v>
      </c>
      <c r="AD5760" t="s">
        <v>75</v>
      </c>
      <c r="AE5760" t="s">
        <v>80</v>
      </c>
      <c r="AG5760" t="s">
        <v>81</v>
      </c>
    </row>
    <row r="5761" spans="1:33" x14ac:dyDescent="0.25">
      <c r="A5761" t="str">
        <f>"1528347564"</f>
        <v>1528347564</v>
      </c>
      <c r="C5761" t="s">
        <v>13436</v>
      </c>
      <c r="G5761" t="s">
        <v>27727</v>
      </c>
      <c r="K5761" t="s">
        <v>99</v>
      </c>
      <c r="L5761" t="s">
        <v>102</v>
      </c>
      <c r="M5761" t="s">
        <v>75</v>
      </c>
      <c r="R5761" t="s">
        <v>27728</v>
      </c>
      <c r="S5761" t="s">
        <v>27729</v>
      </c>
      <c r="T5761" t="s">
        <v>97</v>
      </c>
      <c r="U5761" t="s">
        <v>77</v>
      </c>
      <c r="V5761" t="str">
        <f>"100296574"</f>
        <v>100296574</v>
      </c>
      <c r="AC5761" t="s">
        <v>79</v>
      </c>
      <c r="AD5761" t="s">
        <v>75</v>
      </c>
      <c r="AE5761" t="s">
        <v>103</v>
      </c>
      <c r="AG5761" t="s">
        <v>81</v>
      </c>
    </row>
    <row r="5762" spans="1:33" x14ac:dyDescent="0.25">
      <c r="A5762" t="str">
        <f>"1508284688"</f>
        <v>1508284688</v>
      </c>
      <c r="C5762" t="s">
        <v>13436</v>
      </c>
      <c r="K5762" t="s">
        <v>99</v>
      </c>
      <c r="L5762" t="s">
        <v>102</v>
      </c>
      <c r="M5762" t="s">
        <v>75</v>
      </c>
      <c r="R5762" t="s">
        <v>27730</v>
      </c>
      <c r="S5762" t="s">
        <v>27731</v>
      </c>
      <c r="T5762" t="s">
        <v>27732</v>
      </c>
      <c r="U5762" t="s">
        <v>3878</v>
      </c>
      <c r="V5762" t="str">
        <f>"774506068"</f>
        <v>774506068</v>
      </c>
      <c r="AC5762" t="s">
        <v>79</v>
      </c>
      <c r="AD5762" t="s">
        <v>75</v>
      </c>
      <c r="AE5762" t="s">
        <v>103</v>
      </c>
      <c r="AG5762" t="s">
        <v>81</v>
      </c>
    </row>
    <row r="5763" spans="1:33" x14ac:dyDescent="0.25">
      <c r="A5763" t="str">
        <f>"1134418478"</f>
        <v>1134418478</v>
      </c>
      <c r="C5763" t="s">
        <v>13436</v>
      </c>
      <c r="G5763" t="s">
        <v>27733</v>
      </c>
      <c r="K5763" t="s">
        <v>99</v>
      </c>
      <c r="L5763" t="s">
        <v>102</v>
      </c>
      <c r="M5763" t="s">
        <v>75</v>
      </c>
      <c r="R5763" t="s">
        <v>27734</v>
      </c>
      <c r="S5763" t="s">
        <v>26525</v>
      </c>
      <c r="T5763" t="s">
        <v>97</v>
      </c>
      <c r="U5763" t="s">
        <v>77</v>
      </c>
      <c r="V5763" t="str">
        <f>"100033314"</f>
        <v>100033314</v>
      </c>
      <c r="AC5763" t="s">
        <v>79</v>
      </c>
      <c r="AD5763" t="s">
        <v>75</v>
      </c>
      <c r="AE5763" t="s">
        <v>103</v>
      </c>
      <c r="AG5763" t="s">
        <v>81</v>
      </c>
    </row>
    <row r="5764" spans="1:33" x14ac:dyDescent="0.25">
      <c r="A5764" t="str">
        <f>"1134423940"</f>
        <v>1134423940</v>
      </c>
      <c r="B5764" t="str">
        <f>"03498708"</f>
        <v>03498708</v>
      </c>
      <c r="C5764" t="s">
        <v>13436</v>
      </c>
      <c r="D5764" t="s">
        <v>27735</v>
      </c>
      <c r="E5764" t="s">
        <v>27736</v>
      </c>
      <c r="G5764" t="s">
        <v>27737</v>
      </c>
      <c r="L5764" t="s">
        <v>83</v>
      </c>
      <c r="M5764" t="s">
        <v>85</v>
      </c>
      <c r="R5764" t="s">
        <v>27738</v>
      </c>
      <c r="W5764" t="s">
        <v>27736</v>
      </c>
      <c r="X5764" t="s">
        <v>329</v>
      </c>
      <c r="Y5764" t="s">
        <v>97</v>
      </c>
      <c r="Z5764" t="s">
        <v>77</v>
      </c>
      <c r="AA5764" t="str">
        <f>"10029-6504"</f>
        <v>10029-6504</v>
      </c>
      <c r="AB5764" t="s">
        <v>78</v>
      </c>
      <c r="AC5764" t="s">
        <v>79</v>
      </c>
      <c r="AD5764" t="s">
        <v>75</v>
      </c>
      <c r="AE5764" t="s">
        <v>80</v>
      </c>
      <c r="AG5764" t="s">
        <v>81</v>
      </c>
    </row>
    <row r="5765" spans="1:33" x14ac:dyDescent="0.25">
      <c r="A5765" t="str">
        <f>"1912917394"</f>
        <v>1912917394</v>
      </c>
      <c r="B5765" t="str">
        <f>"01659810"</f>
        <v>01659810</v>
      </c>
      <c r="C5765" t="s">
        <v>13436</v>
      </c>
      <c r="D5765" t="s">
        <v>27739</v>
      </c>
      <c r="E5765" t="s">
        <v>27740</v>
      </c>
      <c r="G5765" t="s">
        <v>27741</v>
      </c>
      <c r="L5765" t="s">
        <v>83</v>
      </c>
      <c r="M5765" t="s">
        <v>85</v>
      </c>
      <c r="R5765" t="s">
        <v>27742</v>
      </c>
      <c r="W5765" t="s">
        <v>27740</v>
      </c>
      <c r="X5765" t="s">
        <v>27743</v>
      </c>
      <c r="Y5765" t="s">
        <v>155</v>
      </c>
      <c r="Z5765" t="s">
        <v>77</v>
      </c>
      <c r="AA5765" t="str">
        <f>"10312-6315"</f>
        <v>10312-6315</v>
      </c>
      <c r="AB5765" t="s">
        <v>78</v>
      </c>
      <c r="AC5765" t="s">
        <v>79</v>
      </c>
      <c r="AD5765" t="s">
        <v>75</v>
      </c>
      <c r="AE5765" t="s">
        <v>80</v>
      </c>
      <c r="AG5765" t="s">
        <v>81</v>
      </c>
    </row>
    <row r="5766" spans="1:33" x14ac:dyDescent="0.25">
      <c r="A5766" t="str">
        <f>"1922089051"</f>
        <v>1922089051</v>
      </c>
      <c r="B5766" t="str">
        <f>"01355435"</f>
        <v>01355435</v>
      </c>
      <c r="C5766" t="s">
        <v>13436</v>
      </c>
      <c r="D5766" t="s">
        <v>27744</v>
      </c>
      <c r="E5766" t="s">
        <v>27745</v>
      </c>
      <c r="G5766" t="s">
        <v>27746</v>
      </c>
      <c r="L5766" t="s">
        <v>84</v>
      </c>
      <c r="M5766" t="s">
        <v>85</v>
      </c>
      <c r="R5766" t="s">
        <v>27747</v>
      </c>
      <c r="W5766" t="s">
        <v>27745</v>
      </c>
      <c r="X5766" t="s">
        <v>3553</v>
      </c>
      <c r="Y5766" t="s">
        <v>97</v>
      </c>
      <c r="Z5766" t="s">
        <v>77</v>
      </c>
      <c r="AA5766" t="str">
        <f>"10003-3851"</f>
        <v>10003-3851</v>
      </c>
      <c r="AB5766" t="s">
        <v>78</v>
      </c>
      <c r="AC5766" t="s">
        <v>79</v>
      </c>
      <c r="AD5766" t="s">
        <v>75</v>
      </c>
      <c r="AE5766" t="s">
        <v>80</v>
      </c>
      <c r="AG5766" t="s">
        <v>81</v>
      </c>
    </row>
    <row r="5767" spans="1:33" x14ac:dyDescent="0.25">
      <c r="A5767" t="str">
        <f>"1922093491"</f>
        <v>1922093491</v>
      </c>
      <c r="B5767" t="str">
        <f>"01769268"</f>
        <v>01769268</v>
      </c>
      <c r="C5767" t="s">
        <v>13436</v>
      </c>
      <c r="D5767" t="s">
        <v>27748</v>
      </c>
      <c r="E5767" t="s">
        <v>27749</v>
      </c>
      <c r="G5767" t="s">
        <v>27750</v>
      </c>
      <c r="L5767" t="s">
        <v>74</v>
      </c>
      <c r="M5767" t="s">
        <v>85</v>
      </c>
      <c r="R5767" t="s">
        <v>27751</v>
      </c>
      <c r="W5767" t="s">
        <v>27749</v>
      </c>
      <c r="X5767" t="s">
        <v>5688</v>
      </c>
      <c r="Y5767" t="s">
        <v>97</v>
      </c>
      <c r="Z5767" t="s">
        <v>77</v>
      </c>
      <c r="AA5767" t="str">
        <f>"10003"</f>
        <v>10003</v>
      </c>
      <c r="AB5767" t="s">
        <v>78</v>
      </c>
      <c r="AC5767" t="s">
        <v>79</v>
      </c>
      <c r="AD5767" t="s">
        <v>75</v>
      </c>
      <c r="AE5767" t="s">
        <v>80</v>
      </c>
      <c r="AG5767" t="s">
        <v>81</v>
      </c>
    </row>
    <row r="5768" spans="1:33" x14ac:dyDescent="0.25">
      <c r="A5768" t="str">
        <f>"1922195007"</f>
        <v>1922195007</v>
      </c>
      <c r="B5768" t="str">
        <f>"01152652"</f>
        <v>01152652</v>
      </c>
      <c r="C5768" t="s">
        <v>13436</v>
      </c>
      <c r="D5768" t="s">
        <v>903</v>
      </c>
      <c r="E5768" t="s">
        <v>904</v>
      </c>
      <c r="G5768" t="s">
        <v>27752</v>
      </c>
      <c r="L5768" t="s">
        <v>74</v>
      </c>
      <c r="M5768" t="s">
        <v>85</v>
      </c>
      <c r="R5768" t="s">
        <v>902</v>
      </c>
      <c r="W5768" t="s">
        <v>904</v>
      </c>
      <c r="Y5768" t="s">
        <v>131</v>
      </c>
      <c r="Z5768" t="s">
        <v>77</v>
      </c>
      <c r="AA5768" t="str">
        <f>"10458-5394"</f>
        <v>10458-5394</v>
      </c>
      <c r="AB5768" t="s">
        <v>78</v>
      </c>
      <c r="AC5768" t="s">
        <v>79</v>
      </c>
      <c r="AD5768" t="s">
        <v>75</v>
      </c>
      <c r="AE5768" t="s">
        <v>80</v>
      </c>
      <c r="AG5768" t="s">
        <v>81</v>
      </c>
    </row>
    <row r="5769" spans="1:33" x14ac:dyDescent="0.25">
      <c r="A5769" t="str">
        <f>"1932256179"</f>
        <v>1932256179</v>
      </c>
      <c r="B5769" t="str">
        <f>"02960492"</f>
        <v>02960492</v>
      </c>
      <c r="C5769" t="s">
        <v>13436</v>
      </c>
      <c r="D5769" t="s">
        <v>27753</v>
      </c>
      <c r="E5769" t="s">
        <v>27754</v>
      </c>
      <c r="G5769" t="s">
        <v>27755</v>
      </c>
      <c r="L5769" t="s">
        <v>74</v>
      </c>
      <c r="M5769" t="s">
        <v>85</v>
      </c>
      <c r="R5769" t="s">
        <v>27756</v>
      </c>
      <c r="W5769" t="s">
        <v>27757</v>
      </c>
      <c r="X5769" t="s">
        <v>191</v>
      </c>
      <c r="Y5769" t="s">
        <v>97</v>
      </c>
      <c r="Z5769" t="s">
        <v>77</v>
      </c>
      <c r="AA5769" t="str">
        <f>"10019-1147"</f>
        <v>10019-1147</v>
      </c>
      <c r="AB5769" t="s">
        <v>78</v>
      </c>
      <c r="AC5769" t="s">
        <v>79</v>
      </c>
      <c r="AD5769" t="s">
        <v>75</v>
      </c>
      <c r="AE5769" t="s">
        <v>80</v>
      </c>
      <c r="AG5769" t="s">
        <v>81</v>
      </c>
    </row>
    <row r="5770" spans="1:33" x14ac:dyDescent="0.25">
      <c r="A5770" t="str">
        <f>"1942299037"</f>
        <v>1942299037</v>
      </c>
      <c r="B5770" t="str">
        <f>"02006953"</f>
        <v>02006953</v>
      </c>
      <c r="C5770" t="s">
        <v>13436</v>
      </c>
      <c r="D5770" t="s">
        <v>27758</v>
      </c>
      <c r="E5770" t="s">
        <v>27759</v>
      </c>
      <c r="G5770" t="s">
        <v>27760</v>
      </c>
      <c r="L5770" t="s">
        <v>84</v>
      </c>
      <c r="M5770" t="s">
        <v>85</v>
      </c>
      <c r="R5770" t="s">
        <v>27761</v>
      </c>
      <c r="W5770" t="s">
        <v>27759</v>
      </c>
      <c r="X5770" t="s">
        <v>14588</v>
      </c>
      <c r="Y5770" t="s">
        <v>97</v>
      </c>
      <c r="Z5770" t="s">
        <v>77</v>
      </c>
      <c r="AA5770" t="str">
        <f>"10003-3314"</f>
        <v>10003-3314</v>
      </c>
      <c r="AB5770" t="s">
        <v>78</v>
      </c>
      <c r="AC5770" t="s">
        <v>79</v>
      </c>
      <c r="AD5770" t="s">
        <v>75</v>
      </c>
      <c r="AE5770" t="s">
        <v>80</v>
      </c>
      <c r="AG5770" t="s">
        <v>81</v>
      </c>
    </row>
    <row r="5771" spans="1:33" x14ac:dyDescent="0.25">
      <c r="A5771" t="str">
        <f>"1942367750"</f>
        <v>1942367750</v>
      </c>
      <c r="B5771" t="str">
        <f>"02174725"</f>
        <v>02174725</v>
      </c>
      <c r="C5771" t="s">
        <v>13436</v>
      </c>
      <c r="D5771" t="s">
        <v>27762</v>
      </c>
      <c r="E5771" t="s">
        <v>27763</v>
      </c>
      <c r="G5771" t="s">
        <v>27764</v>
      </c>
      <c r="L5771" t="s">
        <v>83</v>
      </c>
      <c r="M5771" t="s">
        <v>85</v>
      </c>
      <c r="R5771" t="s">
        <v>27765</v>
      </c>
      <c r="W5771" t="s">
        <v>27763</v>
      </c>
      <c r="X5771" t="s">
        <v>27766</v>
      </c>
      <c r="Y5771" t="s">
        <v>97</v>
      </c>
      <c r="Z5771" t="s">
        <v>77</v>
      </c>
      <c r="AA5771" t="str">
        <f>"10003-3217"</f>
        <v>10003-3217</v>
      </c>
      <c r="AB5771" t="s">
        <v>78</v>
      </c>
      <c r="AC5771" t="s">
        <v>79</v>
      </c>
      <c r="AD5771" t="s">
        <v>75</v>
      </c>
      <c r="AE5771" t="s">
        <v>80</v>
      </c>
      <c r="AG5771" t="s">
        <v>81</v>
      </c>
    </row>
    <row r="5772" spans="1:33" x14ac:dyDescent="0.25">
      <c r="A5772" t="str">
        <f>"1952529190"</f>
        <v>1952529190</v>
      </c>
      <c r="B5772" t="str">
        <f>"02047845"</f>
        <v>02047845</v>
      </c>
      <c r="C5772" t="s">
        <v>13436</v>
      </c>
      <c r="D5772" t="s">
        <v>27767</v>
      </c>
      <c r="E5772" t="s">
        <v>27768</v>
      </c>
      <c r="G5772" t="s">
        <v>27769</v>
      </c>
      <c r="L5772" t="s">
        <v>83</v>
      </c>
      <c r="M5772" t="s">
        <v>85</v>
      </c>
      <c r="R5772" t="s">
        <v>27770</v>
      </c>
      <c r="W5772" t="s">
        <v>27768</v>
      </c>
      <c r="X5772" t="s">
        <v>11489</v>
      </c>
      <c r="Y5772" t="s">
        <v>97</v>
      </c>
      <c r="Z5772" t="s">
        <v>77</v>
      </c>
      <c r="AA5772" t="str">
        <f>"10003-3897"</f>
        <v>10003-3897</v>
      </c>
      <c r="AB5772" t="s">
        <v>78</v>
      </c>
      <c r="AC5772" t="s">
        <v>79</v>
      </c>
      <c r="AD5772" t="s">
        <v>75</v>
      </c>
      <c r="AE5772" t="s">
        <v>80</v>
      </c>
      <c r="AG5772" t="s">
        <v>81</v>
      </c>
    </row>
    <row r="5773" spans="1:33" x14ac:dyDescent="0.25">
      <c r="A5773" t="str">
        <f>"1952555047"</f>
        <v>1952555047</v>
      </c>
      <c r="B5773" t="str">
        <f>"03094575"</f>
        <v>03094575</v>
      </c>
      <c r="C5773" t="s">
        <v>13436</v>
      </c>
      <c r="D5773" t="s">
        <v>27771</v>
      </c>
      <c r="E5773" t="s">
        <v>27772</v>
      </c>
      <c r="G5773" t="s">
        <v>27773</v>
      </c>
      <c r="L5773" t="s">
        <v>83</v>
      </c>
      <c r="M5773" t="s">
        <v>85</v>
      </c>
      <c r="R5773" t="s">
        <v>27774</v>
      </c>
      <c r="W5773" t="s">
        <v>27772</v>
      </c>
      <c r="X5773" t="s">
        <v>22437</v>
      </c>
      <c r="Y5773" t="s">
        <v>97</v>
      </c>
      <c r="Z5773" t="s">
        <v>77</v>
      </c>
      <c r="AA5773" t="str">
        <f>"10003-3314"</f>
        <v>10003-3314</v>
      </c>
      <c r="AB5773" t="s">
        <v>78</v>
      </c>
      <c r="AC5773" t="s">
        <v>79</v>
      </c>
      <c r="AD5773" t="s">
        <v>75</v>
      </c>
      <c r="AE5773" t="s">
        <v>80</v>
      </c>
      <c r="AG5773" t="s">
        <v>81</v>
      </c>
    </row>
    <row r="5774" spans="1:33" x14ac:dyDescent="0.25">
      <c r="A5774" t="str">
        <f>"1962420778"</f>
        <v>1962420778</v>
      </c>
      <c r="B5774" t="str">
        <f>"02652335"</f>
        <v>02652335</v>
      </c>
      <c r="C5774" t="s">
        <v>13436</v>
      </c>
      <c r="D5774" t="s">
        <v>27775</v>
      </c>
      <c r="E5774" t="s">
        <v>27776</v>
      </c>
      <c r="G5774" t="s">
        <v>27777</v>
      </c>
      <c r="L5774" t="s">
        <v>84</v>
      </c>
      <c r="M5774" t="s">
        <v>85</v>
      </c>
      <c r="R5774" t="s">
        <v>27778</v>
      </c>
      <c r="W5774" t="s">
        <v>27776</v>
      </c>
      <c r="X5774" t="s">
        <v>27779</v>
      </c>
      <c r="Y5774" t="s">
        <v>2604</v>
      </c>
      <c r="Z5774" t="s">
        <v>77</v>
      </c>
      <c r="AA5774" t="str">
        <f>"10901-5009"</f>
        <v>10901-5009</v>
      </c>
      <c r="AB5774" t="s">
        <v>78</v>
      </c>
      <c r="AC5774" t="s">
        <v>79</v>
      </c>
      <c r="AD5774" t="s">
        <v>75</v>
      </c>
      <c r="AE5774" t="s">
        <v>80</v>
      </c>
      <c r="AG5774" t="s">
        <v>81</v>
      </c>
    </row>
    <row r="5775" spans="1:33" x14ac:dyDescent="0.25">
      <c r="A5775" t="str">
        <f>"1962519892"</f>
        <v>1962519892</v>
      </c>
      <c r="B5775" t="str">
        <f>"02785922"</f>
        <v>02785922</v>
      </c>
      <c r="C5775" t="s">
        <v>13436</v>
      </c>
      <c r="D5775" t="s">
        <v>27780</v>
      </c>
      <c r="E5775" t="s">
        <v>27781</v>
      </c>
      <c r="G5775" t="s">
        <v>27782</v>
      </c>
      <c r="L5775" t="s">
        <v>83</v>
      </c>
      <c r="M5775" t="s">
        <v>85</v>
      </c>
      <c r="R5775" t="s">
        <v>27783</v>
      </c>
      <c r="W5775" t="s">
        <v>27781</v>
      </c>
      <c r="X5775" t="s">
        <v>13521</v>
      </c>
      <c r="Y5775" t="s">
        <v>97</v>
      </c>
      <c r="Z5775" t="s">
        <v>77</v>
      </c>
      <c r="AA5775" t="str">
        <f>"10003-3314"</f>
        <v>10003-3314</v>
      </c>
      <c r="AB5775" t="s">
        <v>78</v>
      </c>
      <c r="AC5775" t="s">
        <v>79</v>
      </c>
      <c r="AD5775" t="s">
        <v>75</v>
      </c>
      <c r="AE5775" t="s">
        <v>80</v>
      </c>
      <c r="AG5775" t="s">
        <v>81</v>
      </c>
    </row>
    <row r="5776" spans="1:33" x14ac:dyDescent="0.25">
      <c r="A5776" t="str">
        <f>"1962544452"</f>
        <v>1962544452</v>
      </c>
      <c r="B5776" t="str">
        <f>"04390176"</f>
        <v>04390176</v>
      </c>
      <c r="C5776" t="s">
        <v>13436</v>
      </c>
      <c r="D5776" t="s">
        <v>27784</v>
      </c>
      <c r="E5776" t="s">
        <v>27785</v>
      </c>
      <c r="G5776" t="s">
        <v>27786</v>
      </c>
      <c r="L5776" t="s">
        <v>74</v>
      </c>
      <c r="M5776" t="s">
        <v>85</v>
      </c>
      <c r="R5776" t="s">
        <v>27785</v>
      </c>
      <c r="W5776" t="s">
        <v>27785</v>
      </c>
      <c r="X5776" t="s">
        <v>4507</v>
      </c>
      <c r="Y5776" t="s">
        <v>4508</v>
      </c>
      <c r="Z5776" t="s">
        <v>77</v>
      </c>
      <c r="AA5776" t="str">
        <f>"10708-3403"</f>
        <v>10708-3403</v>
      </c>
      <c r="AB5776" t="s">
        <v>78</v>
      </c>
      <c r="AC5776" t="s">
        <v>79</v>
      </c>
      <c r="AD5776" t="s">
        <v>75</v>
      </c>
      <c r="AE5776" t="s">
        <v>80</v>
      </c>
      <c r="AG5776" t="s">
        <v>81</v>
      </c>
    </row>
    <row r="5777" spans="1:33" x14ac:dyDescent="0.25">
      <c r="A5777" t="str">
        <f>"1962575647"</f>
        <v>1962575647</v>
      </c>
      <c r="B5777" t="str">
        <f>"01884362"</f>
        <v>01884362</v>
      </c>
      <c r="C5777" t="s">
        <v>13436</v>
      </c>
      <c r="D5777" t="s">
        <v>27787</v>
      </c>
      <c r="E5777" t="s">
        <v>27788</v>
      </c>
      <c r="G5777" t="s">
        <v>27789</v>
      </c>
      <c r="L5777" t="s">
        <v>83</v>
      </c>
      <c r="M5777" t="s">
        <v>85</v>
      </c>
      <c r="R5777" t="s">
        <v>27790</v>
      </c>
      <c r="W5777" t="s">
        <v>27788</v>
      </c>
      <c r="X5777" t="s">
        <v>191</v>
      </c>
      <c r="Y5777" t="s">
        <v>97</v>
      </c>
      <c r="Z5777" t="s">
        <v>77</v>
      </c>
      <c r="AA5777" t="str">
        <f>"10019-1147"</f>
        <v>10019-1147</v>
      </c>
      <c r="AB5777" t="s">
        <v>78</v>
      </c>
      <c r="AC5777" t="s">
        <v>79</v>
      </c>
      <c r="AD5777" t="s">
        <v>75</v>
      </c>
      <c r="AE5777" t="s">
        <v>80</v>
      </c>
      <c r="AG5777" t="s">
        <v>81</v>
      </c>
    </row>
    <row r="5778" spans="1:33" x14ac:dyDescent="0.25">
      <c r="A5778" t="str">
        <f>"1154649200"</f>
        <v>1154649200</v>
      </c>
      <c r="B5778" t="str">
        <f>"03920945"</f>
        <v>03920945</v>
      </c>
      <c r="C5778" t="s">
        <v>13436</v>
      </c>
      <c r="D5778" t="s">
        <v>27791</v>
      </c>
      <c r="E5778" t="s">
        <v>27792</v>
      </c>
      <c r="G5778" t="s">
        <v>27793</v>
      </c>
      <c r="L5778" t="s">
        <v>105</v>
      </c>
      <c r="M5778" t="s">
        <v>75</v>
      </c>
      <c r="R5778" t="s">
        <v>27794</v>
      </c>
      <c r="W5778" t="s">
        <v>27792</v>
      </c>
      <c r="X5778" t="s">
        <v>27795</v>
      </c>
      <c r="Y5778" t="s">
        <v>27796</v>
      </c>
      <c r="Z5778" t="s">
        <v>1214</v>
      </c>
      <c r="AA5778" t="str">
        <f>"28801-4502"</f>
        <v>28801-4502</v>
      </c>
      <c r="AB5778" t="s">
        <v>78</v>
      </c>
      <c r="AC5778" t="s">
        <v>79</v>
      </c>
      <c r="AD5778" t="s">
        <v>75</v>
      </c>
      <c r="AE5778" t="s">
        <v>80</v>
      </c>
      <c r="AG5778" t="s">
        <v>81</v>
      </c>
    </row>
    <row r="5779" spans="1:33" x14ac:dyDescent="0.25">
      <c r="A5779" t="str">
        <f>"1003977745"</f>
        <v>1003977745</v>
      </c>
      <c r="B5779" t="str">
        <f>"01848580"</f>
        <v>01848580</v>
      </c>
      <c r="C5779" t="s">
        <v>13436</v>
      </c>
      <c r="D5779" t="s">
        <v>27797</v>
      </c>
      <c r="E5779" t="s">
        <v>27798</v>
      </c>
      <c r="G5779" t="s">
        <v>27799</v>
      </c>
      <c r="L5779" t="s">
        <v>74</v>
      </c>
      <c r="M5779" t="s">
        <v>85</v>
      </c>
      <c r="R5779" t="s">
        <v>27800</v>
      </c>
      <c r="W5779" t="s">
        <v>27798</v>
      </c>
      <c r="X5779" t="s">
        <v>27798</v>
      </c>
      <c r="Y5779" t="s">
        <v>180</v>
      </c>
      <c r="Z5779" t="s">
        <v>77</v>
      </c>
      <c r="AA5779" t="str">
        <f>"10704-1059"</f>
        <v>10704-1059</v>
      </c>
      <c r="AB5779" t="s">
        <v>78</v>
      </c>
      <c r="AC5779" t="s">
        <v>79</v>
      </c>
      <c r="AD5779" t="s">
        <v>75</v>
      </c>
      <c r="AE5779" t="s">
        <v>80</v>
      </c>
      <c r="AG5779" t="s">
        <v>81</v>
      </c>
    </row>
    <row r="5780" spans="1:33" x14ac:dyDescent="0.25">
      <c r="A5780" t="str">
        <f>"1003987512"</f>
        <v>1003987512</v>
      </c>
      <c r="B5780" t="str">
        <f>"02990361"</f>
        <v>02990361</v>
      </c>
      <c r="C5780" t="s">
        <v>13436</v>
      </c>
      <c r="D5780" t="s">
        <v>27801</v>
      </c>
      <c r="E5780" t="s">
        <v>27802</v>
      </c>
      <c r="G5780" t="s">
        <v>27803</v>
      </c>
      <c r="L5780" t="s">
        <v>83</v>
      </c>
      <c r="M5780" t="s">
        <v>85</v>
      </c>
      <c r="R5780" t="s">
        <v>27804</v>
      </c>
      <c r="W5780" t="s">
        <v>27805</v>
      </c>
      <c r="X5780" t="s">
        <v>5295</v>
      </c>
      <c r="Y5780" t="s">
        <v>97</v>
      </c>
      <c r="Z5780" t="s">
        <v>77</v>
      </c>
      <c r="AA5780" t="str">
        <f>"10003-2719"</f>
        <v>10003-2719</v>
      </c>
      <c r="AB5780" t="s">
        <v>78</v>
      </c>
      <c r="AC5780" t="s">
        <v>79</v>
      </c>
      <c r="AD5780" t="s">
        <v>75</v>
      </c>
      <c r="AE5780" t="s">
        <v>80</v>
      </c>
      <c r="AG5780" t="s">
        <v>81</v>
      </c>
    </row>
    <row r="5781" spans="1:33" x14ac:dyDescent="0.25">
      <c r="A5781" t="str">
        <f>"1013095272"</f>
        <v>1013095272</v>
      </c>
      <c r="B5781" t="str">
        <f>"01367546"</f>
        <v>01367546</v>
      </c>
      <c r="C5781" t="s">
        <v>13436</v>
      </c>
      <c r="D5781" t="s">
        <v>27806</v>
      </c>
      <c r="E5781" t="s">
        <v>27807</v>
      </c>
      <c r="G5781" t="s">
        <v>27808</v>
      </c>
      <c r="L5781" t="s">
        <v>83</v>
      </c>
      <c r="M5781" t="s">
        <v>85</v>
      </c>
      <c r="R5781" t="s">
        <v>27809</v>
      </c>
      <c r="W5781" t="s">
        <v>27807</v>
      </c>
      <c r="X5781" t="s">
        <v>3037</v>
      </c>
      <c r="Y5781" t="s">
        <v>97</v>
      </c>
      <c r="Z5781" t="s">
        <v>77</v>
      </c>
      <c r="AA5781" t="str">
        <f>"10003"</f>
        <v>10003</v>
      </c>
      <c r="AB5781" t="s">
        <v>78</v>
      </c>
      <c r="AC5781" t="s">
        <v>79</v>
      </c>
      <c r="AD5781" t="s">
        <v>75</v>
      </c>
      <c r="AE5781" t="s">
        <v>80</v>
      </c>
      <c r="AG5781" t="s">
        <v>81</v>
      </c>
    </row>
    <row r="5782" spans="1:33" x14ac:dyDescent="0.25">
      <c r="A5782" t="str">
        <f>"1013950351"</f>
        <v>1013950351</v>
      </c>
      <c r="B5782" t="str">
        <f>"01133357"</f>
        <v>01133357</v>
      </c>
      <c r="C5782" t="s">
        <v>13436</v>
      </c>
      <c r="D5782" t="s">
        <v>27810</v>
      </c>
      <c r="E5782" t="s">
        <v>27811</v>
      </c>
      <c r="G5782" t="s">
        <v>27812</v>
      </c>
      <c r="L5782" t="s">
        <v>83</v>
      </c>
      <c r="M5782" t="s">
        <v>85</v>
      </c>
      <c r="R5782" t="s">
        <v>27813</v>
      </c>
      <c r="W5782" t="s">
        <v>27814</v>
      </c>
      <c r="X5782" t="s">
        <v>306</v>
      </c>
      <c r="Y5782" t="s">
        <v>97</v>
      </c>
      <c r="Z5782" t="s">
        <v>77</v>
      </c>
      <c r="AA5782" t="str">
        <f>"10003-4201"</f>
        <v>10003-4201</v>
      </c>
      <c r="AB5782" t="s">
        <v>78</v>
      </c>
      <c r="AC5782" t="s">
        <v>79</v>
      </c>
      <c r="AD5782" t="s">
        <v>75</v>
      </c>
      <c r="AE5782" t="s">
        <v>80</v>
      </c>
      <c r="AG5782" t="s">
        <v>81</v>
      </c>
    </row>
    <row r="5783" spans="1:33" x14ac:dyDescent="0.25">
      <c r="A5783" t="str">
        <f>"1013997980"</f>
        <v>1013997980</v>
      </c>
      <c r="B5783" t="str">
        <f>"02807023"</f>
        <v>02807023</v>
      </c>
      <c r="C5783" t="s">
        <v>13436</v>
      </c>
      <c r="D5783" t="s">
        <v>27815</v>
      </c>
      <c r="E5783" t="s">
        <v>27816</v>
      </c>
      <c r="G5783" t="s">
        <v>27817</v>
      </c>
      <c r="L5783" t="s">
        <v>74</v>
      </c>
      <c r="M5783" t="s">
        <v>85</v>
      </c>
      <c r="R5783" t="s">
        <v>27816</v>
      </c>
      <c r="W5783" t="s">
        <v>27818</v>
      </c>
      <c r="X5783" t="s">
        <v>27819</v>
      </c>
      <c r="Y5783" t="s">
        <v>155</v>
      </c>
      <c r="Z5783" t="s">
        <v>77</v>
      </c>
      <c r="AA5783" t="str">
        <f>"10305-3498"</f>
        <v>10305-3498</v>
      </c>
      <c r="AB5783" t="s">
        <v>78</v>
      </c>
      <c r="AC5783" t="s">
        <v>79</v>
      </c>
      <c r="AD5783" t="s">
        <v>75</v>
      </c>
      <c r="AE5783" t="s">
        <v>80</v>
      </c>
      <c r="AG5783" t="s">
        <v>81</v>
      </c>
    </row>
    <row r="5784" spans="1:33" x14ac:dyDescent="0.25">
      <c r="A5784" t="str">
        <f>"1023069846"</f>
        <v>1023069846</v>
      </c>
      <c r="B5784" t="str">
        <f>"01046006"</f>
        <v>01046006</v>
      </c>
      <c r="C5784" t="s">
        <v>13436</v>
      </c>
      <c r="D5784" t="s">
        <v>27820</v>
      </c>
      <c r="E5784" t="s">
        <v>27821</v>
      </c>
      <c r="G5784" t="s">
        <v>27822</v>
      </c>
      <c r="L5784" t="s">
        <v>83</v>
      </c>
      <c r="M5784" t="s">
        <v>85</v>
      </c>
      <c r="R5784" t="s">
        <v>27823</v>
      </c>
      <c r="W5784" t="s">
        <v>27821</v>
      </c>
      <c r="X5784" t="s">
        <v>27824</v>
      </c>
      <c r="Y5784" t="s">
        <v>97</v>
      </c>
      <c r="Z5784" t="s">
        <v>77</v>
      </c>
      <c r="AA5784" t="str">
        <f>"10003-5944"</f>
        <v>10003-5944</v>
      </c>
      <c r="AB5784" t="s">
        <v>78</v>
      </c>
      <c r="AC5784" t="s">
        <v>79</v>
      </c>
      <c r="AD5784" t="s">
        <v>75</v>
      </c>
      <c r="AE5784" t="s">
        <v>80</v>
      </c>
      <c r="AG5784" t="s">
        <v>81</v>
      </c>
    </row>
    <row r="5785" spans="1:33" x14ac:dyDescent="0.25">
      <c r="A5785" t="str">
        <f>"1700949146"</f>
        <v>1700949146</v>
      </c>
      <c r="B5785" t="str">
        <f>"00135988"</f>
        <v>00135988</v>
      </c>
      <c r="C5785" t="s">
        <v>13436</v>
      </c>
      <c r="D5785" t="s">
        <v>27825</v>
      </c>
      <c r="E5785" t="s">
        <v>27826</v>
      </c>
      <c r="G5785" t="s">
        <v>27827</v>
      </c>
      <c r="L5785" t="s">
        <v>74</v>
      </c>
      <c r="M5785" t="s">
        <v>85</v>
      </c>
      <c r="R5785" t="s">
        <v>27828</v>
      </c>
      <c r="W5785" t="s">
        <v>27826</v>
      </c>
      <c r="Y5785" t="s">
        <v>97</v>
      </c>
      <c r="Z5785" t="s">
        <v>77</v>
      </c>
      <c r="AA5785" t="str">
        <f>"10011-8305"</f>
        <v>10011-8305</v>
      </c>
      <c r="AB5785" t="s">
        <v>78</v>
      </c>
      <c r="AC5785" t="s">
        <v>79</v>
      </c>
      <c r="AD5785" t="s">
        <v>75</v>
      </c>
      <c r="AE5785" t="s">
        <v>80</v>
      </c>
      <c r="AG5785" t="s">
        <v>81</v>
      </c>
    </row>
    <row r="5786" spans="1:33" x14ac:dyDescent="0.25">
      <c r="A5786" t="str">
        <f>"1700986247"</f>
        <v>1700986247</v>
      </c>
      <c r="B5786" t="str">
        <f>"00861918"</f>
        <v>00861918</v>
      </c>
      <c r="C5786" t="s">
        <v>13436</v>
      </c>
      <c r="D5786" t="s">
        <v>832</v>
      </c>
      <c r="E5786" t="s">
        <v>833</v>
      </c>
      <c r="G5786" t="s">
        <v>27829</v>
      </c>
      <c r="L5786" t="s">
        <v>83</v>
      </c>
      <c r="M5786" t="s">
        <v>85</v>
      </c>
      <c r="R5786" t="s">
        <v>831</v>
      </c>
      <c r="W5786" t="s">
        <v>833</v>
      </c>
      <c r="X5786" t="s">
        <v>834</v>
      </c>
      <c r="Y5786" t="s">
        <v>97</v>
      </c>
      <c r="Z5786" t="s">
        <v>77</v>
      </c>
      <c r="AA5786" t="str">
        <f>"10019"</f>
        <v>10019</v>
      </c>
      <c r="AB5786" t="s">
        <v>78</v>
      </c>
      <c r="AC5786" t="s">
        <v>79</v>
      </c>
      <c r="AD5786" t="s">
        <v>75</v>
      </c>
      <c r="AE5786" t="s">
        <v>80</v>
      </c>
      <c r="AG5786" t="s">
        <v>81</v>
      </c>
    </row>
    <row r="5787" spans="1:33" x14ac:dyDescent="0.25">
      <c r="B5787" t="str">
        <f>"00243105"</f>
        <v>00243105</v>
      </c>
      <c r="C5787" t="s">
        <v>27830</v>
      </c>
      <c r="D5787" t="s">
        <v>27831</v>
      </c>
      <c r="E5787" t="s">
        <v>27832</v>
      </c>
      <c r="G5787" t="s">
        <v>27833</v>
      </c>
      <c r="H5787" t="s">
        <v>27834</v>
      </c>
      <c r="J5787" t="s">
        <v>27835</v>
      </c>
      <c r="L5787" t="s">
        <v>1305</v>
      </c>
      <c r="M5787" t="s">
        <v>85</v>
      </c>
      <c r="W5787" t="s">
        <v>22768</v>
      </c>
      <c r="Y5787" t="s">
        <v>97</v>
      </c>
      <c r="Z5787" t="s">
        <v>77</v>
      </c>
      <c r="AA5787" t="str">
        <f>"10003-3851"</f>
        <v>10003-3851</v>
      </c>
      <c r="AB5787" t="s">
        <v>96</v>
      </c>
      <c r="AC5787" t="s">
        <v>79</v>
      </c>
      <c r="AD5787" t="s">
        <v>75</v>
      </c>
      <c r="AE5787" t="s">
        <v>80</v>
      </c>
      <c r="AG5787" t="s">
        <v>81</v>
      </c>
    </row>
    <row r="5788" spans="1:33" x14ac:dyDescent="0.25">
      <c r="B5788" t="str">
        <f>"02903813"</f>
        <v>02903813</v>
      </c>
      <c r="C5788" t="s">
        <v>27836</v>
      </c>
      <c r="D5788" t="s">
        <v>27837</v>
      </c>
      <c r="E5788" t="s">
        <v>27838</v>
      </c>
      <c r="G5788" t="s">
        <v>27839</v>
      </c>
      <c r="H5788" t="s">
        <v>27840</v>
      </c>
      <c r="J5788" t="s">
        <v>27841</v>
      </c>
      <c r="L5788" t="s">
        <v>37</v>
      </c>
      <c r="M5788" t="s">
        <v>85</v>
      </c>
      <c r="W5788" t="s">
        <v>27842</v>
      </c>
      <c r="X5788" t="s">
        <v>27843</v>
      </c>
      <c r="Y5788" t="s">
        <v>87</v>
      </c>
      <c r="Z5788" t="s">
        <v>77</v>
      </c>
      <c r="AA5788" t="str">
        <f>"11206-4661"</f>
        <v>11206-4661</v>
      </c>
      <c r="AB5788" t="s">
        <v>98</v>
      </c>
      <c r="AC5788" t="s">
        <v>79</v>
      </c>
      <c r="AD5788" t="s">
        <v>75</v>
      </c>
      <c r="AE5788" t="s">
        <v>80</v>
      </c>
      <c r="AG5788" t="s">
        <v>81</v>
      </c>
    </row>
    <row r="5789" spans="1:33" x14ac:dyDescent="0.25">
      <c r="A5789" t="str">
        <f>"1144209610"</f>
        <v>1144209610</v>
      </c>
      <c r="B5789" t="str">
        <f>"01655701"</f>
        <v>01655701</v>
      </c>
      <c r="C5789" t="s">
        <v>27844</v>
      </c>
      <c r="D5789" t="s">
        <v>27845</v>
      </c>
      <c r="E5789" t="s">
        <v>27846</v>
      </c>
      <c r="G5789" t="s">
        <v>27844</v>
      </c>
      <c r="H5789" t="s">
        <v>27847</v>
      </c>
      <c r="J5789" t="s">
        <v>27848</v>
      </c>
      <c r="L5789" t="s">
        <v>83</v>
      </c>
      <c r="M5789" t="s">
        <v>85</v>
      </c>
      <c r="R5789" t="s">
        <v>27849</v>
      </c>
      <c r="W5789" t="s">
        <v>27846</v>
      </c>
      <c r="X5789" t="s">
        <v>27850</v>
      </c>
      <c r="Y5789" t="s">
        <v>87</v>
      </c>
      <c r="Z5789" t="s">
        <v>77</v>
      </c>
      <c r="AA5789" t="str">
        <f>"11236-3631"</f>
        <v>11236-3631</v>
      </c>
      <c r="AB5789" t="s">
        <v>78</v>
      </c>
      <c r="AC5789" t="s">
        <v>79</v>
      </c>
      <c r="AD5789" t="s">
        <v>75</v>
      </c>
      <c r="AE5789" t="s">
        <v>80</v>
      </c>
      <c r="AG5789" t="s">
        <v>81</v>
      </c>
    </row>
    <row r="5790" spans="1:33" x14ac:dyDescent="0.25">
      <c r="A5790" t="str">
        <f>"1962773051"</f>
        <v>1962773051</v>
      </c>
      <c r="B5790" t="str">
        <f>"03432611"</f>
        <v>03432611</v>
      </c>
      <c r="C5790" t="s">
        <v>27851</v>
      </c>
      <c r="D5790" t="s">
        <v>27852</v>
      </c>
      <c r="E5790" t="s">
        <v>27853</v>
      </c>
      <c r="G5790" t="s">
        <v>27854</v>
      </c>
      <c r="H5790" t="s">
        <v>27855</v>
      </c>
      <c r="J5790" t="s">
        <v>27856</v>
      </c>
      <c r="L5790" t="s">
        <v>16</v>
      </c>
      <c r="M5790" t="s">
        <v>75</v>
      </c>
      <c r="R5790" t="s">
        <v>27857</v>
      </c>
      <c r="W5790" t="s">
        <v>27853</v>
      </c>
      <c r="X5790" t="s">
        <v>27858</v>
      </c>
      <c r="Y5790" t="s">
        <v>87</v>
      </c>
      <c r="Z5790" t="s">
        <v>77</v>
      </c>
      <c r="AA5790" t="str">
        <f>"11203-1916"</f>
        <v>11203-1916</v>
      </c>
      <c r="AB5790" t="s">
        <v>132</v>
      </c>
      <c r="AC5790" t="s">
        <v>79</v>
      </c>
      <c r="AD5790" t="s">
        <v>75</v>
      </c>
      <c r="AE5790" t="s">
        <v>80</v>
      </c>
      <c r="AG5790" t="s">
        <v>81</v>
      </c>
    </row>
    <row r="5791" spans="1:33" x14ac:dyDescent="0.25">
      <c r="A5791" t="str">
        <f>"1255516761"</f>
        <v>1255516761</v>
      </c>
      <c r="B5791" t="str">
        <f>"03108481"</f>
        <v>03108481</v>
      </c>
      <c r="C5791" t="s">
        <v>27859</v>
      </c>
      <c r="D5791" t="s">
        <v>27860</v>
      </c>
      <c r="E5791" t="s">
        <v>27861</v>
      </c>
      <c r="G5791" t="s">
        <v>27859</v>
      </c>
      <c r="H5791" t="s">
        <v>27862</v>
      </c>
      <c r="J5791" t="s">
        <v>27863</v>
      </c>
      <c r="L5791" t="s">
        <v>83</v>
      </c>
      <c r="M5791" t="s">
        <v>85</v>
      </c>
      <c r="R5791" t="s">
        <v>27864</v>
      </c>
      <c r="W5791" t="s">
        <v>27865</v>
      </c>
      <c r="X5791" t="s">
        <v>2902</v>
      </c>
      <c r="Y5791" t="s">
        <v>2903</v>
      </c>
      <c r="Z5791" t="s">
        <v>77</v>
      </c>
      <c r="AA5791" t="str">
        <f>"12775-6049"</f>
        <v>12775-6049</v>
      </c>
      <c r="AB5791" t="s">
        <v>78</v>
      </c>
      <c r="AC5791" t="s">
        <v>79</v>
      </c>
      <c r="AD5791" t="s">
        <v>75</v>
      </c>
      <c r="AE5791" t="s">
        <v>80</v>
      </c>
      <c r="AG5791" t="s">
        <v>81</v>
      </c>
    </row>
    <row r="5792" spans="1:33" x14ac:dyDescent="0.25">
      <c r="A5792" t="str">
        <f>"1497755904"</f>
        <v>1497755904</v>
      </c>
      <c r="B5792" t="str">
        <f>"02281758"</f>
        <v>02281758</v>
      </c>
      <c r="C5792" t="s">
        <v>27866</v>
      </c>
      <c r="D5792" t="s">
        <v>27867</v>
      </c>
      <c r="E5792" t="s">
        <v>27868</v>
      </c>
      <c r="G5792" t="s">
        <v>27866</v>
      </c>
      <c r="H5792" t="s">
        <v>27869</v>
      </c>
      <c r="L5792" t="s">
        <v>84</v>
      </c>
      <c r="M5792" t="s">
        <v>75</v>
      </c>
      <c r="R5792" t="s">
        <v>27870</v>
      </c>
      <c r="W5792" t="s">
        <v>27868</v>
      </c>
      <c r="X5792" t="s">
        <v>3844</v>
      </c>
      <c r="Y5792" t="s">
        <v>87</v>
      </c>
      <c r="Z5792" t="s">
        <v>77</v>
      </c>
      <c r="AA5792" t="str">
        <f>"11201-6048"</f>
        <v>11201-6048</v>
      </c>
      <c r="AB5792" t="s">
        <v>78</v>
      </c>
      <c r="AC5792" t="s">
        <v>79</v>
      </c>
      <c r="AD5792" t="s">
        <v>75</v>
      </c>
      <c r="AE5792" t="s">
        <v>80</v>
      </c>
      <c r="AG5792" t="s">
        <v>81</v>
      </c>
    </row>
    <row r="5793" spans="1:33" x14ac:dyDescent="0.25">
      <c r="A5793" t="str">
        <f>"1235311010"</f>
        <v>1235311010</v>
      </c>
      <c r="B5793" t="str">
        <f>"02974550"</f>
        <v>02974550</v>
      </c>
      <c r="C5793" t="s">
        <v>27871</v>
      </c>
      <c r="D5793" t="s">
        <v>27872</v>
      </c>
      <c r="E5793" t="s">
        <v>27873</v>
      </c>
      <c r="G5793" t="s">
        <v>27871</v>
      </c>
      <c r="H5793" t="s">
        <v>27874</v>
      </c>
      <c r="L5793" t="s">
        <v>83</v>
      </c>
      <c r="M5793" t="s">
        <v>85</v>
      </c>
      <c r="R5793" t="s">
        <v>27875</v>
      </c>
      <c r="W5793" t="s">
        <v>27873</v>
      </c>
      <c r="X5793" t="s">
        <v>270</v>
      </c>
      <c r="Y5793" t="s">
        <v>87</v>
      </c>
      <c r="Z5793" t="s">
        <v>77</v>
      </c>
      <c r="AA5793" t="str">
        <f>"11213-1122"</f>
        <v>11213-1122</v>
      </c>
      <c r="AB5793" t="s">
        <v>78</v>
      </c>
      <c r="AC5793" t="s">
        <v>79</v>
      </c>
      <c r="AD5793" t="s">
        <v>75</v>
      </c>
      <c r="AE5793" t="s">
        <v>80</v>
      </c>
      <c r="AG5793" t="s">
        <v>81</v>
      </c>
    </row>
    <row r="5794" spans="1:33" x14ac:dyDescent="0.25">
      <c r="A5794" t="str">
        <f>"1396781415"</f>
        <v>1396781415</v>
      </c>
      <c r="B5794" t="str">
        <f>"00498682"</f>
        <v>00498682</v>
      </c>
      <c r="C5794" t="s">
        <v>27876</v>
      </c>
      <c r="D5794" t="s">
        <v>27877</v>
      </c>
      <c r="E5794" t="s">
        <v>27878</v>
      </c>
      <c r="G5794" t="s">
        <v>27876</v>
      </c>
      <c r="H5794" t="s">
        <v>27879</v>
      </c>
      <c r="J5794" t="s">
        <v>27880</v>
      </c>
      <c r="L5794" t="s">
        <v>74</v>
      </c>
      <c r="M5794" t="s">
        <v>75</v>
      </c>
      <c r="R5794" t="s">
        <v>27881</v>
      </c>
      <c r="W5794" t="s">
        <v>27878</v>
      </c>
      <c r="X5794" t="s">
        <v>202</v>
      </c>
      <c r="Y5794" t="s">
        <v>87</v>
      </c>
      <c r="Z5794" t="s">
        <v>77</v>
      </c>
      <c r="AA5794" t="str">
        <f>"11201-5425"</f>
        <v>11201-5425</v>
      </c>
      <c r="AB5794" t="s">
        <v>78</v>
      </c>
      <c r="AC5794" t="s">
        <v>79</v>
      </c>
      <c r="AD5794" t="s">
        <v>75</v>
      </c>
      <c r="AE5794" t="s">
        <v>80</v>
      </c>
      <c r="AG5794" t="s">
        <v>81</v>
      </c>
    </row>
    <row r="5795" spans="1:33" x14ac:dyDescent="0.25">
      <c r="A5795" t="str">
        <f>"1598065096"</f>
        <v>1598065096</v>
      </c>
      <c r="B5795" t="str">
        <f>"03333882"</f>
        <v>03333882</v>
      </c>
      <c r="C5795" t="s">
        <v>27882</v>
      </c>
      <c r="D5795" t="s">
        <v>4493</v>
      </c>
      <c r="E5795" t="s">
        <v>4494</v>
      </c>
      <c r="G5795" t="s">
        <v>27883</v>
      </c>
      <c r="H5795" t="s">
        <v>4457</v>
      </c>
      <c r="J5795" t="s">
        <v>27884</v>
      </c>
      <c r="L5795" t="s">
        <v>189</v>
      </c>
      <c r="M5795" t="s">
        <v>75</v>
      </c>
      <c r="R5795" t="s">
        <v>4492</v>
      </c>
      <c r="W5795" t="s">
        <v>4494</v>
      </c>
      <c r="X5795" t="s">
        <v>1284</v>
      </c>
      <c r="Y5795" t="s">
        <v>190</v>
      </c>
      <c r="Z5795" t="s">
        <v>77</v>
      </c>
      <c r="AA5795" t="str">
        <f>"11101-4130"</f>
        <v>11101-4130</v>
      </c>
      <c r="AB5795" t="s">
        <v>93</v>
      </c>
      <c r="AC5795" t="s">
        <v>79</v>
      </c>
      <c r="AD5795" t="s">
        <v>75</v>
      </c>
      <c r="AE5795" t="s">
        <v>80</v>
      </c>
      <c r="AG5795" t="s">
        <v>81</v>
      </c>
    </row>
    <row r="5796" spans="1:33" x14ac:dyDescent="0.25">
      <c r="A5796" t="str">
        <f>"1619234341"</f>
        <v>1619234341</v>
      </c>
      <c r="B5796" t="str">
        <f>"03714532"</f>
        <v>03714532</v>
      </c>
      <c r="C5796" t="s">
        <v>13436</v>
      </c>
      <c r="D5796" t="s">
        <v>27885</v>
      </c>
      <c r="E5796" t="s">
        <v>27886</v>
      </c>
      <c r="L5796" t="s">
        <v>102</v>
      </c>
      <c r="M5796" t="s">
        <v>75</v>
      </c>
      <c r="R5796" t="s">
        <v>27887</v>
      </c>
      <c r="W5796" t="s">
        <v>27886</v>
      </c>
      <c r="X5796" t="s">
        <v>329</v>
      </c>
      <c r="Y5796" t="s">
        <v>97</v>
      </c>
      <c r="Z5796" t="s">
        <v>77</v>
      </c>
      <c r="AA5796" t="str">
        <f>"10029-6504"</f>
        <v>10029-6504</v>
      </c>
      <c r="AB5796" t="s">
        <v>78</v>
      </c>
      <c r="AC5796" t="s">
        <v>79</v>
      </c>
      <c r="AD5796" t="s">
        <v>75</v>
      </c>
      <c r="AE5796" t="s">
        <v>80</v>
      </c>
      <c r="AG5796" t="s">
        <v>81</v>
      </c>
    </row>
    <row r="5797" spans="1:33" x14ac:dyDescent="0.25">
      <c r="A5797" t="str">
        <f>"1619234507"</f>
        <v>1619234507</v>
      </c>
      <c r="B5797" t="str">
        <f>"04513659"</f>
        <v>04513659</v>
      </c>
      <c r="C5797" t="s">
        <v>13436</v>
      </c>
      <c r="D5797" t="s">
        <v>27888</v>
      </c>
      <c r="E5797" t="s">
        <v>27889</v>
      </c>
      <c r="L5797" t="s">
        <v>102</v>
      </c>
      <c r="M5797" t="s">
        <v>75</v>
      </c>
      <c r="R5797" t="s">
        <v>27890</v>
      </c>
      <c r="W5797" t="s">
        <v>27889</v>
      </c>
      <c r="AB5797" t="s">
        <v>78</v>
      </c>
      <c r="AC5797" t="s">
        <v>79</v>
      </c>
      <c r="AD5797" t="s">
        <v>75</v>
      </c>
      <c r="AE5797" t="s">
        <v>80</v>
      </c>
      <c r="AG5797" t="s">
        <v>81</v>
      </c>
    </row>
    <row r="5798" spans="1:33" x14ac:dyDescent="0.25">
      <c r="A5798" t="str">
        <f>"1619234556"</f>
        <v>1619234556</v>
      </c>
      <c r="C5798" t="s">
        <v>13436</v>
      </c>
      <c r="K5798" t="s">
        <v>99</v>
      </c>
      <c r="L5798" t="s">
        <v>102</v>
      </c>
      <c r="M5798" t="s">
        <v>75</v>
      </c>
      <c r="R5798" t="s">
        <v>27891</v>
      </c>
      <c r="S5798" t="s">
        <v>329</v>
      </c>
      <c r="T5798" t="s">
        <v>97</v>
      </c>
      <c r="U5798" t="s">
        <v>77</v>
      </c>
      <c r="V5798" t="str">
        <f>"100296500"</f>
        <v>100296500</v>
      </c>
      <c r="AC5798" t="s">
        <v>79</v>
      </c>
      <c r="AD5798" t="s">
        <v>75</v>
      </c>
      <c r="AE5798" t="s">
        <v>103</v>
      </c>
      <c r="AG5798" t="s">
        <v>81</v>
      </c>
    </row>
    <row r="5799" spans="1:33" x14ac:dyDescent="0.25">
      <c r="A5799" t="str">
        <f>"1639263320"</f>
        <v>1639263320</v>
      </c>
      <c r="B5799" t="str">
        <f>"01946794"</f>
        <v>01946794</v>
      </c>
      <c r="C5799" t="s">
        <v>13436</v>
      </c>
      <c r="D5799" t="s">
        <v>27892</v>
      </c>
      <c r="E5799" t="s">
        <v>27893</v>
      </c>
      <c r="L5799" t="s">
        <v>102</v>
      </c>
      <c r="M5799" t="s">
        <v>75</v>
      </c>
      <c r="R5799" t="s">
        <v>27894</v>
      </c>
      <c r="W5799" t="s">
        <v>27893</v>
      </c>
      <c r="X5799" t="s">
        <v>262</v>
      </c>
      <c r="Y5799" t="s">
        <v>91</v>
      </c>
      <c r="Z5799" t="s">
        <v>77</v>
      </c>
      <c r="AA5799" t="str">
        <f>"11373-1329"</f>
        <v>11373-1329</v>
      </c>
      <c r="AB5799" t="s">
        <v>78</v>
      </c>
      <c r="AC5799" t="s">
        <v>79</v>
      </c>
      <c r="AD5799" t="s">
        <v>75</v>
      </c>
      <c r="AE5799" t="s">
        <v>80</v>
      </c>
      <c r="AG5799" t="s">
        <v>81</v>
      </c>
    </row>
    <row r="5800" spans="1:33" x14ac:dyDescent="0.25">
      <c r="A5800" t="str">
        <f>"1790873065"</f>
        <v>1790873065</v>
      </c>
      <c r="B5800" t="str">
        <f>"02591422"</f>
        <v>02591422</v>
      </c>
      <c r="C5800" t="s">
        <v>13436</v>
      </c>
      <c r="D5800" t="s">
        <v>27895</v>
      </c>
      <c r="E5800" t="s">
        <v>27896</v>
      </c>
      <c r="L5800" t="s">
        <v>83</v>
      </c>
      <c r="M5800" t="s">
        <v>85</v>
      </c>
      <c r="R5800" t="s">
        <v>27897</v>
      </c>
      <c r="W5800" t="s">
        <v>27897</v>
      </c>
      <c r="X5800" t="s">
        <v>1690</v>
      </c>
      <c r="Y5800" t="s">
        <v>97</v>
      </c>
      <c r="Z5800" t="s">
        <v>77</v>
      </c>
      <c r="AA5800" t="str">
        <f>"10065-4870"</f>
        <v>10065-4870</v>
      </c>
      <c r="AB5800" t="s">
        <v>78</v>
      </c>
      <c r="AC5800" t="s">
        <v>79</v>
      </c>
      <c r="AD5800" t="s">
        <v>75</v>
      </c>
      <c r="AE5800" t="s">
        <v>80</v>
      </c>
      <c r="AG5800" t="s">
        <v>81</v>
      </c>
    </row>
    <row r="5801" spans="1:33" x14ac:dyDescent="0.25">
      <c r="A5801" t="str">
        <f>"1790879005"</f>
        <v>1790879005</v>
      </c>
      <c r="B5801" t="str">
        <f>"02884086"</f>
        <v>02884086</v>
      </c>
      <c r="C5801" t="s">
        <v>13436</v>
      </c>
      <c r="D5801" t="s">
        <v>27898</v>
      </c>
      <c r="E5801" t="s">
        <v>27899</v>
      </c>
      <c r="L5801" t="s">
        <v>83</v>
      </c>
      <c r="M5801" t="s">
        <v>75</v>
      </c>
      <c r="R5801" t="s">
        <v>27899</v>
      </c>
      <c r="W5801" t="s">
        <v>27900</v>
      </c>
      <c r="X5801" t="s">
        <v>306</v>
      </c>
      <c r="Y5801" t="s">
        <v>97</v>
      </c>
      <c r="Z5801" t="s">
        <v>77</v>
      </c>
      <c r="AA5801" t="str">
        <f>"10003-4201"</f>
        <v>10003-4201</v>
      </c>
      <c r="AB5801" t="s">
        <v>78</v>
      </c>
      <c r="AC5801" t="s">
        <v>79</v>
      </c>
      <c r="AD5801" t="s">
        <v>75</v>
      </c>
      <c r="AE5801" t="s">
        <v>80</v>
      </c>
      <c r="AG5801" t="s">
        <v>81</v>
      </c>
    </row>
    <row r="5802" spans="1:33" x14ac:dyDescent="0.25">
      <c r="A5802" t="str">
        <f>"1790883544"</f>
        <v>1790883544</v>
      </c>
      <c r="B5802" t="str">
        <f>"01840064"</f>
        <v>01840064</v>
      </c>
      <c r="C5802" t="s">
        <v>13436</v>
      </c>
      <c r="D5802" t="s">
        <v>6176</v>
      </c>
      <c r="E5802" t="s">
        <v>6177</v>
      </c>
      <c r="L5802" t="s">
        <v>83</v>
      </c>
      <c r="M5802" t="s">
        <v>75</v>
      </c>
      <c r="R5802" t="s">
        <v>6178</v>
      </c>
      <c r="W5802" t="s">
        <v>6177</v>
      </c>
      <c r="X5802" t="s">
        <v>258</v>
      </c>
      <c r="Y5802" t="s">
        <v>131</v>
      </c>
      <c r="Z5802" t="s">
        <v>77</v>
      </c>
      <c r="AA5802" t="str">
        <f>"10467-2401"</f>
        <v>10467-2401</v>
      </c>
      <c r="AB5802" t="s">
        <v>78</v>
      </c>
      <c r="AC5802" t="s">
        <v>79</v>
      </c>
      <c r="AD5802" t="s">
        <v>75</v>
      </c>
      <c r="AE5802" t="s">
        <v>80</v>
      </c>
      <c r="AG5802" t="s">
        <v>81</v>
      </c>
    </row>
    <row r="5803" spans="1:33" x14ac:dyDescent="0.25">
      <c r="A5803" t="str">
        <f>"1790904548"</f>
        <v>1790904548</v>
      </c>
      <c r="B5803" t="str">
        <f>"02926910"</f>
        <v>02926910</v>
      </c>
      <c r="C5803" t="s">
        <v>13436</v>
      </c>
      <c r="D5803" t="s">
        <v>27901</v>
      </c>
      <c r="E5803" t="s">
        <v>27902</v>
      </c>
      <c r="L5803" t="s">
        <v>83</v>
      </c>
      <c r="M5803" t="s">
        <v>85</v>
      </c>
      <c r="R5803" t="s">
        <v>27903</v>
      </c>
      <c r="W5803" t="s">
        <v>27902</v>
      </c>
      <c r="X5803" t="s">
        <v>5649</v>
      </c>
      <c r="Y5803" t="s">
        <v>2604</v>
      </c>
      <c r="Z5803" t="s">
        <v>77</v>
      </c>
      <c r="AA5803" t="str">
        <f>"10901-5208"</f>
        <v>10901-5208</v>
      </c>
      <c r="AB5803" t="s">
        <v>78</v>
      </c>
      <c r="AC5803" t="s">
        <v>79</v>
      </c>
      <c r="AD5803" t="s">
        <v>75</v>
      </c>
      <c r="AE5803" t="s">
        <v>80</v>
      </c>
      <c r="AG5803" t="s">
        <v>81</v>
      </c>
    </row>
    <row r="5804" spans="1:33" x14ac:dyDescent="0.25">
      <c r="A5804" t="str">
        <f>"1366856189"</f>
        <v>1366856189</v>
      </c>
      <c r="C5804" t="s">
        <v>13436</v>
      </c>
      <c r="K5804" t="s">
        <v>99</v>
      </c>
      <c r="L5804" t="s">
        <v>102</v>
      </c>
      <c r="M5804" t="s">
        <v>75</v>
      </c>
      <c r="R5804" t="s">
        <v>27904</v>
      </c>
      <c r="S5804" t="s">
        <v>27905</v>
      </c>
      <c r="T5804" t="s">
        <v>97</v>
      </c>
      <c r="U5804" t="s">
        <v>77</v>
      </c>
      <c r="V5804" t="str">
        <f>"100237103"</f>
        <v>100237103</v>
      </c>
      <c r="AC5804" t="s">
        <v>79</v>
      </c>
      <c r="AD5804" t="s">
        <v>75</v>
      </c>
      <c r="AE5804" t="s">
        <v>103</v>
      </c>
      <c r="AG5804" t="s">
        <v>81</v>
      </c>
    </row>
    <row r="5805" spans="1:33" x14ac:dyDescent="0.25">
      <c r="A5805" t="str">
        <f>"1366860793"</f>
        <v>1366860793</v>
      </c>
      <c r="C5805" t="s">
        <v>13436</v>
      </c>
      <c r="K5805" t="s">
        <v>99</v>
      </c>
      <c r="L5805" t="s">
        <v>102</v>
      </c>
      <c r="M5805" t="s">
        <v>75</v>
      </c>
      <c r="R5805" t="s">
        <v>27906</v>
      </c>
      <c r="S5805" t="s">
        <v>27907</v>
      </c>
      <c r="T5805" t="s">
        <v>4953</v>
      </c>
      <c r="U5805" t="s">
        <v>77</v>
      </c>
      <c r="V5805" t="str">
        <f>"115071208"</f>
        <v>115071208</v>
      </c>
      <c r="AC5805" t="s">
        <v>79</v>
      </c>
      <c r="AD5805" t="s">
        <v>75</v>
      </c>
      <c r="AE5805" t="s">
        <v>103</v>
      </c>
      <c r="AG5805" t="s">
        <v>81</v>
      </c>
    </row>
    <row r="5806" spans="1:33" x14ac:dyDescent="0.25">
      <c r="A5806" t="str">
        <f>"1366869711"</f>
        <v>1366869711</v>
      </c>
      <c r="C5806" t="s">
        <v>13436</v>
      </c>
      <c r="K5806" t="s">
        <v>99</v>
      </c>
      <c r="L5806" t="s">
        <v>102</v>
      </c>
      <c r="M5806" t="s">
        <v>75</v>
      </c>
      <c r="R5806" t="s">
        <v>27908</v>
      </c>
      <c r="S5806" t="s">
        <v>12670</v>
      </c>
      <c r="T5806" t="s">
        <v>97</v>
      </c>
      <c r="U5806" t="s">
        <v>77</v>
      </c>
      <c r="V5806" t="str">
        <f>"100033821"</f>
        <v>100033821</v>
      </c>
      <c r="AC5806" t="s">
        <v>79</v>
      </c>
      <c r="AD5806" t="s">
        <v>75</v>
      </c>
      <c r="AE5806" t="s">
        <v>103</v>
      </c>
      <c r="AG5806" t="s">
        <v>81</v>
      </c>
    </row>
    <row r="5807" spans="1:33" x14ac:dyDescent="0.25">
      <c r="A5807" t="str">
        <f>"1366885493"</f>
        <v>1366885493</v>
      </c>
      <c r="B5807" t="str">
        <f>"04540694"</f>
        <v>04540694</v>
      </c>
      <c r="C5807" t="s">
        <v>13436</v>
      </c>
      <c r="D5807" t="s">
        <v>27909</v>
      </c>
      <c r="E5807" t="s">
        <v>27910</v>
      </c>
      <c r="L5807" t="s">
        <v>74</v>
      </c>
      <c r="M5807" t="s">
        <v>75</v>
      </c>
      <c r="R5807" t="s">
        <v>27911</v>
      </c>
      <c r="W5807" t="s">
        <v>27910</v>
      </c>
      <c r="AB5807" t="s">
        <v>78</v>
      </c>
      <c r="AC5807" t="s">
        <v>79</v>
      </c>
      <c r="AD5807" t="s">
        <v>75</v>
      </c>
      <c r="AE5807" t="s">
        <v>80</v>
      </c>
      <c r="AG5807" t="s">
        <v>81</v>
      </c>
    </row>
    <row r="5808" spans="1:33" x14ac:dyDescent="0.25">
      <c r="A5808" t="str">
        <f>"1376560136"</f>
        <v>1376560136</v>
      </c>
      <c r="B5808" t="str">
        <f>"02656320"</f>
        <v>02656320</v>
      </c>
      <c r="C5808" t="s">
        <v>13436</v>
      </c>
      <c r="D5808" t="s">
        <v>27912</v>
      </c>
      <c r="E5808" t="s">
        <v>27913</v>
      </c>
      <c r="G5808" t="s">
        <v>27914</v>
      </c>
      <c r="L5808" t="s">
        <v>83</v>
      </c>
      <c r="M5808" t="s">
        <v>85</v>
      </c>
      <c r="R5808" t="s">
        <v>27915</v>
      </c>
      <c r="W5808" t="s">
        <v>27913</v>
      </c>
      <c r="X5808" t="s">
        <v>234</v>
      </c>
      <c r="Y5808" t="s">
        <v>97</v>
      </c>
      <c r="Z5808" t="s">
        <v>77</v>
      </c>
      <c r="AA5808" t="str">
        <f>"10032-3729"</f>
        <v>10032-3729</v>
      </c>
      <c r="AB5808" t="s">
        <v>78</v>
      </c>
      <c r="AC5808" t="s">
        <v>79</v>
      </c>
      <c r="AD5808" t="s">
        <v>75</v>
      </c>
      <c r="AE5808" t="s">
        <v>80</v>
      </c>
      <c r="AG5808" t="s">
        <v>81</v>
      </c>
    </row>
    <row r="5809" spans="1:33" x14ac:dyDescent="0.25">
      <c r="A5809" t="str">
        <f>"1376567230"</f>
        <v>1376567230</v>
      </c>
      <c r="B5809" t="str">
        <f>"02811109"</f>
        <v>02811109</v>
      </c>
      <c r="C5809" t="s">
        <v>13436</v>
      </c>
      <c r="D5809" t="s">
        <v>27916</v>
      </c>
      <c r="E5809" t="s">
        <v>27917</v>
      </c>
      <c r="G5809" t="s">
        <v>27918</v>
      </c>
      <c r="L5809" t="s">
        <v>83</v>
      </c>
      <c r="M5809" t="s">
        <v>85</v>
      </c>
      <c r="R5809" t="s">
        <v>27919</v>
      </c>
      <c r="W5809" t="s">
        <v>27917</v>
      </c>
      <c r="X5809" t="s">
        <v>204</v>
      </c>
      <c r="Y5809" t="s">
        <v>97</v>
      </c>
      <c r="Z5809" t="s">
        <v>77</v>
      </c>
      <c r="AA5809" t="str">
        <f>"10065-4870"</f>
        <v>10065-4870</v>
      </c>
      <c r="AB5809" t="s">
        <v>78</v>
      </c>
      <c r="AC5809" t="s">
        <v>79</v>
      </c>
      <c r="AD5809" t="s">
        <v>75</v>
      </c>
      <c r="AE5809" t="s">
        <v>80</v>
      </c>
      <c r="AG5809" t="s">
        <v>81</v>
      </c>
    </row>
    <row r="5810" spans="1:33" x14ac:dyDescent="0.25">
      <c r="A5810" t="str">
        <f>"1427321116"</f>
        <v>1427321116</v>
      </c>
      <c r="C5810" t="s">
        <v>13436</v>
      </c>
      <c r="K5810" t="s">
        <v>99</v>
      </c>
      <c r="L5810" t="s">
        <v>102</v>
      </c>
      <c r="M5810" t="s">
        <v>75</v>
      </c>
      <c r="R5810" t="s">
        <v>27920</v>
      </c>
      <c r="S5810" t="s">
        <v>26543</v>
      </c>
      <c r="T5810" t="s">
        <v>124</v>
      </c>
      <c r="U5810" t="s">
        <v>2395</v>
      </c>
      <c r="V5810" t="str">
        <f>"559050001"</f>
        <v>559050001</v>
      </c>
      <c r="AC5810" t="s">
        <v>79</v>
      </c>
      <c r="AD5810" t="s">
        <v>75</v>
      </c>
      <c r="AE5810" t="s">
        <v>103</v>
      </c>
      <c r="AG5810" t="s">
        <v>81</v>
      </c>
    </row>
    <row r="5811" spans="1:33" x14ac:dyDescent="0.25">
      <c r="A5811" t="str">
        <f>"1114226354"</f>
        <v>1114226354</v>
      </c>
      <c r="C5811" t="s">
        <v>13436</v>
      </c>
      <c r="K5811" t="s">
        <v>99</v>
      </c>
      <c r="L5811" t="s">
        <v>102</v>
      </c>
      <c r="M5811" t="s">
        <v>75</v>
      </c>
      <c r="R5811" t="s">
        <v>27921</v>
      </c>
      <c r="S5811" t="s">
        <v>3553</v>
      </c>
      <c r="T5811" t="s">
        <v>97</v>
      </c>
      <c r="U5811" t="s">
        <v>77</v>
      </c>
      <c r="V5811" t="str">
        <f>"100033851"</f>
        <v>100033851</v>
      </c>
      <c r="AC5811" t="s">
        <v>79</v>
      </c>
      <c r="AD5811" t="s">
        <v>75</v>
      </c>
      <c r="AE5811" t="s">
        <v>103</v>
      </c>
      <c r="AG5811" t="s">
        <v>81</v>
      </c>
    </row>
    <row r="5812" spans="1:33" x14ac:dyDescent="0.25">
      <c r="A5812" t="str">
        <f>"1114226396"</f>
        <v>1114226396</v>
      </c>
      <c r="C5812" t="s">
        <v>13436</v>
      </c>
      <c r="K5812" t="s">
        <v>99</v>
      </c>
      <c r="L5812" t="s">
        <v>102</v>
      </c>
      <c r="M5812" t="s">
        <v>75</v>
      </c>
      <c r="R5812" t="s">
        <v>27922</v>
      </c>
      <c r="S5812" t="s">
        <v>27923</v>
      </c>
      <c r="T5812" t="s">
        <v>2669</v>
      </c>
      <c r="U5812" t="s">
        <v>1214</v>
      </c>
      <c r="V5812" t="str">
        <f>"277052566"</f>
        <v>277052566</v>
      </c>
      <c r="AC5812" t="s">
        <v>79</v>
      </c>
      <c r="AD5812" t="s">
        <v>75</v>
      </c>
      <c r="AE5812" t="s">
        <v>103</v>
      </c>
      <c r="AG5812" t="s">
        <v>81</v>
      </c>
    </row>
    <row r="5813" spans="1:33" x14ac:dyDescent="0.25">
      <c r="A5813" t="str">
        <f>"1114228376"</f>
        <v>1114228376</v>
      </c>
      <c r="C5813" t="s">
        <v>13436</v>
      </c>
      <c r="G5813" t="s">
        <v>27924</v>
      </c>
      <c r="K5813" t="s">
        <v>99</v>
      </c>
      <c r="L5813" t="s">
        <v>74</v>
      </c>
      <c r="M5813" t="s">
        <v>75</v>
      </c>
      <c r="R5813" t="s">
        <v>27925</v>
      </c>
      <c r="S5813" t="s">
        <v>27926</v>
      </c>
      <c r="T5813" t="s">
        <v>97</v>
      </c>
      <c r="U5813" t="s">
        <v>77</v>
      </c>
      <c r="V5813" t="str">
        <f>"100296501"</f>
        <v>100296501</v>
      </c>
      <c r="AC5813" t="s">
        <v>79</v>
      </c>
      <c r="AD5813" t="s">
        <v>75</v>
      </c>
      <c r="AE5813" t="s">
        <v>103</v>
      </c>
      <c r="AG5813" t="s">
        <v>81</v>
      </c>
    </row>
    <row r="5814" spans="1:33" x14ac:dyDescent="0.25">
      <c r="A5814" t="str">
        <f>"1114244084"</f>
        <v>1114244084</v>
      </c>
      <c r="B5814" t="str">
        <f>"03799575"</f>
        <v>03799575</v>
      </c>
      <c r="C5814" t="s">
        <v>13436</v>
      </c>
      <c r="D5814" t="s">
        <v>27927</v>
      </c>
      <c r="E5814" t="s">
        <v>27928</v>
      </c>
      <c r="L5814" t="s">
        <v>102</v>
      </c>
      <c r="M5814" t="s">
        <v>75</v>
      </c>
      <c r="R5814" t="s">
        <v>27929</v>
      </c>
      <c r="W5814" t="s">
        <v>27928</v>
      </c>
      <c r="X5814" t="s">
        <v>12304</v>
      </c>
      <c r="Y5814" t="s">
        <v>97</v>
      </c>
      <c r="Z5814" t="s">
        <v>77</v>
      </c>
      <c r="AA5814" t="str">
        <f>"10003-4201"</f>
        <v>10003-4201</v>
      </c>
      <c r="AB5814" t="s">
        <v>78</v>
      </c>
      <c r="AC5814" t="s">
        <v>79</v>
      </c>
      <c r="AD5814" t="s">
        <v>75</v>
      </c>
      <c r="AE5814" t="s">
        <v>80</v>
      </c>
      <c r="AG5814" t="s">
        <v>81</v>
      </c>
    </row>
    <row r="5815" spans="1:33" x14ac:dyDescent="0.25">
      <c r="A5815" t="str">
        <f>"1114244373"</f>
        <v>1114244373</v>
      </c>
      <c r="B5815" t="str">
        <f>"03814977"</f>
        <v>03814977</v>
      </c>
      <c r="C5815" t="s">
        <v>13436</v>
      </c>
      <c r="D5815" t="s">
        <v>27930</v>
      </c>
      <c r="E5815" t="s">
        <v>27931</v>
      </c>
      <c r="L5815" t="s">
        <v>102</v>
      </c>
      <c r="M5815" t="s">
        <v>75</v>
      </c>
      <c r="R5815" t="s">
        <v>27932</v>
      </c>
      <c r="W5815" t="s">
        <v>27931</v>
      </c>
      <c r="X5815" t="s">
        <v>12304</v>
      </c>
      <c r="Y5815" t="s">
        <v>97</v>
      </c>
      <c r="Z5815" t="s">
        <v>77</v>
      </c>
      <c r="AA5815" t="str">
        <f>"10003-4201"</f>
        <v>10003-4201</v>
      </c>
      <c r="AB5815" t="s">
        <v>78</v>
      </c>
      <c r="AC5815" t="s">
        <v>79</v>
      </c>
      <c r="AD5815" t="s">
        <v>75</v>
      </c>
      <c r="AE5815" t="s">
        <v>80</v>
      </c>
      <c r="AG5815" t="s">
        <v>81</v>
      </c>
    </row>
    <row r="5816" spans="1:33" x14ac:dyDescent="0.25">
      <c r="A5816" t="str">
        <f>"1114253028"</f>
        <v>1114253028</v>
      </c>
      <c r="B5816" t="str">
        <f>"03812379"</f>
        <v>03812379</v>
      </c>
      <c r="C5816" t="s">
        <v>13436</v>
      </c>
      <c r="D5816" t="s">
        <v>27933</v>
      </c>
      <c r="E5816" t="s">
        <v>27934</v>
      </c>
      <c r="G5816" t="s">
        <v>27935</v>
      </c>
      <c r="L5816" t="s">
        <v>74</v>
      </c>
      <c r="M5816" t="s">
        <v>75</v>
      </c>
      <c r="R5816" t="s">
        <v>27934</v>
      </c>
      <c r="W5816" t="s">
        <v>27934</v>
      </c>
      <c r="X5816" t="s">
        <v>25552</v>
      </c>
      <c r="Y5816" t="s">
        <v>97</v>
      </c>
      <c r="Z5816" t="s">
        <v>77</v>
      </c>
      <c r="AA5816" t="str">
        <f>"10029-6501"</f>
        <v>10029-6501</v>
      </c>
      <c r="AB5816" t="s">
        <v>78</v>
      </c>
      <c r="AC5816" t="s">
        <v>79</v>
      </c>
      <c r="AD5816" t="s">
        <v>75</v>
      </c>
      <c r="AE5816" t="s">
        <v>80</v>
      </c>
      <c r="AG5816" t="s">
        <v>81</v>
      </c>
    </row>
    <row r="5817" spans="1:33" x14ac:dyDescent="0.25">
      <c r="A5817" t="str">
        <f>"1114260866"</f>
        <v>1114260866</v>
      </c>
      <c r="C5817" t="s">
        <v>13436</v>
      </c>
      <c r="K5817" t="s">
        <v>99</v>
      </c>
      <c r="L5817" t="s">
        <v>102</v>
      </c>
      <c r="M5817" t="s">
        <v>75</v>
      </c>
      <c r="R5817" t="s">
        <v>27936</v>
      </c>
      <c r="S5817" t="s">
        <v>27937</v>
      </c>
      <c r="T5817" t="s">
        <v>97</v>
      </c>
      <c r="U5817" t="s">
        <v>77</v>
      </c>
      <c r="V5817" t="str">
        <f>"10003"</f>
        <v>10003</v>
      </c>
      <c r="AC5817" t="s">
        <v>79</v>
      </c>
      <c r="AD5817" t="s">
        <v>75</v>
      </c>
      <c r="AE5817" t="s">
        <v>103</v>
      </c>
      <c r="AG5817" t="s">
        <v>81</v>
      </c>
    </row>
    <row r="5818" spans="1:33" x14ac:dyDescent="0.25">
      <c r="A5818" t="str">
        <f>"1114269958"</f>
        <v>1114269958</v>
      </c>
      <c r="B5818" t="str">
        <f>"04448431"</f>
        <v>04448431</v>
      </c>
      <c r="C5818" t="s">
        <v>13436</v>
      </c>
      <c r="D5818" t="s">
        <v>27938</v>
      </c>
      <c r="E5818" t="s">
        <v>27939</v>
      </c>
      <c r="L5818" t="s">
        <v>74</v>
      </c>
      <c r="M5818" t="s">
        <v>75</v>
      </c>
      <c r="R5818" t="s">
        <v>27939</v>
      </c>
      <c r="W5818" t="s">
        <v>27939</v>
      </c>
      <c r="AB5818" t="s">
        <v>78</v>
      </c>
      <c r="AC5818" t="s">
        <v>79</v>
      </c>
      <c r="AD5818" t="s">
        <v>75</v>
      </c>
      <c r="AE5818" t="s">
        <v>80</v>
      </c>
      <c r="AG5818" t="s">
        <v>81</v>
      </c>
    </row>
    <row r="5819" spans="1:33" x14ac:dyDescent="0.25">
      <c r="A5819" t="str">
        <f>"1114284742"</f>
        <v>1114284742</v>
      </c>
      <c r="B5819" t="str">
        <f>"04181917"</f>
        <v>04181917</v>
      </c>
      <c r="C5819" t="s">
        <v>13436</v>
      </c>
      <c r="D5819" t="s">
        <v>27940</v>
      </c>
      <c r="E5819" t="s">
        <v>27941</v>
      </c>
      <c r="L5819" t="s">
        <v>83</v>
      </c>
      <c r="M5819" t="s">
        <v>75</v>
      </c>
      <c r="R5819" t="s">
        <v>27942</v>
      </c>
      <c r="W5819" t="s">
        <v>27943</v>
      </c>
      <c r="X5819" t="s">
        <v>27944</v>
      </c>
      <c r="Y5819" t="s">
        <v>131</v>
      </c>
      <c r="Z5819" t="s">
        <v>77</v>
      </c>
      <c r="AA5819" t="str">
        <f>"10466-3203"</f>
        <v>10466-3203</v>
      </c>
      <c r="AB5819" t="s">
        <v>78</v>
      </c>
      <c r="AC5819" t="s">
        <v>79</v>
      </c>
      <c r="AD5819" t="s">
        <v>75</v>
      </c>
      <c r="AE5819" t="s">
        <v>80</v>
      </c>
      <c r="AG5819" t="s">
        <v>81</v>
      </c>
    </row>
    <row r="5820" spans="1:33" x14ac:dyDescent="0.25">
      <c r="A5820" t="str">
        <f>"1114287711"</f>
        <v>1114287711</v>
      </c>
      <c r="C5820" t="s">
        <v>13436</v>
      </c>
      <c r="K5820" t="s">
        <v>99</v>
      </c>
      <c r="L5820" t="s">
        <v>102</v>
      </c>
      <c r="M5820" t="s">
        <v>75</v>
      </c>
      <c r="R5820" t="s">
        <v>27945</v>
      </c>
      <c r="S5820" t="s">
        <v>329</v>
      </c>
      <c r="T5820" t="s">
        <v>97</v>
      </c>
      <c r="U5820" t="s">
        <v>77</v>
      </c>
      <c r="V5820" t="str">
        <f>"100296500"</f>
        <v>100296500</v>
      </c>
      <c r="AC5820" t="s">
        <v>79</v>
      </c>
      <c r="AD5820" t="s">
        <v>75</v>
      </c>
      <c r="AE5820" t="s">
        <v>103</v>
      </c>
      <c r="AG5820" t="s">
        <v>81</v>
      </c>
    </row>
    <row r="5821" spans="1:33" x14ac:dyDescent="0.25">
      <c r="A5821" t="str">
        <f>"1154663540"</f>
        <v>1154663540</v>
      </c>
      <c r="C5821" t="s">
        <v>13436</v>
      </c>
      <c r="K5821" t="s">
        <v>99</v>
      </c>
      <c r="L5821" t="s">
        <v>102</v>
      </c>
      <c r="M5821" t="s">
        <v>75</v>
      </c>
      <c r="R5821" t="s">
        <v>27946</v>
      </c>
      <c r="S5821" t="s">
        <v>27947</v>
      </c>
      <c r="T5821" t="s">
        <v>97</v>
      </c>
      <c r="U5821" t="s">
        <v>77</v>
      </c>
      <c r="V5821" t="str">
        <f>"100033805"</f>
        <v>100033805</v>
      </c>
      <c r="AC5821" t="s">
        <v>79</v>
      </c>
      <c r="AD5821" t="s">
        <v>75</v>
      </c>
      <c r="AE5821" t="s">
        <v>103</v>
      </c>
      <c r="AG5821" t="s">
        <v>81</v>
      </c>
    </row>
    <row r="5822" spans="1:33" x14ac:dyDescent="0.25">
      <c r="A5822" t="str">
        <f>"1154664530"</f>
        <v>1154664530</v>
      </c>
      <c r="C5822" t="s">
        <v>13436</v>
      </c>
      <c r="K5822" t="s">
        <v>99</v>
      </c>
      <c r="L5822" t="s">
        <v>102</v>
      </c>
      <c r="M5822" t="s">
        <v>75</v>
      </c>
      <c r="R5822" t="s">
        <v>27948</v>
      </c>
      <c r="S5822" t="s">
        <v>27949</v>
      </c>
      <c r="T5822" t="s">
        <v>97</v>
      </c>
      <c r="U5822" t="s">
        <v>77</v>
      </c>
      <c r="V5822" t="str">
        <f>"100296514"</f>
        <v>100296514</v>
      </c>
      <c r="AC5822" t="s">
        <v>79</v>
      </c>
      <c r="AD5822" t="s">
        <v>75</v>
      </c>
      <c r="AE5822" t="s">
        <v>103</v>
      </c>
      <c r="AG5822" t="s">
        <v>81</v>
      </c>
    </row>
    <row r="5823" spans="1:33" x14ac:dyDescent="0.25">
      <c r="A5823" t="str">
        <f>"1154664860"</f>
        <v>1154664860</v>
      </c>
      <c r="C5823" t="s">
        <v>13436</v>
      </c>
      <c r="K5823" t="s">
        <v>99</v>
      </c>
      <c r="L5823" t="s">
        <v>102</v>
      </c>
      <c r="M5823" t="s">
        <v>75</v>
      </c>
      <c r="R5823" t="s">
        <v>27950</v>
      </c>
      <c r="S5823" t="s">
        <v>2838</v>
      </c>
      <c r="T5823" t="s">
        <v>97</v>
      </c>
      <c r="U5823" t="s">
        <v>77</v>
      </c>
      <c r="V5823" t="str">
        <f>"100033105"</f>
        <v>100033105</v>
      </c>
      <c r="AC5823" t="s">
        <v>79</v>
      </c>
      <c r="AD5823" t="s">
        <v>75</v>
      </c>
      <c r="AE5823" t="s">
        <v>103</v>
      </c>
      <c r="AG5823" t="s">
        <v>81</v>
      </c>
    </row>
    <row r="5824" spans="1:33" x14ac:dyDescent="0.25">
      <c r="A5824" t="str">
        <f>"1154675429"</f>
        <v>1154675429</v>
      </c>
      <c r="B5824" t="str">
        <f>"03581784"</f>
        <v>03581784</v>
      </c>
      <c r="C5824" t="s">
        <v>13436</v>
      </c>
      <c r="D5824" t="s">
        <v>27951</v>
      </c>
      <c r="E5824" t="s">
        <v>27952</v>
      </c>
      <c r="G5824" t="s">
        <v>27953</v>
      </c>
      <c r="L5824" t="s">
        <v>83</v>
      </c>
      <c r="M5824" t="s">
        <v>75</v>
      </c>
      <c r="R5824" t="s">
        <v>27952</v>
      </c>
      <c r="W5824" t="s">
        <v>27952</v>
      </c>
      <c r="X5824" t="s">
        <v>912</v>
      </c>
      <c r="Y5824" t="s">
        <v>97</v>
      </c>
      <c r="Z5824" t="s">
        <v>77</v>
      </c>
      <c r="AA5824" t="str">
        <f>"10027-4820"</f>
        <v>10027-4820</v>
      </c>
      <c r="AB5824" t="s">
        <v>78</v>
      </c>
      <c r="AC5824" t="s">
        <v>79</v>
      </c>
      <c r="AD5824" t="s">
        <v>75</v>
      </c>
      <c r="AE5824" t="s">
        <v>80</v>
      </c>
      <c r="AG5824" t="s">
        <v>81</v>
      </c>
    </row>
    <row r="5825" spans="1:33" x14ac:dyDescent="0.25">
      <c r="A5825" t="str">
        <f>"1033359799"</f>
        <v>1033359799</v>
      </c>
      <c r="B5825" t="str">
        <f>"04367039"</f>
        <v>04367039</v>
      </c>
      <c r="C5825" t="s">
        <v>13436</v>
      </c>
      <c r="D5825" t="s">
        <v>27954</v>
      </c>
      <c r="E5825" t="s">
        <v>27955</v>
      </c>
      <c r="G5825" t="s">
        <v>27956</v>
      </c>
      <c r="L5825" t="s">
        <v>74</v>
      </c>
      <c r="M5825" t="s">
        <v>75</v>
      </c>
      <c r="R5825" t="s">
        <v>27957</v>
      </c>
      <c r="W5825" t="s">
        <v>27955</v>
      </c>
      <c r="X5825" t="s">
        <v>27958</v>
      </c>
      <c r="Y5825" t="s">
        <v>182</v>
      </c>
      <c r="Z5825" t="s">
        <v>77</v>
      </c>
      <c r="AA5825" t="str">
        <f>"11501-3893"</f>
        <v>11501-3893</v>
      </c>
      <c r="AB5825" t="s">
        <v>78</v>
      </c>
      <c r="AC5825" t="s">
        <v>79</v>
      </c>
      <c r="AD5825" t="s">
        <v>75</v>
      </c>
      <c r="AE5825" t="s">
        <v>80</v>
      </c>
      <c r="AG5825" t="s">
        <v>81</v>
      </c>
    </row>
    <row r="5826" spans="1:33" x14ac:dyDescent="0.25">
      <c r="A5826" t="str">
        <f>"1356508709"</f>
        <v>1356508709</v>
      </c>
      <c r="B5826" t="str">
        <f>"03376978"</f>
        <v>03376978</v>
      </c>
      <c r="C5826" t="s">
        <v>13436</v>
      </c>
      <c r="D5826" t="s">
        <v>27959</v>
      </c>
      <c r="E5826" t="s">
        <v>27960</v>
      </c>
      <c r="G5826" t="s">
        <v>27961</v>
      </c>
      <c r="L5826" t="s">
        <v>74</v>
      </c>
      <c r="M5826" t="s">
        <v>85</v>
      </c>
      <c r="R5826" t="s">
        <v>27962</v>
      </c>
      <c r="W5826" t="s">
        <v>27960</v>
      </c>
      <c r="X5826" t="s">
        <v>3784</v>
      </c>
      <c r="Y5826" t="s">
        <v>97</v>
      </c>
      <c r="Z5826" t="s">
        <v>77</v>
      </c>
      <c r="AA5826" t="str">
        <f>"10029-6500"</f>
        <v>10029-6500</v>
      </c>
      <c r="AB5826" t="s">
        <v>78</v>
      </c>
      <c r="AC5826" t="s">
        <v>79</v>
      </c>
      <c r="AD5826" t="s">
        <v>75</v>
      </c>
      <c r="AE5826" t="s">
        <v>80</v>
      </c>
      <c r="AG5826" t="s">
        <v>81</v>
      </c>
    </row>
    <row r="5827" spans="1:33" x14ac:dyDescent="0.25">
      <c r="A5827" t="str">
        <f>"1356577100"</f>
        <v>1356577100</v>
      </c>
      <c r="B5827" t="str">
        <f>"03718669"</f>
        <v>03718669</v>
      </c>
      <c r="C5827" t="s">
        <v>13436</v>
      </c>
      <c r="D5827" t="s">
        <v>27963</v>
      </c>
      <c r="E5827" t="s">
        <v>27964</v>
      </c>
      <c r="G5827" t="s">
        <v>27965</v>
      </c>
      <c r="L5827" t="s">
        <v>74</v>
      </c>
      <c r="M5827" t="s">
        <v>85</v>
      </c>
      <c r="R5827" t="s">
        <v>27966</v>
      </c>
      <c r="W5827" t="s">
        <v>27964</v>
      </c>
      <c r="X5827" t="s">
        <v>329</v>
      </c>
      <c r="Y5827" t="s">
        <v>97</v>
      </c>
      <c r="Z5827" t="s">
        <v>77</v>
      </c>
      <c r="AA5827" t="str">
        <f>"10029-6504"</f>
        <v>10029-6504</v>
      </c>
      <c r="AB5827" t="s">
        <v>78</v>
      </c>
      <c r="AC5827" t="s">
        <v>79</v>
      </c>
      <c r="AD5827" t="s">
        <v>75</v>
      </c>
      <c r="AE5827" t="s">
        <v>80</v>
      </c>
      <c r="AG5827" t="s">
        <v>81</v>
      </c>
    </row>
    <row r="5828" spans="1:33" x14ac:dyDescent="0.25">
      <c r="A5828" t="str">
        <f>"1356577407"</f>
        <v>1356577407</v>
      </c>
      <c r="C5828" t="s">
        <v>13436</v>
      </c>
      <c r="G5828" t="s">
        <v>27967</v>
      </c>
      <c r="K5828" t="s">
        <v>99</v>
      </c>
      <c r="L5828" t="s">
        <v>102</v>
      </c>
      <c r="M5828" t="s">
        <v>75</v>
      </c>
      <c r="R5828" t="s">
        <v>27968</v>
      </c>
      <c r="S5828" t="s">
        <v>27969</v>
      </c>
      <c r="T5828" t="s">
        <v>97</v>
      </c>
      <c r="U5828" t="s">
        <v>77</v>
      </c>
      <c r="V5828" t="str">
        <f>"100166402"</f>
        <v>100166402</v>
      </c>
      <c r="AC5828" t="s">
        <v>79</v>
      </c>
      <c r="AD5828" t="s">
        <v>75</v>
      </c>
      <c r="AE5828" t="s">
        <v>103</v>
      </c>
      <c r="AG5828" t="s">
        <v>81</v>
      </c>
    </row>
    <row r="5829" spans="1:33" x14ac:dyDescent="0.25">
      <c r="A5829" t="str">
        <f>"1366580730"</f>
        <v>1366580730</v>
      </c>
      <c r="B5829" t="str">
        <f>"03093794"</f>
        <v>03093794</v>
      </c>
      <c r="C5829" t="s">
        <v>13436</v>
      </c>
      <c r="D5829" t="s">
        <v>27970</v>
      </c>
      <c r="E5829" t="s">
        <v>27971</v>
      </c>
      <c r="G5829" t="s">
        <v>27972</v>
      </c>
      <c r="L5829" t="s">
        <v>105</v>
      </c>
      <c r="M5829" t="s">
        <v>85</v>
      </c>
      <c r="R5829" t="s">
        <v>27973</v>
      </c>
      <c r="W5829" t="s">
        <v>27974</v>
      </c>
      <c r="X5829" t="s">
        <v>2831</v>
      </c>
      <c r="Y5829" t="s">
        <v>97</v>
      </c>
      <c r="Z5829" t="s">
        <v>77</v>
      </c>
      <c r="AA5829" t="str">
        <f>"10029-6500"</f>
        <v>10029-6500</v>
      </c>
      <c r="AB5829" t="s">
        <v>78</v>
      </c>
      <c r="AC5829" t="s">
        <v>79</v>
      </c>
      <c r="AD5829" t="s">
        <v>75</v>
      </c>
      <c r="AE5829" t="s">
        <v>80</v>
      </c>
      <c r="AG5829" t="s">
        <v>81</v>
      </c>
    </row>
    <row r="5830" spans="1:33" x14ac:dyDescent="0.25">
      <c r="A5830" t="str">
        <f>"1205094026"</f>
        <v>1205094026</v>
      </c>
      <c r="B5830" t="str">
        <f>"02987520"</f>
        <v>02987520</v>
      </c>
      <c r="C5830" t="s">
        <v>13436</v>
      </c>
      <c r="D5830" t="s">
        <v>27975</v>
      </c>
      <c r="E5830" t="s">
        <v>27976</v>
      </c>
      <c r="G5830" t="s">
        <v>27977</v>
      </c>
      <c r="L5830" t="s">
        <v>83</v>
      </c>
      <c r="M5830" t="s">
        <v>85</v>
      </c>
      <c r="R5830" t="s">
        <v>27978</v>
      </c>
      <c r="W5830" t="s">
        <v>27979</v>
      </c>
      <c r="X5830" t="s">
        <v>329</v>
      </c>
      <c r="Y5830" t="s">
        <v>97</v>
      </c>
      <c r="Z5830" t="s">
        <v>77</v>
      </c>
      <c r="AA5830" t="str">
        <f>"10029-6500"</f>
        <v>10029-6500</v>
      </c>
      <c r="AB5830" t="s">
        <v>78</v>
      </c>
      <c r="AC5830" t="s">
        <v>79</v>
      </c>
      <c r="AD5830" t="s">
        <v>75</v>
      </c>
      <c r="AE5830" t="s">
        <v>80</v>
      </c>
      <c r="AG5830" t="s">
        <v>81</v>
      </c>
    </row>
    <row r="5831" spans="1:33" x14ac:dyDescent="0.25">
      <c r="A5831" t="str">
        <f>"1396802955"</f>
        <v>1396802955</v>
      </c>
      <c r="B5831" t="str">
        <f>"02608111"</f>
        <v>02608111</v>
      </c>
      <c r="C5831" t="s">
        <v>13436</v>
      </c>
      <c r="D5831" t="s">
        <v>27980</v>
      </c>
      <c r="E5831" t="s">
        <v>27981</v>
      </c>
      <c r="G5831" t="s">
        <v>27982</v>
      </c>
      <c r="L5831" t="s">
        <v>94</v>
      </c>
      <c r="M5831" t="s">
        <v>85</v>
      </c>
      <c r="R5831" t="s">
        <v>27983</v>
      </c>
      <c r="W5831" t="s">
        <v>27981</v>
      </c>
      <c r="X5831" t="s">
        <v>1845</v>
      </c>
      <c r="Y5831" t="s">
        <v>1846</v>
      </c>
      <c r="Z5831" t="s">
        <v>1784</v>
      </c>
      <c r="AA5831" t="str">
        <f>"15213-2536"</f>
        <v>15213-2536</v>
      </c>
      <c r="AB5831" t="s">
        <v>78</v>
      </c>
      <c r="AC5831" t="s">
        <v>79</v>
      </c>
      <c r="AD5831" t="s">
        <v>75</v>
      </c>
      <c r="AE5831" t="s">
        <v>80</v>
      </c>
      <c r="AG5831" t="s">
        <v>81</v>
      </c>
    </row>
    <row r="5832" spans="1:33" x14ac:dyDescent="0.25">
      <c r="A5832" t="str">
        <f>"1396810297"</f>
        <v>1396810297</v>
      </c>
      <c r="B5832" t="str">
        <f>"02846055"</f>
        <v>02846055</v>
      </c>
      <c r="C5832" t="s">
        <v>13436</v>
      </c>
      <c r="D5832" t="s">
        <v>27984</v>
      </c>
      <c r="E5832" t="s">
        <v>27985</v>
      </c>
      <c r="G5832" t="s">
        <v>27986</v>
      </c>
      <c r="L5832" t="s">
        <v>83</v>
      </c>
      <c r="M5832" t="s">
        <v>85</v>
      </c>
      <c r="R5832" t="s">
        <v>27987</v>
      </c>
      <c r="W5832" t="s">
        <v>27985</v>
      </c>
      <c r="X5832" t="s">
        <v>186</v>
      </c>
      <c r="Y5832" t="s">
        <v>97</v>
      </c>
      <c r="Z5832" t="s">
        <v>77</v>
      </c>
      <c r="AA5832" t="str">
        <f>"10029-7404"</f>
        <v>10029-7404</v>
      </c>
      <c r="AB5832" t="s">
        <v>78</v>
      </c>
      <c r="AC5832" t="s">
        <v>79</v>
      </c>
      <c r="AD5832" t="s">
        <v>75</v>
      </c>
      <c r="AE5832" t="s">
        <v>80</v>
      </c>
      <c r="AG5832" t="s">
        <v>81</v>
      </c>
    </row>
    <row r="5833" spans="1:33" x14ac:dyDescent="0.25">
      <c r="A5833" t="str">
        <f>"1396838637"</f>
        <v>1396838637</v>
      </c>
      <c r="B5833" t="str">
        <f>"00810233"</f>
        <v>00810233</v>
      </c>
      <c r="C5833" t="s">
        <v>13436</v>
      </c>
      <c r="D5833" t="s">
        <v>27988</v>
      </c>
      <c r="E5833" t="s">
        <v>27989</v>
      </c>
      <c r="G5833" t="s">
        <v>27990</v>
      </c>
      <c r="L5833" t="s">
        <v>83</v>
      </c>
      <c r="M5833" t="s">
        <v>85</v>
      </c>
      <c r="R5833" t="s">
        <v>27991</v>
      </c>
      <c r="W5833" t="s">
        <v>27992</v>
      </c>
      <c r="X5833" t="s">
        <v>187</v>
      </c>
      <c r="Y5833" t="s">
        <v>161</v>
      </c>
      <c r="Z5833" t="s">
        <v>77</v>
      </c>
      <c r="AA5833" t="str">
        <f>"11040-1402"</f>
        <v>11040-1402</v>
      </c>
      <c r="AB5833" t="s">
        <v>78</v>
      </c>
      <c r="AC5833" t="s">
        <v>79</v>
      </c>
      <c r="AD5833" t="s">
        <v>75</v>
      </c>
      <c r="AE5833" t="s">
        <v>80</v>
      </c>
      <c r="AG5833" t="s">
        <v>81</v>
      </c>
    </row>
    <row r="5834" spans="1:33" x14ac:dyDescent="0.25">
      <c r="A5834" t="str">
        <f>"1154559250"</f>
        <v>1154559250</v>
      </c>
      <c r="C5834" t="s">
        <v>13436</v>
      </c>
      <c r="G5834" t="s">
        <v>27993</v>
      </c>
      <c r="K5834" t="s">
        <v>99</v>
      </c>
      <c r="L5834" t="s">
        <v>102</v>
      </c>
      <c r="M5834" t="s">
        <v>75</v>
      </c>
      <c r="R5834" t="s">
        <v>27994</v>
      </c>
      <c r="S5834" t="s">
        <v>27995</v>
      </c>
      <c r="T5834" t="s">
        <v>97</v>
      </c>
      <c r="U5834" t="s">
        <v>77</v>
      </c>
      <c r="V5834" t="str">
        <f>"10029"</f>
        <v>10029</v>
      </c>
      <c r="AC5834" t="s">
        <v>79</v>
      </c>
      <c r="AD5834" t="s">
        <v>75</v>
      </c>
      <c r="AE5834" t="s">
        <v>103</v>
      </c>
      <c r="AG5834" t="s">
        <v>81</v>
      </c>
    </row>
    <row r="5835" spans="1:33" x14ac:dyDescent="0.25">
      <c r="A5835" t="str">
        <f>"1154562346"</f>
        <v>1154562346</v>
      </c>
      <c r="C5835" t="s">
        <v>13436</v>
      </c>
      <c r="K5835" t="s">
        <v>99</v>
      </c>
      <c r="L5835" t="s">
        <v>102</v>
      </c>
      <c r="M5835" t="s">
        <v>75</v>
      </c>
      <c r="R5835" t="s">
        <v>27996</v>
      </c>
      <c r="S5835" t="s">
        <v>27997</v>
      </c>
      <c r="T5835" t="s">
        <v>11262</v>
      </c>
      <c r="U5835" t="s">
        <v>77</v>
      </c>
      <c r="V5835" t="str">
        <f>"110401061"</f>
        <v>110401061</v>
      </c>
      <c r="AC5835" t="s">
        <v>79</v>
      </c>
      <c r="AD5835" t="s">
        <v>75</v>
      </c>
      <c r="AE5835" t="s">
        <v>103</v>
      </c>
      <c r="AG5835" t="s">
        <v>81</v>
      </c>
    </row>
    <row r="5836" spans="1:33" x14ac:dyDescent="0.25">
      <c r="A5836" t="str">
        <f>"1154563427"</f>
        <v>1154563427</v>
      </c>
      <c r="B5836" t="str">
        <f>"03718678"</f>
        <v>03718678</v>
      </c>
      <c r="C5836" t="s">
        <v>13436</v>
      </c>
      <c r="D5836" t="s">
        <v>27998</v>
      </c>
      <c r="E5836" t="s">
        <v>27999</v>
      </c>
      <c r="G5836" t="s">
        <v>28000</v>
      </c>
      <c r="L5836" t="s">
        <v>74</v>
      </c>
      <c r="M5836" t="s">
        <v>75</v>
      </c>
      <c r="R5836" t="s">
        <v>27999</v>
      </c>
      <c r="W5836" t="s">
        <v>27999</v>
      </c>
      <c r="X5836" t="s">
        <v>28001</v>
      </c>
      <c r="Y5836" t="s">
        <v>97</v>
      </c>
      <c r="Z5836" t="s">
        <v>77</v>
      </c>
      <c r="AA5836" t="str">
        <f>"10029-0000"</f>
        <v>10029-0000</v>
      </c>
      <c r="AB5836" t="s">
        <v>78</v>
      </c>
      <c r="AC5836" t="s">
        <v>79</v>
      </c>
      <c r="AD5836" t="s">
        <v>75</v>
      </c>
      <c r="AE5836" t="s">
        <v>80</v>
      </c>
      <c r="AG5836" t="s">
        <v>81</v>
      </c>
    </row>
    <row r="5837" spans="1:33" x14ac:dyDescent="0.25">
      <c r="A5837" t="str">
        <f>"1154567428"</f>
        <v>1154567428</v>
      </c>
      <c r="B5837" t="str">
        <f>"03454217"</f>
        <v>03454217</v>
      </c>
      <c r="C5837" t="s">
        <v>13436</v>
      </c>
      <c r="D5837" t="s">
        <v>28002</v>
      </c>
      <c r="E5837" t="s">
        <v>28003</v>
      </c>
      <c r="G5837" t="s">
        <v>28004</v>
      </c>
      <c r="L5837" t="s">
        <v>94</v>
      </c>
      <c r="M5837" t="s">
        <v>75</v>
      </c>
      <c r="R5837" t="s">
        <v>28003</v>
      </c>
      <c r="W5837" t="s">
        <v>28003</v>
      </c>
      <c r="X5837" t="s">
        <v>11195</v>
      </c>
      <c r="Y5837" t="s">
        <v>97</v>
      </c>
      <c r="Z5837" t="s">
        <v>77</v>
      </c>
      <c r="AA5837" t="str">
        <f>"10029-6030"</f>
        <v>10029-6030</v>
      </c>
      <c r="AB5837" t="s">
        <v>78</v>
      </c>
      <c r="AC5837" t="s">
        <v>79</v>
      </c>
      <c r="AD5837" t="s">
        <v>75</v>
      </c>
      <c r="AE5837" t="s">
        <v>80</v>
      </c>
      <c r="AG5837" t="s">
        <v>81</v>
      </c>
    </row>
    <row r="5838" spans="1:33" x14ac:dyDescent="0.25">
      <c r="A5838" t="str">
        <f>"1154600427"</f>
        <v>1154600427</v>
      </c>
      <c r="C5838" t="s">
        <v>13436</v>
      </c>
      <c r="K5838" t="s">
        <v>99</v>
      </c>
      <c r="L5838" t="s">
        <v>102</v>
      </c>
      <c r="M5838" t="s">
        <v>75</v>
      </c>
      <c r="R5838" t="s">
        <v>28005</v>
      </c>
      <c r="S5838" t="s">
        <v>28006</v>
      </c>
      <c r="T5838" t="s">
        <v>5537</v>
      </c>
      <c r="U5838" t="s">
        <v>156</v>
      </c>
      <c r="V5838" t="str">
        <f>"079606136"</f>
        <v>079606136</v>
      </c>
      <c r="AC5838" t="s">
        <v>79</v>
      </c>
      <c r="AD5838" t="s">
        <v>75</v>
      </c>
      <c r="AE5838" t="s">
        <v>103</v>
      </c>
      <c r="AG5838" t="s">
        <v>81</v>
      </c>
    </row>
    <row r="5839" spans="1:33" x14ac:dyDescent="0.25">
      <c r="A5839" t="str">
        <f>"1154605848"</f>
        <v>1154605848</v>
      </c>
      <c r="C5839" t="s">
        <v>13436</v>
      </c>
      <c r="G5839" t="s">
        <v>28007</v>
      </c>
      <c r="K5839" t="s">
        <v>99</v>
      </c>
      <c r="L5839" t="s">
        <v>102</v>
      </c>
      <c r="M5839" t="s">
        <v>75</v>
      </c>
      <c r="R5839" t="s">
        <v>28008</v>
      </c>
      <c r="S5839" t="s">
        <v>28009</v>
      </c>
      <c r="T5839" t="s">
        <v>97</v>
      </c>
      <c r="U5839" t="s">
        <v>77</v>
      </c>
      <c r="V5839" t="str">
        <f>"100296503"</f>
        <v>100296503</v>
      </c>
      <c r="AC5839" t="s">
        <v>79</v>
      </c>
      <c r="AD5839" t="s">
        <v>75</v>
      </c>
      <c r="AE5839" t="s">
        <v>103</v>
      </c>
      <c r="AG5839" t="s">
        <v>81</v>
      </c>
    </row>
    <row r="5840" spans="1:33" x14ac:dyDescent="0.25">
      <c r="A5840" t="str">
        <f>"1154610913"</f>
        <v>1154610913</v>
      </c>
      <c r="C5840" t="s">
        <v>13436</v>
      </c>
      <c r="K5840" t="s">
        <v>99</v>
      </c>
      <c r="L5840" t="s">
        <v>102</v>
      </c>
      <c r="M5840" t="s">
        <v>75</v>
      </c>
      <c r="R5840" t="s">
        <v>28010</v>
      </c>
      <c r="S5840" t="s">
        <v>17573</v>
      </c>
      <c r="T5840" t="s">
        <v>97</v>
      </c>
      <c r="U5840" t="s">
        <v>77</v>
      </c>
      <c r="V5840" t="str">
        <f>"100296500"</f>
        <v>100296500</v>
      </c>
      <c r="AC5840" t="s">
        <v>79</v>
      </c>
      <c r="AD5840" t="s">
        <v>75</v>
      </c>
      <c r="AE5840" t="s">
        <v>103</v>
      </c>
      <c r="AG5840" t="s">
        <v>81</v>
      </c>
    </row>
    <row r="5841" spans="1:33" x14ac:dyDescent="0.25">
      <c r="A5841" t="str">
        <f>"1154619500"</f>
        <v>1154619500</v>
      </c>
      <c r="C5841" t="s">
        <v>13436</v>
      </c>
      <c r="G5841" t="s">
        <v>28011</v>
      </c>
      <c r="K5841" t="s">
        <v>99</v>
      </c>
      <c r="L5841" t="s">
        <v>74</v>
      </c>
      <c r="M5841" t="s">
        <v>75</v>
      </c>
      <c r="R5841" t="s">
        <v>28012</v>
      </c>
      <c r="S5841" t="s">
        <v>28013</v>
      </c>
      <c r="T5841" t="s">
        <v>97</v>
      </c>
      <c r="U5841" t="s">
        <v>77</v>
      </c>
      <c r="V5841" t="str">
        <f>"10029"</f>
        <v>10029</v>
      </c>
      <c r="AC5841" t="s">
        <v>79</v>
      </c>
      <c r="AD5841" t="s">
        <v>75</v>
      </c>
      <c r="AE5841" t="s">
        <v>103</v>
      </c>
      <c r="AG5841" t="s">
        <v>81</v>
      </c>
    </row>
    <row r="5842" spans="1:33" x14ac:dyDescent="0.25">
      <c r="A5842" t="str">
        <f>"1154619542"</f>
        <v>1154619542</v>
      </c>
      <c r="B5842" t="str">
        <f>"03711511"</f>
        <v>03711511</v>
      </c>
      <c r="C5842" t="s">
        <v>13436</v>
      </c>
      <c r="D5842" t="s">
        <v>28014</v>
      </c>
      <c r="E5842" t="s">
        <v>28015</v>
      </c>
      <c r="G5842" t="s">
        <v>28016</v>
      </c>
      <c r="L5842" t="s">
        <v>74</v>
      </c>
      <c r="M5842" t="s">
        <v>75</v>
      </c>
      <c r="R5842" t="s">
        <v>28017</v>
      </c>
      <c r="W5842" t="s">
        <v>28015</v>
      </c>
      <c r="X5842" t="s">
        <v>329</v>
      </c>
      <c r="Y5842" t="s">
        <v>97</v>
      </c>
      <c r="Z5842" t="s">
        <v>77</v>
      </c>
      <c r="AA5842" t="str">
        <f>"10029-6504"</f>
        <v>10029-6504</v>
      </c>
      <c r="AB5842" t="s">
        <v>78</v>
      </c>
      <c r="AC5842" t="s">
        <v>79</v>
      </c>
      <c r="AD5842" t="s">
        <v>75</v>
      </c>
      <c r="AE5842" t="s">
        <v>80</v>
      </c>
      <c r="AG5842" t="s">
        <v>81</v>
      </c>
    </row>
    <row r="5843" spans="1:33" x14ac:dyDescent="0.25">
      <c r="A5843" t="str">
        <f>"1154621738"</f>
        <v>1154621738</v>
      </c>
      <c r="B5843" t="str">
        <f>"03567017"</f>
        <v>03567017</v>
      </c>
      <c r="C5843" t="s">
        <v>13436</v>
      </c>
      <c r="D5843" t="s">
        <v>28018</v>
      </c>
      <c r="E5843" t="s">
        <v>28019</v>
      </c>
      <c r="G5843" t="s">
        <v>28020</v>
      </c>
      <c r="L5843" t="s">
        <v>102</v>
      </c>
      <c r="M5843" t="s">
        <v>75</v>
      </c>
      <c r="R5843" t="s">
        <v>28021</v>
      </c>
      <c r="W5843" t="s">
        <v>28022</v>
      </c>
      <c r="X5843" t="s">
        <v>1076</v>
      </c>
      <c r="Y5843" t="s">
        <v>97</v>
      </c>
      <c r="Z5843" t="s">
        <v>77</v>
      </c>
      <c r="AA5843" t="str">
        <f>"10025-1737"</f>
        <v>10025-1737</v>
      </c>
      <c r="AB5843" t="s">
        <v>125</v>
      </c>
      <c r="AC5843" t="s">
        <v>79</v>
      </c>
      <c r="AD5843" t="s">
        <v>75</v>
      </c>
      <c r="AE5843" t="s">
        <v>80</v>
      </c>
      <c r="AG5843" t="s">
        <v>81</v>
      </c>
    </row>
    <row r="5844" spans="1:33" x14ac:dyDescent="0.25">
      <c r="A5844" t="str">
        <f>"1154626596"</f>
        <v>1154626596</v>
      </c>
      <c r="B5844" t="str">
        <f>"03351737"</f>
        <v>03351737</v>
      </c>
      <c r="C5844" t="s">
        <v>13436</v>
      </c>
      <c r="D5844" t="s">
        <v>28023</v>
      </c>
      <c r="E5844" t="s">
        <v>28024</v>
      </c>
      <c r="G5844" t="s">
        <v>28025</v>
      </c>
      <c r="L5844" t="s">
        <v>74</v>
      </c>
      <c r="M5844" t="s">
        <v>85</v>
      </c>
      <c r="R5844" t="s">
        <v>28026</v>
      </c>
      <c r="W5844" t="s">
        <v>28024</v>
      </c>
      <c r="X5844" t="s">
        <v>1483</v>
      </c>
      <c r="Y5844" t="s">
        <v>281</v>
      </c>
      <c r="Z5844" t="s">
        <v>77</v>
      </c>
      <c r="AA5844" t="str">
        <f>"11365-1803"</f>
        <v>11365-1803</v>
      </c>
      <c r="AB5844" t="s">
        <v>78</v>
      </c>
      <c r="AC5844" t="s">
        <v>79</v>
      </c>
      <c r="AD5844" t="s">
        <v>75</v>
      </c>
      <c r="AE5844" t="s">
        <v>80</v>
      </c>
      <c r="AG5844" t="s">
        <v>81</v>
      </c>
    </row>
    <row r="5845" spans="1:33" x14ac:dyDescent="0.25">
      <c r="A5845" t="str">
        <f>"1962493585"</f>
        <v>1962493585</v>
      </c>
      <c r="B5845" t="str">
        <f>"02928834"</f>
        <v>02928834</v>
      </c>
      <c r="C5845" t="s">
        <v>13436</v>
      </c>
      <c r="D5845" t="s">
        <v>28027</v>
      </c>
      <c r="E5845" t="s">
        <v>28028</v>
      </c>
      <c r="G5845" t="s">
        <v>28029</v>
      </c>
      <c r="L5845" t="s">
        <v>83</v>
      </c>
      <c r="M5845" t="s">
        <v>85</v>
      </c>
      <c r="R5845" t="s">
        <v>28030</v>
      </c>
      <c r="W5845" t="s">
        <v>28031</v>
      </c>
      <c r="X5845" t="s">
        <v>843</v>
      </c>
      <c r="Y5845" t="s">
        <v>97</v>
      </c>
      <c r="Z5845" t="s">
        <v>77</v>
      </c>
      <c r="AA5845" t="str">
        <f>"10016-6402"</f>
        <v>10016-6402</v>
      </c>
      <c r="AB5845" t="s">
        <v>78</v>
      </c>
      <c r="AC5845" t="s">
        <v>79</v>
      </c>
      <c r="AD5845" t="s">
        <v>75</v>
      </c>
      <c r="AE5845" t="s">
        <v>80</v>
      </c>
      <c r="AG5845" t="s">
        <v>81</v>
      </c>
    </row>
    <row r="5846" spans="1:33" x14ac:dyDescent="0.25">
      <c r="A5846" t="str">
        <f>"1124094917"</f>
        <v>1124094917</v>
      </c>
      <c r="B5846" t="str">
        <f>"02168596"</f>
        <v>02168596</v>
      </c>
      <c r="C5846" t="s">
        <v>13436</v>
      </c>
      <c r="D5846" t="s">
        <v>28032</v>
      </c>
      <c r="E5846" t="s">
        <v>28033</v>
      </c>
      <c r="G5846" t="s">
        <v>28034</v>
      </c>
      <c r="L5846" t="s">
        <v>74</v>
      </c>
      <c r="M5846" t="s">
        <v>85</v>
      </c>
      <c r="R5846" t="s">
        <v>28035</v>
      </c>
      <c r="W5846" t="s">
        <v>28033</v>
      </c>
      <c r="X5846" t="s">
        <v>272</v>
      </c>
      <c r="Y5846" t="s">
        <v>97</v>
      </c>
      <c r="Z5846" t="s">
        <v>77</v>
      </c>
      <c r="AA5846" t="str">
        <f>"10029-6501"</f>
        <v>10029-6501</v>
      </c>
      <c r="AB5846" t="s">
        <v>78</v>
      </c>
      <c r="AC5846" t="s">
        <v>79</v>
      </c>
      <c r="AD5846" t="s">
        <v>75</v>
      </c>
      <c r="AE5846" t="s">
        <v>80</v>
      </c>
      <c r="AG5846" t="s">
        <v>81</v>
      </c>
    </row>
    <row r="5847" spans="1:33" x14ac:dyDescent="0.25">
      <c r="A5847" t="str">
        <f>"1124105002"</f>
        <v>1124105002</v>
      </c>
      <c r="B5847" t="str">
        <f>"02104552"</f>
        <v>02104552</v>
      </c>
      <c r="C5847" t="s">
        <v>13436</v>
      </c>
      <c r="D5847" t="s">
        <v>28036</v>
      </c>
      <c r="E5847" t="s">
        <v>28037</v>
      </c>
      <c r="G5847" t="s">
        <v>28038</v>
      </c>
      <c r="L5847" t="s">
        <v>83</v>
      </c>
      <c r="M5847" t="s">
        <v>85</v>
      </c>
      <c r="R5847" t="s">
        <v>28039</v>
      </c>
      <c r="W5847" t="s">
        <v>28037</v>
      </c>
      <c r="X5847" t="s">
        <v>332</v>
      </c>
      <c r="Y5847" t="s">
        <v>97</v>
      </c>
      <c r="Z5847" t="s">
        <v>77</v>
      </c>
      <c r="AA5847" t="str">
        <f>"10075-1851"</f>
        <v>10075-1851</v>
      </c>
      <c r="AB5847" t="s">
        <v>78</v>
      </c>
      <c r="AC5847" t="s">
        <v>79</v>
      </c>
      <c r="AD5847" t="s">
        <v>75</v>
      </c>
      <c r="AE5847" t="s">
        <v>80</v>
      </c>
      <c r="AG5847" t="s">
        <v>81</v>
      </c>
    </row>
    <row r="5848" spans="1:33" x14ac:dyDescent="0.25">
      <c r="A5848" t="str">
        <f>"1124105390"</f>
        <v>1124105390</v>
      </c>
      <c r="B5848" t="str">
        <f>"03091729"</f>
        <v>03091729</v>
      </c>
      <c r="C5848" t="s">
        <v>13436</v>
      </c>
      <c r="D5848" t="s">
        <v>28040</v>
      </c>
      <c r="E5848" t="s">
        <v>28041</v>
      </c>
      <c r="L5848" t="s">
        <v>83</v>
      </c>
      <c r="M5848" t="s">
        <v>75</v>
      </c>
      <c r="R5848" t="s">
        <v>28042</v>
      </c>
      <c r="W5848" t="s">
        <v>28043</v>
      </c>
      <c r="X5848" t="s">
        <v>235</v>
      </c>
      <c r="Y5848" t="s">
        <v>190</v>
      </c>
      <c r="Z5848" t="s">
        <v>77</v>
      </c>
      <c r="AA5848" t="str">
        <f>"11102-2448"</f>
        <v>11102-2448</v>
      </c>
      <c r="AB5848" t="s">
        <v>78</v>
      </c>
      <c r="AC5848" t="s">
        <v>79</v>
      </c>
      <c r="AD5848" t="s">
        <v>75</v>
      </c>
      <c r="AE5848" t="s">
        <v>80</v>
      </c>
      <c r="AG5848" t="s">
        <v>81</v>
      </c>
    </row>
    <row r="5849" spans="1:33" x14ac:dyDescent="0.25">
      <c r="A5849" t="str">
        <f>"1124175765"</f>
        <v>1124175765</v>
      </c>
      <c r="B5849" t="str">
        <f>"03277185"</f>
        <v>03277185</v>
      </c>
      <c r="C5849" t="s">
        <v>13436</v>
      </c>
      <c r="D5849" t="s">
        <v>28044</v>
      </c>
      <c r="E5849" t="s">
        <v>28045</v>
      </c>
      <c r="L5849" t="s">
        <v>83</v>
      </c>
      <c r="M5849" t="s">
        <v>75</v>
      </c>
      <c r="R5849" t="s">
        <v>28046</v>
      </c>
      <c r="W5849" t="s">
        <v>28045</v>
      </c>
      <c r="X5849" t="s">
        <v>173</v>
      </c>
      <c r="Y5849" t="s">
        <v>87</v>
      </c>
      <c r="Z5849" t="s">
        <v>77</v>
      </c>
      <c r="AA5849" t="str">
        <f>"11219-2916"</f>
        <v>11219-2916</v>
      </c>
      <c r="AB5849" t="s">
        <v>78</v>
      </c>
      <c r="AC5849" t="s">
        <v>79</v>
      </c>
      <c r="AD5849" t="s">
        <v>75</v>
      </c>
      <c r="AE5849" t="s">
        <v>80</v>
      </c>
      <c r="AG5849" t="s">
        <v>81</v>
      </c>
    </row>
    <row r="5850" spans="1:33" x14ac:dyDescent="0.25">
      <c r="A5850" t="str">
        <f>"1124183348"</f>
        <v>1124183348</v>
      </c>
      <c r="B5850" t="str">
        <f>"03470615"</f>
        <v>03470615</v>
      </c>
      <c r="C5850" t="s">
        <v>13436</v>
      </c>
      <c r="D5850" t="s">
        <v>28047</v>
      </c>
      <c r="E5850" t="s">
        <v>28048</v>
      </c>
      <c r="G5850" t="s">
        <v>28049</v>
      </c>
      <c r="L5850" t="s">
        <v>74</v>
      </c>
      <c r="M5850" t="s">
        <v>85</v>
      </c>
      <c r="R5850" t="s">
        <v>28048</v>
      </c>
      <c r="W5850" t="s">
        <v>28048</v>
      </c>
      <c r="X5850" t="s">
        <v>329</v>
      </c>
      <c r="Y5850" t="s">
        <v>97</v>
      </c>
      <c r="Z5850" t="s">
        <v>77</v>
      </c>
      <c r="AA5850" t="str">
        <f>"10029-6500"</f>
        <v>10029-6500</v>
      </c>
      <c r="AB5850" t="s">
        <v>78</v>
      </c>
      <c r="AC5850" t="s">
        <v>79</v>
      </c>
      <c r="AD5850" t="s">
        <v>75</v>
      </c>
      <c r="AE5850" t="s">
        <v>80</v>
      </c>
      <c r="AG5850" t="s">
        <v>81</v>
      </c>
    </row>
    <row r="5851" spans="1:33" x14ac:dyDescent="0.25">
      <c r="A5851" t="str">
        <f>"1053687491"</f>
        <v>1053687491</v>
      </c>
      <c r="B5851" t="str">
        <f>"04281169"</f>
        <v>04281169</v>
      </c>
      <c r="C5851" t="s">
        <v>13436</v>
      </c>
      <c r="D5851" t="s">
        <v>1721</v>
      </c>
      <c r="E5851" t="s">
        <v>1722</v>
      </c>
      <c r="L5851" t="s">
        <v>83</v>
      </c>
      <c r="M5851" t="s">
        <v>75</v>
      </c>
      <c r="R5851" t="s">
        <v>1720</v>
      </c>
      <c r="W5851" t="s">
        <v>1722</v>
      </c>
      <c r="X5851" t="s">
        <v>672</v>
      </c>
      <c r="Y5851" t="s">
        <v>97</v>
      </c>
      <c r="Z5851" t="s">
        <v>77</v>
      </c>
      <c r="AA5851" t="str">
        <f>"10013-4557"</f>
        <v>10013-4557</v>
      </c>
      <c r="AB5851" t="s">
        <v>78</v>
      </c>
      <c r="AC5851" t="s">
        <v>79</v>
      </c>
      <c r="AD5851" t="s">
        <v>75</v>
      </c>
      <c r="AE5851" t="s">
        <v>80</v>
      </c>
      <c r="AG5851" t="s">
        <v>81</v>
      </c>
    </row>
    <row r="5852" spans="1:33" x14ac:dyDescent="0.25">
      <c r="A5852" t="str">
        <f>"1053691832"</f>
        <v>1053691832</v>
      </c>
      <c r="C5852" t="s">
        <v>13436</v>
      </c>
      <c r="K5852" t="s">
        <v>99</v>
      </c>
      <c r="L5852" t="s">
        <v>102</v>
      </c>
      <c r="M5852" t="s">
        <v>75</v>
      </c>
      <c r="R5852" t="s">
        <v>28050</v>
      </c>
      <c r="S5852" t="s">
        <v>4485</v>
      </c>
      <c r="T5852" t="s">
        <v>124</v>
      </c>
      <c r="U5852" t="s">
        <v>77</v>
      </c>
      <c r="V5852" t="str">
        <f>"146264122"</f>
        <v>146264122</v>
      </c>
      <c r="AC5852" t="s">
        <v>79</v>
      </c>
      <c r="AD5852" t="s">
        <v>75</v>
      </c>
      <c r="AE5852" t="s">
        <v>103</v>
      </c>
      <c r="AG5852" t="s">
        <v>81</v>
      </c>
    </row>
    <row r="5853" spans="1:33" x14ac:dyDescent="0.25">
      <c r="A5853" t="str">
        <f>"1710064001"</f>
        <v>1710064001</v>
      </c>
      <c r="B5853" t="str">
        <f>"01990050"</f>
        <v>01990050</v>
      </c>
      <c r="C5853" t="s">
        <v>13436</v>
      </c>
      <c r="D5853" t="s">
        <v>28051</v>
      </c>
      <c r="E5853" t="s">
        <v>28052</v>
      </c>
      <c r="G5853" t="s">
        <v>28053</v>
      </c>
      <c r="L5853" t="s">
        <v>84</v>
      </c>
      <c r="M5853" t="s">
        <v>85</v>
      </c>
      <c r="R5853" t="s">
        <v>28054</v>
      </c>
      <c r="W5853" t="s">
        <v>28052</v>
      </c>
      <c r="X5853" t="s">
        <v>5473</v>
      </c>
      <c r="Y5853" t="s">
        <v>131</v>
      </c>
      <c r="Z5853" t="s">
        <v>77</v>
      </c>
      <c r="AA5853" t="str">
        <f>"10461-1138"</f>
        <v>10461-1138</v>
      </c>
      <c r="AB5853" t="s">
        <v>78</v>
      </c>
      <c r="AC5853" t="s">
        <v>79</v>
      </c>
      <c r="AD5853" t="s">
        <v>75</v>
      </c>
      <c r="AE5853" t="s">
        <v>80</v>
      </c>
      <c r="AG5853" t="s">
        <v>81</v>
      </c>
    </row>
    <row r="5854" spans="1:33" x14ac:dyDescent="0.25">
      <c r="A5854" t="str">
        <f>"1710077409"</f>
        <v>1710077409</v>
      </c>
      <c r="B5854" t="str">
        <f>"01500903"</f>
        <v>01500903</v>
      </c>
      <c r="C5854" t="s">
        <v>13436</v>
      </c>
      <c r="D5854" t="s">
        <v>28055</v>
      </c>
      <c r="E5854" t="s">
        <v>28056</v>
      </c>
      <c r="G5854" t="s">
        <v>28057</v>
      </c>
      <c r="L5854" t="s">
        <v>84</v>
      </c>
      <c r="M5854" t="s">
        <v>85</v>
      </c>
      <c r="R5854" t="s">
        <v>28058</v>
      </c>
      <c r="W5854" t="s">
        <v>28059</v>
      </c>
      <c r="X5854" t="s">
        <v>16428</v>
      </c>
      <c r="Y5854" t="s">
        <v>97</v>
      </c>
      <c r="Z5854" t="s">
        <v>77</v>
      </c>
      <c r="AA5854" t="str">
        <f>"10010-7455"</f>
        <v>10010-7455</v>
      </c>
      <c r="AB5854" t="s">
        <v>78</v>
      </c>
      <c r="AC5854" t="s">
        <v>79</v>
      </c>
      <c r="AD5854" t="s">
        <v>75</v>
      </c>
      <c r="AE5854" t="s">
        <v>80</v>
      </c>
      <c r="AG5854" t="s">
        <v>81</v>
      </c>
    </row>
    <row r="5855" spans="1:33" x14ac:dyDescent="0.25">
      <c r="A5855" t="str">
        <f>"1710909726"</f>
        <v>1710909726</v>
      </c>
      <c r="B5855" t="str">
        <f>"01530047"</f>
        <v>01530047</v>
      </c>
      <c r="C5855" t="s">
        <v>13436</v>
      </c>
      <c r="D5855" t="s">
        <v>28060</v>
      </c>
      <c r="E5855" t="s">
        <v>28061</v>
      </c>
      <c r="G5855" t="s">
        <v>28062</v>
      </c>
      <c r="L5855" t="s">
        <v>74</v>
      </c>
      <c r="M5855" t="s">
        <v>85</v>
      </c>
      <c r="R5855" t="s">
        <v>28063</v>
      </c>
      <c r="W5855" t="s">
        <v>28061</v>
      </c>
      <c r="X5855" t="s">
        <v>28064</v>
      </c>
      <c r="Y5855" t="s">
        <v>129</v>
      </c>
      <c r="Z5855" t="s">
        <v>77</v>
      </c>
      <c r="AA5855" t="str">
        <f>"11372-2111"</f>
        <v>11372-2111</v>
      </c>
      <c r="AB5855" t="s">
        <v>78</v>
      </c>
      <c r="AC5855" t="s">
        <v>79</v>
      </c>
      <c r="AD5855" t="s">
        <v>75</v>
      </c>
      <c r="AE5855" t="s">
        <v>80</v>
      </c>
      <c r="AG5855" t="s">
        <v>81</v>
      </c>
    </row>
    <row r="5856" spans="1:33" x14ac:dyDescent="0.25">
      <c r="A5856" t="str">
        <f>"1710978812"</f>
        <v>1710978812</v>
      </c>
      <c r="B5856" t="str">
        <f>"00949748"</f>
        <v>00949748</v>
      </c>
      <c r="C5856" t="s">
        <v>13436</v>
      </c>
      <c r="D5856" t="s">
        <v>28065</v>
      </c>
      <c r="E5856" t="s">
        <v>28066</v>
      </c>
      <c r="G5856" t="s">
        <v>28067</v>
      </c>
      <c r="L5856" t="s">
        <v>83</v>
      </c>
      <c r="M5856" t="s">
        <v>85</v>
      </c>
      <c r="R5856" t="s">
        <v>28068</v>
      </c>
      <c r="W5856" t="s">
        <v>28066</v>
      </c>
      <c r="X5856" t="s">
        <v>28069</v>
      </c>
      <c r="Y5856" t="s">
        <v>97</v>
      </c>
      <c r="Z5856" t="s">
        <v>77</v>
      </c>
      <c r="AA5856" t="str">
        <f>"10019-1701"</f>
        <v>10019-1701</v>
      </c>
      <c r="AB5856" t="s">
        <v>78</v>
      </c>
      <c r="AC5856" t="s">
        <v>79</v>
      </c>
      <c r="AD5856" t="s">
        <v>75</v>
      </c>
      <c r="AE5856" t="s">
        <v>80</v>
      </c>
      <c r="AG5856" t="s">
        <v>81</v>
      </c>
    </row>
    <row r="5857" spans="1:33" x14ac:dyDescent="0.25">
      <c r="A5857" t="str">
        <f>"1730117797"</f>
        <v>1730117797</v>
      </c>
      <c r="B5857" t="str">
        <f>"01725855"</f>
        <v>01725855</v>
      </c>
      <c r="C5857" t="s">
        <v>13436</v>
      </c>
      <c r="D5857" t="s">
        <v>4149</v>
      </c>
      <c r="E5857" t="s">
        <v>4150</v>
      </c>
      <c r="G5857" t="s">
        <v>28070</v>
      </c>
      <c r="L5857" t="s">
        <v>83</v>
      </c>
      <c r="M5857" t="s">
        <v>85</v>
      </c>
      <c r="R5857" t="s">
        <v>4151</v>
      </c>
      <c r="W5857" t="s">
        <v>4150</v>
      </c>
      <c r="X5857" t="s">
        <v>258</v>
      </c>
      <c r="Y5857" t="s">
        <v>131</v>
      </c>
      <c r="Z5857" t="s">
        <v>77</v>
      </c>
      <c r="AA5857" t="str">
        <f>"10467-2401"</f>
        <v>10467-2401</v>
      </c>
      <c r="AB5857" t="s">
        <v>78</v>
      </c>
      <c r="AC5857" t="s">
        <v>79</v>
      </c>
      <c r="AD5857" t="s">
        <v>75</v>
      </c>
      <c r="AE5857" t="s">
        <v>80</v>
      </c>
      <c r="AG5857" t="s">
        <v>81</v>
      </c>
    </row>
    <row r="5858" spans="1:33" x14ac:dyDescent="0.25">
      <c r="A5858" t="str">
        <f>"1750322525"</f>
        <v>1750322525</v>
      </c>
      <c r="B5858" t="str">
        <f>"01497790"</f>
        <v>01497790</v>
      </c>
      <c r="C5858" t="s">
        <v>13436</v>
      </c>
      <c r="D5858" t="s">
        <v>28071</v>
      </c>
      <c r="E5858" t="s">
        <v>28072</v>
      </c>
      <c r="G5858" t="s">
        <v>28073</v>
      </c>
      <c r="L5858" t="s">
        <v>74</v>
      </c>
      <c r="M5858" t="s">
        <v>85</v>
      </c>
      <c r="R5858" t="s">
        <v>28074</v>
      </c>
      <c r="W5858" t="s">
        <v>28072</v>
      </c>
      <c r="X5858" t="s">
        <v>843</v>
      </c>
      <c r="Y5858" t="s">
        <v>97</v>
      </c>
      <c r="Z5858" t="s">
        <v>77</v>
      </c>
      <c r="AA5858" t="str">
        <f>"10016-6402"</f>
        <v>10016-6402</v>
      </c>
      <c r="AB5858" t="s">
        <v>78</v>
      </c>
      <c r="AC5858" t="s">
        <v>79</v>
      </c>
      <c r="AD5858" t="s">
        <v>75</v>
      </c>
      <c r="AE5858" t="s">
        <v>80</v>
      </c>
      <c r="AG5858" t="s">
        <v>81</v>
      </c>
    </row>
    <row r="5859" spans="1:33" x14ac:dyDescent="0.25">
      <c r="A5859" t="str">
        <f>"1750343034"</f>
        <v>1750343034</v>
      </c>
      <c r="B5859" t="str">
        <f>"01582503"</f>
        <v>01582503</v>
      </c>
      <c r="C5859" t="s">
        <v>13436</v>
      </c>
      <c r="D5859" t="s">
        <v>28075</v>
      </c>
      <c r="E5859" t="s">
        <v>28076</v>
      </c>
      <c r="G5859" t="s">
        <v>28077</v>
      </c>
      <c r="L5859" t="s">
        <v>74</v>
      </c>
      <c r="M5859" t="s">
        <v>85</v>
      </c>
      <c r="R5859" t="s">
        <v>28078</v>
      </c>
      <c r="W5859" t="s">
        <v>28076</v>
      </c>
      <c r="X5859" t="s">
        <v>28079</v>
      </c>
      <c r="Y5859" t="s">
        <v>87</v>
      </c>
      <c r="Z5859" t="s">
        <v>77</v>
      </c>
      <c r="AA5859" t="str">
        <f>"11234-2647"</f>
        <v>11234-2647</v>
      </c>
      <c r="AB5859" t="s">
        <v>78</v>
      </c>
      <c r="AC5859" t="s">
        <v>79</v>
      </c>
      <c r="AD5859" t="s">
        <v>75</v>
      </c>
      <c r="AE5859" t="s">
        <v>80</v>
      </c>
      <c r="AG5859" t="s">
        <v>81</v>
      </c>
    </row>
    <row r="5860" spans="1:33" x14ac:dyDescent="0.25">
      <c r="A5860" t="str">
        <f>"1750358339"</f>
        <v>1750358339</v>
      </c>
      <c r="B5860" t="str">
        <f>"00122596"</f>
        <v>00122596</v>
      </c>
      <c r="C5860" t="s">
        <v>13436</v>
      </c>
      <c r="D5860" t="s">
        <v>28080</v>
      </c>
      <c r="E5860" t="s">
        <v>28081</v>
      </c>
      <c r="G5860" t="s">
        <v>28082</v>
      </c>
      <c r="L5860" t="s">
        <v>83</v>
      </c>
      <c r="M5860" t="s">
        <v>85</v>
      </c>
      <c r="R5860" t="s">
        <v>28083</v>
      </c>
      <c r="W5860" t="s">
        <v>28081</v>
      </c>
      <c r="X5860" t="s">
        <v>28084</v>
      </c>
      <c r="Y5860" t="s">
        <v>97</v>
      </c>
      <c r="Z5860" t="s">
        <v>77</v>
      </c>
      <c r="AA5860" t="str">
        <f>"10028-0305"</f>
        <v>10028-0305</v>
      </c>
      <c r="AB5860" t="s">
        <v>78</v>
      </c>
      <c r="AC5860" t="s">
        <v>79</v>
      </c>
      <c r="AD5860" t="s">
        <v>75</v>
      </c>
      <c r="AE5860" t="s">
        <v>80</v>
      </c>
      <c r="AG5860" t="s">
        <v>81</v>
      </c>
    </row>
    <row r="5861" spans="1:33" x14ac:dyDescent="0.25">
      <c r="A5861" t="str">
        <f>"1750496857"</f>
        <v>1750496857</v>
      </c>
      <c r="B5861" t="str">
        <f>"01839954"</f>
        <v>01839954</v>
      </c>
      <c r="C5861" t="s">
        <v>13436</v>
      </c>
      <c r="D5861" t="s">
        <v>28085</v>
      </c>
      <c r="E5861" t="s">
        <v>28086</v>
      </c>
      <c r="G5861" t="s">
        <v>28087</v>
      </c>
      <c r="L5861" t="s">
        <v>105</v>
      </c>
      <c r="M5861" t="s">
        <v>85</v>
      </c>
      <c r="R5861" t="s">
        <v>28088</v>
      </c>
      <c r="W5861" t="s">
        <v>28086</v>
      </c>
      <c r="X5861" t="s">
        <v>14871</v>
      </c>
      <c r="Y5861" t="s">
        <v>97</v>
      </c>
      <c r="Z5861" t="s">
        <v>77</v>
      </c>
      <c r="AA5861" t="str">
        <f>"10003"</f>
        <v>10003</v>
      </c>
      <c r="AB5861" t="s">
        <v>78</v>
      </c>
      <c r="AC5861" t="s">
        <v>79</v>
      </c>
      <c r="AD5861" t="s">
        <v>75</v>
      </c>
      <c r="AE5861" t="s">
        <v>80</v>
      </c>
      <c r="AG5861" t="s">
        <v>81</v>
      </c>
    </row>
    <row r="5862" spans="1:33" x14ac:dyDescent="0.25">
      <c r="A5862" t="str">
        <f>"1417047200"</f>
        <v>1417047200</v>
      </c>
      <c r="B5862" t="str">
        <f>"01524809"</f>
        <v>01524809</v>
      </c>
      <c r="C5862" t="s">
        <v>13436</v>
      </c>
      <c r="D5862" t="s">
        <v>28089</v>
      </c>
      <c r="E5862" t="s">
        <v>28090</v>
      </c>
      <c r="G5862" t="s">
        <v>28091</v>
      </c>
      <c r="L5862" t="s">
        <v>84</v>
      </c>
      <c r="M5862" t="s">
        <v>85</v>
      </c>
      <c r="R5862" t="s">
        <v>28092</v>
      </c>
      <c r="W5862" t="s">
        <v>28090</v>
      </c>
      <c r="X5862" t="s">
        <v>671</v>
      </c>
      <c r="Y5862" t="s">
        <v>97</v>
      </c>
      <c r="Z5862" t="s">
        <v>77</v>
      </c>
      <c r="AA5862" t="str">
        <f>"10010-7455"</f>
        <v>10010-7455</v>
      </c>
      <c r="AB5862" t="s">
        <v>78</v>
      </c>
      <c r="AC5862" t="s">
        <v>79</v>
      </c>
      <c r="AD5862" t="s">
        <v>75</v>
      </c>
      <c r="AE5862" t="s">
        <v>80</v>
      </c>
      <c r="AG5862" t="s">
        <v>81</v>
      </c>
    </row>
    <row r="5863" spans="1:33" x14ac:dyDescent="0.25">
      <c r="A5863" t="str">
        <f>"1720163108"</f>
        <v>1720163108</v>
      </c>
      <c r="B5863" t="str">
        <f>"02797428"</f>
        <v>02797428</v>
      </c>
      <c r="C5863" t="s">
        <v>13436</v>
      </c>
      <c r="D5863" t="s">
        <v>28093</v>
      </c>
      <c r="E5863" t="s">
        <v>28094</v>
      </c>
      <c r="G5863" t="s">
        <v>28095</v>
      </c>
      <c r="L5863" t="s">
        <v>84</v>
      </c>
      <c r="M5863" t="s">
        <v>85</v>
      </c>
      <c r="R5863" t="s">
        <v>28096</v>
      </c>
      <c r="W5863" t="s">
        <v>28094</v>
      </c>
      <c r="X5863" t="s">
        <v>2832</v>
      </c>
      <c r="Y5863" t="s">
        <v>171</v>
      </c>
      <c r="Z5863" t="s">
        <v>77</v>
      </c>
      <c r="AA5863" t="str">
        <f>"11435-4721"</f>
        <v>11435-4721</v>
      </c>
      <c r="AB5863" t="s">
        <v>78</v>
      </c>
      <c r="AC5863" t="s">
        <v>79</v>
      </c>
      <c r="AD5863" t="s">
        <v>75</v>
      </c>
      <c r="AE5863" t="s">
        <v>80</v>
      </c>
      <c r="AG5863" t="s">
        <v>81</v>
      </c>
    </row>
    <row r="5864" spans="1:33" x14ac:dyDescent="0.25">
      <c r="A5864" t="str">
        <f>"1083057590"</f>
        <v>1083057590</v>
      </c>
      <c r="C5864" t="s">
        <v>13436</v>
      </c>
      <c r="K5864" t="s">
        <v>99</v>
      </c>
      <c r="L5864" t="s">
        <v>102</v>
      </c>
      <c r="M5864" t="s">
        <v>75</v>
      </c>
      <c r="R5864" t="s">
        <v>28097</v>
      </c>
      <c r="S5864" t="s">
        <v>12619</v>
      </c>
      <c r="T5864" t="s">
        <v>97</v>
      </c>
      <c r="U5864" t="s">
        <v>77</v>
      </c>
      <c r="V5864" t="str">
        <f>"100191147"</f>
        <v>100191147</v>
      </c>
      <c r="AC5864" t="s">
        <v>79</v>
      </c>
      <c r="AD5864" t="s">
        <v>75</v>
      </c>
      <c r="AE5864" t="s">
        <v>103</v>
      </c>
      <c r="AG5864" t="s">
        <v>81</v>
      </c>
    </row>
    <row r="5865" spans="1:33" x14ac:dyDescent="0.25">
      <c r="A5865" t="str">
        <f>"1083057608"</f>
        <v>1083057608</v>
      </c>
      <c r="B5865" t="str">
        <f>"03767948"</f>
        <v>03767948</v>
      </c>
      <c r="C5865" t="s">
        <v>13436</v>
      </c>
      <c r="D5865" t="s">
        <v>28098</v>
      </c>
      <c r="E5865" t="s">
        <v>28099</v>
      </c>
      <c r="G5865" t="s">
        <v>28100</v>
      </c>
      <c r="L5865" t="s">
        <v>74</v>
      </c>
      <c r="M5865" t="s">
        <v>75</v>
      </c>
      <c r="R5865" t="s">
        <v>28101</v>
      </c>
      <c r="W5865" t="s">
        <v>28099</v>
      </c>
      <c r="X5865" t="s">
        <v>611</v>
      </c>
      <c r="Y5865" t="s">
        <v>87</v>
      </c>
      <c r="Z5865" t="s">
        <v>77</v>
      </c>
      <c r="AA5865" t="str">
        <f>"11220-3609"</f>
        <v>11220-3609</v>
      </c>
      <c r="AB5865" t="s">
        <v>78</v>
      </c>
      <c r="AC5865" t="s">
        <v>79</v>
      </c>
      <c r="AD5865" t="s">
        <v>75</v>
      </c>
      <c r="AE5865" t="s">
        <v>80</v>
      </c>
      <c r="AG5865" t="s">
        <v>81</v>
      </c>
    </row>
    <row r="5866" spans="1:33" x14ac:dyDescent="0.25">
      <c r="A5866" t="str">
        <f>"1083600407"</f>
        <v>1083600407</v>
      </c>
      <c r="B5866" t="str">
        <f>"02567811"</f>
        <v>02567811</v>
      </c>
      <c r="C5866" t="s">
        <v>13436</v>
      </c>
      <c r="D5866" t="s">
        <v>28102</v>
      </c>
      <c r="E5866" t="s">
        <v>28103</v>
      </c>
      <c r="L5866" t="s">
        <v>74</v>
      </c>
      <c r="M5866" t="s">
        <v>75</v>
      </c>
      <c r="R5866" t="s">
        <v>28103</v>
      </c>
      <c r="W5866" t="s">
        <v>28103</v>
      </c>
      <c r="X5866" t="s">
        <v>1452</v>
      </c>
      <c r="Y5866" t="s">
        <v>139</v>
      </c>
      <c r="Z5866" t="s">
        <v>77</v>
      </c>
      <c r="AA5866" t="str">
        <f>"11355-1736"</f>
        <v>11355-1736</v>
      </c>
      <c r="AB5866" t="s">
        <v>78</v>
      </c>
      <c r="AC5866" t="s">
        <v>79</v>
      </c>
      <c r="AD5866" t="s">
        <v>75</v>
      </c>
      <c r="AE5866" t="s">
        <v>80</v>
      </c>
      <c r="AG5866" t="s">
        <v>81</v>
      </c>
    </row>
    <row r="5867" spans="1:33" x14ac:dyDescent="0.25">
      <c r="A5867" t="str">
        <f>"1801867882"</f>
        <v>1801867882</v>
      </c>
      <c r="B5867" t="str">
        <f>"02446151"</f>
        <v>02446151</v>
      </c>
      <c r="C5867" t="s">
        <v>13436</v>
      </c>
      <c r="D5867" t="s">
        <v>28104</v>
      </c>
      <c r="E5867" t="s">
        <v>28105</v>
      </c>
      <c r="L5867" t="s">
        <v>83</v>
      </c>
      <c r="M5867" t="s">
        <v>75</v>
      </c>
      <c r="R5867" t="s">
        <v>28106</v>
      </c>
      <c r="W5867" t="s">
        <v>28105</v>
      </c>
      <c r="X5867" t="s">
        <v>28107</v>
      </c>
      <c r="Y5867" t="s">
        <v>97</v>
      </c>
      <c r="Z5867" t="s">
        <v>77</v>
      </c>
      <c r="AA5867" t="str">
        <f>"10003-4338"</f>
        <v>10003-4338</v>
      </c>
      <c r="AB5867" t="s">
        <v>128</v>
      </c>
      <c r="AC5867" t="s">
        <v>79</v>
      </c>
      <c r="AD5867" t="s">
        <v>75</v>
      </c>
      <c r="AE5867" t="s">
        <v>80</v>
      </c>
      <c r="AG5867" t="s">
        <v>81</v>
      </c>
    </row>
    <row r="5868" spans="1:33" x14ac:dyDescent="0.25">
      <c r="A5868" t="str">
        <f>"1801881164"</f>
        <v>1801881164</v>
      </c>
      <c r="B5868" t="str">
        <f>"02572287"</f>
        <v>02572287</v>
      </c>
      <c r="C5868" t="s">
        <v>13436</v>
      </c>
      <c r="D5868" t="s">
        <v>28108</v>
      </c>
      <c r="E5868" t="s">
        <v>28109</v>
      </c>
      <c r="L5868" t="s">
        <v>83</v>
      </c>
      <c r="M5868" t="s">
        <v>85</v>
      </c>
      <c r="R5868" t="s">
        <v>28110</v>
      </c>
      <c r="W5868" t="s">
        <v>28109</v>
      </c>
      <c r="X5868" t="s">
        <v>173</v>
      </c>
      <c r="Y5868" t="s">
        <v>87</v>
      </c>
      <c r="Z5868" t="s">
        <v>77</v>
      </c>
      <c r="AA5868" t="str">
        <f>"11219-2916"</f>
        <v>11219-2916</v>
      </c>
      <c r="AB5868" t="s">
        <v>78</v>
      </c>
      <c r="AC5868" t="s">
        <v>79</v>
      </c>
      <c r="AD5868" t="s">
        <v>75</v>
      </c>
      <c r="AE5868" t="s">
        <v>80</v>
      </c>
      <c r="AG5868" t="s">
        <v>81</v>
      </c>
    </row>
    <row r="5869" spans="1:33" x14ac:dyDescent="0.25">
      <c r="A5869" t="str">
        <f>"1801994595"</f>
        <v>1801994595</v>
      </c>
      <c r="B5869" t="str">
        <f>"01653841"</f>
        <v>01653841</v>
      </c>
      <c r="C5869" t="s">
        <v>13436</v>
      </c>
      <c r="D5869" t="s">
        <v>28111</v>
      </c>
      <c r="E5869" t="s">
        <v>28112</v>
      </c>
      <c r="L5869" t="s">
        <v>74</v>
      </c>
      <c r="M5869" t="s">
        <v>85</v>
      </c>
      <c r="R5869" t="s">
        <v>28113</v>
      </c>
      <c r="W5869" t="s">
        <v>28112</v>
      </c>
      <c r="X5869" t="s">
        <v>28114</v>
      </c>
      <c r="Y5869" t="s">
        <v>171</v>
      </c>
      <c r="Z5869" t="s">
        <v>77</v>
      </c>
      <c r="AA5869" t="str">
        <f>"11432"</f>
        <v>11432</v>
      </c>
      <c r="AB5869" t="s">
        <v>78</v>
      </c>
      <c r="AC5869" t="s">
        <v>79</v>
      </c>
      <c r="AD5869" t="s">
        <v>75</v>
      </c>
      <c r="AE5869" t="s">
        <v>80</v>
      </c>
      <c r="AG5869" t="s">
        <v>81</v>
      </c>
    </row>
    <row r="5870" spans="1:33" x14ac:dyDescent="0.25">
      <c r="A5870" t="str">
        <f>"1811048911"</f>
        <v>1811048911</v>
      </c>
      <c r="B5870" t="str">
        <f>"03174614"</f>
        <v>03174614</v>
      </c>
      <c r="C5870" t="s">
        <v>13436</v>
      </c>
      <c r="D5870" t="s">
        <v>28115</v>
      </c>
      <c r="E5870" t="s">
        <v>28116</v>
      </c>
      <c r="G5870" t="s">
        <v>28117</v>
      </c>
      <c r="L5870" t="s">
        <v>74</v>
      </c>
      <c r="M5870" t="s">
        <v>75</v>
      </c>
      <c r="R5870" t="s">
        <v>28116</v>
      </c>
      <c r="W5870" t="s">
        <v>28116</v>
      </c>
      <c r="X5870" t="s">
        <v>28118</v>
      </c>
      <c r="Y5870" t="s">
        <v>97</v>
      </c>
      <c r="Z5870" t="s">
        <v>77</v>
      </c>
      <c r="AA5870" t="str">
        <f>"10001-2813"</f>
        <v>10001-2813</v>
      </c>
      <c r="AB5870" t="s">
        <v>78</v>
      </c>
      <c r="AC5870" t="s">
        <v>79</v>
      </c>
      <c r="AD5870" t="s">
        <v>75</v>
      </c>
      <c r="AE5870" t="s">
        <v>80</v>
      </c>
      <c r="AG5870" t="s">
        <v>81</v>
      </c>
    </row>
    <row r="5871" spans="1:33" x14ac:dyDescent="0.25">
      <c r="A5871" t="str">
        <f>"1063722718"</f>
        <v>1063722718</v>
      </c>
      <c r="B5871" t="str">
        <f>"04314334"</f>
        <v>04314334</v>
      </c>
      <c r="C5871" t="s">
        <v>13436</v>
      </c>
      <c r="D5871" t="s">
        <v>28119</v>
      </c>
      <c r="E5871" t="s">
        <v>28120</v>
      </c>
      <c r="G5871" t="s">
        <v>28121</v>
      </c>
      <c r="L5871" t="s">
        <v>74</v>
      </c>
      <c r="M5871" t="s">
        <v>75</v>
      </c>
      <c r="R5871" t="s">
        <v>28122</v>
      </c>
      <c r="W5871" t="s">
        <v>28122</v>
      </c>
      <c r="X5871" t="s">
        <v>329</v>
      </c>
      <c r="Y5871" t="s">
        <v>97</v>
      </c>
      <c r="Z5871" t="s">
        <v>77</v>
      </c>
      <c r="AA5871" t="str">
        <f>"10029-6504"</f>
        <v>10029-6504</v>
      </c>
      <c r="AB5871" t="s">
        <v>78</v>
      </c>
      <c r="AC5871" t="s">
        <v>79</v>
      </c>
      <c r="AD5871" t="s">
        <v>75</v>
      </c>
      <c r="AE5871" t="s">
        <v>80</v>
      </c>
      <c r="AG5871" t="s">
        <v>81</v>
      </c>
    </row>
    <row r="5872" spans="1:33" x14ac:dyDescent="0.25">
      <c r="A5872" t="str">
        <f>"1063723666"</f>
        <v>1063723666</v>
      </c>
      <c r="C5872" t="s">
        <v>13436</v>
      </c>
      <c r="G5872" t="s">
        <v>28123</v>
      </c>
      <c r="K5872" t="s">
        <v>99</v>
      </c>
      <c r="L5872" t="s">
        <v>102</v>
      </c>
      <c r="M5872" t="s">
        <v>75</v>
      </c>
      <c r="R5872" t="s">
        <v>28124</v>
      </c>
      <c r="S5872" t="s">
        <v>169</v>
      </c>
      <c r="T5872" t="s">
        <v>155</v>
      </c>
      <c r="U5872" t="s">
        <v>77</v>
      </c>
      <c r="V5872" t="str">
        <f>"103053436"</f>
        <v>103053436</v>
      </c>
      <c r="AC5872" t="s">
        <v>79</v>
      </c>
      <c r="AD5872" t="s">
        <v>75</v>
      </c>
      <c r="AE5872" t="s">
        <v>103</v>
      </c>
      <c r="AG5872" t="s">
        <v>81</v>
      </c>
    </row>
    <row r="5873" spans="1:33" x14ac:dyDescent="0.25">
      <c r="A5873" t="str">
        <f>"1063725471"</f>
        <v>1063725471</v>
      </c>
      <c r="B5873" t="str">
        <f>"04501855"</f>
        <v>04501855</v>
      </c>
      <c r="C5873" t="s">
        <v>13436</v>
      </c>
      <c r="D5873" t="s">
        <v>28125</v>
      </c>
      <c r="E5873" t="s">
        <v>28126</v>
      </c>
      <c r="L5873" t="s">
        <v>102</v>
      </c>
      <c r="M5873" t="s">
        <v>75</v>
      </c>
      <c r="R5873" t="s">
        <v>28127</v>
      </c>
      <c r="W5873" t="s">
        <v>28126</v>
      </c>
      <c r="AB5873" t="s">
        <v>78</v>
      </c>
      <c r="AC5873" t="s">
        <v>79</v>
      </c>
      <c r="AD5873" t="s">
        <v>75</v>
      </c>
      <c r="AE5873" t="s">
        <v>80</v>
      </c>
      <c r="AG5873" t="s">
        <v>81</v>
      </c>
    </row>
    <row r="5874" spans="1:33" x14ac:dyDescent="0.25">
      <c r="A5874" t="str">
        <f>"1194048272"</f>
        <v>1194048272</v>
      </c>
      <c r="B5874" t="str">
        <f>"03643152"</f>
        <v>03643152</v>
      </c>
      <c r="C5874" t="s">
        <v>13436</v>
      </c>
      <c r="D5874" t="s">
        <v>28128</v>
      </c>
      <c r="E5874" t="s">
        <v>28129</v>
      </c>
      <c r="G5874" t="s">
        <v>28130</v>
      </c>
      <c r="L5874" t="s">
        <v>83</v>
      </c>
      <c r="M5874" t="s">
        <v>85</v>
      </c>
      <c r="R5874" t="s">
        <v>28131</v>
      </c>
      <c r="W5874" t="s">
        <v>28129</v>
      </c>
      <c r="X5874" t="s">
        <v>11566</v>
      </c>
      <c r="Y5874" t="s">
        <v>97</v>
      </c>
      <c r="Z5874" t="s">
        <v>77</v>
      </c>
      <c r="AA5874" t="str">
        <f>"10029-6500"</f>
        <v>10029-6500</v>
      </c>
      <c r="AB5874" t="s">
        <v>78</v>
      </c>
      <c r="AC5874" t="s">
        <v>79</v>
      </c>
      <c r="AD5874" t="s">
        <v>75</v>
      </c>
      <c r="AE5874" t="s">
        <v>80</v>
      </c>
      <c r="AG5874" t="s">
        <v>81</v>
      </c>
    </row>
    <row r="5875" spans="1:33" x14ac:dyDescent="0.25">
      <c r="A5875" t="str">
        <f>"1194058404"</f>
        <v>1194058404</v>
      </c>
      <c r="B5875" t="str">
        <f>"04015918"</f>
        <v>04015918</v>
      </c>
      <c r="C5875" t="s">
        <v>13436</v>
      </c>
      <c r="D5875" t="s">
        <v>2619</v>
      </c>
      <c r="E5875" t="s">
        <v>2620</v>
      </c>
      <c r="G5875" t="s">
        <v>28132</v>
      </c>
      <c r="L5875" t="s">
        <v>83</v>
      </c>
      <c r="M5875" t="s">
        <v>75</v>
      </c>
      <c r="R5875" t="s">
        <v>2621</v>
      </c>
      <c r="W5875" t="s">
        <v>2622</v>
      </c>
      <c r="X5875" t="s">
        <v>2623</v>
      </c>
      <c r="Y5875" t="s">
        <v>97</v>
      </c>
      <c r="Z5875" t="s">
        <v>77</v>
      </c>
      <c r="AA5875" t="str">
        <f>"10029"</f>
        <v>10029</v>
      </c>
      <c r="AB5875" t="s">
        <v>78</v>
      </c>
      <c r="AC5875" t="s">
        <v>79</v>
      </c>
      <c r="AD5875" t="s">
        <v>75</v>
      </c>
      <c r="AE5875" t="s">
        <v>80</v>
      </c>
      <c r="AG5875" t="s">
        <v>81</v>
      </c>
    </row>
    <row r="5876" spans="1:33" x14ac:dyDescent="0.25">
      <c r="A5876" t="str">
        <f>"1194086108"</f>
        <v>1194086108</v>
      </c>
      <c r="B5876" t="str">
        <f>"03581160"</f>
        <v>03581160</v>
      </c>
      <c r="C5876" t="s">
        <v>13436</v>
      </c>
      <c r="D5876" t="s">
        <v>28133</v>
      </c>
      <c r="E5876" t="s">
        <v>28134</v>
      </c>
      <c r="G5876" t="s">
        <v>28135</v>
      </c>
      <c r="L5876" t="s">
        <v>84</v>
      </c>
      <c r="M5876" t="s">
        <v>85</v>
      </c>
      <c r="R5876" t="s">
        <v>28136</v>
      </c>
      <c r="W5876" t="s">
        <v>28136</v>
      </c>
      <c r="X5876" t="s">
        <v>28137</v>
      </c>
      <c r="Y5876" t="s">
        <v>180</v>
      </c>
      <c r="Z5876" t="s">
        <v>77</v>
      </c>
      <c r="AA5876" t="str">
        <f>"10704-1531"</f>
        <v>10704-1531</v>
      </c>
      <c r="AB5876" t="s">
        <v>78</v>
      </c>
      <c r="AC5876" t="s">
        <v>79</v>
      </c>
      <c r="AD5876" t="s">
        <v>75</v>
      </c>
      <c r="AE5876" t="s">
        <v>80</v>
      </c>
      <c r="AG5876" t="s">
        <v>81</v>
      </c>
    </row>
    <row r="5877" spans="1:33" x14ac:dyDescent="0.25">
      <c r="A5877" t="str">
        <f>"1194144840"</f>
        <v>1194144840</v>
      </c>
      <c r="C5877" t="s">
        <v>13436</v>
      </c>
      <c r="G5877" t="s">
        <v>28138</v>
      </c>
      <c r="K5877" t="s">
        <v>99</v>
      </c>
      <c r="L5877" t="s">
        <v>102</v>
      </c>
      <c r="M5877" t="s">
        <v>75</v>
      </c>
      <c r="R5877" t="s">
        <v>28139</v>
      </c>
      <c r="S5877" t="s">
        <v>12769</v>
      </c>
      <c r="T5877" t="s">
        <v>4861</v>
      </c>
      <c r="U5877" t="s">
        <v>156</v>
      </c>
      <c r="V5877" t="str">
        <f>"076311808"</f>
        <v>076311808</v>
      </c>
      <c r="AC5877" t="s">
        <v>79</v>
      </c>
      <c r="AD5877" t="s">
        <v>75</v>
      </c>
      <c r="AE5877" t="s">
        <v>103</v>
      </c>
      <c r="AG5877" t="s">
        <v>81</v>
      </c>
    </row>
    <row r="5878" spans="1:33" x14ac:dyDescent="0.25">
      <c r="A5878" t="str">
        <f>"1194162560"</f>
        <v>1194162560</v>
      </c>
      <c r="C5878" t="s">
        <v>13436</v>
      </c>
      <c r="G5878" t="s">
        <v>28140</v>
      </c>
      <c r="K5878" t="s">
        <v>99</v>
      </c>
      <c r="L5878" t="s">
        <v>102</v>
      </c>
      <c r="M5878" t="s">
        <v>75</v>
      </c>
      <c r="R5878" t="s">
        <v>28141</v>
      </c>
      <c r="S5878" t="s">
        <v>28142</v>
      </c>
      <c r="T5878" t="s">
        <v>131</v>
      </c>
      <c r="U5878" t="s">
        <v>77</v>
      </c>
      <c r="V5878" t="str">
        <f>"104616249"</f>
        <v>104616249</v>
      </c>
      <c r="AC5878" t="s">
        <v>79</v>
      </c>
      <c r="AD5878" t="s">
        <v>75</v>
      </c>
      <c r="AE5878" t="s">
        <v>103</v>
      </c>
      <c r="AG5878" t="s">
        <v>81</v>
      </c>
    </row>
    <row r="5879" spans="1:33" x14ac:dyDescent="0.25">
      <c r="A5879" t="str">
        <f>"1194163162"</f>
        <v>1194163162</v>
      </c>
      <c r="B5879" t="str">
        <f>"04054757"</f>
        <v>04054757</v>
      </c>
      <c r="C5879" t="s">
        <v>13436</v>
      </c>
      <c r="D5879" t="s">
        <v>28143</v>
      </c>
      <c r="E5879" t="s">
        <v>28144</v>
      </c>
      <c r="G5879" t="s">
        <v>28145</v>
      </c>
      <c r="L5879" t="s">
        <v>74</v>
      </c>
      <c r="M5879" t="s">
        <v>75</v>
      </c>
      <c r="R5879" t="s">
        <v>28144</v>
      </c>
      <c r="W5879" t="s">
        <v>28144</v>
      </c>
      <c r="X5879" t="s">
        <v>235</v>
      </c>
      <c r="Y5879" t="s">
        <v>236</v>
      </c>
      <c r="Z5879" t="s">
        <v>77</v>
      </c>
      <c r="AA5879" t="str">
        <f>"11102-2448"</f>
        <v>11102-2448</v>
      </c>
      <c r="AB5879" t="s">
        <v>78</v>
      </c>
      <c r="AC5879" t="s">
        <v>79</v>
      </c>
      <c r="AD5879" t="s">
        <v>75</v>
      </c>
      <c r="AE5879" t="s">
        <v>80</v>
      </c>
      <c r="AG5879" t="s">
        <v>81</v>
      </c>
    </row>
    <row r="5880" spans="1:33" x14ac:dyDescent="0.25">
      <c r="A5880" t="str">
        <f>"1194700252"</f>
        <v>1194700252</v>
      </c>
      <c r="B5880" t="str">
        <f>"01162463"</f>
        <v>01162463</v>
      </c>
      <c r="C5880" t="s">
        <v>13436</v>
      </c>
      <c r="D5880" t="s">
        <v>28146</v>
      </c>
      <c r="E5880" t="s">
        <v>28147</v>
      </c>
      <c r="G5880" t="s">
        <v>28148</v>
      </c>
      <c r="L5880" t="s">
        <v>83</v>
      </c>
      <c r="M5880" t="s">
        <v>85</v>
      </c>
      <c r="R5880" t="s">
        <v>28149</v>
      </c>
      <c r="W5880" t="s">
        <v>28147</v>
      </c>
      <c r="X5880" t="s">
        <v>329</v>
      </c>
      <c r="Y5880" t="s">
        <v>97</v>
      </c>
      <c r="Z5880" t="s">
        <v>77</v>
      </c>
      <c r="AA5880" t="str">
        <f>"10029-6500"</f>
        <v>10029-6500</v>
      </c>
      <c r="AB5880" t="s">
        <v>78</v>
      </c>
      <c r="AC5880" t="s">
        <v>79</v>
      </c>
      <c r="AD5880" t="s">
        <v>75</v>
      </c>
      <c r="AE5880" t="s">
        <v>80</v>
      </c>
      <c r="AG5880" t="s">
        <v>81</v>
      </c>
    </row>
    <row r="5881" spans="1:33" x14ac:dyDescent="0.25">
      <c r="A5881" t="str">
        <f>"1194700328"</f>
        <v>1194700328</v>
      </c>
      <c r="B5881" t="str">
        <f>"01670415"</f>
        <v>01670415</v>
      </c>
      <c r="C5881" t="s">
        <v>13436</v>
      </c>
      <c r="D5881" t="s">
        <v>28150</v>
      </c>
      <c r="E5881" t="s">
        <v>28151</v>
      </c>
      <c r="G5881" t="s">
        <v>28152</v>
      </c>
      <c r="L5881" t="s">
        <v>74</v>
      </c>
      <c r="M5881" t="s">
        <v>85</v>
      </c>
      <c r="R5881" t="s">
        <v>28153</v>
      </c>
      <c r="W5881" t="s">
        <v>28154</v>
      </c>
      <c r="X5881" t="s">
        <v>329</v>
      </c>
      <c r="Y5881" t="s">
        <v>97</v>
      </c>
      <c r="Z5881" t="s">
        <v>77</v>
      </c>
      <c r="AA5881" t="str">
        <f>"10029-6500"</f>
        <v>10029-6500</v>
      </c>
      <c r="AB5881" t="s">
        <v>78</v>
      </c>
      <c r="AC5881" t="s">
        <v>79</v>
      </c>
      <c r="AD5881" t="s">
        <v>75</v>
      </c>
      <c r="AE5881" t="s">
        <v>80</v>
      </c>
      <c r="AG5881" t="s">
        <v>81</v>
      </c>
    </row>
    <row r="5882" spans="1:33" x14ac:dyDescent="0.25">
      <c r="A5882" t="str">
        <f>"1194717967"</f>
        <v>1194717967</v>
      </c>
      <c r="B5882" t="str">
        <f>"00116463"</f>
        <v>00116463</v>
      </c>
      <c r="C5882" t="s">
        <v>13436</v>
      </c>
      <c r="D5882" t="s">
        <v>28155</v>
      </c>
      <c r="E5882" t="s">
        <v>28156</v>
      </c>
      <c r="G5882" t="s">
        <v>28157</v>
      </c>
      <c r="L5882" t="s">
        <v>84</v>
      </c>
      <c r="M5882" t="s">
        <v>85</v>
      </c>
      <c r="R5882" t="s">
        <v>28158</v>
      </c>
      <c r="W5882" t="s">
        <v>28156</v>
      </c>
      <c r="X5882" t="s">
        <v>28159</v>
      </c>
      <c r="Y5882" t="s">
        <v>152</v>
      </c>
      <c r="Z5882" t="s">
        <v>77</v>
      </c>
      <c r="AA5882" t="str">
        <f>"11375-3787"</f>
        <v>11375-3787</v>
      </c>
      <c r="AB5882" t="s">
        <v>78</v>
      </c>
      <c r="AC5882" t="s">
        <v>79</v>
      </c>
      <c r="AD5882" t="s">
        <v>75</v>
      </c>
      <c r="AE5882" t="s">
        <v>80</v>
      </c>
      <c r="AG5882" t="s">
        <v>81</v>
      </c>
    </row>
    <row r="5883" spans="1:33" x14ac:dyDescent="0.25">
      <c r="A5883" t="str">
        <f>"1194762377"</f>
        <v>1194762377</v>
      </c>
      <c r="B5883" t="str">
        <f>"02770905"</f>
        <v>02770905</v>
      </c>
      <c r="C5883" t="s">
        <v>13436</v>
      </c>
      <c r="D5883" t="s">
        <v>28160</v>
      </c>
      <c r="E5883" t="s">
        <v>28161</v>
      </c>
      <c r="G5883" t="s">
        <v>28162</v>
      </c>
      <c r="L5883" t="s">
        <v>83</v>
      </c>
      <c r="M5883" t="s">
        <v>85</v>
      </c>
      <c r="R5883" t="s">
        <v>28163</v>
      </c>
      <c r="W5883" t="s">
        <v>28161</v>
      </c>
      <c r="X5883" t="s">
        <v>1734</v>
      </c>
      <c r="Y5883" t="s">
        <v>97</v>
      </c>
      <c r="Z5883" t="s">
        <v>77</v>
      </c>
      <c r="AA5883" t="str">
        <f>"10032-3726"</f>
        <v>10032-3726</v>
      </c>
      <c r="AB5883" t="s">
        <v>78</v>
      </c>
      <c r="AC5883" t="s">
        <v>79</v>
      </c>
      <c r="AD5883" t="s">
        <v>75</v>
      </c>
      <c r="AE5883" t="s">
        <v>80</v>
      </c>
      <c r="AG5883" t="s">
        <v>81</v>
      </c>
    </row>
    <row r="5884" spans="1:33" x14ac:dyDescent="0.25">
      <c r="A5884" t="str">
        <f>"1194774414"</f>
        <v>1194774414</v>
      </c>
      <c r="B5884" t="str">
        <f>"02771286"</f>
        <v>02771286</v>
      </c>
      <c r="C5884" t="s">
        <v>13436</v>
      </c>
      <c r="D5884" t="s">
        <v>28164</v>
      </c>
      <c r="E5884" t="s">
        <v>28165</v>
      </c>
      <c r="G5884" t="s">
        <v>28166</v>
      </c>
      <c r="L5884" t="s">
        <v>83</v>
      </c>
      <c r="M5884" t="s">
        <v>85</v>
      </c>
      <c r="R5884" t="s">
        <v>28167</v>
      </c>
      <c r="W5884" t="s">
        <v>28165</v>
      </c>
      <c r="X5884" t="s">
        <v>204</v>
      </c>
      <c r="Y5884" t="s">
        <v>97</v>
      </c>
      <c r="Z5884" t="s">
        <v>77</v>
      </c>
      <c r="AA5884" t="str">
        <f>"10065-4870"</f>
        <v>10065-4870</v>
      </c>
      <c r="AB5884" t="s">
        <v>78</v>
      </c>
      <c r="AC5884" t="s">
        <v>79</v>
      </c>
      <c r="AD5884" t="s">
        <v>75</v>
      </c>
      <c r="AE5884" t="s">
        <v>80</v>
      </c>
      <c r="AG5884" t="s">
        <v>81</v>
      </c>
    </row>
    <row r="5885" spans="1:33" x14ac:dyDescent="0.25">
      <c r="A5885" t="str">
        <f>"1104898923"</f>
        <v>1104898923</v>
      </c>
      <c r="B5885" t="str">
        <f>"00210499"</f>
        <v>00210499</v>
      </c>
      <c r="C5885" t="s">
        <v>13436</v>
      </c>
      <c r="D5885" t="s">
        <v>28168</v>
      </c>
      <c r="E5885" t="s">
        <v>28169</v>
      </c>
      <c r="G5885" t="s">
        <v>28170</v>
      </c>
      <c r="L5885" t="s">
        <v>74</v>
      </c>
      <c r="M5885" t="s">
        <v>85</v>
      </c>
      <c r="R5885" t="s">
        <v>28171</v>
      </c>
      <c r="W5885" t="s">
        <v>28171</v>
      </c>
      <c r="X5885" t="s">
        <v>306</v>
      </c>
      <c r="Y5885" t="s">
        <v>97</v>
      </c>
      <c r="Z5885" t="s">
        <v>77</v>
      </c>
      <c r="AA5885" t="str">
        <f>"10003-4201"</f>
        <v>10003-4201</v>
      </c>
      <c r="AB5885" t="s">
        <v>78</v>
      </c>
      <c r="AC5885" t="s">
        <v>79</v>
      </c>
      <c r="AD5885" t="s">
        <v>75</v>
      </c>
      <c r="AE5885" t="s">
        <v>80</v>
      </c>
      <c r="AG5885" t="s">
        <v>81</v>
      </c>
    </row>
    <row r="5886" spans="1:33" x14ac:dyDescent="0.25">
      <c r="A5886" t="str">
        <f>"1194978460"</f>
        <v>1194978460</v>
      </c>
      <c r="B5886" t="str">
        <f>"03068724"</f>
        <v>03068724</v>
      </c>
      <c r="C5886" t="s">
        <v>13436</v>
      </c>
      <c r="D5886" t="s">
        <v>28172</v>
      </c>
      <c r="E5886" t="s">
        <v>28173</v>
      </c>
      <c r="G5886" t="s">
        <v>28174</v>
      </c>
      <c r="L5886" t="s">
        <v>84</v>
      </c>
      <c r="M5886" t="s">
        <v>75</v>
      </c>
      <c r="R5886" t="s">
        <v>28175</v>
      </c>
      <c r="W5886" t="s">
        <v>28176</v>
      </c>
      <c r="X5886" t="s">
        <v>28177</v>
      </c>
      <c r="Y5886" t="s">
        <v>97</v>
      </c>
      <c r="Z5886" t="s">
        <v>77</v>
      </c>
      <c r="AA5886" t="str">
        <f>"10032-3720"</f>
        <v>10032-3720</v>
      </c>
      <c r="AB5886" t="s">
        <v>78</v>
      </c>
      <c r="AC5886" t="s">
        <v>79</v>
      </c>
      <c r="AD5886" t="s">
        <v>75</v>
      </c>
      <c r="AE5886" t="s">
        <v>80</v>
      </c>
      <c r="AG5886" t="s">
        <v>81</v>
      </c>
    </row>
    <row r="5887" spans="1:33" x14ac:dyDescent="0.25">
      <c r="A5887" t="str">
        <f>"1407274129"</f>
        <v>1407274129</v>
      </c>
      <c r="C5887" t="s">
        <v>13436</v>
      </c>
      <c r="K5887" t="s">
        <v>99</v>
      </c>
      <c r="L5887" t="s">
        <v>102</v>
      </c>
      <c r="M5887" t="s">
        <v>75</v>
      </c>
      <c r="R5887" t="s">
        <v>28178</v>
      </c>
      <c r="S5887" t="s">
        <v>12670</v>
      </c>
      <c r="T5887" t="s">
        <v>97</v>
      </c>
      <c r="U5887" t="s">
        <v>77</v>
      </c>
      <c r="V5887" t="str">
        <f>"100033821"</f>
        <v>100033821</v>
      </c>
      <c r="AC5887" t="s">
        <v>79</v>
      </c>
      <c r="AD5887" t="s">
        <v>75</v>
      </c>
      <c r="AE5887" t="s">
        <v>103</v>
      </c>
      <c r="AG5887" t="s">
        <v>81</v>
      </c>
    </row>
    <row r="5888" spans="1:33" x14ac:dyDescent="0.25">
      <c r="A5888" t="str">
        <f>"1407288384"</f>
        <v>1407288384</v>
      </c>
      <c r="C5888" t="s">
        <v>13436</v>
      </c>
      <c r="G5888" t="s">
        <v>28179</v>
      </c>
      <c r="K5888" t="s">
        <v>99</v>
      </c>
      <c r="L5888" t="s">
        <v>102</v>
      </c>
      <c r="M5888" t="s">
        <v>75</v>
      </c>
      <c r="R5888" t="s">
        <v>28180</v>
      </c>
      <c r="S5888" t="s">
        <v>28181</v>
      </c>
      <c r="T5888" t="s">
        <v>28182</v>
      </c>
      <c r="U5888" t="s">
        <v>2661</v>
      </c>
      <c r="V5888" t="str">
        <f>"210615803"</f>
        <v>210615803</v>
      </c>
      <c r="AC5888" t="s">
        <v>79</v>
      </c>
      <c r="AD5888" t="s">
        <v>75</v>
      </c>
      <c r="AE5888" t="s">
        <v>103</v>
      </c>
      <c r="AG5888" t="s">
        <v>81</v>
      </c>
    </row>
    <row r="5889" spans="1:33" x14ac:dyDescent="0.25">
      <c r="A5889" t="str">
        <f>"1407288574"</f>
        <v>1407288574</v>
      </c>
      <c r="C5889" t="s">
        <v>13436</v>
      </c>
      <c r="K5889" t="s">
        <v>99</v>
      </c>
      <c r="L5889" t="s">
        <v>102</v>
      </c>
      <c r="M5889" t="s">
        <v>75</v>
      </c>
      <c r="R5889" t="s">
        <v>28183</v>
      </c>
      <c r="S5889" t="s">
        <v>181</v>
      </c>
      <c r="T5889" t="s">
        <v>97</v>
      </c>
      <c r="U5889" t="s">
        <v>77</v>
      </c>
      <c r="V5889" t="str">
        <f>"100251716"</f>
        <v>100251716</v>
      </c>
      <c r="AC5889" t="s">
        <v>79</v>
      </c>
      <c r="AD5889" t="s">
        <v>75</v>
      </c>
      <c r="AE5889" t="s">
        <v>103</v>
      </c>
      <c r="AG5889" t="s">
        <v>81</v>
      </c>
    </row>
    <row r="5890" spans="1:33" x14ac:dyDescent="0.25">
      <c r="A5890" t="str">
        <f>"1467863142"</f>
        <v>1467863142</v>
      </c>
      <c r="C5890" t="s">
        <v>13436</v>
      </c>
      <c r="K5890" t="s">
        <v>99</v>
      </c>
      <c r="L5890" t="s">
        <v>102</v>
      </c>
      <c r="M5890" t="s">
        <v>75</v>
      </c>
      <c r="R5890" t="s">
        <v>28184</v>
      </c>
      <c r="S5890" t="s">
        <v>191</v>
      </c>
      <c r="T5890" t="s">
        <v>97</v>
      </c>
      <c r="U5890" t="s">
        <v>77</v>
      </c>
      <c r="V5890" t="str">
        <f>"100191147"</f>
        <v>100191147</v>
      </c>
      <c r="AC5890" t="s">
        <v>79</v>
      </c>
      <c r="AD5890" t="s">
        <v>75</v>
      </c>
      <c r="AE5890" t="s">
        <v>103</v>
      </c>
      <c r="AG5890" t="s">
        <v>81</v>
      </c>
    </row>
    <row r="5891" spans="1:33" x14ac:dyDescent="0.25">
      <c r="A5891" t="str">
        <f>"1467871129"</f>
        <v>1467871129</v>
      </c>
      <c r="C5891" t="s">
        <v>13436</v>
      </c>
      <c r="K5891" t="s">
        <v>99</v>
      </c>
      <c r="L5891" t="s">
        <v>102</v>
      </c>
      <c r="M5891" t="s">
        <v>75</v>
      </c>
      <c r="R5891" t="s">
        <v>28185</v>
      </c>
      <c r="S5891" t="s">
        <v>191</v>
      </c>
      <c r="T5891" t="s">
        <v>97</v>
      </c>
      <c r="U5891" t="s">
        <v>77</v>
      </c>
      <c r="V5891" t="str">
        <f>"100191147"</f>
        <v>100191147</v>
      </c>
      <c r="AC5891" t="s">
        <v>79</v>
      </c>
      <c r="AD5891" t="s">
        <v>75</v>
      </c>
      <c r="AE5891" t="s">
        <v>103</v>
      </c>
      <c r="AG5891" t="s">
        <v>81</v>
      </c>
    </row>
    <row r="5892" spans="1:33" x14ac:dyDescent="0.25">
      <c r="A5892" t="str">
        <f>"1467871442"</f>
        <v>1467871442</v>
      </c>
      <c r="C5892" t="s">
        <v>13436</v>
      </c>
      <c r="K5892" t="s">
        <v>99</v>
      </c>
      <c r="L5892" t="s">
        <v>102</v>
      </c>
      <c r="M5892" t="s">
        <v>75</v>
      </c>
      <c r="R5892" t="s">
        <v>28186</v>
      </c>
      <c r="S5892" t="s">
        <v>28187</v>
      </c>
      <c r="T5892" t="s">
        <v>97</v>
      </c>
      <c r="U5892" t="s">
        <v>77</v>
      </c>
      <c r="V5892" t="str">
        <f>"100296504"</f>
        <v>100296504</v>
      </c>
      <c r="AC5892" t="s">
        <v>79</v>
      </c>
      <c r="AD5892" t="s">
        <v>75</v>
      </c>
      <c r="AE5892" t="s">
        <v>103</v>
      </c>
      <c r="AG5892" t="s">
        <v>81</v>
      </c>
    </row>
    <row r="5893" spans="1:33" x14ac:dyDescent="0.25">
      <c r="A5893" t="str">
        <f>"1467879692"</f>
        <v>1467879692</v>
      </c>
      <c r="C5893" t="s">
        <v>13436</v>
      </c>
      <c r="K5893" t="s">
        <v>99</v>
      </c>
      <c r="L5893" t="s">
        <v>102</v>
      </c>
      <c r="M5893" t="s">
        <v>75</v>
      </c>
      <c r="R5893" t="s">
        <v>28188</v>
      </c>
      <c r="S5893" t="s">
        <v>28189</v>
      </c>
      <c r="T5893" t="s">
        <v>97</v>
      </c>
      <c r="U5893" t="s">
        <v>77</v>
      </c>
      <c r="V5893" t="str">
        <f>"100296514"</f>
        <v>100296514</v>
      </c>
      <c r="AC5893" t="s">
        <v>79</v>
      </c>
      <c r="AD5893" t="s">
        <v>75</v>
      </c>
      <c r="AE5893" t="s">
        <v>103</v>
      </c>
      <c r="AG5893" t="s">
        <v>81</v>
      </c>
    </row>
    <row r="5894" spans="1:33" x14ac:dyDescent="0.25">
      <c r="A5894" t="str">
        <f>"1467879809"</f>
        <v>1467879809</v>
      </c>
      <c r="C5894" t="s">
        <v>13436</v>
      </c>
      <c r="K5894" t="s">
        <v>99</v>
      </c>
      <c r="L5894" t="s">
        <v>102</v>
      </c>
      <c r="M5894" t="s">
        <v>75</v>
      </c>
      <c r="R5894" t="s">
        <v>28190</v>
      </c>
      <c r="S5894" t="s">
        <v>12670</v>
      </c>
      <c r="T5894" t="s">
        <v>97</v>
      </c>
      <c r="U5894" t="s">
        <v>77</v>
      </c>
      <c r="V5894" t="str">
        <f>"100033821"</f>
        <v>100033821</v>
      </c>
      <c r="AC5894" t="s">
        <v>79</v>
      </c>
      <c r="AD5894" t="s">
        <v>75</v>
      </c>
      <c r="AE5894" t="s">
        <v>103</v>
      </c>
      <c r="AG5894" t="s">
        <v>81</v>
      </c>
    </row>
    <row r="5895" spans="1:33" x14ac:dyDescent="0.25">
      <c r="A5895" t="str">
        <f>"1467879817"</f>
        <v>1467879817</v>
      </c>
      <c r="C5895" t="s">
        <v>13436</v>
      </c>
      <c r="K5895" t="s">
        <v>99</v>
      </c>
      <c r="L5895" t="s">
        <v>102</v>
      </c>
      <c r="M5895" t="s">
        <v>75</v>
      </c>
      <c r="R5895" t="s">
        <v>28191</v>
      </c>
      <c r="S5895" t="s">
        <v>27947</v>
      </c>
      <c r="T5895" t="s">
        <v>97</v>
      </c>
      <c r="U5895" t="s">
        <v>77</v>
      </c>
      <c r="V5895" t="str">
        <f>"100033805"</f>
        <v>100033805</v>
      </c>
      <c r="AC5895" t="s">
        <v>79</v>
      </c>
      <c r="AD5895" t="s">
        <v>75</v>
      </c>
      <c r="AE5895" t="s">
        <v>103</v>
      </c>
      <c r="AG5895" t="s">
        <v>81</v>
      </c>
    </row>
    <row r="5896" spans="1:33" x14ac:dyDescent="0.25">
      <c r="A5896" t="str">
        <f>"1306159603"</f>
        <v>1306159603</v>
      </c>
      <c r="C5896" t="s">
        <v>13436</v>
      </c>
      <c r="K5896" t="s">
        <v>99</v>
      </c>
      <c r="L5896" t="s">
        <v>102</v>
      </c>
      <c r="M5896" t="s">
        <v>75</v>
      </c>
      <c r="R5896" t="s">
        <v>28192</v>
      </c>
      <c r="S5896" t="s">
        <v>28193</v>
      </c>
      <c r="T5896" t="s">
        <v>97</v>
      </c>
      <c r="U5896" t="s">
        <v>77</v>
      </c>
      <c r="V5896" t="str">
        <f>"100173411"</f>
        <v>100173411</v>
      </c>
      <c r="AC5896" t="s">
        <v>79</v>
      </c>
      <c r="AD5896" t="s">
        <v>75</v>
      </c>
      <c r="AE5896" t="s">
        <v>103</v>
      </c>
      <c r="AG5896" t="s">
        <v>81</v>
      </c>
    </row>
    <row r="5897" spans="1:33" x14ac:dyDescent="0.25">
      <c r="A5897" t="str">
        <f>"1508064536"</f>
        <v>1508064536</v>
      </c>
      <c r="B5897" t="str">
        <f>"01810402"</f>
        <v>01810402</v>
      </c>
      <c r="C5897" t="s">
        <v>13436</v>
      </c>
      <c r="D5897" t="s">
        <v>28194</v>
      </c>
      <c r="E5897" t="s">
        <v>28195</v>
      </c>
      <c r="G5897" t="s">
        <v>28196</v>
      </c>
      <c r="L5897" t="s">
        <v>83</v>
      </c>
      <c r="M5897" t="s">
        <v>85</v>
      </c>
      <c r="R5897" t="s">
        <v>28197</v>
      </c>
      <c r="W5897" t="s">
        <v>28195</v>
      </c>
      <c r="X5897" t="s">
        <v>602</v>
      </c>
      <c r="Y5897" t="s">
        <v>97</v>
      </c>
      <c r="Z5897" t="s">
        <v>77</v>
      </c>
      <c r="AA5897" t="str">
        <f>"10038-2612"</f>
        <v>10038-2612</v>
      </c>
      <c r="AB5897" t="s">
        <v>78</v>
      </c>
      <c r="AC5897" t="s">
        <v>79</v>
      </c>
      <c r="AD5897" t="s">
        <v>75</v>
      </c>
      <c r="AE5897" t="s">
        <v>80</v>
      </c>
      <c r="AG5897" t="s">
        <v>81</v>
      </c>
    </row>
    <row r="5898" spans="1:33" x14ac:dyDescent="0.25">
      <c r="A5898" t="str">
        <f>"1508085523"</f>
        <v>1508085523</v>
      </c>
      <c r="B5898" t="str">
        <f>"02879069"</f>
        <v>02879069</v>
      </c>
      <c r="C5898" t="s">
        <v>13436</v>
      </c>
      <c r="D5898" t="s">
        <v>28198</v>
      </c>
      <c r="E5898" t="s">
        <v>28199</v>
      </c>
      <c r="G5898" t="s">
        <v>28200</v>
      </c>
      <c r="L5898" t="s">
        <v>83</v>
      </c>
      <c r="M5898" t="s">
        <v>85</v>
      </c>
      <c r="R5898" t="s">
        <v>28201</v>
      </c>
      <c r="W5898" t="s">
        <v>28199</v>
      </c>
      <c r="X5898" t="s">
        <v>941</v>
      </c>
      <c r="Y5898" t="s">
        <v>146</v>
      </c>
      <c r="Z5898" t="s">
        <v>77</v>
      </c>
      <c r="AA5898" t="str">
        <f>"10595-1652"</f>
        <v>10595-1652</v>
      </c>
      <c r="AB5898" t="s">
        <v>78</v>
      </c>
      <c r="AC5898" t="s">
        <v>79</v>
      </c>
      <c r="AD5898" t="s">
        <v>75</v>
      </c>
      <c r="AE5898" t="s">
        <v>80</v>
      </c>
      <c r="AG5898" t="s">
        <v>81</v>
      </c>
    </row>
    <row r="5899" spans="1:33" x14ac:dyDescent="0.25">
      <c r="A5899" t="str">
        <f>"1508104142"</f>
        <v>1508104142</v>
      </c>
      <c r="B5899" t="str">
        <f>"04315720"</f>
        <v>04315720</v>
      </c>
      <c r="C5899" t="s">
        <v>13436</v>
      </c>
      <c r="D5899" t="s">
        <v>28202</v>
      </c>
      <c r="E5899" t="s">
        <v>28203</v>
      </c>
      <c r="G5899" t="s">
        <v>28204</v>
      </c>
      <c r="L5899" t="s">
        <v>102</v>
      </c>
      <c r="M5899" t="s">
        <v>75</v>
      </c>
      <c r="R5899" t="s">
        <v>28205</v>
      </c>
      <c r="W5899" t="s">
        <v>28203</v>
      </c>
      <c r="X5899" t="s">
        <v>191</v>
      </c>
      <c r="Y5899" t="s">
        <v>97</v>
      </c>
      <c r="Z5899" t="s">
        <v>77</v>
      </c>
      <c r="AA5899" t="str">
        <f>"10019-1147"</f>
        <v>10019-1147</v>
      </c>
      <c r="AB5899" t="s">
        <v>125</v>
      </c>
      <c r="AC5899" t="s">
        <v>79</v>
      </c>
      <c r="AD5899" t="s">
        <v>75</v>
      </c>
      <c r="AE5899" t="s">
        <v>80</v>
      </c>
      <c r="AG5899" t="s">
        <v>81</v>
      </c>
    </row>
    <row r="5900" spans="1:33" x14ac:dyDescent="0.25">
      <c r="A5900" t="str">
        <f>"1124203898"</f>
        <v>1124203898</v>
      </c>
      <c r="B5900" t="str">
        <f>"03735733"</f>
        <v>03735733</v>
      </c>
      <c r="C5900" t="s">
        <v>13436</v>
      </c>
      <c r="D5900" t="s">
        <v>28206</v>
      </c>
      <c r="E5900" t="s">
        <v>28207</v>
      </c>
      <c r="G5900" t="s">
        <v>28208</v>
      </c>
      <c r="L5900" t="s">
        <v>83</v>
      </c>
      <c r="M5900" t="s">
        <v>85</v>
      </c>
      <c r="R5900" t="s">
        <v>28209</v>
      </c>
      <c r="W5900" t="s">
        <v>28207</v>
      </c>
      <c r="X5900" t="s">
        <v>272</v>
      </c>
      <c r="Y5900" t="s">
        <v>97</v>
      </c>
      <c r="Z5900" t="s">
        <v>77</v>
      </c>
      <c r="AA5900" t="str">
        <f>"10029-6501"</f>
        <v>10029-6501</v>
      </c>
      <c r="AB5900" t="s">
        <v>78</v>
      </c>
      <c r="AC5900" t="s">
        <v>79</v>
      </c>
      <c r="AD5900" t="s">
        <v>75</v>
      </c>
      <c r="AE5900" t="s">
        <v>80</v>
      </c>
      <c r="AG5900" t="s">
        <v>81</v>
      </c>
    </row>
    <row r="5901" spans="1:33" x14ac:dyDescent="0.25">
      <c r="A5901" t="str">
        <f>"1245465566"</f>
        <v>1245465566</v>
      </c>
      <c r="B5901" t="str">
        <f>"03249685"</f>
        <v>03249685</v>
      </c>
      <c r="C5901" t="s">
        <v>13436</v>
      </c>
      <c r="D5901" t="s">
        <v>28210</v>
      </c>
      <c r="E5901" t="s">
        <v>28211</v>
      </c>
      <c r="G5901" t="s">
        <v>28212</v>
      </c>
      <c r="L5901" t="s">
        <v>74</v>
      </c>
      <c r="M5901" t="s">
        <v>85</v>
      </c>
      <c r="R5901" t="s">
        <v>28213</v>
      </c>
      <c r="W5901" t="s">
        <v>28214</v>
      </c>
      <c r="X5901" t="s">
        <v>329</v>
      </c>
      <c r="Y5901" t="s">
        <v>97</v>
      </c>
      <c r="Z5901" t="s">
        <v>77</v>
      </c>
      <c r="AA5901" t="str">
        <f>"10029-6500"</f>
        <v>10029-6500</v>
      </c>
      <c r="AB5901" t="s">
        <v>78</v>
      </c>
      <c r="AC5901" t="s">
        <v>79</v>
      </c>
      <c r="AD5901" t="s">
        <v>75</v>
      </c>
      <c r="AE5901" t="s">
        <v>80</v>
      </c>
      <c r="AG5901" t="s">
        <v>81</v>
      </c>
    </row>
    <row r="5902" spans="1:33" x14ac:dyDescent="0.25">
      <c r="A5902" t="str">
        <f>"1437166964"</f>
        <v>1437166964</v>
      </c>
      <c r="B5902" t="str">
        <f>"01775057"</f>
        <v>01775057</v>
      </c>
      <c r="C5902" t="s">
        <v>13436</v>
      </c>
      <c r="D5902" t="s">
        <v>28215</v>
      </c>
      <c r="E5902" t="s">
        <v>28216</v>
      </c>
      <c r="G5902" t="s">
        <v>28217</v>
      </c>
      <c r="L5902" t="s">
        <v>74</v>
      </c>
      <c r="M5902" t="s">
        <v>75</v>
      </c>
      <c r="R5902" t="s">
        <v>28218</v>
      </c>
      <c r="W5902" t="s">
        <v>28216</v>
      </c>
      <c r="X5902" t="s">
        <v>262</v>
      </c>
      <c r="Y5902" t="s">
        <v>91</v>
      </c>
      <c r="Z5902" t="s">
        <v>77</v>
      </c>
      <c r="AA5902" t="str">
        <f>"11373-1329"</f>
        <v>11373-1329</v>
      </c>
      <c r="AB5902" t="s">
        <v>78</v>
      </c>
      <c r="AC5902" t="s">
        <v>79</v>
      </c>
      <c r="AD5902" t="s">
        <v>75</v>
      </c>
      <c r="AE5902" t="s">
        <v>80</v>
      </c>
      <c r="AG5902" t="s">
        <v>81</v>
      </c>
    </row>
    <row r="5903" spans="1:33" x14ac:dyDescent="0.25">
      <c r="A5903" t="str">
        <f>"1538447438"</f>
        <v>1538447438</v>
      </c>
      <c r="B5903" t="str">
        <f>"04502645"</f>
        <v>04502645</v>
      </c>
      <c r="C5903" t="s">
        <v>13436</v>
      </c>
      <c r="D5903" t="s">
        <v>28219</v>
      </c>
      <c r="E5903" t="s">
        <v>28220</v>
      </c>
      <c r="G5903" t="s">
        <v>28221</v>
      </c>
      <c r="L5903" t="s">
        <v>102</v>
      </c>
      <c r="M5903" t="s">
        <v>75</v>
      </c>
      <c r="R5903" t="s">
        <v>28222</v>
      </c>
      <c r="W5903" t="s">
        <v>28220</v>
      </c>
      <c r="AB5903" t="s">
        <v>78</v>
      </c>
      <c r="AC5903" t="s">
        <v>79</v>
      </c>
      <c r="AD5903" t="s">
        <v>75</v>
      </c>
      <c r="AE5903" t="s">
        <v>80</v>
      </c>
      <c r="AG5903" t="s">
        <v>81</v>
      </c>
    </row>
    <row r="5904" spans="1:33" x14ac:dyDescent="0.25">
      <c r="A5904" t="str">
        <f>"1578539946"</f>
        <v>1578539946</v>
      </c>
      <c r="B5904" t="str">
        <f>"00180649"</f>
        <v>00180649</v>
      </c>
      <c r="C5904" t="s">
        <v>13436</v>
      </c>
      <c r="D5904" t="s">
        <v>28223</v>
      </c>
      <c r="E5904" t="s">
        <v>28224</v>
      </c>
      <c r="G5904" t="s">
        <v>28225</v>
      </c>
      <c r="L5904" t="s">
        <v>74</v>
      </c>
      <c r="M5904" t="s">
        <v>85</v>
      </c>
      <c r="R5904" t="s">
        <v>28226</v>
      </c>
      <c r="W5904" t="s">
        <v>28224</v>
      </c>
      <c r="X5904" t="s">
        <v>835</v>
      </c>
      <c r="Y5904" t="s">
        <v>97</v>
      </c>
      <c r="Z5904" t="s">
        <v>77</v>
      </c>
      <c r="AA5904" t="str">
        <f>"10029-6501"</f>
        <v>10029-6501</v>
      </c>
      <c r="AB5904" t="s">
        <v>78</v>
      </c>
      <c r="AC5904" t="s">
        <v>79</v>
      </c>
      <c r="AD5904" t="s">
        <v>75</v>
      </c>
      <c r="AE5904" t="s">
        <v>80</v>
      </c>
      <c r="AG5904" t="s">
        <v>81</v>
      </c>
    </row>
    <row r="5905" spans="1:33" x14ac:dyDescent="0.25">
      <c r="A5905" t="str">
        <f>"1578548848"</f>
        <v>1578548848</v>
      </c>
      <c r="B5905" t="str">
        <f>"00345955"</f>
        <v>00345955</v>
      </c>
      <c r="C5905" t="s">
        <v>13436</v>
      </c>
      <c r="D5905" t="s">
        <v>28227</v>
      </c>
      <c r="E5905" t="s">
        <v>28228</v>
      </c>
      <c r="G5905" t="s">
        <v>28229</v>
      </c>
      <c r="L5905" t="s">
        <v>83</v>
      </c>
      <c r="M5905" t="s">
        <v>85</v>
      </c>
      <c r="R5905" t="s">
        <v>28230</v>
      </c>
      <c r="W5905" t="s">
        <v>28228</v>
      </c>
      <c r="X5905" t="s">
        <v>28231</v>
      </c>
      <c r="Y5905" t="s">
        <v>97</v>
      </c>
      <c r="Z5905" t="s">
        <v>77</v>
      </c>
      <c r="AA5905" t="str">
        <f>"10029-6500"</f>
        <v>10029-6500</v>
      </c>
      <c r="AB5905" t="s">
        <v>78</v>
      </c>
      <c r="AC5905" t="s">
        <v>79</v>
      </c>
      <c r="AD5905" t="s">
        <v>75</v>
      </c>
      <c r="AE5905" t="s">
        <v>80</v>
      </c>
      <c r="AG5905" t="s">
        <v>81</v>
      </c>
    </row>
    <row r="5906" spans="1:33" x14ac:dyDescent="0.25">
      <c r="A5906" t="str">
        <f>"1073711586"</f>
        <v>1073711586</v>
      </c>
      <c r="B5906" t="str">
        <f>"03078186"</f>
        <v>03078186</v>
      </c>
      <c r="C5906" t="s">
        <v>13436</v>
      </c>
      <c r="D5906" t="s">
        <v>28232</v>
      </c>
      <c r="E5906" t="s">
        <v>28233</v>
      </c>
      <c r="G5906" t="s">
        <v>28234</v>
      </c>
      <c r="L5906" t="s">
        <v>74</v>
      </c>
      <c r="M5906" t="s">
        <v>75</v>
      </c>
      <c r="R5906" t="s">
        <v>28233</v>
      </c>
      <c r="W5906" t="s">
        <v>28235</v>
      </c>
      <c r="X5906" t="s">
        <v>235</v>
      </c>
      <c r="Y5906" t="s">
        <v>236</v>
      </c>
      <c r="Z5906" t="s">
        <v>77</v>
      </c>
      <c r="AA5906" t="str">
        <f>"11102-2448"</f>
        <v>11102-2448</v>
      </c>
      <c r="AB5906" t="s">
        <v>78</v>
      </c>
      <c r="AC5906" t="s">
        <v>79</v>
      </c>
      <c r="AD5906" t="s">
        <v>75</v>
      </c>
      <c r="AE5906" t="s">
        <v>80</v>
      </c>
      <c r="AG5906" t="s">
        <v>81</v>
      </c>
    </row>
    <row r="5907" spans="1:33" x14ac:dyDescent="0.25">
      <c r="A5907" t="str">
        <f>"1073712303"</f>
        <v>1073712303</v>
      </c>
      <c r="C5907" t="s">
        <v>13436</v>
      </c>
      <c r="G5907" t="s">
        <v>28236</v>
      </c>
      <c r="K5907" t="s">
        <v>99</v>
      </c>
      <c r="L5907" t="s">
        <v>102</v>
      </c>
      <c r="M5907" t="s">
        <v>75</v>
      </c>
      <c r="R5907" t="s">
        <v>28237</v>
      </c>
      <c r="S5907" t="s">
        <v>443</v>
      </c>
      <c r="T5907" t="s">
        <v>97</v>
      </c>
      <c r="U5907" t="s">
        <v>77</v>
      </c>
      <c r="V5907" t="str">
        <f>"100751850"</f>
        <v>100751850</v>
      </c>
      <c r="AC5907" t="s">
        <v>79</v>
      </c>
      <c r="AD5907" t="s">
        <v>75</v>
      </c>
      <c r="AE5907" t="s">
        <v>103</v>
      </c>
      <c r="AG5907" t="s">
        <v>81</v>
      </c>
    </row>
    <row r="5908" spans="1:33" x14ac:dyDescent="0.25">
      <c r="A5908" t="str">
        <f>"1124229471"</f>
        <v>1124229471</v>
      </c>
      <c r="C5908" t="s">
        <v>13436</v>
      </c>
      <c r="G5908" t="s">
        <v>28238</v>
      </c>
      <c r="K5908" t="s">
        <v>99</v>
      </c>
      <c r="L5908" t="s">
        <v>102</v>
      </c>
      <c r="M5908" t="s">
        <v>75</v>
      </c>
      <c r="R5908" t="s">
        <v>28239</v>
      </c>
      <c r="S5908" t="s">
        <v>28240</v>
      </c>
      <c r="T5908" t="s">
        <v>139</v>
      </c>
      <c r="U5908" t="s">
        <v>77</v>
      </c>
      <c r="V5908" t="str">
        <f>"113581145"</f>
        <v>113581145</v>
      </c>
      <c r="AC5908" t="s">
        <v>79</v>
      </c>
      <c r="AD5908" t="s">
        <v>75</v>
      </c>
      <c r="AE5908" t="s">
        <v>103</v>
      </c>
      <c r="AG5908" t="s">
        <v>81</v>
      </c>
    </row>
    <row r="5909" spans="1:33" x14ac:dyDescent="0.25">
      <c r="A5909" t="str">
        <f>"1053722702"</f>
        <v>1053722702</v>
      </c>
      <c r="C5909" t="s">
        <v>13436</v>
      </c>
      <c r="K5909" t="s">
        <v>99</v>
      </c>
      <c r="L5909" t="s">
        <v>102</v>
      </c>
      <c r="M5909" t="s">
        <v>75</v>
      </c>
      <c r="R5909" t="s">
        <v>28241</v>
      </c>
      <c r="S5909" t="s">
        <v>28242</v>
      </c>
      <c r="T5909" t="s">
        <v>11614</v>
      </c>
      <c r="U5909" t="s">
        <v>4653</v>
      </c>
      <c r="V5909" t="str">
        <f>"847808229"</f>
        <v>847808229</v>
      </c>
      <c r="AC5909" t="s">
        <v>79</v>
      </c>
      <c r="AD5909" t="s">
        <v>75</v>
      </c>
      <c r="AE5909" t="s">
        <v>103</v>
      </c>
      <c r="AG5909" t="s">
        <v>81</v>
      </c>
    </row>
    <row r="5910" spans="1:33" x14ac:dyDescent="0.25">
      <c r="A5910" t="str">
        <f>"1053729129"</f>
        <v>1053729129</v>
      </c>
      <c r="C5910" t="s">
        <v>13436</v>
      </c>
      <c r="K5910" t="s">
        <v>99</v>
      </c>
      <c r="L5910" t="s">
        <v>102</v>
      </c>
      <c r="M5910" t="s">
        <v>75</v>
      </c>
      <c r="R5910" t="s">
        <v>28243</v>
      </c>
      <c r="S5910" t="s">
        <v>13242</v>
      </c>
      <c r="T5910" t="s">
        <v>97</v>
      </c>
      <c r="U5910" t="s">
        <v>77</v>
      </c>
      <c r="V5910" t="str">
        <f>"100191147"</f>
        <v>100191147</v>
      </c>
      <c r="AC5910" t="s">
        <v>79</v>
      </c>
      <c r="AD5910" t="s">
        <v>75</v>
      </c>
      <c r="AE5910" t="s">
        <v>103</v>
      </c>
      <c r="AG5910" t="s">
        <v>81</v>
      </c>
    </row>
    <row r="5911" spans="1:33" x14ac:dyDescent="0.25">
      <c r="A5911" t="str">
        <f>"1053730002"</f>
        <v>1053730002</v>
      </c>
      <c r="C5911" t="s">
        <v>13436</v>
      </c>
      <c r="K5911" t="s">
        <v>99</v>
      </c>
      <c r="L5911" t="s">
        <v>102</v>
      </c>
      <c r="M5911" t="s">
        <v>75</v>
      </c>
      <c r="R5911" t="s">
        <v>28244</v>
      </c>
      <c r="S5911" t="s">
        <v>28245</v>
      </c>
      <c r="T5911" t="s">
        <v>4644</v>
      </c>
      <c r="U5911" t="s">
        <v>4645</v>
      </c>
      <c r="V5911" t="str">
        <f>"532332186"</f>
        <v>532332186</v>
      </c>
      <c r="AC5911" t="s">
        <v>79</v>
      </c>
      <c r="AD5911" t="s">
        <v>75</v>
      </c>
      <c r="AE5911" t="s">
        <v>103</v>
      </c>
      <c r="AG5911" t="s">
        <v>81</v>
      </c>
    </row>
    <row r="5912" spans="1:33" x14ac:dyDescent="0.25">
      <c r="A5912" t="str">
        <f>"1053730952"</f>
        <v>1053730952</v>
      </c>
      <c r="C5912" t="s">
        <v>13436</v>
      </c>
      <c r="K5912" t="s">
        <v>99</v>
      </c>
      <c r="L5912" t="s">
        <v>102</v>
      </c>
      <c r="M5912" t="s">
        <v>75</v>
      </c>
      <c r="R5912" t="s">
        <v>28246</v>
      </c>
      <c r="S5912" t="s">
        <v>12363</v>
      </c>
      <c r="T5912" t="s">
        <v>97</v>
      </c>
      <c r="U5912" t="s">
        <v>77</v>
      </c>
      <c r="V5912" t="str">
        <f>"100295204"</f>
        <v>100295204</v>
      </c>
      <c r="AC5912" t="s">
        <v>79</v>
      </c>
      <c r="AD5912" t="s">
        <v>75</v>
      </c>
      <c r="AE5912" t="s">
        <v>103</v>
      </c>
      <c r="AG5912" t="s">
        <v>81</v>
      </c>
    </row>
    <row r="5913" spans="1:33" x14ac:dyDescent="0.25">
      <c r="A5913" t="str">
        <f>"1053739565"</f>
        <v>1053739565</v>
      </c>
      <c r="C5913" t="s">
        <v>13436</v>
      </c>
      <c r="K5913" t="s">
        <v>99</v>
      </c>
      <c r="L5913" t="s">
        <v>102</v>
      </c>
      <c r="M5913" t="s">
        <v>75</v>
      </c>
      <c r="R5913" t="s">
        <v>28247</v>
      </c>
      <c r="S5913" t="s">
        <v>24381</v>
      </c>
      <c r="T5913" t="s">
        <v>97</v>
      </c>
      <c r="U5913" t="s">
        <v>77</v>
      </c>
      <c r="V5913" t="str">
        <f>"100296503"</f>
        <v>100296503</v>
      </c>
      <c r="AC5913" t="s">
        <v>79</v>
      </c>
      <c r="AD5913" t="s">
        <v>75</v>
      </c>
      <c r="AE5913" t="s">
        <v>103</v>
      </c>
      <c r="AG5913" t="s">
        <v>81</v>
      </c>
    </row>
    <row r="5914" spans="1:33" x14ac:dyDescent="0.25">
      <c r="A5914" t="str">
        <f>"1518373661"</f>
        <v>1518373661</v>
      </c>
      <c r="B5914" t="str">
        <f>"04021216"</f>
        <v>04021216</v>
      </c>
      <c r="C5914" t="s">
        <v>13436</v>
      </c>
      <c r="D5914" t="s">
        <v>28248</v>
      </c>
      <c r="E5914" t="s">
        <v>28249</v>
      </c>
      <c r="L5914" t="s">
        <v>74</v>
      </c>
      <c r="M5914" t="s">
        <v>75</v>
      </c>
      <c r="R5914" t="s">
        <v>28249</v>
      </c>
      <c r="W5914" t="s">
        <v>28250</v>
      </c>
      <c r="X5914" t="s">
        <v>235</v>
      </c>
      <c r="Y5914" t="s">
        <v>190</v>
      </c>
      <c r="Z5914" t="s">
        <v>77</v>
      </c>
      <c r="AA5914" t="str">
        <f>"11102-2448"</f>
        <v>11102-2448</v>
      </c>
      <c r="AB5914" t="s">
        <v>78</v>
      </c>
      <c r="AC5914" t="s">
        <v>79</v>
      </c>
      <c r="AD5914" t="s">
        <v>75</v>
      </c>
      <c r="AE5914" t="s">
        <v>80</v>
      </c>
      <c r="AG5914" t="s">
        <v>81</v>
      </c>
    </row>
    <row r="5915" spans="1:33" x14ac:dyDescent="0.25">
      <c r="A5915" t="str">
        <f>"1518384775"</f>
        <v>1518384775</v>
      </c>
      <c r="C5915" t="s">
        <v>13436</v>
      </c>
      <c r="K5915" t="s">
        <v>99</v>
      </c>
      <c r="L5915" t="s">
        <v>102</v>
      </c>
      <c r="M5915" t="s">
        <v>75</v>
      </c>
      <c r="R5915" t="s">
        <v>28251</v>
      </c>
      <c r="S5915" t="s">
        <v>28252</v>
      </c>
      <c r="T5915" t="s">
        <v>28253</v>
      </c>
      <c r="U5915" t="s">
        <v>4569</v>
      </c>
      <c r="V5915" t="str">
        <f>"M3C4C1"</f>
        <v>M3C4C1</v>
      </c>
      <c r="AC5915" t="s">
        <v>79</v>
      </c>
      <c r="AD5915" t="s">
        <v>75</v>
      </c>
      <c r="AE5915" t="s">
        <v>103</v>
      </c>
      <c r="AG5915" t="s">
        <v>81</v>
      </c>
    </row>
    <row r="5916" spans="1:33" x14ac:dyDescent="0.25">
      <c r="A5916" t="str">
        <f>"1518385889"</f>
        <v>1518385889</v>
      </c>
      <c r="C5916" t="s">
        <v>13436</v>
      </c>
      <c r="K5916" t="s">
        <v>99</v>
      </c>
      <c r="L5916" t="s">
        <v>102</v>
      </c>
      <c r="M5916" t="s">
        <v>75</v>
      </c>
      <c r="R5916" t="s">
        <v>28254</v>
      </c>
      <c r="S5916" t="s">
        <v>12670</v>
      </c>
      <c r="T5916" t="s">
        <v>97</v>
      </c>
      <c r="U5916" t="s">
        <v>77</v>
      </c>
      <c r="V5916" t="str">
        <f>"100033821"</f>
        <v>100033821</v>
      </c>
      <c r="AC5916" t="s">
        <v>79</v>
      </c>
      <c r="AD5916" t="s">
        <v>75</v>
      </c>
      <c r="AE5916" t="s">
        <v>103</v>
      </c>
      <c r="AG5916" t="s">
        <v>81</v>
      </c>
    </row>
    <row r="5917" spans="1:33" x14ac:dyDescent="0.25">
      <c r="A5917" t="str">
        <f>"1518386663"</f>
        <v>1518386663</v>
      </c>
      <c r="C5917" t="s">
        <v>13436</v>
      </c>
      <c r="K5917" t="s">
        <v>99</v>
      </c>
      <c r="L5917" t="s">
        <v>102</v>
      </c>
      <c r="M5917" t="s">
        <v>75</v>
      </c>
      <c r="R5917" t="s">
        <v>28255</v>
      </c>
      <c r="S5917" t="s">
        <v>28256</v>
      </c>
      <c r="T5917" t="s">
        <v>97</v>
      </c>
      <c r="U5917" t="s">
        <v>77</v>
      </c>
      <c r="V5917" t="str">
        <f>"100191147"</f>
        <v>100191147</v>
      </c>
      <c r="AC5917" t="s">
        <v>79</v>
      </c>
      <c r="AD5917" t="s">
        <v>75</v>
      </c>
      <c r="AE5917" t="s">
        <v>103</v>
      </c>
      <c r="AG5917" t="s">
        <v>81</v>
      </c>
    </row>
    <row r="5918" spans="1:33" x14ac:dyDescent="0.25">
      <c r="A5918" t="str">
        <f>"1518392323"</f>
        <v>1518392323</v>
      </c>
      <c r="C5918" t="s">
        <v>13436</v>
      </c>
      <c r="K5918" t="s">
        <v>99</v>
      </c>
      <c r="L5918" t="s">
        <v>102</v>
      </c>
      <c r="M5918" t="s">
        <v>75</v>
      </c>
      <c r="R5918" t="s">
        <v>28257</v>
      </c>
      <c r="S5918" t="s">
        <v>28258</v>
      </c>
      <c r="T5918" t="s">
        <v>4483</v>
      </c>
      <c r="U5918" t="s">
        <v>1842</v>
      </c>
      <c r="V5918" t="str">
        <f>"065103220"</f>
        <v>065103220</v>
      </c>
      <c r="AC5918" t="s">
        <v>79</v>
      </c>
      <c r="AD5918" t="s">
        <v>75</v>
      </c>
      <c r="AE5918" t="s">
        <v>103</v>
      </c>
      <c r="AG5918" t="s">
        <v>81</v>
      </c>
    </row>
    <row r="5919" spans="1:33" x14ac:dyDescent="0.25">
      <c r="A5919" t="str">
        <f>"1518905454"</f>
        <v>1518905454</v>
      </c>
      <c r="B5919" t="str">
        <f>"00888486"</f>
        <v>00888486</v>
      </c>
      <c r="C5919" t="s">
        <v>13436</v>
      </c>
      <c r="D5919" t="s">
        <v>28259</v>
      </c>
      <c r="E5919" t="s">
        <v>28260</v>
      </c>
      <c r="G5919" t="s">
        <v>28261</v>
      </c>
      <c r="L5919" t="s">
        <v>84</v>
      </c>
      <c r="M5919" t="s">
        <v>85</v>
      </c>
      <c r="R5919" t="s">
        <v>28262</v>
      </c>
      <c r="W5919" t="s">
        <v>28260</v>
      </c>
      <c r="X5919" t="s">
        <v>28263</v>
      </c>
      <c r="Y5919" t="s">
        <v>87</v>
      </c>
      <c r="Z5919" t="s">
        <v>77</v>
      </c>
      <c r="AA5919" t="str">
        <f>"11201-1093"</f>
        <v>11201-1093</v>
      </c>
      <c r="AB5919" t="s">
        <v>78</v>
      </c>
      <c r="AC5919" t="s">
        <v>79</v>
      </c>
      <c r="AD5919" t="s">
        <v>75</v>
      </c>
      <c r="AE5919" t="s">
        <v>80</v>
      </c>
      <c r="AG5919" t="s">
        <v>81</v>
      </c>
    </row>
    <row r="5920" spans="1:33" x14ac:dyDescent="0.25">
      <c r="A5920" t="str">
        <f>"1518927409"</f>
        <v>1518927409</v>
      </c>
      <c r="B5920" t="str">
        <f>"02741757"</f>
        <v>02741757</v>
      </c>
      <c r="C5920" t="s">
        <v>13436</v>
      </c>
      <c r="D5920" t="s">
        <v>28264</v>
      </c>
      <c r="E5920" t="s">
        <v>28265</v>
      </c>
      <c r="L5920" t="s">
        <v>74</v>
      </c>
      <c r="M5920" t="s">
        <v>85</v>
      </c>
      <c r="R5920" t="s">
        <v>28266</v>
      </c>
      <c r="W5920" t="s">
        <v>28265</v>
      </c>
      <c r="X5920" t="s">
        <v>11460</v>
      </c>
      <c r="Y5920" t="s">
        <v>97</v>
      </c>
      <c r="Z5920" t="s">
        <v>77</v>
      </c>
      <c r="AA5920" t="str">
        <f>"10029-6501"</f>
        <v>10029-6501</v>
      </c>
      <c r="AB5920" t="s">
        <v>78</v>
      </c>
      <c r="AC5920" t="s">
        <v>79</v>
      </c>
      <c r="AD5920" t="s">
        <v>75</v>
      </c>
      <c r="AE5920" t="s">
        <v>80</v>
      </c>
      <c r="AG5920" t="s">
        <v>81</v>
      </c>
    </row>
    <row r="5921" spans="1:33" x14ac:dyDescent="0.25">
      <c r="A5921" t="str">
        <f>"1386611937"</f>
        <v>1386611937</v>
      </c>
      <c r="B5921" t="str">
        <f>"01988403"</f>
        <v>01988403</v>
      </c>
      <c r="C5921" t="s">
        <v>13436</v>
      </c>
      <c r="D5921" t="s">
        <v>28267</v>
      </c>
      <c r="E5921" t="s">
        <v>28268</v>
      </c>
      <c r="G5921" t="s">
        <v>28269</v>
      </c>
      <c r="L5921" t="s">
        <v>74</v>
      </c>
      <c r="M5921" t="s">
        <v>85</v>
      </c>
      <c r="R5921" t="s">
        <v>28270</v>
      </c>
      <c r="W5921" t="s">
        <v>28268</v>
      </c>
      <c r="X5921" t="s">
        <v>329</v>
      </c>
      <c r="Y5921" t="s">
        <v>97</v>
      </c>
      <c r="Z5921" t="s">
        <v>77</v>
      </c>
      <c r="AA5921" t="str">
        <f>"10029-6500"</f>
        <v>10029-6500</v>
      </c>
      <c r="AB5921" t="s">
        <v>78</v>
      </c>
      <c r="AC5921" t="s">
        <v>79</v>
      </c>
      <c r="AD5921" t="s">
        <v>75</v>
      </c>
      <c r="AE5921" t="s">
        <v>80</v>
      </c>
      <c r="AG5921" t="s">
        <v>81</v>
      </c>
    </row>
    <row r="5922" spans="1:33" x14ac:dyDescent="0.25">
      <c r="A5922" t="str">
        <f>"1386625994"</f>
        <v>1386625994</v>
      </c>
      <c r="B5922" t="str">
        <f>"01194870"</f>
        <v>01194870</v>
      </c>
      <c r="C5922" t="s">
        <v>13436</v>
      </c>
      <c r="D5922" t="s">
        <v>28271</v>
      </c>
      <c r="E5922" t="s">
        <v>28272</v>
      </c>
      <c r="G5922" t="s">
        <v>28273</v>
      </c>
      <c r="L5922" t="s">
        <v>74</v>
      </c>
      <c r="M5922" t="s">
        <v>85</v>
      </c>
      <c r="R5922" t="s">
        <v>28274</v>
      </c>
      <c r="W5922" t="s">
        <v>28272</v>
      </c>
      <c r="X5922" t="s">
        <v>11972</v>
      </c>
      <c r="Y5922" t="s">
        <v>97</v>
      </c>
      <c r="Z5922" t="s">
        <v>77</v>
      </c>
      <c r="AA5922" t="str">
        <f>"10029-6501"</f>
        <v>10029-6501</v>
      </c>
      <c r="AB5922" t="s">
        <v>78</v>
      </c>
      <c r="AC5922" t="s">
        <v>79</v>
      </c>
      <c r="AD5922" t="s">
        <v>75</v>
      </c>
      <c r="AE5922" t="s">
        <v>80</v>
      </c>
      <c r="AG5922" t="s">
        <v>81</v>
      </c>
    </row>
    <row r="5923" spans="1:33" x14ac:dyDescent="0.25">
      <c r="A5923" t="str">
        <f>"1386632230"</f>
        <v>1386632230</v>
      </c>
      <c r="B5923" t="str">
        <f>"01213047"</f>
        <v>01213047</v>
      </c>
      <c r="C5923" t="s">
        <v>13436</v>
      </c>
      <c r="D5923" t="s">
        <v>28275</v>
      </c>
      <c r="E5923" t="s">
        <v>28276</v>
      </c>
      <c r="G5923" t="s">
        <v>28277</v>
      </c>
      <c r="L5923" t="s">
        <v>83</v>
      </c>
      <c r="M5923" t="s">
        <v>85</v>
      </c>
      <c r="R5923" t="s">
        <v>28278</v>
      </c>
      <c r="W5923" t="s">
        <v>28279</v>
      </c>
      <c r="X5923" t="s">
        <v>393</v>
      </c>
      <c r="Y5923" t="s">
        <v>87</v>
      </c>
      <c r="Z5923" t="s">
        <v>77</v>
      </c>
      <c r="AA5923" t="str">
        <f>"11235-7745"</f>
        <v>11235-7745</v>
      </c>
      <c r="AB5923" t="s">
        <v>78</v>
      </c>
      <c r="AC5923" t="s">
        <v>79</v>
      </c>
      <c r="AD5923" t="s">
        <v>75</v>
      </c>
      <c r="AE5923" t="s">
        <v>80</v>
      </c>
      <c r="AG5923" t="s">
        <v>81</v>
      </c>
    </row>
    <row r="5924" spans="1:33" x14ac:dyDescent="0.25">
      <c r="A5924" t="str">
        <f>"1578720686"</f>
        <v>1578720686</v>
      </c>
      <c r="B5924" t="str">
        <f>"03380054"</f>
        <v>03380054</v>
      </c>
      <c r="C5924" t="s">
        <v>13436</v>
      </c>
      <c r="D5924" t="s">
        <v>28280</v>
      </c>
      <c r="E5924" t="s">
        <v>28281</v>
      </c>
      <c r="G5924" t="s">
        <v>28282</v>
      </c>
      <c r="L5924" t="s">
        <v>83</v>
      </c>
      <c r="M5924" t="s">
        <v>85</v>
      </c>
      <c r="R5924" t="s">
        <v>28283</v>
      </c>
      <c r="W5924" t="s">
        <v>28281</v>
      </c>
      <c r="X5924" t="s">
        <v>11073</v>
      </c>
      <c r="Y5924" t="s">
        <v>97</v>
      </c>
      <c r="Z5924" t="s">
        <v>77</v>
      </c>
      <c r="AA5924" t="str">
        <f>"10029-6500"</f>
        <v>10029-6500</v>
      </c>
      <c r="AB5924" t="s">
        <v>78</v>
      </c>
      <c r="AC5924" t="s">
        <v>79</v>
      </c>
      <c r="AD5924" t="s">
        <v>75</v>
      </c>
      <c r="AE5924" t="s">
        <v>80</v>
      </c>
      <c r="AG5924" t="s">
        <v>81</v>
      </c>
    </row>
    <row r="5925" spans="1:33" x14ac:dyDescent="0.25">
      <c r="A5925" t="str">
        <f>"1851465793"</f>
        <v>1851465793</v>
      </c>
      <c r="B5925" t="str">
        <f>"00651345"</f>
        <v>00651345</v>
      </c>
      <c r="C5925" t="s">
        <v>13436</v>
      </c>
      <c r="D5925" t="s">
        <v>28284</v>
      </c>
      <c r="E5925" t="s">
        <v>28285</v>
      </c>
      <c r="L5925" t="s">
        <v>83</v>
      </c>
      <c r="M5925" t="s">
        <v>75</v>
      </c>
      <c r="R5925" t="s">
        <v>28286</v>
      </c>
      <c r="W5925" t="s">
        <v>28285</v>
      </c>
      <c r="X5925" t="s">
        <v>28287</v>
      </c>
      <c r="Y5925" t="s">
        <v>97</v>
      </c>
      <c r="Z5925" t="s">
        <v>77</v>
      </c>
      <c r="AA5925" t="str">
        <f>"10018-1415"</f>
        <v>10018-1415</v>
      </c>
      <c r="AB5925" t="s">
        <v>128</v>
      </c>
      <c r="AC5925" t="s">
        <v>79</v>
      </c>
      <c r="AD5925" t="s">
        <v>75</v>
      </c>
      <c r="AE5925" t="s">
        <v>80</v>
      </c>
      <c r="AG5925" t="s">
        <v>81</v>
      </c>
    </row>
    <row r="5926" spans="1:33" x14ac:dyDescent="0.25">
      <c r="A5926" t="str">
        <f>"1851478457"</f>
        <v>1851478457</v>
      </c>
      <c r="B5926" t="str">
        <f>"02663550"</f>
        <v>02663550</v>
      </c>
      <c r="C5926" t="s">
        <v>13436</v>
      </c>
      <c r="D5926" t="s">
        <v>28288</v>
      </c>
      <c r="E5926" t="s">
        <v>28289</v>
      </c>
      <c r="L5926" t="s">
        <v>83</v>
      </c>
      <c r="M5926" t="s">
        <v>85</v>
      </c>
      <c r="R5926" t="s">
        <v>28290</v>
      </c>
      <c r="W5926" t="s">
        <v>28289</v>
      </c>
      <c r="X5926" t="s">
        <v>200</v>
      </c>
      <c r="Y5926" t="s">
        <v>97</v>
      </c>
      <c r="Z5926" t="s">
        <v>77</v>
      </c>
      <c r="AA5926" t="str">
        <f>"10032-3720"</f>
        <v>10032-3720</v>
      </c>
      <c r="AB5926" t="s">
        <v>78</v>
      </c>
      <c r="AC5926" t="s">
        <v>79</v>
      </c>
      <c r="AD5926" t="s">
        <v>75</v>
      </c>
      <c r="AE5926" t="s">
        <v>80</v>
      </c>
      <c r="AG5926" t="s">
        <v>81</v>
      </c>
    </row>
    <row r="5927" spans="1:33" x14ac:dyDescent="0.25">
      <c r="A5927" t="str">
        <f>"1851492524"</f>
        <v>1851492524</v>
      </c>
      <c r="B5927" t="str">
        <f>"01981873"</f>
        <v>01981873</v>
      </c>
      <c r="C5927" t="s">
        <v>13436</v>
      </c>
      <c r="D5927" t="s">
        <v>28291</v>
      </c>
      <c r="E5927" t="s">
        <v>28292</v>
      </c>
      <c r="L5927" t="s">
        <v>74</v>
      </c>
      <c r="M5927" t="s">
        <v>75</v>
      </c>
      <c r="R5927" t="s">
        <v>28292</v>
      </c>
      <c r="W5927" t="s">
        <v>28292</v>
      </c>
      <c r="X5927" t="s">
        <v>2926</v>
      </c>
      <c r="Y5927" t="s">
        <v>97</v>
      </c>
      <c r="Z5927" t="s">
        <v>77</v>
      </c>
      <c r="AA5927" t="str">
        <f>"10029-6503"</f>
        <v>10029-6503</v>
      </c>
      <c r="AB5927" t="s">
        <v>114</v>
      </c>
      <c r="AC5927" t="s">
        <v>79</v>
      </c>
      <c r="AD5927" t="s">
        <v>75</v>
      </c>
      <c r="AE5927" t="s">
        <v>80</v>
      </c>
      <c r="AG5927" t="s">
        <v>81</v>
      </c>
    </row>
    <row r="5928" spans="1:33" x14ac:dyDescent="0.25">
      <c r="A5928" t="str">
        <f>"1396764106"</f>
        <v>1396764106</v>
      </c>
      <c r="B5928" t="str">
        <f>"01358227"</f>
        <v>01358227</v>
      </c>
      <c r="C5928" t="s">
        <v>13436</v>
      </c>
      <c r="D5928" t="s">
        <v>28293</v>
      </c>
      <c r="E5928" t="s">
        <v>28294</v>
      </c>
      <c r="G5928" t="s">
        <v>28295</v>
      </c>
      <c r="L5928" t="s">
        <v>83</v>
      </c>
      <c r="M5928" t="s">
        <v>85</v>
      </c>
      <c r="R5928" t="s">
        <v>28296</v>
      </c>
      <c r="W5928" t="s">
        <v>28294</v>
      </c>
      <c r="X5928" t="s">
        <v>272</v>
      </c>
      <c r="Y5928" t="s">
        <v>97</v>
      </c>
      <c r="Z5928" t="s">
        <v>77</v>
      </c>
      <c r="AA5928" t="str">
        <f>"10029-6501"</f>
        <v>10029-6501</v>
      </c>
      <c r="AB5928" t="s">
        <v>78</v>
      </c>
      <c r="AC5928" t="s">
        <v>79</v>
      </c>
      <c r="AD5928" t="s">
        <v>75</v>
      </c>
      <c r="AE5928" t="s">
        <v>80</v>
      </c>
      <c r="AG5928" t="s">
        <v>81</v>
      </c>
    </row>
    <row r="5929" spans="1:33" x14ac:dyDescent="0.25">
      <c r="A5929" t="str">
        <f>"1396767737"</f>
        <v>1396767737</v>
      </c>
      <c r="C5929" t="s">
        <v>13436</v>
      </c>
      <c r="G5929" t="s">
        <v>28297</v>
      </c>
      <c r="K5929" t="s">
        <v>99</v>
      </c>
      <c r="L5929" t="s">
        <v>102</v>
      </c>
      <c r="M5929" t="s">
        <v>75</v>
      </c>
      <c r="R5929" t="s">
        <v>28298</v>
      </c>
      <c r="S5929" t="s">
        <v>138</v>
      </c>
      <c r="T5929" t="s">
        <v>139</v>
      </c>
      <c r="U5929" t="s">
        <v>77</v>
      </c>
      <c r="V5929" t="str">
        <f>"113555045"</f>
        <v>113555045</v>
      </c>
      <c r="AC5929" t="s">
        <v>79</v>
      </c>
      <c r="AD5929" t="s">
        <v>75</v>
      </c>
      <c r="AE5929" t="s">
        <v>103</v>
      </c>
      <c r="AG5929" t="s">
        <v>81</v>
      </c>
    </row>
    <row r="5930" spans="1:33" x14ac:dyDescent="0.25">
      <c r="A5930" t="str">
        <f>"1437415684"</f>
        <v>1437415684</v>
      </c>
      <c r="C5930" t="s">
        <v>13436</v>
      </c>
      <c r="K5930" t="s">
        <v>99</v>
      </c>
      <c r="L5930" t="s">
        <v>102</v>
      </c>
      <c r="M5930" t="s">
        <v>75</v>
      </c>
      <c r="R5930" t="s">
        <v>28299</v>
      </c>
      <c r="S5930" t="s">
        <v>28300</v>
      </c>
      <c r="T5930" t="s">
        <v>97</v>
      </c>
      <c r="U5930" t="s">
        <v>77</v>
      </c>
      <c r="V5930" t="str">
        <f>"100322606"</f>
        <v>100322606</v>
      </c>
      <c r="AC5930" t="s">
        <v>79</v>
      </c>
      <c r="AD5930" t="s">
        <v>75</v>
      </c>
      <c r="AE5930" t="s">
        <v>103</v>
      </c>
      <c r="AG5930" t="s">
        <v>81</v>
      </c>
    </row>
    <row r="5931" spans="1:33" x14ac:dyDescent="0.25">
      <c r="A5931" t="str">
        <f>"1437416807"</f>
        <v>1437416807</v>
      </c>
      <c r="B5931" t="str">
        <f>"04495098"</f>
        <v>04495098</v>
      </c>
      <c r="C5931" t="s">
        <v>13436</v>
      </c>
      <c r="D5931" t="s">
        <v>28301</v>
      </c>
      <c r="E5931" t="s">
        <v>28302</v>
      </c>
      <c r="L5931" t="s">
        <v>102</v>
      </c>
      <c r="M5931" t="s">
        <v>75</v>
      </c>
      <c r="R5931" t="s">
        <v>28303</v>
      </c>
      <c r="W5931" t="s">
        <v>28302</v>
      </c>
      <c r="AB5931" t="s">
        <v>78</v>
      </c>
      <c r="AC5931" t="s">
        <v>79</v>
      </c>
      <c r="AD5931" t="s">
        <v>75</v>
      </c>
      <c r="AE5931" t="s">
        <v>80</v>
      </c>
      <c r="AG5931" t="s">
        <v>81</v>
      </c>
    </row>
    <row r="5932" spans="1:33" x14ac:dyDescent="0.25">
      <c r="A5932" t="str">
        <f>"1114188109"</f>
        <v>1114188109</v>
      </c>
      <c r="B5932" t="str">
        <f>"03128118"</f>
        <v>03128118</v>
      </c>
      <c r="C5932" t="s">
        <v>13436</v>
      </c>
      <c r="D5932" t="s">
        <v>28304</v>
      </c>
      <c r="E5932" t="s">
        <v>28305</v>
      </c>
      <c r="L5932" t="s">
        <v>84</v>
      </c>
      <c r="M5932" t="s">
        <v>85</v>
      </c>
      <c r="R5932" t="s">
        <v>28305</v>
      </c>
      <c r="W5932" t="s">
        <v>28306</v>
      </c>
      <c r="X5932" t="s">
        <v>28307</v>
      </c>
      <c r="Y5932" t="s">
        <v>97</v>
      </c>
      <c r="Z5932" t="s">
        <v>77</v>
      </c>
      <c r="AA5932" t="str">
        <f>"10032-3729"</f>
        <v>10032-3729</v>
      </c>
      <c r="AB5932" t="s">
        <v>78</v>
      </c>
      <c r="AC5932" t="s">
        <v>79</v>
      </c>
      <c r="AD5932" t="s">
        <v>75</v>
      </c>
      <c r="AE5932" t="s">
        <v>80</v>
      </c>
      <c r="AG5932" t="s">
        <v>81</v>
      </c>
    </row>
    <row r="5933" spans="1:33" x14ac:dyDescent="0.25">
      <c r="A5933" t="str">
        <f>"1114217908"</f>
        <v>1114217908</v>
      </c>
      <c r="C5933" t="s">
        <v>13436</v>
      </c>
      <c r="K5933" t="s">
        <v>99</v>
      </c>
      <c r="L5933" t="s">
        <v>102</v>
      </c>
      <c r="M5933" t="s">
        <v>75</v>
      </c>
      <c r="R5933" t="s">
        <v>28308</v>
      </c>
      <c r="S5933" t="s">
        <v>28309</v>
      </c>
      <c r="T5933" t="s">
        <v>4557</v>
      </c>
      <c r="U5933" t="s">
        <v>739</v>
      </c>
      <c r="V5933" t="str">
        <f>"452082650"</f>
        <v>452082650</v>
      </c>
      <c r="AC5933" t="s">
        <v>79</v>
      </c>
      <c r="AD5933" t="s">
        <v>75</v>
      </c>
      <c r="AE5933" t="s">
        <v>103</v>
      </c>
      <c r="AG5933" t="s">
        <v>81</v>
      </c>
    </row>
    <row r="5934" spans="1:33" x14ac:dyDescent="0.25">
      <c r="A5934" t="str">
        <f>"1114219300"</f>
        <v>1114219300</v>
      </c>
      <c r="C5934" t="s">
        <v>13436</v>
      </c>
      <c r="K5934" t="s">
        <v>99</v>
      </c>
      <c r="L5934" t="s">
        <v>74</v>
      </c>
      <c r="M5934" t="s">
        <v>75</v>
      </c>
      <c r="R5934" t="s">
        <v>28310</v>
      </c>
      <c r="S5934" t="s">
        <v>28311</v>
      </c>
      <c r="T5934" t="s">
        <v>28312</v>
      </c>
      <c r="U5934" t="s">
        <v>4569</v>
      </c>
      <c r="V5934" t="str">
        <f>"L6P1W2"</f>
        <v>L6P1W2</v>
      </c>
      <c r="AC5934" t="s">
        <v>79</v>
      </c>
      <c r="AD5934" t="s">
        <v>75</v>
      </c>
      <c r="AE5934" t="s">
        <v>103</v>
      </c>
      <c r="AG5934" t="s">
        <v>81</v>
      </c>
    </row>
    <row r="5935" spans="1:33" x14ac:dyDescent="0.25">
      <c r="A5935" t="str">
        <f>"1063755742"</f>
        <v>1063755742</v>
      </c>
      <c r="B5935" t="str">
        <f>"04538496"</f>
        <v>04538496</v>
      </c>
      <c r="C5935" t="s">
        <v>13436</v>
      </c>
      <c r="D5935" t="s">
        <v>28313</v>
      </c>
      <c r="E5935" t="s">
        <v>28314</v>
      </c>
      <c r="L5935" t="s">
        <v>74</v>
      </c>
      <c r="M5935" t="s">
        <v>75</v>
      </c>
      <c r="R5935" t="s">
        <v>28314</v>
      </c>
      <c r="W5935" t="s">
        <v>28314</v>
      </c>
      <c r="AB5935" t="s">
        <v>78</v>
      </c>
      <c r="AC5935" t="s">
        <v>79</v>
      </c>
      <c r="AD5935" t="s">
        <v>75</v>
      </c>
      <c r="AE5935" t="s">
        <v>80</v>
      </c>
      <c r="AG5935" t="s">
        <v>81</v>
      </c>
    </row>
    <row r="5936" spans="1:33" x14ac:dyDescent="0.25">
      <c r="A5936" t="str">
        <f>"1063757821"</f>
        <v>1063757821</v>
      </c>
      <c r="B5936" t="str">
        <f>"03604271"</f>
        <v>03604271</v>
      </c>
      <c r="C5936" t="s">
        <v>13436</v>
      </c>
      <c r="D5936" t="s">
        <v>28315</v>
      </c>
      <c r="E5936" t="s">
        <v>28316</v>
      </c>
      <c r="G5936" t="s">
        <v>28317</v>
      </c>
      <c r="L5936" t="s">
        <v>83</v>
      </c>
      <c r="M5936" t="s">
        <v>85</v>
      </c>
      <c r="R5936" t="s">
        <v>28316</v>
      </c>
      <c r="W5936" t="s">
        <v>28316</v>
      </c>
      <c r="X5936" t="s">
        <v>14029</v>
      </c>
      <c r="Y5936" t="s">
        <v>97</v>
      </c>
      <c r="Z5936" t="s">
        <v>77</v>
      </c>
      <c r="AA5936" t="str">
        <f>"10029-6501"</f>
        <v>10029-6501</v>
      </c>
      <c r="AB5936" t="s">
        <v>78</v>
      </c>
      <c r="AC5936" t="s">
        <v>79</v>
      </c>
      <c r="AD5936" t="s">
        <v>75</v>
      </c>
      <c r="AE5936" t="s">
        <v>80</v>
      </c>
      <c r="AG5936" t="s">
        <v>81</v>
      </c>
    </row>
    <row r="5937" spans="1:33" x14ac:dyDescent="0.25">
      <c r="A5937" t="str">
        <f>"1063760759"</f>
        <v>1063760759</v>
      </c>
      <c r="C5937" t="s">
        <v>13436</v>
      </c>
      <c r="K5937" t="s">
        <v>99</v>
      </c>
      <c r="L5937" t="s">
        <v>102</v>
      </c>
      <c r="M5937" t="s">
        <v>75</v>
      </c>
      <c r="R5937" t="s">
        <v>28318</v>
      </c>
      <c r="S5937" t="s">
        <v>28258</v>
      </c>
      <c r="T5937" t="s">
        <v>4483</v>
      </c>
      <c r="U5937" t="s">
        <v>1842</v>
      </c>
      <c r="V5937" t="str">
        <f>"065103220"</f>
        <v>065103220</v>
      </c>
      <c r="AC5937" t="s">
        <v>79</v>
      </c>
      <c r="AD5937" t="s">
        <v>75</v>
      </c>
      <c r="AE5937" t="s">
        <v>103</v>
      </c>
      <c r="AG5937" t="s">
        <v>81</v>
      </c>
    </row>
    <row r="5938" spans="1:33" x14ac:dyDescent="0.25">
      <c r="A5938" t="str">
        <f>"1063763365"</f>
        <v>1063763365</v>
      </c>
      <c r="C5938" t="s">
        <v>13436</v>
      </c>
      <c r="G5938" t="s">
        <v>28319</v>
      </c>
      <c r="K5938" t="s">
        <v>99</v>
      </c>
      <c r="L5938" t="s">
        <v>74</v>
      </c>
      <c r="M5938" t="s">
        <v>75</v>
      </c>
      <c r="R5938" t="s">
        <v>28320</v>
      </c>
      <c r="S5938" t="s">
        <v>5324</v>
      </c>
      <c r="T5938" t="s">
        <v>97</v>
      </c>
      <c r="U5938" t="s">
        <v>77</v>
      </c>
      <c r="V5938" t="str">
        <f>"100296500"</f>
        <v>100296500</v>
      </c>
      <c r="AC5938" t="s">
        <v>79</v>
      </c>
      <c r="AD5938" t="s">
        <v>75</v>
      </c>
      <c r="AE5938" t="s">
        <v>103</v>
      </c>
      <c r="AG5938" t="s">
        <v>81</v>
      </c>
    </row>
    <row r="5939" spans="1:33" x14ac:dyDescent="0.25">
      <c r="A5939" t="str">
        <f>"1063778272"</f>
        <v>1063778272</v>
      </c>
      <c r="C5939" t="s">
        <v>13436</v>
      </c>
      <c r="K5939" t="s">
        <v>99</v>
      </c>
      <c r="L5939" t="s">
        <v>102</v>
      </c>
      <c r="M5939" t="s">
        <v>75</v>
      </c>
      <c r="R5939" t="s">
        <v>28321</v>
      </c>
      <c r="S5939" t="s">
        <v>28322</v>
      </c>
      <c r="T5939" t="s">
        <v>28323</v>
      </c>
      <c r="U5939" t="s">
        <v>351</v>
      </c>
      <c r="V5939" t="str">
        <f>"324595957"</f>
        <v>324595957</v>
      </c>
      <c r="AC5939" t="s">
        <v>79</v>
      </c>
      <c r="AD5939" t="s">
        <v>75</v>
      </c>
      <c r="AE5939" t="s">
        <v>103</v>
      </c>
      <c r="AG5939" t="s">
        <v>81</v>
      </c>
    </row>
    <row r="5940" spans="1:33" x14ac:dyDescent="0.25">
      <c r="A5940" t="str">
        <f>"1063788461"</f>
        <v>1063788461</v>
      </c>
      <c r="B5940" t="str">
        <f>"03795062"</f>
        <v>03795062</v>
      </c>
      <c r="C5940" t="s">
        <v>13436</v>
      </c>
      <c r="D5940" t="s">
        <v>28324</v>
      </c>
      <c r="E5940" t="s">
        <v>28325</v>
      </c>
      <c r="L5940" t="s">
        <v>74</v>
      </c>
      <c r="M5940" t="s">
        <v>75</v>
      </c>
      <c r="R5940" t="s">
        <v>28325</v>
      </c>
      <c r="W5940" t="s">
        <v>28325</v>
      </c>
      <c r="X5940" t="s">
        <v>12304</v>
      </c>
      <c r="Y5940" t="s">
        <v>97</v>
      </c>
      <c r="Z5940" t="s">
        <v>77</v>
      </c>
      <c r="AA5940" t="str">
        <f>"10003-4201"</f>
        <v>10003-4201</v>
      </c>
      <c r="AB5940" t="s">
        <v>78</v>
      </c>
      <c r="AC5940" t="s">
        <v>79</v>
      </c>
      <c r="AD5940" t="s">
        <v>75</v>
      </c>
      <c r="AE5940" t="s">
        <v>80</v>
      </c>
      <c r="AG5940" t="s">
        <v>81</v>
      </c>
    </row>
    <row r="5941" spans="1:33" x14ac:dyDescent="0.25">
      <c r="A5941" t="str">
        <f>"1063789865"</f>
        <v>1063789865</v>
      </c>
      <c r="B5941" t="str">
        <f>"04449863"</f>
        <v>04449863</v>
      </c>
      <c r="C5941" t="s">
        <v>13436</v>
      </c>
      <c r="D5941" t="s">
        <v>2601</v>
      </c>
      <c r="E5941" t="s">
        <v>2602</v>
      </c>
      <c r="L5941" t="s">
        <v>74</v>
      </c>
      <c r="M5941" t="s">
        <v>75</v>
      </c>
      <c r="R5941" t="s">
        <v>2602</v>
      </c>
      <c r="W5941" t="s">
        <v>2602</v>
      </c>
      <c r="AB5941" t="s">
        <v>78</v>
      </c>
      <c r="AC5941" t="s">
        <v>79</v>
      </c>
      <c r="AD5941" t="s">
        <v>75</v>
      </c>
      <c r="AE5941" t="s">
        <v>80</v>
      </c>
      <c r="AG5941" t="s">
        <v>81</v>
      </c>
    </row>
    <row r="5942" spans="1:33" x14ac:dyDescent="0.25">
      <c r="A5942" t="str">
        <f>"1063822161"</f>
        <v>1063822161</v>
      </c>
      <c r="C5942" t="s">
        <v>13436</v>
      </c>
      <c r="K5942" t="s">
        <v>99</v>
      </c>
      <c r="L5942" t="s">
        <v>102</v>
      </c>
      <c r="M5942" t="s">
        <v>75</v>
      </c>
      <c r="R5942" t="s">
        <v>28326</v>
      </c>
      <c r="S5942" t="s">
        <v>181</v>
      </c>
      <c r="T5942" t="s">
        <v>97</v>
      </c>
      <c r="U5942" t="s">
        <v>77</v>
      </c>
      <c r="V5942" t="str">
        <f>"100251716"</f>
        <v>100251716</v>
      </c>
      <c r="AC5942" t="s">
        <v>79</v>
      </c>
      <c r="AD5942" t="s">
        <v>75</v>
      </c>
      <c r="AE5942" t="s">
        <v>103</v>
      </c>
      <c r="AG5942" t="s">
        <v>81</v>
      </c>
    </row>
    <row r="5943" spans="1:33" x14ac:dyDescent="0.25">
      <c r="A5943" t="str">
        <f>"1063829109"</f>
        <v>1063829109</v>
      </c>
      <c r="C5943" t="s">
        <v>13436</v>
      </c>
      <c r="K5943" t="s">
        <v>99</v>
      </c>
      <c r="L5943" t="s">
        <v>102</v>
      </c>
      <c r="M5943" t="s">
        <v>75</v>
      </c>
      <c r="R5943" t="s">
        <v>28327</v>
      </c>
      <c r="S5943" t="s">
        <v>28328</v>
      </c>
      <c r="T5943" t="s">
        <v>97</v>
      </c>
      <c r="U5943" t="s">
        <v>77</v>
      </c>
      <c r="V5943" t="str">
        <f>"100091703"</f>
        <v>100091703</v>
      </c>
      <c r="AC5943" t="s">
        <v>79</v>
      </c>
      <c r="AD5943" t="s">
        <v>75</v>
      </c>
      <c r="AE5943" t="s">
        <v>103</v>
      </c>
      <c r="AG5943" t="s">
        <v>81</v>
      </c>
    </row>
    <row r="5944" spans="1:33" x14ac:dyDescent="0.25">
      <c r="A5944" t="str">
        <f>"1063830594"</f>
        <v>1063830594</v>
      </c>
      <c r="C5944" t="s">
        <v>13436</v>
      </c>
      <c r="K5944" t="s">
        <v>99</v>
      </c>
      <c r="L5944" t="s">
        <v>102</v>
      </c>
      <c r="M5944" t="s">
        <v>75</v>
      </c>
      <c r="R5944" t="s">
        <v>28329</v>
      </c>
      <c r="S5944" t="s">
        <v>28330</v>
      </c>
      <c r="T5944" t="s">
        <v>28331</v>
      </c>
      <c r="U5944" t="s">
        <v>156</v>
      </c>
      <c r="V5944" t="str">
        <f>"086912913"</f>
        <v>086912913</v>
      </c>
      <c r="AC5944" t="s">
        <v>79</v>
      </c>
      <c r="AD5944" t="s">
        <v>75</v>
      </c>
      <c r="AE5944" t="s">
        <v>103</v>
      </c>
      <c r="AG5944" t="s">
        <v>81</v>
      </c>
    </row>
    <row r="5945" spans="1:33" x14ac:dyDescent="0.25">
      <c r="A5945" t="str">
        <f>"1538394119"</f>
        <v>1538394119</v>
      </c>
      <c r="B5945" t="str">
        <f>"04208600"</f>
        <v>04208600</v>
      </c>
      <c r="C5945" t="s">
        <v>13436</v>
      </c>
      <c r="D5945" t="s">
        <v>28332</v>
      </c>
      <c r="E5945" t="s">
        <v>28333</v>
      </c>
      <c r="G5945" t="s">
        <v>28334</v>
      </c>
      <c r="L5945" t="s">
        <v>74</v>
      </c>
      <c r="M5945" t="s">
        <v>75</v>
      </c>
      <c r="R5945" t="s">
        <v>28335</v>
      </c>
      <c r="W5945" t="s">
        <v>28333</v>
      </c>
      <c r="X5945" t="s">
        <v>15724</v>
      </c>
      <c r="Y5945" t="s">
        <v>97</v>
      </c>
      <c r="Z5945" t="s">
        <v>77</v>
      </c>
      <c r="AA5945" t="str">
        <f>"10011-2202"</f>
        <v>10011-2202</v>
      </c>
      <c r="AB5945" t="s">
        <v>128</v>
      </c>
      <c r="AC5945" t="s">
        <v>79</v>
      </c>
      <c r="AD5945" t="s">
        <v>75</v>
      </c>
      <c r="AE5945" t="s">
        <v>80</v>
      </c>
      <c r="AG5945" t="s">
        <v>81</v>
      </c>
    </row>
    <row r="5946" spans="1:33" x14ac:dyDescent="0.25">
      <c r="A5946" t="str">
        <f>"1538401955"</f>
        <v>1538401955</v>
      </c>
      <c r="C5946" t="s">
        <v>13436</v>
      </c>
      <c r="K5946" t="s">
        <v>99</v>
      </c>
      <c r="L5946" t="s">
        <v>102</v>
      </c>
      <c r="M5946" t="s">
        <v>75</v>
      </c>
      <c r="R5946" t="s">
        <v>28336</v>
      </c>
      <c r="S5946" t="s">
        <v>329</v>
      </c>
      <c r="T5946" t="s">
        <v>97</v>
      </c>
      <c r="U5946" t="s">
        <v>77</v>
      </c>
      <c r="V5946" t="str">
        <f>"100296500"</f>
        <v>100296500</v>
      </c>
      <c r="AC5946" t="s">
        <v>79</v>
      </c>
      <c r="AD5946" t="s">
        <v>75</v>
      </c>
      <c r="AE5946" t="s">
        <v>103</v>
      </c>
      <c r="AG5946" t="s">
        <v>81</v>
      </c>
    </row>
    <row r="5947" spans="1:33" x14ac:dyDescent="0.25">
      <c r="A5947" t="str">
        <f>"1538402375"</f>
        <v>1538402375</v>
      </c>
      <c r="C5947" t="s">
        <v>13436</v>
      </c>
      <c r="K5947" t="s">
        <v>99</v>
      </c>
      <c r="L5947" t="s">
        <v>102</v>
      </c>
      <c r="M5947" t="s">
        <v>75</v>
      </c>
      <c r="R5947" t="s">
        <v>28337</v>
      </c>
      <c r="S5947" t="s">
        <v>28338</v>
      </c>
      <c r="T5947" t="s">
        <v>97</v>
      </c>
      <c r="U5947" t="s">
        <v>77</v>
      </c>
      <c r="V5947" t="str">
        <f>"100091834"</f>
        <v>100091834</v>
      </c>
      <c r="AC5947" t="s">
        <v>79</v>
      </c>
      <c r="AD5947" t="s">
        <v>75</v>
      </c>
      <c r="AE5947" t="s">
        <v>103</v>
      </c>
      <c r="AG5947" t="s">
        <v>81</v>
      </c>
    </row>
    <row r="5948" spans="1:33" x14ac:dyDescent="0.25">
      <c r="A5948" t="str">
        <f>"1538426069"</f>
        <v>1538426069</v>
      </c>
      <c r="C5948" t="s">
        <v>13436</v>
      </c>
      <c r="K5948" t="s">
        <v>99</v>
      </c>
      <c r="L5948" t="s">
        <v>102</v>
      </c>
      <c r="M5948" t="s">
        <v>75</v>
      </c>
      <c r="R5948" t="s">
        <v>28339</v>
      </c>
      <c r="S5948" t="s">
        <v>12643</v>
      </c>
      <c r="T5948" t="s">
        <v>97</v>
      </c>
      <c r="U5948" t="s">
        <v>77</v>
      </c>
      <c r="V5948" t="str">
        <f>"100033821"</f>
        <v>100033821</v>
      </c>
      <c r="AC5948" t="s">
        <v>79</v>
      </c>
      <c r="AD5948" t="s">
        <v>75</v>
      </c>
      <c r="AE5948" t="s">
        <v>103</v>
      </c>
      <c r="AG5948" t="s">
        <v>81</v>
      </c>
    </row>
    <row r="5949" spans="1:33" x14ac:dyDescent="0.25">
      <c r="A5949" t="str">
        <f>"1356633150"</f>
        <v>1356633150</v>
      </c>
      <c r="C5949" t="s">
        <v>13436</v>
      </c>
      <c r="K5949" t="s">
        <v>99</v>
      </c>
      <c r="L5949" t="s">
        <v>102</v>
      </c>
      <c r="M5949" t="s">
        <v>75</v>
      </c>
      <c r="R5949" t="s">
        <v>28340</v>
      </c>
      <c r="S5949" t="s">
        <v>28341</v>
      </c>
      <c r="T5949" t="s">
        <v>2262</v>
      </c>
      <c r="U5949" t="s">
        <v>123</v>
      </c>
      <c r="V5949" t="str">
        <f>"02118"</f>
        <v>02118</v>
      </c>
      <c r="AC5949" t="s">
        <v>79</v>
      </c>
      <c r="AD5949" t="s">
        <v>75</v>
      </c>
      <c r="AE5949" t="s">
        <v>103</v>
      </c>
      <c r="AG5949" t="s">
        <v>81</v>
      </c>
    </row>
    <row r="5950" spans="1:33" x14ac:dyDescent="0.25">
      <c r="A5950" t="str">
        <f>"1356635908"</f>
        <v>1356635908</v>
      </c>
      <c r="C5950" t="s">
        <v>13436</v>
      </c>
      <c r="K5950" t="s">
        <v>99</v>
      </c>
      <c r="L5950" t="s">
        <v>102</v>
      </c>
      <c r="M5950" t="s">
        <v>75</v>
      </c>
      <c r="R5950" t="s">
        <v>28342</v>
      </c>
      <c r="S5950" t="s">
        <v>181</v>
      </c>
      <c r="T5950" t="s">
        <v>97</v>
      </c>
      <c r="U5950" t="s">
        <v>77</v>
      </c>
      <c r="V5950" t="str">
        <f>"100251716"</f>
        <v>100251716</v>
      </c>
      <c r="AC5950" t="s">
        <v>79</v>
      </c>
      <c r="AD5950" t="s">
        <v>75</v>
      </c>
      <c r="AE5950" t="s">
        <v>103</v>
      </c>
      <c r="AG5950" t="s">
        <v>81</v>
      </c>
    </row>
    <row r="5951" spans="1:33" x14ac:dyDescent="0.25">
      <c r="A5951" t="str">
        <f>"1356645857"</f>
        <v>1356645857</v>
      </c>
      <c r="B5951" t="str">
        <f>"03857325"</f>
        <v>03857325</v>
      </c>
      <c r="C5951" t="s">
        <v>13436</v>
      </c>
      <c r="D5951" t="s">
        <v>28343</v>
      </c>
      <c r="E5951" t="s">
        <v>28344</v>
      </c>
      <c r="L5951" t="s">
        <v>102</v>
      </c>
      <c r="M5951" t="s">
        <v>75</v>
      </c>
      <c r="R5951" t="s">
        <v>28345</v>
      </c>
      <c r="W5951" t="s">
        <v>28344</v>
      </c>
      <c r="X5951" t="s">
        <v>329</v>
      </c>
      <c r="Y5951" t="s">
        <v>97</v>
      </c>
      <c r="Z5951" t="s">
        <v>77</v>
      </c>
      <c r="AA5951" t="str">
        <f>"10029-6504"</f>
        <v>10029-6504</v>
      </c>
      <c r="AB5951" t="s">
        <v>78</v>
      </c>
      <c r="AC5951" t="s">
        <v>79</v>
      </c>
      <c r="AD5951" t="s">
        <v>75</v>
      </c>
      <c r="AE5951" t="s">
        <v>80</v>
      </c>
      <c r="AG5951" t="s">
        <v>81</v>
      </c>
    </row>
    <row r="5952" spans="1:33" x14ac:dyDescent="0.25">
      <c r="A5952" t="str">
        <f>"1356652341"</f>
        <v>1356652341</v>
      </c>
      <c r="B5952" t="str">
        <f>"03330581"</f>
        <v>03330581</v>
      </c>
      <c r="C5952" t="s">
        <v>13436</v>
      </c>
      <c r="D5952" t="s">
        <v>28346</v>
      </c>
      <c r="E5952" t="s">
        <v>28347</v>
      </c>
      <c r="G5952" t="s">
        <v>28348</v>
      </c>
      <c r="L5952" t="s">
        <v>74</v>
      </c>
      <c r="M5952" t="s">
        <v>75</v>
      </c>
      <c r="R5952" t="s">
        <v>28349</v>
      </c>
      <c r="W5952" t="s">
        <v>28350</v>
      </c>
      <c r="X5952" t="s">
        <v>11181</v>
      </c>
      <c r="Y5952" t="s">
        <v>97</v>
      </c>
      <c r="Z5952" t="s">
        <v>77</v>
      </c>
      <c r="AA5952" t="str">
        <f>"10029-6504"</f>
        <v>10029-6504</v>
      </c>
      <c r="AB5952" t="s">
        <v>78</v>
      </c>
      <c r="AC5952" t="s">
        <v>79</v>
      </c>
      <c r="AD5952" t="s">
        <v>75</v>
      </c>
      <c r="AE5952" t="s">
        <v>80</v>
      </c>
      <c r="AG5952" t="s">
        <v>81</v>
      </c>
    </row>
    <row r="5953" spans="1:33" x14ac:dyDescent="0.25">
      <c r="A5953" t="str">
        <f>"1114149606"</f>
        <v>1114149606</v>
      </c>
      <c r="B5953" t="str">
        <f>"02904910"</f>
        <v>02904910</v>
      </c>
      <c r="C5953" t="s">
        <v>13436</v>
      </c>
      <c r="D5953" t="s">
        <v>28351</v>
      </c>
      <c r="E5953" t="s">
        <v>28352</v>
      </c>
      <c r="L5953" t="s">
        <v>74</v>
      </c>
      <c r="M5953" t="s">
        <v>75</v>
      </c>
      <c r="R5953" t="s">
        <v>28353</v>
      </c>
      <c r="W5953" t="s">
        <v>28354</v>
      </c>
      <c r="X5953" t="s">
        <v>267</v>
      </c>
      <c r="Y5953" t="s">
        <v>91</v>
      </c>
      <c r="Z5953" t="s">
        <v>77</v>
      </c>
      <c r="AA5953" t="str">
        <f>"11373-1329"</f>
        <v>11373-1329</v>
      </c>
      <c r="AB5953" t="s">
        <v>78</v>
      </c>
      <c r="AC5953" t="s">
        <v>79</v>
      </c>
      <c r="AD5953" t="s">
        <v>75</v>
      </c>
      <c r="AE5953" t="s">
        <v>80</v>
      </c>
      <c r="AG5953" t="s">
        <v>81</v>
      </c>
    </row>
    <row r="5954" spans="1:33" x14ac:dyDescent="0.25">
      <c r="A5954" t="str">
        <f>"1114169307"</f>
        <v>1114169307</v>
      </c>
      <c r="B5954" t="str">
        <f>"03604299"</f>
        <v>03604299</v>
      </c>
      <c r="C5954" t="s">
        <v>13436</v>
      </c>
      <c r="D5954" t="s">
        <v>28355</v>
      </c>
      <c r="E5954" t="s">
        <v>28356</v>
      </c>
      <c r="L5954" t="s">
        <v>83</v>
      </c>
      <c r="M5954" t="s">
        <v>85</v>
      </c>
      <c r="R5954" t="s">
        <v>28357</v>
      </c>
      <c r="W5954" t="s">
        <v>28358</v>
      </c>
      <c r="X5954" t="s">
        <v>329</v>
      </c>
      <c r="Y5954" t="s">
        <v>97</v>
      </c>
      <c r="Z5954" t="s">
        <v>77</v>
      </c>
      <c r="AA5954" t="str">
        <f>"10029-6504"</f>
        <v>10029-6504</v>
      </c>
      <c r="AB5954" t="s">
        <v>78</v>
      </c>
      <c r="AC5954" t="s">
        <v>79</v>
      </c>
      <c r="AD5954" t="s">
        <v>75</v>
      </c>
      <c r="AE5954" t="s">
        <v>80</v>
      </c>
      <c r="AG5954" t="s">
        <v>81</v>
      </c>
    </row>
    <row r="5955" spans="1:33" x14ac:dyDescent="0.25">
      <c r="A5955" t="str">
        <f>"1114175379"</f>
        <v>1114175379</v>
      </c>
      <c r="B5955" t="str">
        <f>"03735128"</f>
        <v>03735128</v>
      </c>
      <c r="C5955" t="s">
        <v>13436</v>
      </c>
      <c r="D5955" t="s">
        <v>28359</v>
      </c>
      <c r="E5955" t="s">
        <v>28360</v>
      </c>
      <c r="L5955" t="s">
        <v>105</v>
      </c>
      <c r="M5955" t="s">
        <v>85</v>
      </c>
      <c r="R5955" t="s">
        <v>28361</v>
      </c>
      <c r="W5955" t="s">
        <v>28360</v>
      </c>
      <c r="X5955" t="s">
        <v>2831</v>
      </c>
      <c r="Y5955" t="s">
        <v>97</v>
      </c>
      <c r="Z5955" t="s">
        <v>77</v>
      </c>
      <c r="AA5955" t="str">
        <f>"10029-6504"</f>
        <v>10029-6504</v>
      </c>
      <c r="AB5955" t="s">
        <v>78</v>
      </c>
      <c r="AC5955" t="s">
        <v>79</v>
      </c>
      <c r="AD5955" t="s">
        <v>75</v>
      </c>
      <c r="AE5955" t="s">
        <v>80</v>
      </c>
      <c r="AG5955" t="s">
        <v>81</v>
      </c>
    </row>
    <row r="5956" spans="1:33" x14ac:dyDescent="0.25">
      <c r="A5956" t="str">
        <f>"1306188628"</f>
        <v>1306188628</v>
      </c>
      <c r="C5956" t="s">
        <v>13436</v>
      </c>
      <c r="K5956" t="s">
        <v>99</v>
      </c>
      <c r="L5956" t="s">
        <v>102</v>
      </c>
      <c r="M5956" t="s">
        <v>75</v>
      </c>
      <c r="R5956" t="s">
        <v>28362</v>
      </c>
      <c r="S5956" t="s">
        <v>28363</v>
      </c>
      <c r="T5956" t="s">
        <v>97</v>
      </c>
      <c r="U5956" t="s">
        <v>77</v>
      </c>
      <c r="V5956" t="str">
        <f>"100114073"</f>
        <v>100114073</v>
      </c>
      <c r="AC5956" t="s">
        <v>79</v>
      </c>
      <c r="AD5956" t="s">
        <v>75</v>
      </c>
      <c r="AE5956" t="s">
        <v>103</v>
      </c>
      <c r="AG5956" t="s">
        <v>81</v>
      </c>
    </row>
    <row r="5957" spans="1:33" x14ac:dyDescent="0.25">
      <c r="A5957" t="str">
        <f>"1306189147"</f>
        <v>1306189147</v>
      </c>
      <c r="C5957" t="s">
        <v>13436</v>
      </c>
      <c r="K5957" t="s">
        <v>99</v>
      </c>
      <c r="L5957" t="s">
        <v>102</v>
      </c>
      <c r="M5957" t="s">
        <v>75</v>
      </c>
      <c r="R5957" t="s">
        <v>28364</v>
      </c>
      <c r="S5957" t="s">
        <v>28365</v>
      </c>
      <c r="T5957" t="s">
        <v>4656</v>
      </c>
      <c r="U5957" t="s">
        <v>1842</v>
      </c>
      <c r="V5957" t="str">
        <f>"064121206"</f>
        <v>064121206</v>
      </c>
      <c r="AC5957" t="s">
        <v>79</v>
      </c>
      <c r="AD5957" t="s">
        <v>75</v>
      </c>
      <c r="AE5957" t="s">
        <v>103</v>
      </c>
      <c r="AG5957" t="s">
        <v>81</v>
      </c>
    </row>
    <row r="5958" spans="1:33" x14ac:dyDescent="0.25">
      <c r="A5958" t="str">
        <f>"1306189584"</f>
        <v>1306189584</v>
      </c>
      <c r="C5958" t="s">
        <v>13436</v>
      </c>
      <c r="K5958" t="s">
        <v>99</v>
      </c>
      <c r="L5958" t="s">
        <v>102</v>
      </c>
      <c r="M5958" t="s">
        <v>75</v>
      </c>
      <c r="R5958" t="s">
        <v>28366</v>
      </c>
      <c r="S5958" t="s">
        <v>11489</v>
      </c>
      <c r="T5958" t="s">
        <v>97</v>
      </c>
      <c r="U5958" t="s">
        <v>77</v>
      </c>
      <c r="V5958" t="str">
        <f>"100033804"</f>
        <v>100033804</v>
      </c>
      <c r="AC5958" t="s">
        <v>79</v>
      </c>
      <c r="AD5958" t="s">
        <v>75</v>
      </c>
      <c r="AE5958" t="s">
        <v>103</v>
      </c>
      <c r="AG5958" t="s">
        <v>81</v>
      </c>
    </row>
    <row r="5959" spans="1:33" x14ac:dyDescent="0.25">
      <c r="A5959" t="str">
        <f>"1306264528"</f>
        <v>1306264528</v>
      </c>
      <c r="C5959" t="s">
        <v>13436</v>
      </c>
      <c r="K5959" t="s">
        <v>99</v>
      </c>
      <c r="L5959" t="s">
        <v>102</v>
      </c>
      <c r="M5959" t="s">
        <v>75</v>
      </c>
      <c r="R5959" t="s">
        <v>28367</v>
      </c>
      <c r="S5959" t="s">
        <v>329</v>
      </c>
      <c r="T5959" t="s">
        <v>97</v>
      </c>
      <c r="U5959" t="s">
        <v>77</v>
      </c>
      <c r="V5959" t="str">
        <f>"100296504"</f>
        <v>100296504</v>
      </c>
      <c r="AC5959" t="s">
        <v>79</v>
      </c>
      <c r="AD5959" t="s">
        <v>75</v>
      </c>
      <c r="AE5959" t="s">
        <v>103</v>
      </c>
      <c r="AG5959" t="s">
        <v>81</v>
      </c>
    </row>
    <row r="5960" spans="1:33" x14ac:dyDescent="0.25">
      <c r="A5960" t="str">
        <f>"1093976623"</f>
        <v>1093976623</v>
      </c>
      <c r="B5960" t="str">
        <f>"03013467"</f>
        <v>03013467</v>
      </c>
      <c r="C5960" t="s">
        <v>13436</v>
      </c>
      <c r="D5960" t="s">
        <v>28368</v>
      </c>
      <c r="E5960" t="s">
        <v>28369</v>
      </c>
      <c r="G5960" t="s">
        <v>28370</v>
      </c>
      <c r="L5960" t="s">
        <v>83</v>
      </c>
      <c r="M5960" t="s">
        <v>85</v>
      </c>
      <c r="R5960" t="s">
        <v>28371</v>
      </c>
      <c r="W5960" t="s">
        <v>28372</v>
      </c>
      <c r="X5960" t="s">
        <v>329</v>
      </c>
      <c r="Y5960" t="s">
        <v>97</v>
      </c>
      <c r="Z5960" t="s">
        <v>77</v>
      </c>
      <c r="AA5960" t="str">
        <f>"10029-6500"</f>
        <v>10029-6500</v>
      </c>
      <c r="AB5960" t="s">
        <v>78</v>
      </c>
      <c r="AC5960" t="s">
        <v>79</v>
      </c>
      <c r="AD5960" t="s">
        <v>75</v>
      </c>
      <c r="AE5960" t="s">
        <v>80</v>
      </c>
      <c r="AG5960" t="s">
        <v>81</v>
      </c>
    </row>
    <row r="5961" spans="1:33" x14ac:dyDescent="0.25">
      <c r="A5961" t="str">
        <f>"1093976664"</f>
        <v>1093976664</v>
      </c>
      <c r="B5961" t="str">
        <f>"03585426"</f>
        <v>03585426</v>
      </c>
      <c r="C5961" t="s">
        <v>13436</v>
      </c>
      <c r="D5961" t="s">
        <v>28373</v>
      </c>
      <c r="E5961" t="s">
        <v>28374</v>
      </c>
      <c r="G5961" t="s">
        <v>28375</v>
      </c>
      <c r="L5961" t="s">
        <v>74</v>
      </c>
      <c r="M5961" t="s">
        <v>75</v>
      </c>
      <c r="R5961" t="s">
        <v>28376</v>
      </c>
      <c r="W5961" t="s">
        <v>28374</v>
      </c>
      <c r="X5961" t="s">
        <v>11195</v>
      </c>
      <c r="Y5961" t="s">
        <v>97</v>
      </c>
      <c r="Z5961" t="s">
        <v>77</v>
      </c>
      <c r="AA5961" t="str">
        <f>"10029-6030"</f>
        <v>10029-6030</v>
      </c>
      <c r="AB5961" t="s">
        <v>78</v>
      </c>
      <c r="AC5961" t="s">
        <v>79</v>
      </c>
      <c r="AD5961" t="s">
        <v>75</v>
      </c>
      <c r="AE5961" t="s">
        <v>80</v>
      </c>
      <c r="AG5961" t="s">
        <v>81</v>
      </c>
    </row>
    <row r="5962" spans="1:33" x14ac:dyDescent="0.25">
      <c r="A5962" t="str">
        <f>"1093977472"</f>
        <v>1093977472</v>
      </c>
      <c r="C5962" t="s">
        <v>13436</v>
      </c>
      <c r="K5962" t="s">
        <v>99</v>
      </c>
      <c r="L5962" t="s">
        <v>102</v>
      </c>
      <c r="M5962" t="s">
        <v>75</v>
      </c>
      <c r="R5962" t="s">
        <v>28377</v>
      </c>
      <c r="S5962" t="s">
        <v>28378</v>
      </c>
      <c r="T5962" t="s">
        <v>3877</v>
      </c>
      <c r="U5962" t="s">
        <v>3878</v>
      </c>
      <c r="V5962" t="str">
        <f>"782073108"</f>
        <v>782073108</v>
      </c>
      <c r="AC5962" t="s">
        <v>79</v>
      </c>
      <c r="AD5962" t="s">
        <v>75</v>
      </c>
      <c r="AE5962" t="s">
        <v>103</v>
      </c>
      <c r="AG5962" t="s">
        <v>81</v>
      </c>
    </row>
    <row r="5963" spans="1:33" x14ac:dyDescent="0.25">
      <c r="A5963" t="str">
        <f>"1104017235"</f>
        <v>1104017235</v>
      </c>
      <c r="B5963" t="str">
        <f>"02914969"</f>
        <v>02914969</v>
      </c>
      <c r="C5963" t="s">
        <v>13436</v>
      </c>
      <c r="D5963" t="s">
        <v>28379</v>
      </c>
      <c r="E5963" t="s">
        <v>28380</v>
      </c>
      <c r="G5963" t="s">
        <v>28381</v>
      </c>
      <c r="L5963" t="s">
        <v>83</v>
      </c>
      <c r="M5963" t="s">
        <v>85</v>
      </c>
      <c r="R5963" t="s">
        <v>28382</v>
      </c>
      <c r="W5963" t="s">
        <v>28380</v>
      </c>
      <c r="X5963" t="s">
        <v>235</v>
      </c>
      <c r="Y5963" t="s">
        <v>236</v>
      </c>
      <c r="Z5963" t="s">
        <v>77</v>
      </c>
      <c r="AA5963" t="str">
        <f>"11102-2448"</f>
        <v>11102-2448</v>
      </c>
      <c r="AB5963" t="s">
        <v>78</v>
      </c>
      <c r="AC5963" t="s">
        <v>79</v>
      </c>
      <c r="AD5963" t="s">
        <v>75</v>
      </c>
      <c r="AE5963" t="s">
        <v>80</v>
      </c>
      <c r="AG5963" t="s">
        <v>81</v>
      </c>
    </row>
    <row r="5964" spans="1:33" x14ac:dyDescent="0.25">
      <c r="A5964" t="str">
        <f>"1104052935"</f>
        <v>1104052935</v>
      </c>
      <c r="B5964" t="str">
        <f>"03786303"</f>
        <v>03786303</v>
      </c>
      <c r="C5964" t="s">
        <v>13436</v>
      </c>
      <c r="D5964" t="s">
        <v>4870</v>
      </c>
      <c r="E5964" t="s">
        <v>4871</v>
      </c>
      <c r="G5964" t="s">
        <v>28383</v>
      </c>
      <c r="L5964" t="s">
        <v>83</v>
      </c>
      <c r="M5964" t="s">
        <v>75</v>
      </c>
      <c r="R5964" t="s">
        <v>4872</v>
      </c>
      <c r="W5964" t="s">
        <v>4871</v>
      </c>
      <c r="X5964" t="s">
        <v>258</v>
      </c>
      <c r="Y5964" t="s">
        <v>131</v>
      </c>
      <c r="Z5964" t="s">
        <v>77</v>
      </c>
      <c r="AA5964" t="str">
        <f>"10467-2401"</f>
        <v>10467-2401</v>
      </c>
      <c r="AB5964" t="s">
        <v>78</v>
      </c>
      <c r="AC5964" t="s">
        <v>79</v>
      </c>
      <c r="AD5964" t="s">
        <v>75</v>
      </c>
      <c r="AE5964" t="s">
        <v>80</v>
      </c>
      <c r="AG5964" t="s">
        <v>81</v>
      </c>
    </row>
    <row r="5965" spans="1:33" x14ac:dyDescent="0.25">
      <c r="A5965" t="str">
        <f>"1104068022"</f>
        <v>1104068022</v>
      </c>
      <c r="C5965" t="s">
        <v>13436</v>
      </c>
      <c r="K5965" t="s">
        <v>99</v>
      </c>
      <c r="L5965" t="s">
        <v>102</v>
      </c>
      <c r="M5965" t="s">
        <v>75</v>
      </c>
      <c r="R5965" t="s">
        <v>28384</v>
      </c>
      <c r="S5965" t="s">
        <v>28385</v>
      </c>
      <c r="T5965" t="s">
        <v>1804</v>
      </c>
      <c r="U5965" t="s">
        <v>1842</v>
      </c>
      <c r="V5965" t="str">
        <f>"068304608"</f>
        <v>068304608</v>
      </c>
      <c r="AC5965" t="s">
        <v>79</v>
      </c>
      <c r="AD5965" t="s">
        <v>75</v>
      </c>
      <c r="AE5965" t="s">
        <v>103</v>
      </c>
      <c r="AG5965" t="s">
        <v>81</v>
      </c>
    </row>
    <row r="5966" spans="1:33" x14ac:dyDescent="0.25">
      <c r="A5966" t="str">
        <f>"1104076314"</f>
        <v>1104076314</v>
      </c>
      <c r="B5966" t="str">
        <f>"03706714"</f>
        <v>03706714</v>
      </c>
      <c r="C5966" t="s">
        <v>13436</v>
      </c>
      <c r="D5966" t="s">
        <v>28386</v>
      </c>
      <c r="E5966" t="s">
        <v>28387</v>
      </c>
      <c r="G5966" t="s">
        <v>28388</v>
      </c>
      <c r="L5966" t="s">
        <v>102</v>
      </c>
      <c r="M5966" t="s">
        <v>75</v>
      </c>
      <c r="R5966" t="s">
        <v>28387</v>
      </c>
      <c r="W5966" t="s">
        <v>28387</v>
      </c>
      <c r="X5966" t="s">
        <v>11156</v>
      </c>
      <c r="Y5966" t="s">
        <v>97</v>
      </c>
      <c r="Z5966" t="s">
        <v>77</v>
      </c>
      <c r="AA5966" t="str">
        <f>"10029-6504"</f>
        <v>10029-6504</v>
      </c>
      <c r="AB5966" t="s">
        <v>78</v>
      </c>
      <c r="AC5966" t="s">
        <v>79</v>
      </c>
      <c r="AD5966" t="s">
        <v>75</v>
      </c>
      <c r="AE5966" t="s">
        <v>80</v>
      </c>
      <c r="AG5966" t="s">
        <v>81</v>
      </c>
    </row>
    <row r="5967" spans="1:33" x14ac:dyDescent="0.25">
      <c r="A5967" t="str">
        <f>"1104082353"</f>
        <v>1104082353</v>
      </c>
      <c r="C5967" t="s">
        <v>13436</v>
      </c>
      <c r="K5967" t="s">
        <v>99</v>
      </c>
      <c r="L5967" t="s">
        <v>102</v>
      </c>
      <c r="M5967" t="s">
        <v>75</v>
      </c>
      <c r="R5967" t="s">
        <v>28389</v>
      </c>
      <c r="S5967" t="s">
        <v>28390</v>
      </c>
      <c r="T5967" t="s">
        <v>28391</v>
      </c>
      <c r="U5967" t="s">
        <v>156</v>
      </c>
      <c r="V5967" t="str">
        <f>"07202"</f>
        <v>07202</v>
      </c>
      <c r="AC5967" t="s">
        <v>79</v>
      </c>
      <c r="AD5967" t="s">
        <v>75</v>
      </c>
      <c r="AE5967" t="s">
        <v>103</v>
      </c>
      <c r="AG5967" t="s">
        <v>81</v>
      </c>
    </row>
    <row r="5968" spans="1:33" x14ac:dyDescent="0.25">
      <c r="A5968" t="str">
        <f>"1104084045"</f>
        <v>1104084045</v>
      </c>
      <c r="B5968" t="str">
        <f>"03314909"</f>
        <v>03314909</v>
      </c>
      <c r="C5968" t="s">
        <v>13436</v>
      </c>
      <c r="D5968" t="s">
        <v>28392</v>
      </c>
      <c r="E5968" t="s">
        <v>28393</v>
      </c>
      <c r="G5968" t="s">
        <v>28394</v>
      </c>
      <c r="L5968" t="s">
        <v>83</v>
      </c>
      <c r="M5968" t="s">
        <v>75</v>
      </c>
      <c r="R5968" t="s">
        <v>28393</v>
      </c>
      <c r="W5968" t="s">
        <v>28393</v>
      </c>
      <c r="X5968" t="s">
        <v>229</v>
      </c>
      <c r="Y5968" t="s">
        <v>230</v>
      </c>
      <c r="Z5968" t="s">
        <v>77</v>
      </c>
      <c r="AA5968" t="str">
        <f>"11795-4927"</f>
        <v>11795-4927</v>
      </c>
      <c r="AB5968" t="s">
        <v>78</v>
      </c>
      <c r="AC5968" t="s">
        <v>79</v>
      </c>
      <c r="AD5968" t="s">
        <v>75</v>
      </c>
      <c r="AE5968" t="s">
        <v>80</v>
      </c>
      <c r="AG5968" t="s">
        <v>81</v>
      </c>
    </row>
    <row r="5969" spans="1:33" x14ac:dyDescent="0.25">
      <c r="A5969" t="str">
        <f>"1104084904"</f>
        <v>1104084904</v>
      </c>
      <c r="B5969" t="str">
        <f>"03432804"</f>
        <v>03432804</v>
      </c>
      <c r="C5969" t="s">
        <v>13436</v>
      </c>
      <c r="D5969" t="s">
        <v>28395</v>
      </c>
      <c r="E5969" t="s">
        <v>28396</v>
      </c>
      <c r="G5969" t="s">
        <v>28397</v>
      </c>
      <c r="L5969" t="s">
        <v>74</v>
      </c>
      <c r="M5969" t="s">
        <v>85</v>
      </c>
      <c r="R5969" t="s">
        <v>28398</v>
      </c>
      <c r="W5969" t="s">
        <v>28396</v>
      </c>
      <c r="X5969" t="s">
        <v>28399</v>
      </c>
      <c r="Y5969" t="s">
        <v>97</v>
      </c>
      <c r="Z5969" t="s">
        <v>77</v>
      </c>
      <c r="AA5969" t="str">
        <f>"10029-6501"</f>
        <v>10029-6501</v>
      </c>
      <c r="AB5969" t="s">
        <v>78</v>
      </c>
      <c r="AC5969" t="s">
        <v>79</v>
      </c>
      <c r="AD5969" t="s">
        <v>75</v>
      </c>
      <c r="AE5969" t="s">
        <v>80</v>
      </c>
      <c r="AG5969" t="s">
        <v>81</v>
      </c>
    </row>
    <row r="5970" spans="1:33" x14ac:dyDescent="0.25">
      <c r="A5970" t="str">
        <f>"1144633272"</f>
        <v>1144633272</v>
      </c>
      <c r="C5970" t="s">
        <v>13436</v>
      </c>
      <c r="K5970" t="s">
        <v>99</v>
      </c>
      <c r="L5970" t="s">
        <v>102</v>
      </c>
      <c r="M5970" t="s">
        <v>75</v>
      </c>
      <c r="R5970" t="s">
        <v>28400</v>
      </c>
      <c r="S5970" t="s">
        <v>13912</v>
      </c>
      <c r="T5970" t="s">
        <v>13913</v>
      </c>
      <c r="U5970" t="s">
        <v>3878</v>
      </c>
      <c r="V5970" t="str">
        <f>"799052709"</f>
        <v>799052709</v>
      </c>
      <c r="AC5970" t="s">
        <v>79</v>
      </c>
      <c r="AD5970" t="s">
        <v>75</v>
      </c>
      <c r="AE5970" t="s">
        <v>103</v>
      </c>
      <c r="AG5970" t="s">
        <v>81</v>
      </c>
    </row>
    <row r="5971" spans="1:33" x14ac:dyDescent="0.25">
      <c r="A5971" t="str">
        <f>"1144637786"</f>
        <v>1144637786</v>
      </c>
      <c r="C5971" t="s">
        <v>13436</v>
      </c>
      <c r="K5971" t="s">
        <v>99</v>
      </c>
      <c r="L5971" t="s">
        <v>102</v>
      </c>
      <c r="M5971" t="s">
        <v>75</v>
      </c>
      <c r="R5971" t="s">
        <v>28401</v>
      </c>
      <c r="S5971" t="s">
        <v>14299</v>
      </c>
      <c r="T5971" t="s">
        <v>97</v>
      </c>
      <c r="U5971" t="s">
        <v>77</v>
      </c>
      <c r="V5971" t="str">
        <f>"100033821"</f>
        <v>100033821</v>
      </c>
      <c r="AC5971" t="s">
        <v>79</v>
      </c>
      <c r="AD5971" t="s">
        <v>75</v>
      </c>
      <c r="AE5971" t="s">
        <v>103</v>
      </c>
      <c r="AG5971" t="s">
        <v>81</v>
      </c>
    </row>
    <row r="5972" spans="1:33" x14ac:dyDescent="0.25">
      <c r="A5972" t="str">
        <f>"1669679270"</f>
        <v>1669679270</v>
      </c>
      <c r="B5972" t="str">
        <f>"03779971"</f>
        <v>03779971</v>
      </c>
      <c r="C5972" t="s">
        <v>13436</v>
      </c>
      <c r="D5972" t="s">
        <v>28402</v>
      </c>
      <c r="E5972" t="s">
        <v>28403</v>
      </c>
      <c r="G5972" t="s">
        <v>28404</v>
      </c>
      <c r="L5972" t="s">
        <v>94</v>
      </c>
      <c r="M5972" t="s">
        <v>85</v>
      </c>
      <c r="R5972" t="s">
        <v>28403</v>
      </c>
      <c r="W5972" t="s">
        <v>28403</v>
      </c>
      <c r="X5972" t="s">
        <v>28405</v>
      </c>
      <c r="Y5972" t="s">
        <v>87</v>
      </c>
      <c r="Z5972" t="s">
        <v>77</v>
      </c>
      <c r="AA5972" t="str">
        <f>"11235-7745"</f>
        <v>11235-7745</v>
      </c>
      <c r="AB5972" t="s">
        <v>78</v>
      </c>
      <c r="AC5972" t="s">
        <v>79</v>
      </c>
      <c r="AD5972" t="s">
        <v>75</v>
      </c>
      <c r="AE5972" t="s">
        <v>80</v>
      </c>
      <c r="AG5972" t="s">
        <v>81</v>
      </c>
    </row>
    <row r="5973" spans="1:33" x14ac:dyDescent="0.25">
      <c r="A5973" t="str">
        <f>"1669714291"</f>
        <v>1669714291</v>
      </c>
      <c r="C5973" t="s">
        <v>13436</v>
      </c>
      <c r="K5973" t="s">
        <v>99</v>
      </c>
      <c r="L5973" t="s">
        <v>102</v>
      </c>
      <c r="M5973" t="s">
        <v>75</v>
      </c>
      <c r="R5973" t="s">
        <v>28406</v>
      </c>
      <c r="S5973" t="s">
        <v>329</v>
      </c>
      <c r="T5973" t="s">
        <v>97</v>
      </c>
      <c r="U5973" t="s">
        <v>77</v>
      </c>
      <c r="V5973" t="str">
        <f>"100296504"</f>
        <v>100296504</v>
      </c>
      <c r="AC5973" t="s">
        <v>79</v>
      </c>
      <c r="AD5973" t="s">
        <v>75</v>
      </c>
      <c r="AE5973" t="s">
        <v>103</v>
      </c>
      <c r="AG5973" t="s">
        <v>81</v>
      </c>
    </row>
    <row r="5974" spans="1:33" x14ac:dyDescent="0.25">
      <c r="A5974" t="str">
        <f>"1114103892"</f>
        <v>1114103892</v>
      </c>
      <c r="B5974" t="str">
        <f>"03268980"</f>
        <v>03268980</v>
      </c>
      <c r="C5974" t="s">
        <v>13436</v>
      </c>
      <c r="D5974" t="s">
        <v>28407</v>
      </c>
      <c r="E5974" t="s">
        <v>28408</v>
      </c>
      <c r="G5974" t="s">
        <v>28409</v>
      </c>
      <c r="L5974" t="s">
        <v>83</v>
      </c>
      <c r="M5974" t="s">
        <v>85</v>
      </c>
      <c r="R5974" t="s">
        <v>28410</v>
      </c>
      <c r="W5974" t="s">
        <v>28408</v>
      </c>
      <c r="X5974" t="s">
        <v>181</v>
      </c>
      <c r="Y5974" t="s">
        <v>97</v>
      </c>
      <c r="Z5974" t="s">
        <v>77</v>
      </c>
      <c r="AA5974" t="str">
        <f>"10025-1716"</f>
        <v>10025-1716</v>
      </c>
      <c r="AB5974" t="s">
        <v>78</v>
      </c>
      <c r="AC5974" t="s">
        <v>79</v>
      </c>
      <c r="AD5974" t="s">
        <v>75</v>
      </c>
      <c r="AE5974" t="s">
        <v>80</v>
      </c>
      <c r="AG5974" t="s">
        <v>81</v>
      </c>
    </row>
    <row r="5975" spans="1:33" x14ac:dyDescent="0.25">
      <c r="A5975" t="str">
        <f>"1124011432"</f>
        <v>1124011432</v>
      </c>
      <c r="B5975" t="str">
        <f>"00424548"</f>
        <v>00424548</v>
      </c>
      <c r="C5975" t="s">
        <v>13436</v>
      </c>
      <c r="D5975" t="s">
        <v>28411</v>
      </c>
      <c r="E5975" t="s">
        <v>28412</v>
      </c>
      <c r="G5975" t="s">
        <v>28413</v>
      </c>
      <c r="L5975" t="s">
        <v>74</v>
      </c>
      <c r="M5975" t="s">
        <v>85</v>
      </c>
      <c r="W5975" t="s">
        <v>28412</v>
      </c>
      <c r="X5975" t="s">
        <v>306</v>
      </c>
      <c r="Y5975" t="s">
        <v>97</v>
      </c>
      <c r="Z5975" t="s">
        <v>77</v>
      </c>
      <c r="AA5975" t="str">
        <f>"10003-4201"</f>
        <v>10003-4201</v>
      </c>
      <c r="AB5975" t="s">
        <v>78</v>
      </c>
      <c r="AC5975" t="s">
        <v>79</v>
      </c>
      <c r="AD5975" t="s">
        <v>75</v>
      </c>
      <c r="AE5975" t="s">
        <v>80</v>
      </c>
      <c r="AG5975" t="s">
        <v>81</v>
      </c>
    </row>
    <row r="5976" spans="1:33" x14ac:dyDescent="0.25">
      <c r="A5976" t="str">
        <f>"1780666545"</f>
        <v>1780666545</v>
      </c>
      <c r="B5976" t="str">
        <f>"01973519"</f>
        <v>01973519</v>
      </c>
      <c r="C5976" t="s">
        <v>13436</v>
      </c>
      <c r="D5976" t="s">
        <v>28414</v>
      </c>
      <c r="E5976" t="s">
        <v>28415</v>
      </c>
      <c r="G5976" t="s">
        <v>28416</v>
      </c>
      <c r="L5976" t="s">
        <v>84</v>
      </c>
      <c r="M5976" t="s">
        <v>85</v>
      </c>
      <c r="R5976" t="s">
        <v>28417</v>
      </c>
      <c r="W5976" t="s">
        <v>28415</v>
      </c>
      <c r="X5976" t="s">
        <v>3553</v>
      </c>
      <c r="Y5976" t="s">
        <v>97</v>
      </c>
      <c r="Z5976" t="s">
        <v>77</v>
      </c>
      <c r="AA5976" t="str">
        <f>"10003-3851"</f>
        <v>10003-3851</v>
      </c>
      <c r="AB5976" t="s">
        <v>78</v>
      </c>
      <c r="AC5976" t="s">
        <v>79</v>
      </c>
      <c r="AD5976" t="s">
        <v>75</v>
      </c>
      <c r="AE5976" t="s">
        <v>80</v>
      </c>
      <c r="AG5976" t="s">
        <v>81</v>
      </c>
    </row>
    <row r="5977" spans="1:33" x14ac:dyDescent="0.25">
      <c r="A5977" t="str">
        <f>"1780668400"</f>
        <v>1780668400</v>
      </c>
      <c r="B5977" t="str">
        <f>"01811072"</f>
        <v>01811072</v>
      </c>
      <c r="C5977" t="s">
        <v>13436</v>
      </c>
      <c r="D5977" t="s">
        <v>28418</v>
      </c>
      <c r="E5977" t="s">
        <v>28419</v>
      </c>
      <c r="G5977" t="s">
        <v>28420</v>
      </c>
      <c r="L5977" t="s">
        <v>83</v>
      </c>
      <c r="M5977" t="s">
        <v>85</v>
      </c>
      <c r="R5977" t="s">
        <v>28421</v>
      </c>
      <c r="W5977" t="s">
        <v>28419</v>
      </c>
      <c r="X5977" t="s">
        <v>191</v>
      </c>
      <c r="Y5977" t="s">
        <v>97</v>
      </c>
      <c r="Z5977" t="s">
        <v>77</v>
      </c>
      <c r="AA5977" t="str">
        <f>"10019-1147"</f>
        <v>10019-1147</v>
      </c>
      <c r="AB5977" t="s">
        <v>78</v>
      </c>
      <c r="AC5977" t="s">
        <v>79</v>
      </c>
      <c r="AD5977" t="s">
        <v>75</v>
      </c>
      <c r="AE5977" t="s">
        <v>80</v>
      </c>
      <c r="AG5977" t="s">
        <v>81</v>
      </c>
    </row>
    <row r="5978" spans="1:33" x14ac:dyDescent="0.25">
      <c r="A5978" t="str">
        <f>"1780669911"</f>
        <v>1780669911</v>
      </c>
      <c r="B5978" t="str">
        <f>"01977893"</f>
        <v>01977893</v>
      </c>
      <c r="C5978" t="s">
        <v>13436</v>
      </c>
      <c r="D5978" t="s">
        <v>28422</v>
      </c>
      <c r="E5978" t="s">
        <v>28423</v>
      </c>
      <c r="G5978" t="s">
        <v>28424</v>
      </c>
      <c r="L5978" t="s">
        <v>94</v>
      </c>
      <c r="M5978" t="s">
        <v>85</v>
      </c>
      <c r="R5978" t="s">
        <v>28425</v>
      </c>
      <c r="W5978" t="s">
        <v>28426</v>
      </c>
      <c r="Y5978" t="s">
        <v>97</v>
      </c>
      <c r="Z5978" t="s">
        <v>77</v>
      </c>
      <c r="AA5978" t="str">
        <f>"10128-7603"</f>
        <v>10128-7603</v>
      </c>
      <c r="AB5978" t="s">
        <v>78</v>
      </c>
      <c r="AC5978" t="s">
        <v>79</v>
      </c>
      <c r="AD5978" t="s">
        <v>75</v>
      </c>
      <c r="AE5978" t="s">
        <v>80</v>
      </c>
      <c r="AG5978" t="s">
        <v>81</v>
      </c>
    </row>
    <row r="5979" spans="1:33" x14ac:dyDescent="0.25">
      <c r="A5979" t="str">
        <f>"1780672964"</f>
        <v>1780672964</v>
      </c>
      <c r="B5979" t="str">
        <f>"00416546"</f>
        <v>00416546</v>
      </c>
      <c r="C5979" t="s">
        <v>13436</v>
      </c>
      <c r="D5979" t="s">
        <v>28427</v>
      </c>
      <c r="E5979" t="s">
        <v>28428</v>
      </c>
      <c r="G5979" t="s">
        <v>28429</v>
      </c>
      <c r="L5979" t="s">
        <v>74</v>
      </c>
      <c r="M5979" t="s">
        <v>85</v>
      </c>
      <c r="R5979" t="s">
        <v>28430</v>
      </c>
      <c r="W5979" t="s">
        <v>28428</v>
      </c>
      <c r="X5979" t="s">
        <v>5585</v>
      </c>
      <c r="Y5979" t="s">
        <v>97</v>
      </c>
      <c r="Z5979" t="s">
        <v>77</v>
      </c>
      <c r="AA5979" t="str">
        <f>"10003-0000"</f>
        <v>10003-0000</v>
      </c>
      <c r="AB5979" t="s">
        <v>78</v>
      </c>
      <c r="AC5979" t="s">
        <v>79</v>
      </c>
      <c r="AD5979" t="s">
        <v>75</v>
      </c>
      <c r="AE5979" t="s">
        <v>80</v>
      </c>
      <c r="AG5979" t="s">
        <v>81</v>
      </c>
    </row>
    <row r="5980" spans="1:33" x14ac:dyDescent="0.25">
      <c r="A5980" t="str">
        <f>"1780673574"</f>
        <v>1780673574</v>
      </c>
      <c r="B5980" t="str">
        <f>"02267072"</f>
        <v>02267072</v>
      </c>
      <c r="C5980" t="s">
        <v>13436</v>
      </c>
      <c r="D5980" t="s">
        <v>28431</v>
      </c>
      <c r="E5980" t="s">
        <v>28432</v>
      </c>
      <c r="G5980" t="s">
        <v>28433</v>
      </c>
      <c r="L5980" t="s">
        <v>74</v>
      </c>
      <c r="M5980" t="s">
        <v>85</v>
      </c>
      <c r="R5980" t="s">
        <v>28434</v>
      </c>
      <c r="W5980" t="s">
        <v>28432</v>
      </c>
      <c r="X5980" t="s">
        <v>28435</v>
      </c>
      <c r="Y5980" t="s">
        <v>97</v>
      </c>
      <c r="Z5980" t="s">
        <v>77</v>
      </c>
      <c r="AA5980" t="str">
        <f>"10065-4870"</f>
        <v>10065-4870</v>
      </c>
      <c r="AB5980" t="s">
        <v>78</v>
      </c>
      <c r="AC5980" t="s">
        <v>79</v>
      </c>
      <c r="AD5980" t="s">
        <v>75</v>
      </c>
      <c r="AE5980" t="s">
        <v>80</v>
      </c>
      <c r="AG5980" t="s">
        <v>81</v>
      </c>
    </row>
    <row r="5981" spans="1:33" x14ac:dyDescent="0.25">
      <c r="A5981" t="str">
        <f>"1386611028"</f>
        <v>1386611028</v>
      </c>
      <c r="B5981" t="str">
        <f>"02322392"</f>
        <v>02322392</v>
      </c>
      <c r="C5981" t="s">
        <v>13436</v>
      </c>
      <c r="D5981" t="s">
        <v>28436</v>
      </c>
      <c r="E5981" t="s">
        <v>28437</v>
      </c>
      <c r="G5981" t="s">
        <v>28438</v>
      </c>
      <c r="L5981" t="s">
        <v>83</v>
      </c>
      <c r="M5981" t="s">
        <v>85</v>
      </c>
      <c r="R5981" t="s">
        <v>28439</v>
      </c>
      <c r="W5981" t="s">
        <v>28437</v>
      </c>
      <c r="X5981" t="s">
        <v>272</v>
      </c>
      <c r="Y5981" t="s">
        <v>97</v>
      </c>
      <c r="Z5981" t="s">
        <v>77</v>
      </c>
      <c r="AA5981" t="str">
        <f>"10029-6501"</f>
        <v>10029-6501</v>
      </c>
      <c r="AB5981" t="s">
        <v>78</v>
      </c>
      <c r="AC5981" t="s">
        <v>79</v>
      </c>
      <c r="AD5981" t="s">
        <v>75</v>
      </c>
      <c r="AE5981" t="s">
        <v>80</v>
      </c>
      <c r="AG5981" t="s">
        <v>81</v>
      </c>
    </row>
    <row r="5982" spans="1:33" x14ac:dyDescent="0.25">
      <c r="A5982" t="str">
        <f>"1164688933"</f>
        <v>1164688933</v>
      </c>
      <c r="B5982" t="str">
        <f>"03441605"</f>
        <v>03441605</v>
      </c>
      <c r="C5982" t="s">
        <v>13436</v>
      </c>
      <c r="D5982" t="s">
        <v>28440</v>
      </c>
      <c r="E5982" t="s">
        <v>28441</v>
      </c>
      <c r="G5982" t="s">
        <v>28442</v>
      </c>
      <c r="L5982" t="s">
        <v>83</v>
      </c>
      <c r="M5982" t="s">
        <v>85</v>
      </c>
      <c r="R5982" t="s">
        <v>28443</v>
      </c>
      <c r="W5982" t="s">
        <v>28444</v>
      </c>
      <c r="X5982" t="s">
        <v>28445</v>
      </c>
      <c r="Y5982" t="s">
        <v>97</v>
      </c>
      <c r="Z5982" t="s">
        <v>77</v>
      </c>
      <c r="AA5982" t="str">
        <f>"10029-0000"</f>
        <v>10029-0000</v>
      </c>
      <c r="AB5982" t="s">
        <v>78</v>
      </c>
      <c r="AC5982" t="s">
        <v>79</v>
      </c>
      <c r="AD5982" t="s">
        <v>75</v>
      </c>
      <c r="AE5982" t="s">
        <v>80</v>
      </c>
      <c r="AG5982" t="s">
        <v>81</v>
      </c>
    </row>
    <row r="5983" spans="1:33" x14ac:dyDescent="0.25">
      <c r="A5983" t="str">
        <f>"1124231543"</f>
        <v>1124231543</v>
      </c>
      <c r="B5983" t="str">
        <f>"03953115"</f>
        <v>03953115</v>
      </c>
      <c r="C5983" t="s">
        <v>13436</v>
      </c>
      <c r="D5983" t="s">
        <v>28446</v>
      </c>
      <c r="E5983" t="s">
        <v>28447</v>
      </c>
      <c r="L5983" t="s">
        <v>74</v>
      </c>
      <c r="M5983" t="s">
        <v>75</v>
      </c>
      <c r="R5983" t="s">
        <v>28448</v>
      </c>
      <c r="W5983" t="s">
        <v>28447</v>
      </c>
      <c r="X5983" t="s">
        <v>4799</v>
      </c>
      <c r="Y5983" t="s">
        <v>87</v>
      </c>
      <c r="Z5983" t="s">
        <v>77</v>
      </c>
      <c r="AA5983" t="str">
        <f>"11234-2625"</f>
        <v>11234-2625</v>
      </c>
      <c r="AB5983" t="s">
        <v>78</v>
      </c>
      <c r="AC5983" t="s">
        <v>79</v>
      </c>
      <c r="AD5983" t="s">
        <v>75</v>
      </c>
      <c r="AE5983" t="s">
        <v>80</v>
      </c>
      <c r="AG5983" t="s">
        <v>81</v>
      </c>
    </row>
    <row r="5984" spans="1:33" x14ac:dyDescent="0.25">
      <c r="A5984" t="str">
        <f>"1124251293"</f>
        <v>1124251293</v>
      </c>
      <c r="B5984" t="str">
        <f>"03478599"</f>
        <v>03478599</v>
      </c>
      <c r="C5984" t="s">
        <v>13436</v>
      </c>
      <c r="D5984" t="s">
        <v>28449</v>
      </c>
      <c r="E5984" t="s">
        <v>28450</v>
      </c>
      <c r="G5984" t="s">
        <v>28451</v>
      </c>
      <c r="L5984" t="s">
        <v>83</v>
      </c>
      <c r="M5984" t="s">
        <v>75</v>
      </c>
      <c r="R5984" t="s">
        <v>28452</v>
      </c>
      <c r="W5984" t="s">
        <v>28450</v>
      </c>
      <c r="X5984" t="s">
        <v>191</v>
      </c>
      <c r="Y5984" t="s">
        <v>97</v>
      </c>
      <c r="Z5984" t="s">
        <v>77</v>
      </c>
      <c r="AA5984" t="str">
        <f>"10019-1147"</f>
        <v>10019-1147</v>
      </c>
      <c r="AB5984" t="s">
        <v>78</v>
      </c>
      <c r="AC5984" t="s">
        <v>79</v>
      </c>
      <c r="AD5984" t="s">
        <v>75</v>
      </c>
      <c r="AE5984" t="s">
        <v>80</v>
      </c>
      <c r="AG5984" t="s">
        <v>81</v>
      </c>
    </row>
    <row r="5985" spans="1:33" x14ac:dyDescent="0.25">
      <c r="A5985" t="str">
        <f>"1124253935"</f>
        <v>1124253935</v>
      </c>
      <c r="B5985" t="str">
        <f>"04622684"</f>
        <v>04622684</v>
      </c>
      <c r="C5985" t="s">
        <v>13436</v>
      </c>
      <c r="D5985" t="s">
        <v>28453</v>
      </c>
      <c r="E5985" t="s">
        <v>28454</v>
      </c>
      <c r="L5985" t="s">
        <v>102</v>
      </c>
      <c r="M5985" t="s">
        <v>75</v>
      </c>
      <c r="R5985" t="s">
        <v>28455</v>
      </c>
      <c r="W5985" t="s">
        <v>28454</v>
      </c>
      <c r="AB5985" t="s">
        <v>78</v>
      </c>
      <c r="AC5985" t="s">
        <v>79</v>
      </c>
      <c r="AD5985" t="s">
        <v>75</v>
      </c>
      <c r="AE5985" t="s">
        <v>80</v>
      </c>
      <c r="AG5985" t="s">
        <v>81</v>
      </c>
    </row>
    <row r="5986" spans="1:33" x14ac:dyDescent="0.25">
      <c r="A5986" t="str">
        <f>"1124256466"</f>
        <v>1124256466</v>
      </c>
      <c r="B5986" t="str">
        <f>"03881541"</f>
        <v>03881541</v>
      </c>
      <c r="C5986" t="s">
        <v>13436</v>
      </c>
      <c r="D5986" t="s">
        <v>28456</v>
      </c>
      <c r="E5986" t="s">
        <v>28457</v>
      </c>
      <c r="G5986" t="s">
        <v>28458</v>
      </c>
      <c r="L5986" t="s">
        <v>83</v>
      </c>
      <c r="M5986" t="s">
        <v>75</v>
      </c>
      <c r="R5986" t="s">
        <v>28459</v>
      </c>
      <c r="W5986" t="s">
        <v>28457</v>
      </c>
      <c r="X5986" t="s">
        <v>7961</v>
      </c>
      <c r="Y5986" t="s">
        <v>97</v>
      </c>
      <c r="Z5986" t="s">
        <v>77</v>
      </c>
      <c r="AA5986" t="str">
        <f>"10029-6501"</f>
        <v>10029-6501</v>
      </c>
      <c r="AB5986" t="s">
        <v>78</v>
      </c>
      <c r="AC5986" t="s">
        <v>79</v>
      </c>
      <c r="AD5986" t="s">
        <v>75</v>
      </c>
      <c r="AE5986" t="s">
        <v>80</v>
      </c>
      <c r="AG5986" t="s">
        <v>81</v>
      </c>
    </row>
    <row r="5987" spans="1:33" x14ac:dyDescent="0.25">
      <c r="A5987" t="str">
        <f>"1770559882"</f>
        <v>1770559882</v>
      </c>
      <c r="B5987" t="str">
        <f>"02327420"</f>
        <v>02327420</v>
      </c>
      <c r="C5987" t="s">
        <v>13436</v>
      </c>
      <c r="D5987" t="s">
        <v>28460</v>
      </c>
      <c r="E5987" t="s">
        <v>28461</v>
      </c>
      <c r="G5987" t="s">
        <v>28462</v>
      </c>
      <c r="L5987" t="s">
        <v>102</v>
      </c>
      <c r="M5987" t="s">
        <v>75</v>
      </c>
      <c r="R5987" t="s">
        <v>28461</v>
      </c>
      <c r="W5987" t="s">
        <v>28461</v>
      </c>
      <c r="X5987" t="s">
        <v>28461</v>
      </c>
      <c r="Y5987" t="s">
        <v>97</v>
      </c>
      <c r="Z5987" t="s">
        <v>77</v>
      </c>
      <c r="AA5987" t="str">
        <f>"10017"</f>
        <v>10017</v>
      </c>
      <c r="AB5987" t="s">
        <v>78</v>
      </c>
      <c r="AC5987" t="s">
        <v>79</v>
      </c>
      <c r="AD5987" t="s">
        <v>75</v>
      </c>
      <c r="AE5987" t="s">
        <v>80</v>
      </c>
      <c r="AG5987" t="s">
        <v>81</v>
      </c>
    </row>
    <row r="5988" spans="1:33" x14ac:dyDescent="0.25">
      <c r="A5988" t="str">
        <f>"1770634941"</f>
        <v>1770634941</v>
      </c>
      <c r="B5988" t="str">
        <f>"01412702"</f>
        <v>01412702</v>
      </c>
      <c r="C5988" t="s">
        <v>13436</v>
      </c>
      <c r="D5988" t="s">
        <v>28463</v>
      </c>
      <c r="E5988" t="s">
        <v>28464</v>
      </c>
      <c r="G5988" t="s">
        <v>28465</v>
      </c>
      <c r="L5988" t="s">
        <v>83</v>
      </c>
      <c r="M5988" t="s">
        <v>75</v>
      </c>
      <c r="R5988" t="s">
        <v>3916</v>
      </c>
      <c r="W5988" t="s">
        <v>28464</v>
      </c>
      <c r="X5988" t="s">
        <v>5153</v>
      </c>
      <c r="Y5988" t="s">
        <v>97</v>
      </c>
      <c r="Z5988" t="s">
        <v>77</v>
      </c>
      <c r="AA5988" t="str">
        <f>"10011-8305"</f>
        <v>10011-8305</v>
      </c>
      <c r="AB5988" t="s">
        <v>78</v>
      </c>
      <c r="AC5988" t="s">
        <v>79</v>
      </c>
      <c r="AD5988" t="s">
        <v>75</v>
      </c>
      <c r="AE5988" t="s">
        <v>80</v>
      </c>
      <c r="AG5988" t="s">
        <v>81</v>
      </c>
    </row>
    <row r="5989" spans="1:33" x14ac:dyDescent="0.25">
      <c r="A5989" t="str">
        <f>"1356607584"</f>
        <v>1356607584</v>
      </c>
      <c r="C5989" t="s">
        <v>13436</v>
      </c>
      <c r="K5989" t="s">
        <v>99</v>
      </c>
      <c r="L5989" t="s">
        <v>102</v>
      </c>
      <c r="M5989" t="s">
        <v>75</v>
      </c>
      <c r="R5989" t="s">
        <v>28466</v>
      </c>
      <c r="S5989" t="s">
        <v>28467</v>
      </c>
      <c r="T5989" t="s">
        <v>28468</v>
      </c>
      <c r="U5989" t="s">
        <v>123</v>
      </c>
      <c r="V5989" t="str">
        <f>"020453069"</f>
        <v>020453069</v>
      </c>
      <c r="AC5989" t="s">
        <v>79</v>
      </c>
      <c r="AD5989" t="s">
        <v>75</v>
      </c>
      <c r="AE5989" t="s">
        <v>103</v>
      </c>
      <c r="AG5989" t="s">
        <v>81</v>
      </c>
    </row>
    <row r="5990" spans="1:33" x14ac:dyDescent="0.25">
      <c r="A5990" t="str">
        <f>"1356609234"</f>
        <v>1356609234</v>
      </c>
      <c r="C5990" t="s">
        <v>13436</v>
      </c>
      <c r="K5990" t="s">
        <v>99</v>
      </c>
      <c r="L5990" t="s">
        <v>102</v>
      </c>
      <c r="M5990" t="s">
        <v>75</v>
      </c>
      <c r="R5990" t="s">
        <v>28469</v>
      </c>
      <c r="S5990" t="s">
        <v>719</v>
      </c>
      <c r="T5990" t="s">
        <v>97</v>
      </c>
      <c r="U5990" t="s">
        <v>77</v>
      </c>
      <c r="V5990" t="str">
        <f>"10003"</f>
        <v>10003</v>
      </c>
      <c r="AC5990" t="s">
        <v>79</v>
      </c>
      <c r="AD5990" t="s">
        <v>75</v>
      </c>
      <c r="AE5990" t="s">
        <v>103</v>
      </c>
      <c r="AG5990" t="s">
        <v>81</v>
      </c>
    </row>
    <row r="5991" spans="1:33" x14ac:dyDescent="0.25">
      <c r="A5991" t="str">
        <f>"1356617146"</f>
        <v>1356617146</v>
      </c>
      <c r="B5991" t="str">
        <f>"04270504"</f>
        <v>04270504</v>
      </c>
      <c r="C5991" t="s">
        <v>13436</v>
      </c>
      <c r="D5991" t="s">
        <v>28470</v>
      </c>
      <c r="E5991" t="s">
        <v>28471</v>
      </c>
      <c r="L5991" t="s">
        <v>83</v>
      </c>
      <c r="M5991" t="s">
        <v>75</v>
      </c>
      <c r="R5991" t="s">
        <v>28472</v>
      </c>
      <c r="W5991" t="s">
        <v>28471</v>
      </c>
      <c r="X5991" t="s">
        <v>162</v>
      </c>
      <c r="Y5991" t="s">
        <v>87</v>
      </c>
      <c r="Z5991" t="s">
        <v>77</v>
      </c>
      <c r="AA5991" t="str">
        <f>"11215-3609"</f>
        <v>11215-3609</v>
      </c>
      <c r="AB5991" t="s">
        <v>78</v>
      </c>
      <c r="AC5991" t="s">
        <v>79</v>
      </c>
      <c r="AD5991" t="s">
        <v>75</v>
      </c>
      <c r="AE5991" t="s">
        <v>80</v>
      </c>
      <c r="AG5991" t="s">
        <v>81</v>
      </c>
    </row>
    <row r="5992" spans="1:33" x14ac:dyDescent="0.25">
      <c r="A5992" t="str">
        <f>"1205241445"</f>
        <v>1205241445</v>
      </c>
      <c r="C5992" t="s">
        <v>13436</v>
      </c>
      <c r="K5992" t="s">
        <v>99</v>
      </c>
      <c r="L5992" t="s">
        <v>102</v>
      </c>
      <c r="M5992" t="s">
        <v>75</v>
      </c>
      <c r="R5992" t="s">
        <v>28473</v>
      </c>
      <c r="S5992" t="s">
        <v>12670</v>
      </c>
      <c r="T5992" t="s">
        <v>97</v>
      </c>
      <c r="U5992" t="s">
        <v>77</v>
      </c>
      <c r="V5992" t="str">
        <f>"100033821"</f>
        <v>100033821</v>
      </c>
      <c r="AC5992" t="s">
        <v>79</v>
      </c>
      <c r="AD5992" t="s">
        <v>75</v>
      </c>
      <c r="AE5992" t="s">
        <v>103</v>
      </c>
      <c r="AG5992" t="s">
        <v>81</v>
      </c>
    </row>
    <row r="5993" spans="1:33" x14ac:dyDescent="0.25">
      <c r="A5993" t="str">
        <f>"1205253101"</f>
        <v>1205253101</v>
      </c>
      <c r="C5993" t="s">
        <v>13436</v>
      </c>
      <c r="K5993" t="s">
        <v>99</v>
      </c>
      <c r="L5993" t="s">
        <v>102</v>
      </c>
      <c r="M5993" t="s">
        <v>75</v>
      </c>
      <c r="R5993" t="s">
        <v>28474</v>
      </c>
      <c r="S5993" t="s">
        <v>28475</v>
      </c>
      <c r="T5993" t="s">
        <v>97</v>
      </c>
      <c r="U5993" t="s">
        <v>77</v>
      </c>
      <c r="V5993" t="str">
        <f>"100296574"</f>
        <v>100296574</v>
      </c>
      <c r="AC5993" t="s">
        <v>79</v>
      </c>
      <c r="AD5993" t="s">
        <v>75</v>
      </c>
      <c r="AE5993" t="s">
        <v>103</v>
      </c>
      <c r="AG5993" t="s">
        <v>81</v>
      </c>
    </row>
    <row r="5994" spans="1:33" x14ac:dyDescent="0.25">
      <c r="A5994" t="str">
        <f>"1205253366"</f>
        <v>1205253366</v>
      </c>
      <c r="C5994" t="s">
        <v>13436</v>
      </c>
      <c r="K5994" t="s">
        <v>99</v>
      </c>
      <c r="L5994" t="s">
        <v>102</v>
      </c>
      <c r="M5994" t="s">
        <v>75</v>
      </c>
      <c r="R5994" t="s">
        <v>28476</v>
      </c>
      <c r="S5994" t="s">
        <v>11850</v>
      </c>
      <c r="T5994" t="s">
        <v>97</v>
      </c>
      <c r="U5994" t="s">
        <v>77</v>
      </c>
      <c r="V5994" t="str">
        <f>"100296504"</f>
        <v>100296504</v>
      </c>
      <c r="AC5994" t="s">
        <v>79</v>
      </c>
      <c r="AD5994" t="s">
        <v>75</v>
      </c>
      <c r="AE5994" t="s">
        <v>103</v>
      </c>
      <c r="AG5994" t="s">
        <v>81</v>
      </c>
    </row>
    <row r="5995" spans="1:33" x14ac:dyDescent="0.25">
      <c r="A5995" t="str">
        <f>"1205253481"</f>
        <v>1205253481</v>
      </c>
      <c r="C5995" t="s">
        <v>13436</v>
      </c>
      <c r="K5995" t="s">
        <v>99</v>
      </c>
      <c r="L5995" t="s">
        <v>102</v>
      </c>
      <c r="M5995" t="s">
        <v>75</v>
      </c>
      <c r="R5995" t="s">
        <v>28477</v>
      </c>
      <c r="S5995" t="s">
        <v>28478</v>
      </c>
      <c r="T5995" t="s">
        <v>97</v>
      </c>
      <c r="U5995" t="s">
        <v>77</v>
      </c>
      <c r="V5995" t="str">
        <f>"100215659"</f>
        <v>100215659</v>
      </c>
      <c r="AC5995" t="s">
        <v>79</v>
      </c>
      <c r="AD5995" t="s">
        <v>75</v>
      </c>
      <c r="AE5995" t="s">
        <v>103</v>
      </c>
      <c r="AG5995" t="s">
        <v>81</v>
      </c>
    </row>
    <row r="5996" spans="1:33" x14ac:dyDescent="0.25">
      <c r="A5996" t="str">
        <f>"1205262656"</f>
        <v>1205262656</v>
      </c>
      <c r="B5996" t="str">
        <f>"03804340"</f>
        <v>03804340</v>
      </c>
      <c r="C5996" t="s">
        <v>13436</v>
      </c>
      <c r="D5996" t="s">
        <v>28479</v>
      </c>
      <c r="E5996" t="s">
        <v>28480</v>
      </c>
      <c r="G5996" t="s">
        <v>28481</v>
      </c>
      <c r="L5996" t="s">
        <v>102</v>
      </c>
      <c r="M5996" t="s">
        <v>75</v>
      </c>
      <c r="R5996" t="s">
        <v>28482</v>
      </c>
      <c r="W5996" t="s">
        <v>28480</v>
      </c>
      <c r="X5996" t="s">
        <v>28483</v>
      </c>
      <c r="Y5996" t="s">
        <v>97</v>
      </c>
      <c r="Z5996" t="s">
        <v>77</v>
      </c>
      <c r="AA5996" t="str">
        <f>"10003-2162"</f>
        <v>10003-2162</v>
      </c>
      <c r="AB5996" t="s">
        <v>78</v>
      </c>
      <c r="AC5996" t="s">
        <v>79</v>
      </c>
      <c r="AD5996" t="s">
        <v>75</v>
      </c>
      <c r="AE5996" t="s">
        <v>80</v>
      </c>
      <c r="AG5996" t="s">
        <v>81</v>
      </c>
    </row>
    <row r="5997" spans="1:33" x14ac:dyDescent="0.25">
      <c r="A5997" t="str">
        <f>"1205265840"</f>
        <v>1205265840</v>
      </c>
      <c r="B5997" t="str">
        <f>"03915693"</f>
        <v>03915693</v>
      </c>
      <c r="C5997" t="s">
        <v>13436</v>
      </c>
      <c r="D5997" t="s">
        <v>28484</v>
      </c>
      <c r="E5997" t="s">
        <v>28485</v>
      </c>
      <c r="G5997" t="s">
        <v>28486</v>
      </c>
      <c r="L5997" t="s">
        <v>74</v>
      </c>
      <c r="M5997" t="s">
        <v>75</v>
      </c>
      <c r="R5997" t="s">
        <v>28485</v>
      </c>
      <c r="W5997" t="s">
        <v>28485</v>
      </c>
      <c r="X5997" t="s">
        <v>181</v>
      </c>
      <c r="Y5997" t="s">
        <v>97</v>
      </c>
      <c r="Z5997" t="s">
        <v>77</v>
      </c>
      <c r="AA5997" t="str">
        <f>"10025-1716"</f>
        <v>10025-1716</v>
      </c>
      <c r="AB5997" t="s">
        <v>78</v>
      </c>
      <c r="AC5997" t="s">
        <v>79</v>
      </c>
      <c r="AD5997" t="s">
        <v>75</v>
      </c>
      <c r="AE5997" t="s">
        <v>80</v>
      </c>
      <c r="AG5997" t="s">
        <v>81</v>
      </c>
    </row>
    <row r="5998" spans="1:33" x14ac:dyDescent="0.25">
      <c r="A5998" t="str">
        <f>"1639271521"</f>
        <v>1639271521</v>
      </c>
      <c r="B5998" t="str">
        <f>"03728012"</f>
        <v>03728012</v>
      </c>
      <c r="C5998" t="s">
        <v>13436</v>
      </c>
      <c r="D5998" t="s">
        <v>28487</v>
      </c>
      <c r="E5998" t="s">
        <v>28488</v>
      </c>
      <c r="G5998" t="s">
        <v>28489</v>
      </c>
      <c r="L5998" t="s">
        <v>102</v>
      </c>
      <c r="M5998" t="s">
        <v>75</v>
      </c>
      <c r="R5998" t="s">
        <v>28490</v>
      </c>
      <c r="W5998" t="s">
        <v>28488</v>
      </c>
      <c r="X5998" t="s">
        <v>329</v>
      </c>
      <c r="Y5998" t="s">
        <v>97</v>
      </c>
      <c r="Z5998" t="s">
        <v>77</v>
      </c>
      <c r="AA5998" t="str">
        <f>"10029-6504"</f>
        <v>10029-6504</v>
      </c>
      <c r="AB5998" t="s">
        <v>78</v>
      </c>
      <c r="AC5998" t="s">
        <v>79</v>
      </c>
      <c r="AD5998" t="s">
        <v>75</v>
      </c>
      <c r="AE5998" t="s">
        <v>80</v>
      </c>
      <c r="AG5998" t="s">
        <v>81</v>
      </c>
    </row>
    <row r="5999" spans="1:33" x14ac:dyDescent="0.25">
      <c r="A5999" t="str">
        <f>"1346668423"</f>
        <v>1346668423</v>
      </c>
      <c r="C5999" t="s">
        <v>13436</v>
      </c>
      <c r="K5999" t="s">
        <v>99</v>
      </c>
      <c r="L5999" t="s">
        <v>102</v>
      </c>
      <c r="M5999" t="s">
        <v>75</v>
      </c>
      <c r="R5999" t="s">
        <v>28491</v>
      </c>
      <c r="S5999" t="s">
        <v>329</v>
      </c>
      <c r="T5999" t="s">
        <v>97</v>
      </c>
      <c r="U5999" t="s">
        <v>77</v>
      </c>
      <c r="V5999" t="str">
        <f>"100296504"</f>
        <v>100296504</v>
      </c>
      <c r="AC5999" t="s">
        <v>79</v>
      </c>
      <c r="AD5999" t="s">
        <v>75</v>
      </c>
      <c r="AE5999" t="s">
        <v>103</v>
      </c>
      <c r="AG5999" t="s">
        <v>81</v>
      </c>
    </row>
    <row r="6000" spans="1:33" x14ac:dyDescent="0.25">
      <c r="A6000" t="str">
        <f>"1629045844"</f>
        <v>1629045844</v>
      </c>
      <c r="B6000" t="str">
        <f>"02155342"</f>
        <v>02155342</v>
      </c>
      <c r="C6000" t="s">
        <v>13436</v>
      </c>
      <c r="D6000" t="s">
        <v>5796</v>
      </c>
      <c r="E6000" t="s">
        <v>5797</v>
      </c>
      <c r="G6000" t="s">
        <v>28492</v>
      </c>
      <c r="L6000" t="s">
        <v>83</v>
      </c>
      <c r="M6000" t="s">
        <v>85</v>
      </c>
      <c r="R6000" t="s">
        <v>5798</v>
      </c>
      <c r="W6000" t="s">
        <v>5797</v>
      </c>
      <c r="X6000" t="s">
        <v>5356</v>
      </c>
      <c r="Y6000" t="s">
        <v>5357</v>
      </c>
      <c r="Z6000" t="s">
        <v>77</v>
      </c>
      <c r="AA6000" t="str">
        <f>"10594-1143"</f>
        <v>10594-1143</v>
      </c>
      <c r="AB6000" t="s">
        <v>78</v>
      </c>
      <c r="AC6000" t="s">
        <v>79</v>
      </c>
      <c r="AD6000" t="s">
        <v>75</v>
      </c>
      <c r="AE6000" t="s">
        <v>80</v>
      </c>
      <c r="AG6000" t="s">
        <v>81</v>
      </c>
    </row>
    <row r="6001" spans="1:33" x14ac:dyDescent="0.25">
      <c r="A6001" t="str">
        <f>"1629057583"</f>
        <v>1629057583</v>
      </c>
      <c r="B6001" t="str">
        <f>"00344472"</f>
        <v>00344472</v>
      </c>
      <c r="C6001" t="s">
        <v>13436</v>
      </c>
      <c r="D6001" t="s">
        <v>28493</v>
      </c>
      <c r="E6001" t="s">
        <v>28494</v>
      </c>
      <c r="G6001" t="s">
        <v>28495</v>
      </c>
      <c r="L6001" t="s">
        <v>84</v>
      </c>
      <c r="M6001" t="s">
        <v>85</v>
      </c>
      <c r="R6001" t="s">
        <v>28496</v>
      </c>
      <c r="W6001" t="s">
        <v>28497</v>
      </c>
      <c r="X6001" t="s">
        <v>602</v>
      </c>
      <c r="Y6001" t="s">
        <v>97</v>
      </c>
      <c r="Z6001" t="s">
        <v>77</v>
      </c>
      <c r="AA6001" t="str">
        <f>"10038-2612"</f>
        <v>10038-2612</v>
      </c>
      <c r="AB6001" t="s">
        <v>78</v>
      </c>
      <c r="AC6001" t="s">
        <v>79</v>
      </c>
      <c r="AD6001" t="s">
        <v>75</v>
      </c>
      <c r="AE6001" t="s">
        <v>80</v>
      </c>
      <c r="AG6001" t="s">
        <v>81</v>
      </c>
    </row>
    <row r="6002" spans="1:33" x14ac:dyDescent="0.25">
      <c r="A6002" t="str">
        <f>"1407142870"</f>
        <v>1407142870</v>
      </c>
      <c r="C6002" t="s">
        <v>13436</v>
      </c>
      <c r="K6002" t="s">
        <v>99</v>
      </c>
      <c r="L6002" t="s">
        <v>102</v>
      </c>
      <c r="M6002" t="s">
        <v>75</v>
      </c>
      <c r="R6002" t="s">
        <v>28498</v>
      </c>
      <c r="S6002" t="s">
        <v>28499</v>
      </c>
      <c r="T6002" t="s">
        <v>97</v>
      </c>
      <c r="U6002" t="s">
        <v>77</v>
      </c>
      <c r="V6002" t="str">
        <f>"100296504"</f>
        <v>100296504</v>
      </c>
      <c r="AC6002" t="s">
        <v>79</v>
      </c>
      <c r="AD6002" t="s">
        <v>75</v>
      </c>
      <c r="AE6002" t="s">
        <v>103</v>
      </c>
      <c r="AG6002" t="s">
        <v>81</v>
      </c>
    </row>
    <row r="6003" spans="1:33" x14ac:dyDescent="0.25">
      <c r="A6003" t="str">
        <f>"1407145709"</f>
        <v>1407145709</v>
      </c>
      <c r="C6003" t="s">
        <v>13436</v>
      </c>
      <c r="K6003" t="s">
        <v>99</v>
      </c>
      <c r="L6003" t="s">
        <v>102</v>
      </c>
      <c r="M6003" t="s">
        <v>75</v>
      </c>
      <c r="R6003" t="s">
        <v>28500</v>
      </c>
      <c r="S6003" t="s">
        <v>28501</v>
      </c>
      <c r="T6003" t="s">
        <v>28502</v>
      </c>
      <c r="U6003" t="s">
        <v>739</v>
      </c>
      <c r="V6003" t="str">
        <f>"430172169"</f>
        <v>430172169</v>
      </c>
      <c r="AC6003" t="s">
        <v>79</v>
      </c>
      <c r="AD6003" t="s">
        <v>75</v>
      </c>
      <c r="AE6003" t="s">
        <v>103</v>
      </c>
      <c r="AG6003" t="s">
        <v>81</v>
      </c>
    </row>
    <row r="6004" spans="1:33" x14ac:dyDescent="0.25">
      <c r="A6004" t="str">
        <f>"1275767386"</f>
        <v>1275767386</v>
      </c>
      <c r="B6004" t="str">
        <f>"03844153"</f>
        <v>03844153</v>
      </c>
      <c r="C6004" t="s">
        <v>13436</v>
      </c>
      <c r="D6004" t="s">
        <v>28503</v>
      </c>
      <c r="E6004" t="s">
        <v>28504</v>
      </c>
      <c r="L6004" t="s">
        <v>105</v>
      </c>
      <c r="M6004" t="s">
        <v>75</v>
      </c>
      <c r="R6004" t="s">
        <v>28505</v>
      </c>
      <c r="W6004" t="s">
        <v>28504</v>
      </c>
      <c r="X6004" t="s">
        <v>175</v>
      </c>
      <c r="Y6004" t="s">
        <v>87</v>
      </c>
      <c r="Z6004" t="s">
        <v>77</v>
      </c>
      <c r="AA6004" t="str">
        <f>"11235-7745"</f>
        <v>11235-7745</v>
      </c>
      <c r="AB6004" t="s">
        <v>78</v>
      </c>
      <c r="AC6004" t="s">
        <v>79</v>
      </c>
      <c r="AD6004" t="s">
        <v>75</v>
      </c>
      <c r="AE6004" t="s">
        <v>80</v>
      </c>
      <c r="AG6004" t="s">
        <v>81</v>
      </c>
    </row>
    <row r="6005" spans="1:33" x14ac:dyDescent="0.25">
      <c r="A6005" t="str">
        <f>"1568766749"</f>
        <v>1568766749</v>
      </c>
      <c r="B6005" t="str">
        <f>"03579980"</f>
        <v>03579980</v>
      </c>
      <c r="C6005" t="s">
        <v>13436</v>
      </c>
      <c r="D6005" t="s">
        <v>28506</v>
      </c>
      <c r="E6005" t="s">
        <v>28507</v>
      </c>
      <c r="G6005" t="s">
        <v>28508</v>
      </c>
      <c r="L6005" t="s">
        <v>74</v>
      </c>
      <c r="M6005" t="s">
        <v>85</v>
      </c>
      <c r="R6005" t="s">
        <v>28509</v>
      </c>
      <c r="W6005" t="s">
        <v>28507</v>
      </c>
      <c r="X6005" t="s">
        <v>5471</v>
      </c>
      <c r="Y6005" t="s">
        <v>131</v>
      </c>
      <c r="Z6005" t="s">
        <v>77</v>
      </c>
      <c r="AA6005" t="str">
        <f>"10467-2410"</f>
        <v>10467-2410</v>
      </c>
      <c r="AB6005" t="s">
        <v>78</v>
      </c>
      <c r="AC6005" t="s">
        <v>79</v>
      </c>
      <c r="AD6005" t="s">
        <v>75</v>
      </c>
      <c r="AE6005" t="s">
        <v>80</v>
      </c>
      <c r="AG6005" t="s">
        <v>81</v>
      </c>
    </row>
    <row r="6006" spans="1:33" x14ac:dyDescent="0.25">
      <c r="A6006" t="str">
        <f>"1578724522"</f>
        <v>1578724522</v>
      </c>
      <c r="C6006" t="s">
        <v>13436</v>
      </c>
      <c r="G6006" t="s">
        <v>28510</v>
      </c>
      <c r="K6006" t="s">
        <v>99</v>
      </c>
      <c r="L6006" t="s">
        <v>102</v>
      </c>
      <c r="M6006" t="s">
        <v>85</v>
      </c>
      <c r="R6006" t="s">
        <v>28511</v>
      </c>
      <c r="S6006" t="s">
        <v>2685</v>
      </c>
      <c r="T6006" t="s">
        <v>2686</v>
      </c>
      <c r="U6006" t="s">
        <v>1784</v>
      </c>
      <c r="V6006" t="str">
        <f>"178221405"</f>
        <v>178221405</v>
      </c>
      <c r="AC6006" t="s">
        <v>79</v>
      </c>
      <c r="AD6006" t="s">
        <v>75</v>
      </c>
      <c r="AE6006" t="s">
        <v>103</v>
      </c>
      <c r="AG6006" t="s">
        <v>81</v>
      </c>
    </row>
    <row r="6007" spans="1:33" x14ac:dyDescent="0.25">
      <c r="A6007" t="str">
        <f>"1588644504"</f>
        <v>1588644504</v>
      </c>
      <c r="B6007" t="str">
        <f>"03571762"</f>
        <v>03571762</v>
      </c>
      <c r="C6007" t="s">
        <v>13436</v>
      </c>
      <c r="D6007" t="s">
        <v>28512</v>
      </c>
      <c r="E6007" t="s">
        <v>28513</v>
      </c>
      <c r="G6007" t="s">
        <v>28514</v>
      </c>
      <c r="L6007" t="s">
        <v>84</v>
      </c>
      <c r="M6007" t="s">
        <v>85</v>
      </c>
      <c r="R6007" t="s">
        <v>28515</v>
      </c>
      <c r="W6007" t="s">
        <v>28513</v>
      </c>
      <c r="X6007" t="s">
        <v>181</v>
      </c>
      <c r="Y6007" t="s">
        <v>97</v>
      </c>
      <c r="Z6007" t="s">
        <v>77</v>
      </c>
      <c r="AA6007" t="str">
        <f>"10025-1716"</f>
        <v>10025-1716</v>
      </c>
      <c r="AB6007" t="s">
        <v>78</v>
      </c>
      <c r="AC6007" t="s">
        <v>79</v>
      </c>
      <c r="AD6007" t="s">
        <v>75</v>
      </c>
      <c r="AE6007" t="s">
        <v>80</v>
      </c>
      <c r="AG6007" t="s">
        <v>81</v>
      </c>
    </row>
    <row r="6008" spans="1:33" x14ac:dyDescent="0.25">
      <c r="A6008" t="str">
        <f>"1588697908"</f>
        <v>1588697908</v>
      </c>
      <c r="B6008" t="str">
        <f>"02990563"</f>
        <v>02990563</v>
      </c>
      <c r="C6008" t="s">
        <v>13436</v>
      </c>
      <c r="D6008" t="s">
        <v>28516</v>
      </c>
      <c r="E6008" t="s">
        <v>28517</v>
      </c>
      <c r="G6008" t="s">
        <v>28518</v>
      </c>
      <c r="L6008" t="s">
        <v>83</v>
      </c>
      <c r="M6008" t="s">
        <v>85</v>
      </c>
      <c r="R6008" t="s">
        <v>28519</v>
      </c>
      <c r="W6008" t="s">
        <v>28520</v>
      </c>
      <c r="X6008" t="s">
        <v>28521</v>
      </c>
      <c r="Y6008" t="s">
        <v>97</v>
      </c>
      <c r="Z6008" t="s">
        <v>77</v>
      </c>
      <c r="AA6008" t="str">
        <f>"10013-0461"</f>
        <v>10013-0461</v>
      </c>
      <c r="AB6008" t="s">
        <v>78</v>
      </c>
      <c r="AC6008" t="s">
        <v>79</v>
      </c>
      <c r="AD6008" t="s">
        <v>75</v>
      </c>
      <c r="AE6008" t="s">
        <v>80</v>
      </c>
      <c r="AG6008" t="s">
        <v>81</v>
      </c>
    </row>
    <row r="6009" spans="1:33" x14ac:dyDescent="0.25">
      <c r="A6009" t="str">
        <f>"1588788814"</f>
        <v>1588788814</v>
      </c>
      <c r="B6009" t="str">
        <f>"02886079"</f>
        <v>02886079</v>
      </c>
      <c r="C6009" t="s">
        <v>13436</v>
      </c>
      <c r="D6009" t="s">
        <v>28522</v>
      </c>
      <c r="E6009" t="s">
        <v>28523</v>
      </c>
      <c r="G6009" t="s">
        <v>28524</v>
      </c>
      <c r="L6009" t="s">
        <v>74</v>
      </c>
      <c r="M6009" t="s">
        <v>85</v>
      </c>
      <c r="R6009" t="s">
        <v>28525</v>
      </c>
      <c r="W6009" t="s">
        <v>28526</v>
      </c>
      <c r="X6009" t="s">
        <v>181</v>
      </c>
      <c r="Y6009" t="s">
        <v>97</v>
      </c>
      <c r="Z6009" t="s">
        <v>77</v>
      </c>
      <c r="AA6009" t="str">
        <f>"10025-1716"</f>
        <v>10025-1716</v>
      </c>
      <c r="AB6009" t="s">
        <v>78</v>
      </c>
      <c r="AC6009" t="s">
        <v>79</v>
      </c>
      <c r="AD6009" t="s">
        <v>75</v>
      </c>
      <c r="AE6009" t="s">
        <v>80</v>
      </c>
      <c r="AG6009" t="s">
        <v>81</v>
      </c>
    </row>
    <row r="6010" spans="1:33" x14ac:dyDescent="0.25">
      <c r="A6010" t="str">
        <f>"1588870885"</f>
        <v>1588870885</v>
      </c>
      <c r="C6010" t="s">
        <v>13436</v>
      </c>
      <c r="G6010" t="s">
        <v>28527</v>
      </c>
      <c r="K6010" t="s">
        <v>99</v>
      </c>
      <c r="L6010" t="s">
        <v>74</v>
      </c>
      <c r="M6010" t="s">
        <v>85</v>
      </c>
      <c r="R6010" t="s">
        <v>28528</v>
      </c>
      <c r="S6010" t="s">
        <v>13242</v>
      </c>
      <c r="T6010" t="s">
        <v>97</v>
      </c>
      <c r="U6010" t="s">
        <v>77</v>
      </c>
      <c r="V6010" t="str">
        <f>"10019"</f>
        <v>10019</v>
      </c>
      <c r="AC6010" t="s">
        <v>79</v>
      </c>
      <c r="AD6010" t="s">
        <v>75</v>
      </c>
      <c r="AE6010" t="s">
        <v>103</v>
      </c>
      <c r="AG6010" t="s">
        <v>81</v>
      </c>
    </row>
    <row r="6011" spans="1:33" x14ac:dyDescent="0.25">
      <c r="A6011" t="str">
        <f>"1588965503"</f>
        <v>1588965503</v>
      </c>
      <c r="B6011" t="str">
        <f>"03722676"</f>
        <v>03722676</v>
      </c>
      <c r="C6011" t="s">
        <v>13436</v>
      </c>
      <c r="D6011" t="s">
        <v>28529</v>
      </c>
      <c r="E6011" t="s">
        <v>28530</v>
      </c>
      <c r="G6011" t="s">
        <v>28531</v>
      </c>
      <c r="L6011" t="s">
        <v>105</v>
      </c>
      <c r="M6011" t="s">
        <v>85</v>
      </c>
      <c r="R6011" t="s">
        <v>28532</v>
      </c>
      <c r="W6011" t="s">
        <v>28530</v>
      </c>
      <c r="X6011" t="s">
        <v>258</v>
      </c>
      <c r="Y6011" t="s">
        <v>131</v>
      </c>
      <c r="Z6011" t="s">
        <v>77</v>
      </c>
      <c r="AA6011" t="str">
        <f>"10467-2401"</f>
        <v>10467-2401</v>
      </c>
      <c r="AB6011" t="s">
        <v>78</v>
      </c>
      <c r="AC6011" t="s">
        <v>79</v>
      </c>
      <c r="AD6011" t="s">
        <v>75</v>
      </c>
      <c r="AE6011" t="s">
        <v>80</v>
      </c>
      <c r="AG6011" t="s">
        <v>81</v>
      </c>
    </row>
    <row r="6012" spans="1:33" x14ac:dyDescent="0.25">
      <c r="A6012" t="str">
        <f>"1588977110"</f>
        <v>1588977110</v>
      </c>
      <c r="B6012" t="str">
        <f>"03652884"</f>
        <v>03652884</v>
      </c>
      <c r="C6012" t="s">
        <v>13436</v>
      </c>
      <c r="D6012" t="s">
        <v>28533</v>
      </c>
      <c r="E6012" t="s">
        <v>28534</v>
      </c>
      <c r="G6012" t="s">
        <v>28535</v>
      </c>
      <c r="L6012" t="s">
        <v>105</v>
      </c>
      <c r="M6012" t="s">
        <v>85</v>
      </c>
      <c r="R6012" t="s">
        <v>28534</v>
      </c>
      <c r="W6012" t="s">
        <v>28534</v>
      </c>
      <c r="X6012" t="s">
        <v>181</v>
      </c>
      <c r="Y6012" t="s">
        <v>97</v>
      </c>
      <c r="Z6012" t="s">
        <v>77</v>
      </c>
      <c r="AA6012" t="str">
        <f>"10025-1716"</f>
        <v>10025-1716</v>
      </c>
      <c r="AB6012" t="s">
        <v>78</v>
      </c>
      <c r="AC6012" t="s">
        <v>79</v>
      </c>
      <c r="AD6012" t="s">
        <v>75</v>
      </c>
      <c r="AE6012" t="s">
        <v>80</v>
      </c>
      <c r="AG6012" t="s">
        <v>81</v>
      </c>
    </row>
    <row r="6013" spans="1:33" x14ac:dyDescent="0.25">
      <c r="A6013" t="str">
        <f>"1598023798"</f>
        <v>1598023798</v>
      </c>
      <c r="B6013" t="str">
        <f>"03875716"</f>
        <v>03875716</v>
      </c>
      <c r="C6013" t="s">
        <v>13436</v>
      </c>
      <c r="D6013" t="s">
        <v>28536</v>
      </c>
      <c r="E6013" t="s">
        <v>28537</v>
      </c>
      <c r="G6013" t="s">
        <v>28538</v>
      </c>
      <c r="L6013" t="s">
        <v>102</v>
      </c>
      <c r="M6013" t="s">
        <v>85</v>
      </c>
      <c r="R6013" t="s">
        <v>28539</v>
      </c>
      <c r="W6013" t="s">
        <v>28537</v>
      </c>
      <c r="X6013" t="s">
        <v>28540</v>
      </c>
      <c r="Y6013" t="s">
        <v>97</v>
      </c>
      <c r="Z6013" t="s">
        <v>77</v>
      </c>
      <c r="AA6013" t="str">
        <f>"10003-3314"</f>
        <v>10003-3314</v>
      </c>
      <c r="AB6013" t="s">
        <v>78</v>
      </c>
      <c r="AC6013" t="s">
        <v>79</v>
      </c>
      <c r="AD6013" t="s">
        <v>75</v>
      </c>
      <c r="AE6013" t="s">
        <v>80</v>
      </c>
      <c r="AG6013" t="s">
        <v>81</v>
      </c>
    </row>
    <row r="6014" spans="1:33" x14ac:dyDescent="0.25">
      <c r="A6014" t="str">
        <f>"1598058679"</f>
        <v>1598058679</v>
      </c>
      <c r="B6014" t="str">
        <f>"03980210"</f>
        <v>03980210</v>
      </c>
      <c r="C6014" t="s">
        <v>13436</v>
      </c>
      <c r="D6014" t="s">
        <v>28541</v>
      </c>
      <c r="E6014" t="s">
        <v>28542</v>
      </c>
      <c r="G6014" t="s">
        <v>28543</v>
      </c>
      <c r="L6014" t="s">
        <v>74</v>
      </c>
      <c r="M6014" t="s">
        <v>85</v>
      </c>
      <c r="R6014" t="s">
        <v>28544</v>
      </c>
      <c r="W6014" t="s">
        <v>28545</v>
      </c>
      <c r="X6014" t="s">
        <v>181</v>
      </c>
      <c r="Y6014" t="s">
        <v>97</v>
      </c>
      <c r="Z6014" t="s">
        <v>77</v>
      </c>
      <c r="AA6014" t="str">
        <f>"10025-1716"</f>
        <v>10025-1716</v>
      </c>
      <c r="AB6014" t="s">
        <v>78</v>
      </c>
      <c r="AC6014" t="s">
        <v>79</v>
      </c>
      <c r="AD6014" t="s">
        <v>75</v>
      </c>
      <c r="AE6014" t="s">
        <v>80</v>
      </c>
      <c r="AG6014" t="s">
        <v>81</v>
      </c>
    </row>
    <row r="6015" spans="1:33" x14ac:dyDescent="0.25">
      <c r="A6015" t="str">
        <f>"1598923971"</f>
        <v>1598923971</v>
      </c>
      <c r="B6015" t="str">
        <f>"03110372"</f>
        <v>03110372</v>
      </c>
      <c r="C6015" t="s">
        <v>13436</v>
      </c>
      <c r="D6015" t="s">
        <v>28546</v>
      </c>
      <c r="E6015" t="s">
        <v>28547</v>
      </c>
      <c r="G6015" t="s">
        <v>28548</v>
      </c>
      <c r="L6015" t="s">
        <v>74</v>
      </c>
      <c r="M6015" t="s">
        <v>85</v>
      </c>
      <c r="R6015" t="s">
        <v>28549</v>
      </c>
      <c r="W6015" t="s">
        <v>28550</v>
      </c>
      <c r="X6015" t="s">
        <v>2608</v>
      </c>
      <c r="Y6015" t="s">
        <v>97</v>
      </c>
      <c r="Z6015" t="s">
        <v>77</v>
      </c>
      <c r="AA6015" t="str">
        <f>"10003-4201"</f>
        <v>10003-4201</v>
      </c>
      <c r="AB6015" t="s">
        <v>78</v>
      </c>
      <c r="AC6015" t="s">
        <v>79</v>
      </c>
      <c r="AD6015" t="s">
        <v>75</v>
      </c>
      <c r="AE6015" t="s">
        <v>80</v>
      </c>
      <c r="AG6015" t="s">
        <v>81</v>
      </c>
    </row>
    <row r="6016" spans="1:33" x14ac:dyDescent="0.25">
      <c r="A6016" t="str">
        <f>"1598929077"</f>
        <v>1598929077</v>
      </c>
      <c r="B6016" t="str">
        <f>"03365717"</f>
        <v>03365717</v>
      </c>
      <c r="C6016" t="s">
        <v>13436</v>
      </c>
      <c r="D6016" t="s">
        <v>28551</v>
      </c>
      <c r="E6016" t="s">
        <v>28552</v>
      </c>
      <c r="G6016" t="s">
        <v>28553</v>
      </c>
      <c r="L6016" t="s">
        <v>74</v>
      </c>
      <c r="M6016" t="s">
        <v>85</v>
      </c>
      <c r="R6016" t="s">
        <v>28554</v>
      </c>
      <c r="W6016" t="s">
        <v>28552</v>
      </c>
      <c r="X6016" t="s">
        <v>19509</v>
      </c>
      <c r="Y6016" t="s">
        <v>161</v>
      </c>
      <c r="Z6016" t="s">
        <v>77</v>
      </c>
      <c r="AA6016" t="str">
        <f>"11040-1402"</f>
        <v>11040-1402</v>
      </c>
      <c r="AB6016" t="s">
        <v>78</v>
      </c>
      <c r="AC6016" t="s">
        <v>79</v>
      </c>
      <c r="AD6016" t="s">
        <v>75</v>
      </c>
      <c r="AE6016" t="s">
        <v>80</v>
      </c>
      <c r="AG6016" t="s">
        <v>81</v>
      </c>
    </row>
    <row r="6017" spans="1:33" x14ac:dyDescent="0.25">
      <c r="A6017" t="str">
        <f>"1598970436"</f>
        <v>1598970436</v>
      </c>
      <c r="B6017" t="str">
        <f>"03243405"</f>
        <v>03243405</v>
      </c>
      <c r="C6017" t="s">
        <v>13436</v>
      </c>
      <c r="D6017" t="s">
        <v>28555</v>
      </c>
      <c r="E6017" t="s">
        <v>28556</v>
      </c>
      <c r="G6017" t="s">
        <v>28557</v>
      </c>
      <c r="L6017" t="s">
        <v>74</v>
      </c>
      <c r="M6017" t="s">
        <v>85</v>
      </c>
      <c r="R6017" t="s">
        <v>28558</v>
      </c>
      <c r="W6017" t="s">
        <v>28559</v>
      </c>
      <c r="X6017" t="s">
        <v>192</v>
      </c>
      <c r="Y6017" t="s">
        <v>161</v>
      </c>
      <c r="Z6017" t="s">
        <v>77</v>
      </c>
      <c r="AA6017" t="str">
        <f>"11040-1433"</f>
        <v>11040-1433</v>
      </c>
      <c r="AB6017" t="s">
        <v>78</v>
      </c>
      <c r="AC6017" t="s">
        <v>79</v>
      </c>
      <c r="AD6017" t="s">
        <v>75</v>
      </c>
      <c r="AE6017" t="s">
        <v>80</v>
      </c>
      <c r="AG6017" t="s">
        <v>81</v>
      </c>
    </row>
    <row r="6018" spans="1:33" x14ac:dyDescent="0.25">
      <c r="A6018" t="str">
        <f>"1609083666"</f>
        <v>1609083666</v>
      </c>
      <c r="B6018" t="str">
        <f>"02905466"</f>
        <v>02905466</v>
      </c>
      <c r="C6018" t="s">
        <v>13436</v>
      </c>
      <c r="D6018" t="s">
        <v>28560</v>
      </c>
      <c r="E6018" t="s">
        <v>28561</v>
      </c>
      <c r="G6018" t="s">
        <v>28562</v>
      </c>
      <c r="L6018" t="s">
        <v>74</v>
      </c>
      <c r="M6018" t="s">
        <v>85</v>
      </c>
      <c r="R6018" t="s">
        <v>28563</v>
      </c>
      <c r="W6018" t="s">
        <v>28561</v>
      </c>
      <c r="X6018" t="s">
        <v>191</v>
      </c>
      <c r="Y6018" t="s">
        <v>97</v>
      </c>
      <c r="Z6018" t="s">
        <v>77</v>
      </c>
      <c r="AA6018" t="str">
        <f>"10019-1147"</f>
        <v>10019-1147</v>
      </c>
      <c r="AB6018" t="s">
        <v>78</v>
      </c>
      <c r="AC6018" t="s">
        <v>79</v>
      </c>
      <c r="AD6018" t="s">
        <v>75</v>
      </c>
      <c r="AE6018" t="s">
        <v>80</v>
      </c>
      <c r="AG6018" t="s">
        <v>81</v>
      </c>
    </row>
    <row r="6019" spans="1:33" x14ac:dyDescent="0.25">
      <c r="A6019" t="str">
        <f>"1407263130"</f>
        <v>1407263130</v>
      </c>
      <c r="C6019" t="s">
        <v>28564</v>
      </c>
      <c r="G6019" t="s">
        <v>7218</v>
      </c>
      <c r="H6019" t="s">
        <v>6801</v>
      </c>
      <c r="I6019">
        <v>6136</v>
      </c>
      <c r="J6019" t="s">
        <v>7219</v>
      </c>
      <c r="K6019" t="s">
        <v>99</v>
      </c>
      <c r="L6019" t="s">
        <v>102</v>
      </c>
      <c r="M6019" t="s">
        <v>75</v>
      </c>
      <c r="R6019" t="s">
        <v>28565</v>
      </c>
      <c r="S6019" t="s">
        <v>14675</v>
      </c>
      <c r="T6019" t="s">
        <v>97</v>
      </c>
      <c r="U6019" t="s">
        <v>77</v>
      </c>
      <c r="V6019" t="str">
        <f>"10001"</f>
        <v>10001</v>
      </c>
      <c r="AC6019" t="s">
        <v>79</v>
      </c>
      <c r="AD6019" t="s">
        <v>75</v>
      </c>
      <c r="AE6019" t="s">
        <v>103</v>
      </c>
      <c r="AG6019" t="s">
        <v>81</v>
      </c>
    </row>
    <row r="6020" spans="1:33" x14ac:dyDescent="0.25">
      <c r="A6020" t="str">
        <f>"1407289689"</f>
        <v>1407289689</v>
      </c>
      <c r="B6020" t="str">
        <f>"04163975"</f>
        <v>04163975</v>
      </c>
      <c r="C6020" t="s">
        <v>28566</v>
      </c>
      <c r="D6020" t="s">
        <v>28567</v>
      </c>
      <c r="E6020" t="s">
        <v>28568</v>
      </c>
      <c r="G6020" t="s">
        <v>7218</v>
      </c>
      <c r="H6020" t="s">
        <v>6801</v>
      </c>
      <c r="I6020">
        <v>6136</v>
      </c>
      <c r="J6020" t="s">
        <v>7219</v>
      </c>
      <c r="L6020" t="s">
        <v>74</v>
      </c>
      <c r="M6020" t="s">
        <v>75</v>
      </c>
      <c r="R6020" t="s">
        <v>28569</v>
      </c>
      <c r="W6020" t="s">
        <v>28568</v>
      </c>
      <c r="X6020" t="s">
        <v>9151</v>
      </c>
      <c r="Y6020" t="s">
        <v>97</v>
      </c>
      <c r="Z6020" t="s">
        <v>77</v>
      </c>
      <c r="AA6020" t="str">
        <f>"10001-2320"</f>
        <v>10001-2320</v>
      </c>
      <c r="AB6020" t="s">
        <v>109</v>
      </c>
      <c r="AC6020" t="s">
        <v>79</v>
      </c>
      <c r="AD6020" t="s">
        <v>75</v>
      </c>
      <c r="AE6020" t="s">
        <v>80</v>
      </c>
      <c r="AG6020" t="s">
        <v>81</v>
      </c>
    </row>
    <row r="6021" spans="1:33" x14ac:dyDescent="0.25">
      <c r="A6021" t="str">
        <f>"1407299498"</f>
        <v>1407299498</v>
      </c>
      <c r="B6021" t="str">
        <f>"03689163"</f>
        <v>03689163</v>
      </c>
      <c r="C6021" t="s">
        <v>28570</v>
      </c>
      <c r="D6021" t="s">
        <v>28571</v>
      </c>
      <c r="E6021" t="s">
        <v>28572</v>
      </c>
      <c r="G6021" t="s">
        <v>7218</v>
      </c>
      <c r="H6021" t="s">
        <v>6801</v>
      </c>
      <c r="I6021">
        <v>6136</v>
      </c>
      <c r="J6021" t="s">
        <v>7219</v>
      </c>
      <c r="L6021" t="s">
        <v>74</v>
      </c>
      <c r="M6021" t="s">
        <v>75</v>
      </c>
      <c r="R6021" t="s">
        <v>28573</v>
      </c>
      <c r="W6021" t="s">
        <v>28572</v>
      </c>
      <c r="X6021" t="s">
        <v>8385</v>
      </c>
      <c r="Y6021" t="s">
        <v>97</v>
      </c>
      <c r="Z6021" t="s">
        <v>77</v>
      </c>
      <c r="AA6021" t="str">
        <f>"10001-2320"</f>
        <v>10001-2320</v>
      </c>
      <c r="AB6021" t="s">
        <v>109</v>
      </c>
      <c r="AC6021" t="s">
        <v>79</v>
      </c>
      <c r="AD6021" t="s">
        <v>75</v>
      </c>
      <c r="AE6021" t="s">
        <v>80</v>
      </c>
      <c r="AG6021" t="s">
        <v>81</v>
      </c>
    </row>
    <row r="6022" spans="1:33" x14ac:dyDescent="0.25">
      <c r="A6022" t="str">
        <f>"1689707499"</f>
        <v>1689707499</v>
      </c>
      <c r="B6022" t="str">
        <f>"01157551"</f>
        <v>01157551</v>
      </c>
      <c r="C6022" t="s">
        <v>13436</v>
      </c>
      <c r="D6022" t="s">
        <v>28574</v>
      </c>
      <c r="E6022" t="s">
        <v>28575</v>
      </c>
      <c r="G6022" t="s">
        <v>28576</v>
      </c>
      <c r="L6022" t="s">
        <v>84</v>
      </c>
      <c r="M6022" t="s">
        <v>85</v>
      </c>
      <c r="R6022" t="s">
        <v>28577</v>
      </c>
      <c r="W6022" t="s">
        <v>28575</v>
      </c>
      <c r="X6022" t="s">
        <v>28578</v>
      </c>
      <c r="Y6022" t="s">
        <v>97</v>
      </c>
      <c r="Z6022" t="s">
        <v>77</v>
      </c>
      <c r="AA6022" t="str">
        <f>"10019-2802"</f>
        <v>10019-2802</v>
      </c>
      <c r="AB6022" t="s">
        <v>78</v>
      </c>
      <c r="AC6022" t="s">
        <v>79</v>
      </c>
      <c r="AD6022" t="s">
        <v>75</v>
      </c>
      <c r="AE6022" t="s">
        <v>80</v>
      </c>
      <c r="AG6022" t="s">
        <v>81</v>
      </c>
    </row>
    <row r="6023" spans="1:33" x14ac:dyDescent="0.25">
      <c r="A6023" t="str">
        <f>"1689762833"</f>
        <v>1689762833</v>
      </c>
      <c r="B6023" t="str">
        <f>"02841789"</f>
        <v>02841789</v>
      </c>
      <c r="C6023" t="s">
        <v>13436</v>
      </c>
      <c r="D6023" t="s">
        <v>28579</v>
      </c>
      <c r="E6023" t="s">
        <v>28580</v>
      </c>
      <c r="G6023" t="s">
        <v>28581</v>
      </c>
      <c r="L6023" t="s">
        <v>84</v>
      </c>
      <c r="M6023" t="s">
        <v>85</v>
      </c>
      <c r="R6023" t="s">
        <v>28582</v>
      </c>
      <c r="W6023" t="s">
        <v>28580</v>
      </c>
      <c r="X6023" t="s">
        <v>28583</v>
      </c>
      <c r="Y6023" t="s">
        <v>97</v>
      </c>
      <c r="Z6023" t="s">
        <v>77</v>
      </c>
      <c r="AA6023" t="str">
        <f>"10002-5954"</f>
        <v>10002-5954</v>
      </c>
      <c r="AB6023" t="s">
        <v>78</v>
      </c>
      <c r="AC6023" t="s">
        <v>79</v>
      </c>
      <c r="AD6023" t="s">
        <v>75</v>
      </c>
      <c r="AE6023" t="s">
        <v>80</v>
      </c>
      <c r="AG6023" t="s">
        <v>81</v>
      </c>
    </row>
    <row r="6024" spans="1:33" x14ac:dyDescent="0.25">
      <c r="A6024" t="str">
        <f>"1689820474"</f>
        <v>1689820474</v>
      </c>
      <c r="B6024" t="str">
        <f>"03545604"</f>
        <v>03545604</v>
      </c>
      <c r="C6024" t="s">
        <v>13436</v>
      </c>
      <c r="D6024" t="s">
        <v>28584</v>
      </c>
      <c r="E6024" t="s">
        <v>28585</v>
      </c>
      <c r="G6024" t="s">
        <v>28586</v>
      </c>
      <c r="L6024" t="s">
        <v>74</v>
      </c>
      <c r="M6024" t="s">
        <v>85</v>
      </c>
      <c r="R6024" t="s">
        <v>28587</v>
      </c>
      <c r="W6024" t="s">
        <v>28585</v>
      </c>
      <c r="X6024" t="s">
        <v>28588</v>
      </c>
      <c r="Y6024" t="s">
        <v>97</v>
      </c>
      <c r="Z6024" t="s">
        <v>77</v>
      </c>
      <c r="AA6024" t="str">
        <f>"10065-4870"</f>
        <v>10065-4870</v>
      </c>
      <c r="AB6024" t="s">
        <v>78</v>
      </c>
      <c r="AC6024" t="s">
        <v>79</v>
      </c>
      <c r="AD6024" t="s">
        <v>75</v>
      </c>
      <c r="AE6024" t="s">
        <v>80</v>
      </c>
      <c r="AG6024" t="s">
        <v>81</v>
      </c>
    </row>
    <row r="6025" spans="1:33" x14ac:dyDescent="0.25">
      <c r="A6025" t="str">
        <f>"1689824591"</f>
        <v>1689824591</v>
      </c>
      <c r="B6025" t="str">
        <f>"03609001"</f>
        <v>03609001</v>
      </c>
      <c r="C6025" t="s">
        <v>13436</v>
      </c>
      <c r="D6025" t="s">
        <v>28589</v>
      </c>
      <c r="E6025" t="s">
        <v>28590</v>
      </c>
      <c r="G6025" t="s">
        <v>28591</v>
      </c>
      <c r="L6025" t="s">
        <v>83</v>
      </c>
      <c r="M6025" t="s">
        <v>85</v>
      </c>
      <c r="R6025" t="s">
        <v>28590</v>
      </c>
      <c r="W6025" t="s">
        <v>28590</v>
      </c>
      <c r="X6025" t="s">
        <v>28592</v>
      </c>
      <c r="Y6025" t="s">
        <v>97</v>
      </c>
      <c r="Z6025" t="s">
        <v>77</v>
      </c>
      <c r="AA6025" t="str">
        <f>"10019-8022"</f>
        <v>10019-8022</v>
      </c>
      <c r="AB6025" t="s">
        <v>78</v>
      </c>
      <c r="AC6025" t="s">
        <v>79</v>
      </c>
      <c r="AD6025" t="s">
        <v>75</v>
      </c>
      <c r="AE6025" t="s">
        <v>80</v>
      </c>
      <c r="AG6025" t="s">
        <v>81</v>
      </c>
    </row>
    <row r="6026" spans="1:33" x14ac:dyDescent="0.25">
      <c r="A6026" t="str">
        <f>"1659310225"</f>
        <v>1659310225</v>
      </c>
      <c r="B6026" t="str">
        <f>"02797588"</f>
        <v>02797588</v>
      </c>
      <c r="C6026" t="s">
        <v>13436</v>
      </c>
      <c r="D6026" t="s">
        <v>28593</v>
      </c>
      <c r="E6026" t="s">
        <v>28594</v>
      </c>
      <c r="G6026" t="s">
        <v>28595</v>
      </c>
      <c r="L6026" t="s">
        <v>74</v>
      </c>
      <c r="M6026" t="s">
        <v>85</v>
      </c>
      <c r="R6026" t="s">
        <v>28596</v>
      </c>
      <c r="W6026" t="s">
        <v>28594</v>
      </c>
      <c r="X6026" t="s">
        <v>2587</v>
      </c>
      <c r="Y6026" t="s">
        <v>97</v>
      </c>
      <c r="Z6026" t="s">
        <v>77</v>
      </c>
      <c r="AA6026" t="str">
        <f>"10003-3314"</f>
        <v>10003-3314</v>
      </c>
      <c r="AB6026" t="s">
        <v>114</v>
      </c>
      <c r="AC6026" t="s">
        <v>79</v>
      </c>
      <c r="AD6026" t="s">
        <v>75</v>
      </c>
      <c r="AE6026" t="s">
        <v>80</v>
      </c>
      <c r="AG6026" t="s">
        <v>81</v>
      </c>
    </row>
    <row r="6027" spans="1:33" x14ac:dyDescent="0.25">
      <c r="A6027" t="str">
        <f>"1659517233"</f>
        <v>1659517233</v>
      </c>
      <c r="B6027" t="str">
        <f>"03132776"</f>
        <v>03132776</v>
      </c>
      <c r="C6027" t="s">
        <v>13436</v>
      </c>
      <c r="D6027" t="s">
        <v>28597</v>
      </c>
      <c r="E6027" t="s">
        <v>28598</v>
      </c>
      <c r="G6027" t="s">
        <v>28599</v>
      </c>
      <c r="L6027" t="s">
        <v>83</v>
      </c>
      <c r="M6027" t="s">
        <v>85</v>
      </c>
      <c r="R6027" t="s">
        <v>28600</v>
      </c>
      <c r="W6027" t="s">
        <v>28598</v>
      </c>
      <c r="X6027" t="s">
        <v>86</v>
      </c>
      <c r="Y6027" t="s">
        <v>87</v>
      </c>
      <c r="Z6027" t="s">
        <v>77</v>
      </c>
      <c r="AA6027" t="str">
        <f>"11220-2559"</f>
        <v>11220-2559</v>
      </c>
      <c r="AB6027" t="s">
        <v>78</v>
      </c>
      <c r="AC6027" t="s">
        <v>79</v>
      </c>
      <c r="AD6027" t="s">
        <v>75</v>
      </c>
      <c r="AE6027" t="s">
        <v>80</v>
      </c>
      <c r="AG6027" t="s">
        <v>81</v>
      </c>
    </row>
    <row r="6028" spans="1:33" x14ac:dyDescent="0.25">
      <c r="A6028" t="str">
        <f>"1669563995"</f>
        <v>1669563995</v>
      </c>
      <c r="B6028" t="str">
        <f>"03404762"</f>
        <v>03404762</v>
      </c>
      <c r="C6028" t="s">
        <v>13436</v>
      </c>
      <c r="D6028" t="s">
        <v>28601</v>
      </c>
      <c r="E6028" t="s">
        <v>28602</v>
      </c>
      <c r="G6028" t="s">
        <v>28603</v>
      </c>
      <c r="L6028" t="s">
        <v>83</v>
      </c>
      <c r="M6028" t="s">
        <v>85</v>
      </c>
      <c r="R6028" t="s">
        <v>28604</v>
      </c>
      <c r="W6028" t="s">
        <v>28602</v>
      </c>
      <c r="X6028" t="s">
        <v>12404</v>
      </c>
      <c r="Y6028" t="s">
        <v>97</v>
      </c>
      <c r="Z6028" t="s">
        <v>77</v>
      </c>
      <c r="AA6028" t="str">
        <f>"10003-3804"</f>
        <v>10003-3804</v>
      </c>
      <c r="AB6028" t="s">
        <v>78</v>
      </c>
      <c r="AC6028" t="s">
        <v>79</v>
      </c>
      <c r="AD6028" t="s">
        <v>75</v>
      </c>
      <c r="AE6028" t="s">
        <v>80</v>
      </c>
      <c r="AG6028" t="s">
        <v>81</v>
      </c>
    </row>
    <row r="6029" spans="1:33" x14ac:dyDescent="0.25">
      <c r="A6029" t="str">
        <f>"1679732911"</f>
        <v>1679732911</v>
      </c>
      <c r="B6029" t="str">
        <f>"03458808"</f>
        <v>03458808</v>
      </c>
      <c r="C6029" t="s">
        <v>13436</v>
      </c>
      <c r="D6029" t="s">
        <v>4408</v>
      </c>
      <c r="E6029" t="s">
        <v>4409</v>
      </c>
      <c r="G6029" t="s">
        <v>28605</v>
      </c>
      <c r="L6029" t="s">
        <v>105</v>
      </c>
      <c r="M6029" t="s">
        <v>85</v>
      </c>
      <c r="R6029" t="s">
        <v>4410</v>
      </c>
      <c r="W6029" t="s">
        <v>4411</v>
      </c>
      <c r="X6029" t="s">
        <v>4412</v>
      </c>
      <c r="Y6029" t="s">
        <v>97</v>
      </c>
      <c r="Z6029" t="s">
        <v>77</v>
      </c>
      <c r="AA6029" t="str">
        <f>"10003-0000"</f>
        <v>10003-0000</v>
      </c>
      <c r="AB6029" t="s">
        <v>78</v>
      </c>
      <c r="AC6029" t="s">
        <v>79</v>
      </c>
      <c r="AD6029" t="s">
        <v>75</v>
      </c>
      <c r="AE6029" t="s">
        <v>80</v>
      </c>
      <c r="AG6029" t="s">
        <v>81</v>
      </c>
    </row>
    <row r="6030" spans="1:33" x14ac:dyDescent="0.25">
      <c r="A6030" t="str">
        <f>"1720159205"</f>
        <v>1720159205</v>
      </c>
      <c r="B6030" t="str">
        <f>"00484937"</f>
        <v>00484937</v>
      </c>
      <c r="C6030" t="s">
        <v>13436</v>
      </c>
      <c r="D6030" t="s">
        <v>28606</v>
      </c>
      <c r="E6030" t="s">
        <v>28607</v>
      </c>
      <c r="G6030" t="s">
        <v>28608</v>
      </c>
      <c r="L6030" t="s">
        <v>83</v>
      </c>
      <c r="M6030" t="s">
        <v>85</v>
      </c>
      <c r="R6030" t="s">
        <v>28609</v>
      </c>
      <c r="W6030" t="s">
        <v>28607</v>
      </c>
      <c r="X6030" t="s">
        <v>28610</v>
      </c>
      <c r="Y6030" t="s">
        <v>87</v>
      </c>
      <c r="Z6030" t="s">
        <v>77</v>
      </c>
      <c r="AA6030" t="str">
        <f>"11210-2724"</f>
        <v>11210-2724</v>
      </c>
      <c r="AB6030" t="s">
        <v>78</v>
      </c>
      <c r="AC6030" t="s">
        <v>79</v>
      </c>
      <c r="AD6030" t="s">
        <v>75</v>
      </c>
      <c r="AE6030" t="s">
        <v>80</v>
      </c>
      <c r="AG6030" t="s">
        <v>81</v>
      </c>
    </row>
    <row r="6031" spans="1:33" x14ac:dyDescent="0.25">
      <c r="A6031" t="str">
        <f>"1750535241"</f>
        <v>1750535241</v>
      </c>
      <c r="B6031" t="str">
        <f>"03622002"</f>
        <v>03622002</v>
      </c>
      <c r="C6031" t="s">
        <v>13436</v>
      </c>
      <c r="D6031" t="s">
        <v>28611</v>
      </c>
      <c r="E6031" t="s">
        <v>28612</v>
      </c>
      <c r="G6031" t="s">
        <v>28613</v>
      </c>
      <c r="L6031" t="s">
        <v>84</v>
      </c>
      <c r="M6031" t="s">
        <v>85</v>
      </c>
      <c r="R6031" t="s">
        <v>28614</v>
      </c>
      <c r="W6031" t="s">
        <v>28612</v>
      </c>
      <c r="X6031" t="s">
        <v>28615</v>
      </c>
      <c r="Y6031" t="s">
        <v>97</v>
      </c>
      <c r="Z6031" t="s">
        <v>77</v>
      </c>
      <c r="AA6031" t="str">
        <f>"10011-1611"</f>
        <v>10011-1611</v>
      </c>
      <c r="AB6031" t="s">
        <v>78</v>
      </c>
      <c r="AC6031" t="s">
        <v>79</v>
      </c>
      <c r="AD6031" t="s">
        <v>75</v>
      </c>
      <c r="AE6031" t="s">
        <v>80</v>
      </c>
      <c r="AG6031" t="s">
        <v>81</v>
      </c>
    </row>
    <row r="6032" spans="1:33" x14ac:dyDescent="0.25">
      <c r="A6032" t="str">
        <f>"1750577508"</f>
        <v>1750577508</v>
      </c>
      <c r="B6032" t="str">
        <f>"03840228"</f>
        <v>03840228</v>
      </c>
      <c r="C6032" t="s">
        <v>13436</v>
      </c>
      <c r="D6032" t="s">
        <v>28616</v>
      </c>
      <c r="E6032" t="s">
        <v>28617</v>
      </c>
      <c r="G6032" t="s">
        <v>28618</v>
      </c>
      <c r="L6032" t="s">
        <v>74</v>
      </c>
      <c r="M6032" t="s">
        <v>85</v>
      </c>
      <c r="R6032" t="s">
        <v>28619</v>
      </c>
      <c r="W6032" t="s">
        <v>28620</v>
      </c>
      <c r="X6032" t="s">
        <v>350</v>
      </c>
      <c r="Y6032" t="s">
        <v>131</v>
      </c>
      <c r="Z6032" t="s">
        <v>77</v>
      </c>
      <c r="AA6032" t="str">
        <f>"10451-5504"</f>
        <v>10451-5504</v>
      </c>
      <c r="AB6032" t="s">
        <v>78</v>
      </c>
      <c r="AC6032" t="s">
        <v>79</v>
      </c>
      <c r="AD6032" t="s">
        <v>75</v>
      </c>
      <c r="AE6032" t="s">
        <v>80</v>
      </c>
      <c r="AG6032" t="s">
        <v>81</v>
      </c>
    </row>
    <row r="6033" spans="1:33" x14ac:dyDescent="0.25">
      <c r="A6033" t="str">
        <f>"1760648646"</f>
        <v>1760648646</v>
      </c>
      <c r="B6033" t="str">
        <f>"04052291"</f>
        <v>04052291</v>
      </c>
      <c r="C6033" t="s">
        <v>13436</v>
      </c>
      <c r="D6033" t="s">
        <v>28621</v>
      </c>
      <c r="E6033" t="s">
        <v>28622</v>
      </c>
      <c r="G6033" t="s">
        <v>28623</v>
      </c>
      <c r="L6033" t="s">
        <v>74</v>
      </c>
      <c r="M6033" t="s">
        <v>85</v>
      </c>
      <c r="R6033" t="s">
        <v>28624</v>
      </c>
      <c r="W6033" t="s">
        <v>28622</v>
      </c>
      <c r="X6033" t="s">
        <v>5585</v>
      </c>
      <c r="Y6033" t="s">
        <v>97</v>
      </c>
      <c r="Z6033" t="s">
        <v>77</v>
      </c>
      <c r="AA6033" t="str">
        <f>"10003-0001"</f>
        <v>10003-0001</v>
      </c>
      <c r="AB6033" t="s">
        <v>78</v>
      </c>
      <c r="AC6033" t="s">
        <v>79</v>
      </c>
      <c r="AD6033" t="s">
        <v>75</v>
      </c>
      <c r="AE6033" t="s">
        <v>80</v>
      </c>
      <c r="AG6033" t="s">
        <v>81</v>
      </c>
    </row>
    <row r="6034" spans="1:33" x14ac:dyDescent="0.25">
      <c r="A6034" t="str">
        <f>"1780658385"</f>
        <v>1780658385</v>
      </c>
      <c r="B6034" t="str">
        <f>"00416766"</f>
        <v>00416766</v>
      </c>
      <c r="C6034" t="s">
        <v>13436</v>
      </c>
      <c r="D6034" t="s">
        <v>28625</v>
      </c>
      <c r="E6034" t="s">
        <v>28626</v>
      </c>
      <c r="G6034" t="s">
        <v>28627</v>
      </c>
      <c r="L6034" t="s">
        <v>84</v>
      </c>
      <c r="M6034" t="s">
        <v>85</v>
      </c>
      <c r="R6034" t="s">
        <v>28628</v>
      </c>
      <c r="W6034" t="s">
        <v>28629</v>
      </c>
      <c r="X6034" t="s">
        <v>28630</v>
      </c>
      <c r="Y6034" t="s">
        <v>97</v>
      </c>
      <c r="Z6034" t="s">
        <v>77</v>
      </c>
      <c r="AA6034" t="str">
        <f>"10019"</f>
        <v>10019</v>
      </c>
      <c r="AB6034" t="s">
        <v>78</v>
      </c>
      <c r="AC6034" t="s">
        <v>79</v>
      </c>
      <c r="AD6034" t="s">
        <v>75</v>
      </c>
      <c r="AE6034" t="s">
        <v>80</v>
      </c>
      <c r="AG6034" t="s">
        <v>81</v>
      </c>
    </row>
    <row r="6035" spans="1:33" x14ac:dyDescent="0.25">
      <c r="A6035" t="str">
        <f>"1780843086"</f>
        <v>1780843086</v>
      </c>
      <c r="B6035" t="str">
        <f>"03790163"</f>
        <v>03790163</v>
      </c>
      <c r="C6035" t="s">
        <v>13436</v>
      </c>
      <c r="D6035" t="s">
        <v>28631</v>
      </c>
      <c r="E6035" t="s">
        <v>28632</v>
      </c>
      <c r="G6035" t="s">
        <v>28633</v>
      </c>
      <c r="L6035" t="s">
        <v>83</v>
      </c>
      <c r="M6035" t="s">
        <v>85</v>
      </c>
      <c r="R6035" t="s">
        <v>28634</v>
      </c>
      <c r="W6035" t="s">
        <v>28632</v>
      </c>
      <c r="X6035" t="s">
        <v>1448</v>
      </c>
      <c r="Y6035" t="s">
        <v>87</v>
      </c>
      <c r="Z6035" t="s">
        <v>77</v>
      </c>
      <c r="AA6035" t="str">
        <f>"11203-2711"</f>
        <v>11203-2711</v>
      </c>
      <c r="AB6035" t="s">
        <v>78</v>
      </c>
      <c r="AC6035" t="s">
        <v>79</v>
      </c>
      <c r="AD6035" t="s">
        <v>75</v>
      </c>
      <c r="AE6035" t="s">
        <v>80</v>
      </c>
      <c r="AG6035" t="s">
        <v>81</v>
      </c>
    </row>
    <row r="6036" spans="1:33" x14ac:dyDescent="0.25">
      <c r="A6036" t="str">
        <f>"1790760106"</f>
        <v>1790760106</v>
      </c>
      <c r="B6036" t="str">
        <f>"00793408"</f>
        <v>00793408</v>
      </c>
      <c r="C6036" t="s">
        <v>13436</v>
      </c>
      <c r="D6036" t="s">
        <v>28635</v>
      </c>
      <c r="E6036" t="s">
        <v>28636</v>
      </c>
      <c r="G6036" t="s">
        <v>28637</v>
      </c>
      <c r="L6036" t="s">
        <v>105</v>
      </c>
      <c r="M6036" t="s">
        <v>85</v>
      </c>
      <c r="R6036" t="s">
        <v>28638</v>
      </c>
      <c r="W6036" t="s">
        <v>28636</v>
      </c>
      <c r="X6036" t="s">
        <v>28639</v>
      </c>
      <c r="Y6036" t="s">
        <v>145</v>
      </c>
      <c r="Z6036" t="s">
        <v>77</v>
      </c>
      <c r="AA6036" t="str">
        <f>"11361-1729"</f>
        <v>11361-1729</v>
      </c>
      <c r="AB6036" t="s">
        <v>78</v>
      </c>
      <c r="AC6036" t="s">
        <v>79</v>
      </c>
      <c r="AD6036" t="s">
        <v>75</v>
      </c>
      <c r="AE6036" t="s">
        <v>80</v>
      </c>
      <c r="AG6036" t="s">
        <v>81</v>
      </c>
    </row>
    <row r="6037" spans="1:33" x14ac:dyDescent="0.25">
      <c r="A6037" t="str">
        <f>"1811196744"</f>
        <v>1811196744</v>
      </c>
      <c r="B6037" t="str">
        <f>"02889985"</f>
        <v>02889985</v>
      </c>
      <c r="C6037" t="s">
        <v>13436</v>
      </c>
      <c r="D6037" t="s">
        <v>28640</v>
      </c>
      <c r="E6037" t="s">
        <v>28641</v>
      </c>
      <c r="G6037" t="s">
        <v>28642</v>
      </c>
      <c r="L6037" t="s">
        <v>83</v>
      </c>
      <c r="M6037" t="s">
        <v>85</v>
      </c>
      <c r="R6037" t="s">
        <v>28643</v>
      </c>
      <c r="W6037" t="s">
        <v>28641</v>
      </c>
      <c r="X6037" t="s">
        <v>185</v>
      </c>
      <c r="Y6037" t="s">
        <v>97</v>
      </c>
      <c r="Z6037" t="s">
        <v>77</v>
      </c>
      <c r="AA6037" t="str">
        <f>"10035-2709"</f>
        <v>10035-2709</v>
      </c>
      <c r="AB6037" t="s">
        <v>78</v>
      </c>
      <c r="AC6037" t="s">
        <v>79</v>
      </c>
      <c r="AD6037" t="s">
        <v>75</v>
      </c>
      <c r="AE6037" t="s">
        <v>80</v>
      </c>
      <c r="AG6037" t="s">
        <v>81</v>
      </c>
    </row>
    <row r="6038" spans="1:33" x14ac:dyDescent="0.25">
      <c r="A6038" t="str">
        <f>"1821114091"</f>
        <v>1821114091</v>
      </c>
      <c r="B6038" t="str">
        <f>"01362481"</f>
        <v>01362481</v>
      </c>
      <c r="C6038" t="s">
        <v>13436</v>
      </c>
      <c r="D6038" t="s">
        <v>748</v>
      </c>
      <c r="E6038" t="s">
        <v>749</v>
      </c>
      <c r="G6038" t="s">
        <v>28644</v>
      </c>
      <c r="L6038" t="s">
        <v>83</v>
      </c>
      <c r="M6038" t="s">
        <v>85</v>
      </c>
      <c r="R6038" t="s">
        <v>750</v>
      </c>
      <c r="W6038" t="s">
        <v>749</v>
      </c>
      <c r="X6038" t="s">
        <v>751</v>
      </c>
      <c r="Y6038" t="s">
        <v>97</v>
      </c>
      <c r="Z6038" t="s">
        <v>77</v>
      </c>
      <c r="AA6038" t="str">
        <f>"10023-6206"</f>
        <v>10023-6206</v>
      </c>
      <c r="AB6038" t="s">
        <v>78</v>
      </c>
      <c r="AC6038" t="s">
        <v>79</v>
      </c>
      <c r="AD6038" t="s">
        <v>75</v>
      </c>
      <c r="AE6038" t="s">
        <v>80</v>
      </c>
      <c r="AG6038" t="s">
        <v>81</v>
      </c>
    </row>
    <row r="6039" spans="1:33" x14ac:dyDescent="0.25">
      <c r="A6039" t="str">
        <f>"1962578443"</f>
        <v>1962578443</v>
      </c>
      <c r="B6039" t="str">
        <f>"01631061"</f>
        <v>01631061</v>
      </c>
      <c r="C6039" t="s">
        <v>13436</v>
      </c>
      <c r="D6039" t="s">
        <v>5689</v>
      </c>
      <c r="E6039" t="s">
        <v>5690</v>
      </c>
      <c r="G6039" t="s">
        <v>28645</v>
      </c>
      <c r="L6039" t="s">
        <v>84</v>
      </c>
      <c r="M6039" t="s">
        <v>85</v>
      </c>
      <c r="R6039" t="s">
        <v>5691</v>
      </c>
      <c r="W6039" t="s">
        <v>5690</v>
      </c>
      <c r="X6039" t="s">
        <v>604</v>
      </c>
      <c r="Y6039" t="s">
        <v>97</v>
      </c>
      <c r="Z6039" t="s">
        <v>77</v>
      </c>
      <c r="AA6039" t="str">
        <f>"10029-7491"</f>
        <v>10029-7491</v>
      </c>
      <c r="AB6039" t="s">
        <v>78</v>
      </c>
      <c r="AC6039" t="s">
        <v>79</v>
      </c>
      <c r="AD6039" t="s">
        <v>75</v>
      </c>
      <c r="AE6039" t="s">
        <v>80</v>
      </c>
      <c r="AG6039" t="s">
        <v>81</v>
      </c>
    </row>
    <row r="6040" spans="1:33" x14ac:dyDescent="0.25">
      <c r="A6040" t="str">
        <f>"1972563351"</f>
        <v>1972563351</v>
      </c>
      <c r="B6040" t="str">
        <f>"02330087"</f>
        <v>02330087</v>
      </c>
      <c r="C6040" t="s">
        <v>13436</v>
      </c>
      <c r="D6040" t="s">
        <v>28646</v>
      </c>
      <c r="E6040" t="s">
        <v>28647</v>
      </c>
      <c r="G6040" t="s">
        <v>28648</v>
      </c>
      <c r="L6040" t="s">
        <v>83</v>
      </c>
      <c r="M6040" t="s">
        <v>85</v>
      </c>
      <c r="R6040" t="s">
        <v>28649</v>
      </c>
      <c r="W6040" t="s">
        <v>28647</v>
      </c>
      <c r="X6040" t="s">
        <v>6051</v>
      </c>
      <c r="Y6040" t="s">
        <v>87</v>
      </c>
      <c r="Z6040" t="s">
        <v>77</v>
      </c>
      <c r="AA6040" t="str">
        <f>"11201-6004"</f>
        <v>11201-6004</v>
      </c>
      <c r="AB6040" t="s">
        <v>78</v>
      </c>
      <c r="AC6040" t="s">
        <v>79</v>
      </c>
      <c r="AD6040" t="s">
        <v>75</v>
      </c>
      <c r="AE6040" t="s">
        <v>80</v>
      </c>
      <c r="AG6040" t="s">
        <v>81</v>
      </c>
    </row>
    <row r="6041" spans="1:33" x14ac:dyDescent="0.25">
      <c r="A6041" t="str">
        <f>"1972586477"</f>
        <v>1972586477</v>
      </c>
      <c r="B6041" t="str">
        <f>"01801532"</f>
        <v>01801532</v>
      </c>
      <c r="C6041" t="s">
        <v>13436</v>
      </c>
      <c r="D6041" t="s">
        <v>28650</v>
      </c>
      <c r="E6041" t="s">
        <v>28651</v>
      </c>
      <c r="G6041" t="s">
        <v>28652</v>
      </c>
      <c r="L6041" t="s">
        <v>83</v>
      </c>
      <c r="M6041" t="s">
        <v>85</v>
      </c>
      <c r="R6041" t="s">
        <v>28653</v>
      </c>
      <c r="W6041" t="s">
        <v>28651</v>
      </c>
      <c r="X6041" t="s">
        <v>28654</v>
      </c>
      <c r="Y6041" t="s">
        <v>97</v>
      </c>
      <c r="Z6041" t="s">
        <v>77</v>
      </c>
      <c r="AA6041" t="str">
        <f>"10016-6822"</f>
        <v>10016-6822</v>
      </c>
      <c r="AB6041" t="s">
        <v>78</v>
      </c>
      <c r="AC6041" t="s">
        <v>79</v>
      </c>
      <c r="AD6041" t="s">
        <v>75</v>
      </c>
      <c r="AE6041" t="s">
        <v>80</v>
      </c>
      <c r="AG6041" t="s">
        <v>81</v>
      </c>
    </row>
    <row r="6042" spans="1:33" x14ac:dyDescent="0.25">
      <c r="A6042" t="str">
        <f>"1164422895"</f>
        <v>1164422895</v>
      </c>
      <c r="B6042" t="str">
        <f>"01453112"</f>
        <v>01453112</v>
      </c>
      <c r="C6042" t="s">
        <v>13436</v>
      </c>
      <c r="D6042" t="s">
        <v>28655</v>
      </c>
      <c r="E6042" t="s">
        <v>28656</v>
      </c>
      <c r="G6042" t="s">
        <v>28657</v>
      </c>
      <c r="L6042" t="s">
        <v>83</v>
      </c>
      <c r="M6042" t="s">
        <v>85</v>
      </c>
      <c r="R6042" t="s">
        <v>28656</v>
      </c>
      <c r="W6042" t="s">
        <v>28656</v>
      </c>
      <c r="X6042" t="s">
        <v>28658</v>
      </c>
      <c r="Y6042" t="s">
        <v>2604</v>
      </c>
      <c r="Z6042" t="s">
        <v>77</v>
      </c>
      <c r="AA6042" t="str">
        <f>"10901-4302"</f>
        <v>10901-4302</v>
      </c>
      <c r="AB6042" t="s">
        <v>78</v>
      </c>
      <c r="AC6042" t="s">
        <v>79</v>
      </c>
      <c r="AD6042" t="s">
        <v>75</v>
      </c>
      <c r="AE6042" t="s">
        <v>80</v>
      </c>
      <c r="AG6042" t="s">
        <v>81</v>
      </c>
    </row>
    <row r="6043" spans="1:33" x14ac:dyDescent="0.25">
      <c r="A6043" t="str">
        <f>"1164464970"</f>
        <v>1164464970</v>
      </c>
      <c r="B6043" t="str">
        <f>"01667894"</f>
        <v>01667894</v>
      </c>
      <c r="C6043" t="s">
        <v>13436</v>
      </c>
      <c r="D6043" t="s">
        <v>28659</v>
      </c>
      <c r="E6043" t="s">
        <v>28660</v>
      </c>
      <c r="G6043" t="s">
        <v>28661</v>
      </c>
      <c r="L6043" t="s">
        <v>84</v>
      </c>
      <c r="M6043" t="s">
        <v>85</v>
      </c>
      <c r="R6043" t="s">
        <v>28662</v>
      </c>
      <c r="W6043" t="s">
        <v>28663</v>
      </c>
      <c r="X6043" t="s">
        <v>28664</v>
      </c>
      <c r="Y6043" t="s">
        <v>131</v>
      </c>
      <c r="Z6043" t="s">
        <v>77</v>
      </c>
      <c r="AA6043" t="str">
        <f>"10452-9122"</f>
        <v>10452-9122</v>
      </c>
      <c r="AB6043" t="s">
        <v>78</v>
      </c>
      <c r="AC6043" t="s">
        <v>79</v>
      </c>
      <c r="AD6043" t="s">
        <v>75</v>
      </c>
      <c r="AE6043" t="s">
        <v>80</v>
      </c>
      <c r="AG6043" t="s">
        <v>81</v>
      </c>
    </row>
    <row r="6044" spans="1:33" x14ac:dyDescent="0.25">
      <c r="A6044" t="str">
        <f>"1164501219"</f>
        <v>1164501219</v>
      </c>
      <c r="B6044" t="str">
        <f>"00222844"</f>
        <v>00222844</v>
      </c>
      <c r="C6044" t="s">
        <v>13436</v>
      </c>
      <c r="D6044" t="s">
        <v>28665</v>
      </c>
      <c r="E6044" t="s">
        <v>28666</v>
      </c>
      <c r="G6044" t="s">
        <v>28667</v>
      </c>
      <c r="L6044" t="s">
        <v>74</v>
      </c>
      <c r="M6044" t="s">
        <v>85</v>
      </c>
      <c r="R6044" t="s">
        <v>28668</v>
      </c>
      <c r="W6044" t="s">
        <v>28666</v>
      </c>
      <c r="X6044" t="s">
        <v>5621</v>
      </c>
      <c r="Y6044" t="s">
        <v>97</v>
      </c>
      <c r="Z6044" t="s">
        <v>77</v>
      </c>
      <c r="AA6044" t="str">
        <f>"10028-1059"</f>
        <v>10028-1059</v>
      </c>
      <c r="AB6044" t="s">
        <v>78</v>
      </c>
      <c r="AC6044" t="s">
        <v>79</v>
      </c>
      <c r="AD6044" t="s">
        <v>75</v>
      </c>
      <c r="AE6044" t="s">
        <v>80</v>
      </c>
      <c r="AG6044" t="s">
        <v>81</v>
      </c>
    </row>
    <row r="6045" spans="1:33" x14ac:dyDescent="0.25">
      <c r="A6045" t="str">
        <f>"1164501391"</f>
        <v>1164501391</v>
      </c>
      <c r="B6045" t="str">
        <f>"01092057"</f>
        <v>01092057</v>
      </c>
      <c r="C6045" t="s">
        <v>13436</v>
      </c>
      <c r="D6045" t="s">
        <v>28669</v>
      </c>
      <c r="E6045" t="s">
        <v>28670</v>
      </c>
      <c r="G6045" t="s">
        <v>28671</v>
      </c>
      <c r="L6045" t="s">
        <v>83</v>
      </c>
      <c r="M6045" t="s">
        <v>85</v>
      </c>
      <c r="R6045" t="s">
        <v>28672</v>
      </c>
      <c r="W6045" t="s">
        <v>28670</v>
      </c>
      <c r="X6045" t="s">
        <v>1333</v>
      </c>
      <c r="Y6045" t="s">
        <v>97</v>
      </c>
      <c r="Z6045" t="s">
        <v>77</v>
      </c>
      <c r="AA6045" t="str">
        <f>"10023-6406"</f>
        <v>10023-6406</v>
      </c>
      <c r="AB6045" t="s">
        <v>78</v>
      </c>
      <c r="AC6045" t="s">
        <v>79</v>
      </c>
      <c r="AD6045" t="s">
        <v>75</v>
      </c>
      <c r="AE6045" t="s">
        <v>80</v>
      </c>
      <c r="AG6045" t="s">
        <v>81</v>
      </c>
    </row>
    <row r="6046" spans="1:33" x14ac:dyDescent="0.25">
      <c r="A6046" t="str">
        <f>"1164512588"</f>
        <v>1164512588</v>
      </c>
      <c r="B6046" t="str">
        <f>"00948054"</f>
        <v>00948054</v>
      </c>
      <c r="C6046" t="s">
        <v>13436</v>
      </c>
      <c r="D6046" t="s">
        <v>28673</v>
      </c>
      <c r="E6046" t="s">
        <v>28674</v>
      </c>
      <c r="G6046" t="s">
        <v>28675</v>
      </c>
      <c r="L6046" t="s">
        <v>83</v>
      </c>
      <c r="M6046" t="s">
        <v>85</v>
      </c>
      <c r="R6046" t="s">
        <v>28676</v>
      </c>
      <c r="W6046" t="s">
        <v>28674</v>
      </c>
      <c r="Y6046" t="s">
        <v>97</v>
      </c>
      <c r="Z6046" t="s">
        <v>77</v>
      </c>
      <c r="AA6046" t="str">
        <f>"10025-1716"</f>
        <v>10025-1716</v>
      </c>
      <c r="AB6046" t="s">
        <v>78</v>
      </c>
      <c r="AC6046" t="s">
        <v>79</v>
      </c>
      <c r="AD6046" t="s">
        <v>75</v>
      </c>
      <c r="AE6046" t="s">
        <v>80</v>
      </c>
      <c r="AG6046" t="s">
        <v>81</v>
      </c>
    </row>
    <row r="6047" spans="1:33" x14ac:dyDescent="0.25">
      <c r="A6047" t="str">
        <f>"1164582342"</f>
        <v>1164582342</v>
      </c>
      <c r="B6047" t="str">
        <f>"01659347"</f>
        <v>01659347</v>
      </c>
      <c r="C6047" t="s">
        <v>13436</v>
      </c>
      <c r="D6047" t="s">
        <v>28677</v>
      </c>
      <c r="E6047" t="s">
        <v>4500</v>
      </c>
      <c r="G6047" t="s">
        <v>28678</v>
      </c>
      <c r="L6047" t="s">
        <v>83</v>
      </c>
      <c r="M6047" t="s">
        <v>85</v>
      </c>
      <c r="R6047" t="s">
        <v>4500</v>
      </c>
      <c r="W6047" t="s">
        <v>4500</v>
      </c>
      <c r="X6047" t="s">
        <v>14871</v>
      </c>
      <c r="Y6047" t="s">
        <v>97</v>
      </c>
      <c r="Z6047" t="s">
        <v>77</v>
      </c>
      <c r="AA6047" t="str">
        <f>"10003"</f>
        <v>10003</v>
      </c>
      <c r="AB6047" t="s">
        <v>78</v>
      </c>
      <c r="AC6047" t="s">
        <v>79</v>
      </c>
      <c r="AD6047" t="s">
        <v>75</v>
      </c>
      <c r="AE6047" t="s">
        <v>80</v>
      </c>
      <c r="AG6047" t="s">
        <v>81</v>
      </c>
    </row>
    <row r="6048" spans="1:33" x14ac:dyDescent="0.25">
      <c r="A6048" t="str">
        <f>"1174613400"</f>
        <v>1174613400</v>
      </c>
      <c r="B6048" t="str">
        <f>"00528001"</f>
        <v>00528001</v>
      </c>
      <c r="C6048" t="s">
        <v>13436</v>
      </c>
      <c r="D6048" t="s">
        <v>28679</v>
      </c>
      <c r="E6048" t="s">
        <v>28680</v>
      </c>
      <c r="G6048" t="s">
        <v>28681</v>
      </c>
      <c r="L6048" t="s">
        <v>74</v>
      </c>
      <c r="M6048" t="s">
        <v>85</v>
      </c>
      <c r="R6048" t="s">
        <v>28682</v>
      </c>
      <c r="W6048" t="s">
        <v>28680</v>
      </c>
      <c r="X6048" t="s">
        <v>28683</v>
      </c>
      <c r="Y6048" t="s">
        <v>97</v>
      </c>
      <c r="Z6048" t="s">
        <v>77</v>
      </c>
      <c r="AA6048" t="str">
        <f>"10023-6003"</f>
        <v>10023-6003</v>
      </c>
      <c r="AB6048" t="s">
        <v>78</v>
      </c>
      <c r="AC6048" t="s">
        <v>79</v>
      </c>
      <c r="AD6048" t="s">
        <v>75</v>
      </c>
      <c r="AE6048" t="s">
        <v>80</v>
      </c>
      <c r="AG6048" t="s">
        <v>81</v>
      </c>
    </row>
    <row r="6049" spans="1:33" x14ac:dyDescent="0.25">
      <c r="A6049" t="str">
        <f>"1174616015"</f>
        <v>1174616015</v>
      </c>
      <c r="B6049" t="str">
        <f>"00592250"</f>
        <v>00592250</v>
      </c>
      <c r="C6049" t="s">
        <v>13436</v>
      </c>
      <c r="D6049" t="s">
        <v>28684</v>
      </c>
      <c r="E6049" t="s">
        <v>28685</v>
      </c>
      <c r="G6049" t="s">
        <v>28686</v>
      </c>
      <c r="L6049" t="s">
        <v>105</v>
      </c>
      <c r="M6049" t="s">
        <v>85</v>
      </c>
      <c r="R6049" t="s">
        <v>28687</v>
      </c>
      <c r="W6049" t="s">
        <v>28688</v>
      </c>
      <c r="X6049" t="s">
        <v>28689</v>
      </c>
      <c r="Y6049" t="s">
        <v>97</v>
      </c>
      <c r="Z6049" t="s">
        <v>77</v>
      </c>
      <c r="AA6049" t="str">
        <f>"10019-8022"</f>
        <v>10019-8022</v>
      </c>
      <c r="AB6049" t="s">
        <v>78</v>
      </c>
      <c r="AC6049" t="s">
        <v>79</v>
      </c>
      <c r="AD6049" t="s">
        <v>75</v>
      </c>
      <c r="AE6049" t="s">
        <v>80</v>
      </c>
      <c r="AG6049" t="s">
        <v>81</v>
      </c>
    </row>
    <row r="6050" spans="1:33" x14ac:dyDescent="0.25">
      <c r="A6050" t="str">
        <f>"1164688958"</f>
        <v>1164688958</v>
      </c>
      <c r="B6050" t="str">
        <f>"04264742"</f>
        <v>04264742</v>
      </c>
      <c r="C6050" t="s">
        <v>13436</v>
      </c>
      <c r="D6050" t="s">
        <v>28690</v>
      </c>
      <c r="E6050" t="s">
        <v>28691</v>
      </c>
      <c r="L6050" t="s">
        <v>102</v>
      </c>
      <c r="M6050" t="s">
        <v>75</v>
      </c>
      <c r="R6050" t="s">
        <v>28692</v>
      </c>
      <c r="W6050" t="s">
        <v>28691</v>
      </c>
      <c r="X6050" t="s">
        <v>329</v>
      </c>
      <c r="Y6050" t="s">
        <v>97</v>
      </c>
      <c r="Z6050" t="s">
        <v>77</v>
      </c>
      <c r="AA6050" t="str">
        <f>"10029-6504"</f>
        <v>10029-6504</v>
      </c>
      <c r="AB6050" t="s">
        <v>78</v>
      </c>
      <c r="AC6050" t="s">
        <v>79</v>
      </c>
      <c r="AD6050" t="s">
        <v>75</v>
      </c>
      <c r="AE6050" t="s">
        <v>80</v>
      </c>
      <c r="AG6050" t="s">
        <v>81</v>
      </c>
    </row>
    <row r="6051" spans="1:33" x14ac:dyDescent="0.25">
      <c r="A6051" t="str">
        <f>"1164689501"</f>
        <v>1164689501</v>
      </c>
      <c r="B6051" t="str">
        <f>"03631138"</f>
        <v>03631138</v>
      </c>
      <c r="C6051" t="s">
        <v>13436</v>
      </c>
      <c r="D6051" t="s">
        <v>28693</v>
      </c>
      <c r="E6051" t="s">
        <v>28694</v>
      </c>
      <c r="G6051" t="s">
        <v>28695</v>
      </c>
      <c r="L6051" t="s">
        <v>83</v>
      </c>
      <c r="M6051" t="s">
        <v>85</v>
      </c>
      <c r="R6051" t="s">
        <v>28694</v>
      </c>
      <c r="W6051" t="s">
        <v>28694</v>
      </c>
      <c r="X6051" t="s">
        <v>11436</v>
      </c>
      <c r="Y6051" t="s">
        <v>97</v>
      </c>
      <c r="Z6051" t="s">
        <v>77</v>
      </c>
      <c r="AA6051" t="str">
        <f>"10029-0000"</f>
        <v>10029-0000</v>
      </c>
      <c r="AB6051" t="s">
        <v>78</v>
      </c>
      <c r="AC6051" t="s">
        <v>79</v>
      </c>
      <c r="AD6051" t="s">
        <v>75</v>
      </c>
      <c r="AE6051" t="s">
        <v>80</v>
      </c>
      <c r="AG6051" t="s">
        <v>81</v>
      </c>
    </row>
    <row r="6052" spans="1:33" x14ac:dyDescent="0.25">
      <c r="A6052" t="str">
        <f>"1164711222"</f>
        <v>1164711222</v>
      </c>
      <c r="B6052" t="str">
        <f>"03714894"</f>
        <v>03714894</v>
      </c>
      <c r="C6052" t="s">
        <v>13436</v>
      </c>
      <c r="D6052" t="s">
        <v>28696</v>
      </c>
      <c r="E6052" t="s">
        <v>28697</v>
      </c>
      <c r="L6052" t="s">
        <v>102</v>
      </c>
      <c r="M6052" t="s">
        <v>75</v>
      </c>
      <c r="R6052" t="s">
        <v>28698</v>
      </c>
      <c r="W6052" t="s">
        <v>28697</v>
      </c>
      <c r="X6052" t="s">
        <v>329</v>
      </c>
      <c r="Y6052" t="s">
        <v>97</v>
      </c>
      <c r="Z6052" t="s">
        <v>77</v>
      </c>
      <c r="AA6052" t="str">
        <f>"10029-6504"</f>
        <v>10029-6504</v>
      </c>
      <c r="AB6052" t="s">
        <v>78</v>
      </c>
      <c r="AC6052" t="s">
        <v>79</v>
      </c>
      <c r="AD6052" t="s">
        <v>75</v>
      </c>
      <c r="AE6052" t="s">
        <v>80</v>
      </c>
      <c r="AG6052" t="s">
        <v>81</v>
      </c>
    </row>
    <row r="6053" spans="1:33" x14ac:dyDescent="0.25">
      <c r="A6053" t="str">
        <f>"1164717054"</f>
        <v>1164717054</v>
      </c>
      <c r="C6053" t="s">
        <v>13436</v>
      </c>
      <c r="K6053" t="s">
        <v>99</v>
      </c>
      <c r="L6053" t="s">
        <v>102</v>
      </c>
      <c r="M6053" t="s">
        <v>75</v>
      </c>
      <c r="R6053" t="s">
        <v>28699</v>
      </c>
      <c r="S6053" t="s">
        <v>28700</v>
      </c>
      <c r="T6053" t="s">
        <v>97</v>
      </c>
      <c r="U6053" t="s">
        <v>77</v>
      </c>
      <c r="V6053" t="str">
        <f>"100296504"</f>
        <v>100296504</v>
      </c>
      <c r="AC6053" t="s">
        <v>79</v>
      </c>
      <c r="AD6053" t="s">
        <v>75</v>
      </c>
      <c r="AE6053" t="s">
        <v>103</v>
      </c>
      <c r="AG6053" t="s">
        <v>81</v>
      </c>
    </row>
    <row r="6054" spans="1:33" x14ac:dyDescent="0.25">
      <c r="A6054" t="str">
        <f>"1164765012"</f>
        <v>1164765012</v>
      </c>
      <c r="C6054" t="s">
        <v>13436</v>
      </c>
      <c r="K6054" t="s">
        <v>99</v>
      </c>
      <c r="L6054" t="s">
        <v>102</v>
      </c>
      <c r="M6054" t="s">
        <v>75</v>
      </c>
      <c r="R6054" t="s">
        <v>28701</v>
      </c>
      <c r="S6054" t="s">
        <v>28702</v>
      </c>
      <c r="T6054" t="s">
        <v>97</v>
      </c>
      <c r="U6054" t="s">
        <v>77</v>
      </c>
      <c r="V6054" t="str">
        <f>"100296503"</f>
        <v>100296503</v>
      </c>
      <c r="AC6054" t="s">
        <v>79</v>
      </c>
      <c r="AD6054" t="s">
        <v>75</v>
      </c>
      <c r="AE6054" t="s">
        <v>103</v>
      </c>
      <c r="AG6054" t="s">
        <v>81</v>
      </c>
    </row>
    <row r="6055" spans="1:33" x14ac:dyDescent="0.25">
      <c r="A6055" t="str">
        <f>"1164781340"</f>
        <v>1164781340</v>
      </c>
      <c r="C6055" t="s">
        <v>13436</v>
      </c>
      <c r="K6055" t="s">
        <v>99</v>
      </c>
      <c r="L6055" t="s">
        <v>102</v>
      </c>
      <c r="M6055" t="s">
        <v>75</v>
      </c>
      <c r="R6055" t="s">
        <v>4652</v>
      </c>
      <c r="S6055" t="s">
        <v>26494</v>
      </c>
      <c r="T6055" t="s">
        <v>97</v>
      </c>
      <c r="U6055" t="s">
        <v>77</v>
      </c>
      <c r="V6055" t="str">
        <f>"10029"</f>
        <v>10029</v>
      </c>
      <c r="AC6055" t="s">
        <v>79</v>
      </c>
      <c r="AD6055" t="s">
        <v>75</v>
      </c>
      <c r="AE6055" t="s">
        <v>103</v>
      </c>
      <c r="AG6055" t="s">
        <v>81</v>
      </c>
    </row>
    <row r="6056" spans="1:33" x14ac:dyDescent="0.25">
      <c r="A6056" t="str">
        <f>"1164781597"</f>
        <v>1164781597</v>
      </c>
      <c r="B6056" t="str">
        <f>"04252140"</f>
        <v>04252140</v>
      </c>
      <c r="C6056" t="s">
        <v>13436</v>
      </c>
      <c r="D6056" t="s">
        <v>28703</v>
      </c>
      <c r="E6056" t="s">
        <v>28704</v>
      </c>
      <c r="L6056" t="s">
        <v>94</v>
      </c>
      <c r="M6056" t="s">
        <v>75</v>
      </c>
      <c r="R6056" t="s">
        <v>28704</v>
      </c>
      <c r="W6056" t="s">
        <v>28705</v>
      </c>
      <c r="X6056" t="s">
        <v>2808</v>
      </c>
      <c r="Y6056" t="s">
        <v>97</v>
      </c>
      <c r="Z6056" t="s">
        <v>77</v>
      </c>
      <c r="AA6056" t="str">
        <f>"10025-6450"</f>
        <v>10025-6450</v>
      </c>
      <c r="AB6056" t="s">
        <v>78</v>
      </c>
      <c r="AC6056" t="s">
        <v>79</v>
      </c>
      <c r="AD6056" t="s">
        <v>75</v>
      </c>
      <c r="AE6056" t="s">
        <v>80</v>
      </c>
      <c r="AG6056" t="s">
        <v>81</v>
      </c>
    </row>
    <row r="6057" spans="1:33" x14ac:dyDescent="0.25">
      <c r="A6057" t="str">
        <f>"1104853993"</f>
        <v>1104853993</v>
      </c>
      <c r="B6057" t="str">
        <f>"00913391"</f>
        <v>00913391</v>
      </c>
      <c r="C6057" t="s">
        <v>13436</v>
      </c>
      <c r="D6057" t="s">
        <v>28706</v>
      </c>
      <c r="E6057" t="s">
        <v>28707</v>
      </c>
      <c r="G6057" t="s">
        <v>28708</v>
      </c>
      <c r="L6057" t="s">
        <v>83</v>
      </c>
      <c r="M6057" t="s">
        <v>85</v>
      </c>
      <c r="R6057" t="s">
        <v>28707</v>
      </c>
      <c r="W6057" t="s">
        <v>28707</v>
      </c>
      <c r="X6057" t="s">
        <v>28709</v>
      </c>
      <c r="Y6057" t="s">
        <v>97</v>
      </c>
      <c r="Z6057" t="s">
        <v>77</v>
      </c>
      <c r="AA6057" t="str">
        <f>"10019"</f>
        <v>10019</v>
      </c>
      <c r="AB6057" t="s">
        <v>78</v>
      </c>
      <c r="AC6057" t="s">
        <v>79</v>
      </c>
      <c r="AD6057" t="s">
        <v>75</v>
      </c>
      <c r="AE6057" t="s">
        <v>80</v>
      </c>
      <c r="AG6057" t="s">
        <v>81</v>
      </c>
    </row>
    <row r="6058" spans="1:33" x14ac:dyDescent="0.25">
      <c r="A6058" t="str">
        <f>"1730151895"</f>
        <v>1730151895</v>
      </c>
      <c r="B6058" t="str">
        <f>"02729413"</f>
        <v>02729413</v>
      </c>
      <c r="C6058" t="s">
        <v>13436</v>
      </c>
      <c r="D6058" t="s">
        <v>28710</v>
      </c>
      <c r="E6058" t="s">
        <v>28711</v>
      </c>
      <c r="G6058" t="s">
        <v>28712</v>
      </c>
      <c r="L6058" t="s">
        <v>74</v>
      </c>
      <c r="M6058" t="s">
        <v>85</v>
      </c>
      <c r="R6058" t="s">
        <v>28713</v>
      </c>
      <c r="W6058" t="s">
        <v>28711</v>
      </c>
      <c r="X6058" t="s">
        <v>329</v>
      </c>
      <c r="Y6058" t="s">
        <v>97</v>
      </c>
      <c r="Z6058" t="s">
        <v>77</v>
      </c>
      <c r="AA6058" t="str">
        <f>"10029-6500"</f>
        <v>10029-6500</v>
      </c>
      <c r="AB6058" t="s">
        <v>78</v>
      </c>
      <c r="AC6058" t="s">
        <v>79</v>
      </c>
      <c r="AD6058" t="s">
        <v>75</v>
      </c>
      <c r="AE6058" t="s">
        <v>80</v>
      </c>
      <c r="AG6058" t="s">
        <v>81</v>
      </c>
    </row>
    <row r="6059" spans="1:33" x14ac:dyDescent="0.25">
      <c r="A6059" t="str">
        <f>"1346575834"</f>
        <v>1346575834</v>
      </c>
      <c r="B6059" t="str">
        <f>"03811589"</f>
        <v>03811589</v>
      </c>
      <c r="C6059" t="s">
        <v>13436</v>
      </c>
      <c r="D6059" t="s">
        <v>28714</v>
      </c>
      <c r="E6059" t="s">
        <v>28715</v>
      </c>
      <c r="G6059" t="s">
        <v>28716</v>
      </c>
      <c r="L6059" t="s">
        <v>102</v>
      </c>
      <c r="M6059" t="s">
        <v>75</v>
      </c>
      <c r="R6059" t="s">
        <v>28717</v>
      </c>
      <c r="W6059" t="s">
        <v>28715</v>
      </c>
      <c r="X6059" t="s">
        <v>329</v>
      </c>
      <c r="Y6059" t="s">
        <v>97</v>
      </c>
      <c r="Z6059" t="s">
        <v>77</v>
      </c>
      <c r="AA6059" t="str">
        <f>"10029-6504"</f>
        <v>10029-6504</v>
      </c>
      <c r="AB6059" t="s">
        <v>78</v>
      </c>
      <c r="AC6059" t="s">
        <v>79</v>
      </c>
      <c r="AD6059" t="s">
        <v>75</v>
      </c>
      <c r="AE6059" t="s">
        <v>80</v>
      </c>
      <c r="AG6059" t="s">
        <v>81</v>
      </c>
    </row>
    <row r="6060" spans="1:33" x14ac:dyDescent="0.25">
      <c r="A6060" t="str">
        <f>"1346582996"</f>
        <v>1346582996</v>
      </c>
      <c r="C6060" t="s">
        <v>13436</v>
      </c>
      <c r="K6060" t="s">
        <v>99</v>
      </c>
      <c r="L6060" t="s">
        <v>102</v>
      </c>
      <c r="M6060" t="s">
        <v>75</v>
      </c>
      <c r="R6060" t="s">
        <v>28718</v>
      </c>
      <c r="S6060" t="s">
        <v>28719</v>
      </c>
      <c r="T6060" t="s">
        <v>4962</v>
      </c>
      <c r="U6060" t="s">
        <v>77</v>
      </c>
      <c r="V6060" t="str">
        <f>"109777004"</f>
        <v>109777004</v>
      </c>
      <c r="AC6060" t="s">
        <v>79</v>
      </c>
      <c r="AD6060" t="s">
        <v>75</v>
      </c>
      <c r="AE6060" t="s">
        <v>103</v>
      </c>
      <c r="AG6060" t="s">
        <v>81</v>
      </c>
    </row>
    <row r="6061" spans="1:33" x14ac:dyDescent="0.25">
      <c r="A6061" t="str">
        <f>"1346593183"</f>
        <v>1346593183</v>
      </c>
      <c r="B6061" t="str">
        <f>"03727800"</f>
        <v>03727800</v>
      </c>
      <c r="C6061" t="s">
        <v>13436</v>
      </c>
      <c r="D6061" t="s">
        <v>28720</v>
      </c>
      <c r="E6061" t="s">
        <v>28721</v>
      </c>
      <c r="G6061" t="s">
        <v>28722</v>
      </c>
      <c r="L6061" t="s">
        <v>74</v>
      </c>
      <c r="M6061" t="s">
        <v>75</v>
      </c>
      <c r="R6061" t="s">
        <v>28721</v>
      </c>
      <c r="W6061" t="s">
        <v>28721</v>
      </c>
      <c r="X6061" t="s">
        <v>329</v>
      </c>
      <c r="Y6061" t="s">
        <v>97</v>
      </c>
      <c r="Z6061" t="s">
        <v>77</v>
      </c>
      <c r="AA6061" t="str">
        <f>"10029-6504"</f>
        <v>10029-6504</v>
      </c>
      <c r="AB6061" t="s">
        <v>78</v>
      </c>
      <c r="AC6061" t="s">
        <v>79</v>
      </c>
      <c r="AD6061" t="s">
        <v>75</v>
      </c>
      <c r="AE6061" t="s">
        <v>80</v>
      </c>
      <c r="AG6061" t="s">
        <v>81</v>
      </c>
    </row>
    <row r="6062" spans="1:33" x14ac:dyDescent="0.25">
      <c r="A6062" t="str">
        <f>"1841465234"</f>
        <v>1841465234</v>
      </c>
      <c r="B6062" t="str">
        <f>"03083209"</f>
        <v>03083209</v>
      </c>
      <c r="C6062" t="s">
        <v>13436</v>
      </c>
      <c r="D6062" t="s">
        <v>28723</v>
      </c>
      <c r="E6062" t="s">
        <v>28724</v>
      </c>
      <c r="L6062" t="s">
        <v>83</v>
      </c>
      <c r="M6062" t="s">
        <v>85</v>
      </c>
      <c r="R6062" t="s">
        <v>28725</v>
      </c>
      <c r="W6062" t="s">
        <v>28724</v>
      </c>
      <c r="X6062" t="s">
        <v>842</v>
      </c>
      <c r="Y6062" t="s">
        <v>97</v>
      </c>
      <c r="Z6062" t="s">
        <v>77</v>
      </c>
      <c r="AA6062" t="str">
        <f>"10029-6501"</f>
        <v>10029-6501</v>
      </c>
      <c r="AB6062" t="s">
        <v>78</v>
      </c>
      <c r="AC6062" t="s">
        <v>79</v>
      </c>
      <c r="AD6062" t="s">
        <v>75</v>
      </c>
      <c r="AE6062" t="s">
        <v>80</v>
      </c>
      <c r="AG6062" t="s">
        <v>81</v>
      </c>
    </row>
    <row r="6063" spans="1:33" x14ac:dyDescent="0.25">
      <c r="A6063" t="str">
        <f>"1841504586"</f>
        <v>1841504586</v>
      </c>
      <c r="B6063" t="str">
        <f>"03431289"</f>
        <v>03431289</v>
      </c>
      <c r="C6063" t="s">
        <v>13436</v>
      </c>
      <c r="D6063" t="s">
        <v>28726</v>
      </c>
      <c r="E6063" t="s">
        <v>28727</v>
      </c>
      <c r="G6063" t="s">
        <v>28728</v>
      </c>
      <c r="L6063" t="s">
        <v>83</v>
      </c>
      <c r="M6063" t="s">
        <v>85</v>
      </c>
      <c r="R6063" t="s">
        <v>28729</v>
      </c>
      <c r="W6063" t="s">
        <v>28727</v>
      </c>
      <c r="X6063" t="s">
        <v>19359</v>
      </c>
      <c r="Y6063" t="s">
        <v>97</v>
      </c>
      <c r="Z6063" t="s">
        <v>77</v>
      </c>
      <c r="AA6063" t="str">
        <f>"10019-8022"</f>
        <v>10019-8022</v>
      </c>
      <c r="AB6063" t="s">
        <v>78</v>
      </c>
      <c r="AC6063" t="s">
        <v>79</v>
      </c>
      <c r="AD6063" t="s">
        <v>75</v>
      </c>
      <c r="AE6063" t="s">
        <v>80</v>
      </c>
      <c r="AG6063" t="s">
        <v>81</v>
      </c>
    </row>
    <row r="6064" spans="1:33" x14ac:dyDescent="0.25">
      <c r="A6064" t="str">
        <f>"1841522984"</f>
        <v>1841522984</v>
      </c>
      <c r="B6064" t="str">
        <f>"03462484"</f>
        <v>03462484</v>
      </c>
      <c r="C6064" t="s">
        <v>13436</v>
      </c>
      <c r="D6064" t="s">
        <v>28730</v>
      </c>
      <c r="E6064" t="s">
        <v>28731</v>
      </c>
      <c r="L6064" t="s">
        <v>83</v>
      </c>
      <c r="M6064" t="s">
        <v>85</v>
      </c>
      <c r="R6064" t="s">
        <v>28732</v>
      </c>
      <c r="W6064" t="s">
        <v>28731</v>
      </c>
      <c r="X6064" t="s">
        <v>329</v>
      </c>
      <c r="Y6064" t="s">
        <v>97</v>
      </c>
      <c r="Z6064" t="s">
        <v>77</v>
      </c>
      <c r="AA6064" t="str">
        <f>"10029-6500"</f>
        <v>10029-6500</v>
      </c>
      <c r="AB6064" t="s">
        <v>78</v>
      </c>
      <c r="AC6064" t="s">
        <v>79</v>
      </c>
      <c r="AD6064" t="s">
        <v>75</v>
      </c>
      <c r="AE6064" t="s">
        <v>80</v>
      </c>
      <c r="AG6064" t="s">
        <v>81</v>
      </c>
    </row>
    <row r="6065" spans="1:33" x14ac:dyDescent="0.25">
      <c r="A6065" t="str">
        <f>"1841581899"</f>
        <v>1841581899</v>
      </c>
      <c r="B6065" t="str">
        <f>"03652595"</f>
        <v>03652595</v>
      </c>
      <c r="C6065" t="s">
        <v>13436</v>
      </c>
      <c r="D6065" t="s">
        <v>28733</v>
      </c>
      <c r="E6065" t="s">
        <v>28734</v>
      </c>
      <c r="G6065" t="s">
        <v>28735</v>
      </c>
      <c r="L6065" t="s">
        <v>83</v>
      </c>
      <c r="M6065" t="s">
        <v>85</v>
      </c>
      <c r="R6065" t="s">
        <v>28736</v>
      </c>
      <c r="W6065" t="s">
        <v>28737</v>
      </c>
      <c r="X6065" t="s">
        <v>28738</v>
      </c>
      <c r="Y6065" t="s">
        <v>97</v>
      </c>
      <c r="Z6065" t="s">
        <v>77</v>
      </c>
      <c r="AA6065" t="str">
        <f>"10003-3314"</f>
        <v>10003-3314</v>
      </c>
      <c r="AB6065" t="s">
        <v>78</v>
      </c>
      <c r="AC6065" t="s">
        <v>79</v>
      </c>
      <c r="AD6065" t="s">
        <v>75</v>
      </c>
      <c r="AE6065" t="s">
        <v>80</v>
      </c>
      <c r="AG6065" t="s">
        <v>81</v>
      </c>
    </row>
    <row r="6066" spans="1:33" x14ac:dyDescent="0.25">
      <c r="A6066" t="str">
        <f>"1255360087"</f>
        <v>1255360087</v>
      </c>
      <c r="B6066" t="str">
        <f>"01395317"</f>
        <v>01395317</v>
      </c>
      <c r="C6066" t="s">
        <v>13436</v>
      </c>
      <c r="D6066" t="s">
        <v>28739</v>
      </c>
      <c r="E6066" t="s">
        <v>28740</v>
      </c>
      <c r="G6066" t="s">
        <v>28741</v>
      </c>
      <c r="L6066" t="s">
        <v>84</v>
      </c>
      <c r="M6066" t="s">
        <v>85</v>
      </c>
      <c r="R6066" t="s">
        <v>28742</v>
      </c>
      <c r="W6066" t="s">
        <v>28740</v>
      </c>
      <c r="X6066" t="s">
        <v>329</v>
      </c>
      <c r="Y6066" t="s">
        <v>97</v>
      </c>
      <c r="Z6066" t="s">
        <v>77</v>
      </c>
      <c r="AA6066" t="str">
        <f>"10029-6500"</f>
        <v>10029-6500</v>
      </c>
      <c r="AB6066" t="s">
        <v>78</v>
      </c>
      <c r="AC6066" t="s">
        <v>79</v>
      </c>
      <c r="AD6066" t="s">
        <v>75</v>
      </c>
      <c r="AE6066" t="s">
        <v>80</v>
      </c>
      <c r="AG6066" t="s">
        <v>81</v>
      </c>
    </row>
    <row r="6067" spans="1:33" x14ac:dyDescent="0.25">
      <c r="A6067" t="str">
        <f>"1124330311"</f>
        <v>1124330311</v>
      </c>
      <c r="C6067" t="s">
        <v>13436</v>
      </c>
      <c r="K6067" t="s">
        <v>99</v>
      </c>
      <c r="L6067" t="s">
        <v>102</v>
      </c>
      <c r="M6067" t="s">
        <v>75</v>
      </c>
      <c r="R6067" t="s">
        <v>28743</v>
      </c>
      <c r="S6067" t="s">
        <v>28744</v>
      </c>
      <c r="T6067" t="s">
        <v>1783</v>
      </c>
      <c r="U6067" t="s">
        <v>1784</v>
      </c>
      <c r="V6067" t="str">
        <f>"191021121"</f>
        <v>191021121</v>
      </c>
      <c r="AC6067" t="s">
        <v>79</v>
      </c>
      <c r="AD6067" t="s">
        <v>75</v>
      </c>
      <c r="AE6067" t="s">
        <v>103</v>
      </c>
      <c r="AG6067" t="s">
        <v>81</v>
      </c>
    </row>
    <row r="6068" spans="1:33" x14ac:dyDescent="0.25">
      <c r="A6068" t="str">
        <f>"1124343363"</f>
        <v>1124343363</v>
      </c>
      <c r="B6068" t="str">
        <f>"03687381"</f>
        <v>03687381</v>
      </c>
      <c r="C6068" t="s">
        <v>13436</v>
      </c>
      <c r="D6068" t="s">
        <v>28745</v>
      </c>
      <c r="E6068" t="s">
        <v>28746</v>
      </c>
      <c r="L6068" t="s">
        <v>74</v>
      </c>
      <c r="M6068" t="s">
        <v>75</v>
      </c>
      <c r="R6068" t="s">
        <v>28747</v>
      </c>
      <c r="W6068" t="s">
        <v>28746</v>
      </c>
      <c r="X6068" t="s">
        <v>204</v>
      </c>
      <c r="Y6068" t="s">
        <v>97</v>
      </c>
      <c r="Z6068" t="s">
        <v>77</v>
      </c>
      <c r="AA6068" t="str">
        <f>"10065-4870"</f>
        <v>10065-4870</v>
      </c>
      <c r="AB6068" t="s">
        <v>78</v>
      </c>
      <c r="AC6068" t="s">
        <v>79</v>
      </c>
      <c r="AD6068" t="s">
        <v>75</v>
      </c>
      <c r="AE6068" t="s">
        <v>80</v>
      </c>
      <c r="AG6068" t="s">
        <v>81</v>
      </c>
    </row>
    <row r="6069" spans="1:33" x14ac:dyDescent="0.25">
      <c r="A6069" t="str">
        <f>"1124361357"</f>
        <v>1124361357</v>
      </c>
      <c r="C6069" t="s">
        <v>13436</v>
      </c>
      <c r="K6069" t="s">
        <v>99</v>
      </c>
      <c r="L6069" t="s">
        <v>102</v>
      </c>
      <c r="M6069" t="s">
        <v>75</v>
      </c>
      <c r="R6069" t="s">
        <v>28748</v>
      </c>
      <c r="S6069" t="s">
        <v>14299</v>
      </c>
      <c r="T6069" t="s">
        <v>97</v>
      </c>
      <c r="U6069" t="s">
        <v>77</v>
      </c>
      <c r="V6069" t="str">
        <f>"100033821"</f>
        <v>100033821</v>
      </c>
      <c r="AC6069" t="s">
        <v>79</v>
      </c>
      <c r="AD6069" t="s">
        <v>75</v>
      </c>
      <c r="AE6069" t="s">
        <v>103</v>
      </c>
      <c r="AG6069" t="s">
        <v>81</v>
      </c>
    </row>
    <row r="6070" spans="1:33" x14ac:dyDescent="0.25">
      <c r="A6070" t="str">
        <f>"1124387774"</f>
        <v>1124387774</v>
      </c>
      <c r="C6070" t="s">
        <v>13436</v>
      </c>
      <c r="K6070" t="s">
        <v>99</v>
      </c>
      <c r="L6070" t="s">
        <v>102</v>
      </c>
      <c r="M6070" t="s">
        <v>75</v>
      </c>
      <c r="R6070" t="s">
        <v>28749</v>
      </c>
      <c r="S6070" t="s">
        <v>329</v>
      </c>
      <c r="T6070" t="s">
        <v>97</v>
      </c>
      <c r="U6070" t="s">
        <v>77</v>
      </c>
      <c r="V6070" t="str">
        <f>"100296504"</f>
        <v>100296504</v>
      </c>
      <c r="AC6070" t="s">
        <v>79</v>
      </c>
      <c r="AD6070" t="s">
        <v>75</v>
      </c>
      <c r="AE6070" t="s">
        <v>103</v>
      </c>
      <c r="AG6070" t="s">
        <v>81</v>
      </c>
    </row>
    <row r="6071" spans="1:33" x14ac:dyDescent="0.25">
      <c r="A6071" t="str">
        <f>"1124394135"</f>
        <v>1124394135</v>
      </c>
      <c r="C6071" t="s">
        <v>13436</v>
      </c>
      <c r="K6071" t="s">
        <v>99</v>
      </c>
      <c r="L6071" t="s">
        <v>102</v>
      </c>
      <c r="M6071" t="s">
        <v>75</v>
      </c>
      <c r="R6071" t="s">
        <v>28750</v>
      </c>
      <c r="S6071" t="s">
        <v>28751</v>
      </c>
      <c r="T6071" t="s">
        <v>2637</v>
      </c>
      <c r="U6071" t="s">
        <v>77</v>
      </c>
      <c r="V6071" t="str">
        <f>"117464736"</f>
        <v>117464736</v>
      </c>
      <c r="AC6071" t="s">
        <v>79</v>
      </c>
      <c r="AD6071" t="s">
        <v>75</v>
      </c>
      <c r="AE6071" t="s">
        <v>103</v>
      </c>
      <c r="AG6071" t="s">
        <v>81</v>
      </c>
    </row>
    <row r="6072" spans="1:33" x14ac:dyDescent="0.25">
      <c r="A6072" t="str">
        <f>"1407065386"</f>
        <v>1407065386</v>
      </c>
      <c r="B6072" t="str">
        <f>"03112443"</f>
        <v>03112443</v>
      </c>
      <c r="C6072" t="s">
        <v>13436</v>
      </c>
      <c r="D6072" t="s">
        <v>28752</v>
      </c>
      <c r="E6072" t="s">
        <v>28753</v>
      </c>
      <c r="G6072" t="s">
        <v>28754</v>
      </c>
      <c r="L6072" t="s">
        <v>83</v>
      </c>
      <c r="M6072" t="s">
        <v>85</v>
      </c>
      <c r="R6072" t="s">
        <v>28755</v>
      </c>
      <c r="W6072" t="s">
        <v>28753</v>
      </c>
      <c r="X6072" t="s">
        <v>329</v>
      </c>
      <c r="Y6072" t="s">
        <v>97</v>
      </c>
      <c r="Z6072" t="s">
        <v>77</v>
      </c>
      <c r="AA6072" t="str">
        <f>"10029-6504"</f>
        <v>10029-6504</v>
      </c>
      <c r="AB6072" t="s">
        <v>78</v>
      </c>
      <c r="AC6072" t="s">
        <v>79</v>
      </c>
      <c r="AD6072" t="s">
        <v>75</v>
      </c>
      <c r="AE6072" t="s">
        <v>80</v>
      </c>
      <c r="AG6072" t="s">
        <v>81</v>
      </c>
    </row>
    <row r="6073" spans="1:33" x14ac:dyDescent="0.25">
      <c r="A6073" t="str">
        <f>"1164788550"</f>
        <v>1164788550</v>
      </c>
      <c r="C6073" t="s">
        <v>13436</v>
      </c>
      <c r="K6073" t="s">
        <v>99</v>
      </c>
      <c r="L6073" t="s">
        <v>102</v>
      </c>
      <c r="M6073" t="s">
        <v>75</v>
      </c>
      <c r="R6073" t="s">
        <v>28756</v>
      </c>
      <c r="S6073" t="s">
        <v>28757</v>
      </c>
      <c r="T6073" t="s">
        <v>97</v>
      </c>
      <c r="U6073" t="s">
        <v>77</v>
      </c>
      <c r="V6073" t="str">
        <f>"100296500"</f>
        <v>100296500</v>
      </c>
      <c r="AC6073" t="s">
        <v>79</v>
      </c>
      <c r="AD6073" t="s">
        <v>75</v>
      </c>
      <c r="AE6073" t="s">
        <v>103</v>
      </c>
      <c r="AG6073" t="s">
        <v>81</v>
      </c>
    </row>
    <row r="6074" spans="1:33" x14ac:dyDescent="0.25">
      <c r="A6074" t="str">
        <f>"1235490988"</f>
        <v>1235490988</v>
      </c>
      <c r="C6074" t="s">
        <v>13436</v>
      </c>
      <c r="K6074" t="s">
        <v>99</v>
      </c>
      <c r="L6074" t="s">
        <v>102</v>
      </c>
      <c r="M6074" t="s">
        <v>75</v>
      </c>
      <c r="R6074" t="s">
        <v>28758</v>
      </c>
      <c r="S6074" t="s">
        <v>28759</v>
      </c>
      <c r="T6074" t="s">
        <v>28760</v>
      </c>
      <c r="U6074" t="s">
        <v>156</v>
      </c>
      <c r="V6074" t="str">
        <f>"070881307"</f>
        <v>070881307</v>
      </c>
      <c r="AC6074" t="s">
        <v>79</v>
      </c>
      <c r="AD6074" t="s">
        <v>75</v>
      </c>
      <c r="AE6074" t="s">
        <v>103</v>
      </c>
      <c r="AG6074" t="s">
        <v>81</v>
      </c>
    </row>
    <row r="6075" spans="1:33" x14ac:dyDescent="0.25">
      <c r="A6075" t="str">
        <f>"1235492273"</f>
        <v>1235492273</v>
      </c>
      <c r="C6075" t="s">
        <v>13436</v>
      </c>
      <c r="K6075" t="s">
        <v>99</v>
      </c>
      <c r="L6075" t="s">
        <v>102</v>
      </c>
      <c r="M6075" t="s">
        <v>75</v>
      </c>
      <c r="R6075" t="s">
        <v>28761</v>
      </c>
      <c r="S6075" t="s">
        <v>28762</v>
      </c>
      <c r="T6075" t="s">
        <v>87</v>
      </c>
      <c r="U6075" t="s">
        <v>77</v>
      </c>
      <c r="V6075" t="str">
        <f>"112352230"</f>
        <v>112352230</v>
      </c>
      <c r="AC6075" t="s">
        <v>79</v>
      </c>
      <c r="AD6075" t="s">
        <v>75</v>
      </c>
      <c r="AE6075" t="s">
        <v>103</v>
      </c>
      <c r="AG6075" t="s">
        <v>81</v>
      </c>
    </row>
    <row r="6076" spans="1:33" x14ac:dyDescent="0.25">
      <c r="A6076" t="str">
        <f>"1235498403"</f>
        <v>1235498403</v>
      </c>
      <c r="C6076" t="s">
        <v>13436</v>
      </c>
      <c r="K6076" t="s">
        <v>99</v>
      </c>
      <c r="L6076" t="s">
        <v>102</v>
      </c>
      <c r="M6076" t="s">
        <v>75</v>
      </c>
      <c r="R6076" t="s">
        <v>28763</v>
      </c>
      <c r="S6076" t="s">
        <v>28764</v>
      </c>
      <c r="T6076" t="s">
        <v>97</v>
      </c>
      <c r="U6076" t="s">
        <v>77</v>
      </c>
      <c r="V6076" t="str">
        <f>"100296514"</f>
        <v>100296514</v>
      </c>
      <c r="AC6076" t="s">
        <v>79</v>
      </c>
      <c r="AD6076" t="s">
        <v>75</v>
      </c>
      <c r="AE6076" t="s">
        <v>103</v>
      </c>
      <c r="AG6076" t="s">
        <v>81</v>
      </c>
    </row>
    <row r="6077" spans="1:33" x14ac:dyDescent="0.25">
      <c r="A6077" t="str">
        <f>"1962465542"</f>
        <v>1962465542</v>
      </c>
      <c r="B6077" t="str">
        <f>"00203705"</f>
        <v>00203705</v>
      </c>
      <c r="C6077" t="s">
        <v>13436</v>
      </c>
      <c r="D6077" t="s">
        <v>28765</v>
      </c>
      <c r="E6077" t="s">
        <v>28766</v>
      </c>
      <c r="G6077" t="s">
        <v>28767</v>
      </c>
      <c r="L6077" t="s">
        <v>83</v>
      </c>
      <c r="M6077" t="s">
        <v>85</v>
      </c>
      <c r="R6077" t="s">
        <v>28768</v>
      </c>
      <c r="W6077" t="s">
        <v>28769</v>
      </c>
      <c r="X6077" t="s">
        <v>28770</v>
      </c>
      <c r="Y6077" t="s">
        <v>97</v>
      </c>
      <c r="Z6077" t="s">
        <v>77</v>
      </c>
      <c r="AA6077" t="str">
        <f>"10075-0255"</f>
        <v>10075-0255</v>
      </c>
      <c r="AB6077" t="s">
        <v>78</v>
      </c>
      <c r="AC6077" t="s">
        <v>79</v>
      </c>
      <c r="AD6077" t="s">
        <v>75</v>
      </c>
      <c r="AE6077" t="s">
        <v>80</v>
      </c>
      <c r="AG6077" t="s">
        <v>81</v>
      </c>
    </row>
    <row r="6078" spans="1:33" x14ac:dyDescent="0.25">
      <c r="A6078" t="str">
        <f>"1124297122"</f>
        <v>1124297122</v>
      </c>
      <c r="B6078" t="str">
        <f>"03078177"</f>
        <v>03078177</v>
      </c>
      <c r="C6078" t="s">
        <v>13436</v>
      </c>
      <c r="D6078" t="s">
        <v>2852</v>
      </c>
      <c r="E6078" t="s">
        <v>2853</v>
      </c>
      <c r="G6078" t="s">
        <v>28771</v>
      </c>
      <c r="L6078" t="s">
        <v>84</v>
      </c>
      <c r="M6078" t="s">
        <v>85</v>
      </c>
      <c r="R6078" t="s">
        <v>2854</v>
      </c>
      <c r="W6078" t="s">
        <v>2853</v>
      </c>
      <c r="X6078" t="s">
        <v>2855</v>
      </c>
      <c r="Y6078" t="s">
        <v>131</v>
      </c>
      <c r="Z6078" t="s">
        <v>77</v>
      </c>
      <c r="AA6078" t="str">
        <f>"10459-3204"</f>
        <v>10459-3204</v>
      </c>
      <c r="AB6078" t="s">
        <v>78</v>
      </c>
      <c r="AC6078" t="s">
        <v>79</v>
      </c>
      <c r="AD6078" t="s">
        <v>75</v>
      </c>
      <c r="AE6078" t="s">
        <v>80</v>
      </c>
      <c r="AG6078" t="s">
        <v>81</v>
      </c>
    </row>
    <row r="6079" spans="1:33" x14ac:dyDescent="0.25">
      <c r="A6079" t="str">
        <f>"1124303458"</f>
        <v>1124303458</v>
      </c>
      <c r="B6079" t="str">
        <f>"03418302"</f>
        <v>03418302</v>
      </c>
      <c r="C6079" t="s">
        <v>13436</v>
      </c>
      <c r="D6079" t="s">
        <v>28772</v>
      </c>
      <c r="E6079" t="s">
        <v>28773</v>
      </c>
      <c r="G6079" t="s">
        <v>28774</v>
      </c>
      <c r="L6079" t="s">
        <v>74</v>
      </c>
      <c r="M6079" t="s">
        <v>85</v>
      </c>
      <c r="R6079" t="s">
        <v>28775</v>
      </c>
      <c r="W6079" t="s">
        <v>28773</v>
      </c>
      <c r="X6079" t="s">
        <v>13441</v>
      </c>
      <c r="Y6079" t="s">
        <v>97</v>
      </c>
      <c r="Z6079" t="s">
        <v>77</v>
      </c>
      <c r="AA6079" t="str">
        <f>"10035-3826"</f>
        <v>10035-3826</v>
      </c>
      <c r="AB6079" t="s">
        <v>93</v>
      </c>
      <c r="AC6079" t="s">
        <v>79</v>
      </c>
      <c r="AD6079" t="s">
        <v>75</v>
      </c>
      <c r="AE6079" t="s">
        <v>80</v>
      </c>
      <c r="AG6079" t="s">
        <v>81</v>
      </c>
    </row>
    <row r="6080" spans="1:33" x14ac:dyDescent="0.25">
      <c r="A6080" t="str">
        <f>"1134189897"</f>
        <v>1134189897</v>
      </c>
      <c r="B6080" t="str">
        <f>"01676017"</f>
        <v>01676017</v>
      </c>
      <c r="C6080" t="s">
        <v>13436</v>
      </c>
      <c r="D6080" t="s">
        <v>28776</v>
      </c>
      <c r="E6080" t="s">
        <v>28777</v>
      </c>
      <c r="G6080" t="s">
        <v>28778</v>
      </c>
      <c r="L6080" t="s">
        <v>74</v>
      </c>
      <c r="M6080" t="s">
        <v>85</v>
      </c>
      <c r="R6080" t="s">
        <v>28779</v>
      </c>
      <c r="W6080" t="s">
        <v>28777</v>
      </c>
      <c r="X6080" t="s">
        <v>17795</v>
      </c>
      <c r="Y6080" t="s">
        <v>160</v>
      </c>
      <c r="Z6080" t="s">
        <v>77</v>
      </c>
      <c r="AA6080" t="str">
        <f>"11030-3816"</f>
        <v>11030-3816</v>
      </c>
      <c r="AB6080" t="s">
        <v>78</v>
      </c>
      <c r="AC6080" t="s">
        <v>79</v>
      </c>
      <c r="AD6080" t="s">
        <v>75</v>
      </c>
      <c r="AE6080" t="s">
        <v>80</v>
      </c>
      <c r="AG6080" t="s">
        <v>81</v>
      </c>
    </row>
    <row r="6081" spans="1:33" x14ac:dyDescent="0.25">
      <c r="A6081" t="str">
        <f>"1134202666"</f>
        <v>1134202666</v>
      </c>
      <c r="B6081" t="str">
        <f>"01897112"</f>
        <v>01897112</v>
      </c>
      <c r="C6081" t="s">
        <v>13436</v>
      </c>
      <c r="D6081" t="s">
        <v>28780</v>
      </c>
      <c r="E6081" t="s">
        <v>28781</v>
      </c>
      <c r="G6081" t="s">
        <v>28782</v>
      </c>
      <c r="L6081" t="s">
        <v>83</v>
      </c>
      <c r="M6081" t="s">
        <v>85</v>
      </c>
      <c r="R6081" t="s">
        <v>28783</v>
      </c>
      <c r="W6081" t="s">
        <v>28781</v>
      </c>
      <c r="X6081" t="s">
        <v>28784</v>
      </c>
      <c r="Y6081" t="s">
        <v>97</v>
      </c>
      <c r="Z6081" t="s">
        <v>77</v>
      </c>
      <c r="AA6081" t="str">
        <f>"10023-5401"</f>
        <v>10023-5401</v>
      </c>
      <c r="AB6081" t="s">
        <v>78</v>
      </c>
      <c r="AC6081" t="s">
        <v>79</v>
      </c>
      <c r="AD6081" t="s">
        <v>75</v>
      </c>
      <c r="AE6081" t="s">
        <v>80</v>
      </c>
      <c r="AG6081" t="s">
        <v>81</v>
      </c>
    </row>
    <row r="6082" spans="1:33" x14ac:dyDescent="0.25">
      <c r="A6082" t="str">
        <f>"1144433830"</f>
        <v>1144433830</v>
      </c>
      <c r="B6082" t="str">
        <f>"03473118"</f>
        <v>03473118</v>
      </c>
      <c r="C6082" t="s">
        <v>13436</v>
      </c>
      <c r="D6082" t="s">
        <v>28785</v>
      </c>
      <c r="E6082" t="s">
        <v>28786</v>
      </c>
      <c r="G6082" t="s">
        <v>28787</v>
      </c>
      <c r="L6082" t="s">
        <v>94</v>
      </c>
      <c r="M6082" t="s">
        <v>85</v>
      </c>
      <c r="R6082" t="s">
        <v>28786</v>
      </c>
      <c r="W6082" t="s">
        <v>28786</v>
      </c>
      <c r="X6082" t="s">
        <v>28788</v>
      </c>
      <c r="Y6082" t="s">
        <v>97</v>
      </c>
      <c r="Z6082" t="s">
        <v>77</v>
      </c>
      <c r="AA6082" t="str">
        <f>"10016-3402"</f>
        <v>10016-3402</v>
      </c>
      <c r="AB6082" t="s">
        <v>78</v>
      </c>
      <c r="AC6082" t="s">
        <v>79</v>
      </c>
      <c r="AD6082" t="s">
        <v>75</v>
      </c>
      <c r="AE6082" t="s">
        <v>80</v>
      </c>
      <c r="AG6082" t="s">
        <v>81</v>
      </c>
    </row>
    <row r="6083" spans="1:33" x14ac:dyDescent="0.25">
      <c r="A6083" t="str">
        <f>"1154381887"</f>
        <v>1154381887</v>
      </c>
      <c r="B6083" t="str">
        <f>"02646091"</f>
        <v>02646091</v>
      </c>
      <c r="C6083" t="s">
        <v>13436</v>
      </c>
      <c r="D6083" t="s">
        <v>999</v>
      </c>
      <c r="E6083" t="s">
        <v>1000</v>
      </c>
      <c r="G6083" t="s">
        <v>28789</v>
      </c>
      <c r="L6083" t="s">
        <v>83</v>
      </c>
      <c r="M6083" t="s">
        <v>85</v>
      </c>
      <c r="R6083" t="s">
        <v>1001</v>
      </c>
      <c r="W6083" t="s">
        <v>1002</v>
      </c>
      <c r="X6083" t="s">
        <v>844</v>
      </c>
      <c r="Y6083" t="s">
        <v>139</v>
      </c>
      <c r="Z6083" t="s">
        <v>77</v>
      </c>
      <c r="AA6083" t="str">
        <f>"11354-5536"</f>
        <v>11354-5536</v>
      </c>
      <c r="AB6083" t="s">
        <v>78</v>
      </c>
      <c r="AC6083" t="s">
        <v>79</v>
      </c>
      <c r="AD6083" t="s">
        <v>75</v>
      </c>
      <c r="AE6083" t="s">
        <v>80</v>
      </c>
      <c r="AG6083" t="s">
        <v>81</v>
      </c>
    </row>
    <row r="6084" spans="1:33" x14ac:dyDescent="0.25">
      <c r="A6084" t="str">
        <f>"1548288277"</f>
        <v>1548288277</v>
      </c>
      <c r="B6084" t="str">
        <f>"02134861"</f>
        <v>02134861</v>
      </c>
      <c r="C6084" t="s">
        <v>13436</v>
      </c>
      <c r="D6084" t="s">
        <v>28790</v>
      </c>
      <c r="E6084" t="s">
        <v>28791</v>
      </c>
      <c r="G6084" t="s">
        <v>28792</v>
      </c>
      <c r="L6084" t="s">
        <v>84</v>
      </c>
      <c r="M6084" t="s">
        <v>85</v>
      </c>
      <c r="R6084" t="s">
        <v>28793</v>
      </c>
      <c r="W6084" t="s">
        <v>28791</v>
      </c>
      <c r="X6084" t="s">
        <v>329</v>
      </c>
      <c r="Y6084" t="s">
        <v>97</v>
      </c>
      <c r="Z6084" t="s">
        <v>77</v>
      </c>
      <c r="AA6084" t="str">
        <f>"10029-6504"</f>
        <v>10029-6504</v>
      </c>
      <c r="AB6084" t="s">
        <v>78</v>
      </c>
      <c r="AC6084" t="s">
        <v>79</v>
      </c>
      <c r="AD6084" t="s">
        <v>75</v>
      </c>
      <c r="AE6084" t="s">
        <v>80</v>
      </c>
      <c r="AG6084" t="s">
        <v>81</v>
      </c>
    </row>
    <row r="6085" spans="1:33" x14ac:dyDescent="0.25">
      <c r="A6085" t="str">
        <f>"1558560110"</f>
        <v>1558560110</v>
      </c>
      <c r="B6085" t="str">
        <f>"03246664"</f>
        <v>03246664</v>
      </c>
      <c r="C6085" t="s">
        <v>13436</v>
      </c>
      <c r="D6085" t="s">
        <v>28794</v>
      </c>
      <c r="E6085" t="s">
        <v>28795</v>
      </c>
      <c r="G6085" t="s">
        <v>28796</v>
      </c>
      <c r="L6085" t="s">
        <v>94</v>
      </c>
      <c r="M6085" t="s">
        <v>85</v>
      </c>
      <c r="R6085" t="s">
        <v>28797</v>
      </c>
      <c r="W6085" t="s">
        <v>28795</v>
      </c>
      <c r="X6085" t="s">
        <v>3784</v>
      </c>
      <c r="Y6085" t="s">
        <v>97</v>
      </c>
      <c r="Z6085" t="s">
        <v>77</v>
      </c>
      <c r="AA6085" t="str">
        <f>"10029-6500"</f>
        <v>10029-6500</v>
      </c>
      <c r="AB6085" t="s">
        <v>78</v>
      </c>
      <c r="AC6085" t="s">
        <v>79</v>
      </c>
      <c r="AD6085" t="s">
        <v>75</v>
      </c>
      <c r="AE6085" t="s">
        <v>80</v>
      </c>
      <c r="AG6085" t="s">
        <v>81</v>
      </c>
    </row>
    <row r="6086" spans="1:33" x14ac:dyDescent="0.25">
      <c r="A6086" t="str">
        <f>"1558577148"</f>
        <v>1558577148</v>
      </c>
      <c r="B6086" t="str">
        <f>"03022075"</f>
        <v>03022075</v>
      </c>
      <c r="C6086" t="s">
        <v>13436</v>
      </c>
      <c r="D6086" t="s">
        <v>28798</v>
      </c>
      <c r="E6086" t="s">
        <v>28799</v>
      </c>
      <c r="G6086" t="s">
        <v>28800</v>
      </c>
      <c r="L6086" t="s">
        <v>74</v>
      </c>
      <c r="M6086" t="s">
        <v>75</v>
      </c>
      <c r="R6086" t="s">
        <v>28799</v>
      </c>
      <c r="W6086" t="s">
        <v>28799</v>
      </c>
      <c r="X6086" t="s">
        <v>28801</v>
      </c>
      <c r="Y6086" t="s">
        <v>97</v>
      </c>
      <c r="Z6086" t="s">
        <v>77</v>
      </c>
      <c r="AA6086" t="str">
        <f>"10013-2904"</f>
        <v>10013-2904</v>
      </c>
      <c r="AB6086" t="s">
        <v>114</v>
      </c>
      <c r="AC6086" t="s">
        <v>79</v>
      </c>
      <c r="AD6086" t="s">
        <v>75</v>
      </c>
      <c r="AE6086" t="s">
        <v>80</v>
      </c>
      <c r="AG6086" t="s">
        <v>81</v>
      </c>
    </row>
    <row r="6087" spans="1:33" x14ac:dyDescent="0.25">
      <c r="A6087" t="str">
        <f>"1568432201"</f>
        <v>1568432201</v>
      </c>
      <c r="B6087" t="str">
        <f>"01015030"</f>
        <v>01015030</v>
      </c>
      <c r="C6087" t="s">
        <v>13436</v>
      </c>
      <c r="D6087" t="s">
        <v>28802</v>
      </c>
      <c r="E6087" t="s">
        <v>28803</v>
      </c>
      <c r="G6087" t="s">
        <v>28804</v>
      </c>
      <c r="L6087" t="s">
        <v>83</v>
      </c>
      <c r="M6087" t="s">
        <v>85</v>
      </c>
      <c r="R6087" t="s">
        <v>28805</v>
      </c>
      <c r="W6087" t="s">
        <v>28803</v>
      </c>
      <c r="X6087" t="s">
        <v>7080</v>
      </c>
      <c r="Y6087" t="s">
        <v>97</v>
      </c>
      <c r="Z6087" t="s">
        <v>77</v>
      </c>
      <c r="AA6087" t="str">
        <f>"10003-3746"</f>
        <v>10003-3746</v>
      </c>
      <c r="AB6087" t="s">
        <v>78</v>
      </c>
      <c r="AC6087" t="s">
        <v>79</v>
      </c>
      <c r="AD6087" t="s">
        <v>75</v>
      </c>
      <c r="AE6087" t="s">
        <v>80</v>
      </c>
      <c r="AG6087" t="s">
        <v>81</v>
      </c>
    </row>
    <row r="6088" spans="1:33" x14ac:dyDescent="0.25">
      <c r="A6088" t="str">
        <f>"1154630176"</f>
        <v>1154630176</v>
      </c>
      <c r="B6088" t="str">
        <f>"04529186"</f>
        <v>04529186</v>
      </c>
      <c r="C6088" t="s">
        <v>13436</v>
      </c>
      <c r="D6088" t="s">
        <v>28806</v>
      </c>
      <c r="E6088" t="s">
        <v>28807</v>
      </c>
      <c r="L6088" t="s">
        <v>102</v>
      </c>
      <c r="M6088" t="s">
        <v>75</v>
      </c>
      <c r="R6088" t="s">
        <v>28808</v>
      </c>
      <c r="W6088" t="s">
        <v>28807</v>
      </c>
      <c r="AB6088" t="s">
        <v>78</v>
      </c>
      <c r="AC6088" t="s">
        <v>79</v>
      </c>
      <c r="AD6088" t="s">
        <v>75</v>
      </c>
      <c r="AE6088" t="s">
        <v>80</v>
      </c>
      <c r="AG6088" t="s">
        <v>81</v>
      </c>
    </row>
    <row r="6089" spans="1:33" x14ac:dyDescent="0.25">
      <c r="A6089" t="str">
        <f>"1154635829"</f>
        <v>1154635829</v>
      </c>
      <c r="C6089" t="s">
        <v>13436</v>
      </c>
      <c r="K6089" t="s">
        <v>99</v>
      </c>
      <c r="L6089" t="s">
        <v>102</v>
      </c>
      <c r="M6089" t="s">
        <v>75</v>
      </c>
      <c r="R6089" t="s">
        <v>28809</v>
      </c>
      <c r="S6089" t="s">
        <v>28810</v>
      </c>
      <c r="T6089" t="s">
        <v>28811</v>
      </c>
      <c r="U6089" t="s">
        <v>351</v>
      </c>
      <c r="V6089" t="str">
        <f>"335114879"</f>
        <v>335114879</v>
      </c>
      <c r="AC6089" t="s">
        <v>79</v>
      </c>
      <c r="AD6089" t="s">
        <v>75</v>
      </c>
      <c r="AE6089" t="s">
        <v>103</v>
      </c>
      <c r="AG6089" t="s">
        <v>81</v>
      </c>
    </row>
    <row r="6090" spans="1:33" x14ac:dyDescent="0.25">
      <c r="A6090" t="str">
        <f>"1154642221"</f>
        <v>1154642221</v>
      </c>
      <c r="C6090" t="s">
        <v>13436</v>
      </c>
      <c r="K6090" t="s">
        <v>99</v>
      </c>
      <c r="L6090" t="s">
        <v>102</v>
      </c>
      <c r="M6090" t="s">
        <v>75</v>
      </c>
      <c r="R6090" t="s">
        <v>28812</v>
      </c>
      <c r="S6090" t="s">
        <v>28813</v>
      </c>
      <c r="T6090" t="s">
        <v>4516</v>
      </c>
      <c r="U6090" t="s">
        <v>1784</v>
      </c>
      <c r="V6090" t="str">
        <f>"176022250"</f>
        <v>176022250</v>
      </c>
      <c r="AC6090" t="s">
        <v>79</v>
      </c>
      <c r="AD6090" t="s">
        <v>75</v>
      </c>
      <c r="AE6090" t="s">
        <v>103</v>
      </c>
      <c r="AG6090" t="s">
        <v>81</v>
      </c>
    </row>
    <row r="6091" spans="1:33" x14ac:dyDescent="0.25">
      <c r="A6091" t="str">
        <f>"1023181138"</f>
        <v>1023181138</v>
      </c>
      <c r="B6091" t="str">
        <f>"02869107"</f>
        <v>02869107</v>
      </c>
      <c r="C6091" t="s">
        <v>13436</v>
      </c>
      <c r="D6091" t="s">
        <v>28814</v>
      </c>
      <c r="E6091" t="s">
        <v>28815</v>
      </c>
      <c r="G6091" t="s">
        <v>28816</v>
      </c>
      <c r="L6091" t="s">
        <v>84</v>
      </c>
      <c r="M6091" t="s">
        <v>85</v>
      </c>
      <c r="R6091" t="s">
        <v>28817</v>
      </c>
      <c r="W6091" t="s">
        <v>28815</v>
      </c>
      <c r="X6091" t="s">
        <v>28818</v>
      </c>
      <c r="Y6091" t="s">
        <v>171</v>
      </c>
      <c r="Z6091" t="s">
        <v>77</v>
      </c>
      <c r="AA6091" t="str">
        <f>"11435-3640"</f>
        <v>11435-3640</v>
      </c>
      <c r="AB6091" t="s">
        <v>78</v>
      </c>
      <c r="AC6091" t="s">
        <v>79</v>
      </c>
      <c r="AD6091" t="s">
        <v>75</v>
      </c>
      <c r="AE6091" t="s">
        <v>80</v>
      </c>
      <c r="AG6091" t="s">
        <v>81</v>
      </c>
    </row>
    <row r="6092" spans="1:33" x14ac:dyDescent="0.25">
      <c r="A6092" t="str">
        <f>"1023209343"</f>
        <v>1023209343</v>
      </c>
      <c r="B6092" t="str">
        <f>"01523495"</f>
        <v>01523495</v>
      </c>
      <c r="C6092" t="s">
        <v>13436</v>
      </c>
      <c r="D6092" t="s">
        <v>28819</v>
      </c>
      <c r="E6092" t="s">
        <v>28820</v>
      </c>
      <c r="G6092" t="s">
        <v>28821</v>
      </c>
      <c r="L6092" t="s">
        <v>74</v>
      </c>
      <c r="M6092" t="s">
        <v>85</v>
      </c>
      <c r="R6092" t="s">
        <v>28822</v>
      </c>
      <c r="W6092" t="s">
        <v>28820</v>
      </c>
      <c r="X6092" t="s">
        <v>4791</v>
      </c>
      <c r="Y6092" t="s">
        <v>97</v>
      </c>
      <c r="Z6092" t="s">
        <v>77</v>
      </c>
      <c r="AA6092" t="str">
        <f>"10003"</f>
        <v>10003</v>
      </c>
      <c r="AB6092" t="s">
        <v>78</v>
      </c>
      <c r="AC6092" t="s">
        <v>79</v>
      </c>
      <c r="AD6092" t="s">
        <v>75</v>
      </c>
      <c r="AE6092" t="s">
        <v>80</v>
      </c>
      <c r="AG6092" t="s">
        <v>81</v>
      </c>
    </row>
    <row r="6093" spans="1:33" x14ac:dyDescent="0.25">
      <c r="A6093" t="str">
        <f>"1174669683"</f>
        <v>1174669683</v>
      </c>
      <c r="B6093" t="str">
        <f>"00952098"</f>
        <v>00952098</v>
      </c>
      <c r="C6093" t="s">
        <v>13436</v>
      </c>
      <c r="D6093" t="s">
        <v>28823</v>
      </c>
      <c r="E6093" t="s">
        <v>28824</v>
      </c>
      <c r="G6093" t="s">
        <v>28825</v>
      </c>
      <c r="L6093" t="s">
        <v>74</v>
      </c>
      <c r="M6093" t="s">
        <v>85</v>
      </c>
      <c r="R6093" t="s">
        <v>28826</v>
      </c>
      <c r="W6093" t="s">
        <v>28824</v>
      </c>
      <c r="X6093" t="s">
        <v>28827</v>
      </c>
      <c r="Y6093" t="s">
        <v>450</v>
      </c>
      <c r="Z6093" t="s">
        <v>77</v>
      </c>
      <c r="AA6093" t="str">
        <f>"11423-1221"</f>
        <v>11423-1221</v>
      </c>
      <c r="AB6093" t="s">
        <v>78</v>
      </c>
      <c r="AC6093" t="s">
        <v>79</v>
      </c>
      <c r="AD6093" t="s">
        <v>75</v>
      </c>
      <c r="AE6093" t="s">
        <v>80</v>
      </c>
      <c r="AG6093" t="s">
        <v>81</v>
      </c>
    </row>
    <row r="6094" spans="1:33" x14ac:dyDescent="0.25">
      <c r="A6094" t="str">
        <f>"1184601361"</f>
        <v>1184601361</v>
      </c>
      <c r="B6094" t="str">
        <f>"00514654"</f>
        <v>00514654</v>
      </c>
      <c r="C6094" t="s">
        <v>13436</v>
      </c>
      <c r="D6094" t="s">
        <v>28828</v>
      </c>
      <c r="E6094" t="s">
        <v>28829</v>
      </c>
      <c r="G6094" t="s">
        <v>28830</v>
      </c>
      <c r="L6094" t="s">
        <v>84</v>
      </c>
      <c r="M6094" t="s">
        <v>85</v>
      </c>
      <c r="R6094" t="s">
        <v>28831</v>
      </c>
      <c r="W6094" t="s">
        <v>28829</v>
      </c>
      <c r="X6094" t="s">
        <v>28832</v>
      </c>
      <c r="Y6094" t="s">
        <v>97</v>
      </c>
      <c r="Z6094" t="s">
        <v>77</v>
      </c>
      <c r="AA6094" t="str">
        <f>"10010-7469"</f>
        <v>10010-7469</v>
      </c>
      <c r="AB6094" t="s">
        <v>78</v>
      </c>
      <c r="AC6094" t="s">
        <v>79</v>
      </c>
      <c r="AD6094" t="s">
        <v>75</v>
      </c>
      <c r="AE6094" t="s">
        <v>80</v>
      </c>
      <c r="AG6094" t="s">
        <v>81</v>
      </c>
    </row>
    <row r="6095" spans="1:33" x14ac:dyDescent="0.25">
      <c r="A6095" t="str">
        <f>"1184716615"</f>
        <v>1184716615</v>
      </c>
      <c r="B6095" t="str">
        <f>"02176121"</f>
        <v>02176121</v>
      </c>
      <c r="C6095" t="s">
        <v>13436</v>
      </c>
      <c r="D6095" t="s">
        <v>697</v>
      </c>
      <c r="E6095" t="s">
        <v>698</v>
      </c>
      <c r="G6095" t="s">
        <v>28833</v>
      </c>
      <c r="L6095" t="s">
        <v>83</v>
      </c>
      <c r="M6095" t="s">
        <v>85</v>
      </c>
      <c r="R6095" t="s">
        <v>699</v>
      </c>
      <c r="W6095" t="s">
        <v>700</v>
      </c>
      <c r="X6095" t="s">
        <v>701</v>
      </c>
      <c r="Y6095" t="s">
        <v>97</v>
      </c>
      <c r="Z6095" t="s">
        <v>77</v>
      </c>
      <c r="AA6095" t="str">
        <f>"10013-4941"</f>
        <v>10013-4941</v>
      </c>
      <c r="AB6095" t="s">
        <v>78</v>
      </c>
      <c r="AC6095" t="s">
        <v>79</v>
      </c>
      <c r="AD6095" t="s">
        <v>75</v>
      </c>
      <c r="AE6095" t="s">
        <v>80</v>
      </c>
      <c r="AG6095" t="s">
        <v>81</v>
      </c>
    </row>
    <row r="6096" spans="1:33" x14ac:dyDescent="0.25">
      <c r="A6096" t="str">
        <f>"1184724585"</f>
        <v>1184724585</v>
      </c>
      <c r="B6096" t="str">
        <f>"02622879"</f>
        <v>02622879</v>
      </c>
      <c r="C6096" t="s">
        <v>13436</v>
      </c>
      <c r="D6096" t="s">
        <v>28834</v>
      </c>
      <c r="E6096" t="s">
        <v>28835</v>
      </c>
      <c r="G6096" t="s">
        <v>28836</v>
      </c>
      <c r="L6096" t="s">
        <v>83</v>
      </c>
      <c r="M6096" t="s">
        <v>85</v>
      </c>
      <c r="R6096" t="s">
        <v>28837</v>
      </c>
      <c r="W6096" t="s">
        <v>28835</v>
      </c>
      <c r="X6096" t="s">
        <v>5687</v>
      </c>
      <c r="Y6096" t="s">
        <v>97</v>
      </c>
      <c r="Z6096" t="s">
        <v>77</v>
      </c>
      <c r="AA6096" t="str">
        <f>"10032-3724"</f>
        <v>10032-3724</v>
      </c>
      <c r="AB6096" t="s">
        <v>78</v>
      </c>
      <c r="AC6096" t="s">
        <v>79</v>
      </c>
      <c r="AD6096" t="s">
        <v>75</v>
      </c>
      <c r="AE6096" t="s">
        <v>80</v>
      </c>
      <c r="AG6096" t="s">
        <v>81</v>
      </c>
    </row>
    <row r="6097" spans="1:33" x14ac:dyDescent="0.25">
      <c r="A6097" t="str">
        <f>"1194726281"</f>
        <v>1194726281</v>
      </c>
      <c r="B6097" t="str">
        <f>"01186112"</f>
        <v>01186112</v>
      </c>
      <c r="C6097" t="s">
        <v>13436</v>
      </c>
      <c r="D6097" t="s">
        <v>28838</v>
      </c>
      <c r="E6097" t="s">
        <v>28839</v>
      </c>
      <c r="G6097" t="s">
        <v>28840</v>
      </c>
      <c r="L6097" t="s">
        <v>83</v>
      </c>
      <c r="M6097" t="s">
        <v>85</v>
      </c>
      <c r="R6097" t="s">
        <v>28841</v>
      </c>
      <c r="W6097" t="s">
        <v>28839</v>
      </c>
      <c r="X6097" t="s">
        <v>28842</v>
      </c>
      <c r="Y6097" t="s">
        <v>131</v>
      </c>
      <c r="Z6097" t="s">
        <v>77</v>
      </c>
      <c r="AA6097" t="str">
        <f>"10467-2401"</f>
        <v>10467-2401</v>
      </c>
      <c r="AB6097" t="s">
        <v>78</v>
      </c>
      <c r="AC6097" t="s">
        <v>79</v>
      </c>
      <c r="AD6097" t="s">
        <v>75</v>
      </c>
      <c r="AE6097" t="s">
        <v>80</v>
      </c>
      <c r="AG6097" t="s">
        <v>81</v>
      </c>
    </row>
    <row r="6098" spans="1:33" x14ac:dyDescent="0.25">
      <c r="A6098" t="str">
        <f>"1194751206"</f>
        <v>1194751206</v>
      </c>
      <c r="B6098" t="str">
        <f>"00226980"</f>
        <v>00226980</v>
      </c>
      <c r="C6098" t="s">
        <v>13436</v>
      </c>
      <c r="D6098" t="s">
        <v>28843</v>
      </c>
      <c r="E6098" t="s">
        <v>28844</v>
      </c>
      <c r="G6098" t="s">
        <v>28845</v>
      </c>
      <c r="L6098" t="s">
        <v>83</v>
      </c>
      <c r="M6098" t="s">
        <v>85</v>
      </c>
      <c r="R6098" t="s">
        <v>28846</v>
      </c>
      <c r="W6098" t="s">
        <v>28844</v>
      </c>
      <c r="X6098" t="s">
        <v>12059</v>
      </c>
      <c r="Y6098" t="s">
        <v>97</v>
      </c>
      <c r="Z6098" t="s">
        <v>77</v>
      </c>
      <c r="AA6098" t="str">
        <f>"10023-6406"</f>
        <v>10023-6406</v>
      </c>
      <c r="AB6098" t="s">
        <v>78</v>
      </c>
      <c r="AC6098" t="s">
        <v>79</v>
      </c>
      <c r="AD6098" t="s">
        <v>75</v>
      </c>
      <c r="AE6098" t="s">
        <v>80</v>
      </c>
      <c r="AG6098" t="s">
        <v>81</v>
      </c>
    </row>
    <row r="6099" spans="1:33" x14ac:dyDescent="0.25">
      <c r="A6099" t="str">
        <f>"1194808469"</f>
        <v>1194808469</v>
      </c>
      <c r="B6099" t="str">
        <f>"01740803"</f>
        <v>01740803</v>
      </c>
      <c r="C6099" t="s">
        <v>13436</v>
      </c>
      <c r="D6099" t="s">
        <v>28847</v>
      </c>
      <c r="E6099" t="s">
        <v>28848</v>
      </c>
      <c r="G6099" t="s">
        <v>28849</v>
      </c>
      <c r="L6099" t="s">
        <v>83</v>
      </c>
      <c r="M6099" t="s">
        <v>85</v>
      </c>
      <c r="R6099" t="s">
        <v>28850</v>
      </c>
      <c r="W6099" t="s">
        <v>28848</v>
      </c>
      <c r="X6099" t="s">
        <v>14807</v>
      </c>
      <c r="Y6099" t="s">
        <v>97</v>
      </c>
      <c r="Z6099" t="s">
        <v>77</v>
      </c>
      <c r="AA6099" t="str">
        <f>"10128-7603"</f>
        <v>10128-7603</v>
      </c>
      <c r="AB6099" t="s">
        <v>78</v>
      </c>
      <c r="AC6099" t="s">
        <v>79</v>
      </c>
      <c r="AD6099" t="s">
        <v>75</v>
      </c>
      <c r="AE6099" t="s">
        <v>80</v>
      </c>
      <c r="AG6099" t="s">
        <v>81</v>
      </c>
    </row>
    <row r="6100" spans="1:33" x14ac:dyDescent="0.25">
      <c r="A6100" t="str">
        <f>"1205829355"</f>
        <v>1205829355</v>
      </c>
      <c r="B6100" t="str">
        <f>"02420868"</f>
        <v>02420868</v>
      </c>
      <c r="C6100" t="s">
        <v>13436</v>
      </c>
      <c r="D6100" t="s">
        <v>28851</v>
      </c>
      <c r="E6100" t="s">
        <v>28852</v>
      </c>
      <c r="G6100" t="s">
        <v>28853</v>
      </c>
      <c r="L6100" t="s">
        <v>83</v>
      </c>
      <c r="M6100" t="s">
        <v>85</v>
      </c>
      <c r="R6100" t="s">
        <v>28854</v>
      </c>
      <c r="W6100" t="s">
        <v>28852</v>
      </c>
      <c r="X6100" t="s">
        <v>191</v>
      </c>
      <c r="Y6100" t="s">
        <v>97</v>
      </c>
      <c r="Z6100" t="s">
        <v>77</v>
      </c>
      <c r="AA6100" t="str">
        <f>"10019-1147"</f>
        <v>10019-1147</v>
      </c>
      <c r="AB6100" t="s">
        <v>78</v>
      </c>
      <c r="AC6100" t="s">
        <v>79</v>
      </c>
      <c r="AD6100" t="s">
        <v>75</v>
      </c>
      <c r="AE6100" t="s">
        <v>80</v>
      </c>
      <c r="AG6100" t="s">
        <v>81</v>
      </c>
    </row>
    <row r="6101" spans="1:33" x14ac:dyDescent="0.25">
      <c r="A6101" t="str">
        <f>"1053493775"</f>
        <v>1053493775</v>
      </c>
      <c r="C6101" t="s">
        <v>13436</v>
      </c>
      <c r="G6101" t="s">
        <v>28855</v>
      </c>
      <c r="K6101" t="s">
        <v>99</v>
      </c>
      <c r="L6101" t="s">
        <v>74</v>
      </c>
      <c r="M6101" t="s">
        <v>85</v>
      </c>
      <c r="R6101" t="s">
        <v>28856</v>
      </c>
      <c r="S6101" t="s">
        <v>28857</v>
      </c>
      <c r="T6101" t="s">
        <v>97</v>
      </c>
      <c r="U6101" t="s">
        <v>77</v>
      </c>
      <c r="V6101" t="str">
        <f>"100167369"</f>
        <v>100167369</v>
      </c>
      <c r="AC6101" t="s">
        <v>79</v>
      </c>
      <c r="AD6101" t="s">
        <v>75</v>
      </c>
      <c r="AE6101" t="s">
        <v>103</v>
      </c>
      <c r="AG6101" t="s">
        <v>81</v>
      </c>
    </row>
    <row r="6102" spans="1:33" x14ac:dyDescent="0.25">
      <c r="A6102" t="str">
        <f>"1508895251"</f>
        <v>1508895251</v>
      </c>
      <c r="B6102" t="str">
        <f>"00203118"</f>
        <v>00203118</v>
      </c>
      <c r="C6102" t="s">
        <v>28858</v>
      </c>
      <c r="D6102" t="s">
        <v>1248</v>
      </c>
      <c r="E6102" t="s">
        <v>1249</v>
      </c>
      <c r="G6102" t="s">
        <v>13504</v>
      </c>
      <c r="H6102" t="s">
        <v>13505</v>
      </c>
      <c r="J6102" t="s">
        <v>13506</v>
      </c>
      <c r="L6102" t="s">
        <v>84</v>
      </c>
      <c r="M6102" t="s">
        <v>85</v>
      </c>
      <c r="R6102" t="s">
        <v>1249</v>
      </c>
      <c r="W6102" t="s">
        <v>1249</v>
      </c>
      <c r="X6102" t="s">
        <v>202</v>
      </c>
      <c r="Y6102" t="s">
        <v>87</v>
      </c>
      <c r="Z6102" t="s">
        <v>77</v>
      </c>
      <c r="AA6102" t="str">
        <f>"11201-5493"</f>
        <v>11201-5493</v>
      </c>
      <c r="AB6102" t="s">
        <v>78</v>
      </c>
      <c r="AC6102" t="s">
        <v>79</v>
      </c>
      <c r="AD6102" t="s">
        <v>75</v>
      </c>
      <c r="AE6102" t="s">
        <v>80</v>
      </c>
      <c r="AG6102" t="s">
        <v>81</v>
      </c>
    </row>
    <row r="6103" spans="1:33" x14ac:dyDescent="0.25">
      <c r="A6103" t="str">
        <f>"1376518423"</f>
        <v>1376518423</v>
      </c>
      <c r="B6103" t="str">
        <f>"01056688"</f>
        <v>01056688</v>
      </c>
      <c r="C6103" t="s">
        <v>28859</v>
      </c>
      <c r="D6103" t="s">
        <v>28860</v>
      </c>
      <c r="E6103" t="s">
        <v>28861</v>
      </c>
      <c r="G6103" t="s">
        <v>13504</v>
      </c>
      <c r="H6103" t="s">
        <v>13505</v>
      </c>
      <c r="J6103" t="s">
        <v>13506</v>
      </c>
      <c r="L6103" t="s">
        <v>84</v>
      </c>
      <c r="M6103" t="s">
        <v>85</v>
      </c>
      <c r="R6103" t="s">
        <v>28862</v>
      </c>
      <c r="W6103" t="s">
        <v>28863</v>
      </c>
      <c r="X6103" t="s">
        <v>21937</v>
      </c>
      <c r="Y6103" t="s">
        <v>87</v>
      </c>
      <c r="Z6103" t="s">
        <v>77</v>
      </c>
      <c r="AA6103" t="str">
        <f>"11217-1517"</f>
        <v>11217-1517</v>
      </c>
      <c r="AB6103" t="s">
        <v>78</v>
      </c>
      <c r="AC6103" t="s">
        <v>79</v>
      </c>
      <c r="AD6103" t="s">
        <v>75</v>
      </c>
      <c r="AE6103" t="s">
        <v>80</v>
      </c>
      <c r="AG6103" t="s">
        <v>81</v>
      </c>
    </row>
    <row r="6104" spans="1:33" x14ac:dyDescent="0.25">
      <c r="A6104" t="str">
        <f>"1780617407"</f>
        <v>1780617407</v>
      </c>
      <c r="B6104" t="str">
        <f>"00205610"</f>
        <v>00205610</v>
      </c>
      <c r="C6104" t="s">
        <v>28864</v>
      </c>
      <c r="D6104" t="s">
        <v>28865</v>
      </c>
      <c r="E6104" t="s">
        <v>28866</v>
      </c>
      <c r="G6104" t="s">
        <v>13504</v>
      </c>
      <c r="H6104" t="s">
        <v>13505</v>
      </c>
      <c r="J6104" t="s">
        <v>13506</v>
      </c>
      <c r="L6104" t="s">
        <v>83</v>
      </c>
      <c r="M6104" t="s">
        <v>75</v>
      </c>
      <c r="R6104" t="s">
        <v>28867</v>
      </c>
      <c r="W6104" t="s">
        <v>28866</v>
      </c>
      <c r="X6104" t="s">
        <v>15526</v>
      </c>
      <c r="Y6104" t="s">
        <v>87</v>
      </c>
      <c r="Z6104" t="s">
        <v>77</v>
      </c>
      <c r="AA6104" t="str">
        <f>"11218-2710"</f>
        <v>11218-2710</v>
      </c>
      <c r="AB6104" t="s">
        <v>78</v>
      </c>
      <c r="AC6104" t="s">
        <v>79</v>
      </c>
      <c r="AD6104" t="s">
        <v>75</v>
      </c>
      <c r="AE6104" t="s">
        <v>80</v>
      </c>
      <c r="AG6104" t="s">
        <v>81</v>
      </c>
    </row>
    <row r="6105" spans="1:33" x14ac:dyDescent="0.25">
      <c r="A6105" t="str">
        <f>"1235229634"</f>
        <v>1235229634</v>
      </c>
      <c r="B6105" t="str">
        <f>"00212639"</f>
        <v>00212639</v>
      </c>
      <c r="C6105" t="s">
        <v>28868</v>
      </c>
      <c r="D6105" t="s">
        <v>28869</v>
      </c>
      <c r="E6105" t="s">
        <v>28870</v>
      </c>
      <c r="G6105" t="s">
        <v>13504</v>
      </c>
      <c r="H6105" t="s">
        <v>13505</v>
      </c>
      <c r="J6105" t="s">
        <v>13506</v>
      </c>
      <c r="L6105" t="s">
        <v>84</v>
      </c>
      <c r="M6105" t="s">
        <v>75</v>
      </c>
      <c r="R6105" t="s">
        <v>28871</v>
      </c>
      <c r="W6105" t="s">
        <v>28870</v>
      </c>
      <c r="X6105" t="s">
        <v>646</v>
      </c>
      <c r="Y6105" t="s">
        <v>87</v>
      </c>
      <c r="Z6105" t="s">
        <v>77</v>
      </c>
      <c r="AA6105" t="str">
        <f>"11201-5493"</f>
        <v>11201-5493</v>
      </c>
      <c r="AB6105" t="s">
        <v>78</v>
      </c>
      <c r="AC6105" t="s">
        <v>79</v>
      </c>
      <c r="AD6105" t="s">
        <v>75</v>
      </c>
      <c r="AE6105" t="s">
        <v>80</v>
      </c>
      <c r="AG6105" t="s">
        <v>81</v>
      </c>
    </row>
    <row r="6106" spans="1:33" x14ac:dyDescent="0.25">
      <c r="A6106" t="str">
        <f>"1043204068"</f>
        <v>1043204068</v>
      </c>
      <c r="B6106" t="str">
        <f>"00247347"</f>
        <v>00247347</v>
      </c>
      <c r="C6106" t="s">
        <v>28872</v>
      </c>
      <c r="D6106" t="s">
        <v>28873</v>
      </c>
      <c r="E6106" t="s">
        <v>28874</v>
      </c>
      <c r="G6106" t="s">
        <v>13504</v>
      </c>
      <c r="H6106" t="s">
        <v>13505</v>
      </c>
      <c r="J6106" t="s">
        <v>13506</v>
      </c>
      <c r="L6106" t="s">
        <v>83</v>
      </c>
      <c r="M6106" t="s">
        <v>85</v>
      </c>
      <c r="R6106" t="s">
        <v>28875</v>
      </c>
      <c r="W6106" t="s">
        <v>28876</v>
      </c>
      <c r="X6106" t="s">
        <v>28877</v>
      </c>
      <c r="Y6106" t="s">
        <v>87</v>
      </c>
      <c r="Z6106" t="s">
        <v>77</v>
      </c>
      <c r="AA6106" t="str">
        <f>"11212"</f>
        <v>11212</v>
      </c>
      <c r="AB6106" t="s">
        <v>78</v>
      </c>
      <c r="AC6106" t="s">
        <v>79</v>
      </c>
      <c r="AD6106" t="s">
        <v>75</v>
      </c>
      <c r="AE6106" t="s">
        <v>80</v>
      </c>
      <c r="AG6106" t="s">
        <v>81</v>
      </c>
    </row>
    <row r="6107" spans="1:33" x14ac:dyDescent="0.25">
      <c r="A6107" t="str">
        <f>"1831145648"</f>
        <v>1831145648</v>
      </c>
      <c r="B6107" t="str">
        <f>"00345946"</f>
        <v>00345946</v>
      </c>
      <c r="C6107" t="s">
        <v>28878</v>
      </c>
      <c r="D6107" t="s">
        <v>28879</v>
      </c>
      <c r="E6107" t="s">
        <v>28880</v>
      </c>
      <c r="G6107" t="s">
        <v>13504</v>
      </c>
      <c r="H6107" t="s">
        <v>13505</v>
      </c>
      <c r="J6107" t="s">
        <v>13506</v>
      </c>
      <c r="L6107" t="s">
        <v>84</v>
      </c>
      <c r="M6107" t="s">
        <v>75</v>
      </c>
      <c r="R6107" t="s">
        <v>28881</v>
      </c>
      <c r="W6107" t="s">
        <v>28880</v>
      </c>
      <c r="X6107" t="s">
        <v>28882</v>
      </c>
      <c r="Y6107" t="s">
        <v>87</v>
      </c>
      <c r="Z6107" t="s">
        <v>77</v>
      </c>
      <c r="AA6107" t="str">
        <f>"11215"</f>
        <v>11215</v>
      </c>
      <c r="AB6107" t="s">
        <v>78</v>
      </c>
      <c r="AC6107" t="s">
        <v>79</v>
      </c>
      <c r="AD6107" t="s">
        <v>75</v>
      </c>
      <c r="AE6107" t="s">
        <v>80</v>
      </c>
      <c r="AG6107" t="s">
        <v>81</v>
      </c>
    </row>
    <row r="6108" spans="1:33" x14ac:dyDescent="0.25">
      <c r="A6108" t="str">
        <f>"1295996957"</f>
        <v>1295996957</v>
      </c>
      <c r="B6108" t="str">
        <f>"03244364"</f>
        <v>03244364</v>
      </c>
      <c r="C6108" t="s">
        <v>28883</v>
      </c>
      <c r="D6108" t="s">
        <v>5737</v>
      </c>
      <c r="E6108" t="s">
        <v>5738</v>
      </c>
      <c r="G6108" t="s">
        <v>28883</v>
      </c>
      <c r="H6108" t="s">
        <v>28884</v>
      </c>
      <c r="J6108" t="s">
        <v>5740</v>
      </c>
      <c r="L6108" t="s">
        <v>74</v>
      </c>
      <c r="M6108" t="s">
        <v>75</v>
      </c>
      <c r="R6108" t="s">
        <v>5741</v>
      </c>
      <c r="W6108" t="s">
        <v>5738</v>
      </c>
      <c r="X6108" t="s">
        <v>5742</v>
      </c>
      <c r="Y6108" t="s">
        <v>97</v>
      </c>
      <c r="Z6108" t="s">
        <v>77</v>
      </c>
      <c r="AA6108" t="str">
        <f>"10021-4331"</f>
        <v>10021-4331</v>
      </c>
      <c r="AB6108" t="s">
        <v>78</v>
      </c>
      <c r="AC6108" t="s">
        <v>79</v>
      </c>
      <c r="AD6108" t="s">
        <v>75</v>
      </c>
      <c r="AE6108" t="s">
        <v>80</v>
      </c>
      <c r="AG6108" t="s">
        <v>81</v>
      </c>
    </row>
    <row r="6109" spans="1:33" x14ac:dyDescent="0.25">
      <c r="C6109" t="s">
        <v>28885</v>
      </c>
      <c r="G6109" t="s">
        <v>28885</v>
      </c>
      <c r="H6109" t="s">
        <v>28886</v>
      </c>
      <c r="J6109" t="s">
        <v>28887</v>
      </c>
      <c r="K6109" t="s">
        <v>206</v>
      </c>
      <c r="L6109" t="s">
        <v>100</v>
      </c>
      <c r="M6109" t="s">
        <v>75</v>
      </c>
      <c r="N6109" t="s">
        <v>18073</v>
      </c>
      <c r="O6109" t="s">
        <v>6410</v>
      </c>
      <c r="P6109" t="s">
        <v>77</v>
      </c>
      <c r="Q6109" t="str">
        <f>"10029"</f>
        <v>10029</v>
      </c>
      <c r="AC6109" t="s">
        <v>79</v>
      </c>
      <c r="AD6109" t="s">
        <v>75</v>
      </c>
      <c r="AE6109" t="s">
        <v>101</v>
      </c>
      <c r="AG6109" t="s">
        <v>81</v>
      </c>
    </row>
    <row r="6110" spans="1:33" x14ac:dyDescent="0.25">
      <c r="A6110" t="str">
        <f>"1720364128"</f>
        <v>1720364128</v>
      </c>
      <c r="B6110" t="str">
        <f>"03644511"</f>
        <v>03644511</v>
      </c>
      <c r="C6110" t="s">
        <v>13436</v>
      </c>
      <c r="D6110" t="s">
        <v>28888</v>
      </c>
      <c r="E6110" t="s">
        <v>28889</v>
      </c>
      <c r="G6110" t="s">
        <v>28890</v>
      </c>
      <c r="L6110" t="s">
        <v>74</v>
      </c>
      <c r="M6110" t="s">
        <v>85</v>
      </c>
      <c r="R6110" t="s">
        <v>28891</v>
      </c>
      <c r="W6110" t="s">
        <v>28889</v>
      </c>
      <c r="X6110" t="s">
        <v>26443</v>
      </c>
      <c r="Y6110" t="s">
        <v>97</v>
      </c>
      <c r="Z6110" t="s">
        <v>77</v>
      </c>
      <c r="AA6110" t="str">
        <f>"10032-3725"</f>
        <v>10032-3725</v>
      </c>
      <c r="AB6110" t="s">
        <v>78</v>
      </c>
      <c r="AC6110" t="s">
        <v>79</v>
      </c>
      <c r="AD6110" t="s">
        <v>75</v>
      </c>
      <c r="AE6110" t="s">
        <v>80</v>
      </c>
      <c r="AG6110" t="s">
        <v>81</v>
      </c>
    </row>
    <row r="6111" spans="1:33" x14ac:dyDescent="0.25">
      <c r="A6111" t="str">
        <f>"1730260597"</f>
        <v>1730260597</v>
      </c>
      <c r="B6111" t="str">
        <f>"02770932"</f>
        <v>02770932</v>
      </c>
      <c r="C6111" t="s">
        <v>13436</v>
      </c>
      <c r="D6111" t="s">
        <v>28892</v>
      </c>
      <c r="E6111" t="s">
        <v>28893</v>
      </c>
      <c r="G6111" t="s">
        <v>28894</v>
      </c>
      <c r="L6111" t="s">
        <v>74</v>
      </c>
      <c r="M6111" t="s">
        <v>85</v>
      </c>
      <c r="R6111" t="s">
        <v>28895</v>
      </c>
      <c r="W6111" t="s">
        <v>28893</v>
      </c>
      <c r="X6111" t="s">
        <v>225</v>
      </c>
      <c r="Y6111" t="s">
        <v>131</v>
      </c>
      <c r="Z6111" t="s">
        <v>77</v>
      </c>
      <c r="AA6111" t="str">
        <f>"10457-2545"</f>
        <v>10457-2545</v>
      </c>
      <c r="AB6111" t="s">
        <v>114</v>
      </c>
      <c r="AC6111" t="s">
        <v>79</v>
      </c>
      <c r="AD6111" t="s">
        <v>75</v>
      </c>
      <c r="AE6111" t="s">
        <v>80</v>
      </c>
      <c r="AG6111" t="s">
        <v>81</v>
      </c>
    </row>
    <row r="6112" spans="1:33" x14ac:dyDescent="0.25">
      <c r="A6112" t="str">
        <f>"1730492950"</f>
        <v>1730492950</v>
      </c>
      <c r="B6112" t="str">
        <f>"03822002"</f>
        <v>03822002</v>
      </c>
      <c r="C6112" t="s">
        <v>13436</v>
      </c>
      <c r="D6112" t="s">
        <v>28896</v>
      </c>
      <c r="E6112" t="s">
        <v>28897</v>
      </c>
      <c r="G6112" t="s">
        <v>28898</v>
      </c>
      <c r="L6112" t="s">
        <v>74</v>
      </c>
      <c r="M6112" t="s">
        <v>85</v>
      </c>
      <c r="R6112" t="s">
        <v>28899</v>
      </c>
      <c r="W6112" t="s">
        <v>28897</v>
      </c>
      <c r="X6112" t="s">
        <v>181</v>
      </c>
      <c r="Y6112" t="s">
        <v>97</v>
      </c>
      <c r="Z6112" t="s">
        <v>77</v>
      </c>
      <c r="AA6112" t="str">
        <f>"10025-1716"</f>
        <v>10025-1716</v>
      </c>
      <c r="AB6112" t="s">
        <v>78</v>
      </c>
      <c r="AC6112" t="s">
        <v>79</v>
      </c>
      <c r="AD6112" t="s">
        <v>75</v>
      </c>
      <c r="AE6112" t="s">
        <v>80</v>
      </c>
      <c r="AG6112" t="s">
        <v>81</v>
      </c>
    </row>
    <row r="6113" spans="1:33" x14ac:dyDescent="0.25">
      <c r="A6113" t="str">
        <f>"1558542381"</f>
        <v>1558542381</v>
      </c>
      <c r="B6113" t="str">
        <f>"04080728"</f>
        <v>04080728</v>
      </c>
      <c r="C6113" t="s">
        <v>13436</v>
      </c>
      <c r="D6113" t="s">
        <v>28900</v>
      </c>
      <c r="E6113" t="s">
        <v>28901</v>
      </c>
      <c r="G6113" t="s">
        <v>28902</v>
      </c>
      <c r="L6113" t="s">
        <v>74</v>
      </c>
      <c r="M6113" t="s">
        <v>85</v>
      </c>
      <c r="R6113" t="s">
        <v>28903</v>
      </c>
      <c r="W6113" t="s">
        <v>28901</v>
      </c>
      <c r="X6113" t="s">
        <v>201</v>
      </c>
      <c r="Y6113" t="s">
        <v>87</v>
      </c>
      <c r="Z6113" t="s">
        <v>77</v>
      </c>
      <c r="AA6113" t="str">
        <f>"11237-4006"</f>
        <v>11237-4006</v>
      </c>
      <c r="AB6113" t="s">
        <v>78</v>
      </c>
      <c r="AC6113" t="s">
        <v>79</v>
      </c>
      <c r="AD6113" t="s">
        <v>75</v>
      </c>
      <c r="AE6113" t="s">
        <v>80</v>
      </c>
      <c r="AG6113" t="s">
        <v>81</v>
      </c>
    </row>
    <row r="6114" spans="1:33" x14ac:dyDescent="0.25">
      <c r="A6114" t="str">
        <f>"1275808396"</f>
        <v>1275808396</v>
      </c>
      <c r="C6114" t="s">
        <v>13436</v>
      </c>
      <c r="K6114" t="s">
        <v>99</v>
      </c>
      <c r="L6114" t="s">
        <v>102</v>
      </c>
      <c r="M6114" t="s">
        <v>75</v>
      </c>
      <c r="R6114" t="s">
        <v>28904</v>
      </c>
      <c r="S6114" t="s">
        <v>28905</v>
      </c>
      <c r="T6114" t="s">
        <v>13547</v>
      </c>
      <c r="U6114" t="s">
        <v>4619</v>
      </c>
      <c r="V6114" t="str">
        <f>"352091341"</f>
        <v>352091341</v>
      </c>
      <c r="AC6114" t="s">
        <v>79</v>
      </c>
      <c r="AD6114" t="s">
        <v>75</v>
      </c>
      <c r="AE6114" t="s">
        <v>103</v>
      </c>
      <c r="AG6114" t="s">
        <v>81</v>
      </c>
    </row>
    <row r="6115" spans="1:33" x14ac:dyDescent="0.25">
      <c r="A6115" t="str">
        <f>"1275808479"</f>
        <v>1275808479</v>
      </c>
      <c r="C6115" t="s">
        <v>13436</v>
      </c>
      <c r="K6115" t="s">
        <v>99</v>
      </c>
      <c r="L6115" t="s">
        <v>102</v>
      </c>
      <c r="M6115" t="s">
        <v>75</v>
      </c>
      <c r="R6115" t="s">
        <v>28906</v>
      </c>
      <c r="S6115" t="s">
        <v>28907</v>
      </c>
      <c r="T6115" t="s">
        <v>97</v>
      </c>
      <c r="U6115" t="s">
        <v>77</v>
      </c>
      <c r="V6115" t="str">
        <f>"100296500"</f>
        <v>100296500</v>
      </c>
      <c r="AC6115" t="s">
        <v>79</v>
      </c>
      <c r="AD6115" t="s">
        <v>75</v>
      </c>
      <c r="AE6115" t="s">
        <v>103</v>
      </c>
      <c r="AG6115" t="s">
        <v>81</v>
      </c>
    </row>
    <row r="6116" spans="1:33" x14ac:dyDescent="0.25">
      <c r="A6116" t="str">
        <f>"1275809071"</f>
        <v>1275809071</v>
      </c>
      <c r="C6116" t="s">
        <v>13436</v>
      </c>
      <c r="K6116" t="s">
        <v>99</v>
      </c>
      <c r="L6116" t="s">
        <v>102</v>
      </c>
      <c r="M6116" t="s">
        <v>75</v>
      </c>
      <c r="R6116" t="s">
        <v>28908</v>
      </c>
      <c r="S6116" t="s">
        <v>12243</v>
      </c>
      <c r="T6116" t="s">
        <v>4626</v>
      </c>
      <c r="U6116" t="s">
        <v>4504</v>
      </c>
      <c r="V6116" t="str">
        <f>"029034923"</f>
        <v>029034923</v>
      </c>
      <c r="AC6116" t="s">
        <v>79</v>
      </c>
      <c r="AD6116" t="s">
        <v>75</v>
      </c>
      <c r="AE6116" t="s">
        <v>103</v>
      </c>
      <c r="AG6116" t="s">
        <v>81</v>
      </c>
    </row>
    <row r="6117" spans="1:33" x14ac:dyDescent="0.25">
      <c r="A6117" t="str">
        <f>"1275809246"</f>
        <v>1275809246</v>
      </c>
      <c r="C6117" t="s">
        <v>13436</v>
      </c>
      <c r="K6117" t="s">
        <v>99</v>
      </c>
      <c r="L6117" t="s">
        <v>102</v>
      </c>
      <c r="M6117" t="s">
        <v>75</v>
      </c>
      <c r="R6117" t="s">
        <v>28909</v>
      </c>
      <c r="S6117" t="s">
        <v>28910</v>
      </c>
      <c r="T6117" t="s">
        <v>97</v>
      </c>
      <c r="U6117" t="s">
        <v>77</v>
      </c>
      <c r="V6117" t="str">
        <f>"100191147"</f>
        <v>100191147</v>
      </c>
      <c r="AC6117" t="s">
        <v>79</v>
      </c>
      <c r="AD6117" t="s">
        <v>75</v>
      </c>
      <c r="AE6117" t="s">
        <v>103</v>
      </c>
      <c r="AG6117" t="s">
        <v>81</v>
      </c>
    </row>
    <row r="6118" spans="1:33" x14ac:dyDescent="0.25">
      <c r="A6118" t="str">
        <f>"1275810889"</f>
        <v>1275810889</v>
      </c>
      <c r="C6118" t="s">
        <v>13436</v>
      </c>
      <c r="K6118" t="s">
        <v>99</v>
      </c>
      <c r="L6118" t="s">
        <v>102</v>
      </c>
      <c r="M6118" t="s">
        <v>75</v>
      </c>
      <c r="R6118" t="s">
        <v>28911</v>
      </c>
      <c r="S6118" t="s">
        <v>181</v>
      </c>
      <c r="T6118" t="s">
        <v>97</v>
      </c>
      <c r="U6118" t="s">
        <v>77</v>
      </c>
      <c r="V6118" t="str">
        <f>"100251716"</f>
        <v>100251716</v>
      </c>
      <c r="AC6118" t="s">
        <v>79</v>
      </c>
      <c r="AD6118" t="s">
        <v>75</v>
      </c>
      <c r="AE6118" t="s">
        <v>103</v>
      </c>
      <c r="AG6118" t="s">
        <v>81</v>
      </c>
    </row>
    <row r="6119" spans="1:33" x14ac:dyDescent="0.25">
      <c r="A6119" t="str">
        <f>"1275817827"</f>
        <v>1275817827</v>
      </c>
      <c r="C6119" t="s">
        <v>13436</v>
      </c>
      <c r="K6119" t="s">
        <v>99</v>
      </c>
      <c r="L6119" t="s">
        <v>102</v>
      </c>
      <c r="M6119" t="s">
        <v>75</v>
      </c>
      <c r="R6119" t="s">
        <v>28912</v>
      </c>
      <c r="S6119" t="s">
        <v>28913</v>
      </c>
      <c r="T6119" t="s">
        <v>97</v>
      </c>
      <c r="U6119" t="s">
        <v>77</v>
      </c>
      <c r="V6119" t="str">
        <f>"100191036"</f>
        <v>100191036</v>
      </c>
      <c r="AC6119" t="s">
        <v>79</v>
      </c>
      <c r="AD6119" t="s">
        <v>75</v>
      </c>
      <c r="AE6119" t="s">
        <v>103</v>
      </c>
      <c r="AG6119" t="s">
        <v>81</v>
      </c>
    </row>
    <row r="6120" spans="1:33" x14ac:dyDescent="0.25">
      <c r="A6120" t="str">
        <f>"1275824146"</f>
        <v>1275824146</v>
      </c>
      <c r="C6120" t="s">
        <v>13436</v>
      </c>
      <c r="G6120" t="s">
        <v>28914</v>
      </c>
      <c r="K6120" t="s">
        <v>99</v>
      </c>
      <c r="L6120" t="s">
        <v>102</v>
      </c>
      <c r="M6120" t="s">
        <v>75</v>
      </c>
      <c r="R6120" t="s">
        <v>28915</v>
      </c>
      <c r="S6120" t="s">
        <v>28916</v>
      </c>
      <c r="T6120" t="s">
        <v>97</v>
      </c>
      <c r="U6120" t="s">
        <v>77</v>
      </c>
      <c r="V6120" t="str">
        <f>"100296501"</f>
        <v>100296501</v>
      </c>
      <c r="AC6120" t="s">
        <v>79</v>
      </c>
      <c r="AD6120" t="s">
        <v>75</v>
      </c>
      <c r="AE6120" t="s">
        <v>103</v>
      </c>
      <c r="AG6120" t="s">
        <v>81</v>
      </c>
    </row>
    <row r="6121" spans="1:33" x14ac:dyDescent="0.25">
      <c r="A6121" t="str">
        <f>"1275824237"</f>
        <v>1275824237</v>
      </c>
      <c r="B6121" t="str">
        <f>"04058164"</f>
        <v>04058164</v>
      </c>
      <c r="C6121" t="s">
        <v>13436</v>
      </c>
      <c r="D6121" t="s">
        <v>28917</v>
      </c>
      <c r="E6121" t="s">
        <v>28918</v>
      </c>
      <c r="L6121" t="s">
        <v>102</v>
      </c>
      <c r="M6121" t="s">
        <v>75</v>
      </c>
      <c r="R6121" t="s">
        <v>28919</v>
      </c>
      <c r="W6121" t="s">
        <v>28918</v>
      </c>
      <c r="X6121" t="s">
        <v>1010</v>
      </c>
      <c r="Y6121" t="s">
        <v>97</v>
      </c>
      <c r="Z6121" t="s">
        <v>77</v>
      </c>
      <c r="AA6121" t="str">
        <f>"10035-3832"</f>
        <v>10035-3832</v>
      </c>
      <c r="AB6121" t="s">
        <v>82</v>
      </c>
      <c r="AC6121" t="s">
        <v>79</v>
      </c>
      <c r="AD6121" t="s">
        <v>75</v>
      </c>
      <c r="AE6121" t="s">
        <v>80</v>
      </c>
      <c r="AG6121" t="s">
        <v>81</v>
      </c>
    </row>
    <row r="6122" spans="1:33" x14ac:dyDescent="0.25">
      <c r="A6122" t="str">
        <f>"1275825291"</f>
        <v>1275825291</v>
      </c>
      <c r="B6122" t="str">
        <f>"04156112"</f>
        <v>04156112</v>
      </c>
      <c r="C6122" t="s">
        <v>13436</v>
      </c>
      <c r="D6122" t="s">
        <v>28920</v>
      </c>
      <c r="E6122" t="s">
        <v>28921</v>
      </c>
      <c r="L6122" t="s">
        <v>83</v>
      </c>
      <c r="M6122" t="s">
        <v>75</v>
      </c>
      <c r="R6122" t="s">
        <v>28922</v>
      </c>
      <c r="W6122" t="s">
        <v>28921</v>
      </c>
      <c r="X6122" t="s">
        <v>204</v>
      </c>
      <c r="Y6122" t="s">
        <v>97</v>
      </c>
      <c r="Z6122" t="s">
        <v>77</v>
      </c>
      <c r="AA6122" t="str">
        <f>"10065-4870"</f>
        <v>10065-4870</v>
      </c>
      <c r="AB6122" t="s">
        <v>78</v>
      </c>
      <c r="AC6122" t="s">
        <v>79</v>
      </c>
      <c r="AD6122" t="s">
        <v>75</v>
      </c>
      <c r="AE6122" t="s">
        <v>80</v>
      </c>
      <c r="AG6122" t="s">
        <v>81</v>
      </c>
    </row>
    <row r="6123" spans="1:33" x14ac:dyDescent="0.25">
      <c r="A6123" t="str">
        <f>"1275825754"</f>
        <v>1275825754</v>
      </c>
      <c r="B6123" t="str">
        <f>"03690755"</f>
        <v>03690755</v>
      </c>
      <c r="C6123" t="s">
        <v>13436</v>
      </c>
      <c r="D6123" t="s">
        <v>28923</v>
      </c>
      <c r="E6123" t="s">
        <v>28924</v>
      </c>
      <c r="L6123" t="s">
        <v>74</v>
      </c>
      <c r="M6123" t="s">
        <v>75</v>
      </c>
      <c r="R6123" t="s">
        <v>28924</v>
      </c>
      <c r="W6123" t="s">
        <v>28924</v>
      </c>
      <c r="X6123" t="s">
        <v>329</v>
      </c>
      <c r="Y6123" t="s">
        <v>97</v>
      </c>
      <c r="Z6123" t="s">
        <v>77</v>
      </c>
      <c r="AA6123" t="str">
        <f>"10029-6574"</f>
        <v>10029-6574</v>
      </c>
      <c r="AB6123" t="s">
        <v>78</v>
      </c>
      <c r="AC6123" t="s">
        <v>79</v>
      </c>
      <c r="AD6123" t="s">
        <v>75</v>
      </c>
      <c r="AE6123" t="s">
        <v>80</v>
      </c>
      <c r="AG6123" t="s">
        <v>81</v>
      </c>
    </row>
    <row r="6124" spans="1:33" x14ac:dyDescent="0.25">
      <c r="A6124" t="str">
        <f>"1275827123"</f>
        <v>1275827123</v>
      </c>
      <c r="C6124" t="s">
        <v>13436</v>
      </c>
      <c r="G6124" t="s">
        <v>28925</v>
      </c>
      <c r="K6124" t="s">
        <v>99</v>
      </c>
      <c r="L6124" t="s">
        <v>102</v>
      </c>
      <c r="M6124" t="s">
        <v>75</v>
      </c>
      <c r="R6124" t="s">
        <v>28926</v>
      </c>
      <c r="S6124" t="s">
        <v>2838</v>
      </c>
      <c r="T6124" t="s">
        <v>97</v>
      </c>
      <c r="U6124" t="s">
        <v>77</v>
      </c>
      <c r="V6124" t="str">
        <f>"100033105"</f>
        <v>100033105</v>
      </c>
      <c r="AC6124" t="s">
        <v>79</v>
      </c>
      <c r="AD6124" t="s">
        <v>75</v>
      </c>
      <c r="AE6124" t="s">
        <v>103</v>
      </c>
      <c r="AG6124" t="s">
        <v>81</v>
      </c>
    </row>
    <row r="6125" spans="1:33" x14ac:dyDescent="0.25">
      <c r="A6125" t="str">
        <f>"1841427242"</f>
        <v>1841427242</v>
      </c>
      <c r="B6125" t="str">
        <f>"03279403"</f>
        <v>03279403</v>
      </c>
      <c r="C6125" t="s">
        <v>13436</v>
      </c>
      <c r="D6125" t="s">
        <v>28927</v>
      </c>
      <c r="E6125" t="s">
        <v>28928</v>
      </c>
      <c r="G6125" t="s">
        <v>28929</v>
      </c>
      <c r="L6125" t="s">
        <v>94</v>
      </c>
      <c r="M6125" t="s">
        <v>85</v>
      </c>
      <c r="R6125" t="s">
        <v>28930</v>
      </c>
      <c r="W6125" t="s">
        <v>28931</v>
      </c>
      <c r="X6125" t="s">
        <v>181</v>
      </c>
      <c r="Y6125" t="s">
        <v>97</v>
      </c>
      <c r="Z6125" t="s">
        <v>77</v>
      </c>
      <c r="AA6125" t="str">
        <f>"10025-1716"</f>
        <v>10025-1716</v>
      </c>
      <c r="AB6125" t="s">
        <v>78</v>
      </c>
      <c r="AC6125" t="s">
        <v>79</v>
      </c>
      <c r="AD6125" t="s">
        <v>75</v>
      </c>
      <c r="AE6125" t="s">
        <v>80</v>
      </c>
      <c r="AG6125" t="s">
        <v>81</v>
      </c>
    </row>
    <row r="6126" spans="1:33" x14ac:dyDescent="0.25">
      <c r="A6126" t="str">
        <f>"1841431764"</f>
        <v>1841431764</v>
      </c>
      <c r="C6126" t="s">
        <v>13436</v>
      </c>
      <c r="G6126" t="s">
        <v>28932</v>
      </c>
      <c r="K6126" t="s">
        <v>99</v>
      </c>
      <c r="L6126" t="s">
        <v>74</v>
      </c>
      <c r="M6126" t="s">
        <v>75</v>
      </c>
      <c r="R6126" t="s">
        <v>28933</v>
      </c>
      <c r="S6126" t="s">
        <v>28934</v>
      </c>
      <c r="T6126" t="s">
        <v>97</v>
      </c>
      <c r="U6126" t="s">
        <v>77</v>
      </c>
      <c r="V6126" t="str">
        <f>"100033314"</f>
        <v>100033314</v>
      </c>
      <c r="AC6126" t="s">
        <v>79</v>
      </c>
      <c r="AD6126" t="s">
        <v>75</v>
      </c>
      <c r="AE6126" t="s">
        <v>103</v>
      </c>
      <c r="AG6126" t="s">
        <v>81</v>
      </c>
    </row>
    <row r="6127" spans="1:33" x14ac:dyDescent="0.25">
      <c r="A6127" t="str">
        <f>"1194984914"</f>
        <v>1194984914</v>
      </c>
      <c r="B6127" t="str">
        <f>"03109551"</f>
        <v>03109551</v>
      </c>
      <c r="C6127" t="s">
        <v>13436</v>
      </c>
      <c r="D6127" t="s">
        <v>1675</v>
      </c>
      <c r="E6127" t="s">
        <v>1676</v>
      </c>
      <c r="G6127" t="s">
        <v>28935</v>
      </c>
      <c r="L6127" t="s">
        <v>83</v>
      </c>
      <c r="M6127" t="s">
        <v>85</v>
      </c>
      <c r="R6127" t="s">
        <v>1674</v>
      </c>
      <c r="W6127" t="s">
        <v>1676</v>
      </c>
      <c r="X6127" t="s">
        <v>1677</v>
      </c>
      <c r="Y6127" t="s">
        <v>316</v>
      </c>
      <c r="Z6127" t="s">
        <v>77</v>
      </c>
      <c r="AA6127" t="str">
        <f>"10801-5635"</f>
        <v>10801-5635</v>
      </c>
      <c r="AB6127" t="s">
        <v>78</v>
      </c>
      <c r="AC6127" t="s">
        <v>79</v>
      </c>
      <c r="AD6127" t="s">
        <v>75</v>
      </c>
      <c r="AE6127" t="s">
        <v>80</v>
      </c>
      <c r="AG6127" t="s">
        <v>81</v>
      </c>
    </row>
    <row r="6128" spans="1:33" x14ac:dyDescent="0.25">
      <c r="A6128" t="str">
        <f>"1194990820"</f>
        <v>1194990820</v>
      </c>
      <c r="B6128" t="str">
        <f>"03616873"</f>
        <v>03616873</v>
      </c>
      <c r="C6128" t="s">
        <v>13436</v>
      </c>
      <c r="D6128" t="s">
        <v>28936</v>
      </c>
      <c r="E6128" t="s">
        <v>28937</v>
      </c>
      <c r="L6128" t="s">
        <v>83</v>
      </c>
      <c r="M6128" t="s">
        <v>85</v>
      </c>
      <c r="R6128" t="s">
        <v>28938</v>
      </c>
      <c r="W6128" t="s">
        <v>28937</v>
      </c>
      <c r="X6128" t="s">
        <v>235</v>
      </c>
      <c r="Y6128" t="s">
        <v>236</v>
      </c>
      <c r="Z6128" t="s">
        <v>77</v>
      </c>
      <c r="AA6128" t="str">
        <f>"11102-2448"</f>
        <v>11102-2448</v>
      </c>
      <c r="AB6128" t="s">
        <v>78</v>
      </c>
      <c r="AC6128" t="s">
        <v>79</v>
      </c>
      <c r="AD6128" t="s">
        <v>75</v>
      </c>
      <c r="AE6128" t="s">
        <v>80</v>
      </c>
      <c r="AG6128" t="s">
        <v>81</v>
      </c>
    </row>
    <row r="6129" spans="1:33" x14ac:dyDescent="0.25">
      <c r="A6129" t="str">
        <f>"1205078037"</f>
        <v>1205078037</v>
      </c>
      <c r="B6129" t="str">
        <f>"04377717"</f>
        <v>04377717</v>
      </c>
      <c r="C6129" t="s">
        <v>13436</v>
      </c>
      <c r="D6129" t="s">
        <v>28939</v>
      </c>
      <c r="E6129" t="s">
        <v>28940</v>
      </c>
      <c r="L6129" t="s">
        <v>102</v>
      </c>
      <c r="M6129" t="s">
        <v>75</v>
      </c>
      <c r="R6129" t="s">
        <v>28941</v>
      </c>
      <c r="W6129" t="s">
        <v>28940</v>
      </c>
      <c r="X6129" t="s">
        <v>2945</v>
      </c>
      <c r="Y6129" t="s">
        <v>131</v>
      </c>
      <c r="Z6129" t="s">
        <v>77</v>
      </c>
      <c r="AA6129" t="str">
        <f>"10457-7703"</f>
        <v>10457-7703</v>
      </c>
      <c r="AB6129" t="s">
        <v>78</v>
      </c>
      <c r="AC6129" t="s">
        <v>79</v>
      </c>
      <c r="AD6129" t="s">
        <v>75</v>
      </c>
      <c r="AE6129" t="s">
        <v>80</v>
      </c>
      <c r="AG6129" t="s">
        <v>81</v>
      </c>
    </row>
    <row r="6130" spans="1:33" x14ac:dyDescent="0.25">
      <c r="A6130" t="str">
        <f>"1043282205"</f>
        <v>1043282205</v>
      </c>
      <c r="B6130" t="str">
        <f>"01297992"</f>
        <v>01297992</v>
      </c>
      <c r="C6130" t="s">
        <v>13436</v>
      </c>
      <c r="D6130" t="s">
        <v>28942</v>
      </c>
      <c r="E6130" t="s">
        <v>28943</v>
      </c>
      <c r="G6130" t="s">
        <v>28944</v>
      </c>
      <c r="L6130" t="s">
        <v>74</v>
      </c>
      <c r="M6130" t="s">
        <v>85</v>
      </c>
      <c r="R6130" t="s">
        <v>28945</v>
      </c>
      <c r="W6130" t="s">
        <v>28943</v>
      </c>
      <c r="X6130" t="s">
        <v>272</v>
      </c>
      <c r="Y6130" t="s">
        <v>97</v>
      </c>
      <c r="Z6130" t="s">
        <v>77</v>
      </c>
      <c r="AA6130" t="str">
        <f>"10029-6501"</f>
        <v>10029-6501</v>
      </c>
      <c r="AB6130" t="s">
        <v>78</v>
      </c>
      <c r="AC6130" t="s">
        <v>79</v>
      </c>
      <c r="AD6130" t="s">
        <v>75</v>
      </c>
      <c r="AE6130" t="s">
        <v>80</v>
      </c>
      <c r="AG6130" t="s">
        <v>81</v>
      </c>
    </row>
    <row r="6131" spans="1:33" x14ac:dyDescent="0.25">
      <c r="A6131" t="str">
        <f>"1154753499"</f>
        <v>1154753499</v>
      </c>
      <c r="B6131" t="str">
        <f>"03798583"</f>
        <v>03798583</v>
      </c>
      <c r="C6131" t="s">
        <v>13436</v>
      </c>
      <c r="D6131" t="s">
        <v>28946</v>
      </c>
      <c r="E6131" t="s">
        <v>28947</v>
      </c>
      <c r="G6131" t="s">
        <v>28948</v>
      </c>
      <c r="L6131" t="s">
        <v>102</v>
      </c>
      <c r="M6131" t="s">
        <v>75</v>
      </c>
      <c r="R6131" t="s">
        <v>28949</v>
      </c>
      <c r="W6131" t="s">
        <v>28950</v>
      </c>
      <c r="X6131" t="s">
        <v>11195</v>
      </c>
      <c r="Y6131" t="s">
        <v>97</v>
      </c>
      <c r="Z6131" t="s">
        <v>77</v>
      </c>
      <c r="AA6131" t="str">
        <f>"10029-6030"</f>
        <v>10029-6030</v>
      </c>
      <c r="AB6131" t="s">
        <v>78</v>
      </c>
      <c r="AC6131" t="s">
        <v>79</v>
      </c>
      <c r="AD6131" t="s">
        <v>75</v>
      </c>
      <c r="AE6131" t="s">
        <v>80</v>
      </c>
      <c r="AG6131" t="s">
        <v>81</v>
      </c>
    </row>
    <row r="6132" spans="1:33" x14ac:dyDescent="0.25">
      <c r="A6132" t="str">
        <f>"1356338024"</f>
        <v>1356338024</v>
      </c>
      <c r="B6132" t="str">
        <f>"03263150"</f>
        <v>03263150</v>
      </c>
      <c r="C6132" t="s">
        <v>13436</v>
      </c>
      <c r="D6132" t="s">
        <v>28951</v>
      </c>
      <c r="E6132" t="s">
        <v>28952</v>
      </c>
      <c r="L6132" t="s">
        <v>74</v>
      </c>
      <c r="M6132" t="s">
        <v>85</v>
      </c>
      <c r="R6132" t="s">
        <v>28953</v>
      </c>
      <c r="W6132" t="s">
        <v>28954</v>
      </c>
      <c r="X6132" t="s">
        <v>2603</v>
      </c>
      <c r="Y6132" t="s">
        <v>2604</v>
      </c>
      <c r="Z6132" t="s">
        <v>77</v>
      </c>
      <c r="AA6132" t="str">
        <f>"10901-4812"</f>
        <v>10901-4812</v>
      </c>
      <c r="AB6132" t="s">
        <v>78</v>
      </c>
      <c r="AC6132" t="s">
        <v>79</v>
      </c>
      <c r="AD6132" t="s">
        <v>75</v>
      </c>
      <c r="AE6132" t="s">
        <v>80</v>
      </c>
      <c r="AG6132" t="s">
        <v>81</v>
      </c>
    </row>
    <row r="6133" spans="1:33" x14ac:dyDescent="0.25">
      <c r="A6133" t="str">
        <f>"1356358980"</f>
        <v>1356358980</v>
      </c>
      <c r="B6133" t="str">
        <f>"02059305"</f>
        <v>02059305</v>
      </c>
      <c r="C6133" t="s">
        <v>13436</v>
      </c>
      <c r="D6133" t="s">
        <v>28955</v>
      </c>
      <c r="E6133" t="s">
        <v>28956</v>
      </c>
      <c r="G6133" t="s">
        <v>28957</v>
      </c>
      <c r="L6133" t="s">
        <v>84</v>
      </c>
      <c r="M6133" t="s">
        <v>85</v>
      </c>
      <c r="R6133" t="s">
        <v>28958</v>
      </c>
      <c r="W6133" t="s">
        <v>28956</v>
      </c>
      <c r="X6133" t="s">
        <v>24768</v>
      </c>
      <c r="Y6133" t="s">
        <v>97</v>
      </c>
      <c r="Z6133" t="s">
        <v>77</v>
      </c>
      <c r="AA6133" t="str">
        <f>"10128-1211"</f>
        <v>10128-1211</v>
      </c>
      <c r="AB6133" t="s">
        <v>78</v>
      </c>
      <c r="AC6133" t="s">
        <v>79</v>
      </c>
      <c r="AD6133" t="s">
        <v>75</v>
      </c>
      <c r="AE6133" t="s">
        <v>80</v>
      </c>
      <c r="AG6133" t="s">
        <v>81</v>
      </c>
    </row>
    <row r="6134" spans="1:33" x14ac:dyDescent="0.25">
      <c r="A6134" t="str">
        <f>"1356372361"</f>
        <v>1356372361</v>
      </c>
      <c r="B6134" t="str">
        <f>"00969168"</f>
        <v>00969168</v>
      </c>
      <c r="C6134" t="s">
        <v>13436</v>
      </c>
      <c r="D6134" t="s">
        <v>28959</v>
      </c>
      <c r="E6134" t="s">
        <v>28960</v>
      </c>
      <c r="G6134" t="s">
        <v>28961</v>
      </c>
      <c r="L6134" t="s">
        <v>84</v>
      </c>
      <c r="M6134" t="s">
        <v>85</v>
      </c>
      <c r="R6134" t="s">
        <v>28962</v>
      </c>
      <c r="W6134" t="s">
        <v>28963</v>
      </c>
      <c r="X6134" t="s">
        <v>28964</v>
      </c>
      <c r="Y6134" t="s">
        <v>97</v>
      </c>
      <c r="Z6134" t="s">
        <v>77</v>
      </c>
      <c r="AA6134" t="str">
        <f>"10029"</f>
        <v>10029</v>
      </c>
      <c r="AB6134" t="s">
        <v>78</v>
      </c>
      <c r="AC6134" t="s">
        <v>79</v>
      </c>
      <c r="AD6134" t="s">
        <v>75</v>
      </c>
      <c r="AE6134" t="s">
        <v>80</v>
      </c>
      <c r="AG6134" t="s">
        <v>81</v>
      </c>
    </row>
    <row r="6135" spans="1:33" x14ac:dyDescent="0.25">
      <c r="A6135" t="str">
        <f>"1356375695"</f>
        <v>1356375695</v>
      </c>
      <c r="B6135" t="str">
        <f>"03735393"</f>
        <v>03735393</v>
      </c>
      <c r="C6135" t="s">
        <v>13436</v>
      </c>
      <c r="D6135" t="s">
        <v>28965</v>
      </c>
      <c r="E6135" t="s">
        <v>28966</v>
      </c>
      <c r="L6135" t="s">
        <v>83</v>
      </c>
      <c r="M6135" t="s">
        <v>75</v>
      </c>
      <c r="R6135" t="s">
        <v>28966</v>
      </c>
      <c r="W6135" t="s">
        <v>28966</v>
      </c>
      <c r="X6135" t="s">
        <v>350</v>
      </c>
      <c r="Y6135" t="s">
        <v>131</v>
      </c>
      <c r="Z6135" t="s">
        <v>77</v>
      </c>
      <c r="AA6135" t="str">
        <f>"10451-5504"</f>
        <v>10451-5504</v>
      </c>
      <c r="AB6135" t="s">
        <v>78</v>
      </c>
      <c r="AC6135" t="s">
        <v>79</v>
      </c>
      <c r="AD6135" t="s">
        <v>75</v>
      </c>
      <c r="AE6135" t="s">
        <v>80</v>
      </c>
      <c r="AG6135" t="s">
        <v>81</v>
      </c>
    </row>
    <row r="6136" spans="1:33" x14ac:dyDescent="0.25">
      <c r="A6136" t="str">
        <f>"1356382246"</f>
        <v>1356382246</v>
      </c>
      <c r="B6136" t="str">
        <f>"01519373"</f>
        <v>01519373</v>
      </c>
      <c r="C6136" t="s">
        <v>13436</v>
      </c>
      <c r="D6136" t="s">
        <v>28967</v>
      </c>
      <c r="E6136" t="s">
        <v>28968</v>
      </c>
      <c r="G6136" t="s">
        <v>28969</v>
      </c>
      <c r="L6136" t="s">
        <v>83</v>
      </c>
      <c r="M6136" t="s">
        <v>85</v>
      </c>
      <c r="R6136" t="s">
        <v>28970</v>
      </c>
      <c r="W6136" t="s">
        <v>28968</v>
      </c>
      <c r="X6136" t="s">
        <v>28971</v>
      </c>
      <c r="Y6136" t="s">
        <v>236</v>
      </c>
      <c r="Z6136" t="s">
        <v>77</v>
      </c>
      <c r="AA6136" t="str">
        <f>"11102-3141"</f>
        <v>11102-3141</v>
      </c>
      <c r="AB6136" t="s">
        <v>78</v>
      </c>
      <c r="AC6136" t="s">
        <v>79</v>
      </c>
      <c r="AD6136" t="s">
        <v>75</v>
      </c>
      <c r="AE6136" t="s">
        <v>80</v>
      </c>
      <c r="AG6136" t="s">
        <v>81</v>
      </c>
    </row>
    <row r="6137" spans="1:33" x14ac:dyDescent="0.25">
      <c r="A6137" t="str">
        <f>"1396907515"</f>
        <v>1396907515</v>
      </c>
      <c r="B6137" t="str">
        <f>"03240939"</f>
        <v>03240939</v>
      </c>
      <c r="C6137" t="s">
        <v>13436</v>
      </c>
      <c r="D6137" t="s">
        <v>28972</v>
      </c>
      <c r="E6137" t="s">
        <v>28973</v>
      </c>
      <c r="G6137" t="s">
        <v>28974</v>
      </c>
      <c r="L6137" t="s">
        <v>83</v>
      </c>
      <c r="M6137" t="s">
        <v>85</v>
      </c>
      <c r="R6137" t="s">
        <v>28975</v>
      </c>
      <c r="W6137" t="s">
        <v>28973</v>
      </c>
      <c r="X6137" t="s">
        <v>842</v>
      </c>
      <c r="Y6137" t="s">
        <v>97</v>
      </c>
      <c r="Z6137" t="s">
        <v>77</v>
      </c>
      <c r="AA6137" t="str">
        <f>"10029-6501"</f>
        <v>10029-6501</v>
      </c>
      <c r="AB6137" t="s">
        <v>78</v>
      </c>
      <c r="AC6137" t="s">
        <v>79</v>
      </c>
      <c r="AD6137" t="s">
        <v>75</v>
      </c>
      <c r="AE6137" t="s">
        <v>80</v>
      </c>
      <c r="AG6137" t="s">
        <v>81</v>
      </c>
    </row>
    <row r="6138" spans="1:33" x14ac:dyDescent="0.25">
      <c r="A6138" t="str">
        <f>"1396909040"</f>
        <v>1396909040</v>
      </c>
      <c r="C6138" t="s">
        <v>13436</v>
      </c>
      <c r="G6138" t="s">
        <v>28976</v>
      </c>
      <c r="K6138" t="s">
        <v>99</v>
      </c>
      <c r="L6138" t="s">
        <v>102</v>
      </c>
      <c r="M6138" t="s">
        <v>75</v>
      </c>
      <c r="R6138" t="s">
        <v>28977</v>
      </c>
      <c r="S6138" t="s">
        <v>28978</v>
      </c>
      <c r="T6138" t="s">
        <v>97</v>
      </c>
      <c r="U6138" t="s">
        <v>77</v>
      </c>
      <c r="V6138" t="str">
        <f>"100296574"</f>
        <v>100296574</v>
      </c>
      <c r="AC6138" t="s">
        <v>79</v>
      </c>
      <c r="AD6138" t="s">
        <v>75</v>
      </c>
      <c r="AE6138" t="s">
        <v>103</v>
      </c>
      <c r="AG6138" t="s">
        <v>81</v>
      </c>
    </row>
    <row r="6139" spans="1:33" x14ac:dyDescent="0.25">
      <c r="A6139" t="str">
        <f>"1104967355"</f>
        <v>1104967355</v>
      </c>
      <c r="C6139" t="s">
        <v>13436</v>
      </c>
      <c r="G6139" t="s">
        <v>28979</v>
      </c>
      <c r="K6139" t="s">
        <v>99</v>
      </c>
      <c r="L6139" t="s">
        <v>102</v>
      </c>
      <c r="M6139" t="s">
        <v>75</v>
      </c>
      <c r="R6139" t="s">
        <v>28980</v>
      </c>
      <c r="S6139" t="s">
        <v>28981</v>
      </c>
      <c r="T6139" t="s">
        <v>97</v>
      </c>
      <c r="U6139" t="s">
        <v>77</v>
      </c>
      <c r="V6139" t="str">
        <f>"100296500"</f>
        <v>100296500</v>
      </c>
      <c r="AC6139" t="s">
        <v>79</v>
      </c>
      <c r="AD6139" t="s">
        <v>75</v>
      </c>
      <c r="AE6139" t="s">
        <v>103</v>
      </c>
      <c r="AG6139" t="s">
        <v>81</v>
      </c>
    </row>
    <row r="6140" spans="1:33" x14ac:dyDescent="0.25">
      <c r="A6140" t="str">
        <f>"1104997444"</f>
        <v>1104997444</v>
      </c>
      <c r="B6140" t="str">
        <f>"02316989"</f>
        <v>02316989</v>
      </c>
      <c r="C6140" t="s">
        <v>13436</v>
      </c>
      <c r="D6140" t="s">
        <v>28982</v>
      </c>
      <c r="E6140" t="s">
        <v>28983</v>
      </c>
      <c r="G6140" t="s">
        <v>28984</v>
      </c>
      <c r="L6140" t="s">
        <v>83</v>
      </c>
      <c r="M6140" t="s">
        <v>75</v>
      </c>
      <c r="R6140" t="s">
        <v>28985</v>
      </c>
      <c r="W6140" t="s">
        <v>28983</v>
      </c>
      <c r="X6140" t="s">
        <v>28986</v>
      </c>
      <c r="Y6140" t="s">
        <v>1789</v>
      </c>
      <c r="Z6140" t="s">
        <v>285</v>
      </c>
      <c r="AA6140" t="str">
        <f>"60637-1447"</f>
        <v>60637-1447</v>
      </c>
      <c r="AB6140" t="s">
        <v>78</v>
      </c>
      <c r="AC6140" t="s">
        <v>79</v>
      </c>
      <c r="AD6140" t="s">
        <v>75</v>
      </c>
      <c r="AE6140" t="s">
        <v>80</v>
      </c>
      <c r="AG6140" t="s">
        <v>81</v>
      </c>
    </row>
    <row r="6141" spans="1:33" x14ac:dyDescent="0.25">
      <c r="A6141" t="str">
        <f>"1114122553"</f>
        <v>1114122553</v>
      </c>
      <c r="B6141" t="str">
        <f>"03014977"</f>
        <v>03014977</v>
      </c>
      <c r="C6141" t="s">
        <v>13436</v>
      </c>
      <c r="D6141" t="s">
        <v>28987</v>
      </c>
      <c r="E6141" t="s">
        <v>28988</v>
      </c>
      <c r="G6141" t="s">
        <v>28989</v>
      </c>
      <c r="L6141" t="s">
        <v>74</v>
      </c>
      <c r="M6141" t="s">
        <v>75</v>
      </c>
      <c r="R6141" t="s">
        <v>28990</v>
      </c>
      <c r="W6141" t="s">
        <v>28988</v>
      </c>
      <c r="X6141" t="s">
        <v>28991</v>
      </c>
      <c r="Y6141" t="s">
        <v>97</v>
      </c>
      <c r="Z6141" t="s">
        <v>77</v>
      </c>
      <c r="AA6141" t="str">
        <f>"10016-6402"</f>
        <v>10016-6402</v>
      </c>
      <c r="AB6141" t="s">
        <v>78</v>
      </c>
      <c r="AC6141" t="s">
        <v>79</v>
      </c>
      <c r="AD6141" t="s">
        <v>75</v>
      </c>
      <c r="AE6141" t="s">
        <v>80</v>
      </c>
      <c r="AG6141" t="s">
        <v>81</v>
      </c>
    </row>
    <row r="6142" spans="1:33" x14ac:dyDescent="0.25">
      <c r="A6142" t="str">
        <f>"1114181237"</f>
        <v>1114181237</v>
      </c>
      <c r="B6142" t="str">
        <f>"03959271"</f>
        <v>03959271</v>
      </c>
      <c r="C6142" t="s">
        <v>13436</v>
      </c>
      <c r="D6142" t="s">
        <v>28992</v>
      </c>
      <c r="E6142" t="s">
        <v>28993</v>
      </c>
      <c r="G6142" t="s">
        <v>28994</v>
      </c>
      <c r="L6142" t="s">
        <v>74</v>
      </c>
      <c r="M6142" t="s">
        <v>75</v>
      </c>
      <c r="R6142" t="s">
        <v>28995</v>
      </c>
      <c r="W6142" t="s">
        <v>28993</v>
      </c>
      <c r="X6142" t="s">
        <v>329</v>
      </c>
      <c r="Y6142" t="s">
        <v>97</v>
      </c>
      <c r="Z6142" t="s">
        <v>77</v>
      </c>
      <c r="AA6142" t="str">
        <f>"10029-6504"</f>
        <v>10029-6504</v>
      </c>
      <c r="AB6142" t="s">
        <v>78</v>
      </c>
      <c r="AC6142" t="s">
        <v>79</v>
      </c>
      <c r="AD6142" t="s">
        <v>75</v>
      </c>
      <c r="AE6142" t="s">
        <v>80</v>
      </c>
      <c r="AG6142" t="s">
        <v>81</v>
      </c>
    </row>
    <row r="6143" spans="1:33" x14ac:dyDescent="0.25">
      <c r="A6143" t="str">
        <f>"1285721662"</f>
        <v>1285721662</v>
      </c>
      <c r="B6143" t="str">
        <f>"00968589"</f>
        <v>00968589</v>
      </c>
      <c r="C6143" t="s">
        <v>13436</v>
      </c>
      <c r="D6143" t="s">
        <v>28996</v>
      </c>
      <c r="E6143" t="s">
        <v>28997</v>
      </c>
      <c r="G6143" t="s">
        <v>28998</v>
      </c>
      <c r="L6143" t="s">
        <v>83</v>
      </c>
      <c r="M6143" t="s">
        <v>75</v>
      </c>
      <c r="R6143" t="s">
        <v>28999</v>
      </c>
      <c r="W6143" t="s">
        <v>29000</v>
      </c>
      <c r="X6143" t="s">
        <v>2838</v>
      </c>
      <c r="Y6143" t="s">
        <v>97</v>
      </c>
      <c r="Z6143" t="s">
        <v>77</v>
      </c>
      <c r="AA6143" t="str">
        <f>"10003-3105"</f>
        <v>10003-3105</v>
      </c>
      <c r="AB6143" t="s">
        <v>78</v>
      </c>
      <c r="AC6143" t="s">
        <v>79</v>
      </c>
      <c r="AD6143" t="s">
        <v>75</v>
      </c>
      <c r="AE6143" t="s">
        <v>80</v>
      </c>
      <c r="AG6143" t="s">
        <v>81</v>
      </c>
    </row>
    <row r="6144" spans="1:33" x14ac:dyDescent="0.25">
      <c r="A6144" t="str">
        <f>"1285876557"</f>
        <v>1285876557</v>
      </c>
      <c r="B6144" t="str">
        <f>"03595782"</f>
        <v>03595782</v>
      </c>
      <c r="C6144" t="s">
        <v>13436</v>
      </c>
      <c r="D6144" t="s">
        <v>29001</v>
      </c>
      <c r="E6144" t="s">
        <v>29002</v>
      </c>
      <c r="G6144" t="s">
        <v>29003</v>
      </c>
      <c r="L6144" t="s">
        <v>105</v>
      </c>
      <c r="M6144" t="s">
        <v>85</v>
      </c>
      <c r="R6144" t="s">
        <v>29004</v>
      </c>
      <c r="W6144" t="s">
        <v>29002</v>
      </c>
      <c r="X6144" t="s">
        <v>2831</v>
      </c>
      <c r="Y6144" t="s">
        <v>97</v>
      </c>
      <c r="Z6144" t="s">
        <v>77</v>
      </c>
      <c r="AA6144" t="str">
        <f>"10029-6504"</f>
        <v>10029-6504</v>
      </c>
      <c r="AB6144" t="s">
        <v>78</v>
      </c>
      <c r="AC6144" t="s">
        <v>79</v>
      </c>
      <c r="AD6144" t="s">
        <v>75</v>
      </c>
      <c r="AE6144" t="s">
        <v>80</v>
      </c>
      <c r="AG6144" t="s">
        <v>81</v>
      </c>
    </row>
    <row r="6145" spans="1:33" x14ac:dyDescent="0.25">
      <c r="A6145" t="str">
        <f>"1275725723"</f>
        <v>1275725723</v>
      </c>
      <c r="B6145" t="str">
        <f>"03824628"</f>
        <v>03824628</v>
      </c>
      <c r="C6145" t="s">
        <v>13436</v>
      </c>
      <c r="D6145" t="s">
        <v>29005</v>
      </c>
      <c r="E6145" t="s">
        <v>29006</v>
      </c>
      <c r="G6145" t="s">
        <v>29007</v>
      </c>
      <c r="L6145" t="s">
        <v>74</v>
      </c>
      <c r="M6145" t="s">
        <v>85</v>
      </c>
      <c r="R6145" t="s">
        <v>29006</v>
      </c>
      <c r="W6145" t="s">
        <v>29006</v>
      </c>
      <c r="X6145" t="s">
        <v>29008</v>
      </c>
      <c r="Y6145" t="s">
        <v>97</v>
      </c>
      <c r="Z6145" t="s">
        <v>77</v>
      </c>
      <c r="AA6145" t="str">
        <f>"10003-4704"</f>
        <v>10003-4704</v>
      </c>
      <c r="AB6145" t="s">
        <v>78</v>
      </c>
      <c r="AC6145" t="s">
        <v>79</v>
      </c>
      <c r="AD6145" t="s">
        <v>75</v>
      </c>
      <c r="AE6145" t="s">
        <v>80</v>
      </c>
      <c r="AG6145" t="s">
        <v>81</v>
      </c>
    </row>
    <row r="6146" spans="1:33" x14ac:dyDescent="0.25">
      <c r="A6146" t="str">
        <f>"1285743195"</f>
        <v>1285743195</v>
      </c>
      <c r="B6146" t="str">
        <f>"00629410"</f>
        <v>00629410</v>
      </c>
      <c r="C6146" t="s">
        <v>13436</v>
      </c>
      <c r="D6146" t="s">
        <v>29009</v>
      </c>
      <c r="E6146" t="s">
        <v>29010</v>
      </c>
      <c r="G6146" t="s">
        <v>29011</v>
      </c>
      <c r="L6146" t="s">
        <v>83</v>
      </c>
      <c r="M6146" t="s">
        <v>85</v>
      </c>
      <c r="R6146" t="s">
        <v>29012</v>
      </c>
      <c r="W6146" t="s">
        <v>29010</v>
      </c>
      <c r="X6146" t="s">
        <v>29013</v>
      </c>
      <c r="Y6146" t="s">
        <v>97</v>
      </c>
      <c r="Z6146" t="s">
        <v>77</v>
      </c>
      <c r="AA6146" t="str">
        <f>"10019"</f>
        <v>10019</v>
      </c>
      <c r="AB6146" t="s">
        <v>78</v>
      </c>
      <c r="AC6146" t="s">
        <v>79</v>
      </c>
      <c r="AD6146" t="s">
        <v>75</v>
      </c>
      <c r="AE6146" t="s">
        <v>80</v>
      </c>
      <c r="AG6146" t="s">
        <v>81</v>
      </c>
    </row>
    <row r="6147" spans="1:33" x14ac:dyDescent="0.25">
      <c r="A6147" t="str">
        <f>"1295828911"</f>
        <v>1295828911</v>
      </c>
      <c r="B6147" t="str">
        <f>"01143402"</f>
        <v>01143402</v>
      </c>
      <c r="C6147" t="s">
        <v>13436</v>
      </c>
      <c r="D6147" t="s">
        <v>29014</v>
      </c>
      <c r="E6147" t="s">
        <v>29015</v>
      </c>
      <c r="G6147" t="s">
        <v>29016</v>
      </c>
      <c r="L6147" t="s">
        <v>105</v>
      </c>
      <c r="M6147" t="s">
        <v>85</v>
      </c>
      <c r="R6147" t="s">
        <v>29017</v>
      </c>
      <c r="W6147" t="s">
        <v>29015</v>
      </c>
      <c r="X6147" t="s">
        <v>22773</v>
      </c>
      <c r="Y6147" t="s">
        <v>97</v>
      </c>
      <c r="Z6147" t="s">
        <v>77</v>
      </c>
      <c r="AA6147" t="str">
        <f>"10016-5441"</f>
        <v>10016-5441</v>
      </c>
      <c r="AB6147" t="s">
        <v>78</v>
      </c>
      <c r="AC6147" t="s">
        <v>79</v>
      </c>
      <c r="AD6147" t="s">
        <v>75</v>
      </c>
      <c r="AE6147" t="s">
        <v>80</v>
      </c>
      <c r="AG6147" t="s">
        <v>81</v>
      </c>
    </row>
    <row r="6148" spans="1:33" x14ac:dyDescent="0.25">
      <c r="A6148" t="str">
        <f>"1295888642"</f>
        <v>1295888642</v>
      </c>
      <c r="B6148" t="str">
        <f>"01962005"</f>
        <v>01962005</v>
      </c>
      <c r="C6148" t="s">
        <v>13436</v>
      </c>
      <c r="D6148" t="s">
        <v>29018</v>
      </c>
      <c r="E6148" t="s">
        <v>29019</v>
      </c>
      <c r="G6148" t="s">
        <v>29020</v>
      </c>
      <c r="L6148" t="s">
        <v>74</v>
      </c>
      <c r="M6148" t="s">
        <v>85</v>
      </c>
      <c r="R6148" t="s">
        <v>29021</v>
      </c>
      <c r="W6148" t="s">
        <v>29019</v>
      </c>
      <c r="X6148" t="s">
        <v>29022</v>
      </c>
      <c r="Y6148" t="s">
        <v>1838</v>
      </c>
      <c r="Z6148" t="s">
        <v>77</v>
      </c>
      <c r="AA6148" t="str">
        <f>"12524-1120"</f>
        <v>12524-1120</v>
      </c>
      <c r="AB6148" t="s">
        <v>78</v>
      </c>
      <c r="AC6148" t="s">
        <v>79</v>
      </c>
      <c r="AD6148" t="s">
        <v>75</v>
      </c>
      <c r="AE6148" t="s">
        <v>80</v>
      </c>
      <c r="AG6148" t="s">
        <v>81</v>
      </c>
    </row>
    <row r="6149" spans="1:33" x14ac:dyDescent="0.25">
      <c r="A6149" t="str">
        <f>"1306869086"</f>
        <v>1306869086</v>
      </c>
      <c r="B6149" t="str">
        <f>"02407023"</f>
        <v>02407023</v>
      </c>
      <c r="C6149" t="s">
        <v>13436</v>
      </c>
      <c r="D6149" t="s">
        <v>29023</v>
      </c>
      <c r="E6149" t="s">
        <v>29024</v>
      </c>
      <c r="G6149" t="s">
        <v>29025</v>
      </c>
      <c r="L6149" t="s">
        <v>74</v>
      </c>
      <c r="M6149" t="s">
        <v>85</v>
      </c>
      <c r="R6149" t="s">
        <v>29026</v>
      </c>
      <c r="W6149" t="s">
        <v>29024</v>
      </c>
      <c r="X6149" t="s">
        <v>2587</v>
      </c>
      <c r="Y6149" t="s">
        <v>97</v>
      </c>
      <c r="Z6149" t="s">
        <v>77</v>
      </c>
      <c r="AA6149" t="str">
        <f>"10003-3314"</f>
        <v>10003-3314</v>
      </c>
      <c r="AB6149" t="s">
        <v>78</v>
      </c>
      <c r="AC6149" t="s">
        <v>79</v>
      </c>
      <c r="AD6149" t="s">
        <v>75</v>
      </c>
      <c r="AE6149" t="s">
        <v>80</v>
      </c>
      <c r="AG6149" t="s">
        <v>81</v>
      </c>
    </row>
    <row r="6150" spans="1:33" x14ac:dyDescent="0.25">
      <c r="A6150" t="str">
        <f>"1326159526"</f>
        <v>1326159526</v>
      </c>
      <c r="B6150" t="str">
        <f>"01156596"</f>
        <v>01156596</v>
      </c>
      <c r="C6150" t="s">
        <v>13436</v>
      </c>
      <c r="D6150" t="s">
        <v>29027</v>
      </c>
      <c r="E6150" t="s">
        <v>29028</v>
      </c>
      <c r="G6150" t="s">
        <v>29029</v>
      </c>
      <c r="L6150" t="s">
        <v>83</v>
      </c>
      <c r="M6150" t="s">
        <v>85</v>
      </c>
      <c r="R6150" t="s">
        <v>29030</v>
      </c>
      <c r="W6150" t="s">
        <v>29028</v>
      </c>
      <c r="X6150" t="s">
        <v>29031</v>
      </c>
      <c r="Y6150" t="s">
        <v>97</v>
      </c>
      <c r="Z6150" t="s">
        <v>77</v>
      </c>
      <c r="AA6150" t="str">
        <f>"10025"</f>
        <v>10025</v>
      </c>
      <c r="AB6150" t="s">
        <v>78</v>
      </c>
      <c r="AC6150" t="s">
        <v>79</v>
      </c>
      <c r="AD6150" t="s">
        <v>75</v>
      </c>
      <c r="AE6150" t="s">
        <v>80</v>
      </c>
      <c r="AG6150" t="s">
        <v>81</v>
      </c>
    </row>
    <row r="6151" spans="1:33" x14ac:dyDescent="0.25">
      <c r="A6151" t="str">
        <f>"1336132018"</f>
        <v>1336132018</v>
      </c>
      <c r="B6151" t="str">
        <f>"01362270"</f>
        <v>01362270</v>
      </c>
      <c r="C6151" t="s">
        <v>13436</v>
      </c>
      <c r="D6151" t="s">
        <v>29032</v>
      </c>
      <c r="E6151" t="s">
        <v>29033</v>
      </c>
      <c r="G6151" t="s">
        <v>29034</v>
      </c>
      <c r="L6151" t="s">
        <v>83</v>
      </c>
      <c r="M6151" t="s">
        <v>85</v>
      </c>
      <c r="R6151" t="s">
        <v>29035</v>
      </c>
      <c r="W6151" t="s">
        <v>29033</v>
      </c>
      <c r="X6151" t="s">
        <v>3286</v>
      </c>
      <c r="Y6151" t="s">
        <v>97</v>
      </c>
      <c r="Z6151" t="s">
        <v>77</v>
      </c>
      <c r="AA6151" t="str">
        <f>"10023-6406"</f>
        <v>10023-6406</v>
      </c>
      <c r="AB6151" t="s">
        <v>78</v>
      </c>
      <c r="AC6151" t="s">
        <v>79</v>
      </c>
      <c r="AD6151" t="s">
        <v>75</v>
      </c>
      <c r="AE6151" t="s">
        <v>80</v>
      </c>
      <c r="AG6151" t="s">
        <v>81</v>
      </c>
    </row>
    <row r="6152" spans="1:33" x14ac:dyDescent="0.25">
      <c r="A6152" t="str">
        <f>"1346231859"</f>
        <v>1346231859</v>
      </c>
      <c r="B6152" t="str">
        <f>"02041743"</f>
        <v>02041743</v>
      </c>
      <c r="C6152" t="s">
        <v>13436</v>
      </c>
      <c r="D6152" t="s">
        <v>4735</v>
      </c>
      <c r="E6152" t="s">
        <v>4736</v>
      </c>
      <c r="G6152" t="s">
        <v>29036</v>
      </c>
      <c r="L6152" t="s">
        <v>83</v>
      </c>
      <c r="M6152" t="s">
        <v>85</v>
      </c>
      <c r="R6152" t="s">
        <v>4737</v>
      </c>
      <c r="W6152" t="s">
        <v>4736</v>
      </c>
      <c r="Y6152" t="s">
        <v>97</v>
      </c>
      <c r="Z6152" t="s">
        <v>77</v>
      </c>
      <c r="AA6152" t="str">
        <f>"10003-3314"</f>
        <v>10003-3314</v>
      </c>
      <c r="AB6152" t="s">
        <v>78</v>
      </c>
      <c r="AC6152" t="s">
        <v>79</v>
      </c>
      <c r="AD6152" t="s">
        <v>75</v>
      </c>
      <c r="AE6152" t="s">
        <v>80</v>
      </c>
      <c r="AG6152" t="s">
        <v>81</v>
      </c>
    </row>
    <row r="6153" spans="1:33" x14ac:dyDescent="0.25">
      <c r="A6153" t="str">
        <f>"1982698106"</f>
        <v>1982698106</v>
      </c>
      <c r="B6153" t="str">
        <f>"01935831"</f>
        <v>01935831</v>
      </c>
      <c r="C6153" t="s">
        <v>13436</v>
      </c>
      <c r="D6153" t="s">
        <v>29037</v>
      </c>
      <c r="E6153" t="s">
        <v>29038</v>
      </c>
      <c r="G6153" t="s">
        <v>29039</v>
      </c>
      <c r="L6153" t="s">
        <v>74</v>
      </c>
      <c r="M6153" t="s">
        <v>85</v>
      </c>
      <c r="R6153" t="s">
        <v>29040</v>
      </c>
      <c r="W6153" t="s">
        <v>29041</v>
      </c>
      <c r="X6153" t="s">
        <v>6079</v>
      </c>
      <c r="Y6153" t="s">
        <v>97</v>
      </c>
      <c r="Z6153" t="s">
        <v>77</v>
      </c>
      <c r="AA6153" t="str">
        <f>"10016-4910"</f>
        <v>10016-4910</v>
      </c>
      <c r="AB6153" t="s">
        <v>78</v>
      </c>
      <c r="AC6153" t="s">
        <v>79</v>
      </c>
      <c r="AD6153" t="s">
        <v>75</v>
      </c>
      <c r="AE6153" t="s">
        <v>80</v>
      </c>
      <c r="AG6153" t="s">
        <v>81</v>
      </c>
    </row>
    <row r="6154" spans="1:33" x14ac:dyDescent="0.25">
      <c r="A6154" t="str">
        <f>"1982698577"</f>
        <v>1982698577</v>
      </c>
      <c r="B6154" t="str">
        <f>"02570607"</f>
        <v>02570607</v>
      </c>
      <c r="C6154" t="s">
        <v>13436</v>
      </c>
      <c r="D6154" t="s">
        <v>29042</v>
      </c>
      <c r="E6154" t="s">
        <v>29043</v>
      </c>
      <c r="G6154" t="s">
        <v>29044</v>
      </c>
      <c r="L6154" t="s">
        <v>83</v>
      </c>
      <c r="M6154" t="s">
        <v>85</v>
      </c>
      <c r="R6154" t="s">
        <v>29045</v>
      </c>
      <c r="W6154" t="s">
        <v>29043</v>
      </c>
      <c r="X6154" t="s">
        <v>1076</v>
      </c>
      <c r="Y6154" t="s">
        <v>97</v>
      </c>
      <c r="Z6154" t="s">
        <v>77</v>
      </c>
      <c r="AA6154" t="str">
        <f>"10025-1737"</f>
        <v>10025-1737</v>
      </c>
      <c r="AB6154" t="s">
        <v>78</v>
      </c>
      <c r="AC6154" t="s">
        <v>79</v>
      </c>
      <c r="AD6154" t="s">
        <v>75</v>
      </c>
      <c r="AE6154" t="s">
        <v>80</v>
      </c>
      <c r="AG6154" t="s">
        <v>81</v>
      </c>
    </row>
    <row r="6155" spans="1:33" x14ac:dyDescent="0.25">
      <c r="A6155" t="str">
        <f>"1982698601"</f>
        <v>1982698601</v>
      </c>
      <c r="B6155" t="str">
        <f>"01496148"</f>
        <v>01496148</v>
      </c>
      <c r="C6155" t="s">
        <v>13436</v>
      </c>
      <c r="D6155" t="s">
        <v>29046</v>
      </c>
      <c r="E6155" t="s">
        <v>29047</v>
      </c>
      <c r="G6155" t="s">
        <v>29048</v>
      </c>
      <c r="L6155" t="s">
        <v>74</v>
      </c>
      <c r="M6155" t="s">
        <v>85</v>
      </c>
      <c r="R6155" t="s">
        <v>29049</v>
      </c>
      <c r="W6155" t="s">
        <v>29047</v>
      </c>
      <c r="X6155" t="s">
        <v>181</v>
      </c>
      <c r="Y6155" t="s">
        <v>97</v>
      </c>
      <c r="Z6155" t="s">
        <v>77</v>
      </c>
      <c r="AA6155" t="str">
        <f>"10025-1716"</f>
        <v>10025-1716</v>
      </c>
      <c r="AB6155" t="s">
        <v>78</v>
      </c>
      <c r="AC6155" t="s">
        <v>79</v>
      </c>
      <c r="AD6155" t="s">
        <v>75</v>
      </c>
      <c r="AE6155" t="s">
        <v>80</v>
      </c>
      <c r="AG6155" t="s">
        <v>81</v>
      </c>
    </row>
    <row r="6156" spans="1:33" x14ac:dyDescent="0.25">
      <c r="A6156" t="str">
        <f>"1982745832"</f>
        <v>1982745832</v>
      </c>
      <c r="B6156" t="str">
        <f>"00964076"</f>
        <v>00964076</v>
      </c>
      <c r="C6156" t="s">
        <v>13436</v>
      </c>
      <c r="D6156" t="s">
        <v>3610</v>
      </c>
      <c r="E6156" t="s">
        <v>3611</v>
      </c>
      <c r="G6156" t="s">
        <v>29050</v>
      </c>
      <c r="L6156" t="s">
        <v>84</v>
      </c>
      <c r="M6156" t="s">
        <v>85</v>
      </c>
      <c r="R6156" t="s">
        <v>3612</v>
      </c>
      <c r="W6156" t="s">
        <v>3611</v>
      </c>
      <c r="X6156" t="s">
        <v>3613</v>
      </c>
      <c r="Y6156" t="s">
        <v>97</v>
      </c>
      <c r="Z6156" t="s">
        <v>77</v>
      </c>
      <c r="AA6156" t="str">
        <f>"10031-4701"</f>
        <v>10031-4701</v>
      </c>
      <c r="AB6156" t="s">
        <v>78</v>
      </c>
      <c r="AC6156" t="s">
        <v>79</v>
      </c>
      <c r="AD6156" t="s">
        <v>75</v>
      </c>
      <c r="AE6156" t="s">
        <v>80</v>
      </c>
      <c r="AG6156" t="s">
        <v>81</v>
      </c>
    </row>
    <row r="6157" spans="1:33" x14ac:dyDescent="0.25">
      <c r="A6157" t="str">
        <f>"1609951128"</f>
        <v>1609951128</v>
      </c>
      <c r="B6157" t="str">
        <f>"01717477"</f>
        <v>01717477</v>
      </c>
      <c r="C6157" t="s">
        <v>13436</v>
      </c>
      <c r="D6157" t="s">
        <v>29051</v>
      </c>
      <c r="E6157" t="s">
        <v>29052</v>
      </c>
      <c r="L6157" t="s">
        <v>105</v>
      </c>
      <c r="M6157" t="s">
        <v>75</v>
      </c>
      <c r="R6157" t="s">
        <v>29053</v>
      </c>
      <c r="W6157" t="s">
        <v>29052</v>
      </c>
      <c r="X6157" t="s">
        <v>593</v>
      </c>
      <c r="Y6157" t="s">
        <v>97</v>
      </c>
      <c r="Z6157" t="s">
        <v>77</v>
      </c>
      <c r="AA6157" t="str">
        <f>"10075-1850"</f>
        <v>10075-1850</v>
      </c>
      <c r="AB6157" t="s">
        <v>78</v>
      </c>
      <c r="AC6157" t="s">
        <v>79</v>
      </c>
      <c r="AD6157" t="s">
        <v>75</v>
      </c>
      <c r="AE6157" t="s">
        <v>80</v>
      </c>
      <c r="AG6157" t="s">
        <v>81</v>
      </c>
    </row>
    <row r="6158" spans="1:33" x14ac:dyDescent="0.25">
      <c r="A6158" t="str">
        <f>"1619014438"</f>
        <v>1619014438</v>
      </c>
      <c r="B6158" t="str">
        <f>"03994341"</f>
        <v>03994341</v>
      </c>
      <c r="C6158" t="s">
        <v>13436</v>
      </c>
      <c r="D6158" t="s">
        <v>29054</v>
      </c>
      <c r="E6158" t="s">
        <v>29055</v>
      </c>
      <c r="L6158" t="s">
        <v>102</v>
      </c>
      <c r="M6158" t="s">
        <v>75</v>
      </c>
      <c r="R6158" t="s">
        <v>29056</v>
      </c>
      <c r="W6158" t="s">
        <v>29055</v>
      </c>
      <c r="X6158" t="s">
        <v>29057</v>
      </c>
      <c r="Y6158" t="s">
        <v>97</v>
      </c>
      <c r="Z6158" t="s">
        <v>77</v>
      </c>
      <c r="AA6158" t="str">
        <f>"10029"</f>
        <v>10029</v>
      </c>
      <c r="AB6158" t="s">
        <v>78</v>
      </c>
      <c r="AC6158" t="s">
        <v>79</v>
      </c>
      <c r="AD6158" t="s">
        <v>75</v>
      </c>
      <c r="AE6158" t="s">
        <v>80</v>
      </c>
      <c r="AG6158" t="s">
        <v>81</v>
      </c>
    </row>
    <row r="6159" spans="1:33" x14ac:dyDescent="0.25">
      <c r="A6159" t="str">
        <f>"1578544458"</f>
        <v>1578544458</v>
      </c>
      <c r="B6159" t="str">
        <f>"01494146"</f>
        <v>01494146</v>
      </c>
      <c r="C6159" t="s">
        <v>13436</v>
      </c>
      <c r="D6159" t="s">
        <v>29058</v>
      </c>
      <c r="E6159" t="s">
        <v>29059</v>
      </c>
      <c r="G6159" t="s">
        <v>29060</v>
      </c>
      <c r="L6159" t="s">
        <v>83</v>
      </c>
      <c r="M6159" t="s">
        <v>85</v>
      </c>
      <c r="R6159" t="s">
        <v>29059</v>
      </c>
      <c r="W6159" t="s">
        <v>29059</v>
      </c>
      <c r="X6159" t="s">
        <v>14871</v>
      </c>
      <c r="Y6159" t="s">
        <v>97</v>
      </c>
      <c r="Z6159" t="s">
        <v>77</v>
      </c>
      <c r="AA6159" t="str">
        <f>"10003"</f>
        <v>10003</v>
      </c>
      <c r="AB6159" t="s">
        <v>114</v>
      </c>
      <c r="AC6159" t="s">
        <v>79</v>
      </c>
      <c r="AD6159" t="s">
        <v>75</v>
      </c>
      <c r="AE6159" t="s">
        <v>80</v>
      </c>
      <c r="AG6159" t="s">
        <v>81</v>
      </c>
    </row>
    <row r="6160" spans="1:33" x14ac:dyDescent="0.25">
      <c r="A6160" t="str">
        <f>"1386655405"</f>
        <v>1386655405</v>
      </c>
      <c r="B6160" t="str">
        <f>"01724643"</f>
        <v>01724643</v>
      </c>
      <c r="C6160" t="s">
        <v>13436</v>
      </c>
      <c r="D6160" t="s">
        <v>29061</v>
      </c>
      <c r="E6160" t="s">
        <v>29062</v>
      </c>
      <c r="L6160" t="s">
        <v>83</v>
      </c>
      <c r="M6160" t="s">
        <v>75</v>
      </c>
      <c r="R6160" t="s">
        <v>29063</v>
      </c>
      <c r="W6160" t="s">
        <v>29062</v>
      </c>
      <c r="X6160" t="s">
        <v>187</v>
      </c>
      <c r="Y6160" t="s">
        <v>161</v>
      </c>
      <c r="Z6160" t="s">
        <v>77</v>
      </c>
      <c r="AA6160" t="str">
        <f>"11040-1402"</f>
        <v>11040-1402</v>
      </c>
      <c r="AB6160" t="s">
        <v>78</v>
      </c>
      <c r="AC6160" t="s">
        <v>79</v>
      </c>
      <c r="AD6160" t="s">
        <v>75</v>
      </c>
      <c r="AE6160" t="s">
        <v>80</v>
      </c>
      <c r="AG6160" t="s">
        <v>81</v>
      </c>
    </row>
    <row r="6161" spans="1:33" x14ac:dyDescent="0.25">
      <c r="A6161" t="str">
        <f>"1386663235"</f>
        <v>1386663235</v>
      </c>
      <c r="B6161" t="str">
        <f>"01082879"</f>
        <v>01082879</v>
      </c>
      <c r="C6161" t="s">
        <v>13436</v>
      </c>
      <c r="D6161" t="s">
        <v>29064</v>
      </c>
      <c r="E6161" t="s">
        <v>29065</v>
      </c>
      <c r="G6161" t="s">
        <v>29066</v>
      </c>
      <c r="L6161" t="s">
        <v>74</v>
      </c>
      <c r="M6161" t="s">
        <v>85</v>
      </c>
      <c r="R6161" t="s">
        <v>29067</v>
      </c>
      <c r="W6161" t="s">
        <v>29068</v>
      </c>
      <c r="X6161" t="s">
        <v>26712</v>
      </c>
      <c r="Y6161" t="s">
        <v>97</v>
      </c>
      <c r="Z6161" t="s">
        <v>77</v>
      </c>
      <c r="AA6161" t="str">
        <f>"10024-6003"</f>
        <v>10024-6003</v>
      </c>
      <c r="AB6161" t="s">
        <v>78</v>
      </c>
      <c r="AC6161" t="s">
        <v>79</v>
      </c>
      <c r="AD6161" t="s">
        <v>75</v>
      </c>
      <c r="AE6161" t="s">
        <v>80</v>
      </c>
      <c r="AG6161" t="s">
        <v>81</v>
      </c>
    </row>
    <row r="6162" spans="1:33" x14ac:dyDescent="0.25">
      <c r="A6162" t="str">
        <f>"1467795377"</f>
        <v>1467795377</v>
      </c>
      <c r="B6162" t="str">
        <f>"04602360"</f>
        <v>04602360</v>
      </c>
      <c r="C6162" t="s">
        <v>13436</v>
      </c>
      <c r="D6162" t="s">
        <v>29069</v>
      </c>
      <c r="E6162" t="s">
        <v>29070</v>
      </c>
      <c r="L6162" t="s">
        <v>102</v>
      </c>
      <c r="M6162" t="s">
        <v>75</v>
      </c>
      <c r="R6162" t="s">
        <v>29070</v>
      </c>
      <c r="W6162" t="s">
        <v>29071</v>
      </c>
      <c r="AB6162" t="s">
        <v>78</v>
      </c>
      <c r="AC6162" t="s">
        <v>79</v>
      </c>
      <c r="AD6162" t="s">
        <v>75</v>
      </c>
      <c r="AE6162" t="s">
        <v>80</v>
      </c>
      <c r="AG6162" t="s">
        <v>81</v>
      </c>
    </row>
    <row r="6163" spans="1:33" x14ac:dyDescent="0.25">
      <c r="A6163" t="str">
        <f>"1073573937"</f>
        <v>1073573937</v>
      </c>
      <c r="B6163" t="str">
        <f>"00726210"</f>
        <v>00726210</v>
      </c>
      <c r="C6163" t="s">
        <v>13436</v>
      </c>
      <c r="D6163" t="s">
        <v>29072</v>
      </c>
      <c r="E6163" t="s">
        <v>29073</v>
      </c>
      <c r="G6163" t="s">
        <v>29074</v>
      </c>
      <c r="L6163" t="s">
        <v>83</v>
      </c>
      <c r="M6163" t="s">
        <v>85</v>
      </c>
      <c r="R6163" t="s">
        <v>29075</v>
      </c>
      <c r="W6163" t="s">
        <v>29073</v>
      </c>
      <c r="X6163" t="s">
        <v>25552</v>
      </c>
      <c r="Y6163" t="s">
        <v>97</v>
      </c>
      <c r="Z6163" t="s">
        <v>77</v>
      </c>
      <c r="AA6163" t="str">
        <f>"10029-6501"</f>
        <v>10029-6501</v>
      </c>
      <c r="AB6163" t="s">
        <v>78</v>
      </c>
      <c r="AC6163" t="s">
        <v>79</v>
      </c>
      <c r="AD6163" t="s">
        <v>75</v>
      </c>
      <c r="AE6163" t="s">
        <v>80</v>
      </c>
      <c r="AG6163" t="s">
        <v>81</v>
      </c>
    </row>
    <row r="6164" spans="1:33" x14ac:dyDescent="0.25">
      <c r="A6164" t="str">
        <f>"1073579124"</f>
        <v>1073579124</v>
      </c>
      <c r="B6164" t="str">
        <f>"01434335"</f>
        <v>01434335</v>
      </c>
      <c r="C6164" t="s">
        <v>13436</v>
      </c>
      <c r="D6164" t="s">
        <v>29076</v>
      </c>
      <c r="E6164" t="s">
        <v>29077</v>
      </c>
      <c r="L6164" t="s">
        <v>83</v>
      </c>
      <c r="M6164" t="s">
        <v>75</v>
      </c>
      <c r="R6164" t="s">
        <v>29078</v>
      </c>
      <c r="W6164" t="s">
        <v>29077</v>
      </c>
      <c r="X6164" t="s">
        <v>29079</v>
      </c>
      <c r="Y6164" t="s">
        <v>97</v>
      </c>
      <c r="Z6164" t="s">
        <v>77</v>
      </c>
      <c r="AA6164" t="str">
        <f>"10028-4712"</f>
        <v>10028-4712</v>
      </c>
      <c r="AB6164" t="s">
        <v>78</v>
      </c>
      <c r="AC6164" t="s">
        <v>79</v>
      </c>
      <c r="AD6164" t="s">
        <v>75</v>
      </c>
      <c r="AE6164" t="s">
        <v>80</v>
      </c>
      <c r="AG6164" t="s">
        <v>81</v>
      </c>
    </row>
    <row r="6165" spans="1:33" x14ac:dyDescent="0.25">
      <c r="A6165" t="str">
        <f>"1073580858"</f>
        <v>1073580858</v>
      </c>
      <c r="B6165" t="str">
        <f>"02061136"</f>
        <v>02061136</v>
      </c>
      <c r="C6165" t="s">
        <v>13436</v>
      </c>
      <c r="D6165" t="s">
        <v>29080</v>
      </c>
      <c r="E6165" t="s">
        <v>29081</v>
      </c>
      <c r="G6165" t="s">
        <v>29082</v>
      </c>
      <c r="L6165" t="s">
        <v>83</v>
      </c>
      <c r="M6165" t="s">
        <v>85</v>
      </c>
      <c r="R6165" t="s">
        <v>29083</v>
      </c>
      <c r="W6165" t="s">
        <v>29081</v>
      </c>
      <c r="X6165" t="s">
        <v>4752</v>
      </c>
      <c r="Y6165" t="s">
        <v>97</v>
      </c>
      <c r="Z6165" t="s">
        <v>77</v>
      </c>
      <c r="AA6165" t="str">
        <f>"10029-5208"</f>
        <v>10029-5208</v>
      </c>
      <c r="AB6165" t="s">
        <v>78</v>
      </c>
      <c r="AC6165" t="s">
        <v>79</v>
      </c>
      <c r="AD6165" t="s">
        <v>75</v>
      </c>
      <c r="AE6165" t="s">
        <v>80</v>
      </c>
      <c r="AG6165" t="s">
        <v>81</v>
      </c>
    </row>
    <row r="6166" spans="1:33" x14ac:dyDescent="0.25">
      <c r="A6166" t="str">
        <f>"1073602215"</f>
        <v>1073602215</v>
      </c>
      <c r="B6166" t="str">
        <f>"01190087"</f>
        <v>01190087</v>
      </c>
      <c r="C6166" t="s">
        <v>13436</v>
      </c>
      <c r="D6166" t="s">
        <v>29084</v>
      </c>
      <c r="E6166" t="s">
        <v>29085</v>
      </c>
      <c r="G6166" t="s">
        <v>29086</v>
      </c>
      <c r="L6166" t="s">
        <v>74</v>
      </c>
      <c r="M6166" t="s">
        <v>75</v>
      </c>
      <c r="R6166" t="s">
        <v>29087</v>
      </c>
      <c r="W6166" t="s">
        <v>29088</v>
      </c>
      <c r="Y6166" t="s">
        <v>97</v>
      </c>
      <c r="Z6166" t="s">
        <v>77</v>
      </c>
      <c r="AA6166" t="str">
        <f>"10065-4885"</f>
        <v>10065-4885</v>
      </c>
      <c r="AB6166" t="s">
        <v>78</v>
      </c>
      <c r="AC6166" t="s">
        <v>79</v>
      </c>
      <c r="AD6166" t="s">
        <v>75</v>
      </c>
      <c r="AE6166" t="s">
        <v>80</v>
      </c>
      <c r="AG6166" t="s">
        <v>81</v>
      </c>
    </row>
    <row r="6167" spans="1:33" x14ac:dyDescent="0.25">
      <c r="A6167" t="str">
        <f>"1073627063"</f>
        <v>1073627063</v>
      </c>
      <c r="B6167" t="str">
        <f>"02801527"</f>
        <v>02801527</v>
      </c>
      <c r="C6167" t="s">
        <v>13436</v>
      </c>
      <c r="D6167" t="s">
        <v>29089</v>
      </c>
      <c r="E6167" t="s">
        <v>29090</v>
      </c>
      <c r="G6167" t="s">
        <v>29091</v>
      </c>
      <c r="L6167" t="s">
        <v>83</v>
      </c>
      <c r="M6167" t="s">
        <v>85</v>
      </c>
      <c r="R6167" t="s">
        <v>29092</v>
      </c>
      <c r="W6167" t="s">
        <v>29090</v>
      </c>
      <c r="X6167" t="s">
        <v>272</v>
      </c>
      <c r="Y6167" t="s">
        <v>97</v>
      </c>
      <c r="Z6167" t="s">
        <v>77</v>
      </c>
      <c r="AA6167" t="str">
        <f>"10029-6501"</f>
        <v>10029-6501</v>
      </c>
      <c r="AB6167" t="s">
        <v>78</v>
      </c>
      <c r="AC6167" t="s">
        <v>79</v>
      </c>
      <c r="AD6167" t="s">
        <v>75</v>
      </c>
      <c r="AE6167" t="s">
        <v>80</v>
      </c>
      <c r="AG6167" t="s">
        <v>81</v>
      </c>
    </row>
    <row r="6168" spans="1:33" x14ac:dyDescent="0.25">
      <c r="A6168" t="str">
        <f>"1033474374"</f>
        <v>1033474374</v>
      </c>
      <c r="B6168" t="str">
        <f>"03537175"</f>
        <v>03537175</v>
      </c>
      <c r="C6168" t="s">
        <v>13436</v>
      </c>
      <c r="D6168" t="s">
        <v>29093</v>
      </c>
      <c r="E6168" t="s">
        <v>29094</v>
      </c>
      <c r="G6168" t="s">
        <v>29095</v>
      </c>
      <c r="L6168" t="s">
        <v>83</v>
      </c>
      <c r="M6168" t="s">
        <v>85</v>
      </c>
      <c r="R6168" t="s">
        <v>29096</v>
      </c>
      <c r="W6168" t="s">
        <v>29094</v>
      </c>
      <c r="X6168" t="s">
        <v>29097</v>
      </c>
      <c r="Y6168" t="s">
        <v>97</v>
      </c>
      <c r="Z6168" t="s">
        <v>77</v>
      </c>
      <c r="AA6168" t="str">
        <f>"10029-6508"</f>
        <v>10029-6508</v>
      </c>
      <c r="AB6168" t="s">
        <v>78</v>
      </c>
      <c r="AC6168" t="s">
        <v>79</v>
      </c>
      <c r="AD6168" t="s">
        <v>75</v>
      </c>
      <c r="AE6168" t="s">
        <v>80</v>
      </c>
      <c r="AG6168" t="s">
        <v>81</v>
      </c>
    </row>
    <row r="6169" spans="1:33" x14ac:dyDescent="0.25">
      <c r="A6169" t="str">
        <f>"1033476601"</f>
        <v>1033476601</v>
      </c>
      <c r="B6169" t="str">
        <f>"04516836"</f>
        <v>04516836</v>
      </c>
      <c r="C6169" t="s">
        <v>13436</v>
      </c>
      <c r="D6169" t="s">
        <v>29098</v>
      </c>
      <c r="E6169" t="s">
        <v>29099</v>
      </c>
      <c r="L6169" t="s">
        <v>102</v>
      </c>
      <c r="M6169" t="s">
        <v>75</v>
      </c>
      <c r="R6169" t="s">
        <v>29099</v>
      </c>
      <c r="W6169" t="s">
        <v>29099</v>
      </c>
      <c r="AB6169" t="s">
        <v>82</v>
      </c>
      <c r="AC6169" t="s">
        <v>79</v>
      </c>
      <c r="AD6169" t="s">
        <v>75</v>
      </c>
      <c r="AE6169" t="s">
        <v>80</v>
      </c>
      <c r="AG6169" t="s">
        <v>81</v>
      </c>
    </row>
    <row r="6170" spans="1:33" x14ac:dyDescent="0.25">
      <c r="A6170" t="str">
        <f>"1033485867"</f>
        <v>1033485867</v>
      </c>
      <c r="C6170" t="s">
        <v>13436</v>
      </c>
      <c r="K6170" t="s">
        <v>99</v>
      </c>
      <c r="L6170" t="s">
        <v>102</v>
      </c>
      <c r="M6170" t="s">
        <v>75</v>
      </c>
      <c r="R6170" t="s">
        <v>29100</v>
      </c>
      <c r="S6170" t="s">
        <v>191</v>
      </c>
      <c r="T6170" t="s">
        <v>97</v>
      </c>
      <c r="U6170" t="s">
        <v>77</v>
      </c>
      <c r="V6170" t="str">
        <f>"100191147"</f>
        <v>100191147</v>
      </c>
      <c r="AC6170" t="s">
        <v>79</v>
      </c>
      <c r="AD6170" t="s">
        <v>75</v>
      </c>
      <c r="AE6170" t="s">
        <v>103</v>
      </c>
      <c r="AG6170" t="s">
        <v>81</v>
      </c>
    </row>
    <row r="6171" spans="1:33" x14ac:dyDescent="0.25">
      <c r="A6171" t="str">
        <f>"1194952648"</f>
        <v>1194952648</v>
      </c>
      <c r="B6171" t="str">
        <f>"03829958"</f>
        <v>03829958</v>
      </c>
      <c r="C6171" t="s">
        <v>13436</v>
      </c>
      <c r="D6171" t="s">
        <v>29101</v>
      </c>
      <c r="E6171" t="s">
        <v>29102</v>
      </c>
      <c r="L6171" t="s">
        <v>74</v>
      </c>
      <c r="M6171" t="s">
        <v>75</v>
      </c>
      <c r="R6171" t="s">
        <v>29103</v>
      </c>
      <c r="W6171" t="s">
        <v>29102</v>
      </c>
      <c r="X6171" t="s">
        <v>12390</v>
      </c>
      <c r="Y6171" t="s">
        <v>97</v>
      </c>
      <c r="Z6171" t="s">
        <v>77</v>
      </c>
      <c r="AA6171" t="str">
        <f>"10003-4201"</f>
        <v>10003-4201</v>
      </c>
      <c r="AB6171" t="s">
        <v>78</v>
      </c>
      <c r="AC6171" t="s">
        <v>79</v>
      </c>
      <c r="AD6171" t="s">
        <v>75</v>
      </c>
      <c r="AE6171" t="s">
        <v>80</v>
      </c>
      <c r="AG6171" t="s">
        <v>81</v>
      </c>
    </row>
    <row r="6172" spans="1:33" x14ac:dyDescent="0.25">
      <c r="A6172" t="str">
        <f>"1194961573"</f>
        <v>1194961573</v>
      </c>
      <c r="C6172" t="s">
        <v>13436</v>
      </c>
      <c r="G6172" t="s">
        <v>29104</v>
      </c>
      <c r="K6172" t="s">
        <v>99</v>
      </c>
      <c r="L6172" t="s">
        <v>102</v>
      </c>
      <c r="M6172" t="s">
        <v>75</v>
      </c>
      <c r="R6172" t="s">
        <v>29105</v>
      </c>
      <c r="S6172" t="s">
        <v>29106</v>
      </c>
      <c r="T6172" t="s">
        <v>97</v>
      </c>
      <c r="U6172" t="s">
        <v>77</v>
      </c>
      <c r="V6172" t="str">
        <f>"100296500"</f>
        <v>100296500</v>
      </c>
      <c r="AC6172" t="s">
        <v>79</v>
      </c>
      <c r="AD6172" t="s">
        <v>75</v>
      </c>
      <c r="AE6172" t="s">
        <v>103</v>
      </c>
      <c r="AG6172" t="s">
        <v>81</v>
      </c>
    </row>
    <row r="6173" spans="1:33" x14ac:dyDescent="0.25">
      <c r="A6173" t="str">
        <f>"1194961821"</f>
        <v>1194961821</v>
      </c>
      <c r="C6173" t="s">
        <v>13436</v>
      </c>
      <c r="K6173" t="s">
        <v>99</v>
      </c>
      <c r="L6173" t="s">
        <v>102</v>
      </c>
      <c r="M6173" t="s">
        <v>75</v>
      </c>
      <c r="R6173" t="s">
        <v>29107</v>
      </c>
      <c r="S6173" t="s">
        <v>29108</v>
      </c>
      <c r="T6173" t="s">
        <v>97</v>
      </c>
      <c r="U6173" t="s">
        <v>77</v>
      </c>
      <c r="V6173" t="str">
        <f>"100033805"</f>
        <v>100033805</v>
      </c>
      <c r="AC6173" t="s">
        <v>79</v>
      </c>
      <c r="AD6173" t="s">
        <v>75</v>
      </c>
      <c r="AE6173" t="s">
        <v>103</v>
      </c>
      <c r="AG6173" t="s">
        <v>81</v>
      </c>
    </row>
    <row r="6174" spans="1:33" x14ac:dyDescent="0.25">
      <c r="A6174" t="str">
        <f>"1194970335"</f>
        <v>1194970335</v>
      </c>
      <c r="B6174" t="str">
        <f>"03348212"</f>
        <v>03348212</v>
      </c>
      <c r="C6174" t="s">
        <v>13436</v>
      </c>
      <c r="D6174" t="s">
        <v>29109</v>
      </c>
      <c r="E6174" t="s">
        <v>29110</v>
      </c>
      <c r="L6174" t="s">
        <v>83</v>
      </c>
      <c r="M6174" t="s">
        <v>75</v>
      </c>
      <c r="R6174" t="s">
        <v>29111</v>
      </c>
      <c r="W6174" t="s">
        <v>29110</v>
      </c>
      <c r="X6174" t="s">
        <v>29112</v>
      </c>
      <c r="Y6174" t="s">
        <v>97</v>
      </c>
      <c r="Z6174" t="s">
        <v>77</v>
      </c>
      <c r="AA6174" t="str">
        <f>"10019-2802"</f>
        <v>10019-2802</v>
      </c>
      <c r="AB6174" t="s">
        <v>78</v>
      </c>
      <c r="AC6174" t="s">
        <v>79</v>
      </c>
      <c r="AD6174" t="s">
        <v>75</v>
      </c>
      <c r="AE6174" t="s">
        <v>80</v>
      </c>
      <c r="AG6174" t="s">
        <v>81</v>
      </c>
    </row>
    <row r="6175" spans="1:33" x14ac:dyDescent="0.25">
      <c r="A6175" t="str">
        <f>"1194971069"</f>
        <v>1194971069</v>
      </c>
      <c r="B6175" t="str">
        <f>"03276620"</f>
        <v>03276620</v>
      </c>
      <c r="C6175" t="s">
        <v>13436</v>
      </c>
      <c r="D6175" t="s">
        <v>29113</v>
      </c>
      <c r="E6175" t="s">
        <v>29114</v>
      </c>
      <c r="L6175" t="s">
        <v>83</v>
      </c>
      <c r="M6175" t="s">
        <v>75</v>
      </c>
      <c r="R6175" t="s">
        <v>29115</v>
      </c>
      <c r="W6175" t="s">
        <v>29114</v>
      </c>
      <c r="X6175" t="s">
        <v>29116</v>
      </c>
      <c r="Y6175" t="s">
        <v>87</v>
      </c>
      <c r="Z6175" t="s">
        <v>77</v>
      </c>
      <c r="AA6175" t="str">
        <f>"11208-5132"</f>
        <v>11208-5132</v>
      </c>
      <c r="AB6175" t="s">
        <v>78</v>
      </c>
      <c r="AC6175" t="s">
        <v>79</v>
      </c>
      <c r="AD6175" t="s">
        <v>75</v>
      </c>
      <c r="AE6175" t="s">
        <v>80</v>
      </c>
      <c r="AG6175" t="s">
        <v>81</v>
      </c>
    </row>
    <row r="6176" spans="1:33" x14ac:dyDescent="0.25">
      <c r="A6176" t="str">
        <f>"1194972729"</f>
        <v>1194972729</v>
      </c>
      <c r="B6176" t="str">
        <f>"03333153"</f>
        <v>03333153</v>
      </c>
      <c r="C6176" t="s">
        <v>13436</v>
      </c>
      <c r="D6176" t="s">
        <v>29117</v>
      </c>
      <c r="E6176" t="s">
        <v>29118</v>
      </c>
      <c r="G6176" t="s">
        <v>29119</v>
      </c>
      <c r="L6176" t="s">
        <v>83</v>
      </c>
      <c r="M6176" t="s">
        <v>85</v>
      </c>
      <c r="R6176" t="s">
        <v>29120</v>
      </c>
      <c r="W6176" t="s">
        <v>29118</v>
      </c>
      <c r="X6176" t="s">
        <v>11945</v>
      </c>
      <c r="Y6176" t="s">
        <v>2128</v>
      </c>
      <c r="Z6176" t="s">
        <v>77</v>
      </c>
      <c r="AA6176" t="str">
        <f>"11743-2779"</f>
        <v>11743-2779</v>
      </c>
      <c r="AB6176" t="s">
        <v>78</v>
      </c>
      <c r="AC6176" t="s">
        <v>79</v>
      </c>
      <c r="AD6176" t="s">
        <v>75</v>
      </c>
      <c r="AE6176" t="s">
        <v>80</v>
      </c>
      <c r="AG6176" t="s">
        <v>81</v>
      </c>
    </row>
    <row r="6177" spans="1:33" x14ac:dyDescent="0.25">
      <c r="A6177" t="str">
        <f>"1073759346"</f>
        <v>1073759346</v>
      </c>
      <c r="B6177" t="str">
        <f>"03810184"</f>
        <v>03810184</v>
      </c>
      <c r="C6177" t="s">
        <v>13436</v>
      </c>
      <c r="D6177" t="s">
        <v>29121</v>
      </c>
      <c r="E6177" t="s">
        <v>29122</v>
      </c>
      <c r="G6177" t="s">
        <v>29123</v>
      </c>
      <c r="L6177" t="s">
        <v>84</v>
      </c>
      <c r="M6177" t="s">
        <v>75</v>
      </c>
      <c r="R6177" t="s">
        <v>29124</v>
      </c>
      <c r="W6177" t="s">
        <v>29122</v>
      </c>
      <c r="X6177" t="s">
        <v>29125</v>
      </c>
      <c r="Y6177" t="s">
        <v>87</v>
      </c>
      <c r="Z6177" t="s">
        <v>77</v>
      </c>
      <c r="AA6177" t="str">
        <f>"11229-1025"</f>
        <v>11229-1025</v>
      </c>
      <c r="AB6177" t="s">
        <v>78</v>
      </c>
      <c r="AC6177" t="s">
        <v>79</v>
      </c>
      <c r="AD6177" t="s">
        <v>75</v>
      </c>
      <c r="AE6177" t="s">
        <v>80</v>
      </c>
      <c r="AG6177" t="s">
        <v>81</v>
      </c>
    </row>
    <row r="6178" spans="1:33" x14ac:dyDescent="0.25">
      <c r="A6178" t="str">
        <f>"1073783486"</f>
        <v>1073783486</v>
      </c>
      <c r="B6178" t="str">
        <f>"03273452"</f>
        <v>03273452</v>
      </c>
      <c r="C6178" t="s">
        <v>13436</v>
      </c>
      <c r="D6178" t="s">
        <v>29126</v>
      </c>
      <c r="E6178" t="s">
        <v>29127</v>
      </c>
      <c r="G6178" t="s">
        <v>29128</v>
      </c>
      <c r="L6178" t="s">
        <v>83</v>
      </c>
      <c r="M6178" t="s">
        <v>75</v>
      </c>
      <c r="R6178" t="s">
        <v>29129</v>
      </c>
      <c r="W6178" t="s">
        <v>29127</v>
      </c>
      <c r="X6178" t="s">
        <v>162</v>
      </c>
      <c r="Y6178" t="s">
        <v>87</v>
      </c>
      <c r="Z6178" t="s">
        <v>77</v>
      </c>
      <c r="AA6178" t="str">
        <f>"11215-3609"</f>
        <v>11215-3609</v>
      </c>
      <c r="AB6178" t="s">
        <v>78</v>
      </c>
      <c r="AC6178" t="s">
        <v>79</v>
      </c>
      <c r="AD6178" t="s">
        <v>75</v>
      </c>
      <c r="AE6178" t="s">
        <v>80</v>
      </c>
      <c r="AG6178" t="s">
        <v>81</v>
      </c>
    </row>
    <row r="6179" spans="1:33" x14ac:dyDescent="0.25">
      <c r="A6179" t="str">
        <f>"1073800348"</f>
        <v>1073800348</v>
      </c>
      <c r="C6179" t="s">
        <v>13436</v>
      </c>
      <c r="K6179" t="s">
        <v>99</v>
      </c>
      <c r="L6179" t="s">
        <v>102</v>
      </c>
      <c r="M6179" t="s">
        <v>75</v>
      </c>
      <c r="R6179" t="s">
        <v>29130</v>
      </c>
      <c r="S6179" t="s">
        <v>29131</v>
      </c>
      <c r="T6179" t="s">
        <v>4646</v>
      </c>
      <c r="U6179" t="s">
        <v>4647</v>
      </c>
      <c r="V6179" t="str">
        <f>"303292206"</f>
        <v>303292206</v>
      </c>
      <c r="AC6179" t="s">
        <v>79</v>
      </c>
      <c r="AD6179" t="s">
        <v>75</v>
      </c>
      <c r="AE6179" t="s">
        <v>103</v>
      </c>
      <c r="AG6179" t="s">
        <v>81</v>
      </c>
    </row>
    <row r="6180" spans="1:33" x14ac:dyDescent="0.25">
      <c r="A6180" t="str">
        <f>"1073802500"</f>
        <v>1073802500</v>
      </c>
      <c r="B6180" t="str">
        <f>"04386572"</f>
        <v>04386572</v>
      </c>
      <c r="C6180" t="s">
        <v>13436</v>
      </c>
      <c r="D6180" t="s">
        <v>29132</v>
      </c>
      <c r="E6180" t="s">
        <v>29133</v>
      </c>
      <c r="L6180" t="s">
        <v>102</v>
      </c>
      <c r="M6180" t="s">
        <v>75</v>
      </c>
      <c r="R6180" t="s">
        <v>29134</v>
      </c>
      <c r="W6180" t="s">
        <v>29133</v>
      </c>
      <c r="X6180" t="s">
        <v>6074</v>
      </c>
      <c r="Y6180" t="s">
        <v>91</v>
      </c>
      <c r="Z6180" t="s">
        <v>77</v>
      </c>
      <c r="AA6180" t="str">
        <f>"11373-1329"</f>
        <v>11373-1329</v>
      </c>
      <c r="AB6180" t="s">
        <v>78</v>
      </c>
      <c r="AC6180" t="s">
        <v>79</v>
      </c>
      <c r="AD6180" t="s">
        <v>75</v>
      </c>
      <c r="AE6180" t="s">
        <v>80</v>
      </c>
      <c r="AG6180" t="s">
        <v>81</v>
      </c>
    </row>
    <row r="6181" spans="1:33" x14ac:dyDescent="0.25">
      <c r="A6181" t="str">
        <f>"1538426754"</f>
        <v>1538426754</v>
      </c>
      <c r="C6181" t="s">
        <v>13436</v>
      </c>
      <c r="K6181" t="s">
        <v>99</v>
      </c>
      <c r="L6181" t="s">
        <v>102</v>
      </c>
      <c r="M6181" t="s">
        <v>75</v>
      </c>
      <c r="R6181" t="s">
        <v>29135</v>
      </c>
      <c r="S6181" t="s">
        <v>29136</v>
      </c>
      <c r="T6181" t="s">
        <v>97</v>
      </c>
      <c r="U6181" t="s">
        <v>77</v>
      </c>
      <c r="V6181" t="str">
        <f>"100251737"</f>
        <v>100251737</v>
      </c>
      <c r="AC6181" t="s">
        <v>79</v>
      </c>
      <c r="AD6181" t="s">
        <v>75</v>
      </c>
      <c r="AE6181" t="s">
        <v>103</v>
      </c>
      <c r="AG6181" t="s">
        <v>81</v>
      </c>
    </row>
    <row r="6182" spans="1:33" x14ac:dyDescent="0.25">
      <c r="A6182" t="str">
        <f>"1538426796"</f>
        <v>1538426796</v>
      </c>
      <c r="C6182" t="s">
        <v>13436</v>
      </c>
      <c r="K6182" t="s">
        <v>99</v>
      </c>
      <c r="L6182" t="s">
        <v>102</v>
      </c>
      <c r="M6182" t="s">
        <v>75</v>
      </c>
      <c r="R6182" t="s">
        <v>29137</v>
      </c>
      <c r="S6182" t="s">
        <v>191</v>
      </c>
      <c r="T6182" t="s">
        <v>97</v>
      </c>
      <c r="U6182" t="s">
        <v>77</v>
      </c>
      <c r="V6182" t="str">
        <f>"100191147"</f>
        <v>100191147</v>
      </c>
      <c r="AC6182" t="s">
        <v>79</v>
      </c>
      <c r="AD6182" t="s">
        <v>75</v>
      </c>
      <c r="AE6182" t="s">
        <v>103</v>
      </c>
      <c r="AG6182" t="s">
        <v>81</v>
      </c>
    </row>
    <row r="6183" spans="1:33" x14ac:dyDescent="0.25">
      <c r="A6183" t="str">
        <f>"1538446174"</f>
        <v>1538446174</v>
      </c>
      <c r="B6183" t="str">
        <f>"03791444"</f>
        <v>03791444</v>
      </c>
      <c r="C6183" t="s">
        <v>13436</v>
      </c>
      <c r="D6183" t="s">
        <v>29138</v>
      </c>
      <c r="E6183" t="s">
        <v>29139</v>
      </c>
      <c r="G6183" t="s">
        <v>29140</v>
      </c>
      <c r="L6183" t="s">
        <v>74</v>
      </c>
      <c r="M6183" t="s">
        <v>75</v>
      </c>
      <c r="R6183" t="s">
        <v>29141</v>
      </c>
      <c r="W6183" t="s">
        <v>29139</v>
      </c>
      <c r="X6183" t="s">
        <v>11436</v>
      </c>
      <c r="Y6183" t="s">
        <v>97</v>
      </c>
      <c r="Z6183" t="s">
        <v>77</v>
      </c>
      <c r="AA6183" t="str">
        <f>"10029-6503"</f>
        <v>10029-6503</v>
      </c>
      <c r="AB6183" t="s">
        <v>78</v>
      </c>
      <c r="AC6183" t="s">
        <v>79</v>
      </c>
      <c r="AD6183" t="s">
        <v>75</v>
      </c>
      <c r="AE6183" t="s">
        <v>80</v>
      </c>
      <c r="AG6183" t="s">
        <v>81</v>
      </c>
    </row>
    <row r="6184" spans="1:33" x14ac:dyDescent="0.25">
      <c r="A6184" t="str">
        <f>"1336482538"</f>
        <v>1336482538</v>
      </c>
      <c r="B6184" t="str">
        <f>"04556396"</f>
        <v>04556396</v>
      </c>
      <c r="C6184" t="s">
        <v>13436</v>
      </c>
      <c r="D6184" t="s">
        <v>29142</v>
      </c>
      <c r="E6184" t="s">
        <v>29143</v>
      </c>
      <c r="L6184" t="s">
        <v>102</v>
      </c>
      <c r="M6184" t="s">
        <v>75</v>
      </c>
      <c r="R6184" t="s">
        <v>29144</v>
      </c>
      <c r="W6184" t="s">
        <v>29143</v>
      </c>
      <c r="AB6184" t="s">
        <v>78</v>
      </c>
      <c r="AC6184" t="s">
        <v>79</v>
      </c>
      <c r="AD6184" t="s">
        <v>75</v>
      </c>
      <c r="AE6184" t="s">
        <v>80</v>
      </c>
      <c r="AG6184" t="s">
        <v>81</v>
      </c>
    </row>
    <row r="6185" spans="1:33" x14ac:dyDescent="0.25">
      <c r="A6185" t="str">
        <f>"1487608097"</f>
        <v>1487608097</v>
      </c>
      <c r="B6185" t="str">
        <f>"01697034"</f>
        <v>01697034</v>
      </c>
      <c r="C6185" t="s">
        <v>13436</v>
      </c>
      <c r="D6185" t="s">
        <v>29145</v>
      </c>
      <c r="E6185" t="s">
        <v>29146</v>
      </c>
      <c r="G6185" t="s">
        <v>29147</v>
      </c>
      <c r="L6185" t="s">
        <v>84</v>
      </c>
      <c r="M6185" t="s">
        <v>85</v>
      </c>
      <c r="R6185" t="s">
        <v>29148</v>
      </c>
      <c r="W6185" t="s">
        <v>29146</v>
      </c>
      <c r="X6185" t="s">
        <v>4791</v>
      </c>
      <c r="Y6185" t="s">
        <v>97</v>
      </c>
      <c r="Z6185" t="s">
        <v>77</v>
      </c>
      <c r="AA6185" t="str">
        <f>"10159"</f>
        <v>10159</v>
      </c>
      <c r="AB6185" t="s">
        <v>78</v>
      </c>
      <c r="AC6185" t="s">
        <v>79</v>
      </c>
      <c r="AD6185" t="s">
        <v>75</v>
      </c>
      <c r="AE6185" t="s">
        <v>80</v>
      </c>
      <c r="AG6185" t="s">
        <v>81</v>
      </c>
    </row>
    <row r="6186" spans="1:33" x14ac:dyDescent="0.25">
      <c r="A6186" t="str">
        <f>"1487622494"</f>
        <v>1487622494</v>
      </c>
      <c r="B6186" t="str">
        <f>"01859301"</f>
        <v>01859301</v>
      </c>
      <c r="C6186" t="s">
        <v>13436</v>
      </c>
      <c r="D6186" t="s">
        <v>29149</v>
      </c>
      <c r="E6186" t="s">
        <v>29150</v>
      </c>
      <c r="G6186" t="s">
        <v>29151</v>
      </c>
      <c r="L6186" t="s">
        <v>83</v>
      </c>
      <c r="M6186" t="s">
        <v>85</v>
      </c>
      <c r="R6186" t="s">
        <v>29152</v>
      </c>
      <c r="W6186" t="s">
        <v>29150</v>
      </c>
      <c r="X6186" t="s">
        <v>329</v>
      </c>
      <c r="Y6186" t="s">
        <v>97</v>
      </c>
      <c r="Z6186" t="s">
        <v>77</v>
      </c>
      <c r="AA6186" t="str">
        <f>"10029-6500"</f>
        <v>10029-6500</v>
      </c>
      <c r="AB6186" t="s">
        <v>78</v>
      </c>
      <c r="AC6186" t="s">
        <v>79</v>
      </c>
      <c r="AD6186" t="s">
        <v>75</v>
      </c>
      <c r="AE6186" t="s">
        <v>80</v>
      </c>
      <c r="AG6186" t="s">
        <v>81</v>
      </c>
    </row>
    <row r="6187" spans="1:33" x14ac:dyDescent="0.25">
      <c r="A6187" t="str">
        <f>"1487630570"</f>
        <v>1487630570</v>
      </c>
      <c r="B6187" t="str">
        <f>"02365488"</f>
        <v>02365488</v>
      </c>
      <c r="C6187" t="s">
        <v>13436</v>
      </c>
      <c r="D6187" t="s">
        <v>29153</v>
      </c>
      <c r="E6187" t="s">
        <v>29154</v>
      </c>
      <c r="G6187" t="s">
        <v>29155</v>
      </c>
      <c r="L6187" t="s">
        <v>83</v>
      </c>
      <c r="M6187" t="s">
        <v>85</v>
      </c>
      <c r="R6187" t="s">
        <v>29156</v>
      </c>
      <c r="W6187" t="s">
        <v>29154</v>
      </c>
      <c r="X6187" t="s">
        <v>29157</v>
      </c>
      <c r="Y6187" t="s">
        <v>97</v>
      </c>
      <c r="Z6187" t="s">
        <v>77</v>
      </c>
      <c r="AA6187" t="str">
        <f>"10016-7604"</f>
        <v>10016-7604</v>
      </c>
      <c r="AB6187" t="s">
        <v>78</v>
      </c>
      <c r="AC6187" t="s">
        <v>79</v>
      </c>
      <c r="AD6187" t="s">
        <v>75</v>
      </c>
      <c r="AE6187" t="s">
        <v>80</v>
      </c>
      <c r="AG6187" t="s">
        <v>81</v>
      </c>
    </row>
    <row r="6188" spans="1:33" x14ac:dyDescent="0.25">
      <c r="A6188" t="str">
        <f>"1780823419"</f>
        <v>1780823419</v>
      </c>
      <c r="B6188" t="str">
        <f>"02338567"</f>
        <v>02338567</v>
      </c>
      <c r="C6188" t="s">
        <v>13436</v>
      </c>
      <c r="D6188" t="s">
        <v>29158</v>
      </c>
      <c r="E6188" t="s">
        <v>29159</v>
      </c>
      <c r="G6188" t="s">
        <v>29160</v>
      </c>
      <c r="L6188" t="s">
        <v>83</v>
      </c>
      <c r="M6188" t="s">
        <v>85</v>
      </c>
      <c r="R6188" t="s">
        <v>29161</v>
      </c>
      <c r="W6188" t="s">
        <v>29159</v>
      </c>
      <c r="X6188" t="s">
        <v>29162</v>
      </c>
      <c r="Y6188" t="s">
        <v>131</v>
      </c>
      <c r="Z6188" t="s">
        <v>77</v>
      </c>
      <c r="AA6188" t="str">
        <f>"10467-2404"</f>
        <v>10467-2404</v>
      </c>
      <c r="AB6188" t="s">
        <v>78</v>
      </c>
      <c r="AC6188" t="s">
        <v>79</v>
      </c>
      <c r="AD6188" t="s">
        <v>75</v>
      </c>
      <c r="AE6188" t="s">
        <v>80</v>
      </c>
      <c r="AG6188" t="s">
        <v>81</v>
      </c>
    </row>
    <row r="6189" spans="1:33" x14ac:dyDescent="0.25">
      <c r="A6189" t="str">
        <f>"1396912929"</f>
        <v>1396912929</v>
      </c>
      <c r="B6189" t="str">
        <f>"03730581"</f>
        <v>03730581</v>
      </c>
      <c r="C6189" t="s">
        <v>13436</v>
      </c>
      <c r="D6189" t="s">
        <v>29163</v>
      </c>
      <c r="E6189" t="s">
        <v>29164</v>
      </c>
      <c r="G6189" t="s">
        <v>29165</v>
      </c>
      <c r="L6189" t="s">
        <v>102</v>
      </c>
      <c r="M6189" t="s">
        <v>75</v>
      </c>
      <c r="R6189" t="s">
        <v>29166</v>
      </c>
      <c r="W6189" t="s">
        <v>29164</v>
      </c>
      <c r="X6189" t="s">
        <v>11156</v>
      </c>
      <c r="Y6189" t="s">
        <v>97</v>
      </c>
      <c r="Z6189" t="s">
        <v>77</v>
      </c>
      <c r="AA6189" t="str">
        <f>"10029-6504"</f>
        <v>10029-6504</v>
      </c>
      <c r="AB6189" t="s">
        <v>78</v>
      </c>
      <c r="AC6189" t="s">
        <v>79</v>
      </c>
      <c r="AD6189" t="s">
        <v>75</v>
      </c>
      <c r="AE6189" t="s">
        <v>80</v>
      </c>
      <c r="AG6189" t="s">
        <v>81</v>
      </c>
    </row>
    <row r="6190" spans="1:33" x14ac:dyDescent="0.25">
      <c r="A6190" t="str">
        <f>"1396918868"</f>
        <v>1396918868</v>
      </c>
      <c r="B6190" t="str">
        <f>"03991848"</f>
        <v>03991848</v>
      </c>
      <c r="C6190" t="s">
        <v>13436</v>
      </c>
      <c r="D6190" t="s">
        <v>29167</v>
      </c>
      <c r="E6190" t="s">
        <v>29168</v>
      </c>
      <c r="G6190" t="s">
        <v>29169</v>
      </c>
      <c r="L6190" t="s">
        <v>74</v>
      </c>
      <c r="M6190" t="s">
        <v>75</v>
      </c>
      <c r="R6190" t="s">
        <v>29170</v>
      </c>
      <c r="W6190" t="s">
        <v>29168</v>
      </c>
      <c r="X6190" t="s">
        <v>10363</v>
      </c>
      <c r="Y6190" t="s">
        <v>97</v>
      </c>
      <c r="Z6190" t="s">
        <v>77</v>
      </c>
      <c r="AA6190" t="str">
        <f>"10029-6508"</f>
        <v>10029-6508</v>
      </c>
      <c r="AB6190" t="s">
        <v>78</v>
      </c>
      <c r="AC6190" t="s">
        <v>79</v>
      </c>
      <c r="AD6190" t="s">
        <v>75</v>
      </c>
      <c r="AE6190" t="s">
        <v>80</v>
      </c>
      <c r="AG6190" t="s">
        <v>81</v>
      </c>
    </row>
    <row r="6191" spans="1:33" x14ac:dyDescent="0.25">
      <c r="A6191" t="str">
        <f>"1396949913"</f>
        <v>1396949913</v>
      </c>
      <c r="B6191" t="str">
        <f>"03358147"</f>
        <v>03358147</v>
      </c>
      <c r="C6191" t="s">
        <v>13436</v>
      </c>
      <c r="D6191" t="s">
        <v>29171</v>
      </c>
      <c r="E6191" t="s">
        <v>29172</v>
      </c>
      <c r="G6191" t="s">
        <v>29173</v>
      </c>
      <c r="L6191" t="s">
        <v>74</v>
      </c>
      <c r="M6191" t="s">
        <v>85</v>
      </c>
      <c r="R6191" t="s">
        <v>29174</v>
      </c>
      <c r="W6191" t="s">
        <v>29172</v>
      </c>
      <c r="X6191" t="s">
        <v>11195</v>
      </c>
      <c r="Y6191" t="s">
        <v>97</v>
      </c>
      <c r="Z6191" t="s">
        <v>77</v>
      </c>
      <c r="AA6191" t="str">
        <f>"10029-6030"</f>
        <v>10029-6030</v>
      </c>
      <c r="AB6191" t="s">
        <v>78</v>
      </c>
      <c r="AC6191" t="s">
        <v>79</v>
      </c>
      <c r="AD6191" t="s">
        <v>75</v>
      </c>
      <c r="AE6191" t="s">
        <v>80</v>
      </c>
      <c r="AG6191" t="s">
        <v>81</v>
      </c>
    </row>
    <row r="6192" spans="1:33" x14ac:dyDescent="0.25">
      <c r="A6192" t="str">
        <f>"1396993929"</f>
        <v>1396993929</v>
      </c>
      <c r="B6192" t="str">
        <f>"03128681"</f>
        <v>03128681</v>
      </c>
      <c r="C6192" t="s">
        <v>13436</v>
      </c>
      <c r="D6192" t="s">
        <v>907</v>
      </c>
      <c r="E6192" t="s">
        <v>908</v>
      </c>
      <c r="L6192" t="s">
        <v>74</v>
      </c>
      <c r="M6192" t="s">
        <v>75</v>
      </c>
      <c r="R6192" t="s">
        <v>906</v>
      </c>
      <c r="W6192" t="s">
        <v>908</v>
      </c>
      <c r="X6192" t="s">
        <v>334</v>
      </c>
      <c r="Y6192" t="s">
        <v>171</v>
      </c>
      <c r="Z6192" t="s">
        <v>77</v>
      </c>
      <c r="AA6192" t="str">
        <f>"11418-2832"</f>
        <v>11418-2832</v>
      </c>
      <c r="AB6192" t="s">
        <v>78</v>
      </c>
      <c r="AC6192" t="s">
        <v>79</v>
      </c>
      <c r="AD6192" t="s">
        <v>75</v>
      </c>
      <c r="AE6192" t="s">
        <v>80</v>
      </c>
      <c r="AG6192" t="s">
        <v>81</v>
      </c>
    </row>
    <row r="6193" spans="1:33" x14ac:dyDescent="0.25">
      <c r="A6193" t="str">
        <f>"1407006810"</f>
        <v>1407006810</v>
      </c>
      <c r="B6193" t="str">
        <f>"03805149"</f>
        <v>03805149</v>
      </c>
      <c r="C6193" t="s">
        <v>13436</v>
      </c>
      <c r="D6193" t="s">
        <v>29175</v>
      </c>
      <c r="E6193" t="s">
        <v>29176</v>
      </c>
      <c r="G6193" t="s">
        <v>29177</v>
      </c>
      <c r="L6193" t="s">
        <v>84</v>
      </c>
      <c r="M6193" t="s">
        <v>85</v>
      </c>
      <c r="R6193" t="s">
        <v>29178</v>
      </c>
      <c r="W6193" t="s">
        <v>29176</v>
      </c>
      <c r="X6193" t="s">
        <v>13399</v>
      </c>
      <c r="Y6193" t="s">
        <v>97</v>
      </c>
      <c r="Z6193" t="s">
        <v>77</v>
      </c>
      <c r="AA6193" t="str">
        <f>"10011-1611"</f>
        <v>10011-1611</v>
      </c>
      <c r="AB6193" t="s">
        <v>78</v>
      </c>
      <c r="AC6193" t="s">
        <v>79</v>
      </c>
      <c r="AD6193" t="s">
        <v>75</v>
      </c>
      <c r="AE6193" t="s">
        <v>80</v>
      </c>
      <c r="AG6193" t="s">
        <v>81</v>
      </c>
    </row>
    <row r="6194" spans="1:33" x14ac:dyDescent="0.25">
      <c r="A6194" t="str">
        <f>"1407013758"</f>
        <v>1407013758</v>
      </c>
      <c r="B6194" t="str">
        <f>"03915235"</f>
        <v>03915235</v>
      </c>
      <c r="C6194" t="s">
        <v>13436</v>
      </c>
      <c r="D6194" t="s">
        <v>29179</v>
      </c>
      <c r="E6194" t="s">
        <v>29180</v>
      </c>
      <c r="G6194" t="s">
        <v>29181</v>
      </c>
      <c r="L6194" t="s">
        <v>83</v>
      </c>
      <c r="M6194" t="s">
        <v>75</v>
      </c>
      <c r="R6194" t="s">
        <v>29182</v>
      </c>
      <c r="W6194" t="s">
        <v>29180</v>
      </c>
      <c r="X6194" t="s">
        <v>329</v>
      </c>
      <c r="Y6194" t="s">
        <v>97</v>
      </c>
      <c r="Z6194" t="s">
        <v>77</v>
      </c>
      <c r="AA6194" t="str">
        <f>"10029-6504"</f>
        <v>10029-6504</v>
      </c>
      <c r="AB6194" t="s">
        <v>78</v>
      </c>
      <c r="AC6194" t="s">
        <v>79</v>
      </c>
      <c r="AD6194" t="s">
        <v>75</v>
      </c>
      <c r="AE6194" t="s">
        <v>80</v>
      </c>
      <c r="AG6194" t="s">
        <v>81</v>
      </c>
    </row>
    <row r="6195" spans="1:33" x14ac:dyDescent="0.25">
      <c r="A6195" t="str">
        <f>"1407017932"</f>
        <v>1407017932</v>
      </c>
      <c r="B6195" t="str">
        <f>"03838479"</f>
        <v>03838479</v>
      </c>
      <c r="C6195" t="s">
        <v>13436</v>
      </c>
      <c r="D6195" t="s">
        <v>29183</v>
      </c>
      <c r="E6195" t="s">
        <v>29184</v>
      </c>
      <c r="G6195" t="s">
        <v>29185</v>
      </c>
      <c r="L6195" t="s">
        <v>102</v>
      </c>
      <c r="M6195" t="s">
        <v>75</v>
      </c>
      <c r="R6195" t="s">
        <v>29186</v>
      </c>
      <c r="W6195" t="s">
        <v>29184</v>
      </c>
      <c r="X6195" t="s">
        <v>1076</v>
      </c>
      <c r="Y6195" t="s">
        <v>97</v>
      </c>
      <c r="Z6195" t="s">
        <v>77</v>
      </c>
      <c r="AA6195" t="str">
        <f>"10025-1737"</f>
        <v>10025-1737</v>
      </c>
      <c r="AB6195" t="s">
        <v>78</v>
      </c>
      <c r="AC6195" t="s">
        <v>79</v>
      </c>
      <c r="AD6195" t="s">
        <v>75</v>
      </c>
      <c r="AE6195" t="s">
        <v>80</v>
      </c>
      <c r="AG6195" t="s">
        <v>81</v>
      </c>
    </row>
    <row r="6196" spans="1:33" x14ac:dyDescent="0.25">
      <c r="A6196" t="str">
        <f>"1407030752"</f>
        <v>1407030752</v>
      </c>
      <c r="B6196" t="str">
        <f>"03923264"</f>
        <v>03923264</v>
      </c>
      <c r="C6196" t="s">
        <v>13436</v>
      </c>
      <c r="D6196" t="s">
        <v>29187</v>
      </c>
      <c r="E6196" t="s">
        <v>29188</v>
      </c>
      <c r="G6196" t="s">
        <v>29189</v>
      </c>
      <c r="L6196" t="s">
        <v>83</v>
      </c>
      <c r="M6196" t="s">
        <v>75</v>
      </c>
      <c r="R6196" t="s">
        <v>29190</v>
      </c>
      <c r="W6196" t="s">
        <v>29191</v>
      </c>
      <c r="X6196" t="s">
        <v>272</v>
      </c>
      <c r="Y6196" t="s">
        <v>97</v>
      </c>
      <c r="Z6196" t="s">
        <v>77</v>
      </c>
      <c r="AA6196" t="str">
        <f>"10029-6501"</f>
        <v>10029-6501</v>
      </c>
      <c r="AB6196" t="s">
        <v>78</v>
      </c>
      <c r="AC6196" t="s">
        <v>79</v>
      </c>
      <c r="AD6196" t="s">
        <v>75</v>
      </c>
      <c r="AE6196" t="s">
        <v>80</v>
      </c>
      <c r="AG6196" t="s">
        <v>81</v>
      </c>
    </row>
    <row r="6197" spans="1:33" x14ac:dyDescent="0.25">
      <c r="A6197" t="str">
        <f>"1407061393"</f>
        <v>1407061393</v>
      </c>
      <c r="B6197" t="str">
        <f>"04470022"</f>
        <v>04470022</v>
      </c>
      <c r="C6197" t="s">
        <v>13436</v>
      </c>
      <c r="D6197" t="s">
        <v>29192</v>
      </c>
      <c r="E6197" t="s">
        <v>29193</v>
      </c>
      <c r="G6197" t="s">
        <v>29194</v>
      </c>
      <c r="L6197" t="s">
        <v>102</v>
      </c>
      <c r="M6197" t="s">
        <v>75</v>
      </c>
      <c r="R6197" t="s">
        <v>29195</v>
      </c>
      <c r="W6197" t="s">
        <v>29193</v>
      </c>
      <c r="AB6197" t="s">
        <v>78</v>
      </c>
      <c r="AC6197" t="s">
        <v>79</v>
      </c>
      <c r="AD6197" t="s">
        <v>75</v>
      </c>
      <c r="AE6197" t="s">
        <v>80</v>
      </c>
      <c r="AG6197" t="s">
        <v>81</v>
      </c>
    </row>
    <row r="6198" spans="1:33" x14ac:dyDescent="0.25">
      <c r="A6198" t="str">
        <f>"1437308129"</f>
        <v>1437308129</v>
      </c>
      <c r="C6198" t="s">
        <v>13436</v>
      </c>
      <c r="K6198" t="s">
        <v>99</v>
      </c>
      <c r="L6198" t="s">
        <v>102</v>
      </c>
      <c r="M6198" t="s">
        <v>75</v>
      </c>
      <c r="R6198" t="s">
        <v>29196</v>
      </c>
      <c r="S6198" t="s">
        <v>24381</v>
      </c>
      <c r="T6198" t="s">
        <v>97</v>
      </c>
      <c r="U6198" t="s">
        <v>77</v>
      </c>
      <c r="V6198" t="str">
        <f>"100296503"</f>
        <v>100296503</v>
      </c>
      <c r="AC6198" t="s">
        <v>79</v>
      </c>
      <c r="AD6198" t="s">
        <v>75</v>
      </c>
      <c r="AE6198" t="s">
        <v>103</v>
      </c>
      <c r="AG6198" t="s">
        <v>81</v>
      </c>
    </row>
    <row r="6199" spans="1:33" x14ac:dyDescent="0.25">
      <c r="A6199" t="str">
        <f>"1437342797"</f>
        <v>1437342797</v>
      </c>
      <c r="B6199" t="str">
        <f>"03322507"</f>
        <v>03322507</v>
      </c>
      <c r="C6199" t="s">
        <v>13436</v>
      </c>
      <c r="D6199" t="s">
        <v>29197</v>
      </c>
      <c r="E6199" t="s">
        <v>29198</v>
      </c>
      <c r="G6199" t="s">
        <v>29199</v>
      </c>
      <c r="L6199" t="s">
        <v>83</v>
      </c>
      <c r="M6199" t="s">
        <v>85</v>
      </c>
      <c r="R6199" t="s">
        <v>29200</v>
      </c>
      <c r="W6199" t="s">
        <v>29201</v>
      </c>
      <c r="X6199" t="s">
        <v>222</v>
      </c>
      <c r="Y6199" t="s">
        <v>199</v>
      </c>
      <c r="Z6199" t="s">
        <v>77</v>
      </c>
      <c r="AA6199" t="str">
        <f>"11706-8408"</f>
        <v>11706-8408</v>
      </c>
      <c r="AB6199" t="s">
        <v>78</v>
      </c>
      <c r="AC6199" t="s">
        <v>79</v>
      </c>
      <c r="AD6199" t="s">
        <v>75</v>
      </c>
      <c r="AE6199" t="s">
        <v>80</v>
      </c>
      <c r="AG6199" t="s">
        <v>81</v>
      </c>
    </row>
    <row r="6200" spans="1:33" x14ac:dyDescent="0.25">
      <c r="A6200" t="str">
        <f>"1437357977"</f>
        <v>1437357977</v>
      </c>
      <c r="C6200" t="s">
        <v>13436</v>
      </c>
      <c r="G6200" t="s">
        <v>29202</v>
      </c>
      <c r="K6200" t="s">
        <v>99</v>
      </c>
      <c r="L6200" t="s">
        <v>102</v>
      </c>
      <c r="M6200" t="s">
        <v>75</v>
      </c>
      <c r="R6200" t="s">
        <v>29203</v>
      </c>
      <c r="S6200" t="s">
        <v>5050</v>
      </c>
      <c r="T6200" t="s">
        <v>97</v>
      </c>
      <c r="U6200" t="s">
        <v>77</v>
      </c>
      <c r="V6200" t="str">
        <f>"100296500"</f>
        <v>100296500</v>
      </c>
      <c r="AC6200" t="s">
        <v>79</v>
      </c>
      <c r="AD6200" t="s">
        <v>75</v>
      </c>
      <c r="AE6200" t="s">
        <v>103</v>
      </c>
      <c r="AG6200" t="s">
        <v>81</v>
      </c>
    </row>
    <row r="6201" spans="1:33" x14ac:dyDescent="0.25">
      <c r="A6201" t="str">
        <f>"1437365582"</f>
        <v>1437365582</v>
      </c>
      <c r="B6201" t="str">
        <f>"03731353"</f>
        <v>03731353</v>
      </c>
      <c r="C6201" t="s">
        <v>13436</v>
      </c>
      <c r="D6201" t="s">
        <v>29204</v>
      </c>
      <c r="E6201" t="s">
        <v>29205</v>
      </c>
      <c r="G6201" t="s">
        <v>29206</v>
      </c>
      <c r="L6201" t="s">
        <v>102</v>
      </c>
      <c r="M6201" t="s">
        <v>75</v>
      </c>
      <c r="R6201" t="s">
        <v>29207</v>
      </c>
      <c r="W6201" t="s">
        <v>29205</v>
      </c>
      <c r="X6201" t="s">
        <v>329</v>
      </c>
      <c r="Y6201" t="s">
        <v>97</v>
      </c>
      <c r="Z6201" t="s">
        <v>77</v>
      </c>
      <c r="AA6201" t="str">
        <f>"10029-6504"</f>
        <v>10029-6504</v>
      </c>
      <c r="AB6201" t="s">
        <v>78</v>
      </c>
      <c r="AC6201" t="s">
        <v>79</v>
      </c>
      <c r="AD6201" t="s">
        <v>75</v>
      </c>
      <c r="AE6201" t="s">
        <v>80</v>
      </c>
      <c r="AG6201" t="s">
        <v>81</v>
      </c>
    </row>
    <row r="6202" spans="1:33" x14ac:dyDescent="0.25">
      <c r="A6202" t="str">
        <f>"1437383916"</f>
        <v>1437383916</v>
      </c>
      <c r="B6202" t="str">
        <f>"04371519"</f>
        <v>04371519</v>
      </c>
      <c r="C6202" t="s">
        <v>13436</v>
      </c>
      <c r="D6202" t="s">
        <v>29208</v>
      </c>
      <c r="E6202" t="s">
        <v>29209</v>
      </c>
      <c r="L6202" t="s">
        <v>74</v>
      </c>
      <c r="M6202" t="s">
        <v>75</v>
      </c>
      <c r="R6202" t="s">
        <v>29210</v>
      </c>
      <c r="W6202" t="s">
        <v>29209</v>
      </c>
      <c r="X6202" t="s">
        <v>2665</v>
      </c>
      <c r="Y6202" t="s">
        <v>135</v>
      </c>
      <c r="Z6202" t="s">
        <v>77</v>
      </c>
      <c r="AA6202" t="str">
        <f>"14203-1126"</f>
        <v>14203-1126</v>
      </c>
      <c r="AB6202" t="s">
        <v>78</v>
      </c>
      <c r="AC6202" t="s">
        <v>79</v>
      </c>
      <c r="AD6202" t="s">
        <v>75</v>
      </c>
      <c r="AE6202" t="s">
        <v>80</v>
      </c>
      <c r="AG6202" t="s">
        <v>81</v>
      </c>
    </row>
    <row r="6203" spans="1:33" x14ac:dyDescent="0.25">
      <c r="A6203" t="str">
        <f>"1437392784"</f>
        <v>1437392784</v>
      </c>
      <c r="B6203" t="str">
        <f>"03513077"</f>
        <v>03513077</v>
      </c>
      <c r="C6203" t="s">
        <v>13436</v>
      </c>
      <c r="D6203" t="s">
        <v>29211</v>
      </c>
      <c r="E6203" t="s">
        <v>29212</v>
      </c>
      <c r="L6203" t="s">
        <v>83</v>
      </c>
      <c r="M6203" t="s">
        <v>75</v>
      </c>
      <c r="R6203" t="s">
        <v>29213</v>
      </c>
      <c r="W6203" t="s">
        <v>29214</v>
      </c>
      <c r="X6203" t="s">
        <v>272</v>
      </c>
      <c r="Y6203" t="s">
        <v>97</v>
      </c>
      <c r="Z6203" t="s">
        <v>77</v>
      </c>
      <c r="AA6203" t="str">
        <f>"10029-6501"</f>
        <v>10029-6501</v>
      </c>
      <c r="AB6203" t="s">
        <v>78</v>
      </c>
      <c r="AC6203" t="s">
        <v>79</v>
      </c>
      <c r="AD6203" t="s">
        <v>75</v>
      </c>
      <c r="AE6203" t="s">
        <v>80</v>
      </c>
      <c r="AG6203" t="s">
        <v>81</v>
      </c>
    </row>
    <row r="6204" spans="1:33" x14ac:dyDescent="0.25">
      <c r="A6204" t="str">
        <f>"1144640004"</f>
        <v>1144640004</v>
      </c>
      <c r="C6204" t="s">
        <v>13436</v>
      </c>
      <c r="K6204" t="s">
        <v>99</v>
      </c>
      <c r="L6204" t="s">
        <v>102</v>
      </c>
      <c r="M6204" t="s">
        <v>75</v>
      </c>
      <c r="AC6204" t="s">
        <v>79</v>
      </c>
      <c r="AD6204" t="s">
        <v>75</v>
      </c>
      <c r="AE6204" t="s">
        <v>103</v>
      </c>
      <c r="AG6204" t="s">
        <v>81</v>
      </c>
    </row>
    <row r="6205" spans="1:33" x14ac:dyDescent="0.25">
      <c r="A6205" t="str">
        <f>"1437134624"</f>
        <v>1437134624</v>
      </c>
      <c r="B6205" t="str">
        <f>"01020020"</f>
        <v>01020020</v>
      </c>
      <c r="C6205" t="s">
        <v>13436</v>
      </c>
      <c r="D6205" t="s">
        <v>29215</v>
      </c>
      <c r="E6205" t="s">
        <v>29216</v>
      </c>
      <c r="G6205" t="s">
        <v>29217</v>
      </c>
      <c r="L6205" t="s">
        <v>83</v>
      </c>
      <c r="M6205" t="s">
        <v>85</v>
      </c>
      <c r="R6205" t="s">
        <v>29218</v>
      </c>
      <c r="W6205" t="s">
        <v>29219</v>
      </c>
      <c r="X6205" t="s">
        <v>329</v>
      </c>
      <c r="Y6205" t="s">
        <v>97</v>
      </c>
      <c r="Z6205" t="s">
        <v>77</v>
      </c>
      <c r="AA6205" t="str">
        <f>"10029-6500"</f>
        <v>10029-6500</v>
      </c>
      <c r="AB6205" t="s">
        <v>78</v>
      </c>
      <c r="AC6205" t="s">
        <v>79</v>
      </c>
      <c r="AD6205" t="s">
        <v>75</v>
      </c>
      <c r="AE6205" t="s">
        <v>80</v>
      </c>
      <c r="AG6205" t="s">
        <v>81</v>
      </c>
    </row>
    <row r="6206" spans="1:33" x14ac:dyDescent="0.25">
      <c r="A6206" t="str">
        <f>"1437138062"</f>
        <v>1437138062</v>
      </c>
      <c r="B6206" t="str">
        <f>"00390616"</f>
        <v>00390616</v>
      </c>
      <c r="C6206" t="s">
        <v>13436</v>
      </c>
      <c r="D6206" t="s">
        <v>29220</v>
      </c>
      <c r="E6206" t="s">
        <v>29221</v>
      </c>
      <c r="G6206" t="s">
        <v>29222</v>
      </c>
      <c r="L6206" t="s">
        <v>83</v>
      </c>
      <c r="M6206" t="s">
        <v>85</v>
      </c>
      <c r="R6206" t="s">
        <v>29223</v>
      </c>
      <c r="W6206" t="s">
        <v>29224</v>
      </c>
      <c r="Y6206" t="s">
        <v>97</v>
      </c>
      <c r="Z6206" t="s">
        <v>77</v>
      </c>
      <c r="AA6206" t="str">
        <f>"10029-6500"</f>
        <v>10029-6500</v>
      </c>
      <c r="AB6206" t="s">
        <v>78</v>
      </c>
      <c r="AC6206" t="s">
        <v>79</v>
      </c>
      <c r="AD6206" t="s">
        <v>75</v>
      </c>
      <c r="AE6206" t="s">
        <v>80</v>
      </c>
      <c r="AG6206" t="s">
        <v>81</v>
      </c>
    </row>
    <row r="6207" spans="1:33" x14ac:dyDescent="0.25">
      <c r="A6207" t="str">
        <f>"1780695916"</f>
        <v>1780695916</v>
      </c>
      <c r="B6207" t="str">
        <f>"02916796"</f>
        <v>02916796</v>
      </c>
      <c r="C6207" t="s">
        <v>13436</v>
      </c>
      <c r="D6207" t="s">
        <v>29225</v>
      </c>
      <c r="E6207" t="s">
        <v>29226</v>
      </c>
      <c r="G6207" t="s">
        <v>29227</v>
      </c>
      <c r="L6207" t="s">
        <v>105</v>
      </c>
      <c r="M6207" t="s">
        <v>85</v>
      </c>
      <c r="R6207" t="s">
        <v>29228</v>
      </c>
      <c r="W6207" t="s">
        <v>29229</v>
      </c>
      <c r="X6207" t="s">
        <v>3553</v>
      </c>
      <c r="Y6207" t="s">
        <v>97</v>
      </c>
      <c r="Z6207" t="s">
        <v>77</v>
      </c>
      <c r="AA6207" t="str">
        <f>"10003-3851"</f>
        <v>10003-3851</v>
      </c>
      <c r="AB6207" t="s">
        <v>78</v>
      </c>
      <c r="AC6207" t="s">
        <v>79</v>
      </c>
      <c r="AD6207" t="s">
        <v>75</v>
      </c>
      <c r="AE6207" t="s">
        <v>80</v>
      </c>
      <c r="AG6207" t="s">
        <v>81</v>
      </c>
    </row>
    <row r="6208" spans="1:33" x14ac:dyDescent="0.25">
      <c r="A6208" t="str">
        <f>"1780756395"</f>
        <v>1780756395</v>
      </c>
      <c r="B6208" t="str">
        <f>"02166690"</f>
        <v>02166690</v>
      </c>
      <c r="C6208" t="s">
        <v>13436</v>
      </c>
      <c r="D6208" t="s">
        <v>29230</v>
      </c>
      <c r="E6208" t="s">
        <v>29231</v>
      </c>
      <c r="G6208" t="s">
        <v>29232</v>
      </c>
      <c r="L6208" t="s">
        <v>83</v>
      </c>
      <c r="M6208" t="s">
        <v>85</v>
      </c>
      <c r="W6208" t="s">
        <v>29231</v>
      </c>
      <c r="X6208" t="s">
        <v>191</v>
      </c>
      <c r="Y6208" t="s">
        <v>97</v>
      </c>
      <c r="Z6208" t="s">
        <v>77</v>
      </c>
      <c r="AA6208" t="str">
        <f>"10019-1147"</f>
        <v>10019-1147</v>
      </c>
      <c r="AB6208" t="s">
        <v>78</v>
      </c>
      <c r="AC6208" t="s">
        <v>79</v>
      </c>
      <c r="AD6208" t="s">
        <v>75</v>
      </c>
      <c r="AE6208" t="s">
        <v>80</v>
      </c>
      <c r="AG6208" t="s">
        <v>81</v>
      </c>
    </row>
    <row r="6209" spans="1:33" x14ac:dyDescent="0.25">
      <c r="A6209" t="str">
        <f>"1780821629"</f>
        <v>1780821629</v>
      </c>
      <c r="B6209" t="str">
        <f>"03122598"</f>
        <v>03122598</v>
      </c>
      <c r="C6209" t="s">
        <v>13436</v>
      </c>
      <c r="D6209" t="s">
        <v>29233</v>
      </c>
      <c r="E6209" t="s">
        <v>29234</v>
      </c>
      <c r="G6209" t="s">
        <v>29235</v>
      </c>
      <c r="L6209" t="s">
        <v>83</v>
      </c>
      <c r="M6209" t="s">
        <v>85</v>
      </c>
      <c r="R6209" t="s">
        <v>29236</v>
      </c>
      <c r="W6209" t="s">
        <v>29237</v>
      </c>
      <c r="X6209" t="s">
        <v>181</v>
      </c>
      <c r="Y6209" t="s">
        <v>97</v>
      </c>
      <c r="Z6209" t="s">
        <v>77</v>
      </c>
      <c r="AA6209" t="str">
        <f>"10025-1716"</f>
        <v>10025-1716</v>
      </c>
      <c r="AB6209" t="s">
        <v>78</v>
      </c>
      <c r="AC6209" t="s">
        <v>79</v>
      </c>
      <c r="AD6209" t="s">
        <v>75</v>
      </c>
      <c r="AE6209" t="s">
        <v>80</v>
      </c>
      <c r="AG6209" t="s">
        <v>81</v>
      </c>
    </row>
    <row r="6210" spans="1:33" x14ac:dyDescent="0.25">
      <c r="A6210" t="str">
        <f>"1538584834"</f>
        <v>1538584834</v>
      </c>
      <c r="B6210" t="str">
        <f>"03807710"</f>
        <v>03807710</v>
      </c>
      <c r="C6210" t="s">
        <v>13436</v>
      </c>
      <c r="D6210" t="s">
        <v>29238</v>
      </c>
      <c r="E6210" t="s">
        <v>29239</v>
      </c>
      <c r="G6210" t="s">
        <v>29240</v>
      </c>
      <c r="L6210" t="s">
        <v>102</v>
      </c>
      <c r="M6210" t="s">
        <v>75</v>
      </c>
      <c r="R6210" t="s">
        <v>29241</v>
      </c>
      <c r="W6210" t="s">
        <v>29239</v>
      </c>
      <c r="X6210" t="s">
        <v>11436</v>
      </c>
      <c r="Y6210" t="s">
        <v>97</v>
      </c>
      <c r="Z6210" t="s">
        <v>77</v>
      </c>
      <c r="AA6210" t="str">
        <f>"10029-6503"</f>
        <v>10029-6503</v>
      </c>
      <c r="AB6210" t="s">
        <v>78</v>
      </c>
      <c r="AC6210" t="s">
        <v>79</v>
      </c>
      <c r="AD6210" t="s">
        <v>75</v>
      </c>
      <c r="AE6210" t="s">
        <v>80</v>
      </c>
      <c r="AG6210" t="s">
        <v>81</v>
      </c>
    </row>
    <row r="6211" spans="1:33" x14ac:dyDescent="0.25">
      <c r="A6211" t="str">
        <f>"1548201072"</f>
        <v>1548201072</v>
      </c>
      <c r="B6211" t="str">
        <f>"03273681"</f>
        <v>03273681</v>
      </c>
      <c r="C6211" t="s">
        <v>13436</v>
      </c>
      <c r="D6211" t="s">
        <v>4000</v>
      </c>
      <c r="E6211" t="s">
        <v>4001</v>
      </c>
      <c r="G6211" t="s">
        <v>29242</v>
      </c>
      <c r="L6211" t="s">
        <v>74</v>
      </c>
      <c r="M6211" t="s">
        <v>75</v>
      </c>
      <c r="R6211" t="s">
        <v>4002</v>
      </c>
      <c r="W6211" t="s">
        <v>4001</v>
      </c>
      <c r="X6211" t="s">
        <v>200</v>
      </c>
      <c r="Y6211" t="s">
        <v>97</v>
      </c>
      <c r="Z6211" t="s">
        <v>77</v>
      </c>
      <c r="AA6211" t="str">
        <f>"10032-3720"</f>
        <v>10032-3720</v>
      </c>
      <c r="AB6211" t="s">
        <v>78</v>
      </c>
      <c r="AC6211" t="s">
        <v>79</v>
      </c>
      <c r="AD6211" t="s">
        <v>75</v>
      </c>
      <c r="AE6211" t="s">
        <v>80</v>
      </c>
      <c r="AG6211" t="s">
        <v>81</v>
      </c>
    </row>
    <row r="6212" spans="1:33" x14ac:dyDescent="0.25">
      <c r="A6212" t="str">
        <f>"1427118140"</f>
        <v>1427118140</v>
      </c>
      <c r="B6212" t="str">
        <f>"02932589"</f>
        <v>02932589</v>
      </c>
      <c r="C6212" t="s">
        <v>13436</v>
      </c>
      <c r="D6212" t="s">
        <v>476</v>
      </c>
      <c r="E6212" t="s">
        <v>477</v>
      </c>
      <c r="G6212" t="s">
        <v>29243</v>
      </c>
      <c r="L6212" t="s">
        <v>84</v>
      </c>
      <c r="M6212" t="s">
        <v>85</v>
      </c>
      <c r="R6212" t="s">
        <v>475</v>
      </c>
      <c r="W6212" t="s">
        <v>478</v>
      </c>
      <c r="X6212" t="s">
        <v>479</v>
      </c>
      <c r="Y6212" t="s">
        <v>131</v>
      </c>
      <c r="Z6212" t="s">
        <v>77</v>
      </c>
      <c r="AA6212" t="str">
        <f>"10456-3602"</f>
        <v>10456-3602</v>
      </c>
      <c r="AB6212" t="s">
        <v>78</v>
      </c>
      <c r="AC6212" t="s">
        <v>79</v>
      </c>
      <c r="AD6212" t="s">
        <v>75</v>
      </c>
      <c r="AE6212" t="s">
        <v>80</v>
      </c>
      <c r="AG6212" t="s">
        <v>81</v>
      </c>
    </row>
    <row r="6213" spans="1:33" x14ac:dyDescent="0.25">
      <c r="A6213" t="str">
        <f>"1437175775"</f>
        <v>1437175775</v>
      </c>
      <c r="B6213" t="str">
        <f>"00944743"</f>
        <v>00944743</v>
      </c>
      <c r="C6213" t="s">
        <v>13436</v>
      </c>
      <c r="D6213" t="s">
        <v>29244</v>
      </c>
      <c r="E6213" t="s">
        <v>29245</v>
      </c>
      <c r="G6213" t="s">
        <v>29246</v>
      </c>
      <c r="L6213" t="s">
        <v>83</v>
      </c>
      <c r="M6213" t="s">
        <v>85</v>
      </c>
      <c r="R6213" t="s">
        <v>29247</v>
      </c>
      <c r="W6213" t="s">
        <v>29245</v>
      </c>
      <c r="X6213" t="s">
        <v>14807</v>
      </c>
      <c r="Y6213" t="s">
        <v>97</v>
      </c>
      <c r="Z6213" t="s">
        <v>77</v>
      </c>
      <c r="AA6213" t="str">
        <f>"10128-7603"</f>
        <v>10128-7603</v>
      </c>
      <c r="AB6213" t="s">
        <v>78</v>
      </c>
      <c r="AC6213" t="s">
        <v>79</v>
      </c>
      <c r="AD6213" t="s">
        <v>75</v>
      </c>
      <c r="AE6213" t="s">
        <v>80</v>
      </c>
      <c r="AG6213" t="s">
        <v>81</v>
      </c>
    </row>
    <row r="6214" spans="1:33" x14ac:dyDescent="0.25">
      <c r="A6214" t="str">
        <f>"1306944582"</f>
        <v>1306944582</v>
      </c>
      <c r="B6214" t="str">
        <f>"01269841"</f>
        <v>01269841</v>
      </c>
      <c r="C6214" t="s">
        <v>13436</v>
      </c>
      <c r="D6214" t="s">
        <v>29248</v>
      </c>
      <c r="E6214" t="s">
        <v>29249</v>
      </c>
      <c r="G6214" t="s">
        <v>29250</v>
      </c>
      <c r="L6214" t="s">
        <v>83</v>
      </c>
      <c r="M6214" t="s">
        <v>75</v>
      </c>
      <c r="R6214" t="s">
        <v>29251</v>
      </c>
      <c r="W6214" t="s">
        <v>29249</v>
      </c>
      <c r="X6214" t="s">
        <v>911</v>
      </c>
      <c r="Y6214" t="s">
        <v>97</v>
      </c>
      <c r="Z6214" t="s">
        <v>77</v>
      </c>
      <c r="AA6214" t="str">
        <f>"10019-1104"</f>
        <v>10019-1104</v>
      </c>
      <c r="AB6214" t="s">
        <v>78</v>
      </c>
      <c r="AC6214" t="s">
        <v>79</v>
      </c>
      <c r="AD6214" t="s">
        <v>75</v>
      </c>
      <c r="AE6214" t="s">
        <v>80</v>
      </c>
      <c r="AG6214" t="s">
        <v>81</v>
      </c>
    </row>
    <row r="6215" spans="1:33" x14ac:dyDescent="0.25">
      <c r="A6215" t="str">
        <f>"1316137490"</f>
        <v>1316137490</v>
      </c>
      <c r="B6215" t="str">
        <f>"03111933"</f>
        <v>03111933</v>
      </c>
      <c r="C6215" t="s">
        <v>13436</v>
      </c>
      <c r="D6215" t="s">
        <v>29252</v>
      </c>
      <c r="E6215" t="s">
        <v>29253</v>
      </c>
      <c r="G6215" t="s">
        <v>29254</v>
      </c>
      <c r="L6215" t="s">
        <v>105</v>
      </c>
      <c r="M6215" t="s">
        <v>75</v>
      </c>
      <c r="R6215" t="s">
        <v>29255</v>
      </c>
      <c r="W6215" t="s">
        <v>29256</v>
      </c>
      <c r="X6215" t="s">
        <v>2831</v>
      </c>
      <c r="Y6215" t="s">
        <v>97</v>
      </c>
      <c r="Z6215" t="s">
        <v>77</v>
      </c>
      <c r="AA6215" t="str">
        <f>"10029-6500"</f>
        <v>10029-6500</v>
      </c>
      <c r="AB6215" t="s">
        <v>78</v>
      </c>
      <c r="AC6215" t="s">
        <v>79</v>
      </c>
      <c r="AD6215" t="s">
        <v>75</v>
      </c>
      <c r="AE6215" t="s">
        <v>80</v>
      </c>
      <c r="AG6215" t="s">
        <v>81</v>
      </c>
    </row>
    <row r="6216" spans="1:33" x14ac:dyDescent="0.25">
      <c r="A6216" t="str">
        <f>"1316965585"</f>
        <v>1316965585</v>
      </c>
      <c r="B6216" t="str">
        <f>"00552332"</f>
        <v>00552332</v>
      </c>
      <c r="C6216" t="s">
        <v>13436</v>
      </c>
      <c r="D6216" t="s">
        <v>29257</v>
      </c>
      <c r="E6216" t="s">
        <v>29258</v>
      </c>
      <c r="G6216" t="s">
        <v>29259</v>
      </c>
      <c r="L6216" t="s">
        <v>83</v>
      </c>
      <c r="M6216" t="s">
        <v>85</v>
      </c>
      <c r="R6216" t="s">
        <v>29260</v>
      </c>
      <c r="W6216" t="s">
        <v>29258</v>
      </c>
      <c r="X6216" t="s">
        <v>29261</v>
      </c>
      <c r="Y6216" t="s">
        <v>3246</v>
      </c>
      <c r="Z6216" t="s">
        <v>77</v>
      </c>
      <c r="AA6216" t="str">
        <f>"10913"</f>
        <v>10913</v>
      </c>
      <c r="AB6216" t="s">
        <v>78</v>
      </c>
      <c r="AC6216" t="s">
        <v>79</v>
      </c>
      <c r="AD6216" t="s">
        <v>75</v>
      </c>
      <c r="AE6216" t="s">
        <v>80</v>
      </c>
      <c r="AG6216" t="s">
        <v>81</v>
      </c>
    </row>
    <row r="6217" spans="1:33" x14ac:dyDescent="0.25">
      <c r="A6217" t="str">
        <f>"1316985773"</f>
        <v>1316985773</v>
      </c>
      <c r="B6217" t="str">
        <f>"02377544"</f>
        <v>02377544</v>
      </c>
      <c r="C6217" t="s">
        <v>13436</v>
      </c>
      <c r="D6217" t="s">
        <v>29262</v>
      </c>
      <c r="E6217" t="s">
        <v>29263</v>
      </c>
      <c r="G6217" t="s">
        <v>29264</v>
      </c>
      <c r="L6217" t="s">
        <v>84</v>
      </c>
      <c r="M6217" t="s">
        <v>75</v>
      </c>
      <c r="R6217" t="s">
        <v>29263</v>
      </c>
      <c r="W6217" t="s">
        <v>29265</v>
      </c>
      <c r="X6217" t="s">
        <v>5792</v>
      </c>
      <c r="Y6217" t="s">
        <v>97</v>
      </c>
      <c r="Z6217" t="s">
        <v>77</v>
      </c>
      <c r="AA6217" t="str">
        <f>"10002-4379"</f>
        <v>10002-4379</v>
      </c>
      <c r="AB6217" t="s">
        <v>78</v>
      </c>
      <c r="AC6217" t="s">
        <v>79</v>
      </c>
      <c r="AD6217" t="s">
        <v>75</v>
      </c>
      <c r="AE6217" t="s">
        <v>80</v>
      </c>
      <c r="AG6217" t="s">
        <v>81</v>
      </c>
    </row>
    <row r="6218" spans="1:33" x14ac:dyDescent="0.25">
      <c r="A6218" t="str">
        <f>"1316991417"</f>
        <v>1316991417</v>
      </c>
      <c r="B6218" t="str">
        <f>"02141537"</f>
        <v>02141537</v>
      </c>
      <c r="C6218" t="s">
        <v>13436</v>
      </c>
      <c r="D6218" t="s">
        <v>29266</v>
      </c>
      <c r="E6218" t="s">
        <v>29267</v>
      </c>
      <c r="G6218" t="s">
        <v>29268</v>
      </c>
      <c r="L6218" t="s">
        <v>83</v>
      </c>
      <c r="M6218" t="s">
        <v>85</v>
      </c>
      <c r="R6218" t="s">
        <v>5318</v>
      </c>
      <c r="W6218" t="s">
        <v>29267</v>
      </c>
      <c r="X6218" t="s">
        <v>29269</v>
      </c>
      <c r="Y6218" t="s">
        <v>97</v>
      </c>
      <c r="Z6218" t="s">
        <v>77</v>
      </c>
      <c r="AA6218" t="str">
        <f>"10021-4395"</f>
        <v>10021-4395</v>
      </c>
      <c r="AB6218" t="s">
        <v>78</v>
      </c>
      <c r="AC6218" t="s">
        <v>79</v>
      </c>
      <c r="AD6218" t="s">
        <v>75</v>
      </c>
      <c r="AE6218" t="s">
        <v>80</v>
      </c>
      <c r="AG6218" t="s">
        <v>81</v>
      </c>
    </row>
    <row r="6219" spans="1:33" x14ac:dyDescent="0.25">
      <c r="A6219" t="str">
        <f>"1326195009"</f>
        <v>1326195009</v>
      </c>
      <c r="B6219" t="str">
        <f>"03179893"</f>
        <v>03179893</v>
      </c>
      <c r="C6219" t="s">
        <v>13436</v>
      </c>
      <c r="D6219" t="s">
        <v>29270</v>
      </c>
      <c r="E6219" t="s">
        <v>29271</v>
      </c>
      <c r="G6219" t="s">
        <v>29272</v>
      </c>
      <c r="L6219" t="s">
        <v>143</v>
      </c>
      <c r="M6219" t="s">
        <v>85</v>
      </c>
      <c r="R6219" t="s">
        <v>29273</v>
      </c>
      <c r="W6219" t="s">
        <v>29271</v>
      </c>
      <c r="X6219" t="s">
        <v>86</v>
      </c>
      <c r="Y6219" t="s">
        <v>87</v>
      </c>
      <c r="Z6219" t="s">
        <v>77</v>
      </c>
      <c r="AA6219" t="str">
        <f>"11220-2559"</f>
        <v>11220-2559</v>
      </c>
      <c r="AB6219" t="s">
        <v>78</v>
      </c>
      <c r="AC6219" t="s">
        <v>79</v>
      </c>
      <c r="AD6219" t="s">
        <v>75</v>
      </c>
      <c r="AE6219" t="s">
        <v>80</v>
      </c>
      <c r="AG6219" t="s">
        <v>81</v>
      </c>
    </row>
    <row r="6220" spans="1:33" x14ac:dyDescent="0.25">
      <c r="A6220" t="str">
        <f>"1336144849"</f>
        <v>1336144849</v>
      </c>
      <c r="B6220" t="str">
        <f>"00166849"</f>
        <v>00166849</v>
      </c>
      <c r="C6220" t="s">
        <v>13436</v>
      </c>
      <c r="D6220" t="s">
        <v>29274</v>
      </c>
      <c r="E6220" t="s">
        <v>29275</v>
      </c>
      <c r="G6220" t="s">
        <v>29276</v>
      </c>
      <c r="L6220" t="s">
        <v>74</v>
      </c>
      <c r="M6220" t="s">
        <v>85</v>
      </c>
      <c r="R6220" t="s">
        <v>29277</v>
      </c>
      <c r="W6220" t="s">
        <v>29278</v>
      </c>
      <c r="X6220" t="s">
        <v>29279</v>
      </c>
      <c r="Y6220" t="s">
        <v>97</v>
      </c>
      <c r="Z6220" t="s">
        <v>77</v>
      </c>
      <c r="AA6220" t="str">
        <f>"10012-4051"</f>
        <v>10012-4051</v>
      </c>
      <c r="AB6220" t="s">
        <v>78</v>
      </c>
      <c r="AC6220" t="s">
        <v>79</v>
      </c>
      <c r="AD6220" t="s">
        <v>75</v>
      </c>
      <c r="AE6220" t="s">
        <v>80</v>
      </c>
      <c r="AG6220" t="s">
        <v>81</v>
      </c>
    </row>
    <row r="6221" spans="1:33" x14ac:dyDescent="0.25">
      <c r="A6221" t="str">
        <f>"1205278306"</f>
        <v>1205278306</v>
      </c>
      <c r="C6221" t="s">
        <v>13436</v>
      </c>
      <c r="G6221" t="s">
        <v>29280</v>
      </c>
      <c r="K6221" t="s">
        <v>99</v>
      </c>
      <c r="L6221" t="s">
        <v>102</v>
      </c>
      <c r="M6221" t="s">
        <v>75</v>
      </c>
      <c r="R6221" t="s">
        <v>29281</v>
      </c>
      <c r="S6221" t="s">
        <v>29282</v>
      </c>
      <c r="T6221" t="s">
        <v>14279</v>
      </c>
      <c r="U6221" t="s">
        <v>14126</v>
      </c>
      <c r="V6221" t="str">
        <f>"661121689"</f>
        <v>661121689</v>
      </c>
      <c r="AC6221" t="s">
        <v>79</v>
      </c>
      <c r="AD6221" t="s">
        <v>75</v>
      </c>
      <c r="AE6221" t="s">
        <v>103</v>
      </c>
      <c r="AG6221" t="s">
        <v>81</v>
      </c>
    </row>
    <row r="6222" spans="1:33" x14ac:dyDescent="0.25">
      <c r="A6222" t="str">
        <f>"1205279460"</f>
        <v>1205279460</v>
      </c>
      <c r="C6222" t="s">
        <v>13436</v>
      </c>
      <c r="K6222" t="s">
        <v>99</v>
      </c>
      <c r="L6222" t="s">
        <v>102</v>
      </c>
      <c r="M6222" t="s">
        <v>75</v>
      </c>
      <c r="R6222" t="s">
        <v>29283</v>
      </c>
      <c r="S6222" t="s">
        <v>719</v>
      </c>
      <c r="T6222" t="s">
        <v>894</v>
      </c>
      <c r="U6222" t="s">
        <v>77</v>
      </c>
      <c r="V6222" t="str">
        <f>"10003"</f>
        <v>10003</v>
      </c>
      <c r="AC6222" t="s">
        <v>79</v>
      </c>
      <c r="AD6222" t="s">
        <v>75</v>
      </c>
      <c r="AE6222" t="s">
        <v>103</v>
      </c>
      <c r="AG6222" t="s">
        <v>81</v>
      </c>
    </row>
    <row r="6223" spans="1:33" x14ac:dyDescent="0.25">
      <c r="A6223" t="str">
        <f>"1205802543"</f>
        <v>1205802543</v>
      </c>
      <c r="C6223" t="s">
        <v>13436</v>
      </c>
      <c r="G6223" t="s">
        <v>29284</v>
      </c>
      <c r="K6223" t="s">
        <v>99</v>
      </c>
      <c r="L6223" t="s">
        <v>74</v>
      </c>
      <c r="M6223" t="s">
        <v>75</v>
      </c>
      <c r="R6223" t="s">
        <v>29285</v>
      </c>
      <c r="S6223" t="s">
        <v>29286</v>
      </c>
      <c r="T6223" t="s">
        <v>97</v>
      </c>
      <c r="U6223" t="s">
        <v>77</v>
      </c>
      <c r="V6223" t="str">
        <f>"100166402"</f>
        <v>100166402</v>
      </c>
      <c r="AC6223" t="s">
        <v>79</v>
      </c>
      <c r="AD6223" t="s">
        <v>75</v>
      </c>
      <c r="AE6223" t="s">
        <v>103</v>
      </c>
      <c r="AG6223" t="s">
        <v>81</v>
      </c>
    </row>
    <row r="6224" spans="1:33" x14ac:dyDescent="0.25">
      <c r="A6224" t="str">
        <f>"1043383391"</f>
        <v>1043383391</v>
      </c>
      <c r="B6224" t="str">
        <f>"01741024"</f>
        <v>01741024</v>
      </c>
      <c r="C6224" t="s">
        <v>13436</v>
      </c>
      <c r="D6224" t="s">
        <v>29287</v>
      </c>
      <c r="E6224" t="s">
        <v>29288</v>
      </c>
      <c r="G6224" t="s">
        <v>29289</v>
      </c>
      <c r="L6224" t="s">
        <v>83</v>
      </c>
      <c r="M6224" t="s">
        <v>85</v>
      </c>
      <c r="R6224" t="s">
        <v>29290</v>
      </c>
      <c r="W6224" t="s">
        <v>29288</v>
      </c>
      <c r="X6224" t="s">
        <v>29291</v>
      </c>
      <c r="Y6224" t="s">
        <v>97</v>
      </c>
      <c r="Z6224" t="s">
        <v>77</v>
      </c>
      <c r="AA6224" t="str">
        <f>"10029-6500"</f>
        <v>10029-6500</v>
      </c>
      <c r="AB6224" t="s">
        <v>78</v>
      </c>
      <c r="AC6224" t="s">
        <v>79</v>
      </c>
      <c r="AD6224" t="s">
        <v>75</v>
      </c>
      <c r="AE6224" t="s">
        <v>80</v>
      </c>
      <c r="AG6224" t="s">
        <v>81</v>
      </c>
    </row>
    <row r="6225" spans="1:33" x14ac:dyDescent="0.25">
      <c r="A6225" t="str">
        <f>"1629126396"</f>
        <v>1629126396</v>
      </c>
      <c r="B6225" t="str">
        <f>"01717275"</f>
        <v>01717275</v>
      </c>
      <c r="C6225" t="s">
        <v>13436</v>
      </c>
      <c r="D6225" t="s">
        <v>29292</v>
      </c>
      <c r="E6225" t="s">
        <v>29293</v>
      </c>
      <c r="G6225" t="s">
        <v>29294</v>
      </c>
      <c r="L6225" t="s">
        <v>84</v>
      </c>
      <c r="M6225" t="s">
        <v>85</v>
      </c>
      <c r="R6225" t="s">
        <v>29295</v>
      </c>
      <c r="W6225" t="s">
        <v>29293</v>
      </c>
      <c r="X6225" t="s">
        <v>3743</v>
      </c>
      <c r="Y6225" t="s">
        <v>97</v>
      </c>
      <c r="Z6225" t="s">
        <v>77</v>
      </c>
      <c r="AA6225" t="str">
        <f>"10011-4401"</f>
        <v>10011-4401</v>
      </c>
      <c r="AB6225" t="s">
        <v>78</v>
      </c>
      <c r="AC6225" t="s">
        <v>79</v>
      </c>
      <c r="AD6225" t="s">
        <v>75</v>
      </c>
      <c r="AE6225" t="s">
        <v>80</v>
      </c>
      <c r="AG6225" t="s">
        <v>81</v>
      </c>
    </row>
    <row r="6226" spans="1:33" x14ac:dyDescent="0.25">
      <c r="A6226" t="str">
        <f>"1629134622"</f>
        <v>1629134622</v>
      </c>
      <c r="B6226" t="str">
        <f>"01507419"</f>
        <v>01507419</v>
      </c>
      <c r="C6226" t="s">
        <v>13436</v>
      </c>
      <c r="D6226" t="s">
        <v>666</v>
      </c>
      <c r="E6226" t="s">
        <v>667</v>
      </c>
      <c r="G6226" t="s">
        <v>29296</v>
      </c>
      <c r="L6226" t="s">
        <v>84</v>
      </c>
      <c r="M6226" t="s">
        <v>85</v>
      </c>
      <c r="R6226" t="s">
        <v>668</v>
      </c>
      <c r="W6226" t="s">
        <v>667</v>
      </c>
      <c r="X6226" t="s">
        <v>669</v>
      </c>
      <c r="Y6226" t="s">
        <v>97</v>
      </c>
      <c r="Z6226" t="s">
        <v>77</v>
      </c>
      <c r="AA6226" t="str">
        <f>"10025-0001"</f>
        <v>10025-0001</v>
      </c>
      <c r="AB6226" t="s">
        <v>78</v>
      </c>
      <c r="AC6226" t="s">
        <v>79</v>
      </c>
      <c r="AD6226" t="s">
        <v>75</v>
      </c>
      <c r="AE6226" t="s">
        <v>80</v>
      </c>
      <c r="AG6226" t="s">
        <v>81</v>
      </c>
    </row>
    <row r="6227" spans="1:33" x14ac:dyDescent="0.25">
      <c r="A6227" t="str">
        <f>"1629187406"</f>
        <v>1629187406</v>
      </c>
      <c r="B6227" t="str">
        <f>"00464911"</f>
        <v>00464911</v>
      </c>
      <c r="C6227" t="s">
        <v>13436</v>
      </c>
      <c r="D6227" t="s">
        <v>29297</v>
      </c>
      <c r="E6227" t="s">
        <v>29298</v>
      </c>
      <c r="G6227" t="s">
        <v>29299</v>
      </c>
      <c r="L6227" t="s">
        <v>84</v>
      </c>
      <c r="M6227" t="s">
        <v>85</v>
      </c>
      <c r="R6227" t="s">
        <v>29300</v>
      </c>
      <c r="W6227" t="s">
        <v>29298</v>
      </c>
      <c r="X6227" t="s">
        <v>29301</v>
      </c>
      <c r="Y6227" t="s">
        <v>87</v>
      </c>
      <c r="Z6227" t="s">
        <v>77</v>
      </c>
      <c r="AA6227" t="str">
        <f>"11235-3354"</f>
        <v>11235-3354</v>
      </c>
      <c r="AB6227" t="s">
        <v>78</v>
      </c>
      <c r="AC6227" t="s">
        <v>79</v>
      </c>
      <c r="AD6227" t="s">
        <v>75</v>
      </c>
      <c r="AE6227" t="s">
        <v>80</v>
      </c>
      <c r="AG6227" t="s">
        <v>81</v>
      </c>
    </row>
    <row r="6228" spans="1:33" x14ac:dyDescent="0.25">
      <c r="A6228" t="str">
        <f>"1639195993"</f>
        <v>1639195993</v>
      </c>
      <c r="B6228" t="str">
        <f>"02039765"</f>
        <v>02039765</v>
      </c>
      <c r="C6228" t="s">
        <v>13436</v>
      </c>
      <c r="D6228" t="s">
        <v>29302</v>
      </c>
      <c r="E6228" t="s">
        <v>29303</v>
      </c>
      <c r="G6228" t="s">
        <v>29304</v>
      </c>
      <c r="L6228" t="s">
        <v>83</v>
      </c>
      <c r="M6228" t="s">
        <v>85</v>
      </c>
      <c r="R6228" t="s">
        <v>29305</v>
      </c>
      <c r="W6228" t="s">
        <v>29303</v>
      </c>
      <c r="X6228" t="s">
        <v>737</v>
      </c>
      <c r="Y6228" t="s">
        <v>97</v>
      </c>
      <c r="Z6228" t="s">
        <v>77</v>
      </c>
      <c r="AA6228" t="str">
        <f>"10025-1716"</f>
        <v>10025-1716</v>
      </c>
      <c r="AB6228" t="s">
        <v>78</v>
      </c>
      <c r="AC6228" t="s">
        <v>79</v>
      </c>
      <c r="AD6228" t="s">
        <v>75</v>
      </c>
      <c r="AE6228" t="s">
        <v>80</v>
      </c>
      <c r="AG6228" t="s">
        <v>81</v>
      </c>
    </row>
    <row r="6229" spans="1:33" x14ac:dyDescent="0.25">
      <c r="A6229" t="str">
        <f>"1336319656"</f>
        <v>1336319656</v>
      </c>
      <c r="B6229" t="str">
        <f>"03340681"</f>
        <v>03340681</v>
      </c>
      <c r="C6229" t="s">
        <v>13436</v>
      </c>
      <c r="D6229" t="s">
        <v>29306</v>
      </c>
      <c r="E6229" t="s">
        <v>29307</v>
      </c>
      <c r="G6229" t="s">
        <v>29308</v>
      </c>
      <c r="L6229" t="s">
        <v>83</v>
      </c>
      <c r="M6229" t="s">
        <v>85</v>
      </c>
      <c r="R6229" t="s">
        <v>29309</v>
      </c>
      <c r="W6229" t="s">
        <v>29307</v>
      </c>
      <c r="X6229" t="s">
        <v>29310</v>
      </c>
      <c r="Y6229" t="s">
        <v>139</v>
      </c>
      <c r="Z6229" t="s">
        <v>77</v>
      </c>
      <c r="AA6229" t="str">
        <f>"11355-5044"</f>
        <v>11355-5044</v>
      </c>
      <c r="AB6229" t="s">
        <v>78</v>
      </c>
      <c r="AC6229" t="s">
        <v>79</v>
      </c>
      <c r="AD6229" t="s">
        <v>75</v>
      </c>
      <c r="AE6229" t="s">
        <v>80</v>
      </c>
      <c r="AG6229" t="s">
        <v>81</v>
      </c>
    </row>
    <row r="6230" spans="1:33" x14ac:dyDescent="0.25">
      <c r="A6230" t="str">
        <f>"1336372861"</f>
        <v>1336372861</v>
      </c>
      <c r="B6230" t="str">
        <f>"03689636"</f>
        <v>03689636</v>
      </c>
      <c r="C6230" t="s">
        <v>13436</v>
      </c>
      <c r="D6230" t="s">
        <v>29311</v>
      </c>
      <c r="E6230" t="s">
        <v>29312</v>
      </c>
      <c r="G6230" t="s">
        <v>29313</v>
      </c>
      <c r="L6230" t="s">
        <v>105</v>
      </c>
      <c r="M6230" t="s">
        <v>75</v>
      </c>
      <c r="R6230" t="s">
        <v>29314</v>
      </c>
      <c r="W6230" t="s">
        <v>29312</v>
      </c>
      <c r="X6230" t="s">
        <v>329</v>
      </c>
      <c r="Y6230" t="s">
        <v>97</v>
      </c>
      <c r="Z6230" t="s">
        <v>77</v>
      </c>
      <c r="AA6230" t="str">
        <f>"10029-6504"</f>
        <v>10029-6504</v>
      </c>
      <c r="AB6230" t="s">
        <v>78</v>
      </c>
      <c r="AC6230" t="s">
        <v>79</v>
      </c>
      <c r="AD6230" t="s">
        <v>75</v>
      </c>
      <c r="AE6230" t="s">
        <v>80</v>
      </c>
      <c r="AG6230" t="s">
        <v>81</v>
      </c>
    </row>
    <row r="6231" spans="1:33" x14ac:dyDescent="0.25">
      <c r="A6231" t="str">
        <f>"1336373992"</f>
        <v>1336373992</v>
      </c>
      <c r="B6231" t="str">
        <f>"03920954"</f>
        <v>03920954</v>
      </c>
      <c r="C6231" t="s">
        <v>13436</v>
      </c>
      <c r="D6231" t="s">
        <v>29315</v>
      </c>
      <c r="E6231" t="s">
        <v>29316</v>
      </c>
      <c r="G6231" t="s">
        <v>29317</v>
      </c>
      <c r="L6231" t="s">
        <v>83</v>
      </c>
      <c r="M6231" t="s">
        <v>75</v>
      </c>
      <c r="R6231" t="s">
        <v>29318</v>
      </c>
      <c r="W6231" t="s">
        <v>29316</v>
      </c>
      <c r="X6231" t="s">
        <v>330</v>
      </c>
      <c r="Y6231" t="s">
        <v>97</v>
      </c>
      <c r="Z6231" t="s">
        <v>77</v>
      </c>
      <c r="AA6231" t="str">
        <f>"10029-5204"</f>
        <v>10029-5204</v>
      </c>
      <c r="AB6231" t="s">
        <v>78</v>
      </c>
      <c r="AC6231" t="s">
        <v>79</v>
      </c>
      <c r="AD6231" t="s">
        <v>75</v>
      </c>
      <c r="AE6231" t="s">
        <v>80</v>
      </c>
      <c r="AG6231" t="s">
        <v>81</v>
      </c>
    </row>
    <row r="6232" spans="1:33" x14ac:dyDescent="0.25">
      <c r="A6232" t="str">
        <f>"1336374263"</f>
        <v>1336374263</v>
      </c>
      <c r="B6232" t="str">
        <f>"03969275"</f>
        <v>03969275</v>
      </c>
      <c r="C6232" t="s">
        <v>13436</v>
      </c>
      <c r="D6232" t="s">
        <v>29319</v>
      </c>
      <c r="E6232" t="s">
        <v>29320</v>
      </c>
      <c r="G6232" t="s">
        <v>29321</v>
      </c>
      <c r="L6232" t="s">
        <v>105</v>
      </c>
      <c r="M6232" t="s">
        <v>75</v>
      </c>
      <c r="R6232" t="s">
        <v>29322</v>
      </c>
      <c r="W6232" t="s">
        <v>29320</v>
      </c>
      <c r="X6232" t="s">
        <v>329</v>
      </c>
      <c r="Y6232" t="s">
        <v>97</v>
      </c>
      <c r="Z6232" t="s">
        <v>77</v>
      </c>
      <c r="AA6232" t="str">
        <f>"10029-6504"</f>
        <v>10029-6504</v>
      </c>
      <c r="AB6232" t="s">
        <v>78</v>
      </c>
      <c r="AC6232" t="s">
        <v>79</v>
      </c>
      <c r="AD6232" t="s">
        <v>75</v>
      </c>
      <c r="AE6232" t="s">
        <v>80</v>
      </c>
      <c r="AG6232" t="s">
        <v>81</v>
      </c>
    </row>
    <row r="6233" spans="1:33" x14ac:dyDescent="0.25">
      <c r="A6233" t="str">
        <f>"1336378736"</f>
        <v>1336378736</v>
      </c>
      <c r="B6233" t="str">
        <f>"03657509"</f>
        <v>03657509</v>
      </c>
      <c r="C6233" t="s">
        <v>13436</v>
      </c>
      <c r="D6233" t="s">
        <v>29323</v>
      </c>
      <c r="E6233" t="s">
        <v>29324</v>
      </c>
      <c r="L6233" t="s">
        <v>83</v>
      </c>
      <c r="M6233" t="s">
        <v>75</v>
      </c>
      <c r="R6233" t="s">
        <v>29325</v>
      </c>
      <c r="W6233" t="s">
        <v>29324</v>
      </c>
      <c r="X6233" t="s">
        <v>3037</v>
      </c>
      <c r="Y6233" t="s">
        <v>97</v>
      </c>
      <c r="Z6233" t="s">
        <v>77</v>
      </c>
      <c r="AA6233" t="str">
        <f>"10003-0000"</f>
        <v>10003-0000</v>
      </c>
      <c r="AB6233" t="s">
        <v>78</v>
      </c>
      <c r="AC6233" t="s">
        <v>79</v>
      </c>
      <c r="AD6233" t="s">
        <v>75</v>
      </c>
      <c r="AE6233" t="s">
        <v>80</v>
      </c>
      <c r="AG6233" t="s">
        <v>81</v>
      </c>
    </row>
    <row r="6234" spans="1:33" x14ac:dyDescent="0.25">
      <c r="A6234" t="str">
        <f>"1336399757"</f>
        <v>1336399757</v>
      </c>
      <c r="B6234" t="str">
        <f>"04017896"</f>
        <v>04017896</v>
      </c>
      <c r="C6234" t="s">
        <v>13436</v>
      </c>
      <c r="D6234" t="s">
        <v>6157</v>
      </c>
      <c r="E6234" t="s">
        <v>5245</v>
      </c>
      <c r="L6234" t="s">
        <v>74</v>
      </c>
      <c r="M6234" t="s">
        <v>75</v>
      </c>
      <c r="R6234" t="s">
        <v>6158</v>
      </c>
      <c r="W6234" t="s">
        <v>5245</v>
      </c>
      <c r="X6234" t="s">
        <v>3553</v>
      </c>
      <c r="Y6234" t="s">
        <v>97</v>
      </c>
      <c r="Z6234" t="s">
        <v>77</v>
      </c>
      <c r="AA6234" t="str">
        <f>"10003-3851"</f>
        <v>10003-3851</v>
      </c>
      <c r="AB6234" t="s">
        <v>78</v>
      </c>
      <c r="AC6234" t="s">
        <v>79</v>
      </c>
      <c r="AD6234" t="s">
        <v>75</v>
      </c>
      <c r="AE6234" t="s">
        <v>80</v>
      </c>
      <c r="AG6234" t="s">
        <v>81</v>
      </c>
    </row>
    <row r="6235" spans="1:33" x14ac:dyDescent="0.25">
      <c r="A6235" t="str">
        <f>"1336405331"</f>
        <v>1336405331</v>
      </c>
      <c r="C6235" t="s">
        <v>13436</v>
      </c>
      <c r="K6235" t="s">
        <v>99</v>
      </c>
      <c r="L6235" t="s">
        <v>102</v>
      </c>
      <c r="M6235" t="s">
        <v>75</v>
      </c>
      <c r="R6235" t="s">
        <v>29326</v>
      </c>
      <c r="S6235" t="s">
        <v>29327</v>
      </c>
      <c r="T6235" t="s">
        <v>635</v>
      </c>
      <c r="U6235" t="s">
        <v>77</v>
      </c>
      <c r="V6235" t="str">
        <f>"105915814"</f>
        <v>105915814</v>
      </c>
      <c r="AC6235" t="s">
        <v>79</v>
      </c>
      <c r="AD6235" t="s">
        <v>75</v>
      </c>
      <c r="AE6235" t="s">
        <v>103</v>
      </c>
      <c r="AG6235" t="s">
        <v>81</v>
      </c>
    </row>
    <row r="6236" spans="1:33" x14ac:dyDescent="0.25">
      <c r="A6236" t="str">
        <f>"1336405349"</f>
        <v>1336405349</v>
      </c>
      <c r="C6236" t="s">
        <v>13436</v>
      </c>
      <c r="K6236" t="s">
        <v>99</v>
      </c>
      <c r="L6236" t="s">
        <v>102</v>
      </c>
      <c r="M6236" t="s">
        <v>75</v>
      </c>
      <c r="R6236" t="s">
        <v>29328</v>
      </c>
      <c r="S6236" t="s">
        <v>22296</v>
      </c>
      <c r="T6236" t="s">
        <v>97</v>
      </c>
      <c r="U6236" t="s">
        <v>77</v>
      </c>
      <c r="V6236" t="str">
        <f>"100296500"</f>
        <v>100296500</v>
      </c>
      <c r="AC6236" t="s">
        <v>79</v>
      </c>
      <c r="AD6236" t="s">
        <v>75</v>
      </c>
      <c r="AE6236" t="s">
        <v>103</v>
      </c>
      <c r="AG6236" t="s">
        <v>81</v>
      </c>
    </row>
    <row r="6237" spans="1:33" x14ac:dyDescent="0.25">
      <c r="A6237" t="str">
        <f>"1336415397"</f>
        <v>1336415397</v>
      </c>
      <c r="C6237" t="s">
        <v>13436</v>
      </c>
      <c r="K6237" t="s">
        <v>99</v>
      </c>
      <c r="L6237" t="s">
        <v>102</v>
      </c>
      <c r="M6237" t="s">
        <v>75</v>
      </c>
      <c r="R6237" t="s">
        <v>29329</v>
      </c>
      <c r="S6237" t="s">
        <v>11657</v>
      </c>
      <c r="T6237" t="s">
        <v>97</v>
      </c>
      <c r="U6237" t="s">
        <v>77</v>
      </c>
      <c r="V6237" t="str">
        <f>"10029"</f>
        <v>10029</v>
      </c>
      <c r="AC6237" t="s">
        <v>79</v>
      </c>
      <c r="AD6237" t="s">
        <v>75</v>
      </c>
      <c r="AE6237" t="s">
        <v>103</v>
      </c>
      <c r="AG6237" t="s">
        <v>81</v>
      </c>
    </row>
    <row r="6238" spans="1:33" x14ac:dyDescent="0.25">
      <c r="A6238" t="str">
        <f>"1336415801"</f>
        <v>1336415801</v>
      </c>
      <c r="C6238" t="s">
        <v>13436</v>
      </c>
      <c r="K6238" t="s">
        <v>99</v>
      </c>
      <c r="L6238" t="s">
        <v>102</v>
      </c>
      <c r="M6238" t="s">
        <v>75</v>
      </c>
      <c r="R6238" t="s">
        <v>29330</v>
      </c>
      <c r="S6238" t="s">
        <v>329</v>
      </c>
      <c r="T6238" t="s">
        <v>97</v>
      </c>
      <c r="U6238" t="s">
        <v>77</v>
      </c>
      <c r="V6238" t="str">
        <f>"100296500"</f>
        <v>100296500</v>
      </c>
      <c r="AC6238" t="s">
        <v>79</v>
      </c>
      <c r="AD6238" t="s">
        <v>75</v>
      </c>
      <c r="AE6238" t="s">
        <v>103</v>
      </c>
      <c r="AG6238" t="s">
        <v>81</v>
      </c>
    </row>
    <row r="6239" spans="1:33" x14ac:dyDescent="0.25">
      <c r="A6239" t="str">
        <f>"1336431964"</f>
        <v>1336431964</v>
      </c>
      <c r="B6239" t="str">
        <f>"03347784"</f>
        <v>03347784</v>
      </c>
      <c r="C6239" t="s">
        <v>13436</v>
      </c>
      <c r="D6239" t="s">
        <v>29331</v>
      </c>
      <c r="E6239" t="s">
        <v>29332</v>
      </c>
      <c r="G6239" t="s">
        <v>29333</v>
      </c>
      <c r="L6239" t="s">
        <v>84</v>
      </c>
      <c r="M6239" t="s">
        <v>75</v>
      </c>
      <c r="R6239" t="s">
        <v>29334</v>
      </c>
      <c r="W6239" t="s">
        <v>29332</v>
      </c>
      <c r="X6239" t="s">
        <v>2655</v>
      </c>
      <c r="Y6239" t="s">
        <v>131</v>
      </c>
      <c r="Z6239" t="s">
        <v>77</v>
      </c>
      <c r="AA6239" t="str">
        <f>"10467-2836"</f>
        <v>10467-2836</v>
      </c>
      <c r="AB6239" t="s">
        <v>78</v>
      </c>
      <c r="AC6239" t="s">
        <v>79</v>
      </c>
      <c r="AD6239" t="s">
        <v>75</v>
      </c>
      <c r="AE6239" t="s">
        <v>80</v>
      </c>
      <c r="AG6239" t="s">
        <v>81</v>
      </c>
    </row>
    <row r="6240" spans="1:33" x14ac:dyDescent="0.25">
      <c r="A6240" t="str">
        <f>"1336450568"</f>
        <v>1336450568</v>
      </c>
      <c r="B6240" t="str">
        <f>"03787762"</f>
        <v>03787762</v>
      </c>
      <c r="C6240" t="s">
        <v>13436</v>
      </c>
      <c r="D6240" t="s">
        <v>29335</v>
      </c>
      <c r="E6240" t="s">
        <v>29336</v>
      </c>
      <c r="L6240" t="s">
        <v>105</v>
      </c>
      <c r="M6240" t="s">
        <v>75</v>
      </c>
      <c r="R6240" t="s">
        <v>29337</v>
      </c>
      <c r="W6240" t="s">
        <v>29336</v>
      </c>
      <c r="X6240" t="s">
        <v>3553</v>
      </c>
      <c r="Y6240" t="s">
        <v>97</v>
      </c>
      <c r="Z6240" t="s">
        <v>77</v>
      </c>
      <c r="AA6240" t="str">
        <f>"10003-3851"</f>
        <v>10003-3851</v>
      </c>
      <c r="AB6240" t="s">
        <v>78</v>
      </c>
      <c r="AC6240" t="s">
        <v>79</v>
      </c>
      <c r="AD6240" t="s">
        <v>75</v>
      </c>
      <c r="AE6240" t="s">
        <v>80</v>
      </c>
      <c r="AG6240" t="s">
        <v>81</v>
      </c>
    </row>
    <row r="6241" spans="1:33" x14ac:dyDescent="0.25">
      <c r="A6241" t="str">
        <f>"1609176239"</f>
        <v>1609176239</v>
      </c>
      <c r="B6241" t="str">
        <f>"03533199"</f>
        <v>03533199</v>
      </c>
      <c r="C6241" t="s">
        <v>13436</v>
      </c>
      <c r="D6241" t="s">
        <v>29338</v>
      </c>
      <c r="E6241" t="s">
        <v>29339</v>
      </c>
      <c r="G6241" t="s">
        <v>29340</v>
      </c>
      <c r="L6241" t="s">
        <v>83</v>
      </c>
      <c r="M6241" t="s">
        <v>85</v>
      </c>
      <c r="R6241" t="s">
        <v>29341</v>
      </c>
      <c r="W6241" t="s">
        <v>29339</v>
      </c>
      <c r="X6241" t="s">
        <v>29342</v>
      </c>
      <c r="Y6241" t="s">
        <v>97</v>
      </c>
      <c r="Z6241" t="s">
        <v>77</v>
      </c>
      <c r="AA6241" t="str">
        <f>"10019-1147"</f>
        <v>10019-1147</v>
      </c>
      <c r="AB6241" t="s">
        <v>78</v>
      </c>
      <c r="AC6241" t="s">
        <v>79</v>
      </c>
      <c r="AD6241" t="s">
        <v>75</v>
      </c>
      <c r="AE6241" t="s">
        <v>80</v>
      </c>
      <c r="AG6241" t="s">
        <v>81</v>
      </c>
    </row>
    <row r="6242" spans="1:33" x14ac:dyDescent="0.25">
      <c r="A6242" t="str">
        <f>"1609836378"</f>
        <v>1609836378</v>
      </c>
      <c r="B6242" t="str">
        <f>"01672040"</f>
        <v>01672040</v>
      </c>
      <c r="C6242" t="s">
        <v>13436</v>
      </c>
      <c r="D6242" t="s">
        <v>29343</v>
      </c>
      <c r="E6242" t="s">
        <v>29344</v>
      </c>
      <c r="G6242" t="s">
        <v>29345</v>
      </c>
      <c r="L6242" t="s">
        <v>74</v>
      </c>
      <c r="M6242" t="s">
        <v>85</v>
      </c>
      <c r="R6242" t="s">
        <v>29346</v>
      </c>
      <c r="W6242" t="s">
        <v>29344</v>
      </c>
      <c r="X6242" t="s">
        <v>306</v>
      </c>
      <c r="Y6242" t="s">
        <v>97</v>
      </c>
      <c r="Z6242" t="s">
        <v>77</v>
      </c>
      <c r="AA6242" t="str">
        <f>"10003-4201"</f>
        <v>10003-4201</v>
      </c>
      <c r="AB6242" t="s">
        <v>78</v>
      </c>
      <c r="AC6242" t="s">
        <v>79</v>
      </c>
      <c r="AD6242" t="s">
        <v>75</v>
      </c>
      <c r="AE6242" t="s">
        <v>80</v>
      </c>
      <c r="AG6242" t="s">
        <v>81</v>
      </c>
    </row>
    <row r="6243" spans="1:33" x14ac:dyDescent="0.25">
      <c r="A6243" t="str">
        <f>"1629221338"</f>
        <v>1629221338</v>
      </c>
      <c r="B6243" t="str">
        <f>"03473952"</f>
        <v>03473952</v>
      </c>
      <c r="C6243" t="s">
        <v>13436</v>
      </c>
      <c r="D6243" t="s">
        <v>29347</v>
      </c>
      <c r="E6243" t="s">
        <v>29348</v>
      </c>
      <c r="G6243" t="s">
        <v>29349</v>
      </c>
      <c r="L6243" t="s">
        <v>83</v>
      </c>
      <c r="M6243" t="s">
        <v>85</v>
      </c>
      <c r="R6243" t="s">
        <v>29350</v>
      </c>
      <c r="W6243" t="s">
        <v>29348</v>
      </c>
      <c r="X6243" t="s">
        <v>191</v>
      </c>
      <c r="Y6243" t="s">
        <v>97</v>
      </c>
      <c r="Z6243" t="s">
        <v>77</v>
      </c>
      <c r="AA6243" t="str">
        <f>"10019-1147"</f>
        <v>10019-1147</v>
      </c>
      <c r="AB6243" t="s">
        <v>78</v>
      </c>
      <c r="AC6243" t="s">
        <v>79</v>
      </c>
      <c r="AD6243" t="s">
        <v>75</v>
      </c>
      <c r="AE6243" t="s">
        <v>80</v>
      </c>
      <c r="AG6243" t="s">
        <v>81</v>
      </c>
    </row>
    <row r="6244" spans="1:33" x14ac:dyDescent="0.25">
      <c r="A6244" t="str">
        <f>"1790714178"</f>
        <v>1790714178</v>
      </c>
      <c r="B6244" t="str">
        <f>"01378725"</f>
        <v>01378725</v>
      </c>
      <c r="C6244" t="s">
        <v>13436</v>
      </c>
      <c r="D6244" t="s">
        <v>29351</v>
      </c>
      <c r="E6244" t="s">
        <v>29352</v>
      </c>
      <c r="G6244" t="s">
        <v>29353</v>
      </c>
      <c r="L6244" t="s">
        <v>83</v>
      </c>
      <c r="M6244" t="s">
        <v>85</v>
      </c>
      <c r="R6244" t="s">
        <v>29354</v>
      </c>
      <c r="W6244" t="s">
        <v>29352</v>
      </c>
      <c r="X6244" t="s">
        <v>2653</v>
      </c>
      <c r="Y6244" t="s">
        <v>97</v>
      </c>
      <c r="Z6244" t="s">
        <v>77</v>
      </c>
      <c r="AA6244" t="str">
        <f>"10019"</f>
        <v>10019</v>
      </c>
      <c r="AB6244" t="s">
        <v>78</v>
      </c>
      <c r="AC6244" t="s">
        <v>79</v>
      </c>
      <c r="AD6244" t="s">
        <v>75</v>
      </c>
      <c r="AE6244" t="s">
        <v>80</v>
      </c>
      <c r="AG6244" t="s">
        <v>81</v>
      </c>
    </row>
    <row r="6245" spans="1:33" x14ac:dyDescent="0.25">
      <c r="A6245" t="str">
        <f>"1790747079"</f>
        <v>1790747079</v>
      </c>
      <c r="B6245" t="str">
        <f>"01915993"</f>
        <v>01915993</v>
      </c>
      <c r="C6245" t="s">
        <v>13436</v>
      </c>
      <c r="D6245" t="s">
        <v>29355</v>
      </c>
      <c r="E6245" t="s">
        <v>29356</v>
      </c>
      <c r="G6245" t="s">
        <v>29357</v>
      </c>
      <c r="L6245" t="s">
        <v>74</v>
      </c>
      <c r="M6245" t="s">
        <v>85</v>
      </c>
      <c r="R6245" t="s">
        <v>29358</v>
      </c>
      <c r="W6245" t="s">
        <v>29356</v>
      </c>
      <c r="X6245" t="s">
        <v>4799</v>
      </c>
      <c r="Y6245" t="s">
        <v>87</v>
      </c>
      <c r="Z6245" t="s">
        <v>77</v>
      </c>
      <c r="AA6245" t="str">
        <f>"11234-2625"</f>
        <v>11234-2625</v>
      </c>
      <c r="AB6245" t="s">
        <v>78</v>
      </c>
      <c r="AC6245" t="s">
        <v>79</v>
      </c>
      <c r="AD6245" t="s">
        <v>75</v>
      </c>
      <c r="AE6245" t="s">
        <v>80</v>
      </c>
      <c r="AG6245" t="s">
        <v>81</v>
      </c>
    </row>
    <row r="6246" spans="1:33" x14ac:dyDescent="0.25">
      <c r="A6246" t="str">
        <f>"1790762730"</f>
        <v>1790762730</v>
      </c>
      <c r="B6246" t="str">
        <f>"01950738"</f>
        <v>01950738</v>
      </c>
      <c r="C6246" t="s">
        <v>13436</v>
      </c>
      <c r="D6246" t="s">
        <v>29359</v>
      </c>
      <c r="E6246" t="s">
        <v>29360</v>
      </c>
      <c r="G6246" t="s">
        <v>29361</v>
      </c>
      <c r="L6246" t="s">
        <v>84</v>
      </c>
      <c r="M6246" t="s">
        <v>85</v>
      </c>
      <c r="R6246" t="s">
        <v>29362</v>
      </c>
      <c r="W6246" t="s">
        <v>29360</v>
      </c>
      <c r="X6246" t="s">
        <v>5667</v>
      </c>
      <c r="Y6246" t="s">
        <v>97</v>
      </c>
      <c r="Z6246" t="s">
        <v>77</v>
      </c>
      <c r="AA6246" t="str">
        <f>"10023-7410"</f>
        <v>10023-7410</v>
      </c>
      <c r="AB6246" t="s">
        <v>78</v>
      </c>
      <c r="AC6246" t="s">
        <v>79</v>
      </c>
      <c r="AD6246" t="s">
        <v>75</v>
      </c>
      <c r="AE6246" t="s">
        <v>80</v>
      </c>
      <c r="AG6246" t="s">
        <v>81</v>
      </c>
    </row>
    <row r="6247" spans="1:33" x14ac:dyDescent="0.25">
      <c r="A6247" t="str">
        <f>"1790949170"</f>
        <v>1790949170</v>
      </c>
      <c r="B6247" t="str">
        <f>"03352590"</f>
        <v>03352590</v>
      </c>
      <c r="C6247" t="s">
        <v>13436</v>
      </c>
      <c r="D6247" t="s">
        <v>29363</v>
      </c>
      <c r="E6247" t="s">
        <v>29364</v>
      </c>
      <c r="G6247" t="s">
        <v>29365</v>
      </c>
      <c r="L6247" t="s">
        <v>74</v>
      </c>
      <c r="M6247" t="s">
        <v>85</v>
      </c>
      <c r="R6247" t="s">
        <v>29366</v>
      </c>
      <c r="W6247" t="s">
        <v>29364</v>
      </c>
      <c r="X6247" t="s">
        <v>181</v>
      </c>
      <c r="Y6247" t="s">
        <v>97</v>
      </c>
      <c r="Z6247" t="s">
        <v>77</v>
      </c>
      <c r="AA6247" t="str">
        <f>"10025-1716"</f>
        <v>10025-1716</v>
      </c>
      <c r="AB6247" t="s">
        <v>78</v>
      </c>
      <c r="AC6247" t="s">
        <v>79</v>
      </c>
      <c r="AD6247" t="s">
        <v>75</v>
      </c>
      <c r="AE6247" t="s">
        <v>80</v>
      </c>
      <c r="AG6247" t="s">
        <v>81</v>
      </c>
    </row>
    <row r="6248" spans="1:33" x14ac:dyDescent="0.25">
      <c r="A6248" t="str">
        <f>"1790957645"</f>
        <v>1790957645</v>
      </c>
      <c r="B6248" t="str">
        <f>"03076831"</f>
        <v>03076831</v>
      </c>
      <c r="C6248" t="s">
        <v>13436</v>
      </c>
      <c r="D6248" t="s">
        <v>29367</v>
      </c>
      <c r="E6248" t="s">
        <v>29368</v>
      </c>
      <c r="G6248" t="s">
        <v>29369</v>
      </c>
      <c r="L6248" t="s">
        <v>83</v>
      </c>
      <c r="M6248" t="s">
        <v>85</v>
      </c>
      <c r="R6248" t="s">
        <v>29370</v>
      </c>
      <c r="W6248" t="s">
        <v>29371</v>
      </c>
      <c r="X6248" t="s">
        <v>14583</v>
      </c>
      <c r="Y6248" t="s">
        <v>97</v>
      </c>
      <c r="Z6248" t="s">
        <v>77</v>
      </c>
      <c r="AA6248" t="str">
        <f>"10016-4337"</f>
        <v>10016-4337</v>
      </c>
      <c r="AB6248" t="s">
        <v>78</v>
      </c>
      <c r="AC6248" t="s">
        <v>79</v>
      </c>
      <c r="AD6248" t="s">
        <v>75</v>
      </c>
      <c r="AE6248" t="s">
        <v>80</v>
      </c>
      <c r="AG6248" t="s">
        <v>81</v>
      </c>
    </row>
    <row r="6249" spans="1:33" x14ac:dyDescent="0.25">
      <c r="A6249" t="str">
        <f>"1790986214"</f>
        <v>1790986214</v>
      </c>
      <c r="B6249" t="str">
        <f>"03134407"</f>
        <v>03134407</v>
      </c>
      <c r="C6249" t="s">
        <v>13436</v>
      </c>
      <c r="D6249" t="s">
        <v>29372</v>
      </c>
      <c r="E6249" t="s">
        <v>29373</v>
      </c>
      <c r="G6249" t="s">
        <v>29374</v>
      </c>
      <c r="L6249" t="s">
        <v>83</v>
      </c>
      <c r="M6249" t="s">
        <v>85</v>
      </c>
      <c r="R6249" t="s">
        <v>29375</v>
      </c>
      <c r="W6249" t="s">
        <v>29373</v>
      </c>
      <c r="X6249" t="s">
        <v>350</v>
      </c>
      <c r="Y6249" t="s">
        <v>131</v>
      </c>
      <c r="Z6249" t="s">
        <v>77</v>
      </c>
      <c r="AA6249" t="str">
        <f>"10451-5504"</f>
        <v>10451-5504</v>
      </c>
      <c r="AB6249" t="s">
        <v>78</v>
      </c>
      <c r="AC6249" t="s">
        <v>79</v>
      </c>
      <c r="AD6249" t="s">
        <v>75</v>
      </c>
      <c r="AE6249" t="s">
        <v>80</v>
      </c>
      <c r="AG6249" t="s">
        <v>81</v>
      </c>
    </row>
    <row r="6250" spans="1:33" x14ac:dyDescent="0.25">
      <c r="A6250" t="str">
        <f>"1801054093"</f>
        <v>1801054093</v>
      </c>
      <c r="B6250" t="str">
        <f>"01748049"</f>
        <v>01748049</v>
      </c>
      <c r="C6250" t="s">
        <v>13436</v>
      </c>
      <c r="D6250" t="s">
        <v>29376</v>
      </c>
      <c r="E6250" t="s">
        <v>29377</v>
      </c>
      <c r="G6250" t="s">
        <v>29378</v>
      </c>
      <c r="L6250" t="s">
        <v>94</v>
      </c>
      <c r="M6250" t="s">
        <v>85</v>
      </c>
      <c r="R6250" t="s">
        <v>29377</v>
      </c>
      <c r="W6250" t="s">
        <v>29377</v>
      </c>
      <c r="X6250" t="s">
        <v>23022</v>
      </c>
      <c r="Y6250" t="s">
        <v>97</v>
      </c>
      <c r="Z6250" t="s">
        <v>77</v>
      </c>
      <c r="AA6250" t="str">
        <f>"10025-1716"</f>
        <v>10025-1716</v>
      </c>
      <c r="AB6250" t="s">
        <v>78</v>
      </c>
      <c r="AC6250" t="s">
        <v>79</v>
      </c>
      <c r="AD6250" t="s">
        <v>75</v>
      </c>
      <c r="AE6250" t="s">
        <v>80</v>
      </c>
      <c r="AG6250" t="s">
        <v>81</v>
      </c>
    </row>
    <row r="6251" spans="1:33" x14ac:dyDescent="0.25">
      <c r="A6251" t="str">
        <f>"1801803937"</f>
        <v>1801803937</v>
      </c>
      <c r="B6251" t="str">
        <f>"02802931"</f>
        <v>02802931</v>
      </c>
      <c r="C6251" t="s">
        <v>13436</v>
      </c>
      <c r="D6251" t="s">
        <v>3357</v>
      </c>
      <c r="E6251" t="s">
        <v>3358</v>
      </c>
      <c r="G6251" t="s">
        <v>29379</v>
      </c>
      <c r="L6251" t="s">
        <v>83</v>
      </c>
      <c r="M6251" t="s">
        <v>85</v>
      </c>
      <c r="R6251" t="s">
        <v>3359</v>
      </c>
      <c r="W6251" t="s">
        <v>3360</v>
      </c>
      <c r="X6251" t="s">
        <v>318</v>
      </c>
      <c r="Y6251" t="s">
        <v>131</v>
      </c>
      <c r="Z6251" t="s">
        <v>77</v>
      </c>
      <c r="AA6251" t="str">
        <f>"10457-7606"</f>
        <v>10457-7606</v>
      </c>
      <c r="AB6251" t="s">
        <v>78</v>
      </c>
      <c r="AC6251" t="s">
        <v>79</v>
      </c>
      <c r="AD6251" t="s">
        <v>75</v>
      </c>
      <c r="AE6251" t="s">
        <v>80</v>
      </c>
      <c r="AG6251" t="s">
        <v>81</v>
      </c>
    </row>
    <row r="6252" spans="1:33" x14ac:dyDescent="0.25">
      <c r="A6252" t="str">
        <f>"1801821293"</f>
        <v>1801821293</v>
      </c>
      <c r="B6252" t="str">
        <f>"02166241"</f>
        <v>02166241</v>
      </c>
      <c r="C6252" t="s">
        <v>13436</v>
      </c>
      <c r="D6252" t="s">
        <v>29380</v>
      </c>
      <c r="E6252" t="s">
        <v>29381</v>
      </c>
      <c r="G6252" t="s">
        <v>6491</v>
      </c>
      <c r="L6252" t="s">
        <v>83</v>
      </c>
      <c r="M6252" t="s">
        <v>85</v>
      </c>
      <c r="R6252" t="s">
        <v>6493</v>
      </c>
      <c r="W6252" t="s">
        <v>29381</v>
      </c>
      <c r="X6252" t="s">
        <v>29382</v>
      </c>
      <c r="Y6252" t="s">
        <v>97</v>
      </c>
      <c r="Z6252" t="s">
        <v>77</v>
      </c>
      <c r="AA6252" t="str">
        <f>"10032-3720"</f>
        <v>10032-3720</v>
      </c>
      <c r="AB6252" t="s">
        <v>78</v>
      </c>
      <c r="AC6252" t="s">
        <v>79</v>
      </c>
      <c r="AD6252" t="s">
        <v>75</v>
      </c>
      <c r="AE6252" t="s">
        <v>80</v>
      </c>
      <c r="AG6252" t="s">
        <v>81</v>
      </c>
    </row>
    <row r="6253" spans="1:33" x14ac:dyDescent="0.25">
      <c r="A6253" t="str">
        <f>"1801845359"</f>
        <v>1801845359</v>
      </c>
      <c r="B6253" t="str">
        <f>"01805421"</f>
        <v>01805421</v>
      </c>
      <c r="C6253" t="s">
        <v>13436</v>
      </c>
      <c r="D6253" t="s">
        <v>29383</v>
      </c>
      <c r="E6253" t="s">
        <v>29384</v>
      </c>
      <c r="G6253" t="s">
        <v>29385</v>
      </c>
      <c r="L6253" t="s">
        <v>83</v>
      </c>
      <c r="M6253" t="s">
        <v>85</v>
      </c>
      <c r="R6253" t="s">
        <v>29386</v>
      </c>
      <c r="W6253" t="s">
        <v>29384</v>
      </c>
      <c r="Y6253" t="s">
        <v>1774</v>
      </c>
      <c r="Z6253" t="s">
        <v>77</v>
      </c>
      <c r="AA6253" t="str">
        <f>"13326-1394"</f>
        <v>13326-1394</v>
      </c>
      <c r="AB6253" t="s">
        <v>78</v>
      </c>
      <c r="AC6253" t="s">
        <v>79</v>
      </c>
      <c r="AD6253" t="s">
        <v>75</v>
      </c>
      <c r="AE6253" t="s">
        <v>80</v>
      </c>
      <c r="AG6253" t="s">
        <v>81</v>
      </c>
    </row>
    <row r="6254" spans="1:33" x14ac:dyDescent="0.25">
      <c r="A6254" t="str">
        <f>"1801870993"</f>
        <v>1801870993</v>
      </c>
      <c r="B6254" t="str">
        <f>"00957653"</f>
        <v>00957653</v>
      </c>
      <c r="C6254" t="s">
        <v>13436</v>
      </c>
      <c r="D6254" t="s">
        <v>29387</v>
      </c>
      <c r="E6254" t="s">
        <v>29388</v>
      </c>
      <c r="G6254" t="s">
        <v>29389</v>
      </c>
      <c r="L6254" t="s">
        <v>74</v>
      </c>
      <c r="M6254" t="s">
        <v>85</v>
      </c>
      <c r="R6254" t="s">
        <v>29390</v>
      </c>
      <c r="W6254" t="s">
        <v>29391</v>
      </c>
      <c r="X6254" t="s">
        <v>29392</v>
      </c>
      <c r="Y6254" t="s">
        <v>87</v>
      </c>
      <c r="Z6254" t="s">
        <v>77</v>
      </c>
      <c r="AA6254" t="str">
        <f>"11203-2098"</f>
        <v>11203-2098</v>
      </c>
      <c r="AB6254" t="s">
        <v>78</v>
      </c>
      <c r="AC6254" t="s">
        <v>79</v>
      </c>
      <c r="AD6254" t="s">
        <v>75</v>
      </c>
      <c r="AE6254" t="s">
        <v>80</v>
      </c>
      <c r="AG6254" t="s">
        <v>81</v>
      </c>
    </row>
    <row r="6255" spans="1:33" x14ac:dyDescent="0.25">
      <c r="A6255" t="str">
        <f>"1801873484"</f>
        <v>1801873484</v>
      </c>
      <c r="B6255" t="str">
        <f>"02104570"</f>
        <v>02104570</v>
      </c>
      <c r="C6255" t="s">
        <v>13436</v>
      </c>
      <c r="D6255" t="s">
        <v>29393</v>
      </c>
      <c r="E6255" t="s">
        <v>29394</v>
      </c>
      <c r="G6255" t="s">
        <v>29395</v>
      </c>
      <c r="L6255" t="s">
        <v>74</v>
      </c>
      <c r="M6255" t="s">
        <v>85</v>
      </c>
      <c r="R6255" t="s">
        <v>29394</v>
      </c>
      <c r="W6255" t="s">
        <v>29394</v>
      </c>
      <c r="X6255" t="s">
        <v>29396</v>
      </c>
      <c r="Y6255" t="s">
        <v>97</v>
      </c>
      <c r="Z6255" t="s">
        <v>77</v>
      </c>
      <c r="AA6255" t="str">
        <f>"10003-3314"</f>
        <v>10003-3314</v>
      </c>
      <c r="AB6255" t="s">
        <v>78</v>
      </c>
      <c r="AC6255" t="s">
        <v>79</v>
      </c>
      <c r="AD6255" t="s">
        <v>75</v>
      </c>
      <c r="AE6255" t="s">
        <v>80</v>
      </c>
      <c r="AG6255" t="s">
        <v>81</v>
      </c>
    </row>
    <row r="6256" spans="1:33" x14ac:dyDescent="0.25">
      <c r="A6256" t="str">
        <f>"1801873971"</f>
        <v>1801873971</v>
      </c>
      <c r="B6256" t="str">
        <f>"02682997"</f>
        <v>02682997</v>
      </c>
      <c r="C6256" t="s">
        <v>13436</v>
      </c>
      <c r="D6256" t="s">
        <v>29397</v>
      </c>
      <c r="E6256" t="s">
        <v>29398</v>
      </c>
      <c r="G6256" t="s">
        <v>29399</v>
      </c>
      <c r="L6256" t="s">
        <v>83</v>
      </c>
      <c r="M6256" t="s">
        <v>85</v>
      </c>
      <c r="R6256" t="s">
        <v>29400</v>
      </c>
      <c r="W6256" t="s">
        <v>29398</v>
      </c>
      <c r="X6256" t="s">
        <v>191</v>
      </c>
      <c r="Y6256" t="s">
        <v>97</v>
      </c>
      <c r="Z6256" t="s">
        <v>77</v>
      </c>
      <c r="AA6256" t="str">
        <f>"10019-1147"</f>
        <v>10019-1147</v>
      </c>
      <c r="AB6256" t="s">
        <v>78</v>
      </c>
      <c r="AC6256" t="s">
        <v>79</v>
      </c>
      <c r="AD6256" t="s">
        <v>75</v>
      </c>
      <c r="AE6256" t="s">
        <v>80</v>
      </c>
      <c r="AG6256" t="s">
        <v>81</v>
      </c>
    </row>
    <row r="6257" spans="1:33" x14ac:dyDescent="0.25">
      <c r="A6257" t="str">
        <f>"1801877956"</f>
        <v>1801877956</v>
      </c>
      <c r="B6257" t="str">
        <f>"00949468"</f>
        <v>00949468</v>
      </c>
      <c r="C6257" t="s">
        <v>13436</v>
      </c>
      <c r="D6257" t="s">
        <v>29401</v>
      </c>
      <c r="E6257" t="s">
        <v>29402</v>
      </c>
      <c r="G6257" t="s">
        <v>29403</v>
      </c>
      <c r="L6257" t="s">
        <v>83</v>
      </c>
      <c r="M6257" t="s">
        <v>85</v>
      </c>
      <c r="R6257" t="s">
        <v>29404</v>
      </c>
      <c r="W6257" t="s">
        <v>29402</v>
      </c>
      <c r="X6257" t="s">
        <v>29405</v>
      </c>
      <c r="Y6257" t="s">
        <v>97</v>
      </c>
      <c r="Z6257" t="s">
        <v>77</v>
      </c>
      <c r="AA6257" t="str">
        <f>"10003"</f>
        <v>10003</v>
      </c>
      <c r="AB6257" t="s">
        <v>78</v>
      </c>
      <c r="AC6257" t="s">
        <v>79</v>
      </c>
      <c r="AD6257" t="s">
        <v>75</v>
      </c>
      <c r="AE6257" t="s">
        <v>80</v>
      </c>
      <c r="AG6257" t="s">
        <v>81</v>
      </c>
    </row>
    <row r="6258" spans="1:33" x14ac:dyDescent="0.25">
      <c r="A6258" t="str">
        <f>"1801879119"</f>
        <v>1801879119</v>
      </c>
      <c r="B6258" t="str">
        <f>"01946758"</f>
        <v>01946758</v>
      </c>
      <c r="C6258" t="s">
        <v>13436</v>
      </c>
      <c r="D6258" t="s">
        <v>1136</v>
      </c>
      <c r="E6258" t="s">
        <v>1137</v>
      </c>
      <c r="G6258" t="s">
        <v>29406</v>
      </c>
      <c r="L6258" t="s">
        <v>83</v>
      </c>
      <c r="M6258" t="s">
        <v>85</v>
      </c>
      <c r="R6258" t="s">
        <v>1138</v>
      </c>
      <c r="W6258" t="s">
        <v>1137</v>
      </c>
      <c r="X6258" t="s">
        <v>1139</v>
      </c>
      <c r="Y6258" t="s">
        <v>97</v>
      </c>
      <c r="Z6258" t="s">
        <v>77</v>
      </c>
      <c r="AA6258" t="str">
        <f>"10003-3105"</f>
        <v>10003-3105</v>
      </c>
      <c r="AB6258" t="s">
        <v>78</v>
      </c>
      <c r="AC6258" t="s">
        <v>79</v>
      </c>
      <c r="AD6258" t="s">
        <v>75</v>
      </c>
      <c r="AE6258" t="s">
        <v>80</v>
      </c>
      <c r="AG6258" t="s">
        <v>81</v>
      </c>
    </row>
    <row r="6259" spans="1:33" x14ac:dyDescent="0.25">
      <c r="A6259" t="str">
        <f>"1801897442"</f>
        <v>1801897442</v>
      </c>
      <c r="B6259" t="str">
        <f>"02494508"</f>
        <v>02494508</v>
      </c>
      <c r="C6259" t="s">
        <v>13436</v>
      </c>
      <c r="D6259" t="s">
        <v>29407</v>
      </c>
      <c r="E6259" t="s">
        <v>29408</v>
      </c>
      <c r="G6259" t="s">
        <v>29409</v>
      </c>
      <c r="L6259" t="s">
        <v>83</v>
      </c>
      <c r="M6259" t="s">
        <v>85</v>
      </c>
      <c r="R6259" t="s">
        <v>29410</v>
      </c>
      <c r="W6259" t="s">
        <v>29408</v>
      </c>
      <c r="X6259" t="s">
        <v>191</v>
      </c>
      <c r="Y6259" t="s">
        <v>97</v>
      </c>
      <c r="Z6259" t="s">
        <v>77</v>
      </c>
      <c r="AA6259" t="str">
        <f>"10019-1147"</f>
        <v>10019-1147</v>
      </c>
      <c r="AB6259" t="s">
        <v>78</v>
      </c>
      <c r="AC6259" t="s">
        <v>79</v>
      </c>
      <c r="AD6259" t="s">
        <v>75</v>
      </c>
      <c r="AE6259" t="s">
        <v>80</v>
      </c>
      <c r="AG6259" t="s">
        <v>81</v>
      </c>
    </row>
    <row r="6260" spans="1:33" x14ac:dyDescent="0.25">
      <c r="A6260" t="str">
        <f>"1801951090"</f>
        <v>1801951090</v>
      </c>
      <c r="B6260" t="str">
        <f>"03148905"</f>
        <v>03148905</v>
      </c>
      <c r="C6260" t="s">
        <v>13436</v>
      </c>
      <c r="D6260" t="s">
        <v>29411</v>
      </c>
      <c r="E6260" t="s">
        <v>29412</v>
      </c>
      <c r="G6260" t="s">
        <v>29413</v>
      </c>
      <c r="L6260" t="s">
        <v>105</v>
      </c>
      <c r="M6260" t="s">
        <v>85</v>
      </c>
      <c r="R6260" t="s">
        <v>29414</v>
      </c>
      <c r="W6260" t="s">
        <v>29412</v>
      </c>
      <c r="X6260" t="s">
        <v>29415</v>
      </c>
      <c r="Y6260" t="s">
        <v>97</v>
      </c>
      <c r="Z6260" t="s">
        <v>77</v>
      </c>
      <c r="AA6260" t="str">
        <f>"10019-1102"</f>
        <v>10019-1102</v>
      </c>
      <c r="AB6260" t="s">
        <v>78</v>
      </c>
      <c r="AC6260" t="s">
        <v>79</v>
      </c>
      <c r="AD6260" t="s">
        <v>75</v>
      </c>
      <c r="AE6260" t="s">
        <v>80</v>
      </c>
      <c r="AG6260" t="s">
        <v>81</v>
      </c>
    </row>
    <row r="6261" spans="1:33" x14ac:dyDescent="0.25">
      <c r="A6261" t="str">
        <f>"1831260843"</f>
        <v>1831260843</v>
      </c>
      <c r="B6261" t="str">
        <f>"00958181"</f>
        <v>00958181</v>
      </c>
      <c r="C6261" t="s">
        <v>13436</v>
      </c>
      <c r="D6261" t="s">
        <v>29416</v>
      </c>
      <c r="E6261" t="s">
        <v>29417</v>
      </c>
      <c r="G6261" t="s">
        <v>29418</v>
      </c>
      <c r="L6261" t="s">
        <v>74</v>
      </c>
      <c r="M6261" t="s">
        <v>85</v>
      </c>
      <c r="R6261" t="s">
        <v>29419</v>
      </c>
      <c r="W6261" t="s">
        <v>29417</v>
      </c>
      <c r="X6261" t="s">
        <v>29420</v>
      </c>
      <c r="Y6261" t="s">
        <v>131</v>
      </c>
      <c r="Z6261" t="s">
        <v>77</v>
      </c>
      <c r="AA6261" t="str">
        <f>"10466-2604"</f>
        <v>10466-2604</v>
      </c>
      <c r="AB6261" t="s">
        <v>78</v>
      </c>
      <c r="AC6261" t="s">
        <v>79</v>
      </c>
      <c r="AD6261" t="s">
        <v>75</v>
      </c>
      <c r="AE6261" t="s">
        <v>80</v>
      </c>
      <c r="AG6261" t="s">
        <v>81</v>
      </c>
    </row>
    <row r="6262" spans="1:33" x14ac:dyDescent="0.25">
      <c r="A6262" t="str">
        <f>"1841225786"</f>
        <v>1841225786</v>
      </c>
      <c r="B6262" t="str">
        <f>"01749444"</f>
        <v>01749444</v>
      </c>
      <c r="C6262" t="s">
        <v>13436</v>
      </c>
      <c r="D6262" t="s">
        <v>29421</v>
      </c>
      <c r="E6262" t="s">
        <v>29422</v>
      </c>
      <c r="G6262" t="s">
        <v>29423</v>
      </c>
      <c r="L6262" t="s">
        <v>83</v>
      </c>
      <c r="M6262" t="s">
        <v>85</v>
      </c>
      <c r="R6262" t="s">
        <v>29424</v>
      </c>
      <c r="W6262" t="s">
        <v>29422</v>
      </c>
      <c r="X6262" t="s">
        <v>29425</v>
      </c>
      <c r="Y6262" t="s">
        <v>313</v>
      </c>
      <c r="Z6262" t="s">
        <v>77</v>
      </c>
      <c r="AA6262" t="str">
        <f>"11428-1736"</f>
        <v>11428-1736</v>
      </c>
      <c r="AB6262" t="s">
        <v>78</v>
      </c>
      <c r="AC6262" t="s">
        <v>79</v>
      </c>
      <c r="AD6262" t="s">
        <v>75</v>
      </c>
      <c r="AE6262" t="s">
        <v>80</v>
      </c>
      <c r="AG6262" t="s">
        <v>81</v>
      </c>
    </row>
    <row r="6263" spans="1:33" x14ac:dyDescent="0.25">
      <c r="A6263" t="str">
        <f>"1245505601"</f>
        <v>1245505601</v>
      </c>
      <c r="C6263" t="s">
        <v>13436</v>
      </c>
      <c r="G6263" t="s">
        <v>29426</v>
      </c>
      <c r="K6263" t="s">
        <v>99</v>
      </c>
      <c r="L6263" t="s">
        <v>102</v>
      </c>
      <c r="M6263" t="s">
        <v>75</v>
      </c>
      <c r="R6263" t="s">
        <v>29427</v>
      </c>
      <c r="S6263" t="s">
        <v>329</v>
      </c>
      <c r="T6263" t="s">
        <v>97</v>
      </c>
      <c r="U6263" t="s">
        <v>77</v>
      </c>
      <c r="V6263" t="str">
        <f>"100296500"</f>
        <v>100296500</v>
      </c>
      <c r="AC6263" t="s">
        <v>79</v>
      </c>
      <c r="AD6263" t="s">
        <v>75</v>
      </c>
      <c r="AE6263" t="s">
        <v>103</v>
      </c>
      <c r="AG6263" t="s">
        <v>81</v>
      </c>
    </row>
    <row r="6264" spans="1:33" x14ac:dyDescent="0.25">
      <c r="A6264" t="str">
        <f>"1578729869"</f>
        <v>1578729869</v>
      </c>
      <c r="B6264" t="str">
        <f>"02500498"</f>
        <v>02500498</v>
      </c>
      <c r="C6264" t="s">
        <v>13436</v>
      </c>
      <c r="D6264" t="s">
        <v>29428</v>
      </c>
      <c r="E6264" t="s">
        <v>29429</v>
      </c>
      <c r="G6264" t="s">
        <v>29430</v>
      </c>
      <c r="L6264" t="s">
        <v>83</v>
      </c>
      <c r="M6264" t="s">
        <v>75</v>
      </c>
      <c r="R6264" t="s">
        <v>29431</v>
      </c>
      <c r="W6264" t="s">
        <v>29429</v>
      </c>
      <c r="X6264" t="s">
        <v>329</v>
      </c>
      <c r="Y6264" t="s">
        <v>97</v>
      </c>
      <c r="Z6264" t="s">
        <v>77</v>
      </c>
      <c r="AA6264" t="str">
        <f>"10029-6504"</f>
        <v>10029-6504</v>
      </c>
      <c r="AB6264" t="s">
        <v>78</v>
      </c>
      <c r="AC6264" t="s">
        <v>79</v>
      </c>
      <c r="AD6264" t="s">
        <v>75</v>
      </c>
      <c r="AE6264" t="s">
        <v>80</v>
      </c>
      <c r="AG6264" t="s">
        <v>81</v>
      </c>
    </row>
    <row r="6265" spans="1:33" x14ac:dyDescent="0.25">
      <c r="A6265" t="str">
        <f>"1578751228"</f>
        <v>1578751228</v>
      </c>
      <c r="B6265" t="str">
        <f>"03169642"</f>
        <v>03169642</v>
      </c>
      <c r="C6265" t="s">
        <v>13436</v>
      </c>
      <c r="D6265" t="s">
        <v>29432</v>
      </c>
      <c r="E6265" t="s">
        <v>29433</v>
      </c>
      <c r="G6265" t="s">
        <v>29434</v>
      </c>
      <c r="L6265" t="s">
        <v>74</v>
      </c>
      <c r="M6265" t="s">
        <v>75</v>
      </c>
      <c r="R6265" t="s">
        <v>29435</v>
      </c>
      <c r="W6265" t="s">
        <v>29433</v>
      </c>
      <c r="X6265" t="s">
        <v>11436</v>
      </c>
      <c r="Y6265" t="s">
        <v>97</v>
      </c>
      <c r="Z6265" t="s">
        <v>77</v>
      </c>
      <c r="AA6265" t="str">
        <f>"10029-6503"</f>
        <v>10029-6503</v>
      </c>
      <c r="AB6265" t="s">
        <v>78</v>
      </c>
      <c r="AC6265" t="s">
        <v>79</v>
      </c>
      <c r="AD6265" t="s">
        <v>75</v>
      </c>
      <c r="AE6265" t="s">
        <v>80</v>
      </c>
      <c r="AG6265" t="s">
        <v>81</v>
      </c>
    </row>
    <row r="6266" spans="1:33" x14ac:dyDescent="0.25">
      <c r="A6266" t="str">
        <f>"1578753257"</f>
        <v>1578753257</v>
      </c>
      <c r="B6266" t="str">
        <f>"03389017"</f>
        <v>03389017</v>
      </c>
      <c r="C6266" t="s">
        <v>13436</v>
      </c>
      <c r="D6266" t="s">
        <v>29436</v>
      </c>
      <c r="E6266" t="s">
        <v>29437</v>
      </c>
      <c r="L6266" t="s">
        <v>83</v>
      </c>
      <c r="M6266" t="s">
        <v>85</v>
      </c>
      <c r="R6266" t="s">
        <v>29438</v>
      </c>
      <c r="W6266" t="s">
        <v>29437</v>
      </c>
      <c r="X6266" t="s">
        <v>272</v>
      </c>
      <c r="Y6266" t="s">
        <v>97</v>
      </c>
      <c r="Z6266" t="s">
        <v>77</v>
      </c>
      <c r="AA6266" t="str">
        <f>"10029-6501"</f>
        <v>10029-6501</v>
      </c>
      <c r="AB6266" t="s">
        <v>78</v>
      </c>
      <c r="AC6266" t="s">
        <v>79</v>
      </c>
      <c r="AD6266" t="s">
        <v>75</v>
      </c>
      <c r="AE6266" t="s">
        <v>80</v>
      </c>
      <c r="AG6266" t="s">
        <v>81</v>
      </c>
    </row>
    <row r="6267" spans="1:33" x14ac:dyDescent="0.25">
      <c r="A6267" t="str">
        <f>"1073888160"</f>
        <v>1073888160</v>
      </c>
      <c r="C6267" t="s">
        <v>13436</v>
      </c>
      <c r="K6267" t="s">
        <v>99</v>
      </c>
      <c r="L6267" t="s">
        <v>102</v>
      </c>
      <c r="M6267" t="s">
        <v>75</v>
      </c>
      <c r="R6267" t="s">
        <v>29439</v>
      </c>
      <c r="S6267" t="s">
        <v>11602</v>
      </c>
      <c r="T6267" t="s">
        <v>97</v>
      </c>
      <c r="U6267" t="s">
        <v>77</v>
      </c>
      <c r="V6267" t="str">
        <f>"100295204"</f>
        <v>100295204</v>
      </c>
      <c r="AC6267" t="s">
        <v>79</v>
      </c>
      <c r="AD6267" t="s">
        <v>75</v>
      </c>
      <c r="AE6267" t="s">
        <v>103</v>
      </c>
      <c r="AG6267" t="s">
        <v>81</v>
      </c>
    </row>
    <row r="6268" spans="1:33" x14ac:dyDescent="0.25">
      <c r="A6268" t="str">
        <f>"1073888244"</f>
        <v>1073888244</v>
      </c>
      <c r="C6268" t="s">
        <v>13436</v>
      </c>
      <c r="K6268" t="s">
        <v>99</v>
      </c>
      <c r="L6268" t="s">
        <v>102</v>
      </c>
      <c r="M6268" t="s">
        <v>75</v>
      </c>
      <c r="R6268" t="s">
        <v>29440</v>
      </c>
      <c r="S6268" t="s">
        <v>29441</v>
      </c>
      <c r="T6268" t="s">
        <v>29442</v>
      </c>
      <c r="U6268" t="s">
        <v>2632</v>
      </c>
      <c r="V6268" t="str">
        <f>"240165100"</f>
        <v>240165100</v>
      </c>
      <c r="AC6268" t="s">
        <v>79</v>
      </c>
      <c r="AD6268" t="s">
        <v>75</v>
      </c>
      <c r="AE6268" t="s">
        <v>103</v>
      </c>
      <c r="AG6268" t="s">
        <v>81</v>
      </c>
    </row>
    <row r="6269" spans="1:33" x14ac:dyDescent="0.25">
      <c r="A6269" t="str">
        <f>"1073889168"</f>
        <v>1073889168</v>
      </c>
      <c r="C6269" t="s">
        <v>13436</v>
      </c>
      <c r="K6269" t="s">
        <v>99</v>
      </c>
      <c r="L6269" t="s">
        <v>102</v>
      </c>
      <c r="M6269" t="s">
        <v>75</v>
      </c>
      <c r="R6269" t="s">
        <v>29443</v>
      </c>
      <c r="S6269" t="s">
        <v>29444</v>
      </c>
      <c r="T6269" t="s">
        <v>97</v>
      </c>
      <c r="U6269" t="s">
        <v>77</v>
      </c>
      <c r="V6269" t="str">
        <f>"100296500"</f>
        <v>100296500</v>
      </c>
      <c r="AC6269" t="s">
        <v>79</v>
      </c>
      <c r="AD6269" t="s">
        <v>75</v>
      </c>
      <c r="AE6269" t="s">
        <v>103</v>
      </c>
      <c r="AG6269" t="s">
        <v>81</v>
      </c>
    </row>
    <row r="6270" spans="1:33" x14ac:dyDescent="0.25">
      <c r="A6270" t="str">
        <f>"1073889598"</f>
        <v>1073889598</v>
      </c>
      <c r="C6270" t="s">
        <v>13436</v>
      </c>
      <c r="K6270" t="s">
        <v>99</v>
      </c>
      <c r="L6270" t="s">
        <v>102</v>
      </c>
      <c r="M6270" t="s">
        <v>75</v>
      </c>
      <c r="R6270" t="s">
        <v>29445</v>
      </c>
      <c r="S6270" t="s">
        <v>191</v>
      </c>
      <c r="T6270" t="s">
        <v>97</v>
      </c>
      <c r="U6270" t="s">
        <v>77</v>
      </c>
      <c r="V6270" t="str">
        <f>"100191147"</f>
        <v>100191147</v>
      </c>
      <c r="AC6270" t="s">
        <v>79</v>
      </c>
      <c r="AD6270" t="s">
        <v>75</v>
      </c>
      <c r="AE6270" t="s">
        <v>103</v>
      </c>
      <c r="AG6270" t="s">
        <v>81</v>
      </c>
    </row>
    <row r="6271" spans="1:33" x14ac:dyDescent="0.25">
      <c r="A6271" t="str">
        <f>"1588943856"</f>
        <v>1588943856</v>
      </c>
      <c r="C6271" t="s">
        <v>13436</v>
      </c>
      <c r="K6271" t="s">
        <v>99</v>
      </c>
      <c r="L6271" t="s">
        <v>102</v>
      </c>
      <c r="M6271" t="s">
        <v>75</v>
      </c>
      <c r="R6271" t="s">
        <v>29446</v>
      </c>
      <c r="S6271" t="s">
        <v>29447</v>
      </c>
      <c r="T6271" t="s">
        <v>4646</v>
      </c>
      <c r="U6271" t="s">
        <v>4647</v>
      </c>
      <c r="V6271" t="str">
        <f>"303228110"</f>
        <v>303228110</v>
      </c>
      <c r="AC6271" t="s">
        <v>79</v>
      </c>
      <c r="AD6271" t="s">
        <v>75</v>
      </c>
      <c r="AE6271" t="s">
        <v>103</v>
      </c>
      <c r="AG6271" t="s">
        <v>81</v>
      </c>
    </row>
    <row r="6272" spans="1:33" x14ac:dyDescent="0.25">
      <c r="A6272" t="str">
        <f>"1588947469"</f>
        <v>1588947469</v>
      </c>
      <c r="B6272" t="str">
        <f>"03416593"</f>
        <v>03416593</v>
      </c>
      <c r="C6272" t="s">
        <v>13436</v>
      </c>
      <c r="D6272" t="s">
        <v>29448</v>
      </c>
      <c r="E6272" t="s">
        <v>29449</v>
      </c>
      <c r="L6272" t="s">
        <v>94</v>
      </c>
      <c r="M6272" t="s">
        <v>75</v>
      </c>
      <c r="R6272" t="s">
        <v>29449</v>
      </c>
      <c r="W6272" t="s">
        <v>29449</v>
      </c>
      <c r="X6272" t="s">
        <v>843</v>
      </c>
      <c r="Y6272" t="s">
        <v>97</v>
      </c>
      <c r="Z6272" t="s">
        <v>77</v>
      </c>
      <c r="AA6272" t="str">
        <f>"10016-6402"</f>
        <v>10016-6402</v>
      </c>
      <c r="AB6272" t="s">
        <v>78</v>
      </c>
      <c r="AC6272" t="s">
        <v>79</v>
      </c>
      <c r="AD6272" t="s">
        <v>75</v>
      </c>
      <c r="AE6272" t="s">
        <v>80</v>
      </c>
      <c r="AG6272" t="s">
        <v>81</v>
      </c>
    </row>
    <row r="6273" spans="1:33" x14ac:dyDescent="0.25">
      <c r="A6273" t="str">
        <f>"1588958813"</f>
        <v>1588958813</v>
      </c>
      <c r="B6273" t="str">
        <f>"04295709"</f>
        <v>04295709</v>
      </c>
      <c r="C6273" t="s">
        <v>13436</v>
      </c>
      <c r="D6273" t="s">
        <v>29450</v>
      </c>
      <c r="E6273" t="s">
        <v>29451</v>
      </c>
      <c r="L6273" t="s">
        <v>105</v>
      </c>
      <c r="M6273" t="s">
        <v>75</v>
      </c>
      <c r="R6273" t="s">
        <v>29452</v>
      </c>
      <c r="W6273" t="s">
        <v>29451</v>
      </c>
      <c r="X6273" t="s">
        <v>225</v>
      </c>
      <c r="Y6273" t="s">
        <v>131</v>
      </c>
      <c r="Z6273" t="s">
        <v>77</v>
      </c>
      <c r="AA6273" t="str">
        <f>"10457-2545"</f>
        <v>10457-2545</v>
      </c>
      <c r="AB6273" t="s">
        <v>78</v>
      </c>
      <c r="AC6273" t="s">
        <v>79</v>
      </c>
      <c r="AD6273" t="s">
        <v>75</v>
      </c>
      <c r="AE6273" t="s">
        <v>80</v>
      </c>
      <c r="AG6273" t="s">
        <v>81</v>
      </c>
    </row>
    <row r="6274" spans="1:33" x14ac:dyDescent="0.25">
      <c r="A6274" t="str">
        <f>"1598008203"</f>
        <v>1598008203</v>
      </c>
      <c r="B6274" t="str">
        <f>"04547917"</f>
        <v>04547917</v>
      </c>
      <c r="C6274" t="s">
        <v>13436</v>
      </c>
      <c r="D6274" t="s">
        <v>29453</v>
      </c>
      <c r="E6274" t="s">
        <v>29454</v>
      </c>
      <c r="L6274" t="s">
        <v>74</v>
      </c>
      <c r="M6274" t="s">
        <v>75</v>
      </c>
      <c r="R6274" t="s">
        <v>29455</v>
      </c>
      <c r="W6274" t="s">
        <v>29454</v>
      </c>
      <c r="AB6274" t="s">
        <v>78</v>
      </c>
      <c r="AC6274" t="s">
        <v>79</v>
      </c>
      <c r="AD6274" t="s">
        <v>75</v>
      </c>
      <c r="AE6274" t="s">
        <v>80</v>
      </c>
      <c r="AG6274" t="s">
        <v>81</v>
      </c>
    </row>
    <row r="6275" spans="1:33" x14ac:dyDescent="0.25">
      <c r="A6275" t="str">
        <f>"1598012759"</f>
        <v>1598012759</v>
      </c>
      <c r="C6275" t="s">
        <v>13436</v>
      </c>
      <c r="K6275" t="s">
        <v>99</v>
      </c>
      <c r="L6275" t="s">
        <v>102</v>
      </c>
      <c r="M6275" t="s">
        <v>75</v>
      </c>
      <c r="R6275" t="s">
        <v>29456</v>
      </c>
      <c r="S6275" t="s">
        <v>29457</v>
      </c>
      <c r="T6275" t="s">
        <v>29458</v>
      </c>
      <c r="U6275" t="s">
        <v>2661</v>
      </c>
      <c r="V6275" t="str">
        <f>"206364871"</f>
        <v>206364871</v>
      </c>
      <c r="AC6275" t="s">
        <v>79</v>
      </c>
      <c r="AD6275" t="s">
        <v>75</v>
      </c>
      <c r="AE6275" t="s">
        <v>103</v>
      </c>
      <c r="AG6275" t="s">
        <v>81</v>
      </c>
    </row>
    <row r="6276" spans="1:33" x14ac:dyDescent="0.25">
      <c r="A6276" t="str">
        <f>"1598021834"</f>
        <v>1598021834</v>
      </c>
      <c r="C6276" t="s">
        <v>13436</v>
      </c>
      <c r="K6276" t="s">
        <v>99</v>
      </c>
      <c r="L6276" t="s">
        <v>102</v>
      </c>
      <c r="M6276" t="s">
        <v>75</v>
      </c>
      <c r="R6276" t="s">
        <v>29459</v>
      </c>
      <c r="S6276" t="s">
        <v>329</v>
      </c>
      <c r="T6276" t="s">
        <v>97</v>
      </c>
      <c r="U6276" t="s">
        <v>77</v>
      </c>
      <c r="V6276" t="str">
        <f>"100296500"</f>
        <v>100296500</v>
      </c>
      <c r="AC6276" t="s">
        <v>79</v>
      </c>
      <c r="AD6276" t="s">
        <v>75</v>
      </c>
      <c r="AE6276" t="s">
        <v>103</v>
      </c>
      <c r="AG6276" t="s">
        <v>81</v>
      </c>
    </row>
    <row r="6277" spans="1:33" x14ac:dyDescent="0.25">
      <c r="A6277" t="str">
        <f>"1598022113"</f>
        <v>1598022113</v>
      </c>
      <c r="B6277" t="str">
        <f>"04466900"</f>
        <v>04466900</v>
      </c>
      <c r="C6277" t="s">
        <v>13436</v>
      </c>
      <c r="D6277" t="s">
        <v>29460</v>
      </c>
      <c r="E6277" t="s">
        <v>29461</v>
      </c>
      <c r="L6277" t="s">
        <v>102</v>
      </c>
      <c r="M6277" t="s">
        <v>75</v>
      </c>
      <c r="R6277" t="s">
        <v>29462</v>
      </c>
      <c r="W6277" t="s">
        <v>29461</v>
      </c>
      <c r="AB6277" t="s">
        <v>78</v>
      </c>
      <c r="AC6277" t="s">
        <v>79</v>
      </c>
      <c r="AD6277" t="s">
        <v>75</v>
      </c>
      <c r="AE6277" t="s">
        <v>80</v>
      </c>
      <c r="AG6277" t="s">
        <v>81</v>
      </c>
    </row>
    <row r="6278" spans="1:33" x14ac:dyDescent="0.25">
      <c r="A6278" t="str">
        <f>"1598022964"</f>
        <v>1598022964</v>
      </c>
      <c r="B6278" t="str">
        <f>"04440988"</f>
        <v>04440988</v>
      </c>
      <c r="C6278" t="s">
        <v>13436</v>
      </c>
      <c r="D6278" t="s">
        <v>29463</v>
      </c>
      <c r="E6278" t="s">
        <v>29464</v>
      </c>
      <c r="L6278" t="s">
        <v>102</v>
      </c>
      <c r="M6278" t="s">
        <v>75</v>
      </c>
      <c r="R6278" t="s">
        <v>29465</v>
      </c>
      <c r="W6278" t="s">
        <v>29464</v>
      </c>
      <c r="AB6278" t="s">
        <v>78</v>
      </c>
      <c r="AC6278" t="s">
        <v>79</v>
      </c>
      <c r="AD6278" t="s">
        <v>75</v>
      </c>
      <c r="AE6278" t="s">
        <v>80</v>
      </c>
      <c r="AG6278" t="s">
        <v>81</v>
      </c>
    </row>
    <row r="6279" spans="1:33" x14ac:dyDescent="0.25">
      <c r="A6279" t="str">
        <f>"1598031544"</f>
        <v>1598031544</v>
      </c>
      <c r="C6279" t="s">
        <v>13436</v>
      </c>
      <c r="K6279" t="s">
        <v>99</v>
      </c>
      <c r="L6279" t="s">
        <v>102</v>
      </c>
      <c r="M6279" t="s">
        <v>75</v>
      </c>
      <c r="R6279" t="s">
        <v>29466</v>
      </c>
      <c r="S6279" t="s">
        <v>29467</v>
      </c>
      <c r="T6279" t="s">
        <v>97</v>
      </c>
      <c r="U6279" t="s">
        <v>77</v>
      </c>
      <c r="V6279" t="str">
        <f>"100297219"</f>
        <v>100297219</v>
      </c>
      <c r="AC6279" t="s">
        <v>79</v>
      </c>
      <c r="AD6279" t="s">
        <v>75</v>
      </c>
      <c r="AE6279" t="s">
        <v>103</v>
      </c>
      <c r="AG6279" t="s">
        <v>81</v>
      </c>
    </row>
    <row r="6280" spans="1:33" x14ac:dyDescent="0.25">
      <c r="A6280" t="str">
        <f>"1598031924"</f>
        <v>1598031924</v>
      </c>
      <c r="B6280" t="str">
        <f>"03687327"</f>
        <v>03687327</v>
      </c>
      <c r="C6280" t="s">
        <v>13436</v>
      </c>
      <c r="D6280" t="s">
        <v>29468</v>
      </c>
      <c r="E6280" t="s">
        <v>29469</v>
      </c>
      <c r="L6280" t="s">
        <v>83</v>
      </c>
      <c r="M6280" t="s">
        <v>75</v>
      </c>
      <c r="R6280" t="s">
        <v>29470</v>
      </c>
      <c r="W6280" t="s">
        <v>29469</v>
      </c>
      <c r="X6280" t="s">
        <v>518</v>
      </c>
      <c r="Y6280" t="s">
        <v>97</v>
      </c>
      <c r="Z6280" t="s">
        <v>77</v>
      </c>
      <c r="AA6280" t="str">
        <f>"10013-4615"</f>
        <v>10013-4615</v>
      </c>
      <c r="AB6280" t="s">
        <v>78</v>
      </c>
      <c r="AC6280" t="s">
        <v>79</v>
      </c>
      <c r="AD6280" t="s">
        <v>75</v>
      </c>
      <c r="AE6280" t="s">
        <v>80</v>
      </c>
      <c r="AG6280" t="s">
        <v>81</v>
      </c>
    </row>
    <row r="6281" spans="1:33" x14ac:dyDescent="0.25">
      <c r="A6281" t="str">
        <f>"1720146699"</f>
        <v>1720146699</v>
      </c>
      <c r="B6281" t="str">
        <f>"01591400"</f>
        <v>01591400</v>
      </c>
      <c r="C6281" t="s">
        <v>13436</v>
      </c>
      <c r="D6281" t="s">
        <v>29471</v>
      </c>
      <c r="E6281" t="s">
        <v>29472</v>
      </c>
      <c r="G6281" t="s">
        <v>29473</v>
      </c>
      <c r="L6281" t="s">
        <v>84</v>
      </c>
      <c r="M6281" t="s">
        <v>75</v>
      </c>
      <c r="R6281" t="s">
        <v>29474</v>
      </c>
      <c r="W6281" t="s">
        <v>29472</v>
      </c>
      <c r="X6281" t="s">
        <v>29475</v>
      </c>
      <c r="Y6281" t="s">
        <v>87</v>
      </c>
      <c r="Z6281" t="s">
        <v>77</v>
      </c>
      <c r="AA6281" t="str">
        <f>"11236-5505"</f>
        <v>11236-5505</v>
      </c>
      <c r="AB6281" t="s">
        <v>78</v>
      </c>
      <c r="AC6281" t="s">
        <v>79</v>
      </c>
      <c r="AD6281" t="s">
        <v>75</v>
      </c>
      <c r="AE6281" t="s">
        <v>80</v>
      </c>
      <c r="AG6281" t="s">
        <v>81</v>
      </c>
    </row>
    <row r="6282" spans="1:33" x14ac:dyDescent="0.25">
      <c r="A6282" t="str">
        <f>"1043238603"</f>
        <v>1043238603</v>
      </c>
      <c r="B6282" t="str">
        <f>"01783375"</f>
        <v>01783375</v>
      </c>
      <c r="C6282" t="s">
        <v>13436</v>
      </c>
      <c r="D6282" t="s">
        <v>29476</v>
      </c>
      <c r="E6282" t="s">
        <v>29477</v>
      </c>
      <c r="G6282" t="s">
        <v>29478</v>
      </c>
      <c r="L6282" t="s">
        <v>94</v>
      </c>
      <c r="M6282" t="s">
        <v>85</v>
      </c>
      <c r="R6282" t="s">
        <v>29479</v>
      </c>
      <c r="W6282" t="s">
        <v>29477</v>
      </c>
      <c r="X6282" t="s">
        <v>5557</v>
      </c>
      <c r="Y6282" t="s">
        <v>97</v>
      </c>
      <c r="Z6282" t="s">
        <v>77</v>
      </c>
      <c r="AA6282" t="str">
        <f>"10029-6501"</f>
        <v>10029-6501</v>
      </c>
      <c r="AB6282" t="s">
        <v>78</v>
      </c>
      <c r="AC6282" t="s">
        <v>79</v>
      </c>
      <c r="AD6282" t="s">
        <v>75</v>
      </c>
      <c r="AE6282" t="s">
        <v>80</v>
      </c>
      <c r="AG6282" t="s">
        <v>81</v>
      </c>
    </row>
    <row r="6283" spans="1:33" x14ac:dyDescent="0.25">
      <c r="A6283" t="str">
        <f>"1043252885"</f>
        <v>1043252885</v>
      </c>
      <c r="B6283" t="str">
        <f>"02108698"</f>
        <v>02108698</v>
      </c>
      <c r="C6283" t="s">
        <v>13436</v>
      </c>
      <c r="D6283" t="s">
        <v>29480</v>
      </c>
      <c r="E6283" t="s">
        <v>29481</v>
      </c>
      <c r="G6283" t="s">
        <v>29482</v>
      </c>
      <c r="L6283" t="s">
        <v>94</v>
      </c>
      <c r="M6283" t="s">
        <v>85</v>
      </c>
      <c r="R6283" t="s">
        <v>29481</v>
      </c>
      <c r="W6283" t="s">
        <v>29481</v>
      </c>
      <c r="X6283" t="s">
        <v>1729</v>
      </c>
      <c r="Y6283" t="s">
        <v>87</v>
      </c>
      <c r="Z6283" t="s">
        <v>77</v>
      </c>
      <c r="AA6283" t="str">
        <f>"11237-4813"</f>
        <v>11237-4813</v>
      </c>
      <c r="AB6283" t="s">
        <v>78</v>
      </c>
      <c r="AC6283" t="s">
        <v>79</v>
      </c>
      <c r="AD6283" t="s">
        <v>75</v>
      </c>
      <c r="AE6283" t="s">
        <v>80</v>
      </c>
      <c r="AG6283" t="s">
        <v>81</v>
      </c>
    </row>
    <row r="6284" spans="1:33" x14ac:dyDescent="0.25">
      <c r="A6284" t="str">
        <f>"1346656568"</f>
        <v>1346656568</v>
      </c>
      <c r="C6284" t="s">
        <v>13436</v>
      </c>
      <c r="K6284" t="s">
        <v>99</v>
      </c>
      <c r="L6284" t="s">
        <v>102</v>
      </c>
      <c r="M6284" t="s">
        <v>75</v>
      </c>
      <c r="R6284" t="s">
        <v>29483</v>
      </c>
      <c r="S6284" t="s">
        <v>191</v>
      </c>
      <c r="T6284" t="s">
        <v>97</v>
      </c>
      <c r="U6284" t="s">
        <v>77</v>
      </c>
      <c r="V6284" t="str">
        <f>"100191147"</f>
        <v>100191147</v>
      </c>
      <c r="AC6284" t="s">
        <v>79</v>
      </c>
      <c r="AD6284" t="s">
        <v>75</v>
      </c>
      <c r="AE6284" t="s">
        <v>103</v>
      </c>
      <c r="AG6284" t="s">
        <v>81</v>
      </c>
    </row>
    <row r="6285" spans="1:33" x14ac:dyDescent="0.25">
      <c r="A6285" t="str">
        <f>"1346660164"</f>
        <v>1346660164</v>
      </c>
      <c r="C6285" t="s">
        <v>13436</v>
      </c>
      <c r="G6285" t="s">
        <v>29484</v>
      </c>
      <c r="K6285" t="s">
        <v>99</v>
      </c>
      <c r="L6285" t="s">
        <v>74</v>
      </c>
      <c r="M6285" t="s">
        <v>75</v>
      </c>
      <c r="R6285" t="s">
        <v>29485</v>
      </c>
      <c r="S6285" t="s">
        <v>5324</v>
      </c>
      <c r="T6285" t="s">
        <v>97</v>
      </c>
      <c r="U6285" t="s">
        <v>77</v>
      </c>
      <c r="V6285" t="str">
        <f>"100296504"</f>
        <v>100296504</v>
      </c>
      <c r="AC6285" t="s">
        <v>79</v>
      </c>
      <c r="AD6285" t="s">
        <v>75</v>
      </c>
      <c r="AE6285" t="s">
        <v>103</v>
      </c>
      <c r="AG6285" t="s">
        <v>81</v>
      </c>
    </row>
    <row r="6286" spans="1:33" x14ac:dyDescent="0.25">
      <c r="A6286" t="str">
        <f>"1346668365"</f>
        <v>1346668365</v>
      </c>
      <c r="C6286" t="s">
        <v>13436</v>
      </c>
      <c r="G6286" t="s">
        <v>29486</v>
      </c>
      <c r="K6286" t="s">
        <v>99</v>
      </c>
      <c r="L6286" t="s">
        <v>102</v>
      </c>
      <c r="M6286" t="s">
        <v>75</v>
      </c>
      <c r="R6286" t="s">
        <v>29487</v>
      </c>
      <c r="S6286" t="s">
        <v>29488</v>
      </c>
      <c r="T6286" t="s">
        <v>4861</v>
      </c>
      <c r="U6286" t="s">
        <v>156</v>
      </c>
      <c r="V6286" t="str">
        <f>"07631"</f>
        <v>07631</v>
      </c>
      <c r="AC6286" t="s">
        <v>79</v>
      </c>
      <c r="AD6286" t="s">
        <v>75</v>
      </c>
      <c r="AE6286" t="s">
        <v>103</v>
      </c>
      <c r="AG6286" t="s">
        <v>81</v>
      </c>
    </row>
    <row r="6287" spans="1:33" x14ac:dyDescent="0.25">
      <c r="A6287" t="str">
        <f>"1346437183"</f>
        <v>1346437183</v>
      </c>
      <c r="B6287" t="str">
        <f>"02236620"</f>
        <v>02236620</v>
      </c>
      <c r="C6287" t="s">
        <v>13436</v>
      </c>
      <c r="D6287" t="s">
        <v>29489</v>
      </c>
      <c r="E6287" t="s">
        <v>29490</v>
      </c>
      <c r="G6287" t="s">
        <v>29491</v>
      </c>
      <c r="L6287" t="s">
        <v>74</v>
      </c>
      <c r="M6287" t="s">
        <v>85</v>
      </c>
      <c r="R6287" t="s">
        <v>29492</v>
      </c>
      <c r="W6287" t="s">
        <v>29490</v>
      </c>
      <c r="X6287" t="s">
        <v>29490</v>
      </c>
      <c r="Y6287" t="s">
        <v>164</v>
      </c>
      <c r="Z6287" t="s">
        <v>77</v>
      </c>
      <c r="AA6287" t="str">
        <f>"11554-1580"</f>
        <v>11554-1580</v>
      </c>
      <c r="AB6287" t="s">
        <v>78</v>
      </c>
      <c r="AC6287" t="s">
        <v>79</v>
      </c>
      <c r="AD6287" t="s">
        <v>75</v>
      </c>
      <c r="AE6287" t="s">
        <v>80</v>
      </c>
      <c r="AG6287" t="s">
        <v>81</v>
      </c>
    </row>
    <row r="6288" spans="1:33" x14ac:dyDescent="0.25">
      <c r="A6288" t="str">
        <f>"1356351514"</f>
        <v>1356351514</v>
      </c>
      <c r="B6288" t="str">
        <f>"02386845"</f>
        <v>02386845</v>
      </c>
      <c r="C6288" t="s">
        <v>13436</v>
      </c>
      <c r="D6288" t="s">
        <v>29493</v>
      </c>
      <c r="E6288" t="s">
        <v>29494</v>
      </c>
      <c r="G6288" t="s">
        <v>29495</v>
      </c>
      <c r="L6288" t="s">
        <v>84</v>
      </c>
      <c r="M6288" t="s">
        <v>85</v>
      </c>
      <c r="R6288" t="s">
        <v>29496</v>
      </c>
      <c r="W6288" t="s">
        <v>29494</v>
      </c>
      <c r="X6288" t="s">
        <v>29497</v>
      </c>
      <c r="Y6288" t="s">
        <v>97</v>
      </c>
      <c r="Z6288" t="s">
        <v>77</v>
      </c>
      <c r="AA6288" t="str">
        <f>"10016-6055"</f>
        <v>10016-6055</v>
      </c>
      <c r="AB6288" t="s">
        <v>78</v>
      </c>
      <c r="AC6288" t="s">
        <v>79</v>
      </c>
      <c r="AD6288" t="s">
        <v>75</v>
      </c>
      <c r="AE6288" t="s">
        <v>80</v>
      </c>
      <c r="AG6288" t="s">
        <v>81</v>
      </c>
    </row>
    <row r="6289" spans="1:33" x14ac:dyDescent="0.25">
      <c r="A6289" t="str">
        <f>"1942237201"</f>
        <v>1942237201</v>
      </c>
      <c r="B6289" t="str">
        <f>"04107360"</f>
        <v>04107360</v>
      </c>
      <c r="C6289" t="s">
        <v>13436</v>
      </c>
      <c r="D6289" t="s">
        <v>29498</v>
      </c>
      <c r="E6289" t="s">
        <v>29499</v>
      </c>
      <c r="G6289" t="s">
        <v>29500</v>
      </c>
      <c r="L6289" t="s">
        <v>74</v>
      </c>
      <c r="M6289" t="s">
        <v>85</v>
      </c>
      <c r="R6289" t="s">
        <v>29501</v>
      </c>
      <c r="W6289" t="s">
        <v>29499</v>
      </c>
      <c r="X6289" t="s">
        <v>29502</v>
      </c>
      <c r="Y6289" t="s">
        <v>97</v>
      </c>
      <c r="Z6289" t="s">
        <v>77</v>
      </c>
      <c r="AA6289" t="str">
        <f>"10016-8728"</f>
        <v>10016-8728</v>
      </c>
      <c r="AB6289" t="s">
        <v>78</v>
      </c>
      <c r="AC6289" t="s">
        <v>79</v>
      </c>
      <c r="AD6289" t="s">
        <v>75</v>
      </c>
      <c r="AE6289" t="s">
        <v>80</v>
      </c>
      <c r="AG6289" t="s">
        <v>81</v>
      </c>
    </row>
    <row r="6290" spans="1:33" x14ac:dyDescent="0.25">
      <c r="A6290" t="str">
        <f>"1942283445"</f>
        <v>1942283445</v>
      </c>
      <c r="B6290" t="str">
        <f>"01774616"</f>
        <v>01774616</v>
      </c>
      <c r="C6290" t="s">
        <v>13436</v>
      </c>
      <c r="D6290" t="s">
        <v>29503</v>
      </c>
      <c r="E6290" t="s">
        <v>29504</v>
      </c>
      <c r="G6290" t="s">
        <v>29505</v>
      </c>
      <c r="L6290" t="s">
        <v>74</v>
      </c>
      <c r="M6290" t="s">
        <v>85</v>
      </c>
      <c r="R6290" t="s">
        <v>29506</v>
      </c>
      <c r="W6290" t="s">
        <v>29504</v>
      </c>
      <c r="X6290" t="s">
        <v>25779</v>
      </c>
      <c r="Y6290" t="s">
        <v>97</v>
      </c>
      <c r="Z6290" t="s">
        <v>77</v>
      </c>
      <c r="AA6290" t="str">
        <f>"10003-3851"</f>
        <v>10003-3851</v>
      </c>
      <c r="AB6290" t="s">
        <v>78</v>
      </c>
      <c r="AC6290" t="s">
        <v>79</v>
      </c>
      <c r="AD6290" t="s">
        <v>75</v>
      </c>
      <c r="AE6290" t="s">
        <v>80</v>
      </c>
      <c r="AG6290" t="s">
        <v>81</v>
      </c>
    </row>
    <row r="6291" spans="1:33" x14ac:dyDescent="0.25">
      <c r="A6291" t="str">
        <f>"1942293774"</f>
        <v>1942293774</v>
      </c>
      <c r="B6291" t="str">
        <f>"02048204"</f>
        <v>02048204</v>
      </c>
      <c r="C6291" t="s">
        <v>13436</v>
      </c>
      <c r="D6291" t="s">
        <v>29507</v>
      </c>
      <c r="E6291" t="s">
        <v>29508</v>
      </c>
      <c r="G6291" t="s">
        <v>29509</v>
      </c>
      <c r="L6291" t="s">
        <v>83</v>
      </c>
      <c r="M6291" t="s">
        <v>85</v>
      </c>
      <c r="R6291" t="s">
        <v>29510</v>
      </c>
      <c r="W6291" t="s">
        <v>29508</v>
      </c>
      <c r="X6291" t="s">
        <v>181</v>
      </c>
      <c r="Y6291" t="s">
        <v>97</v>
      </c>
      <c r="Z6291" t="s">
        <v>77</v>
      </c>
      <c r="AA6291" t="str">
        <f>"10025-1716"</f>
        <v>10025-1716</v>
      </c>
      <c r="AB6291" t="s">
        <v>78</v>
      </c>
      <c r="AC6291" t="s">
        <v>79</v>
      </c>
      <c r="AD6291" t="s">
        <v>75</v>
      </c>
      <c r="AE6291" t="s">
        <v>80</v>
      </c>
      <c r="AG6291" t="s">
        <v>81</v>
      </c>
    </row>
    <row r="6292" spans="1:33" x14ac:dyDescent="0.25">
      <c r="A6292" t="str">
        <f>"1942316435"</f>
        <v>1942316435</v>
      </c>
      <c r="C6292" t="s">
        <v>13436</v>
      </c>
      <c r="G6292" t="s">
        <v>29511</v>
      </c>
      <c r="K6292" t="s">
        <v>99</v>
      </c>
      <c r="L6292" t="s">
        <v>74</v>
      </c>
      <c r="M6292" t="s">
        <v>85</v>
      </c>
      <c r="R6292" t="s">
        <v>29512</v>
      </c>
      <c r="S6292" t="s">
        <v>29513</v>
      </c>
      <c r="T6292" t="s">
        <v>97</v>
      </c>
      <c r="U6292" t="s">
        <v>77</v>
      </c>
      <c r="V6292" t="str">
        <f>"100164942"</f>
        <v>100164942</v>
      </c>
      <c r="AC6292" t="s">
        <v>79</v>
      </c>
      <c r="AD6292" t="s">
        <v>75</v>
      </c>
      <c r="AE6292" t="s">
        <v>103</v>
      </c>
      <c r="AG6292" t="s">
        <v>81</v>
      </c>
    </row>
    <row r="6293" spans="1:33" x14ac:dyDescent="0.25">
      <c r="A6293" t="str">
        <f>"1831241322"</f>
        <v>1831241322</v>
      </c>
      <c r="B6293" t="str">
        <f>"01191042"</f>
        <v>01191042</v>
      </c>
      <c r="C6293" t="s">
        <v>13436</v>
      </c>
      <c r="D6293" t="s">
        <v>29514</v>
      </c>
      <c r="E6293" t="s">
        <v>29515</v>
      </c>
      <c r="G6293" t="s">
        <v>29516</v>
      </c>
      <c r="L6293" t="s">
        <v>83</v>
      </c>
      <c r="M6293" t="s">
        <v>85</v>
      </c>
      <c r="R6293" t="s">
        <v>29515</v>
      </c>
      <c r="W6293" t="s">
        <v>29515</v>
      </c>
      <c r="X6293" t="s">
        <v>3553</v>
      </c>
      <c r="Y6293" t="s">
        <v>97</v>
      </c>
      <c r="Z6293" t="s">
        <v>77</v>
      </c>
      <c r="AA6293" t="str">
        <f>"10003-3851"</f>
        <v>10003-3851</v>
      </c>
      <c r="AB6293" t="s">
        <v>78</v>
      </c>
      <c r="AC6293" t="s">
        <v>79</v>
      </c>
      <c r="AD6293" t="s">
        <v>75</v>
      </c>
      <c r="AE6293" t="s">
        <v>80</v>
      </c>
      <c r="AG6293" t="s">
        <v>81</v>
      </c>
    </row>
    <row r="6294" spans="1:33" x14ac:dyDescent="0.25">
      <c r="A6294" t="str">
        <f>"1831265909"</f>
        <v>1831265909</v>
      </c>
      <c r="B6294" t="str">
        <f>"00133986"</f>
        <v>00133986</v>
      </c>
      <c r="C6294" t="s">
        <v>13436</v>
      </c>
      <c r="D6294" t="s">
        <v>29517</v>
      </c>
      <c r="E6294" t="s">
        <v>29518</v>
      </c>
      <c r="G6294" t="s">
        <v>29519</v>
      </c>
      <c r="L6294" t="s">
        <v>102</v>
      </c>
      <c r="M6294" t="s">
        <v>85</v>
      </c>
      <c r="R6294" t="s">
        <v>29520</v>
      </c>
      <c r="W6294" t="s">
        <v>29518</v>
      </c>
      <c r="X6294" t="s">
        <v>29521</v>
      </c>
      <c r="Y6294" t="s">
        <v>97</v>
      </c>
      <c r="Z6294" t="s">
        <v>77</v>
      </c>
      <c r="AA6294" t="str">
        <f>"10022-2300"</f>
        <v>10022-2300</v>
      </c>
      <c r="AB6294" t="s">
        <v>78</v>
      </c>
      <c r="AC6294" t="s">
        <v>79</v>
      </c>
      <c r="AD6294" t="s">
        <v>75</v>
      </c>
      <c r="AE6294" t="s">
        <v>80</v>
      </c>
      <c r="AG6294" t="s">
        <v>81</v>
      </c>
    </row>
    <row r="6295" spans="1:33" x14ac:dyDescent="0.25">
      <c r="A6295" t="str">
        <f>"1831266964"</f>
        <v>1831266964</v>
      </c>
      <c r="B6295" t="str">
        <f>"04114449"</f>
        <v>04114449</v>
      </c>
      <c r="C6295" t="s">
        <v>13436</v>
      </c>
      <c r="D6295" t="s">
        <v>5998</v>
      </c>
      <c r="E6295" t="s">
        <v>5999</v>
      </c>
      <c r="G6295" t="s">
        <v>29522</v>
      </c>
      <c r="L6295" t="s">
        <v>74</v>
      </c>
      <c r="M6295" t="s">
        <v>85</v>
      </c>
      <c r="R6295" t="s">
        <v>6000</v>
      </c>
      <c r="W6295" t="s">
        <v>6001</v>
      </c>
      <c r="X6295" t="s">
        <v>443</v>
      </c>
      <c r="Y6295" t="s">
        <v>97</v>
      </c>
      <c r="Z6295" t="s">
        <v>77</v>
      </c>
      <c r="AA6295" t="str">
        <f>"10075-1850"</f>
        <v>10075-1850</v>
      </c>
      <c r="AB6295" t="s">
        <v>78</v>
      </c>
      <c r="AC6295" t="s">
        <v>79</v>
      </c>
      <c r="AD6295" t="s">
        <v>75</v>
      </c>
      <c r="AE6295" t="s">
        <v>80</v>
      </c>
      <c r="AG6295" t="s">
        <v>81</v>
      </c>
    </row>
    <row r="6296" spans="1:33" x14ac:dyDescent="0.25">
      <c r="A6296" t="str">
        <f>"1831390046"</f>
        <v>1831390046</v>
      </c>
      <c r="B6296" t="str">
        <f>"02963404"</f>
        <v>02963404</v>
      </c>
      <c r="C6296" t="s">
        <v>13436</v>
      </c>
      <c r="D6296" t="s">
        <v>29523</v>
      </c>
      <c r="E6296" t="s">
        <v>29524</v>
      </c>
      <c r="G6296" t="s">
        <v>29525</v>
      </c>
      <c r="L6296" t="s">
        <v>74</v>
      </c>
      <c r="M6296" t="s">
        <v>85</v>
      </c>
      <c r="R6296" t="s">
        <v>29524</v>
      </c>
      <c r="W6296" t="s">
        <v>29524</v>
      </c>
      <c r="X6296" t="s">
        <v>29526</v>
      </c>
      <c r="Y6296" t="s">
        <v>97</v>
      </c>
      <c r="Z6296" t="s">
        <v>77</v>
      </c>
      <c r="AA6296" t="str">
        <f>"10003"</f>
        <v>10003</v>
      </c>
      <c r="AB6296" t="s">
        <v>78</v>
      </c>
      <c r="AC6296" t="s">
        <v>79</v>
      </c>
      <c r="AD6296" t="s">
        <v>75</v>
      </c>
      <c r="AE6296" t="s">
        <v>80</v>
      </c>
      <c r="AG6296" t="s">
        <v>81</v>
      </c>
    </row>
    <row r="6297" spans="1:33" x14ac:dyDescent="0.25">
      <c r="A6297" t="str">
        <f>"1841221793"</f>
        <v>1841221793</v>
      </c>
      <c r="B6297" t="str">
        <f>"02753377"</f>
        <v>02753377</v>
      </c>
      <c r="C6297" t="s">
        <v>13436</v>
      </c>
      <c r="D6297" t="s">
        <v>29527</v>
      </c>
      <c r="E6297" t="s">
        <v>29528</v>
      </c>
      <c r="G6297" t="s">
        <v>29529</v>
      </c>
      <c r="L6297" t="s">
        <v>83</v>
      </c>
      <c r="M6297" t="s">
        <v>85</v>
      </c>
      <c r="R6297" t="s">
        <v>29530</v>
      </c>
      <c r="W6297" t="s">
        <v>29528</v>
      </c>
      <c r="X6297" t="s">
        <v>2587</v>
      </c>
      <c r="Y6297" t="s">
        <v>97</v>
      </c>
      <c r="Z6297" t="s">
        <v>77</v>
      </c>
      <c r="AA6297" t="str">
        <f>"10003-3314"</f>
        <v>10003-3314</v>
      </c>
      <c r="AB6297" t="s">
        <v>78</v>
      </c>
      <c r="AC6297" t="s">
        <v>79</v>
      </c>
      <c r="AD6297" t="s">
        <v>75</v>
      </c>
      <c r="AE6297" t="s">
        <v>80</v>
      </c>
      <c r="AG6297" t="s">
        <v>81</v>
      </c>
    </row>
    <row r="6298" spans="1:33" x14ac:dyDescent="0.25">
      <c r="A6298" t="str">
        <f>"1841263225"</f>
        <v>1841263225</v>
      </c>
      <c r="B6298" t="str">
        <f>"01554470"</f>
        <v>01554470</v>
      </c>
      <c r="C6298" t="s">
        <v>13436</v>
      </c>
      <c r="D6298" t="s">
        <v>29531</v>
      </c>
      <c r="E6298" t="s">
        <v>29532</v>
      </c>
      <c r="G6298" t="s">
        <v>29533</v>
      </c>
      <c r="L6298" t="s">
        <v>83</v>
      </c>
      <c r="M6298" t="s">
        <v>85</v>
      </c>
      <c r="R6298" t="s">
        <v>29534</v>
      </c>
      <c r="W6298" t="s">
        <v>29535</v>
      </c>
      <c r="X6298" t="s">
        <v>2587</v>
      </c>
      <c r="Y6298" t="s">
        <v>97</v>
      </c>
      <c r="Z6298" t="s">
        <v>77</v>
      </c>
      <c r="AA6298" t="str">
        <f>"10003-3314"</f>
        <v>10003-3314</v>
      </c>
      <c r="AB6298" t="s">
        <v>78</v>
      </c>
      <c r="AC6298" t="s">
        <v>79</v>
      </c>
      <c r="AD6298" t="s">
        <v>75</v>
      </c>
      <c r="AE6298" t="s">
        <v>80</v>
      </c>
      <c r="AG6298" t="s">
        <v>81</v>
      </c>
    </row>
    <row r="6299" spans="1:33" x14ac:dyDescent="0.25">
      <c r="A6299" t="str">
        <f>"1841283678"</f>
        <v>1841283678</v>
      </c>
      <c r="B6299" t="str">
        <f>"01884440"</f>
        <v>01884440</v>
      </c>
      <c r="C6299" t="s">
        <v>13436</v>
      </c>
      <c r="D6299" t="s">
        <v>29536</v>
      </c>
      <c r="E6299" t="s">
        <v>29537</v>
      </c>
      <c r="G6299" t="s">
        <v>29538</v>
      </c>
      <c r="L6299" t="s">
        <v>74</v>
      </c>
      <c r="M6299" t="s">
        <v>85</v>
      </c>
      <c r="R6299" t="s">
        <v>29539</v>
      </c>
      <c r="W6299" t="s">
        <v>29537</v>
      </c>
      <c r="X6299" t="s">
        <v>191</v>
      </c>
      <c r="Y6299" t="s">
        <v>97</v>
      </c>
      <c r="Z6299" t="s">
        <v>77</v>
      </c>
      <c r="AA6299" t="str">
        <f>"10019-1147"</f>
        <v>10019-1147</v>
      </c>
      <c r="AB6299" t="s">
        <v>78</v>
      </c>
      <c r="AC6299" t="s">
        <v>79</v>
      </c>
      <c r="AD6299" t="s">
        <v>75</v>
      </c>
      <c r="AE6299" t="s">
        <v>80</v>
      </c>
      <c r="AG6299" t="s">
        <v>81</v>
      </c>
    </row>
    <row r="6300" spans="1:33" x14ac:dyDescent="0.25">
      <c r="A6300" t="str">
        <f>"1841333804"</f>
        <v>1841333804</v>
      </c>
      <c r="B6300" t="str">
        <f>"00295038"</f>
        <v>00295038</v>
      </c>
      <c r="C6300" t="s">
        <v>13436</v>
      </c>
      <c r="D6300" t="s">
        <v>29540</v>
      </c>
      <c r="E6300" t="s">
        <v>29541</v>
      </c>
      <c r="G6300" t="s">
        <v>29542</v>
      </c>
      <c r="L6300" t="s">
        <v>83</v>
      </c>
      <c r="M6300" t="s">
        <v>85</v>
      </c>
      <c r="R6300" t="s">
        <v>29543</v>
      </c>
      <c r="W6300" t="s">
        <v>29541</v>
      </c>
      <c r="X6300" t="s">
        <v>29544</v>
      </c>
      <c r="Y6300" t="s">
        <v>97</v>
      </c>
      <c r="Z6300" t="s">
        <v>77</v>
      </c>
      <c r="AA6300" t="str">
        <f>"10003"</f>
        <v>10003</v>
      </c>
      <c r="AB6300" t="s">
        <v>82</v>
      </c>
      <c r="AC6300" t="s">
        <v>79</v>
      </c>
      <c r="AD6300" t="s">
        <v>75</v>
      </c>
      <c r="AE6300" t="s">
        <v>80</v>
      </c>
      <c r="AG6300" t="s">
        <v>81</v>
      </c>
    </row>
    <row r="6301" spans="1:33" x14ac:dyDescent="0.25">
      <c r="A6301" t="str">
        <f>"1841350378"</f>
        <v>1841350378</v>
      </c>
      <c r="C6301" t="s">
        <v>13436</v>
      </c>
      <c r="G6301" t="s">
        <v>29545</v>
      </c>
      <c r="K6301" t="s">
        <v>99</v>
      </c>
      <c r="L6301" t="s">
        <v>74</v>
      </c>
      <c r="M6301" t="s">
        <v>85</v>
      </c>
      <c r="R6301" t="s">
        <v>29546</v>
      </c>
      <c r="S6301" t="s">
        <v>29547</v>
      </c>
      <c r="T6301" t="s">
        <v>97</v>
      </c>
      <c r="U6301" t="s">
        <v>77</v>
      </c>
      <c r="V6301" t="str">
        <f>"100251716"</f>
        <v>100251716</v>
      </c>
      <c r="AC6301" t="s">
        <v>79</v>
      </c>
      <c r="AD6301" t="s">
        <v>75</v>
      </c>
      <c r="AE6301" t="s">
        <v>103</v>
      </c>
      <c r="AG6301" t="s">
        <v>81</v>
      </c>
    </row>
    <row r="6302" spans="1:33" x14ac:dyDescent="0.25">
      <c r="A6302" t="str">
        <f>"1841356219"</f>
        <v>1841356219</v>
      </c>
      <c r="B6302" t="str">
        <f>"01760916"</f>
        <v>01760916</v>
      </c>
      <c r="C6302" t="s">
        <v>13436</v>
      </c>
      <c r="D6302" t="s">
        <v>29548</v>
      </c>
      <c r="E6302" t="s">
        <v>29549</v>
      </c>
      <c r="G6302" t="s">
        <v>29550</v>
      </c>
      <c r="L6302" t="s">
        <v>83</v>
      </c>
      <c r="M6302" t="s">
        <v>85</v>
      </c>
      <c r="R6302" t="s">
        <v>29551</v>
      </c>
      <c r="W6302" t="s">
        <v>29549</v>
      </c>
      <c r="X6302" t="s">
        <v>3553</v>
      </c>
      <c r="Y6302" t="s">
        <v>97</v>
      </c>
      <c r="Z6302" t="s">
        <v>77</v>
      </c>
      <c r="AA6302" t="str">
        <f>"10003-3851"</f>
        <v>10003-3851</v>
      </c>
      <c r="AB6302" t="s">
        <v>78</v>
      </c>
      <c r="AC6302" t="s">
        <v>79</v>
      </c>
      <c r="AD6302" t="s">
        <v>75</v>
      </c>
      <c r="AE6302" t="s">
        <v>80</v>
      </c>
      <c r="AG6302" t="s">
        <v>81</v>
      </c>
    </row>
    <row r="6303" spans="1:33" x14ac:dyDescent="0.25">
      <c r="A6303" t="str">
        <f>"1407099930"</f>
        <v>1407099930</v>
      </c>
      <c r="B6303" t="str">
        <f>"03466039"</f>
        <v>03466039</v>
      </c>
      <c r="C6303" t="s">
        <v>13436</v>
      </c>
      <c r="D6303" t="s">
        <v>29552</v>
      </c>
      <c r="E6303" t="s">
        <v>29553</v>
      </c>
      <c r="G6303" t="s">
        <v>29554</v>
      </c>
      <c r="L6303" t="s">
        <v>84</v>
      </c>
      <c r="M6303" t="s">
        <v>85</v>
      </c>
      <c r="R6303" t="s">
        <v>29555</v>
      </c>
      <c r="W6303" t="s">
        <v>29553</v>
      </c>
      <c r="X6303" t="s">
        <v>330</v>
      </c>
      <c r="Y6303" t="s">
        <v>97</v>
      </c>
      <c r="Z6303" t="s">
        <v>77</v>
      </c>
      <c r="AA6303" t="str">
        <f>"10029-5204"</f>
        <v>10029-5204</v>
      </c>
      <c r="AB6303" t="s">
        <v>78</v>
      </c>
      <c r="AC6303" t="s">
        <v>79</v>
      </c>
      <c r="AD6303" t="s">
        <v>75</v>
      </c>
      <c r="AE6303" t="s">
        <v>80</v>
      </c>
      <c r="AG6303" t="s">
        <v>81</v>
      </c>
    </row>
    <row r="6304" spans="1:33" x14ac:dyDescent="0.25">
      <c r="A6304" t="str">
        <f>"1407112246"</f>
        <v>1407112246</v>
      </c>
      <c r="B6304" t="str">
        <f>"04490882"</f>
        <v>04490882</v>
      </c>
      <c r="C6304" t="s">
        <v>13436</v>
      </c>
      <c r="D6304" t="s">
        <v>29556</v>
      </c>
      <c r="E6304" t="s">
        <v>29557</v>
      </c>
      <c r="L6304" t="s">
        <v>74</v>
      </c>
      <c r="M6304" t="s">
        <v>75</v>
      </c>
      <c r="R6304" t="s">
        <v>29558</v>
      </c>
      <c r="W6304" t="s">
        <v>29557</v>
      </c>
      <c r="AB6304" t="s">
        <v>78</v>
      </c>
      <c r="AC6304" t="s">
        <v>79</v>
      </c>
      <c r="AD6304" t="s">
        <v>75</v>
      </c>
      <c r="AE6304" t="s">
        <v>80</v>
      </c>
      <c r="AG6304" t="s">
        <v>81</v>
      </c>
    </row>
    <row r="6305" spans="1:33" x14ac:dyDescent="0.25">
      <c r="A6305" t="str">
        <f>"1407114358"</f>
        <v>1407114358</v>
      </c>
      <c r="B6305" t="str">
        <f>"04362429"</f>
        <v>04362429</v>
      </c>
      <c r="C6305" t="s">
        <v>13436</v>
      </c>
      <c r="D6305" t="s">
        <v>29559</v>
      </c>
      <c r="E6305" t="s">
        <v>29560</v>
      </c>
      <c r="L6305" t="s">
        <v>102</v>
      </c>
      <c r="M6305" t="s">
        <v>75</v>
      </c>
      <c r="R6305" t="s">
        <v>29561</v>
      </c>
      <c r="W6305" t="s">
        <v>29560</v>
      </c>
      <c r="X6305" t="s">
        <v>330</v>
      </c>
      <c r="Y6305" t="s">
        <v>97</v>
      </c>
      <c r="Z6305" t="s">
        <v>77</v>
      </c>
      <c r="AA6305" t="str">
        <f>"10029-5204"</f>
        <v>10029-5204</v>
      </c>
      <c r="AB6305" t="s">
        <v>128</v>
      </c>
      <c r="AC6305" t="s">
        <v>79</v>
      </c>
      <c r="AD6305" t="s">
        <v>75</v>
      </c>
      <c r="AE6305" t="s">
        <v>80</v>
      </c>
      <c r="AG6305" t="s">
        <v>81</v>
      </c>
    </row>
    <row r="6306" spans="1:33" x14ac:dyDescent="0.25">
      <c r="A6306" t="str">
        <f>"1407124860"</f>
        <v>1407124860</v>
      </c>
      <c r="B6306" t="str">
        <f>"03810895"</f>
        <v>03810895</v>
      </c>
      <c r="C6306" t="s">
        <v>13436</v>
      </c>
      <c r="D6306" t="s">
        <v>29562</v>
      </c>
      <c r="E6306" t="s">
        <v>29563</v>
      </c>
      <c r="G6306" t="s">
        <v>29564</v>
      </c>
      <c r="L6306" t="s">
        <v>74</v>
      </c>
      <c r="M6306" t="s">
        <v>75</v>
      </c>
      <c r="R6306" t="s">
        <v>29563</v>
      </c>
      <c r="W6306" t="s">
        <v>29563</v>
      </c>
      <c r="X6306" t="s">
        <v>267</v>
      </c>
      <c r="Y6306" t="s">
        <v>91</v>
      </c>
      <c r="Z6306" t="s">
        <v>77</v>
      </c>
      <c r="AA6306" t="str">
        <f>"11373-1329"</f>
        <v>11373-1329</v>
      </c>
      <c r="AB6306" t="s">
        <v>78</v>
      </c>
      <c r="AC6306" t="s">
        <v>79</v>
      </c>
      <c r="AD6306" t="s">
        <v>75</v>
      </c>
      <c r="AE6306" t="s">
        <v>80</v>
      </c>
      <c r="AG6306" t="s">
        <v>81</v>
      </c>
    </row>
    <row r="6307" spans="1:33" x14ac:dyDescent="0.25">
      <c r="A6307" t="str">
        <f>"1407133515"</f>
        <v>1407133515</v>
      </c>
      <c r="B6307" t="str">
        <f>"03582198"</f>
        <v>03582198</v>
      </c>
      <c r="C6307" t="s">
        <v>13436</v>
      </c>
      <c r="D6307" t="s">
        <v>29565</v>
      </c>
      <c r="E6307" t="s">
        <v>29566</v>
      </c>
      <c r="L6307" t="s">
        <v>74</v>
      </c>
      <c r="M6307" t="s">
        <v>75</v>
      </c>
      <c r="R6307" t="s">
        <v>29567</v>
      </c>
      <c r="W6307" t="s">
        <v>29566</v>
      </c>
      <c r="X6307" t="s">
        <v>235</v>
      </c>
      <c r="Y6307" t="s">
        <v>190</v>
      </c>
      <c r="Z6307" t="s">
        <v>77</v>
      </c>
      <c r="AA6307" t="str">
        <f>"11102-2448"</f>
        <v>11102-2448</v>
      </c>
      <c r="AB6307" t="s">
        <v>78</v>
      </c>
      <c r="AC6307" t="s">
        <v>79</v>
      </c>
      <c r="AD6307" t="s">
        <v>75</v>
      </c>
      <c r="AE6307" t="s">
        <v>80</v>
      </c>
      <c r="AG6307" t="s">
        <v>81</v>
      </c>
    </row>
    <row r="6308" spans="1:33" x14ac:dyDescent="0.25">
      <c r="A6308" t="str">
        <f>"1235541038"</f>
        <v>1235541038</v>
      </c>
      <c r="C6308" t="s">
        <v>13436</v>
      </c>
      <c r="K6308" t="s">
        <v>99</v>
      </c>
      <c r="L6308" t="s">
        <v>102</v>
      </c>
      <c r="M6308" t="s">
        <v>75</v>
      </c>
      <c r="R6308" t="s">
        <v>29568</v>
      </c>
      <c r="S6308" t="s">
        <v>29569</v>
      </c>
      <c r="T6308" t="s">
        <v>131</v>
      </c>
      <c r="U6308" t="s">
        <v>77</v>
      </c>
      <c r="V6308" t="str">
        <f>"104672410"</f>
        <v>104672410</v>
      </c>
      <c r="AC6308" t="s">
        <v>79</v>
      </c>
      <c r="AD6308" t="s">
        <v>75</v>
      </c>
      <c r="AE6308" t="s">
        <v>103</v>
      </c>
      <c r="AG6308" t="s">
        <v>81</v>
      </c>
    </row>
    <row r="6309" spans="1:33" x14ac:dyDescent="0.25">
      <c r="A6309" t="str">
        <f>"1235546102"</f>
        <v>1235546102</v>
      </c>
      <c r="C6309" t="s">
        <v>13436</v>
      </c>
      <c r="K6309" t="s">
        <v>99</v>
      </c>
      <c r="L6309" t="s">
        <v>102</v>
      </c>
      <c r="M6309" t="s">
        <v>75</v>
      </c>
      <c r="R6309" t="s">
        <v>29570</v>
      </c>
      <c r="S6309" t="s">
        <v>29571</v>
      </c>
      <c r="T6309" t="s">
        <v>97</v>
      </c>
      <c r="U6309" t="s">
        <v>77</v>
      </c>
      <c r="V6309" t="str">
        <f>"100191042"</f>
        <v>100191042</v>
      </c>
      <c r="AC6309" t="s">
        <v>79</v>
      </c>
      <c r="AD6309" t="s">
        <v>75</v>
      </c>
      <c r="AE6309" t="s">
        <v>103</v>
      </c>
      <c r="AG6309" t="s">
        <v>81</v>
      </c>
    </row>
    <row r="6310" spans="1:33" x14ac:dyDescent="0.25">
      <c r="A6310" t="str">
        <f>"1235556309"</f>
        <v>1235556309</v>
      </c>
      <c r="C6310" t="s">
        <v>13436</v>
      </c>
      <c r="K6310" t="s">
        <v>99</v>
      </c>
      <c r="L6310" t="s">
        <v>102</v>
      </c>
      <c r="M6310" t="s">
        <v>75</v>
      </c>
      <c r="R6310" t="s">
        <v>29572</v>
      </c>
      <c r="S6310" t="s">
        <v>12643</v>
      </c>
      <c r="T6310" t="s">
        <v>97</v>
      </c>
      <c r="U6310" t="s">
        <v>77</v>
      </c>
      <c r="V6310" t="str">
        <f>"100033821"</f>
        <v>100033821</v>
      </c>
      <c r="AC6310" t="s">
        <v>79</v>
      </c>
      <c r="AD6310" t="s">
        <v>75</v>
      </c>
      <c r="AE6310" t="s">
        <v>103</v>
      </c>
      <c r="AG6310" t="s">
        <v>81</v>
      </c>
    </row>
    <row r="6311" spans="1:33" x14ac:dyDescent="0.25">
      <c r="A6311" t="str">
        <f>"1396757704"</f>
        <v>1396757704</v>
      </c>
      <c r="B6311" t="str">
        <f>"00298953"</f>
        <v>00298953</v>
      </c>
      <c r="C6311" t="s">
        <v>13436</v>
      </c>
      <c r="D6311" t="s">
        <v>29573</v>
      </c>
      <c r="E6311" t="s">
        <v>29574</v>
      </c>
      <c r="G6311" t="s">
        <v>29575</v>
      </c>
      <c r="L6311" t="s">
        <v>74</v>
      </c>
      <c r="M6311" t="s">
        <v>75</v>
      </c>
      <c r="R6311" t="s">
        <v>29576</v>
      </c>
      <c r="W6311" t="s">
        <v>29574</v>
      </c>
      <c r="X6311" t="s">
        <v>29577</v>
      </c>
      <c r="Y6311" t="s">
        <v>97</v>
      </c>
      <c r="Z6311" t="s">
        <v>77</v>
      </c>
      <c r="AA6311" t="str">
        <f>"10029-6501"</f>
        <v>10029-6501</v>
      </c>
      <c r="AB6311" t="s">
        <v>78</v>
      </c>
      <c r="AC6311" t="s">
        <v>79</v>
      </c>
      <c r="AD6311" t="s">
        <v>75</v>
      </c>
      <c r="AE6311" t="s">
        <v>80</v>
      </c>
      <c r="AG6311" t="s">
        <v>81</v>
      </c>
    </row>
    <row r="6312" spans="1:33" x14ac:dyDescent="0.25">
      <c r="A6312" t="str">
        <f>"1326300807"</f>
        <v>1326300807</v>
      </c>
      <c r="B6312" t="str">
        <f>"04315380"</f>
        <v>04315380</v>
      </c>
      <c r="C6312" t="s">
        <v>13436</v>
      </c>
      <c r="D6312" t="s">
        <v>29578</v>
      </c>
      <c r="E6312" t="s">
        <v>29579</v>
      </c>
      <c r="L6312" t="s">
        <v>94</v>
      </c>
      <c r="M6312" t="s">
        <v>75</v>
      </c>
      <c r="R6312" t="s">
        <v>29580</v>
      </c>
      <c r="W6312" t="s">
        <v>29579</v>
      </c>
      <c r="X6312" t="s">
        <v>29581</v>
      </c>
      <c r="Y6312" t="s">
        <v>155</v>
      </c>
      <c r="Z6312" t="s">
        <v>77</v>
      </c>
      <c r="AA6312" t="str">
        <f>"10302-1701"</f>
        <v>10302-1701</v>
      </c>
      <c r="AB6312" t="s">
        <v>78</v>
      </c>
      <c r="AC6312" t="s">
        <v>79</v>
      </c>
      <c r="AD6312" t="s">
        <v>75</v>
      </c>
      <c r="AE6312" t="s">
        <v>80</v>
      </c>
      <c r="AG6312" t="s">
        <v>81</v>
      </c>
    </row>
    <row r="6313" spans="1:33" x14ac:dyDescent="0.25">
      <c r="A6313" t="str">
        <f>"1326304379"</f>
        <v>1326304379</v>
      </c>
      <c r="B6313" t="str">
        <f>"04517942"</f>
        <v>04517942</v>
      </c>
      <c r="C6313" t="s">
        <v>13436</v>
      </c>
      <c r="D6313" t="s">
        <v>29582</v>
      </c>
      <c r="E6313" t="s">
        <v>29583</v>
      </c>
      <c r="L6313" t="s">
        <v>74</v>
      </c>
      <c r="M6313" t="s">
        <v>75</v>
      </c>
      <c r="R6313" t="s">
        <v>29584</v>
      </c>
      <c r="W6313" t="s">
        <v>29583</v>
      </c>
      <c r="AB6313" t="s">
        <v>78</v>
      </c>
      <c r="AC6313" t="s">
        <v>79</v>
      </c>
      <c r="AD6313" t="s">
        <v>75</v>
      </c>
      <c r="AE6313" t="s">
        <v>80</v>
      </c>
      <c r="AG6313" t="s">
        <v>81</v>
      </c>
    </row>
    <row r="6314" spans="1:33" x14ac:dyDescent="0.25">
      <c r="A6314" t="str">
        <f>"1326304783"</f>
        <v>1326304783</v>
      </c>
      <c r="B6314" t="str">
        <f>"04527455"</f>
        <v>04527455</v>
      </c>
      <c r="C6314" t="s">
        <v>13436</v>
      </c>
      <c r="D6314" t="s">
        <v>29585</v>
      </c>
      <c r="E6314" t="s">
        <v>29586</v>
      </c>
      <c r="L6314" t="s">
        <v>102</v>
      </c>
      <c r="M6314" t="s">
        <v>75</v>
      </c>
      <c r="R6314" t="s">
        <v>29586</v>
      </c>
      <c r="W6314" t="s">
        <v>29586</v>
      </c>
      <c r="AB6314" t="s">
        <v>78</v>
      </c>
      <c r="AC6314" t="s">
        <v>79</v>
      </c>
      <c r="AD6314" t="s">
        <v>75</v>
      </c>
      <c r="AE6314" t="s">
        <v>80</v>
      </c>
      <c r="AG6314" t="s">
        <v>81</v>
      </c>
    </row>
    <row r="6315" spans="1:33" x14ac:dyDescent="0.25">
      <c r="A6315" t="str">
        <f>"1548498462"</f>
        <v>1548498462</v>
      </c>
      <c r="C6315" t="s">
        <v>13436</v>
      </c>
      <c r="K6315" t="s">
        <v>99</v>
      </c>
      <c r="L6315" t="s">
        <v>102</v>
      </c>
      <c r="M6315" t="s">
        <v>75</v>
      </c>
      <c r="R6315" t="s">
        <v>29587</v>
      </c>
      <c r="S6315" t="s">
        <v>29588</v>
      </c>
      <c r="T6315" t="s">
        <v>97</v>
      </c>
      <c r="U6315" t="s">
        <v>77</v>
      </c>
      <c r="V6315" t="str">
        <f>"100296501"</f>
        <v>100296501</v>
      </c>
      <c r="AC6315" t="s">
        <v>79</v>
      </c>
      <c r="AD6315" t="s">
        <v>75</v>
      </c>
      <c r="AE6315" t="s">
        <v>103</v>
      </c>
      <c r="AG6315" t="s">
        <v>81</v>
      </c>
    </row>
    <row r="6316" spans="1:33" x14ac:dyDescent="0.25">
      <c r="A6316" t="str">
        <f>"1487652061"</f>
        <v>1487652061</v>
      </c>
      <c r="B6316" t="str">
        <f>"00904081"</f>
        <v>00904081</v>
      </c>
      <c r="C6316" t="s">
        <v>13436</v>
      </c>
      <c r="D6316" t="s">
        <v>29589</v>
      </c>
      <c r="E6316" t="s">
        <v>29590</v>
      </c>
      <c r="G6316" t="s">
        <v>29591</v>
      </c>
      <c r="L6316" t="s">
        <v>83</v>
      </c>
      <c r="M6316" t="s">
        <v>85</v>
      </c>
      <c r="R6316" t="s">
        <v>29592</v>
      </c>
      <c r="W6316" t="s">
        <v>29590</v>
      </c>
      <c r="X6316" t="s">
        <v>272</v>
      </c>
      <c r="Y6316" t="s">
        <v>97</v>
      </c>
      <c r="Z6316" t="s">
        <v>77</v>
      </c>
      <c r="AA6316" t="str">
        <f>"10029-6501"</f>
        <v>10029-6501</v>
      </c>
      <c r="AB6316" t="s">
        <v>78</v>
      </c>
      <c r="AC6316" t="s">
        <v>79</v>
      </c>
      <c r="AD6316" t="s">
        <v>75</v>
      </c>
      <c r="AE6316" t="s">
        <v>80</v>
      </c>
      <c r="AG6316" t="s">
        <v>81</v>
      </c>
    </row>
    <row r="6317" spans="1:33" x14ac:dyDescent="0.25">
      <c r="A6317" t="str">
        <f>"1306162482"</f>
        <v>1306162482</v>
      </c>
      <c r="B6317" t="str">
        <f>"03296435"</f>
        <v>03296435</v>
      </c>
      <c r="C6317" t="s">
        <v>13436</v>
      </c>
      <c r="D6317" t="s">
        <v>29593</v>
      </c>
      <c r="E6317" t="s">
        <v>29594</v>
      </c>
      <c r="G6317" t="s">
        <v>29595</v>
      </c>
      <c r="L6317" t="s">
        <v>102</v>
      </c>
      <c r="M6317" t="s">
        <v>75</v>
      </c>
      <c r="R6317" t="s">
        <v>29596</v>
      </c>
      <c r="W6317" t="s">
        <v>29594</v>
      </c>
      <c r="X6317" t="s">
        <v>29597</v>
      </c>
      <c r="Y6317" t="s">
        <v>97</v>
      </c>
      <c r="Z6317" t="s">
        <v>77</v>
      </c>
      <c r="AA6317" t="str">
        <f>"10016-6402"</f>
        <v>10016-6402</v>
      </c>
      <c r="AB6317" t="s">
        <v>78</v>
      </c>
      <c r="AC6317" t="s">
        <v>79</v>
      </c>
      <c r="AD6317" t="s">
        <v>75</v>
      </c>
      <c r="AE6317" t="s">
        <v>80</v>
      </c>
      <c r="AG6317" t="s">
        <v>81</v>
      </c>
    </row>
    <row r="6318" spans="1:33" x14ac:dyDescent="0.25">
      <c r="A6318" t="str">
        <f>"1336481068"</f>
        <v>1336481068</v>
      </c>
      <c r="B6318" t="str">
        <f>"04597802"</f>
        <v>04597802</v>
      </c>
      <c r="C6318" t="s">
        <v>13436</v>
      </c>
      <c r="D6318" t="s">
        <v>29598</v>
      </c>
      <c r="E6318" t="s">
        <v>29599</v>
      </c>
      <c r="G6318" t="s">
        <v>29600</v>
      </c>
      <c r="L6318" t="s">
        <v>102</v>
      </c>
      <c r="M6318" t="s">
        <v>75</v>
      </c>
      <c r="R6318" t="s">
        <v>29601</v>
      </c>
      <c r="W6318" t="s">
        <v>29599</v>
      </c>
      <c r="AB6318" t="s">
        <v>78</v>
      </c>
      <c r="AC6318" t="s">
        <v>79</v>
      </c>
      <c r="AD6318" t="s">
        <v>75</v>
      </c>
      <c r="AE6318" t="s">
        <v>80</v>
      </c>
      <c r="AG6318" t="s">
        <v>81</v>
      </c>
    </row>
    <row r="6319" spans="1:33" x14ac:dyDescent="0.25">
      <c r="A6319" t="str">
        <f>"1346299047"</f>
        <v>1346299047</v>
      </c>
      <c r="B6319" t="str">
        <f>"02090908"</f>
        <v>02090908</v>
      </c>
      <c r="C6319" t="s">
        <v>13436</v>
      </c>
      <c r="D6319" t="s">
        <v>29602</v>
      </c>
      <c r="E6319" t="s">
        <v>29603</v>
      </c>
      <c r="G6319" t="s">
        <v>29604</v>
      </c>
      <c r="L6319" t="s">
        <v>84</v>
      </c>
      <c r="M6319" t="s">
        <v>75</v>
      </c>
      <c r="R6319" t="s">
        <v>29603</v>
      </c>
      <c r="W6319" t="s">
        <v>29605</v>
      </c>
      <c r="X6319" t="s">
        <v>29606</v>
      </c>
      <c r="Y6319" t="s">
        <v>87</v>
      </c>
      <c r="Z6319" t="s">
        <v>77</v>
      </c>
      <c r="AA6319" t="str">
        <f>"11223-5442"</f>
        <v>11223-5442</v>
      </c>
      <c r="AB6319" t="s">
        <v>78</v>
      </c>
      <c r="AC6319" t="s">
        <v>79</v>
      </c>
      <c r="AD6319" t="s">
        <v>75</v>
      </c>
      <c r="AE6319" t="s">
        <v>80</v>
      </c>
      <c r="AG6319" t="s">
        <v>81</v>
      </c>
    </row>
    <row r="6320" spans="1:33" x14ac:dyDescent="0.25">
      <c r="A6320" t="str">
        <f>"1346403839"</f>
        <v>1346403839</v>
      </c>
      <c r="B6320" t="str">
        <f>"03414711"</f>
        <v>03414711</v>
      </c>
      <c r="C6320" t="s">
        <v>13436</v>
      </c>
      <c r="D6320" t="s">
        <v>29607</v>
      </c>
      <c r="E6320" t="s">
        <v>29608</v>
      </c>
      <c r="G6320" t="s">
        <v>29609</v>
      </c>
      <c r="L6320" t="s">
        <v>84</v>
      </c>
      <c r="M6320" t="s">
        <v>85</v>
      </c>
      <c r="R6320" t="s">
        <v>29610</v>
      </c>
      <c r="W6320" t="s">
        <v>29608</v>
      </c>
      <c r="X6320" t="s">
        <v>6155</v>
      </c>
      <c r="Y6320" t="s">
        <v>87</v>
      </c>
      <c r="Z6320" t="s">
        <v>77</v>
      </c>
      <c r="AA6320" t="str">
        <f>"11213-4332"</f>
        <v>11213-4332</v>
      </c>
      <c r="AB6320" t="s">
        <v>78</v>
      </c>
      <c r="AC6320" t="s">
        <v>79</v>
      </c>
      <c r="AD6320" t="s">
        <v>75</v>
      </c>
      <c r="AE6320" t="s">
        <v>80</v>
      </c>
      <c r="AG6320" t="s">
        <v>81</v>
      </c>
    </row>
    <row r="6321" spans="1:33" x14ac:dyDescent="0.25">
      <c r="A6321" t="str">
        <f>"1346496775"</f>
        <v>1346496775</v>
      </c>
      <c r="B6321" t="str">
        <f>"03723420"</f>
        <v>03723420</v>
      </c>
      <c r="C6321" t="s">
        <v>13436</v>
      </c>
      <c r="D6321" t="s">
        <v>29611</v>
      </c>
      <c r="E6321" t="s">
        <v>29612</v>
      </c>
      <c r="G6321" t="s">
        <v>29613</v>
      </c>
      <c r="L6321" t="s">
        <v>74</v>
      </c>
      <c r="M6321" t="s">
        <v>75</v>
      </c>
      <c r="R6321" t="s">
        <v>29614</v>
      </c>
      <c r="W6321" t="s">
        <v>29612</v>
      </c>
      <c r="X6321" t="s">
        <v>29615</v>
      </c>
      <c r="Y6321" t="s">
        <v>97</v>
      </c>
      <c r="Z6321" t="s">
        <v>77</v>
      </c>
      <c r="AA6321" t="str">
        <f>"10128-5604"</f>
        <v>10128-5604</v>
      </c>
      <c r="AB6321" t="s">
        <v>78</v>
      </c>
      <c r="AC6321" t="s">
        <v>79</v>
      </c>
      <c r="AD6321" t="s">
        <v>75</v>
      </c>
      <c r="AE6321" t="s">
        <v>80</v>
      </c>
      <c r="AG6321" t="s">
        <v>81</v>
      </c>
    </row>
    <row r="6322" spans="1:33" x14ac:dyDescent="0.25">
      <c r="A6322" t="str">
        <f>"1538123922"</f>
        <v>1538123922</v>
      </c>
      <c r="B6322" t="str">
        <f>"01788994"</f>
        <v>01788994</v>
      </c>
      <c r="C6322" t="s">
        <v>13436</v>
      </c>
      <c r="D6322" t="s">
        <v>29616</v>
      </c>
      <c r="E6322" t="s">
        <v>29617</v>
      </c>
      <c r="G6322" t="s">
        <v>29618</v>
      </c>
      <c r="L6322" t="s">
        <v>84</v>
      </c>
      <c r="M6322" t="s">
        <v>85</v>
      </c>
      <c r="R6322" t="s">
        <v>29619</v>
      </c>
      <c r="W6322" t="s">
        <v>29617</v>
      </c>
      <c r="X6322" t="s">
        <v>736</v>
      </c>
      <c r="Y6322" t="s">
        <v>91</v>
      </c>
      <c r="Z6322" t="s">
        <v>77</v>
      </c>
      <c r="AA6322" t="str">
        <f>"11373-8715"</f>
        <v>11373-8715</v>
      </c>
      <c r="AB6322" t="s">
        <v>78</v>
      </c>
      <c r="AC6322" t="s">
        <v>79</v>
      </c>
      <c r="AD6322" t="s">
        <v>75</v>
      </c>
      <c r="AE6322" t="s">
        <v>80</v>
      </c>
      <c r="AG6322" t="s">
        <v>81</v>
      </c>
    </row>
    <row r="6323" spans="1:33" x14ac:dyDescent="0.25">
      <c r="A6323" t="str">
        <f>"1538143433"</f>
        <v>1538143433</v>
      </c>
      <c r="B6323" t="str">
        <f>"02230353"</f>
        <v>02230353</v>
      </c>
      <c r="C6323" t="s">
        <v>13436</v>
      </c>
      <c r="D6323" t="s">
        <v>1411</v>
      </c>
      <c r="E6323" t="s">
        <v>1412</v>
      </c>
      <c r="G6323" t="s">
        <v>29620</v>
      </c>
      <c r="L6323" t="s">
        <v>84</v>
      </c>
      <c r="M6323" t="s">
        <v>85</v>
      </c>
      <c r="R6323" t="s">
        <v>1413</v>
      </c>
      <c r="W6323" t="s">
        <v>1414</v>
      </c>
      <c r="X6323" t="s">
        <v>1415</v>
      </c>
      <c r="Y6323" t="s">
        <v>91</v>
      </c>
      <c r="Z6323" t="s">
        <v>77</v>
      </c>
      <c r="AA6323" t="str">
        <f>"11373-1950"</f>
        <v>11373-1950</v>
      </c>
      <c r="AB6323" t="s">
        <v>78</v>
      </c>
      <c r="AC6323" t="s">
        <v>79</v>
      </c>
      <c r="AD6323" t="s">
        <v>75</v>
      </c>
      <c r="AE6323" t="s">
        <v>80</v>
      </c>
      <c r="AG6323" t="s">
        <v>81</v>
      </c>
    </row>
    <row r="6324" spans="1:33" x14ac:dyDescent="0.25">
      <c r="A6324" t="str">
        <f>"1538151543"</f>
        <v>1538151543</v>
      </c>
      <c r="B6324" t="str">
        <f>"03191917"</f>
        <v>03191917</v>
      </c>
      <c r="C6324" t="s">
        <v>13436</v>
      </c>
      <c r="D6324" t="s">
        <v>29621</v>
      </c>
      <c r="E6324" t="s">
        <v>29622</v>
      </c>
      <c r="G6324" t="s">
        <v>29623</v>
      </c>
      <c r="L6324" t="s">
        <v>74</v>
      </c>
      <c r="M6324" t="s">
        <v>85</v>
      </c>
      <c r="R6324" t="s">
        <v>29624</v>
      </c>
      <c r="W6324" t="s">
        <v>29622</v>
      </c>
      <c r="X6324" t="s">
        <v>29625</v>
      </c>
      <c r="Y6324" t="s">
        <v>1752</v>
      </c>
      <c r="Z6324" t="s">
        <v>156</v>
      </c>
      <c r="AA6324" t="str">
        <f>"07039-5672"</f>
        <v>07039-5672</v>
      </c>
      <c r="AB6324" t="s">
        <v>78</v>
      </c>
      <c r="AC6324" t="s">
        <v>79</v>
      </c>
      <c r="AD6324" t="s">
        <v>75</v>
      </c>
      <c r="AE6324" t="s">
        <v>80</v>
      </c>
      <c r="AG6324" t="s">
        <v>81</v>
      </c>
    </row>
    <row r="6325" spans="1:33" x14ac:dyDescent="0.25">
      <c r="A6325" t="str">
        <f>"1538241468"</f>
        <v>1538241468</v>
      </c>
      <c r="B6325" t="str">
        <f>"02005627"</f>
        <v>02005627</v>
      </c>
      <c r="C6325" t="s">
        <v>13436</v>
      </c>
      <c r="D6325" t="s">
        <v>29626</v>
      </c>
      <c r="E6325" t="s">
        <v>29627</v>
      </c>
      <c r="G6325" t="s">
        <v>29628</v>
      </c>
      <c r="L6325" t="s">
        <v>74</v>
      </c>
      <c r="M6325" t="s">
        <v>85</v>
      </c>
      <c r="R6325" t="s">
        <v>29629</v>
      </c>
      <c r="W6325" t="s">
        <v>29627</v>
      </c>
      <c r="X6325" t="s">
        <v>29630</v>
      </c>
      <c r="Y6325" t="s">
        <v>97</v>
      </c>
      <c r="Z6325" t="s">
        <v>77</v>
      </c>
      <c r="AA6325" t="str">
        <f>"10003-3314"</f>
        <v>10003-3314</v>
      </c>
      <c r="AB6325" t="s">
        <v>78</v>
      </c>
      <c r="AC6325" t="s">
        <v>79</v>
      </c>
      <c r="AD6325" t="s">
        <v>75</v>
      </c>
      <c r="AE6325" t="s">
        <v>80</v>
      </c>
      <c r="AG6325" t="s">
        <v>81</v>
      </c>
    </row>
    <row r="6326" spans="1:33" x14ac:dyDescent="0.25">
      <c r="A6326" t="str">
        <f>"1538278890"</f>
        <v>1538278890</v>
      </c>
      <c r="B6326" t="str">
        <f>"02099865"</f>
        <v>02099865</v>
      </c>
      <c r="C6326" t="s">
        <v>13436</v>
      </c>
      <c r="D6326" t="s">
        <v>29631</v>
      </c>
      <c r="E6326" t="s">
        <v>29632</v>
      </c>
      <c r="G6326" t="s">
        <v>29633</v>
      </c>
      <c r="L6326" t="s">
        <v>83</v>
      </c>
      <c r="M6326" t="s">
        <v>85</v>
      </c>
      <c r="R6326" t="s">
        <v>29634</v>
      </c>
      <c r="W6326" t="s">
        <v>29632</v>
      </c>
      <c r="X6326" t="s">
        <v>29635</v>
      </c>
      <c r="Y6326" t="s">
        <v>97</v>
      </c>
      <c r="Z6326" t="s">
        <v>77</v>
      </c>
      <c r="AA6326" t="str">
        <f>"10003"</f>
        <v>10003</v>
      </c>
      <c r="AB6326" t="s">
        <v>78</v>
      </c>
      <c r="AC6326" t="s">
        <v>79</v>
      </c>
      <c r="AD6326" t="s">
        <v>75</v>
      </c>
      <c r="AE6326" t="s">
        <v>80</v>
      </c>
      <c r="AG6326" t="s">
        <v>81</v>
      </c>
    </row>
    <row r="6327" spans="1:33" x14ac:dyDescent="0.25">
      <c r="A6327" t="str">
        <f>"1669449690"</f>
        <v>1669449690</v>
      </c>
      <c r="B6327" t="str">
        <f>"01390752"</f>
        <v>01390752</v>
      </c>
      <c r="C6327" t="s">
        <v>13436</v>
      </c>
      <c r="D6327" t="s">
        <v>29636</v>
      </c>
      <c r="E6327" t="s">
        <v>29637</v>
      </c>
      <c r="G6327" t="s">
        <v>29638</v>
      </c>
      <c r="L6327" t="s">
        <v>83</v>
      </c>
      <c r="M6327" t="s">
        <v>85</v>
      </c>
      <c r="R6327" t="s">
        <v>29639</v>
      </c>
      <c r="W6327" t="s">
        <v>29637</v>
      </c>
      <c r="X6327" t="s">
        <v>29640</v>
      </c>
      <c r="Y6327" t="s">
        <v>97</v>
      </c>
      <c r="Z6327" t="s">
        <v>77</v>
      </c>
      <c r="AA6327" t="str">
        <f>"10029-6500"</f>
        <v>10029-6500</v>
      </c>
      <c r="AB6327" t="s">
        <v>78</v>
      </c>
      <c r="AC6327" t="s">
        <v>79</v>
      </c>
      <c r="AD6327" t="s">
        <v>75</v>
      </c>
      <c r="AE6327" t="s">
        <v>80</v>
      </c>
      <c r="AG6327" t="s">
        <v>81</v>
      </c>
    </row>
    <row r="6328" spans="1:33" x14ac:dyDescent="0.25">
      <c r="A6328" t="str">
        <f>"1669452736"</f>
        <v>1669452736</v>
      </c>
      <c r="B6328" t="str">
        <f>"00935162"</f>
        <v>00935162</v>
      </c>
      <c r="C6328" t="s">
        <v>13436</v>
      </c>
      <c r="D6328" t="s">
        <v>29641</v>
      </c>
      <c r="E6328" t="s">
        <v>29642</v>
      </c>
      <c r="G6328" t="s">
        <v>29643</v>
      </c>
      <c r="L6328" t="s">
        <v>83</v>
      </c>
      <c r="M6328" t="s">
        <v>85</v>
      </c>
      <c r="R6328" t="s">
        <v>29644</v>
      </c>
      <c r="W6328" t="s">
        <v>29642</v>
      </c>
      <c r="X6328" t="s">
        <v>11073</v>
      </c>
      <c r="Y6328" t="s">
        <v>97</v>
      </c>
      <c r="Z6328" t="s">
        <v>77</v>
      </c>
      <c r="AA6328" t="str">
        <f>"10029-6500"</f>
        <v>10029-6500</v>
      </c>
      <c r="AB6328" t="s">
        <v>78</v>
      </c>
      <c r="AC6328" t="s">
        <v>79</v>
      </c>
      <c r="AD6328" t="s">
        <v>75</v>
      </c>
      <c r="AE6328" t="s">
        <v>80</v>
      </c>
      <c r="AG6328" t="s">
        <v>81</v>
      </c>
    </row>
    <row r="6329" spans="1:33" x14ac:dyDescent="0.25">
      <c r="A6329" t="str">
        <f>"1932252574"</f>
        <v>1932252574</v>
      </c>
      <c r="B6329" t="str">
        <f>"02377493"</f>
        <v>02377493</v>
      </c>
      <c r="C6329" t="s">
        <v>13436</v>
      </c>
      <c r="D6329" t="s">
        <v>29645</v>
      </c>
      <c r="E6329" t="s">
        <v>29646</v>
      </c>
      <c r="G6329" t="s">
        <v>29647</v>
      </c>
      <c r="L6329" t="s">
        <v>74</v>
      </c>
      <c r="M6329" t="s">
        <v>85</v>
      </c>
      <c r="R6329" t="s">
        <v>29646</v>
      </c>
      <c r="W6329" t="s">
        <v>29646</v>
      </c>
      <c r="X6329" t="s">
        <v>29646</v>
      </c>
      <c r="Y6329" t="s">
        <v>97</v>
      </c>
      <c r="Z6329" t="s">
        <v>77</v>
      </c>
      <c r="AA6329" t="str">
        <f>"10025-1716"</f>
        <v>10025-1716</v>
      </c>
      <c r="AB6329" t="s">
        <v>78</v>
      </c>
      <c r="AC6329" t="s">
        <v>79</v>
      </c>
      <c r="AD6329" t="s">
        <v>75</v>
      </c>
      <c r="AE6329" t="s">
        <v>80</v>
      </c>
      <c r="AG6329" t="s">
        <v>81</v>
      </c>
    </row>
    <row r="6330" spans="1:33" x14ac:dyDescent="0.25">
      <c r="A6330" t="str">
        <f>"1932298510"</f>
        <v>1932298510</v>
      </c>
      <c r="B6330" t="str">
        <f>"00236668"</f>
        <v>00236668</v>
      </c>
      <c r="C6330" t="s">
        <v>13436</v>
      </c>
      <c r="D6330" t="s">
        <v>29648</v>
      </c>
      <c r="E6330" t="s">
        <v>29649</v>
      </c>
      <c r="G6330" t="s">
        <v>29650</v>
      </c>
      <c r="L6330" t="s">
        <v>83</v>
      </c>
      <c r="M6330" t="s">
        <v>85</v>
      </c>
      <c r="R6330" t="s">
        <v>29651</v>
      </c>
      <c r="W6330" t="s">
        <v>29649</v>
      </c>
      <c r="X6330" t="s">
        <v>25942</v>
      </c>
      <c r="Y6330" t="s">
        <v>97</v>
      </c>
      <c r="Z6330" t="s">
        <v>77</v>
      </c>
      <c r="AA6330" t="str">
        <f>"10032-3720"</f>
        <v>10032-3720</v>
      </c>
      <c r="AB6330" t="s">
        <v>78</v>
      </c>
      <c r="AC6330" t="s">
        <v>79</v>
      </c>
      <c r="AD6330" t="s">
        <v>75</v>
      </c>
      <c r="AE6330" t="s">
        <v>80</v>
      </c>
      <c r="AG6330" t="s">
        <v>81</v>
      </c>
    </row>
    <row r="6331" spans="1:33" x14ac:dyDescent="0.25">
      <c r="A6331" t="str">
        <f>"1902833890"</f>
        <v>1902833890</v>
      </c>
      <c r="B6331" t="str">
        <f>"02374436"</f>
        <v>02374436</v>
      </c>
      <c r="C6331" t="s">
        <v>29652</v>
      </c>
      <c r="D6331" t="s">
        <v>5872</v>
      </c>
      <c r="E6331" t="s">
        <v>5873</v>
      </c>
      <c r="G6331" t="s">
        <v>29652</v>
      </c>
      <c r="H6331" t="s">
        <v>29653</v>
      </c>
      <c r="J6331" t="s">
        <v>29654</v>
      </c>
      <c r="L6331" t="s">
        <v>105</v>
      </c>
      <c r="M6331" t="s">
        <v>75</v>
      </c>
      <c r="R6331" t="s">
        <v>5874</v>
      </c>
      <c r="W6331" t="s">
        <v>5873</v>
      </c>
      <c r="X6331" t="s">
        <v>1163</v>
      </c>
      <c r="Y6331" t="s">
        <v>97</v>
      </c>
      <c r="Z6331" t="s">
        <v>77</v>
      </c>
      <c r="AA6331" t="str">
        <f>"10029-4413"</f>
        <v>10029-4413</v>
      </c>
      <c r="AB6331" t="s">
        <v>78</v>
      </c>
      <c r="AC6331" t="s">
        <v>79</v>
      </c>
      <c r="AD6331" t="s">
        <v>75</v>
      </c>
      <c r="AE6331" t="s">
        <v>80</v>
      </c>
      <c r="AG6331" t="s">
        <v>81</v>
      </c>
    </row>
    <row r="6332" spans="1:33" x14ac:dyDescent="0.25">
      <c r="A6332" t="str">
        <f>"1235403742"</f>
        <v>1235403742</v>
      </c>
      <c r="B6332" t="str">
        <f>"03761222"</f>
        <v>03761222</v>
      </c>
      <c r="C6332" t="s">
        <v>29655</v>
      </c>
      <c r="D6332" t="s">
        <v>29656</v>
      </c>
      <c r="E6332" t="s">
        <v>29657</v>
      </c>
      <c r="G6332" t="s">
        <v>29655</v>
      </c>
      <c r="H6332" t="s">
        <v>29658</v>
      </c>
      <c r="J6332" t="s">
        <v>29659</v>
      </c>
      <c r="L6332" t="s">
        <v>74</v>
      </c>
      <c r="M6332" t="s">
        <v>75</v>
      </c>
      <c r="R6332" t="s">
        <v>29660</v>
      </c>
      <c r="W6332" t="s">
        <v>29657</v>
      </c>
      <c r="X6332" t="s">
        <v>29661</v>
      </c>
      <c r="Y6332" t="s">
        <v>1818</v>
      </c>
      <c r="Z6332" t="s">
        <v>77</v>
      </c>
      <c r="AA6332" t="str">
        <f>"11787-4756"</f>
        <v>11787-4756</v>
      </c>
      <c r="AB6332" t="s">
        <v>78</v>
      </c>
      <c r="AC6332" t="s">
        <v>79</v>
      </c>
      <c r="AD6332" t="s">
        <v>75</v>
      </c>
      <c r="AE6332" t="s">
        <v>80</v>
      </c>
      <c r="AG6332" t="s">
        <v>81</v>
      </c>
    </row>
    <row r="6333" spans="1:33" x14ac:dyDescent="0.25">
      <c r="A6333" t="str">
        <f>"1073731949"</f>
        <v>1073731949</v>
      </c>
      <c r="B6333" t="str">
        <f>"01484459"</f>
        <v>01484459</v>
      </c>
      <c r="C6333" t="s">
        <v>29662</v>
      </c>
      <c r="D6333" t="s">
        <v>2342</v>
      </c>
      <c r="E6333" t="s">
        <v>2343</v>
      </c>
      <c r="G6333" t="s">
        <v>29662</v>
      </c>
      <c r="H6333" t="s">
        <v>29663</v>
      </c>
      <c r="J6333" t="s">
        <v>29664</v>
      </c>
      <c r="L6333" t="s">
        <v>84</v>
      </c>
      <c r="M6333" t="s">
        <v>85</v>
      </c>
      <c r="R6333" t="s">
        <v>2341</v>
      </c>
      <c r="W6333" t="s">
        <v>2343</v>
      </c>
      <c r="X6333" t="s">
        <v>2344</v>
      </c>
      <c r="Y6333" t="s">
        <v>131</v>
      </c>
      <c r="Z6333" t="s">
        <v>77</v>
      </c>
      <c r="AA6333" t="str">
        <f>"10467-2401"</f>
        <v>10467-2401</v>
      </c>
      <c r="AB6333" t="s">
        <v>78</v>
      </c>
      <c r="AC6333" t="s">
        <v>79</v>
      </c>
      <c r="AD6333" t="s">
        <v>75</v>
      </c>
      <c r="AE6333" t="s">
        <v>80</v>
      </c>
      <c r="AG6333" t="s">
        <v>81</v>
      </c>
    </row>
    <row r="6334" spans="1:33" x14ac:dyDescent="0.25">
      <c r="A6334" t="str">
        <f>"1750474201"</f>
        <v>1750474201</v>
      </c>
      <c r="B6334" t="str">
        <f>"00412597"</f>
        <v>00412597</v>
      </c>
      <c r="C6334" t="s">
        <v>13436</v>
      </c>
      <c r="D6334" t="s">
        <v>29665</v>
      </c>
      <c r="E6334" t="s">
        <v>29666</v>
      </c>
      <c r="G6334" t="s">
        <v>29667</v>
      </c>
      <c r="L6334" t="s">
        <v>74</v>
      </c>
      <c r="M6334" t="s">
        <v>85</v>
      </c>
      <c r="R6334" t="s">
        <v>29668</v>
      </c>
      <c r="W6334" t="s">
        <v>29666</v>
      </c>
      <c r="X6334" t="s">
        <v>2770</v>
      </c>
      <c r="Y6334" t="s">
        <v>97</v>
      </c>
      <c r="Z6334" t="s">
        <v>77</v>
      </c>
      <c r="AA6334" t="str">
        <f>"10003-2674"</f>
        <v>10003-2674</v>
      </c>
      <c r="AB6334" t="s">
        <v>78</v>
      </c>
      <c r="AC6334" t="s">
        <v>79</v>
      </c>
      <c r="AD6334" t="s">
        <v>75</v>
      </c>
      <c r="AE6334" t="s">
        <v>80</v>
      </c>
      <c r="AG6334" t="s">
        <v>81</v>
      </c>
    </row>
    <row r="6335" spans="1:33" x14ac:dyDescent="0.25">
      <c r="A6335" t="str">
        <f>"1760555379"</f>
        <v>1760555379</v>
      </c>
      <c r="B6335" t="str">
        <f>"00745991"</f>
        <v>00745991</v>
      </c>
      <c r="C6335" t="s">
        <v>13436</v>
      </c>
      <c r="D6335" t="s">
        <v>29669</v>
      </c>
      <c r="E6335" t="s">
        <v>29670</v>
      </c>
      <c r="G6335" t="s">
        <v>29671</v>
      </c>
      <c r="L6335" t="s">
        <v>83</v>
      </c>
      <c r="M6335" t="s">
        <v>85</v>
      </c>
      <c r="R6335" t="s">
        <v>29672</v>
      </c>
      <c r="W6335" t="s">
        <v>29670</v>
      </c>
      <c r="X6335" t="s">
        <v>1793</v>
      </c>
      <c r="Y6335" t="s">
        <v>97</v>
      </c>
      <c r="Z6335" t="s">
        <v>77</v>
      </c>
      <c r="AA6335" t="str">
        <f>"10011-8842"</f>
        <v>10011-8842</v>
      </c>
      <c r="AB6335" t="s">
        <v>78</v>
      </c>
      <c r="AC6335" t="s">
        <v>79</v>
      </c>
      <c r="AD6335" t="s">
        <v>75</v>
      </c>
      <c r="AE6335" t="s">
        <v>80</v>
      </c>
      <c r="AG6335" t="s">
        <v>81</v>
      </c>
    </row>
    <row r="6336" spans="1:33" x14ac:dyDescent="0.25">
      <c r="A6336" t="str">
        <f>"1770540403"</f>
        <v>1770540403</v>
      </c>
      <c r="B6336" t="str">
        <f>"00257745"</f>
        <v>00257745</v>
      </c>
      <c r="C6336" t="s">
        <v>13436</v>
      </c>
      <c r="D6336" t="s">
        <v>29673</v>
      </c>
      <c r="E6336" t="s">
        <v>29674</v>
      </c>
      <c r="G6336" t="s">
        <v>29675</v>
      </c>
      <c r="L6336" t="s">
        <v>74</v>
      </c>
      <c r="M6336" t="s">
        <v>85</v>
      </c>
      <c r="R6336" t="s">
        <v>29676</v>
      </c>
      <c r="W6336" t="s">
        <v>29674</v>
      </c>
      <c r="X6336" t="s">
        <v>29677</v>
      </c>
      <c r="Y6336" t="s">
        <v>97</v>
      </c>
      <c r="Z6336" t="s">
        <v>77</v>
      </c>
      <c r="AA6336" t="str">
        <f>"10016"</f>
        <v>10016</v>
      </c>
      <c r="AB6336" t="s">
        <v>78</v>
      </c>
      <c r="AC6336" t="s">
        <v>79</v>
      </c>
      <c r="AD6336" t="s">
        <v>75</v>
      </c>
      <c r="AE6336" t="s">
        <v>80</v>
      </c>
      <c r="AG6336" t="s">
        <v>81</v>
      </c>
    </row>
    <row r="6337" spans="1:33" x14ac:dyDescent="0.25">
      <c r="A6337" t="str">
        <f>"1770556078"</f>
        <v>1770556078</v>
      </c>
      <c r="B6337" t="str">
        <f>"00443114"</f>
        <v>00443114</v>
      </c>
      <c r="C6337" t="s">
        <v>13436</v>
      </c>
      <c r="D6337" t="s">
        <v>29678</v>
      </c>
      <c r="E6337" t="s">
        <v>29679</v>
      </c>
      <c r="G6337" t="s">
        <v>29680</v>
      </c>
      <c r="L6337" t="s">
        <v>74</v>
      </c>
      <c r="M6337" t="s">
        <v>85</v>
      </c>
      <c r="R6337" t="s">
        <v>6052</v>
      </c>
      <c r="W6337" t="s">
        <v>29679</v>
      </c>
      <c r="Y6337" t="s">
        <v>97</v>
      </c>
      <c r="Z6337" t="s">
        <v>77</v>
      </c>
      <c r="AA6337" t="str">
        <f>"10016-4337"</f>
        <v>10016-4337</v>
      </c>
      <c r="AB6337" t="s">
        <v>78</v>
      </c>
      <c r="AC6337" t="s">
        <v>79</v>
      </c>
      <c r="AD6337" t="s">
        <v>75</v>
      </c>
      <c r="AE6337" t="s">
        <v>80</v>
      </c>
      <c r="AG6337" t="s">
        <v>81</v>
      </c>
    </row>
    <row r="6338" spans="1:33" x14ac:dyDescent="0.25">
      <c r="A6338" t="str">
        <f>"1770578262"</f>
        <v>1770578262</v>
      </c>
      <c r="B6338" t="str">
        <f>"01970929"</f>
        <v>01970929</v>
      </c>
      <c r="C6338" t="s">
        <v>13436</v>
      </c>
      <c r="D6338" t="s">
        <v>29681</v>
      </c>
      <c r="E6338" t="s">
        <v>29682</v>
      </c>
      <c r="G6338" t="s">
        <v>29683</v>
      </c>
      <c r="L6338" t="s">
        <v>84</v>
      </c>
      <c r="M6338" t="s">
        <v>85</v>
      </c>
      <c r="R6338" t="s">
        <v>29684</v>
      </c>
      <c r="W6338" t="s">
        <v>29685</v>
      </c>
      <c r="X6338" t="s">
        <v>29686</v>
      </c>
      <c r="Y6338" t="s">
        <v>97</v>
      </c>
      <c r="Z6338" t="s">
        <v>77</v>
      </c>
      <c r="AA6338" t="str">
        <f>"10019-5512"</f>
        <v>10019-5512</v>
      </c>
      <c r="AB6338" t="s">
        <v>78</v>
      </c>
      <c r="AC6338" t="s">
        <v>79</v>
      </c>
      <c r="AD6338" t="s">
        <v>75</v>
      </c>
      <c r="AE6338" t="s">
        <v>80</v>
      </c>
      <c r="AG6338" t="s">
        <v>81</v>
      </c>
    </row>
    <row r="6339" spans="1:33" x14ac:dyDescent="0.25">
      <c r="A6339" t="str">
        <f>"1770594376"</f>
        <v>1770594376</v>
      </c>
      <c r="B6339" t="str">
        <f>"00773895"</f>
        <v>00773895</v>
      </c>
      <c r="C6339" t="s">
        <v>13436</v>
      </c>
      <c r="D6339" t="s">
        <v>29687</v>
      </c>
      <c r="E6339" t="s">
        <v>29688</v>
      </c>
      <c r="G6339" t="s">
        <v>29689</v>
      </c>
      <c r="L6339" t="s">
        <v>83</v>
      </c>
      <c r="M6339" t="s">
        <v>85</v>
      </c>
      <c r="R6339" t="s">
        <v>29690</v>
      </c>
      <c r="W6339" t="s">
        <v>29688</v>
      </c>
      <c r="X6339" t="s">
        <v>1333</v>
      </c>
      <c r="Y6339" t="s">
        <v>97</v>
      </c>
      <c r="Z6339" t="s">
        <v>77</v>
      </c>
      <c r="AA6339" t="str">
        <f>"10025"</f>
        <v>10025</v>
      </c>
      <c r="AB6339" t="s">
        <v>78</v>
      </c>
      <c r="AC6339" t="s">
        <v>79</v>
      </c>
      <c r="AD6339" t="s">
        <v>75</v>
      </c>
      <c r="AE6339" t="s">
        <v>80</v>
      </c>
      <c r="AG6339" t="s">
        <v>81</v>
      </c>
    </row>
    <row r="6340" spans="1:33" x14ac:dyDescent="0.25">
      <c r="A6340" t="str">
        <f>"1770621435"</f>
        <v>1770621435</v>
      </c>
      <c r="B6340" t="str">
        <f>"01665961"</f>
        <v>01665961</v>
      </c>
      <c r="C6340" t="s">
        <v>13436</v>
      </c>
      <c r="D6340" t="s">
        <v>29691</v>
      </c>
      <c r="E6340" t="s">
        <v>29692</v>
      </c>
      <c r="G6340" t="s">
        <v>29693</v>
      </c>
      <c r="L6340" t="s">
        <v>83</v>
      </c>
      <c r="M6340" t="s">
        <v>85</v>
      </c>
      <c r="R6340" t="s">
        <v>29694</v>
      </c>
      <c r="W6340" t="s">
        <v>29692</v>
      </c>
      <c r="X6340" t="s">
        <v>162</v>
      </c>
      <c r="Y6340" t="s">
        <v>87</v>
      </c>
      <c r="Z6340" t="s">
        <v>77</v>
      </c>
      <c r="AA6340" t="str">
        <f>"11215-3609"</f>
        <v>11215-3609</v>
      </c>
      <c r="AB6340" t="s">
        <v>78</v>
      </c>
      <c r="AC6340" t="s">
        <v>79</v>
      </c>
      <c r="AD6340" t="s">
        <v>75</v>
      </c>
      <c r="AE6340" t="s">
        <v>80</v>
      </c>
      <c r="AG6340" t="s">
        <v>81</v>
      </c>
    </row>
    <row r="6341" spans="1:33" x14ac:dyDescent="0.25">
      <c r="A6341" t="str">
        <f>"1770656977"</f>
        <v>1770656977</v>
      </c>
      <c r="B6341" t="str">
        <f>"01844848"</f>
        <v>01844848</v>
      </c>
      <c r="C6341" t="s">
        <v>13436</v>
      </c>
      <c r="D6341" t="s">
        <v>29695</v>
      </c>
      <c r="E6341" t="s">
        <v>29696</v>
      </c>
      <c r="G6341" t="s">
        <v>29697</v>
      </c>
      <c r="L6341" t="s">
        <v>84</v>
      </c>
      <c r="M6341" t="s">
        <v>85</v>
      </c>
      <c r="R6341" t="s">
        <v>29696</v>
      </c>
      <c r="W6341" t="s">
        <v>29696</v>
      </c>
      <c r="X6341" t="s">
        <v>3743</v>
      </c>
      <c r="Y6341" t="s">
        <v>97</v>
      </c>
      <c r="Z6341" t="s">
        <v>77</v>
      </c>
      <c r="AA6341" t="str">
        <f>"10011-4401"</f>
        <v>10011-4401</v>
      </c>
      <c r="AB6341" t="s">
        <v>78</v>
      </c>
      <c r="AC6341" t="s">
        <v>79</v>
      </c>
      <c r="AD6341" t="s">
        <v>75</v>
      </c>
      <c r="AE6341" t="s">
        <v>80</v>
      </c>
      <c r="AG6341" t="s">
        <v>81</v>
      </c>
    </row>
    <row r="6342" spans="1:33" x14ac:dyDescent="0.25">
      <c r="A6342" t="str">
        <f>"1003021007"</f>
        <v>1003021007</v>
      </c>
      <c r="B6342" t="str">
        <f>"03793299"</f>
        <v>03793299</v>
      </c>
      <c r="C6342" t="s">
        <v>13436</v>
      </c>
      <c r="D6342" t="s">
        <v>29698</v>
      </c>
      <c r="E6342" t="s">
        <v>29699</v>
      </c>
      <c r="G6342" t="s">
        <v>29700</v>
      </c>
      <c r="L6342" t="s">
        <v>74</v>
      </c>
      <c r="M6342" t="s">
        <v>85</v>
      </c>
      <c r="R6342" t="s">
        <v>29701</v>
      </c>
      <c r="W6342" t="s">
        <v>29699</v>
      </c>
      <c r="X6342" t="s">
        <v>12758</v>
      </c>
      <c r="Y6342" t="s">
        <v>97</v>
      </c>
      <c r="Z6342" t="s">
        <v>77</v>
      </c>
      <c r="AA6342" t="str">
        <f>"10003-3804"</f>
        <v>10003-3804</v>
      </c>
      <c r="AB6342" t="s">
        <v>78</v>
      </c>
      <c r="AC6342" t="s">
        <v>79</v>
      </c>
      <c r="AD6342" t="s">
        <v>75</v>
      </c>
      <c r="AE6342" t="s">
        <v>80</v>
      </c>
      <c r="AG6342" t="s">
        <v>81</v>
      </c>
    </row>
    <row r="6343" spans="1:33" x14ac:dyDescent="0.25">
      <c r="A6343" t="str">
        <f>"1003807512"</f>
        <v>1003807512</v>
      </c>
      <c r="B6343" t="str">
        <f>"00716743"</f>
        <v>00716743</v>
      </c>
      <c r="C6343" t="s">
        <v>13436</v>
      </c>
      <c r="D6343" t="s">
        <v>29702</v>
      </c>
      <c r="E6343" t="s">
        <v>29703</v>
      </c>
      <c r="G6343" t="s">
        <v>29704</v>
      </c>
      <c r="L6343" t="s">
        <v>74</v>
      </c>
      <c r="M6343" t="s">
        <v>85</v>
      </c>
      <c r="R6343" t="s">
        <v>29705</v>
      </c>
      <c r="W6343" t="s">
        <v>29703</v>
      </c>
      <c r="X6343" t="s">
        <v>6794</v>
      </c>
      <c r="Y6343" t="s">
        <v>97</v>
      </c>
      <c r="Z6343" t="s">
        <v>77</v>
      </c>
      <c r="AA6343" t="str">
        <f>"10003"</f>
        <v>10003</v>
      </c>
      <c r="AB6343" t="s">
        <v>78</v>
      </c>
      <c r="AC6343" t="s">
        <v>79</v>
      </c>
      <c r="AD6343" t="s">
        <v>75</v>
      </c>
      <c r="AE6343" t="s">
        <v>80</v>
      </c>
      <c r="AG6343" t="s">
        <v>81</v>
      </c>
    </row>
    <row r="6344" spans="1:33" x14ac:dyDescent="0.25">
      <c r="A6344" t="str">
        <f>"1003850751"</f>
        <v>1003850751</v>
      </c>
      <c r="B6344" t="str">
        <f>"01207501"</f>
        <v>01207501</v>
      </c>
      <c r="C6344" t="s">
        <v>13436</v>
      </c>
      <c r="D6344" t="s">
        <v>29706</v>
      </c>
      <c r="E6344" t="s">
        <v>29707</v>
      </c>
      <c r="G6344" t="s">
        <v>29708</v>
      </c>
      <c r="L6344" t="s">
        <v>105</v>
      </c>
      <c r="M6344" t="s">
        <v>85</v>
      </c>
      <c r="R6344" t="s">
        <v>3511</v>
      </c>
      <c r="W6344" t="s">
        <v>29707</v>
      </c>
      <c r="X6344" t="s">
        <v>21276</v>
      </c>
      <c r="Y6344" t="s">
        <v>97</v>
      </c>
      <c r="Z6344" t="s">
        <v>77</v>
      </c>
      <c r="AA6344" t="str">
        <f>"10011-7762"</f>
        <v>10011-7762</v>
      </c>
      <c r="AB6344" t="s">
        <v>78</v>
      </c>
      <c r="AC6344" t="s">
        <v>79</v>
      </c>
      <c r="AD6344" t="s">
        <v>75</v>
      </c>
      <c r="AE6344" t="s">
        <v>80</v>
      </c>
      <c r="AG6344" t="s">
        <v>81</v>
      </c>
    </row>
    <row r="6345" spans="1:33" x14ac:dyDescent="0.25">
      <c r="A6345" t="str">
        <f>"1649248394"</f>
        <v>1649248394</v>
      </c>
      <c r="B6345" t="str">
        <f>"03213774"</f>
        <v>03213774</v>
      </c>
      <c r="C6345" t="s">
        <v>13436</v>
      </c>
      <c r="D6345" t="s">
        <v>1266</v>
      </c>
      <c r="E6345" t="s">
        <v>1267</v>
      </c>
      <c r="G6345" t="s">
        <v>29709</v>
      </c>
      <c r="L6345" t="s">
        <v>83</v>
      </c>
      <c r="M6345" t="s">
        <v>85</v>
      </c>
      <c r="R6345" t="s">
        <v>1267</v>
      </c>
      <c r="W6345" t="s">
        <v>1268</v>
      </c>
      <c r="X6345" t="s">
        <v>528</v>
      </c>
      <c r="Y6345" t="s">
        <v>97</v>
      </c>
      <c r="Z6345" t="s">
        <v>77</v>
      </c>
      <c r="AA6345" t="str">
        <f>"10013-4396"</f>
        <v>10013-4396</v>
      </c>
      <c r="AB6345" t="s">
        <v>78</v>
      </c>
      <c r="AC6345" t="s">
        <v>79</v>
      </c>
      <c r="AD6345" t="s">
        <v>75</v>
      </c>
      <c r="AE6345" t="s">
        <v>80</v>
      </c>
      <c r="AG6345" t="s">
        <v>81</v>
      </c>
    </row>
    <row r="6346" spans="1:33" x14ac:dyDescent="0.25">
      <c r="A6346" t="str">
        <f>"1649270612"</f>
        <v>1649270612</v>
      </c>
      <c r="B6346" t="str">
        <f>"01888733"</f>
        <v>01888733</v>
      </c>
      <c r="C6346" t="s">
        <v>13436</v>
      </c>
      <c r="D6346" t="s">
        <v>29710</v>
      </c>
      <c r="E6346" t="s">
        <v>29711</v>
      </c>
      <c r="G6346" t="s">
        <v>29712</v>
      </c>
      <c r="L6346" t="s">
        <v>84</v>
      </c>
      <c r="M6346" t="s">
        <v>85</v>
      </c>
      <c r="R6346" t="s">
        <v>29713</v>
      </c>
      <c r="W6346" t="s">
        <v>29711</v>
      </c>
      <c r="X6346" t="s">
        <v>2838</v>
      </c>
      <c r="Y6346" t="s">
        <v>97</v>
      </c>
      <c r="Z6346" t="s">
        <v>77</v>
      </c>
      <c r="AA6346" t="str">
        <f>"10003-3105"</f>
        <v>10003-3105</v>
      </c>
      <c r="AB6346" t="s">
        <v>78</v>
      </c>
      <c r="AC6346" t="s">
        <v>79</v>
      </c>
      <c r="AD6346" t="s">
        <v>75</v>
      </c>
      <c r="AE6346" t="s">
        <v>80</v>
      </c>
      <c r="AG6346" t="s">
        <v>81</v>
      </c>
    </row>
    <row r="6347" spans="1:33" x14ac:dyDescent="0.25">
      <c r="A6347" t="str">
        <f>"1649284100"</f>
        <v>1649284100</v>
      </c>
      <c r="B6347" t="str">
        <f>"02602399"</f>
        <v>02602399</v>
      </c>
      <c r="C6347" t="s">
        <v>13436</v>
      </c>
      <c r="D6347" t="s">
        <v>29714</v>
      </c>
      <c r="E6347" t="s">
        <v>29715</v>
      </c>
      <c r="G6347" t="s">
        <v>29716</v>
      </c>
      <c r="L6347" t="s">
        <v>83</v>
      </c>
      <c r="M6347" t="s">
        <v>85</v>
      </c>
      <c r="R6347" t="s">
        <v>29717</v>
      </c>
      <c r="W6347" t="s">
        <v>29715</v>
      </c>
      <c r="X6347" t="s">
        <v>29718</v>
      </c>
      <c r="Y6347" t="s">
        <v>3733</v>
      </c>
      <c r="Z6347" t="s">
        <v>77</v>
      </c>
      <c r="AA6347" t="str">
        <f>"11559-8507"</f>
        <v>11559-8507</v>
      </c>
      <c r="AB6347" t="s">
        <v>78</v>
      </c>
      <c r="AC6347" t="s">
        <v>79</v>
      </c>
      <c r="AD6347" t="s">
        <v>75</v>
      </c>
      <c r="AE6347" t="s">
        <v>80</v>
      </c>
      <c r="AG6347" t="s">
        <v>81</v>
      </c>
    </row>
    <row r="6348" spans="1:33" x14ac:dyDescent="0.25">
      <c r="A6348" t="str">
        <f>"1649326901"</f>
        <v>1649326901</v>
      </c>
      <c r="B6348" t="str">
        <f>"04353628"</f>
        <v>04353628</v>
      </c>
      <c r="C6348" t="s">
        <v>13436</v>
      </c>
      <c r="D6348" t="s">
        <v>29719</v>
      </c>
      <c r="E6348" t="s">
        <v>29720</v>
      </c>
      <c r="G6348" t="s">
        <v>29721</v>
      </c>
      <c r="L6348" t="s">
        <v>83</v>
      </c>
      <c r="M6348" t="s">
        <v>85</v>
      </c>
      <c r="R6348" t="s">
        <v>29722</v>
      </c>
      <c r="W6348" t="s">
        <v>29720</v>
      </c>
      <c r="X6348" t="s">
        <v>24058</v>
      </c>
      <c r="Y6348" t="s">
        <v>97</v>
      </c>
      <c r="Z6348" t="s">
        <v>77</v>
      </c>
      <c r="AA6348" t="str">
        <f>"10016-5507"</f>
        <v>10016-5507</v>
      </c>
      <c r="AB6348" t="s">
        <v>78</v>
      </c>
      <c r="AC6348" t="s">
        <v>79</v>
      </c>
      <c r="AD6348" t="s">
        <v>75</v>
      </c>
      <c r="AE6348" t="s">
        <v>80</v>
      </c>
      <c r="AG6348" t="s">
        <v>81</v>
      </c>
    </row>
    <row r="6349" spans="1:33" x14ac:dyDescent="0.25">
      <c r="A6349" t="str">
        <f>"1649389701"</f>
        <v>1649389701</v>
      </c>
      <c r="B6349" t="str">
        <f>"00867634"</f>
        <v>00867634</v>
      </c>
      <c r="C6349" t="s">
        <v>13436</v>
      </c>
      <c r="D6349" t="s">
        <v>29723</v>
      </c>
      <c r="E6349" t="s">
        <v>29724</v>
      </c>
      <c r="G6349" t="s">
        <v>29725</v>
      </c>
      <c r="L6349" t="s">
        <v>74</v>
      </c>
      <c r="M6349" t="s">
        <v>85</v>
      </c>
      <c r="R6349" t="s">
        <v>29726</v>
      </c>
      <c r="W6349" t="s">
        <v>29724</v>
      </c>
      <c r="X6349" t="s">
        <v>258</v>
      </c>
      <c r="Y6349" t="s">
        <v>131</v>
      </c>
      <c r="Z6349" t="s">
        <v>77</v>
      </c>
      <c r="AA6349" t="str">
        <f>"10467-2401"</f>
        <v>10467-2401</v>
      </c>
      <c r="AB6349" t="s">
        <v>78</v>
      </c>
      <c r="AC6349" t="s">
        <v>79</v>
      </c>
      <c r="AD6349" t="s">
        <v>75</v>
      </c>
      <c r="AE6349" t="s">
        <v>80</v>
      </c>
      <c r="AG6349" t="s">
        <v>81</v>
      </c>
    </row>
    <row r="6350" spans="1:33" x14ac:dyDescent="0.25">
      <c r="A6350" t="str">
        <f>"1659445120"</f>
        <v>1659445120</v>
      </c>
      <c r="B6350" t="str">
        <f>"00750096"</f>
        <v>00750096</v>
      </c>
      <c r="C6350" t="s">
        <v>13436</v>
      </c>
      <c r="D6350" t="s">
        <v>29727</v>
      </c>
      <c r="E6350" t="s">
        <v>29728</v>
      </c>
      <c r="G6350" t="s">
        <v>29729</v>
      </c>
      <c r="L6350" t="s">
        <v>83</v>
      </c>
      <c r="M6350" t="s">
        <v>85</v>
      </c>
      <c r="R6350" t="s">
        <v>29730</v>
      </c>
      <c r="W6350" t="s">
        <v>29728</v>
      </c>
      <c r="X6350" t="s">
        <v>29731</v>
      </c>
      <c r="Y6350" t="s">
        <v>97</v>
      </c>
      <c r="Z6350" t="s">
        <v>77</v>
      </c>
      <c r="AA6350" t="str">
        <f>"10009-2601"</f>
        <v>10009-2601</v>
      </c>
      <c r="AB6350" t="s">
        <v>78</v>
      </c>
      <c r="AC6350" t="s">
        <v>79</v>
      </c>
      <c r="AD6350" t="s">
        <v>75</v>
      </c>
      <c r="AE6350" t="s">
        <v>80</v>
      </c>
      <c r="AG6350" t="s">
        <v>81</v>
      </c>
    </row>
    <row r="6351" spans="1:33" x14ac:dyDescent="0.25">
      <c r="A6351" t="str">
        <f>"1659449353"</f>
        <v>1659449353</v>
      </c>
      <c r="B6351" t="str">
        <f>"00912381"</f>
        <v>00912381</v>
      </c>
      <c r="C6351" t="s">
        <v>13436</v>
      </c>
      <c r="D6351" t="s">
        <v>29732</v>
      </c>
      <c r="E6351" t="s">
        <v>29733</v>
      </c>
      <c r="G6351" t="s">
        <v>29734</v>
      </c>
      <c r="L6351" t="s">
        <v>74</v>
      </c>
      <c r="M6351" t="s">
        <v>85</v>
      </c>
      <c r="R6351" t="s">
        <v>29735</v>
      </c>
      <c r="W6351" t="s">
        <v>29733</v>
      </c>
      <c r="X6351" t="s">
        <v>19169</v>
      </c>
      <c r="Y6351" t="s">
        <v>97</v>
      </c>
      <c r="Z6351" t="s">
        <v>77</v>
      </c>
      <c r="AA6351" t="str">
        <f>"10010-5517"</f>
        <v>10010-5517</v>
      </c>
      <c r="AB6351" t="s">
        <v>78</v>
      </c>
      <c r="AC6351" t="s">
        <v>79</v>
      </c>
      <c r="AD6351" t="s">
        <v>75</v>
      </c>
      <c r="AE6351" t="s">
        <v>80</v>
      </c>
      <c r="AG6351" t="s">
        <v>81</v>
      </c>
    </row>
    <row r="6352" spans="1:33" x14ac:dyDescent="0.25">
      <c r="A6352" t="str">
        <f>"1659684165"</f>
        <v>1659684165</v>
      </c>
      <c r="B6352" t="str">
        <f>"03285036"</f>
        <v>03285036</v>
      </c>
      <c r="C6352" t="s">
        <v>13436</v>
      </c>
      <c r="D6352" t="s">
        <v>29736</v>
      </c>
      <c r="E6352" t="s">
        <v>29737</v>
      </c>
      <c r="G6352" t="s">
        <v>29738</v>
      </c>
      <c r="L6352" t="s">
        <v>84</v>
      </c>
      <c r="M6352" t="s">
        <v>85</v>
      </c>
      <c r="R6352" t="s">
        <v>29737</v>
      </c>
      <c r="W6352" t="s">
        <v>29737</v>
      </c>
      <c r="X6352" t="s">
        <v>2838</v>
      </c>
      <c r="Y6352" t="s">
        <v>97</v>
      </c>
      <c r="Z6352" t="s">
        <v>77</v>
      </c>
      <c r="AA6352" t="str">
        <f>"10003-3105"</f>
        <v>10003-3105</v>
      </c>
      <c r="AB6352" t="s">
        <v>78</v>
      </c>
      <c r="AC6352" t="s">
        <v>79</v>
      </c>
      <c r="AD6352" t="s">
        <v>75</v>
      </c>
      <c r="AE6352" t="s">
        <v>80</v>
      </c>
      <c r="AG6352" t="s">
        <v>81</v>
      </c>
    </row>
    <row r="6353" spans="1:33" x14ac:dyDescent="0.25">
      <c r="A6353" t="str">
        <f>"1669524674"</f>
        <v>1669524674</v>
      </c>
      <c r="B6353" t="str">
        <f>"00162670"</f>
        <v>00162670</v>
      </c>
      <c r="C6353" t="s">
        <v>13436</v>
      </c>
      <c r="D6353" t="s">
        <v>29739</v>
      </c>
      <c r="E6353" t="s">
        <v>29740</v>
      </c>
      <c r="G6353" t="s">
        <v>29741</v>
      </c>
      <c r="L6353" t="s">
        <v>83</v>
      </c>
      <c r="M6353" t="s">
        <v>85</v>
      </c>
      <c r="R6353" t="s">
        <v>29742</v>
      </c>
      <c r="W6353" t="s">
        <v>29743</v>
      </c>
      <c r="X6353" t="s">
        <v>29744</v>
      </c>
      <c r="Y6353" t="s">
        <v>97</v>
      </c>
      <c r="Z6353" t="s">
        <v>77</v>
      </c>
      <c r="AA6353" t="str">
        <f>"10010-7454"</f>
        <v>10010-7454</v>
      </c>
      <c r="AB6353" t="s">
        <v>78</v>
      </c>
      <c r="AC6353" t="s">
        <v>79</v>
      </c>
      <c r="AD6353" t="s">
        <v>75</v>
      </c>
      <c r="AE6353" t="s">
        <v>80</v>
      </c>
      <c r="AG6353" t="s">
        <v>81</v>
      </c>
    </row>
    <row r="6354" spans="1:33" x14ac:dyDescent="0.25">
      <c r="A6354" t="str">
        <f>"1669529186"</f>
        <v>1669529186</v>
      </c>
      <c r="B6354" t="str">
        <f>"01126310"</f>
        <v>01126310</v>
      </c>
      <c r="C6354" t="s">
        <v>13436</v>
      </c>
      <c r="D6354" t="s">
        <v>29745</v>
      </c>
      <c r="E6354" t="s">
        <v>4147</v>
      </c>
      <c r="G6354" t="s">
        <v>22445</v>
      </c>
      <c r="L6354" t="s">
        <v>74</v>
      </c>
      <c r="M6354" t="s">
        <v>85</v>
      </c>
      <c r="R6354" t="s">
        <v>4148</v>
      </c>
      <c r="W6354" t="s">
        <v>4147</v>
      </c>
      <c r="X6354" t="s">
        <v>29746</v>
      </c>
      <c r="Y6354" t="s">
        <v>97</v>
      </c>
      <c r="Z6354" t="s">
        <v>77</v>
      </c>
      <c r="AA6354" t="str">
        <f>"10025"</f>
        <v>10025</v>
      </c>
      <c r="AB6354" t="s">
        <v>78</v>
      </c>
      <c r="AC6354" t="s">
        <v>79</v>
      </c>
      <c r="AD6354" t="s">
        <v>75</v>
      </c>
      <c r="AE6354" t="s">
        <v>80</v>
      </c>
      <c r="AG6354" t="s">
        <v>81</v>
      </c>
    </row>
    <row r="6355" spans="1:33" x14ac:dyDescent="0.25">
      <c r="A6355" t="str">
        <f>"1669574976"</f>
        <v>1669574976</v>
      </c>
      <c r="B6355" t="str">
        <f>"02802188"</f>
        <v>02802188</v>
      </c>
      <c r="C6355" t="s">
        <v>13436</v>
      </c>
      <c r="D6355" t="s">
        <v>29747</v>
      </c>
      <c r="E6355" t="s">
        <v>29748</v>
      </c>
      <c r="G6355" t="s">
        <v>29749</v>
      </c>
      <c r="L6355" t="s">
        <v>84</v>
      </c>
      <c r="M6355" t="s">
        <v>85</v>
      </c>
      <c r="R6355" t="s">
        <v>29750</v>
      </c>
      <c r="W6355" t="s">
        <v>29748</v>
      </c>
      <c r="X6355" t="s">
        <v>29751</v>
      </c>
      <c r="Y6355" t="s">
        <v>87</v>
      </c>
      <c r="Z6355" t="s">
        <v>77</v>
      </c>
      <c r="AA6355" t="str">
        <f>"11236-3708"</f>
        <v>11236-3708</v>
      </c>
      <c r="AB6355" t="s">
        <v>78</v>
      </c>
      <c r="AC6355" t="s">
        <v>79</v>
      </c>
      <c r="AD6355" t="s">
        <v>75</v>
      </c>
      <c r="AE6355" t="s">
        <v>80</v>
      </c>
      <c r="AG6355" t="s">
        <v>81</v>
      </c>
    </row>
    <row r="6356" spans="1:33" x14ac:dyDescent="0.25">
      <c r="A6356" t="str">
        <f>"1437592540"</f>
        <v>1437592540</v>
      </c>
      <c r="C6356" t="s">
        <v>13436</v>
      </c>
      <c r="K6356" t="s">
        <v>99</v>
      </c>
      <c r="L6356" t="s">
        <v>102</v>
      </c>
      <c r="M6356" t="s">
        <v>75</v>
      </c>
      <c r="R6356" t="s">
        <v>29752</v>
      </c>
      <c r="S6356" t="s">
        <v>29753</v>
      </c>
      <c r="T6356" t="s">
        <v>97</v>
      </c>
      <c r="U6356" t="s">
        <v>77</v>
      </c>
      <c r="V6356" t="str">
        <f>"10003"</f>
        <v>10003</v>
      </c>
      <c r="AC6356" t="s">
        <v>79</v>
      </c>
      <c r="AD6356" t="s">
        <v>75</v>
      </c>
      <c r="AE6356" t="s">
        <v>103</v>
      </c>
      <c r="AG6356" t="s">
        <v>81</v>
      </c>
    </row>
    <row r="6357" spans="1:33" x14ac:dyDescent="0.25">
      <c r="A6357" t="str">
        <f>"1437594934"</f>
        <v>1437594934</v>
      </c>
      <c r="C6357" t="s">
        <v>13436</v>
      </c>
      <c r="K6357" t="s">
        <v>99</v>
      </c>
      <c r="L6357" t="s">
        <v>102</v>
      </c>
      <c r="M6357" t="s">
        <v>75</v>
      </c>
      <c r="R6357" t="s">
        <v>29754</v>
      </c>
      <c r="S6357" t="s">
        <v>181</v>
      </c>
      <c r="T6357" t="s">
        <v>97</v>
      </c>
      <c r="U6357" t="s">
        <v>77</v>
      </c>
      <c r="V6357" t="str">
        <f>"100251716"</f>
        <v>100251716</v>
      </c>
      <c r="AC6357" t="s">
        <v>79</v>
      </c>
      <c r="AD6357" t="s">
        <v>75</v>
      </c>
      <c r="AE6357" t="s">
        <v>103</v>
      </c>
      <c r="AG6357" t="s">
        <v>81</v>
      </c>
    </row>
    <row r="6358" spans="1:33" x14ac:dyDescent="0.25">
      <c r="A6358" t="str">
        <f>"1235495474"</f>
        <v>1235495474</v>
      </c>
      <c r="C6358" t="s">
        <v>13436</v>
      </c>
      <c r="G6358" t="s">
        <v>29755</v>
      </c>
      <c r="K6358" t="s">
        <v>99</v>
      </c>
      <c r="L6358" t="s">
        <v>102</v>
      </c>
      <c r="M6358" t="s">
        <v>75</v>
      </c>
      <c r="R6358" t="s">
        <v>29756</v>
      </c>
      <c r="S6358" t="s">
        <v>29757</v>
      </c>
      <c r="T6358" t="s">
        <v>180</v>
      </c>
      <c r="U6358" t="s">
        <v>77</v>
      </c>
      <c r="V6358" t="str">
        <f>"107102922"</f>
        <v>107102922</v>
      </c>
      <c r="AC6358" t="s">
        <v>79</v>
      </c>
      <c r="AD6358" t="s">
        <v>75</v>
      </c>
      <c r="AE6358" t="s">
        <v>103</v>
      </c>
      <c r="AG6358" t="s">
        <v>81</v>
      </c>
    </row>
    <row r="6359" spans="1:33" x14ac:dyDescent="0.25">
      <c r="A6359" t="str">
        <f>"1053757344"</f>
        <v>1053757344</v>
      </c>
      <c r="B6359" t="str">
        <f>"04000717"</f>
        <v>04000717</v>
      </c>
      <c r="C6359" t="s">
        <v>13436</v>
      </c>
      <c r="D6359" t="s">
        <v>29758</v>
      </c>
      <c r="E6359" t="s">
        <v>29759</v>
      </c>
      <c r="G6359" t="s">
        <v>29760</v>
      </c>
      <c r="L6359" t="s">
        <v>102</v>
      </c>
      <c r="M6359" t="s">
        <v>75</v>
      </c>
      <c r="R6359" t="s">
        <v>29761</v>
      </c>
      <c r="W6359" t="s">
        <v>29759</v>
      </c>
      <c r="X6359" t="s">
        <v>29762</v>
      </c>
      <c r="Y6359" t="s">
        <v>97</v>
      </c>
      <c r="Z6359" t="s">
        <v>77</v>
      </c>
      <c r="AA6359" t="str">
        <f>"10019-1147"</f>
        <v>10019-1147</v>
      </c>
      <c r="AB6359" t="s">
        <v>78</v>
      </c>
      <c r="AC6359" t="s">
        <v>79</v>
      </c>
      <c r="AD6359" t="s">
        <v>75</v>
      </c>
      <c r="AE6359" t="s">
        <v>80</v>
      </c>
      <c r="AG6359" t="s">
        <v>81</v>
      </c>
    </row>
    <row r="6360" spans="1:33" x14ac:dyDescent="0.25">
      <c r="A6360" t="str">
        <f>"1063408474"</f>
        <v>1063408474</v>
      </c>
      <c r="B6360" t="str">
        <f>"02491454"</f>
        <v>02491454</v>
      </c>
      <c r="C6360" t="s">
        <v>13436</v>
      </c>
      <c r="D6360" t="s">
        <v>29763</v>
      </c>
      <c r="E6360" t="s">
        <v>29764</v>
      </c>
      <c r="G6360" t="s">
        <v>29765</v>
      </c>
      <c r="L6360" t="s">
        <v>83</v>
      </c>
      <c r="M6360" t="s">
        <v>75</v>
      </c>
      <c r="R6360" t="s">
        <v>29766</v>
      </c>
      <c r="W6360" t="s">
        <v>29764</v>
      </c>
      <c r="X6360" t="s">
        <v>29767</v>
      </c>
      <c r="Y6360" t="s">
        <v>190</v>
      </c>
      <c r="Z6360" t="s">
        <v>77</v>
      </c>
      <c r="AA6360" t="str">
        <f>"11103"</f>
        <v>11103</v>
      </c>
      <c r="AB6360" t="s">
        <v>78</v>
      </c>
      <c r="AC6360" t="s">
        <v>79</v>
      </c>
      <c r="AD6360" t="s">
        <v>75</v>
      </c>
      <c r="AE6360" t="s">
        <v>80</v>
      </c>
      <c r="AG6360" t="s">
        <v>81</v>
      </c>
    </row>
    <row r="6361" spans="1:33" x14ac:dyDescent="0.25">
      <c r="A6361" t="str">
        <f>"1063438521"</f>
        <v>1063438521</v>
      </c>
      <c r="B6361" t="str">
        <f>"03449754"</f>
        <v>03449754</v>
      </c>
      <c r="C6361" t="s">
        <v>13436</v>
      </c>
      <c r="D6361" t="s">
        <v>29768</v>
      </c>
      <c r="E6361" t="s">
        <v>29769</v>
      </c>
      <c r="G6361" t="s">
        <v>29770</v>
      </c>
      <c r="L6361" t="s">
        <v>83</v>
      </c>
      <c r="M6361" t="s">
        <v>85</v>
      </c>
      <c r="R6361" t="s">
        <v>29771</v>
      </c>
      <c r="W6361" t="s">
        <v>29769</v>
      </c>
      <c r="X6361" t="s">
        <v>11436</v>
      </c>
      <c r="Y6361" t="s">
        <v>97</v>
      </c>
      <c r="Z6361" t="s">
        <v>77</v>
      </c>
      <c r="AA6361" t="str">
        <f>"10029-6503"</f>
        <v>10029-6503</v>
      </c>
      <c r="AB6361" t="s">
        <v>78</v>
      </c>
      <c r="AC6361" t="s">
        <v>79</v>
      </c>
      <c r="AD6361" t="s">
        <v>75</v>
      </c>
      <c r="AE6361" t="s">
        <v>80</v>
      </c>
      <c r="AG6361" t="s">
        <v>81</v>
      </c>
    </row>
    <row r="6362" spans="1:33" x14ac:dyDescent="0.25">
      <c r="A6362" t="str">
        <f>"1063452126"</f>
        <v>1063452126</v>
      </c>
      <c r="B6362" t="str">
        <f>"02754474"</f>
        <v>02754474</v>
      </c>
      <c r="C6362" t="s">
        <v>13436</v>
      </c>
      <c r="D6362" t="s">
        <v>1679</v>
      </c>
      <c r="E6362" t="s">
        <v>1680</v>
      </c>
      <c r="G6362" t="s">
        <v>29772</v>
      </c>
      <c r="L6362" t="s">
        <v>83</v>
      </c>
      <c r="M6362" t="s">
        <v>85</v>
      </c>
      <c r="R6362" t="s">
        <v>1678</v>
      </c>
      <c r="W6362" t="s">
        <v>1680</v>
      </c>
      <c r="X6362" t="s">
        <v>274</v>
      </c>
      <c r="Y6362" t="s">
        <v>91</v>
      </c>
      <c r="Z6362" t="s">
        <v>77</v>
      </c>
      <c r="AA6362" t="str">
        <f>"11373-4933"</f>
        <v>11373-4933</v>
      </c>
      <c r="AB6362" t="s">
        <v>78</v>
      </c>
      <c r="AC6362" t="s">
        <v>79</v>
      </c>
      <c r="AD6362" t="s">
        <v>75</v>
      </c>
      <c r="AE6362" t="s">
        <v>80</v>
      </c>
      <c r="AG6362" t="s">
        <v>81</v>
      </c>
    </row>
    <row r="6363" spans="1:33" x14ac:dyDescent="0.25">
      <c r="A6363" t="str">
        <f>"1063473387"</f>
        <v>1063473387</v>
      </c>
      <c r="B6363" t="str">
        <f>"00892122"</f>
        <v>00892122</v>
      </c>
      <c r="C6363" t="s">
        <v>13436</v>
      </c>
      <c r="D6363" t="s">
        <v>29773</v>
      </c>
      <c r="E6363" t="s">
        <v>29774</v>
      </c>
      <c r="G6363" t="s">
        <v>29775</v>
      </c>
      <c r="L6363" t="s">
        <v>83</v>
      </c>
      <c r="M6363" t="s">
        <v>85</v>
      </c>
      <c r="R6363" t="s">
        <v>29776</v>
      </c>
      <c r="W6363" t="s">
        <v>29774</v>
      </c>
      <c r="X6363" t="s">
        <v>26466</v>
      </c>
      <c r="Y6363" t="s">
        <v>97</v>
      </c>
      <c r="Z6363" t="s">
        <v>77</v>
      </c>
      <c r="AA6363" t="str">
        <f>"10029-6501"</f>
        <v>10029-6501</v>
      </c>
      <c r="AB6363" t="s">
        <v>78</v>
      </c>
      <c r="AC6363" t="s">
        <v>79</v>
      </c>
      <c r="AD6363" t="s">
        <v>75</v>
      </c>
      <c r="AE6363" t="s">
        <v>80</v>
      </c>
      <c r="AG6363" t="s">
        <v>81</v>
      </c>
    </row>
    <row r="6364" spans="1:33" x14ac:dyDescent="0.25">
      <c r="A6364" t="str">
        <f>"1548515026"</f>
        <v>1548515026</v>
      </c>
      <c r="B6364" t="str">
        <f>"03753615"</f>
        <v>03753615</v>
      </c>
      <c r="C6364" t="s">
        <v>13436</v>
      </c>
      <c r="D6364" t="s">
        <v>29777</v>
      </c>
      <c r="E6364" t="s">
        <v>29778</v>
      </c>
      <c r="G6364" t="s">
        <v>29779</v>
      </c>
      <c r="L6364" t="s">
        <v>102</v>
      </c>
      <c r="M6364" t="s">
        <v>75</v>
      </c>
      <c r="R6364" t="s">
        <v>29780</v>
      </c>
      <c r="W6364" t="s">
        <v>29778</v>
      </c>
      <c r="X6364" t="s">
        <v>329</v>
      </c>
      <c r="Y6364" t="s">
        <v>97</v>
      </c>
      <c r="Z6364" t="s">
        <v>77</v>
      </c>
      <c r="AA6364" t="str">
        <f>"10029-6504"</f>
        <v>10029-6504</v>
      </c>
      <c r="AB6364" t="s">
        <v>78</v>
      </c>
      <c r="AC6364" t="s">
        <v>79</v>
      </c>
      <c r="AD6364" t="s">
        <v>75</v>
      </c>
      <c r="AE6364" t="s">
        <v>80</v>
      </c>
      <c r="AG6364" t="s">
        <v>81</v>
      </c>
    </row>
    <row r="6365" spans="1:33" x14ac:dyDescent="0.25">
      <c r="A6365" t="str">
        <f>"1548528482"</f>
        <v>1548528482</v>
      </c>
      <c r="B6365" t="str">
        <f>"03982405"</f>
        <v>03982405</v>
      </c>
      <c r="C6365" t="s">
        <v>13436</v>
      </c>
      <c r="D6365" t="s">
        <v>29781</v>
      </c>
      <c r="E6365" t="s">
        <v>29782</v>
      </c>
      <c r="G6365" t="s">
        <v>29783</v>
      </c>
      <c r="L6365" t="s">
        <v>74</v>
      </c>
      <c r="M6365" t="s">
        <v>75</v>
      </c>
      <c r="R6365" t="s">
        <v>29784</v>
      </c>
      <c r="W6365" t="s">
        <v>29782</v>
      </c>
      <c r="X6365" t="s">
        <v>181</v>
      </c>
      <c r="Y6365" t="s">
        <v>97</v>
      </c>
      <c r="Z6365" t="s">
        <v>77</v>
      </c>
      <c r="AA6365" t="str">
        <f>"10025-1716"</f>
        <v>10025-1716</v>
      </c>
      <c r="AB6365" t="s">
        <v>78</v>
      </c>
      <c r="AC6365" t="s">
        <v>79</v>
      </c>
      <c r="AD6365" t="s">
        <v>75</v>
      </c>
      <c r="AE6365" t="s">
        <v>80</v>
      </c>
      <c r="AG6365" t="s">
        <v>81</v>
      </c>
    </row>
    <row r="6366" spans="1:33" x14ac:dyDescent="0.25">
      <c r="A6366" t="str">
        <f>"1548551765"</f>
        <v>1548551765</v>
      </c>
      <c r="B6366" t="str">
        <f>"03920743"</f>
        <v>03920743</v>
      </c>
      <c r="C6366" t="s">
        <v>13436</v>
      </c>
      <c r="D6366" t="s">
        <v>3764</v>
      </c>
      <c r="E6366" t="s">
        <v>3765</v>
      </c>
      <c r="G6366" t="s">
        <v>29785</v>
      </c>
      <c r="L6366" t="s">
        <v>83</v>
      </c>
      <c r="M6366" t="s">
        <v>75</v>
      </c>
      <c r="R6366" t="s">
        <v>3766</v>
      </c>
      <c r="W6366" t="s">
        <v>3765</v>
      </c>
      <c r="X6366" t="s">
        <v>2944</v>
      </c>
      <c r="Y6366" t="s">
        <v>131</v>
      </c>
      <c r="Z6366" t="s">
        <v>77</v>
      </c>
      <c r="AA6366" t="str">
        <f>"10457-7606"</f>
        <v>10457-7606</v>
      </c>
      <c r="AB6366" t="s">
        <v>78</v>
      </c>
      <c r="AC6366" t="s">
        <v>79</v>
      </c>
      <c r="AD6366" t="s">
        <v>75</v>
      </c>
      <c r="AE6366" t="s">
        <v>80</v>
      </c>
      <c r="AG6366" t="s">
        <v>81</v>
      </c>
    </row>
    <row r="6367" spans="1:33" x14ac:dyDescent="0.25">
      <c r="A6367" t="str">
        <f>"1548573520"</f>
        <v>1548573520</v>
      </c>
      <c r="B6367" t="str">
        <f>"03267232"</f>
        <v>03267232</v>
      </c>
      <c r="C6367" t="s">
        <v>13436</v>
      </c>
      <c r="D6367" t="s">
        <v>29786</v>
      </c>
      <c r="E6367" t="s">
        <v>29787</v>
      </c>
      <c r="G6367" t="s">
        <v>29788</v>
      </c>
      <c r="L6367" t="s">
        <v>83</v>
      </c>
      <c r="M6367" t="s">
        <v>75</v>
      </c>
      <c r="R6367" t="s">
        <v>29789</v>
      </c>
      <c r="W6367" t="s">
        <v>29787</v>
      </c>
      <c r="X6367" t="s">
        <v>29790</v>
      </c>
      <c r="Y6367" t="s">
        <v>97</v>
      </c>
      <c r="Z6367" t="s">
        <v>77</v>
      </c>
      <c r="AA6367" t="str">
        <f>"10029-6501"</f>
        <v>10029-6501</v>
      </c>
      <c r="AB6367" t="s">
        <v>78</v>
      </c>
      <c r="AC6367" t="s">
        <v>79</v>
      </c>
      <c r="AD6367" t="s">
        <v>75</v>
      </c>
      <c r="AE6367" t="s">
        <v>80</v>
      </c>
      <c r="AG6367" t="s">
        <v>81</v>
      </c>
    </row>
    <row r="6368" spans="1:33" x14ac:dyDescent="0.25">
      <c r="A6368" t="str">
        <f>"1548588221"</f>
        <v>1548588221</v>
      </c>
      <c r="B6368" t="str">
        <f>"04044684"</f>
        <v>04044684</v>
      </c>
      <c r="C6368" t="s">
        <v>13436</v>
      </c>
      <c r="D6368" t="s">
        <v>29791</v>
      </c>
      <c r="E6368" t="s">
        <v>29792</v>
      </c>
      <c r="G6368" t="s">
        <v>29793</v>
      </c>
      <c r="L6368" t="s">
        <v>83</v>
      </c>
      <c r="M6368" t="s">
        <v>75</v>
      </c>
      <c r="R6368" t="s">
        <v>29794</v>
      </c>
      <c r="W6368" t="s">
        <v>29792</v>
      </c>
      <c r="X6368" t="s">
        <v>191</v>
      </c>
      <c r="Y6368" t="s">
        <v>97</v>
      </c>
      <c r="Z6368" t="s">
        <v>77</v>
      </c>
      <c r="AA6368" t="str">
        <f>"10019-1147"</f>
        <v>10019-1147</v>
      </c>
      <c r="AB6368" t="s">
        <v>78</v>
      </c>
      <c r="AC6368" t="s">
        <v>79</v>
      </c>
      <c r="AD6368" t="s">
        <v>75</v>
      </c>
      <c r="AE6368" t="s">
        <v>80</v>
      </c>
      <c r="AG6368" t="s">
        <v>81</v>
      </c>
    </row>
    <row r="6369" spans="1:33" x14ac:dyDescent="0.25">
      <c r="A6369" t="str">
        <f>"1104902444"</f>
        <v>1104902444</v>
      </c>
      <c r="B6369" t="str">
        <f>"01424506"</f>
        <v>01424506</v>
      </c>
      <c r="C6369" t="s">
        <v>13436</v>
      </c>
      <c r="D6369" t="s">
        <v>29795</v>
      </c>
      <c r="E6369" t="s">
        <v>29796</v>
      </c>
      <c r="G6369" t="s">
        <v>29797</v>
      </c>
      <c r="L6369" t="s">
        <v>83</v>
      </c>
      <c r="M6369" t="s">
        <v>85</v>
      </c>
      <c r="R6369" t="s">
        <v>29798</v>
      </c>
      <c r="W6369" t="s">
        <v>29796</v>
      </c>
      <c r="X6369" t="s">
        <v>29799</v>
      </c>
      <c r="Y6369" t="s">
        <v>97</v>
      </c>
      <c r="Z6369" t="s">
        <v>77</v>
      </c>
      <c r="AA6369" t="str">
        <f>"10003"</f>
        <v>10003</v>
      </c>
      <c r="AB6369" t="s">
        <v>78</v>
      </c>
      <c r="AC6369" t="s">
        <v>79</v>
      </c>
      <c r="AD6369" t="s">
        <v>75</v>
      </c>
      <c r="AE6369" t="s">
        <v>80</v>
      </c>
      <c r="AG6369" t="s">
        <v>81</v>
      </c>
    </row>
    <row r="6370" spans="1:33" x14ac:dyDescent="0.25">
      <c r="A6370" t="str">
        <f>"1114016631"</f>
        <v>1114016631</v>
      </c>
      <c r="B6370" t="str">
        <f>"01375626"</f>
        <v>01375626</v>
      </c>
      <c r="C6370" t="s">
        <v>13436</v>
      </c>
      <c r="D6370" t="s">
        <v>29800</v>
      </c>
      <c r="E6370" t="s">
        <v>29801</v>
      </c>
      <c r="G6370" t="s">
        <v>29802</v>
      </c>
      <c r="L6370" t="s">
        <v>83</v>
      </c>
      <c r="M6370" t="s">
        <v>85</v>
      </c>
      <c r="R6370" t="s">
        <v>29803</v>
      </c>
      <c r="W6370" t="s">
        <v>29801</v>
      </c>
      <c r="X6370" t="s">
        <v>12928</v>
      </c>
      <c r="Y6370" t="s">
        <v>87</v>
      </c>
      <c r="Z6370" t="s">
        <v>77</v>
      </c>
      <c r="AA6370" t="str">
        <f>"11211-7823"</f>
        <v>11211-7823</v>
      </c>
      <c r="AB6370" t="s">
        <v>78</v>
      </c>
      <c r="AC6370" t="s">
        <v>79</v>
      </c>
      <c r="AD6370" t="s">
        <v>75</v>
      </c>
      <c r="AE6370" t="s">
        <v>80</v>
      </c>
      <c r="AG6370" t="s">
        <v>81</v>
      </c>
    </row>
    <row r="6371" spans="1:33" x14ac:dyDescent="0.25">
      <c r="A6371" t="str">
        <f>"1952477010"</f>
        <v>1952477010</v>
      </c>
      <c r="B6371" t="str">
        <f>"02002202"</f>
        <v>02002202</v>
      </c>
      <c r="C6371" t="s">
        <v>13436</v>
      </c>
      <c r="D6371" t="s">
        <v>29804</v>
      </c>
      <c r="E6371" t="s">
        <v>29805</v>
      </c>
      <c r="G6371" t="s">
        <v>29806</v>
      </c>
      <c r="L6371" t="s">
        <v>105</v>
      </c>
      <c r="M6371" t="s">
        <v>85</v>
      </c>
      <c r="R6371" t="s">
        <v>29807</v>
      </c>
      <c r="W6371" t="s">
        <v>29805</v>
      </c>
      <c r="X6371" t="s">
        <v>269</v>
      </c>
      <c r="Y6371" t="s">
        <v>165</v>
      </c>
      <c r="Z6371" t="s">
        <v>77</v>
      </c>
      <c r="AA6371" t="str">
        <f>"11004-1150"</f>
        <v>11004-1150</v>
      </c>
      <c r="AB6371" t="s">
        <v>78</v>
      </c>
      <c r="AC6371" t="s">
        <v>79</v>
      </c>
      <c r="AD6371" t="s">
        <v>75</v>
      </c>
      <c r="AE6371" t="s">
        <v>80</v>
      </c>
      <c r="AG6371" t="s">
        <v>81</v>
      </c>
    </row>
    <row r="6372" spans="1:33" x14ac:dyDescent="0.25">
      <c r="A6372" t="str">
        <f>"1952495483"</f>
        <v>1952495483</v>
      </c>
      <c r="B6372" t="str">
        <f>"01165824"</f>
        <v>01165824</v>
      </c>
      <c r="C6372" t="s">
        <v>13436</v>
      </c>
      <c r="D6372" t="s">
        <v>29808</v>
      </c>
      <c r="E6372" t="s">
        <v>29809</v>
      </c>
      <c r="G6372" t="s">
        <v>29810</v>
      </c>
      <c r="L6372" t="s">
        <v>94</v>
      </c>
      <c r="M6372" t="s">
        <v>85</v>
      </c>
      <c r="R6372" t="s">
        <v>29811</v>
      </c>
      <c r="W6372" t="s">
        <v>29812</v>
      </c>
      <c r="X6372" t="s">
        <v>29813</v>
      </c>
      <c r="Y6372" t="s">
        <v>97</v>
      </c>
      <c r="Z6372" t="s">
        <v>77</v>
      </c>
      <c r="AA6372" t="str">
        <f>"10019"</f>
        <v>10019</v>
      </c>
      <c r="AB6372" t="s">
        <v>78</v>
      </c>
      <c r="AC6372" t="s">
        <v>79</v>
      </c>
      <c r="AD6372" t="s">
        <v>75</v>
      </c>
      <c r="AE6372" t="s">
        <v>80</v>
      </c>
      <c r="AG6372" t="s">
        <v>81</v>
      </c>
    </row>
    <row r="6373" spans="1:33" x14ac:dyDescent="0.25">
      <c r="A6373" t="str">
        <f>"1952564403"</f>
        <v>1952564403</v>
      </c>
      <c r="B6373" t="str">
        <f>"03062342"</f>
        <v>03062342</v>
      </c>
      <c r="C6373" t="s">
        <v>13436</v>
      </c>
      <c r="D6373" t="s">
        <v>29814</v>
      </c>
      <c r="E6373" t="s">
        <v>29815</v>
      </c>
      <c r="G6373" t="s">
        <v>29816</v>
      </c>
      <c r="L6373" t="s">
        <v>74</v>
      </c>
      <c r="M6373" t="s">
        <v>85</v>
      </c>
      <c r="R6373" t="s">
        <v>29817</v>
      </c>
      <c r="W6373" t="s">
        <v>29815</v>
      </c>
      <c r="X6373" t="s">
        <v>2587</v>
      </c>
      <c r="Y6373" t="s">
        <v>97</v>
      </c>
      <c r="Z6373" t="s">
        <v>77</v>
      </c>
      <c r="AA6373" t="str">
        <f>"10003-3314"</f>
        <v>10003-3314</v>
      </c>
      <c r="AB6373" t="s">
        <v>78</v>
      </c>
      <c r="AC6373" t="s">
        <v>79</v>
      </c>
      <c r="AD6373" t="s">
        <v>75</v>
      </c>
      <c r="AE6373" t="s">
        <v>80</v>
      </c>
      <c r="AG6373" t="s">
        <v>81</v>
      </c>
    </row>
    <row r="6374" spans="1:33" x14ac:dyDescent="0.25">
      <c r="A6374" t="str">
        <f>"1962403485"</f>
        <v>1962403485</v>
      </c>
      <c r="B6374" t="str">
        <f>"01352890"</f>
        <v>01352890</v>
      </c>
      <c r="C6374" t="s">
        <v>13436</v>
      </c>
      <c r="D6374" t="s">
        <v>29818</v>
      </c>
      <c r="E6374" t="s">
        <v>29819</v>
      </c>
      <c r="G6374" t="s">
        <v>29820</v>
      </c>
      <c r="L6374" t="s">
        <v>83</v>
      </c>
      <c r="M6374" t="s">
        <v>85</v>
      </c>
      <c r="R6374" t="s">
        <v>29821</v>
      </c>
      <c r="W6374" t="s">
        <v>29819</v>
      </c>
      <c r="X6374" t="s">
        <v>17795</v>
      </c>
      <c r="Y6374" t="s">
        <v>160</v>
      </c>
      <c r="Z6374" t="s">
        <v>77</v>
      </c>
      <c r="AA6374" t="str">
        <f>"11030-3816"</f>
        <v>11030-3816</v>
      </c>
      <c r="AB6374" t="s">
        <v>78</v>
      </c>
      <c r="AC6374" t="s">
        <v>79</v>
      </c>
      <c r="AD6374" t="s">
        <v>75</v>
      </c>
      <c r="AE6374" t="s">
        <v>80</v>
      </c>
      <c r="AG6374" t="s">
        <v>81</v>
      </c>
    </row>
    <row r="6375" spans="1:33" x14ac:dyDescent="0.25">
      <c r="A6375" t="str">
        <f>"1962445197"</f>
        <v>1962445197</v>
      </c>
      <c r="B6375" t="str">
        <f>"02366989"</f>
        <v>02366989</v>
      </c>
      <c r="C6375" t="s">
        <v>13436</v>
      </c>
      <c r="D6375" t="s">
        <v>29822</v>
      </c>
      <c r="E6375" t="s">
        <v>29823</v>
      </c>
      <c r="G6375" t="s">
        <v>29824</v>
      </c>
      <c r="L6375" t="s">
        <v>83</v>
      </c>
      <c r="M6375" t="s">
        <v>85</v>
      </c>
      <c r="R6375" t="s">
        <v>29825</v>
      </c>
      <c r="W6375" t="s">
        <v>29823</v>
      </c>
      <c r="X6375" t="s">
        <v>267</v>
      </c>
      <c r="Y6375" t="s">
        <v>91</v>
      </c>
      <c r="Z6375" t="s">
        <v>77</v>
      </c>
      <c r="AA6375" t="str">
        <f>"11373-1329"</f>
        <v>11373-1329</v>
      </c>
      <c r="AB6375" t="s">
        <v>78</v>
      </c>
      <c r="AC6375" t="s">
        <v>79</v>
      </c>
      <c r="AD6375" t="s">
        <v>75</v>
      </c>
      <c r="AE6375" t="s">
        <v>80</v>
      </c>
      <c r="AG6375" t="s">
        <v>81</v>
      </c>
    </row>
    <row r="6376" spans="1:33" x14ac:dyDescent="0.25">
      <c r="A6376" t="str">
        <f>"1114180429"</f>
        <v>1114180429</v>
      </c>
      <c r="B6376" t="str">
        <f>"03139159"</f>
        <v>03139159</v>
      </c>
      <c r="C6376" t="s">
        <v>13436</v>
      </c>
      <c r="D6376" t="s">
        <v>29826</v>
      </c>
      <c r="E6376" t="s">
        <v>29827</v>
      </c>
      <c r="L6376" t="s">
        <v>74</v>
      </c>
      <c r="M6376" t="s">
        <v>75</v>
      </c>
      <c r="R6376" t="s">
        <v>29828</v>
      </c>
      <c r="W6376" t="s">
        <v>29827</v>
      </c>
      <c r="X6376" t="s">
        <v>14583</v>
      </c>
      <c r="Y6376" t="s">
        <v>97</v>
      </c>
      <c r="Z6376" t="s">
        <v>77</v>
      </c>
      <c r="AA6376" t="str">
        <f>"10016-4337"</f>
        <v>10016-4337</v>
      </c>
      <c r="AB6376" t="s">
        <v>78</v>
      </c>
      <c r="AC6376" t="s">
        <v>79</v>
      </c>
      <c r="AD6376" t="s">
        <v>75</v>
      </c>
      <c r="AE6376" t="s">
        <v>80</v>
      </c>
      <c r="AG6376" t="s">
        <v>81</v>
      </c>
    </row>
    <row r="6377" spans="1:33" x14ac:dyDescent="0.25">
      <c r="A6377" t="str">
        <f>"1114180726"</f>
        <v>1114180726</v>
      </c>
      <c r="C6377" t="s">
        <v>13436</v>
      </c>
      <c r="G6377" t="s">
        <v>29829</v>
      </c>
      <c r="K6377" t="s">
        <v>99</v>
      </c>
      <c r="L6377" t="s">
        <v>102</v>
      </c>
      <c r="M6377" t="s">
        <v>75</v>
      </c>
      <c r="R6377" t="s">
        <v>5334</v>
      </c>
      <c r="S6377" t="s">
        <v>5335</v>
      </c>
      <c r="T6377" t="s">
        <v>295</v>
      </c>
      <c r="U6377" t="s">
        <v>77</v>
      </c>
      <c r="V6377" t="str">
        <f>"110041205"</f>
        <v>110041205</v>
      </c>
      <c r="AC6377" t="s">
        <v>79</v>
      </c>
      <c r="AD6377" t="s">
        <v>75</v>
      </c>
      <c r="AE6377" t="s">
        <v>103</v>
      </c>
      <c r="AG6377" t="s">
        <v>81</v>
      </c>
    </row>
    <row r="6378" spans="1:33" x14ac:dyDescent="0.25">
      <c r="A6378" t="str">
        <f>"1396843512"</f>
        <v>1396843512</v>
      </c>
      <c r="B6378" t="str">
        <f>"03523700"</f>
        <v>03523700</v>
      </c>
      <c r="C6378" t="s">
        <v>13436</v>
      </c>
      <c r="D6378" t="s">
        <v>29830</v>
      </c>
      <c r="E6378" t="s">
        <v>29831</v>
      </c>
      <c r="L6378" t="s">
        <v>83</v>
      </c>
      <c r="M6378" t="s">
        <v>75</v>
      </c>
      <c r="R6378" t="s">
        <v>29832</v>
      </c>
      <c r="W6378" t="s">
        <v>29831</v>
      </c>
      <c r="X6378" t="s">
        <v>590</v>
      </c>
      <c r="Y6378" t="s">
        <v>97</v>
      </c>
      <c r="Z6378" t="s">
        <v>77</v>
      </c>
      <c r="AA6378" t="str">
        <f>"10128-4077"</f>
        <v>10128-4077</v>
      </c>
      <c r="AB6378" t="s">
        <v>78</v>
      </c>
      <c r="AC6378" t="s">
        <v>79</v>
      </c>
      <c r="AD6378" t="s">
        <v>75</v>
      </c>
      <c r="AE6378" t="s">
        <v>80</v>
      </c>
      <c r="AG6378" t="s">
        <v>81</v>
      </c>
    </row>
    <row r="6379" spans="1:33" x14ac:dyDescent="0.25">
      <c r="A6379" t="str">
        <f>"1396847547"</f>
        <v>1396847547</v>
      </c>
      <c r="B6379" t="str">
        <f>"03760941"</f>
        <v>03760941</v>
      </c>
      <c r="C6379" t="s">
        <v>13436</v>
      </c>
      <c r="D6379" t="s">
        <v>29833</v>
      </c>
      <c r="E6379" t="s">
        <v>29834</v>
      </c>
      <c r="G6379" t="s">
        <v>29835</v>
      </c>
      <c r="L6379" t="s">
        <v>74</v>
      </c>
      <c r="M6379" t="s">
        <v>75</v>
      </c>
      <c r="R6379" t="s">
        <v>29836</v>
      </c>
      <c r="W6379" t="s">
        <v>29834</v>
      </c>
      <c r="X6379" t="s">
        <v>29837</v>
      </c>
      <c r="Y6379" t="s">
        <v>2128</v>
      </c>
      <c r="Z6379" t="s">
        <v>77</v>
      </c>
      <c r="AA6379" t="str">
        <f>"11743-2779"</f>
        <v>11743-2779</v>
      </c>
      <c r="AB6379" t="s">
        <v>78</v>
      </c>
      <c r="AC6379" t="s">
        <v>79</v>
      </c>
      <c r="AD6379" t="s">
        <v>75</v>
      </c>
      <c r="AE6379" t="s">
        <v>80</v>
      </c>
      <c r="AG6379" t="s">
        <v>81</v>
      </c>
    </row>
    <row r="6380" spans="1:33" x14ac:dyDescent="0.25">
      <c r="A6380" t="str">
        <f>"1396864328"</f>
        <v>1396864328</v>
      </c>
      <c r="B6380" t="str">
        <f>"03758909"</f>
        <v>03758909</v>
      </c>
      <c r="C6380" t="s">
        <v>13436</v>
      </c>
      <c r="D6380" t="s">
        <v>29838</v>
      </c>
      <c r="E6380" t="s">
        <v>29839</v>
      </c>
      <c r="G6380" t="s">
        <v>29840</v>
      </c>
      <c r="L6380" t="s">
        <v>74</v>
      </c>
      <c r="M6380" t="s">
        <v>85</v>
      </c>
      <c r="R6380" t="s">
        <v>29841</v>
      </c>
      <c r="W6380" t="s">
        <v>29839</v>
      </c>
      <c r="X6380" t="s">
        <v>329</v>
      </c>
      <c r="Y6380" t="s">
        <v>97</v>
      </c>
      <c r="Z6380" t="s">
        <v>77</v>
      </c>
      <c r="AA6380" t="str">
        <f>"10029-6504"</f>
        <v>10029-6504</v>
      </c>
      <c r="AB6380" t="s">
        <v>78</v>
      </c>
      <c r="AC6380" t="s">
        <v>79</v>
      </c>
      <c r="AD6380" t="s">
        <v>75</v>
      </c>
      <c r="AE6380" t="s">
        <v>80</v>
      </c>
      <c r="AG6380" t="s">
        <v>81</v>
      </c>
    </row>
    <row r="6381" spans="1:33" x14ac:dyDescent="0.25">
      <c r="A6381" t="str">
        <f>"1396904256"</f>
        <v>1396904256</v>
      </c>
      <c r="B6381" t="str">
        <f>"04245772"</f>
        <v>04245772</v>
      </c>
      <c r="C6381" t="s">
        <v>13436</v>
      </c>
      <c r="D6381" t="s">
        <v>29842</v>
      </c>
      <c r="E6381" t="s">
        <v>29843</v>
      </c>
      <c r="L6381" t="s">
        <v>83</v>
      </c>
      <c r="M6381" t="s">
        <v>75</v>
      </c>
      <c r="R6381" t="s">
        <v>29844</v>
      </c>
      <c r="W6381" t="s">
        <v>29843</v>
      </c>
      <c r="X6381" t="s">
        <v>329</v>
      </c>
      <c r="Y6381" t="s">
        <v>97</v>
      </c>
      <c r="Z6381" t="s">
        <v>77</v>
      </c>
      <c r="AA6381" t="str">
        <f>"10029-6504"</f>
        <v>10029-6504</v>
      </c>
      <c r="AB6381" t="s">
        <v>78</v>
      </c>
      <c r="AC6381" t="s">
        <v>79</v>
      </c>
      <c r="AD6381" t="s">
        <v>75</v>
      </c>
      <c r="AE6381" t="s">
        <v>80</v>
      </c>
      <c r="AG6381" t="s">
        <v>81</v>
      </c>
    </row>
    <row r="6382" spans="1:33" x14ac:dyDescent="0.25">
      <c r="A6382" t="str">
        <f>"1396907119"</f>
        <v>1396907119</v>
      </c>
      <c r="B6382" t="str">
        <f>"04179677"</f>
        <v>04179677</v>
      </c>
      <c r="C6382" t="s">
        <v>13436</v>
      </c>
      <c r="D6382" t="s">
        <v>29845</v>
      </c>
      <c r="E6382" t="s">
        <v>29846</v>
      </c>
      <c r="G6382" t="s">
        <v>29847</v>
      </c>
      <c r="L6382" t="s">
        <v>74</v>
      </c>
      <c r="M6382" t="s">
        <v>75</v>
      </c>
      <c r="R6382" t="s">
        <v>29848</v>
      </c>
      <c r="W6382" t="s">
        <v>29846</v>
      </c>
      <c r="X6382" t="s">
        <v>29849</v>
      </c>
      <c r="Y6382" t="s">
        <v>95</v>
      </c>
      <c r="Z6382" t="s">
        <v>77</v>
      </c>
      <c r="AA6382" t="str">
        <f>"12204"</f>
        <v>12204</v>
      </c>
      <c r="AB6382" t="s">
        <v>78</v>
      </c>
      <c r="AC6382" t="s">
        <v>79</v>
      </c>
      <c r="AD6382" t="s">
        <v>75</v>
      </c>
      <c r="AE6382" t="s">
        <v>80</v>
      </c>
      <c r="AG6382" t="s">
        <v>81</v>
      </c>
    </row>
    <row r="6383" spans="1:33" x14ac:dyDescent="0.25">
      <c r="A6383" t="str">
        <f>"1710038831"</f>
        <v>1710038831</v>
      </c>
      <c r="B6383" t="str">
        <f>"00350385"</f>
        <v>00350385</v>
      </c>
      <c r="C6383" t="s">
        <v>13436</v>
      </c>
      <c r="D6383" t="s">
        <v>29850</v>
      </c>
      <c r="E6383" t="s">
        <v>29851</v>
      </c>
      <c r="G6383" t="s">
        <v>29852</v>
      </c>
      <c r="L6383" t="s">
        <v>74</v>
      </c>
      <c r="M6383" t="s">
        <v>75</v>
      </c>
      <c r="R6383" t="s">
        <v>29853</v>
      </c>
      <c r="W6383" t="s">
        <v>29851</v>
      </c>
      <c r="X6383" t="s">
        <v>181</v>
      </c>
      <c r="Y6383" t="s">
        <v>97</v>
      </c>
      <c r="Z6383" t="s">
        <v>77</v>
      </c>
      <c r="AA6383" t="str">
        <f>"10025-1716"</f>
        <v>10025-1716</v>
      </c>
      <c r="AB6383" t="s">
        <v>78</v>
      </c>
      <c r="AC6383" t="s">
        <v>79</v>
      </c>
      <c r="AD6383" t="s">
        <v>75</v>
      </c>
      <c r="AE6383" t="s">
        <v>80</v>
      </c>
      <c r="AG6383" t="s">
        <v>81</v>
      </c>
    </row>
    <row r="6384" spans="1:33" x14ac:dyDescent="0.25">
      <c r="A6384" t="str">
        <f>"1710146337"</f>
        <v>1710146337</v>
      </c>
      <c r="B6384" t="str">
        <f>"03098313"</f>
        <v>03098313</v>
      </c>
      <c r="C6384" t="s">
        <v>13436</v>
      </c>
      <c r="D6384" t="s">
        <v>29854</v>
      </c>
      <c r="E6384" t="s">
        <v>29855</v>
      </c>
      <c r="G6384" t="s">
        <v>29856</v>
      </c>
      <c r="L6384" t="s">
        <v>105</v>
      </c>
      <c r="M6384" t="s">
        <v>85</v>
      </c>
      <c r="R6384" t="s">
        <v>29857</v>
      </c>
      <c r="W6384" t="s">
        <v>29858</v>
      </c>
      <c r="X6384" t="s">
        <v>11379</v>
      </c>
      <c r="Y6384" t="s">
        <v>97</v>
      </c>
      <c r="Z6384" t="s">
        <v>77</v>
      </c>
      <c r="AA6384" t="str">
        <f>"10029-6574"</f>
        <v>10029-6574</v>
      </c>
      <c r="AB6384" t="s">
        <v>78</v>
      </c>
      <c r="AC6384" t="s">
        <v>79</v>
      </c>
      <c r="AD6384" t="s">
        <v>75</v>
      </c>
      <c r="AE6384" t="s">
        <v>80</v>
      </c>
      <c r="AG6384" t="s">
        <v>81</v>
      </c>
    </row>
    <row r="6385" spans="1:33" x14ac:dyDescent="0.25">
      <c r="A6385" t="str">
        <f>"1710233390"</f>
        <v>1710233390</v>
      </c>
      <c r="B6385" t="str">
        <f>"03723448"</f>
        <v>03723448</v>
      </c>
      <c r="C6385" t="s">
        <v>13436</v>
      </c>
      <c r="D6385" t="s">
        <v>29859</v>
      </c>
      <c r="E6385" t="s">
        <v>29860</v>
      </c>
      <c r="G6385" t="s">
        <v>29861</v>
      </c>
      <c r="L6385" t="s">
        <v>74</v>
      </c>
      <c r="M6385" t="s">
        <v>75</v>
      </c>
      <c r="R6385" t="s">
        <v>29862</v>
      </c>
      <c r="W6385" t="s">
        <v>29860</v>
      </c>
      <c r="X6385" t="s">
        <v>6256</v>
      </c>
      <c r="Y6385" t="s">
        <v>97</v>
      </c>
      <c r="Z6385" t="s">
        <v>77</v>
      </c>
      <c r="AA6385" t="str">
        <f>"10128-5604"</f>
        <v>10128-5604</v>
      </c>
      <c r="AB6385" t="s">
        <v>78</v>
      </c>
      <c r="AC6385" t="s">
        <v>79</v>
      </c>
      <c r="AD6385" t="s">
        <v>75</v>
      </c>
      <c r="AE6385" t="s">
        <v>80</v>
      </c>
      <c r="AG6385" t="s">
        <v>81</v>
      </c>
    </row>
    <row r="6386" spans="1:33" x14ac:dyDescent="0.25">
      <c r="A6386" t="str">
        <f>"1710288535"</f>
        <v>1710288535</v>
      </c>
      <c r="B6386" t="str">
        <f>"03785022"</f>
        <v>03785022</v>
      </c>
      <c r="C6386" t="s">
        <v>13436</v>
      </c>
      <c r="D6386" t="s">
        <v>29863</v>
      </c>
      <c r="E6386" t="s">
        <v>29864</v>
      </c>
      <c r="G6386" t="s">
        <v>29865</v>
      </c>
      <c r="L6386" t="s">
        <v>83</v>
      </c>
      <c r="M6386" t="s">
        <v>75</v>
      </c>
      <c r="R6386" t="s">
        <v>29866</v>
      </c>
      <c r="W6386" t="s">
        <v>29864</v>
      </c>
      <c r="X6386" t="s">
        <v>329</v>
      </c>
      <c r="Y6386" t="s">
        <v>97</v>
      </c>
      <c r="Z6386" t="s">
        <v>77</v>
      </c>
      <c r="AA6386" t="str">
        <f>"10029-6504"</f>
        <v>10029-6504</v>
      </c>
      <c r="AB6386" t="s">
        <v>78</v>
      </c>
      <c r="AC6386" t="s">
        <v>79</v>
      </c>
      <c r="AD6386" t="s">
        <v>75</v>
      </c>
      <c r="AE6386" t="s">
        <v>80</v>
      </c>
      <c r="AG6386" t="s">
        <v>81</v>
      </c>
    </row>
    <row r="6387" spans="1:33" x14ac:dyDescent="0.25">
      <c r="A6387" t="str">
        <f>"1710969944"</f>
        <v>1710969944</v>
      </c>
      <c r="B6387" t="str">
        <f>"02127195"</f>
        <v>02127195</v>
      </c>
      <c r="C6387" t="s">
        <v>13436</v>
      </c>
      <c r="D6387" t="s">
        <v>29867</v>
      </c>
      <c r="E6387" t="s">
        <v>29868</v>
      </c>
      <c r="G6387" t="s">
        <v>29869</v>
      </c>
      <c r="L6387" t="s">
        <v>84</v>
      </c>
      <c r="M6387" t="s">
        <v>75</v>
      </c>
      <c r="R6387" t="s">
        <v>29870</v>
      </c>
      <c r="W6387" t="s">
        <v>29868</v>
      </c>
      <c r="X6387" t="s">
        <v>2587</v>
      </c>
      <c r="Y6387" t="s">
        <v>97</v>
      </c>
      <c r="Z6387" t="s">
        <v>77</v>
      </c>
      <c r="AA6387" t="str">
        <f>"10003-3314"</f>
        <v>10003-3314</v>
      </c>
      <c r="AB6387" t="s">
        <v>78</v>
      </c>
      <c r="AC6387" t="s">
        <v>79</v>
      </c>
      <c r="AD6387" t="s">
        <v>75</v>
      </c>
      <c r="AE6387" t="s">
        <v>80</v>
      </c>
      <c r="AG6387" t="s">
        <v>81</v>
      </c>
    </row>
    <row r="6388" spans="1:33" x14ac:dyDescent="0.25">
      <c r="A6388" t="str">
        <f>"1588981070"</f>
        <v>1588981070</v>
      </c>
      <c r="B6388" t="str">
        <f>"03267356"</f>
        <v>03267356</v>
      </c>
      <c r="C6388" t="s">
        <v>13436</v>
      </c>
      <c r="D6388" t="s">
        <v>29871</v>
      </c>
      <c r="E6388" t="s">
        <v>29872</v>
      </c>
      <c r="G6388" t="s">
        <v>29873</v>
      </c>
      <c r="L6388" t="s">
        <v>84</v>
      </c>
      <c r="M6388" t="s">
        <v>85</v>
      </c>
      <c r="R6388" t="s">
        <v>29874</v>
      </c>
      <c r="W6388" t="s">
        <v>29872</v>
      </c>
      <c r="X6388" t="s">
        <v>29875</v>
      </c>
      <c r="Y6388" t="s">
        <v>286</v>
      </c>
      <c r="Z6388" t="s">
        <v>77</v>
      </c>
      <c r="AA6388" t="str">
        <f>"11416-1527"</f>
        <v>11416-1527</v>
      </c>
      <c r="AB6388" t="s">
        <v>78</v>
      </c>
      <c r="AC6388" t="s">
        <v>79</v>
      </c>
      <c r="AD6388" t="s">
        <v>75</v>
      </c>
      <c r="AE6388" t="s">
        <v>80</v>
      </c>
      <c r="AG6388" t="s">
        <v>81</v>
      </c>
    </row>
    <row r="6389" spans="1:33" x14ac:dyDescent="0.25">
      <c r="A6389" t="str">
        <f>"1730206988"</f>
        <v>1730206988</v>
      </c>
      <c r="B6389" t="str">
        <f>"01042382"</f>
        <v>01042382</v>
      </c>
      <c r="C6389" t="s">
        <v>13436</v>
      </c>
      <c r="D6389" t="s">
        <v>29876</v>
      </c>
      <c r="E6389" t="s">
        <v>29877</v>
      </c>
      <c r="G6389" t="s">
        <v>29878</v>
      </c>
      <c r="L6389" t="s">
        <v>84</v>
      </c>
      <c r="M6389" t="s">
        <v>85</v>
      </c>
      <c r="R6389" t="s">
        <v>29879</v>
      </c>
      <c r="W6389" t="s">
        <v>29877</v>
      </c>
      <c r="X6389" t="s">
        <v>29880</v>
      </c>
      <c r="Y6389" t="s">
        <v>97</v>
      </c>
      <c r="Z6389" t="s">
        <v>77</v>
      </c>
      <c r="AA6389" t="str">
        <f>"10019-3018"</f>
        <v>10019-3018</v>
      </c>
      <c r="AB6389" t="s">
        <v>78</v>
      </c>
      <c r="AC6389" t="s">
        <v>79</v>
      </c>
      <c r="AD6389" t="s">
        <v>75</v>
      </c>
      <c r="AE6389" t="s">
        <v>80</v>
      </c>
      <c r="AG6389" t="s">
        <v>81</v>
      </c>
    </row>
    <row r="6390" spans="1:33" x14ac:dyDescent="0.25">
      <c r="A6390" t="str">
        <f>"1730284308"</f>
        <v>1730284308</v>
      </c>
      <c r="B6390" t="str">
        <f>"02164905"</f>
        <v>02164905</v>
      </c>
      <c r="C6390" t="s">
        <v>13436</v>
      </c>
      <c r="D6390" t="s">
        <v>948</v>
      </c>
      <c r="E6390" t="s">
        <v>947</v>
      </c>
      <c r="G6390" t="s">
        <v>29881</v>
      </c>
      <c r="L6390" t="s">
        <v>84</v>
      </c>
      <c r="M6390" t="s">
        <v>85</v>
      </c>
      <c r="R6390" t="s">
        <v>949</v>
      </c>
      <c r="W6390" t="s">
        <v>947</v>
      </c>
      <c r="X6390" t="s">
        <v>950</v>
      </c>
      <c r="Y6390" t="s">
        <v>97</v>
      </c>
      <c r="Z6390" t="s">
        <v>77</v>
      </c>
      <c r="AA6390" t="str">
        <f>"10011-8305"</f>
        <v>10011-8305</v>
      </c>
      <c r="AB6390" t="s">
        <v>78</v>
      </c>
      <c r="AC6390" t="s">
        <v>79</v>
      </c>
      <c r="AD6390" t="s">
        <v>75</v>
      </c>
      <c r="AE6390" t="s">
        <v>80</v>
      </c>
      <c r="AG6390" t="s">
        <v>81</v>
      </c>
    </row>
    <row r="6391" spans="1:33" x14ac:dyDescent="0.25">
      <c r="A6391" t="str">
        <f>"1730320508"</f>
        <v>1730320508</v>
      </c>
      <c r="B6391" t="str">
        <f>"03226166"</f>
        <v>03226166</v>
      </c>
      <c r="C6391" t="s">
        <v>13436</v>
      </c>
      <c r="D6391" t="s">
        <v>29882</v>
      </c>
      <c r="E6391" t="s">
        <v>29883</v>
      </c>
      <c r="G6391" t="s">
        <v>29884</v>
      </c>
      <c r="L6391" t="s">
        <v>83</v>
      </c>
      <c r="M6391" t="s">
        <v>85</v>
      </c>
      <c r="R6391" t="s">
        <v>29885</v>
      </c>
      <c r="W6391" t="s">
        <v>29883</v>
      </c>
      <c r="X6391" t="s">
        <v>200</v>
      </c>
      <c r="Y6391" t="s">
        <v>97</v>
      </c>
      <c r="Z6391" t="s">
        <v>77</v>
      </c>
      <c r="AA6391" t="str">
        <f>"10032-3720"</f>
        <v>10032-3720</v>
      </c>
      <c r="AB6391" t="s">
        <v>78</v>
      </c>
      <c r="AC6391" t="s">
        <v>79</v>
      </c>
      <c r="AD6391" t="s">
        <v>75</v>
      </c>
      <c r="AE6391" t="s">
        <v>80</v>
      </c>
      <c r="AG6391" t="s">
        <v>81</v>
      </c>
    </row>
    <row r="6392" spans="1:33" x14ac:dyDescent="0.25">
      <c r="A6392" t="str">
        <f>"1740216670"</f>
        <v>1740216670</v>
      </c>
      <c r="B6392" t="str">
        <f>"00701079"</f>
        <v>00701079</v>
      </c>
      <c r="C6392" t="s">
        <v>13436</v>
      </c>
      <c r="D6392" t="s">
        <v>29886</v>
      </c>
      <c r="E6392" t="s">
        <v>29887</v>
      </c>
      <c r="G6392" t="s">
        <v>29888</v>
      </c>
      <c r="L6392" t="s">
        <v>83</v>
      </c>
      <c r="M6392" t="s">
        <v>85</v>
      </c>
      <c r="R6392" t="s">
        <v>29889</v>
      </c>
      <c r="W6392" t="s">
        <v>29887</v>
      </c>
      <c r="X6392" t="s">
        <v>1076</v>
      </c>
      <c r="Y6392" t="s">
        <v>97</v>
      </c>
      <c r="Z6392" t="s">
        <v>77</v>
      </c>
      <c r="AA6392" t="str">
        <f>"10025-1737"</f>
        <v>10025-1737</v>
      </c>
      <c r="AB6392" t="s">
        <v>78</v>
      </c>
      <c r="AC6392" t="s">
        <v>79</v>
      </c>
      <c r="AD6392" t="s">
        <v>75</v>
      </c>
      <c r="AE6392" t="s">
        <v>80</v>
      </c>
      <c r="AG6392" t="s">
        <v>81</v>
      </c>
    </row>
    <row r="6393" spans="1:33" x14ac:dyDescent="0.25">
      <c r="A6393" t="str">
        <f>"1740225093"</f>
        <v>1740225093</v>
      </c>
      <c r="B6393" t="str">
        <f>"02364001"</f>
        <v>02364001</v>
      </c>
      <c r="C6393" t="s">
        <v>13436</v>
      </c>
      <c r="D6393" t="s">
        <v>29890</v>
      </c>
      <c r="E6393" t="s">
        <v>29891</v>
      </c>
      <c r="G6393" t="s">
        <v>29892</v>
      </c>
      <c r="L6393" t="s">
        <v>74</v>
      </c>
      <c r="M6393" t="s">
        <v>85</v>
      </c>
      <c r="R6393" t="s">
        <v>29893</v>
      </c>
      <c r="W6393" t="s">
        <v>29893</v>
      </c>
      <c r="X6393" t="s">
        <v>16708</v>
      </c>
      <c r="Y6393" t="s">
        <v>97</v>
      </c>
      <c r="Z6393" t="s">
        <v>77</v>
      </c>
      <c r="AA6393" t="str">
        <f>"10024-5116"</f>
        <v>10024-5116</v>
      </c>
      <c r="AB6393" t="s">
        <v>78</v>
      </c>
      <c r="AC6393" t="s">
        <v>79</v>
      </c>
      <c r="AD6393" t="s">
        <v>75</v>
      </c>
      <c r="AE6393" t="s">
        <v>80</v>
      </c>
      <c r="AG6393" t="s">
        <v>81</v>
      </c>
    </row>
    <row r="6394" spans="1:33" x14ac:dyDescent="0.25">
      <c r="A6394" t="str">
        <f>"1144529462"</f>
        <v>1144529462</v>
      </c>
      <c r="C6394" t="s">
        <v>13436</v>
      </c>
      <c r="G6394" t="s">
        <v>29894</v>
      </c>
      <c r="K6394" t="s">
        <v>99</v>
      </c>
      <c r="L6394" t="s">
        <v>102</v>
      </c>
      <c r="M6394" t="s">
        <v>75</v>
      </c>
      <c r="R6394" t="s">
        <v>29895</v>
      </c>
      <c r="S6394" t="s">
        <v>4614</v>
      </c>
      <c r="T6394" t="s">
        <v>4615</v>
      </c>
      <c r="U6394" t="s">
        <v>3878</v>
      </c>
      <c r="V6394" t="str">
        <f>"770304009"</f>
        <v>770304009</v>
      </c>
      <c r="AC6394" t="s">
        <v>79</v>
      </c>
      <c r="AD6394" t="s">
        <v>75</v>
      </c>
      <c r="AE6394" t="s">
        <v>103</v>
      </c>
      <c r="AG6394" t="s">
        <v>81</v>
      </c>
    </row>
    <row r="6395" spans="1:33" x14ac:dyDescent="0.25">
      <c r="A6395" t="str">
        <f>"1144543901"</f>
        <v>1144543901</v>
      </c>
      <c r="C6395" t="s">
        <v>13436</v>
      </c>
      <c r="G6395" t="s">
        <v>29896</v>
      </c>
      <c r="K6395" t="s">
        <v>99</v>
      </c>
      <c r="L6395" t="s">
        <v>74</v>
      </c>
      <c r="M6395" t="s">
        <v>75</v>
      </c>
      <c r="R6395" t="s">
        <v>29897</v>
      </c>
      <c r="S6395" t="s">
        <v>29898</v>
      </c>
      <c r="T6395" t="s">
        <v>97</v>
      </c>
      <c r="U6395" t="s">
        <v>77</v>
      </c>
      <c r="V6395" t="str">
        <f>"100296500"</f>
        <v>100296500</v>
      </c>
      <c r="AC6395" t="s">
        <v>79</v>
      </c>
      <c r="AD6395" t="s">
        <v>75</v>
      </c>
      <c r="AE6395" t="s">
        <v>103</v>
      </c>
      <c r="AG6395" t="s">
        <v>81</v>
      </c>
    </row>
    <row r="6396" spans="1:33" x14ac:dyDescent="0.25">
      <c r="A6396" t="str">
        <f>"1851321368"</f>
        <v>1851321368</v>
      </c>
      <c r="B6396" t="str">
        <f>"02196183"</f>
        <v>02196183</v>
      </c>
      <c r="C6396" t="s">
        <v>13436</v>
      </c>
      <c r="D6396" t="s">
        <v>29899</v>
      </c>
      <c r="E6396" t="s">
        <v>29900</v>
      </c>
      <c r="L6396" t="s">
        <v>74</v>
      </c>
      <c r="M6396" t="s">
        <v>85</v>
      </c>
      <c r="R6396" t="s">
        <v>29901</v>
      </c>
      <c r="W6396" t="s">
        <v>29900</v>
      </c>
      <c r="X6396" t="s">
        <v>329</v>
      </c>
      <c r="Y6396" t="s">
        <v>97</v>
      </c>
      <c r="Z6396" t="s">
        <v>77</v>
      </c>
      <c r="AA6396" t="str">
        <f>"10029-6504"</f>
        <v>10029-6504</v>
      </c>
      <c r="AB6396" t="s">
        <v>78</v>
      </c>
      <c r="AC6396" t="s">
        <v>79</v>
      </c>
      <c r="AD6396" t="s">
        <v>75</v>
      </c>
      <c r="AE6396" t="s">
        <v>80</v>
      </c>
      <c r="AG6396" t="s">
        <v>81</v>
      </c>
    </row>
    <row r="6397" spans="1:33" x14ac:dyDescent="0.25">
      <c r="A6397" t="str">
        <f>"1851333827"</f>
        <v>1851333827</v>
      </c>
      <c r="B6397" t="str">
        <f>"00697145"</f>
        <v>00697145</v>
      </c>
      <c r="C6397" t="s">
        <v>13436</v>
      </c>
      <c r="D6397" t="s">
        <v>29902</v>
      </c>
      <c r="E6397" t="s">
        <v>29903</v>
      </c>
      <c r="L6397" t="s">
        <v>83</v>
      </c>
      <c r="M6397" t="s">
        <v>75</v>
      </c>
      <c r="R6397" t="s">
        <v>29904</v>
      </c>
      <c r="W6397" t="s">
        <v>29905</v>
      </c>
      <c r="X6397" t="s">
        <v>29906</v>
      </c>
      <c r="Y6397" t="s">
        <v>141</v>
      </c>
      <c r="Z6397" t="s">
        <v>77</v>
      </c>
      <c r="AA6397" t="str">
        <f>"11377-5662"</f>
        <v>11377-5662</v>
      </c>
      <c r="AB6397" t="s">
        <v>128</v>
      </c>
      <c r="AC6397" t="s">
        <v>79</v>
      </c>
      <c r="AD6397" t="s">
        <v>75</v>
      </c>
      <c r="AE6397" t="s">
        <v>80</v>
      </c>
      <c r="AG6397" t="s">
        <v>81</v>
      </c>
    </row>
    <row r="6398" spans="1:33" x14ac:dyDescent="0.25">
      <c r="A6398" t="str">
        <f>"1851339311"</f>
        <v>1851339311</v>
      </c>
      <c r="B6398" t="str">
        <f>"02205567"</f>
        <v>02205567</v>
      </c>
      <c r="C6398" t="s">
        <v>13436</v>
      </c>
      <c r="D6398" t="s">
        <v>29907</v>
      </c>
      <c r="E6398" t="s">
        <v>29908</v>
      </c>
      <c r="G6398" t="s">
        <v>29909</v>
      </c>
      <c r="L6398" t="s">
        <v>84</v>
      </c>
      <c r="M6398" t="s">
        <v>85</v>
      </c>
      <c r="R6398" t="s">
        <v>29910</v>
      </c>
      <c r="W6398" t="s">
        <v>29908</v>
      </c>
      <c r="X6398" t="s">
        <v>2119</v>
      </c>
      <c r="Y6398" t="s">
        <v>236</v>
      </c>
      <c r="Z6398" t="s">
        <v>77</v>
      </c>
      <c r="AA6398" t="str">
        <f>"11103-3902"</f>
        <v>11103-3902</v>
      </c>
      <c r="AB6398" t="s">
        <v>78</v>
      </c>
      <c r="AC6398" t="s">
        <v>79</v>
      </c>
      <c r="AD6398" t="s">
        <v>75</v>
      </c>
      <c r="AE6398" t="s">
        <v>80</v>
      </c>
      <c r="AG6398" t="s">
        <v>81</v>
      </c>
    </row>
    <row r="6399" spans="1:33" x14ac:dyDescent="0.25">
      <c r="A6399" t="str">
        <f>"1023042132"</f>
        <v>1023042132</v>
      </c>
      <c r="B6399" t="str">
        <f>"00848935"</f>
        <v>00848935</v>
      </c>
      <c r="C6399" t="s">
        <v>13436</v>
      </c>
      <c r="D6399" t="s">
        <v>29911</v>
      </c>
      <c r="E6399" t="s">
        <v>29912</v>
      </c>
      <c r="G6399" t="s">
        <v>29913</v>
      </c>
      <c r="L6399" t="s">
        <v>74</v>
      </c>
      <c r="M6399" t="s">
        <v>85</v>
      </c>
      <c r="R6399" t="s">
        <v>29914</v>
      </c>
      <c r="W6399" t="s">
        <v>29912</v>
      </c>
      <c r="X6399" t="s">
        <v>29915</v>
      </c>
      <c r="Y6399" t="s">
        <v>97</v>
      </c>
      <c r="Z6399" t="s">
        <v>77</v>
      </c>
      <c r="AA6399" t="str">
        <f>"10003-2739"</f>
        <v>10003-2739</v>
      </c>
      <c r="AB6399" t="s">
        <v>78</v>
      </c>
      <c r="AC6399" t="s">
        <v>79</v>
      </c>
      <c r="AD6399" t="s">
        <v>75</v>
      </c>
      <c r="AE6399" t="s">
        <v>80</v>
      </c>
      <c r="AG6399" t="s">
        <v>81</v>
      </c>
    </row>
    <row r="6400" spans="1:33" x14ac:dyDescent="0.25">
      <c r="A6400" t="str">
        <f>"1033174263"</f>
        <v>1033174263</v>
      </c>
      <c r="B6400" t="str">
        <f>"01010342"</f>
        <v>01010342</v>
      </c>
      <c r="C6400" t="s">
        <v>13436</v>
      </c>
      <c r="D6400" t="s">
        <v>29916</v>
      </c>
      <c r="E6400" t="s">
        <v>29917</v>
      </c>
      <c r="G6400" t="s">
        <v>29918</v>
      </c>
      <c r="L6400" t="s">
        <v>74</v>
      </c>
      <c r="M6400" t="s">
        <v>85</v>
      </c>
      <c r="R6400" t="s">
        <v>29919</v>
      </c>
      <c r="W6400" t="s">
        <v>29917</v>
      </c>
      <c r="Y6400" t="s">
        <v>131</v>
      </c>
      <c r="Z6400" t="s">
        <v>77</v>
      </c>
      <c r="AA6400" t="str">
        <f>"10451-5589"</f>
        <v>10451-5589</v>
      </c>
      <c r="AB6400" t="s">
        <v>78</v>
      </c>
      <c r="AC6400" t="s">
        <v>79</v>
      </c>
      <c r="AD6400" t="s">
        <v>75</v>
      </c>
      <c r="AE6400" t="s">
        <v>80</v>
      </c>
      <c r="AG6400" t="s">
        <v>81</v>
      </c>
    </row>
    <row r="6401" spans="1:33" x14ac:dyDescent="0.25">
      <c r="A6401" t="str">
        <f>"1043295926"</f>
        <v>1043295926</v>
      </c>
      <c r="B6401" t="str">
        <f>"02420886"</f>
        <v>02420886</v>
      </c>
      <c r="C6401" t="s">
        <v>13436</v>
      </c>
      <c r="D6401" t="s">
        <v>29920</v>
      </c>
      <c r="E6401" t="s">
        <v>29921</v>
      </c>
      <c r="G6401" t="s">
        <v>29922</v>
      </c>
      <c r="L6401" t="s">
        <v>84</v>
      </c>
      <c r="M6401" t="s">
        <v>85</v>
      </c>
      <c r="R6401" t="s">
        <v>29923</v>
      </c>
      <c r="W6401" t="s">
        <v>29924</v>
      </c>
      <c r="X6401" t="s">
        <v>20802</v>
      </c>
      <c r="Y6401" t="s">
        <v>97</v>
      </c>
      <c r="Z6401" t="s">
        <v>77</v>
      </c>
      <c r="AA6401" t="str">
        <f>"10003-3804"</f>
        <v>10003-3804</v>
      </c>
      <c r="AB6401" t="s">
        <v>78</v>
      </c>
      <c r="AC6401" t="s">
        <v>79</v>
      </c>
      <c r="AD6401" t="s">
        <v>75</v>
      </c>
      <c r="AE6401" t="s">
        <v>80</v>
      </c>
      <c r="AG6401" t="s">
        <v>81</v>
      </c>
    </row>
    <row r="6402" spans="1:33" x14ac:dyDescent="0.25">
      <c r="A6402" t="str">
        <f>"1770546947"</f>
        <v>1770546947</v>
      </c>
      <c r="B6402" t="str">
        <f>"04107439"</f>
        <v>04107439</v>
      </c>
      <c r="C6402" t="s">
        <v>13436</v>
      </c>
      <c r="D6402" t="s">
        <v>29925</v>
      </c>
      <c r="E6402" t="s">
        <v>29926</v>
      </c>
      <c r="G6402" t="s">
        <v>29927</v>
      </c>
      <c r="L6402" t="s">
        <v>74</v>
      </c>
      <c r="M6402" t="s">
        <v>85</v>
      </c>
      <c r="R6402" t="s">
        <v>29928</v>
      </c>
      <c r="W6402" t="s">
        <v>29926</v>
      </c>
      <c r="X6402" t="s">
        <v>29502</v>
      </c>
      <c r="Y6402" t="s">
        <v>97</v>
      </c>
      <c r="Z6402" t="s">
        <v>77</v>
      </c>
      <c r="AA6402" t="str">
        <f>"10016-8728"</f>
        <v>10016-8728</v>
      </c>
      <c r="AB6402" t="s">
        <v>78</v>
      </c>
      <c r="AC6402" t="s">
        <v>79</v>
      </c>
      <c r="AD6402" t="s">
        <v>75</v>
      </c>
      <c r="AE6402" t="s">
        <v>80</v>
      </c>
      <c r="AG6402" t="s">
        <v>81</v>
      </c>
    </row>
    <row r="6403" spans="1:33" x14ac:dyDescent="0.25">
      <c r="A6403" t="str">
        <f>"1033352729"</f>
        <v>1033352729</v>
      </c>
      <c r="B6403" t="str">
        <f>"03668715"</f>
        <v>03668715</v>
      </c>
      <c r="C6403" t="s">
        <v>13436</v>
      </c>
      <c r="D6403" t="s">
        <v>29929</v>
      </c>
      <c r="E6403" t="s">
        <v>29930</v>
      </c>
      <c r="G6403" t="s">
        <v>29931</v>
      </c>
      <c r="L6403" t="s">
        <v>83</v>
      </c>
      <c r="M6403" t="s">
        <v>85</v>
      </c>
      <c r="R6403" t="s">
        <v>29930</v>
      </c>
      <c r="W6403" t="s">
        <v>29930</v>
      </c>
      <c r="X6403" t="s">
        <v>181</v>
      </c>
      <c r="Y6403" t="s">
        <v>97</v>
      </c>
      <c r="Z6403" t="s">
        <v>77</v>
      </c>
      <c r="AA6403" t="str">
        <f>"10025-1716"</f>
        <v>10025-1716</v>
      </c>
      <c r="AB6403" t="s">
        <v>78</v>
      </c>
      <c r="AC6403" t="s">
        <v>79</v>
      </c>
      <c r="AD6403" t="s">
        <v>75</v>
      </c>
      <c r="AE6403" t="s">
        <v>80</v>
      </c>
      <c r="AG6403" t="s">
        <v>81</v>
      </c>
    </row>
    <row r="6404" spans="1:33" x14ac:dyDescent="0.25">
      <c r="A6404" t="str">
        <f>"1033355052"</f>
        <v>1033355052</v>
      </c>
      <c r="B6404" t="str">
        <f>"03950025"</f>
        <v>03950025</v>
      </c>
      <c r="C6404" t="s">
        <v>13436</v>
      </c>
      <c r="D6404" t="s">
        <v>29932</v>
      </c>
      <c r="E6404" t="s">
        <v>29933</v>
      </c>
      <c r="G6404" t="s">
        <v>29934</v>
      </c>
      <c r="L6404" t="s">
        <v>83</v>
      </c>
      <c r="M6404" t="s">
        <v>85</v>
      </c>
      <c r="R6404" t="s">
        <v>29935</v>
      </c>
      <c r="W6404" t="s">
        <v>29933</v>
      </c>
      <c r="X6404" t="s">
        <v>29936</v>
      </c>
      <c r="Y6404" t="s">
        <v>152</v>
      </c>
      <c r="Z6404" t="s">
        <v>77</v>
      </c>
      <c r="AA6404" t="str">
        <f>"11375-0000"</f>
        <v>11375-0000</v>
      </c>
      <c r="AB6404" t="s">
        <v>78</v>
      </c>
      <c r="AC6404" t="s">
        <v>79</v>
      </c>
      <c r="AD6404" t="s">
        <v>75</v>
      </c>
      <c r="AE6404" t="s">
        <v>80</v>
      </c>
      <c r="AG6404" t="s">
        <v>81</v>
      </c>
    </row>
    <row r="6405" spans="1:33" x14ac:dyDescent="0.25">
      <c r="A6405" t="str">
        <f>"1033373675"</f>
        <v>1033373675</v>
      </c>
      <c r="B6405" t="str">
        <f>"03546430"</f>
        <v>03546430</v>
      </c>
      <c r="C6405" t="s">
        <v>13436</v>
      </c>
      <c r="D6405" t="s">
        <v>29937</v>
      </c>
      <c r="E6405" t="s">
        <v>29938</v>
      </c>
      <c r="G6405" t="s">
        <v>29939</v>
      </c>
      <c r="L6405" t="s">
        <v>83</v>
      </c>
      <c r="M6405" t="s">
        <v>85</v>
      </c>
      <c r="R6405" t="s">
        <v>29940</v>
      </c>
      <c r="W6405" t="s">
        <v>29941</v>
      </c>
      <c r="X6405" t="s">
        <v>1329</v>
      </c>
      <c r="Y6405" t="s">
        <v>97</v>
      </c>
      <c r="Z6405" t="s">
        <v>77</v>
      </c>
      <c r="AA6405" t="str">
        <f>"10037-1802"</f>
        <v>10037-1802</v>
      </c>
      <c r="AB6405" t="s">
        <v>78</v>
      </c>
      <c r="AC6405" t="s">
        <v>79</v>
      </c>
      <c r="AD6405" t="s">
        <v>75</v>
      </c>
      <c r="AE6405" t="s">
        <v>80</v>
      </c>
      <c r="AG6405" t="s">
        <v>81</v>
      </c>
    </row>
    <row r="6406" spans="1:33" x14ac:dyDescent="0.25">
      <c r="A6406" t="str">
        <f>"1033377213"</f>
        <v>1033377213</v>
      </c>
      <c r="B6406" t="str">
        <f>"03546687"</f>
        <v>03546687</v>
      </c>
      <c r="C6406" t="s">
        <v>13436</v>
      </c>
      <c r="D6406" t="s">
        <v>29942</v>
      </c>
      <c r="E6406" t="s">
        <v>29943</v>
      </c>
      <c r="G6406" t="s">
        <v>29944</v>
      </c>
      <c r="L6406" t="s">
        <v>83</v>
      </c>
      <c r="M6406" t="s">
        <v>85</v>
      </c>
      <c r="R6406" t="s">
        <v>29945</v>
      </c>
      <c r="W6406" t="s">
        <v>29943</v>
      </c>
      <c r="X6406" t="s">
        <v>2608</v>
      </c>
      <c r="Y6406" t="s">
        <v>97</v>
      </c>
      <c r="Z6406" t="s">
        <v>77</v>
      </c>
      <c r="AA6406" t="str">
        <f>"10003-4201"</f>
        <v>10003-4201</v>
      </c>
      <c r="AB6406" t="s">
        <v>78</v>
      </c>
      <c r="AC6406" t="s">
        <v>79</v>
      </c>
      <c r="AD6406" t="s">
        <v>75</v>
      </c>
      <c r="AE6406" t="s">
        <v>80</v>
      </c>
      <c r="AG6406" t="s">
        <v>81</v>
      </c>
    </row>
    <row r="6407" spans="1:33" x14ac:dyDescent="0.25">
      <c r="A6407" t="str">
        <f>"1033415674"</f>
        <v>1033415674</v>
      </c>
      <c r="B6407" t="str">
        <f>"03326414"</f>
        <v>03326414</v>
      </c>
      <c r="C6407" t="s">
        <v>13436</v>
      </c>
      <c r="D6407" t="s">
        <v>29946</v>
      </c>
      <c r="E6407" t="s">
        <v>29947</v>
      </c>
      <c r="G6407" t="s">
        <v>29948</v>
      </c>
      <c r="L6407" t="s">
        <v>74</v>
      </c>
      <c r="M6407" t="s">
        <v>85</v>
      </c>
      <c r="R6407" t="s">
        <v>29947</v>
      </c>
      <c r="W6407" t="s">
        <v>29947</v>
      </c>
      <c r="X6407" t="s">
        <v>638</v>
      </c>
      <c r="Y6407" t="s">
        <v>131</v>
      </c>
      <c r="Z6407" t="s">
        <v>77</v>
      </c>
      <c r="AA6407" t="str">
        <f>"10453-4303"</f>
        <v>10453-4303</v>
      </c>
      <c r="AB6407" t="s">
        <v>78</v>
      </c>
      <c r="AC6407" t="s">
        <v>79</v>
      </c>
      <c r="AD6407" t="s">
        <v>75</v>
      </c>
      <c r="AE6407" t="s">
        <v>80</v>
      </c>
      <c r="AG6407" t="s">
        <v>81</v>
      </c>
    </row>
    <row r="6408" spans="1:33" x14ac:dyDescent="0.25">
      <c r="A6408" t="str">
        <f>"1043261258"</f>
        <v>1043261258</v>
      </c>
      <c r="B6408" t="str">
        <f>"02474239"</f>
        <v>02474239</v>
      </c>
      <c r="C6408" t="s">
        <v>13436</v>
      </c>
      <c r="D6408" t="s">
        <v>29949</v>
      </c>
      <c r="E6408" t="s">
        <v>29950</v>
      </c>
      <c r="G6408" t="s">
        <v>29951</v>
      </c>
      <c r="L6408" t="s">
        <v>83</v>
      </c>
      <c r="M6408" t="s">
        <v>85</v>
      </c>
      <c r="R6408" t="s">
        <v>29952</v>
      </c>
      <c r="W6408" t="s">
        <v>29953</v>
      </c>
      <c r="X6408" t="s">
        <v>29954</v>
      </c>
      <c r="Y6408" t="s">
        <v>87</v>
      </c>
      <c r="Z6408" t="s">
        <v>77</v>
      </c>
      <c r="AA6408" t="str">
        <f>"11206-6007"</f>
        <v>11206-6007</v>
      </c>
      <c r="AB6408" t="s">
        <v>78</v>
      </c>
      <c r="AC6408" t="s">
        <v>79</v>
      </c>
      <c r="AD6408" t="s">
        <v>75</v>
      </c>
      <c r="AE6408" t="s">
        <v>80</v>
      </c>
      <c r="AG6408" t="s">
        <v>81</v>
      </c>
    </row>
    <row r="6409" spans="1:33" x14ac:dyDescent="0.25">
      <c r="A6409" t="str">
        <f>"1043402811"</f>
        <v>1043402811</v>
      </c>
      <c r="B6409" t="str">
        <f>"03122685"</f>
        <v>03122685</v>
      </c>
      <c r="C6409" t="s">
        <v>13436</v>
      </c>
      <c r="D6409" t="s">
        <v>29955</v>
      </c>
      <c r="E6409" t="s">
        <v>29956</v>
      </c>
      <c r="G6409" t="s">
        <v>29957</v>
      </c>
      <c r="L6409" t="s">
        <v>83</v>
      </c>
      <c r="M6409" t="s">
        <v>85</v>
      </c>
      <c r="R6409" t="s">
        <v>29958</v>
      </c>
      <c r="W6409" t="s">
        <v>29956</v>
      </c>
      <c r="X6409" t="s">
        <v>333</v>
      </c>
      <c r="Y6409" t="s">
        <v>97</v>
      </c>
      <c r="Z6409" t="s">
        <v>77</v>
      </c>
      <c r="AA6409" t="str">
        <f>"10016-9196"</f>
        <v>10016-9196</v>
      </c>
      <c r="AB6409" t="s">
        <v>78</v>
      </c>
      <c r="AC6409" t="s">
        <v>79</v>
      </c>
      <c r="AD6409" t="s">
        <v>75</v>
      </c>
      <c r="AE6409" t="s">
        <v>80</v>
      </c>
      <c r="AG6409" t="s">
        <v>81</v>
      </c>
    </row>
    <row r="6410" spans="1:33" x14ac:dyDescent="0.25">
      <c r="A6410" t="str">
        <f>"1043432727"</f>
        <v>1043432727</v>
      </c>
      <c r="B6410" t="str">
        <f>"02903262"</f>
        <v>02903262</v>
      </c>
      <c r="C6410" t="s">
        <v>13436</v>
      </c>
      <c r="D6410" t="s">
        <v>29959</v>
      </c>
      <c r="E6410" t="s">
        <v>29960</v>
      </c>
      <c r="G6410" t="s">
        <v>29961</v>
      </c>
      <c r="L6410" t="s">
        <v>74</v>
      </c>
      <c r="M6410" t="s">
        <v>85</v>
      </c>
      <c r="R6410" t="s">
        <v>29962</v>
      </c>
      <c r="W6410" t="s">
        <v>29960</v>
      </c>
      <c r="X6410" t="s">
        <v>1076</v>
      </c>
      <c r="Y6410" t="s">
        <v>97</v>
      </c>
      <c r="Z6410" t="s">
        <v>77</v>
      </c>
      <c r="AA6410" t="str">
        <f>"10025-1737"</f>
        <v>10025-1737</v>
      </c>
      <c r="AB6410" t="s">
        <v>78</v>
      </c>
      <c r="AC6410" t="s">
        <v>79</v>
      </c>
      <c r="AD6410" t="s">
        <v>75</v>
      </c>
      <c r="AE6410" t="s">
        <v>80</v>
      </c>
      <c r="AG6410" t="s">
        <v>81</v>
      </c>
    </row>
    <row r="6411" spans="1:33" x14ac:dyDescent="0.25">
      <c r="A6411" t="str">
        <f>"1043449671"</f>
        <v>1043449671</v>
      </c>
      <c r="B6411" t="str">
        <f>"03490264"</f>
        <v>03490264</v>
      </c>
      <c r="C6411" t="s">
        <v>13436</v>
      </c>
      <c r="D6411" t="s">
        <v>29963</v>
      </c>
      <c r="E6411" t="s">
        <v>29964</v>
      </c>
      <c r="G6411" t="s">
        <v>29965</v>
      </c>
      <c r="L6411" t="s">
        <v>74</v>
      </c>
      <c r="M6411" t="s">
        <v>85</v>
      </c>
      <c r="R6411" t="s">
        <v>29966</v>
      </c>
      <c r="W6411" t="s">
        <v>29964</v>
      </c>
      <c r="X6411" t="s">
        <v>6696</v>
      </c>
      <c r="Y6411" t="s">
        <v>97</v>
      </c>
      <c r="Z6411" t="s">
        <v>77</v>
      </c>
      <c r="AA6411" t="str">
        <f>"10003-0001"</f>
        <v>10003-0001</v>
      </c>
      <c r="AB6411" t="s">
        <v>78</v>
      </c>
      <c r="AC6411" t="s">
        <v>79</v>
      </c>
      <c r="AD6411" t="s">
        <v>75</v>
      </c>
      <c r="AE6411" t="s">
        <v>80</v>
      </c>
      <c r="AG6411" t="s">
        <v>81</v>
      </c>
    </row>
    <row r="6412" spans="1:33" x14ac:dyDescent="0.25">
      <c r="A6412" t="str">
        <f>"1043531866"</f>
        <v>1043531866</v>
      </c>
      <c r="B6412" t="str">
        <f>"03647023"</f>
        <v>03647023</v>
      </c>
      <c r="C6412" t="s">
        <v>13436</v>
      </c>
      <c r="D6412" t="s">
        <v>5157</v>
      </c>
      <c r="E6412" t="s">
        <v>5158</v>
      </c>
      <c r="G6412" t="s">
        <v>29967</v>
      </c>
      <c r="L6412" t="s">
        <v>83</v>
      </c>
      <c r="M6412" t="s">
        <v>85</v>
      </c>
      <c r="R6412" t="s">
        <v>5159</v>
      </c>
      <c r="W6412" t="s">
        <v>5158</v>
      </c>
      <c r="X6412" t="s">
        <v>5160</v>
      </c>
      <c r="Y6412" t="s">
        <v>97</v>
      </c>
      <c r="Z6412" t="s">
        <v>77</v>
      </c>
      <c r="AA6412" t="str">
        <f>"10025-0000"</f>
        <v>10025-0000</v>
      </c>
      <c r="AB6412" t="s">
        <v>78</v>
      </c>
      <c r="AC6412" t="s">
        <v>79</v>
      </c>
      <c r="AD6412" t="s">
        <v>75</v>
      </c>
      <c r="AE6412" t="s">
        <v>80</v>
      </c>
      <c r="AG6412" t="s">
        <v>81</v>
      </c>
    </row>
    <row r="6413" spans="1:33" x14ac:dyDescent="0.25">
      <c r="A6413" t="str">
        <f>"1073803243"</f>
        <v>1073803243</v>
      </c>
      <c r="C6413" t="s">
        <v>13436</v>
      </c>
      <c r="K6413" t="s">
        <v>99</v>
      </c>
      <c r="L6413" t="s">
        <v>102</v>
      </c>
      <c r="M6413" t="s">
        <v>75</v>
      </c>
      <c r="R6413" t="s">
        <v>29968</v>
      </c>
      <c r="S6413" t="s">
        <v>29969</v>
      </c>
      <c r="T6413" t="s">
        <v>13705</v>
      </c>
      <c r="U6413" t="s">
        <v>2595</v>
      </c>
      <c r="V6413" t="str">
        <f>"941430119"</f>
        <v>941430119</v>
      </c>
      <c r="AC6413" t="s">
        <v>79</v>
      </c>
      <c r="AD6413" t="s">
        <v>75</v>
      </c>
      <c r="AE6413" t="s">
        <v>103</v>
      </c>
      <c r="AG6413" t="s">
        <v>81</v>
      </c>
    </row>
    <row r="6414" spans="1:33" x14ac:dyDescent="0.25">
      <c r="A6414" t="str">
        <f>"1073806212"</f>
        <v>1073806212</v>
      </c>
      <c r="B6414" t="str">
        <f>"03821616"</f>
        <v>03821616</v>
      </c>
      <c r="C6414" t="s">
        <v>13436</v>
      </c>
      <c r="D6414" t="s">
        <v>29970</v>
      </c>
      <c r="E6414" t="s">
        <v>29971</v>
      </c>
      <c r="L6414" t="s">
        <v>102</v>
      </c>
      <c r="M6414" t="s">
        <v>75</v>
      </c>
      <c r="R6414" t="s">
        <v>29972</v>
      </c>
      <c r="W6414" t="s">
        <v>29971</v>
      </c>
      <c r="X6414" t="s">
        <v>306</v>
      </c>
      <c r="Y6414" t="s">
        <v>97</v>
      </c>
      <c r="Z6414" t="s">
        <v>77</v>
      </c>
      <c r="AA6414" t="str">
        <f>"10003-4201"</f>
        <v>10003-4201</v>
      </c>
      <c r="AB6414" t="s">
        <v>78</v>
      </c>
      <c r="AC6414" t="s">
        <v>79</v>
      </c>
      <c r="AD6414" t="s">
        <v>75</v>
      </c>
      <c r="AE6414" t="s">
        <v>80</v>
      </c>
      <c r="AG6414" t="s">
        <v>81</v>
      </c>
    </row>
    <row r="6415" spans="1:33" x14ac:dyDescent="0.25">
      <c r="A6415" t="str">
        <f>"1124058631"</f>
        <v>1124058631</v>
      </c>
      <c r="B6415" t="str">
        <f>"02157702"</f>
        <v>02157702</v>
      </c>
      <c r="C6415" t="s">
        <v>13436</v>
      </c>
      <c r="D6415" t="s">
        <v>29973</v>
      </c>
      <c r="E6415" t="s">
        <v>29974</v>
      </c>
      <c r="G6415" t="s">
        <v>29975</v>
      </c>
      <c r="L6415" t="s">
        <v>83</v>
      </c>
      <c r="M6415" t="s">
        <v>85</v>
      </c>
      <c r="R6415" t="s">
        <v>29976</v>
      </c>
      <c r="W6415" t="s">
        <v>29974</v>
      </c>
      <c r="X6415" t="s">
        <v>329</v>
      </c>
      <c r="Y6415" t="s">
        <v>97</v>
      </c>
      <c r="Z6415" t="s">
        <v>77</v>
      </c>
      <c r="AA6415" t="str">
        <f>"10029-6500"</f>
        <v>10029-6500</v>
      </c>
      <c r="AB6415" t="s">
        <v>78</v>
      </c>
      <c r="AC6415" t="s">
        <v>79</v>
      </c>
      <c r="AD6415" t="s">
        <v>75</v>
      </c>
      <c r="AE6415" t="s">
        <v>80</v>
      </c>
      <c r="AG6415" t="s">
        <v>81</v>
      </c>
    </row>
    <row r="6416" spans="1:33" x14ac:dyDescent="0.25">
      <c r="A6416" t="str">
        <f>"1700904539"</f>
        <v>1700904539</v>
      </c>
      <c r="B6416" t="str">
        <f>"02395820"</f>
        <v>02395820</v>
      </c>
      <c r="C6416" t="s">
        <v>13436</v>
      </c>
      <c r="D6416" t="s">
        <v>29977</v>
      </c>
      <c r="E6416" t="s">
        <v>29978</v>
      </c>
      <c r="G6416" t="s">
        <v>29979</v>
      </c>
      <c r="L6416" t="s">
        <v>74</v>
      </c>
      <c r="M6416" t="s">
        <v>75</v>
      </c>
      <c r="R6416" t="s">
        <v>29980</v>
      </c>
      <c r="W6416" t="s">
        <v>29978</v>
      </c>
      <c r="X6416" t="s">
        <v>1076</v>
      </c>
      <c r="Y6416" t="s">
        <v>97</v>
      </c>
      <c r="Z6416" t="s">
        <v>77</v>
      </c>
      <c r="AA6416" t="str">
        <f>"10025-1737"</f>
        <v>10025-1737</v>
      </c>
      <c r="AB6416" t="s">
        <v>125</v>
      </c>
      <c r="AC6416" t="s">
        <v>79</v>
      </c>
      <c r="AD6416" t="s">
        <v>75</v>
      </c>
      <c r="AE6416" t="s">
        <v>80</v>
      </c>
      <c r="AG6416" t="s">
        <v>81</v>
      </c>
    </row>
    <row r="6417" spans="1:33" x14ac:dyDescent="0.25">
      <c r="A6417" t="str">
        <f>"1710007281"</f>
        <v>1710007281</v>
      </c>
      <c r="B6417" t="str">
        <f>"02179615"</f>
        <v>02179615</v>
      </c>
      <c r="C6417" t="s">
        <v>13436</v>
      </c>
      <c r="D6417" t="s">
        <v>29981</v>
      </c>
      <c r="E6417" t="s">
        <v>29982</v>
      </c>
      <c r="G6417" t="s">
        <v>29983</v>
      </c>
      <c r="L6417" t="s">
        <v>84</v>
      </c>
      <c r="M6417" t="s">
        <v>75</v>
      </c>
      <c r="R6417" t="s">
        <v>29982</v>
      </c>
      <c r="W6417" t="s">
        <v>29982</v>
      </c>
      <c r="X6417" t="s">
        <v>175</v>
      </c>
      <c r="Y6417" t="s">
        <v>87</v>
      </c>
      <c r="Z6417" t="s">
        <v>77</v>
      </c>
      <c r="AA6417" t="str">
        <f>"11235-7745"</f>
        <v>11235-7745</v>
      </c>
      <c r="AB6417" t="s">
        <v>78</v>
      </c>
      <c r="AC6417" t="s">
        <v>79</v>
      </c>
      <c r="AD6417" t="s">
        <v>75</v>
      </c>
      <c r="AE6417" t="s">
        <v>80</v>
      </c>
      <c r="AG6417" t="s">
        <v>81</v>
      </c>
    </row>
    <row r="6418" spans="1:33" x14ac:dyDescent="0.25">
      <c r="A6418" t="str">
        <f>"1720302797"</f>
        <v>1720302797</v>
      </c>
      <c r="B6418" t="str">
        <f>"03668820"</f>
        <v>03668820</v>
      </c>
      <c r="C6418" t="s">
        <v>13436</v>
      </c>
      <c r="D6418" t="s">
        <v>29984</v>
      </c>
      <c r="E6418" t="s">
        <v>29985</v>
      </c>
      <c r="G6418" t="s">
        <v>29986</v>
      </c>
      <c r="L6418" t="s">
        <v>94</v>
      </c>
      <c r="M6418" t="s">
        <v>75</v>
      </c>
      <c r="R6418" t="s">
        <v>29987</v>
      </c>
      <c r="W6418" t="s">
        <v>29985</v>
      </c>
      <c r="X6418" t="s">
        <v>329</v>
      </c>
      <c r="Y6418" t="s">
        <v>97</v>
      </c>
      <c r="Z6418" t="s">
        <v>77</v>
      </c>
      <c r="AA6418" t="str">
        <f>"10029-6504"</f>
        <v>10029-6504</v>
      </c>
      <c r="AB6418" t="s">
        <v>78</v>
      </c>
      <c r="AC6418" t="s">
        <v>79</v>
      </c>
      <c r="AD6418" t="s">
        <v>75</v>
      </c>
      <c r="AE6418" t="s">
        <v>80</v>
      </c>
      <c r="AG6418" t="s">
        <v>81</v>
      </c>
    </row>
    <row r="6419" spans="1:33" x14ac:dyDescent="0.25">
      <c r="A6419" t="str">
        <f>"1720304066"</f>
        <v>1720304066</v>
      </c>
      <c r="B6419" t="str">
        <f>"03628517"</f>
        <v>03628517</v>
      </c>
      <c r="C6419" t="s">
        <v>13436</v>
      </c>
      <c r="D6419" t="s">
        <v>29988</v>
      </c>
      <c r="E6419" t="s">
        <v>29989</v>
      </c>
      <c r="G6419" t="s">
        <v>29990</v>
      </c>
      <c r="L6419" t="s">
        <v>84</v>
      </c>
      <c r="M6419" t="s">
        <v>85</v>
      </c>
      <c r="R6419" t="s">
        <v>29991</v>
      </c>
      <c r="W6419" t="s">
        <v>29989</v>
      </c>
      <c r="X6419" t="s">
        <v>11195</v>
      </c>
      <c r="Y6419" t="s">
        <v>97</v>
      </c>
      <c r="Z6419" t="s">
        <v>77</v>
      </c>
      <c r="AA6419" t="str">
        <f>"10029-6030"</f>
        <v>10029-6030</v>
      </c>
      <c r="AB6419" t="s">
        <v>78</v>
      </c>
      <c r="AC6419" t="s">
        <v>79</v>
      </c>
      <c r="AD6419" t="s">
        <v>75</v>
      </c>
      <c r="AE6419" t="s">
        <v>80</v>
      </c>
      <c r="AG6419" t="s">
        <v>81</v>
      </c>
    </row>
    <row r="6420" spans="1:33" x14ac:dyDescent="0.25">
      <c r="A6420" t="str">
        <f>"1720320112"</f>
        <v>1720320112</v>
      </c>
      <c r="B6420" t="str">
        <f>"04499318"</f>
        <v>04499318</v>
      </c>
      <c r="C6420" t="s">
        <v>13436</v>
      </c>
      <c r="D6420" t="s">
        <v>29992</v>
      </c>
      <c r="E6420" t="s">
        <v>29993</v>
      </c>
      <c r="G6420" t="s">
        <v>29994</v>
      </c>
      <c r="L6420" t="s">
        <v>102</v>
      </c>
      <c r="M6420" t="s">
        <v>75</v>
      </c>
      <c r="R6420" t="s">
        <v>29995</v>
      </c>
      <c r="W6420" t="s">
        <v>29993</v>
      </c>
      <c r="AB6420" t="s">
        <v>78</v>
      </c>
      <c r="AC6420" t="s">
        <v>79</v>
      </c>
      <c r="AD6420" t="s">
        <v>75</v>
      </c>
      <c r="AE6420" t="s">
        <v>80</v>
      </c>
      <c r="AG6420" t="s">
        <v>81</v>
      </c>
    </row>
    <row r="6421" spans="1:33" x14ac:dyDescent="0.25">
      <c r="A6421" t="str">
        <f>"1720371123"</f>
        <v>1720371123</v>
      </c>
      <c r="C6421" t="s">
        <v>13436</v>
      </c>
      <c r="G6421" t="s">
        <v>29996</v>
      </c>
      <c r="K6421" t="s">
        <v>99</v>
      </c>
      <c r="L6421" t="s">
        <v>102</v>
      </c>
      <c r="M6421" t="s">
        <v>75</v>
      </c>
      <c r="R6421" t="s">
        <v>29997</v>
      </c>
      <c r="S6421" t="s">
        <v>29998</v>
      </c>
      <c r="T6421" t="s">
        <v>97</v>
      </c>
      <c r="U6421" t="s">
        <v>77</v>
      </c>
      <c r="V6421" t="str">
        <f>"100251716"</f>
        <v>100251716</v>
      </c>
      <c r="AC6421" t="s">
        <v>79</v>
      </c>
      <c r="AD6421" t="s">
        <v>75</v>
      </c>
      <c r="AE6421" t="s">
        <v>103</v>
      </c>
      <c r="AG6421" t="s">
        <v>81</v>
      </c>
    </row>
    <row r="6422" spans="1:33" x14ac:dyDescent="0.25">
      <c r="A6422" t="str">
        <f>"1003884370"</f>
        <v>1003884370</v>
      </c>
      <c r="B6422" t="str">
        <f>"03064651"</f>
        <v>03064651</v>
      </c>
      <c r="C6422" t="s">
        <v>13436</v>
      </c>
      <c r="D6422" t="s">
        <v>29999</v>
      </c>
      <c r="E6422" t="s">
        <v>30000</v>
      </c>
      <c r="G6422" t="s">
        <v>30001</v>
      </c>
      <c r="L6422" t="s">
        <v>74</v>
      </c>
      <c r="M6422" t="s">
        <v>85</v>
      </c>
      <c r="R6422" t="s">
        <v>30002</v>
      </c>
      <c r="W6422" t="s">
        <v>30003</v>
      </c>
      <c r="X6422" t="s">
        <v>2718</v>
      </c>
      <c r="Y6422" t="s">
        <v>97</v>
      </c>
      <c r="Z6422" t="s">
        <v>77</v>
      </c>
      <c r="AA6422" t="str">
        <f>"10021-4872"</f>
        <v>10021-4872</v>
      </c>
      <c r="AB6422" t="s">
        <v>78</v>
      </c>
      <c r="AC6422" t="s">
        <v>79</v>
      </c>
      <c r="AD6422" t="s">
        <v>75</v>
      </c>
      <c r="AE6422" t="s">
        <v>80</v>
      </c>
      <c r="AG6422" t="s">
        <v>81</v>
      </c>
    </row>
    <row r="6423" spans="1:33" x14ac:dyDescent="0.25">
      <c r="A6423" t="str">
        <f>"1003891623"</f>
        <v>1003891623</v>
      </c>
      <c r="B6423" t="str">
        <f>"03013756"</f>
        <v>03013756</v>
      </c>
      <c r="C6423" t="s">
        <v>13436</v>
      </c>
      <c r="D6423" t="s">
        <v>30004</v>
      </c>
      <c r="E6423" t="s">
        <v>30005</v>
      </c>
      <c r="G6423" t="s">
        <v>30006</v>
      </c>
      <c r="L6423" t="s">
        <v>84</v>
      </c>
      <c r="M6423" t="s">
        <v>85</v>
      </c>
      <c r="R6423" t="s">
        <v>30007</v>
      </c>
      <c r="W6423" t="s">
        <v>4543</v>
      </c>
      <c r="X6423" t="s">
        <v>30008</v>
      </c>
      <c r="Y6423" t="s">
        <v>87</v>
      </c>
      <c r="Z6423" t="s">
        <v>77</v>
      </c>
      <c r="AA6423" t="str">
        <f>"11201-4236"</f>
        <v>11201-4236</v>
      </c>
      <c r="AB6423" t="s">
        <v>78</v>
      </c>
      <c r="AC6423" t="s">
        <v>79</v>
      </c>
      <c r="AD6423" t="s">
        <v>75</v>
      </c>
      <c r="AE6423" t="s">
        <v>80</v>
      </c>
      <c r="AG6423" t="s">
        <v>81</v>
      </c>
    </row>
    <row r="6424" spans="1:33" x14ac:dyDescent="0.25">
      <c r="A6424" t="str">
        <f>"1003901042"</f>
        <v>1003901042</v>
      </c>
      <c r="B6424" t="str">
        <f>"02873072"</f>
        <v>02873072</v>
      </c>
      <c r="C6424" t="s">
        <v>13436</v>
      </c>
      <c r="D6424" t="s">
        <v>30009</v>
      </c>
      <c r="E6424" t="s">
        <v>30010</v>
      </c>
      <c r="G6424" t="s">
        <v>30011</v>
      </c>
      <c r="L6424" t="s">
        <v>83</v>
      </c>
      <c r="M6424" t="s">
        <v>85</v>
      </c>
      <c r="R6424" t="s">
        <v>30012</v>
      </c>
      <c r="W6424" t="s">
        <v>30013</v>
      </c>
      <c r="X6424" t="s">
        <v>26768</v>
      </c>
      <c r="Y6424" t="s">
        <v>97</v>
      </c>
      <c r="Z6424" t="s">
        <v>77</v>
      </c>
      <c r="AA6424" t="str">
        <f>"10128"</f>
        <v>10128</v>
      </c>
      <c r="AB6424" t="s">
        <v>78</v>
      </c>
      <c r="AC6424" t="s">
        <v>79</v>
      </c>
      <c r="AD6424" t="s">
        <v>75</v>
      </c>
      <c r="AE6424" t="s">
        <v>80</v>
      </c>
      <c r="AG6424" t="s">
        <v>81</v>
      </c>
    </row>
    <row r="6425" spans="1:33" x14ac:dyDescent="0.25">
      <c r="A6425" t="str">
        <f>"1487652293"</f>
        <v>1487652293</v>
      </c>
      <c r="B6425" t="str">
        <f>"02634559"</f>
        <v>02634559</v>
      </c>
      <c r="C6425" t="s">
        <v>13436</v>
      </c>
      <c r="D6425" t="s">
        <v>30014</v>
      </c>
      <c r="E6425" t="s">
        <v>30015</v>
      </c>
      <c r="L6425" t="s">
        <v>83</v>
      </c>
      <c r="M6425" t="s">
        <v>85</v>
      </c>
      <c r="R6425" t="s">
        <v>30016</v>
      </c>
      <c r="W6425" t="s">
        <v>30015</v>
      </c>
      <c r="X6425" t="s">
        <v>27151</v>
      </c>
      <c r="Y6425" t="s">
        <v>97</v>
      </c>
      <c r="Z6425" t="s">
        <v>77</v>
      </c>
      <c r="AA6425" t="str">
        <f>"10029"</f>
        <v>10029</v>
      </c>
      <c r="AB6425" t="s">
        <v>78</v>
      </c>
      <c r="AC6425" t="s">
        <v>79</v>
      </c>
      <c r="AD6425" t="s">
        <v>75</v>
      </c>
      <c r="AE6425" t="s">
        <v>80</v>
      </c>
      <c r="AG6425" t="s">
        <v>81</v>
      </c>
    </row>
    <row r="6426" spans="1:33" x14ac:dyDescent="0.25">
      <c r="A6426" t="str">
        <f>"1487652343"</f>
        <v>1487652343</v>
      </c>
      <c r="B6426" t="str">
        <f>"00155862"</f>
        <v>00155862</v>
      </c>
      <c r="C6426" t="s">
        <v>13436</v>
      </c>
      <c r="D6426" t="s">
        <v>30017</v>
      </c>
      <c r="E6426" t="s">
        <v>30018</v>
      </c>
      <c r="G6426" t="s">
        <v>30019</v>
      </c>
      <c r="L6426" t="s">
        <v>84</v>
      </c>
      <c r="M6426" t="s">
        <v>85</v>
      </c>
      <c r="R6426" t="s">
        <v>30020</v>
      </c>
      <c r="W6426" t="s">
        <v>30018</v>
      </c>
      <c r="X6426" t="s">
        <v>1817</v>
      </c>
      <c r="Y6426" t="s">
        <v>1818</v>
      </c>
      <c r="Z6426" t="s">
        <v>77</v>
      </c>
      <c r="AA6426" t="str">
        <f>"11787-5005"</f>
        <v>11787-5005</v>
      </c>
      <c r="AB6426" t="s">
        <v>78</v>
      </c>
      <c r="AC6426" t="s">
        <v>79</v>
      </c>
      <c r="AD6426" t="s">
        <v>75</v>
      </c>
      <c r="AE6426" t="s">
        <v>80</v>
      </c>
      <c r="AG6426" t="s">
        <v>81</v>
      </c>
    </row>
    <row r="6427" spans="1:33" x14ac:dyDescent="0.25">
      <c r="A6427" t="str">
        <f>"1487654703"</f>
        <v>1487654703</v>
      </c>
      <c r="B6427" t="str">
        <f>"00390432"</f>
        <v>00390432</v>
      </c>
      <c r="C6427" t="s">
        <v>13436</v>
      </c>
      <c r="D6427" t="s">
        <v>30021</v>
      </c>
      <c r="E6427" t="s">
        <v>30022</v>
      </c>
      <c r="G6427" t="s">
        <v>30023</v>
      </c>
      <c r="L6427" t="s">
        <v>83</v>
      </c>
      <c r="M6427" t="s">
        <v>85</v>
      </c>
      <c r="R6427" t="s">
        <v>30024</v>
      </c>
      <c r="W6427" t="s">
        <v>30025</v>
      </c>
      <c r="X6427" t="s">
        <v>329</v>
      </c>
      <c r="Y6427" t="s">
        <v>97</v>
      </c>
      <c r="Z6427" t="s">
        <v>77</v>
      </c>
      <c r="AA6427" t="str">
        <f>"10029-6500"</f>
        <v>10029-6500</v>
      </c>
      <c r="AB6427" t="s">
        <v>78</v>
      </c>
      <c r="AC6427" t="s">
        <v>79</v>
      </c>
      <c r="AD6427" t="s">
        <v>75</v>
      </c>
      <c r="AE6427" t="s">
        <v>80</v>
      </c>
      <c r="AG6427" t="s">
        <v>81</v>
      </c>
    </row>
    <row r="6428" spans="1:33" x14ac:dyDescent="0.25">
      <c r="A6428" t="str">
        <f>"1487672044"</f>
        <v>1487672044</v>
      </c>
      <c r="B6428" t="str">
        <f>"01222013"</f>
        <v>01222013</v>
      </c>
      <c r="C6428" t="s">
        <v>13436</v>
      </c>
      <c r="D6428" t="s">
        <v>30026</v>
      </c>
      <c r="E6428" t="s">
        <v>30027</v>
      </c>
      <c r="G6428" t="s">
        <v>30028</v>
      </c>
      <c r="L6428" t="s">
        <v>83</v>
      </c>
      <c r="M6428" t="s">
        <v>85</v>
      </c>
      <c r="R6428" t="s">
        <v>30029</v>
      </c>
      <c r="W6428" t="s">
        <v>30027</v>
      </c>
      <c r="X6428" t="s">
        <v>30030</v>
      </c>
      <c r="Y6428" t="s">
        <v>97</v>
      </c>
      <c r="Z6428" t="s">
        <v>77</v>
      </c>
      <c r="AA6428" t="str">
        <f>"10029-6501"</f>
        <v>10029-6501</v>
      </c>
      <c r="AB6428" t="s">
        <v>78</v>
      </c>
      <c r="AC6428" t="s">
        <v>79</v>
      </c>
      <c r="AD6428" t="s">
        <v>75</v>
      </c>
      <c r="AE6428" t="s">
        <v>80</v>
      </c>
      <c r="AG6428" t="s">
        <v>81</v>
      </c>
    </row>
    <row r="6429" spans="1:33" x14ac:dyDescent="0.25">
      <c r="A6429" t="str">
        <f>"1487672119"</f>
        <v>1487672119</v>
      </c>
      <c r="B6429" t="str">
        <f>"00651450"</f>
        <v>00651450</v>
      </c>
      <c r="C6429" t="s">
        <v>13436</v>
      </c>
      <c r="D6429" t="s">
        <v>30031</v>
      </c>
      <c r="E6429" t="s">
        <v>30032</v>
      </c>
      <c r="G6429" t="s">
        <v>30033</v>
      </c>
      <c r="L6429" t="s">
        <v>84</v>
      </c>
      <c r="M6429" t="s">
        <v>85</v>
      </c>
      <c r="R6429" t="s">
        <v>30034</v>
      </c>
      <c r="W6429" t="s">
        <v>30032</v>
      </c>
      <c r="Y6429" t="s">
        <v>87</v>
      </c>
      <c r="Z6429" t="s">
        <v>77</v>
      </c>
      <c r="AA6429" t="str">
        <f>"11201-5493"</f>
        <v>11201-5493</v>
      </c>
      <c r="AB6429" t="s">
        <v>78</v>
      </c>
      <c r="AC6429" t="s">
        <v>79</v>
      </c>
      <c r="AD6429" t="s">
        <v>75</v>
      </c>
      <c r="AE6429" t="s">
        <v>80</v>
      </c>
      <c r="AG6429" t="s">
        <v>81</v>
      </c>
    </row>
    <row r="6430" spans="1:33" x14ac:dyDescent="0.25">
      <c r="A6430" t="str">
        <f>"1487673554"</f>
        <v>1487673554</v>
      </c>
      <c r="B6430" t="str">
        <f>"02045307"</f>
        <v>02045307</v>
      </c>
      <c r="C6430" t="s">
        <v>13436</v>
      </c>
      <c r="D6430" t="s">
        <v>30035</v>
      </c>
      <c r="E6430" t="s">
        <v>30036</v>
      </c>
      <c r="G6430" t="s">
        <v>30037</v>
      </c>
      <c r="L6430" t="s">
        <v>84</v>
      </c>
      <c r="M6430" t="s">
        <v>85</v>
      </c>
      <c r="R6430" t="s">
        <v>30038</v>
      </c>
      <c r="W6430" t="s">
        <v>30036</v>
      </c>
      <c r="X6430" t="s">
        <v>11176</v>
      </c>
      <c r="Y6430" t="s">
        <v>97</v>
      </c>
      <c r="Z6430" t="s">
        <v>77</v>
      </c>
      <c r="AA6430" t="str">
        <f>"10029-6542"</f>
        <v>10029-6542</v>
      </c>
      <c r="AB6430" t="s">
        <v>78</v>
      </c>
      <c r="AC6430" t="s">
        <v>79</v>
      </c>
      <c r="AD6430" t="s">
        <v>75</v>
      </c>
      <c r="AE6430" t="s">
        <v>80</v>
      </c>
      <c r="AG6430" t="s">
        <v>81</v>
      </c>
    </row>
    <row r="6431" spans="1:33" x14ac:dyDescent="0.25">
      <c r="A6431" t="str">
        <f>"1750388146"</f>
        <v>1750388146</v>
      </c>
      <c r="B6431" t="str">
        <f>"02000273"</f>
        <v>02000273</v>
      </c>
      <c r="C6431" t="s">
        <v>13436</v>
      </c>
      <c r="D6431" t="s">
        <v>30039</v>
      </c>
      <c r="E6431" t="s">
        <v>30040</v>
      </c>
      <c r="G6431" t="s">
        <v>30041</v>
      </c>
      <c r="L6431" t="s">
        <v>83</v>
      </c>
      <c r="M6431" t="s">
        <v>85</v>
      </c>
      <c r="R6431" t="s">
        <v>30042</v>
      </c>
      <c r="W6431" t="s">
        <v>30040</v>
      </c>
      <c r="X6431" t="s">
        <v>30043</v>
      </c>
      <c r="Y6431" t="s">
        <v>161</v>
      </c>
      <c r="Z6431" t="s">
        <v>77</v>
      </c>
      <c r="AA6431" t="str">
        <f>"11042-1087"</f>
        <v>11042-1087</v>
      </c>
      <c r="AB6431" t="s">
        <v>78</v>
      </c>
      <c r="AC6431" t="s">
        <v>79</v>
      </c>
      <c r="AD6431" t="s">
        <v>75</v>
      </c>
      <c r="AE6431" t="s">
        <v>80</v>
      </c>
      <c r="AG6431" t="s">
        <v>81</v>
      </c>
    </row>
    <row r="6432" spans="1:33" x14ac:dyDescent="0.25">
      <c r="A6432" t="str">
        <f>"1750589180"</f>
        <v>1750589180</v>
      </c>
      <c r="B6432" t="str">
        <f>"02900310"</f>
        <v>02900310</v>
      </c>
      <c r="C6432" t="s">
        <v>13436</v>
      </c>
      <c r="D6432" t="s">
        <v>30044</v>
      </c>
      <c r="E6432" t="s">
        <v>30045</v>
      </c>
      <c r="G6432" t="s">
        <v>30046</v>
      </c>
      <c r="L6432" t="s">
        <v>84</v>
      </c>
      <c r="M6432" t="s">
        <v>85</v>
      </c>
      <c r="R6432" t="s">
        <v>30047</v>
      </c>
      <c r="W6432" t="s">
        <v>30045</v>
      </c>
      <c r="X6432" t="s">
        <v>30048</v>
      </c>
      <c r="Y6432" t="s">
        <v>97</v>
      </c>
      <c r="Z6432" t="s">
        <v>77</v>
      </c>
      <c r="AA6432" t="str">
        <f>"10029-6501"</f>
        <v>10029-6501</v>
      </c>
      <c r="AB6432" t="s">
        <v>78</v>
      </c>
      <c r="AC6432" t="s">
        <v>79</v>
      </c>
      <c r="AD6432" t="s">
        <v>75</v>
      </c>
      <c r="AE6432" t="s">
        <v>80</v>
      </c>
      <c r="AG6432" t="s">
        <v>81</v>
      </c>
    </row>
    <row r="6433" spans="1:33" x14ac:dyDescent="0.25">
      <c r="A6433" t="str">
        <f>"1841408721"</f>
        <v>1841408721</v>
      </c>
      <c r="B6433" t="str">
        <f>"03258179"</f>
        <v>03258179</v>
      </c>
      <c r="C6433" t="s">
        <v>13436</v>
      </c>
      <c r="D6433" t="s">
        <v>30049</v>
      </c>
      <c r="E6433" t="s">
        <v>30050</v>
      </c>
      <c r="G6433" t="s">
        <v>30051</v>
      </c>
      <c r="L6433" t="s">
        <v>84</v>
      </c>
      <c r="M6433" t="s">
        <v>85</v>
      </c>
      <c r="R6433" t="s">
        <v>30050</v>
      </c>
      <c r="W6433" t="s">
        <v>30050</v>
      </c>
      <c r="X6433" t="s">
        <v>30052</v>
      </c>
      <c r="Y6433" t="s">
        <v>87</v>
      </c>
      <c r="Z6433" t="s">
        <v>77</v>
      </c>
      <c r="AA6433" t="str">
        <f>"11230-6401"</f>
        <v>11230-6401</v>
      </c>
      <c r="AB6433" t="s">
        <v>78</v>
      </c>
      <c r="AC6433" t="s">
        <v>79</v>
      </c>
      <c r="AD6433" t="s">
        <v>75</v>
      </c>
      <c r="AE6433" t="s">
        <v>80</v>
      </c>
      <c r="AG6433" t="s">
        <v>81</v>
      </c>
    </row>
    <row r="6434" spans="1:33" x14ac:dyDescent="0.25">
      <c r="A6434" t="str">
        <f>"1437393741"</f>
        <v>1437393741</v>
      </c>
      <c r="B6434" t="str">
        <f>"04010528"</f>
        <v>04010528</v>
      </c>
      <c r="C6434" t="s">
        <v>13436</v>
      </c>
      <c r="D6434" t="s">
        <v>30053</v>
      </c>
      <c r="E6434" t="s">
        <v>30054</v>
      </c>
      <c r="L6434" t="s">
        <v>102</v>
      </c>
      <c r="M6434" t="s">
        <v>75</v>
      </c>
      <c r="R6434" t="s">
        <v>30054</v>
      </c>
      <c r="W6434" t="s">
        <v>30054</v>
      </c>
      <c r="X6434" t="s">
        <v>1455</v>
      </c>
      <c r="Y6434" t="s">
        <v>91</v>
      </c>
      <c r="Z6434" t="s">
        <v>77</v>
      </c>
      <c r="AA6434" t="str">
        <f>"11373-1329"</f>
        <v>11373-1329</v>
      </c>
      <c r="AB6434" t="s">
        <v>78</v>
      </c>
      <c r="AC6434" t="s">
        <v>79</v>
      </c>
      <c r="AD6434" t="s">
        <v>75</v>
      </c>
      <c r="AE6434" t="s">
        <v>80</v>
      </c>
      <c r="AG6434" t="s">
        <v>81</v>
      </c>
    </row>
    <row r="6435" spans="1:33" x14ac:dyDescent="0.25">
      <c r="A6435" t="str">
        <f>"1437415239"</f>
        <v>1437415239</v>
      </c>
      <c r="C6435" t="s">
        <v>13436</v>
      </c>
      <c r="K6435" t="s">
        <v>99</v>
      </c>
      <c r="L6435" t="s">
        <v>102</v>
      </c>
      <c r="M6435" t="s">
        <v>75</v>
      </c>
      <c r="R6435" t="s">
        <v>30055</v>
      </c>
      <c r="S6435" t="s">
        <v>30056</v>
      </c>
      <c r="T6435" t="s">
        <v>97</v>
      </c>
      <c r="U6435" t="s">
        <v>77</v>
      </c>
      <c r="V6435" t="str">
        <f>"100296500"</f>
        <v>100296500</v>
      </c>
      <c r="AC6435" t="s">
        <v>79</v>
      </c>
      <c r="AD6435" t="s">
        <v>75</v>
      </c>
      <c r="AE6435" t="s">
        <v>103</v>
      </c>
      <c r="AG6435" t="s">
        <v>81</v>
      </c>
    </row>
    <row r="6436" spans="1:33" x14ac:dyDescent="0.25">
      <c r="A6436" t="str">
        <f>"1316264740"</f>
        <v>1316264740</v>
      </c>
      <c r="B6436" t="str">
        <f>"04102310"</f>
        <v>04102310</v>
      </c>
      <c r="C6436" t="s">
        <v>13436</v>
      </c>
      <c r="D6436" t="s">
        <v>30057</v>
      </c>
      <c r="E6436" t="s">
        <v>30058</v>
      </c>
      <c r="L6436" t="s">
        <v>105</v>
      </c>
      <c r="M6436" t="s">
        <v>75</v>
      </c>
      <c r="R6436" t="s">
        <v>30058</v>
      </c>
      <c r="W6436" t="s">
        <v>30058</v>
      </c>
      <c r="X6436" t="s">
        <v>329</v>
      </c>
      <c r="Y6436" t="s">
        <v>97</v>
      </c>
      <c r="Z6436" t="s">
        <v>77</v>
      </c>
      <c r="AA6436" t="str">
        <f>"10029-6504"</f>
        <v>10029-6504</v>
      </c>
      <c r="AB6436" t="s">
        <v>78</v>
      </c>
      <c r="AC6436" t="s">
        <v>79</v>
      </c>
      <c r="AD6436" t="s">
        <v>75</v>
      </c>
      <c r="AE6436" t="s">
        <v>80</v>
      </c>
      <c r="AG6436" t="s">
        <v>81</v>
      </c>
    </row>
    <row r="6437" spans="1:33" x14ac:dyDescent="0.25">
      <c r="A6437" t="str">
        <f>"1003849118"</f>
        <v>1003849118</v>
      </c>
      <c r="B6437" t="str">
        <f>"02126561"</f>
        <v>02126561</v>
      </c>
      <c r="C6437" t="s">
        <v>13436</v>
      </c>
      <c r="D6437" t="s">
        <v>30059</v>
      </c>
      <c r="E6437" t="s">
        <v>30060</v>
      </c>
      <c r="G6437" t="s">
        <v>30061</v>
      </c>
      <c r="L6437" t="s">
        <v>84</v>
      </c>
      <c r="M6437" t="s">
        <v>75</v>
      </c>
      <c r="R6437" t="s">
        <v>30062</v>
      </c>
      <c r="W6437" t="s">
        <v>30060</v>
      </c>
      <c r="X6437" t="s">
        <v>6051</v>
      </c>
      <c r="Y6437" t="s">
        <v>87</v>
      </c>
      <c r="Z6437" t="s">
        <v>77</v>
      </c>
      <c r="AA6437" t="str">
        <f>"11201-6004"</f>
        <v>11201-6004</v>
      </c>
      <c r="AB6437" t="s">
        <v>78</v>
      </c>
      <c r="AC6437" t="s">
        <v>79</v>
      </c>
      <c r="AD6437" t="s">
        <v>75</v>
      </c>
      <c r="AE6437" t="s">
        <v>80</v>
      </c>
      <c r="AG6437" t="s">
        <v>81</v>
      </c>
    </row>
    <row r="6438" spans="1:33" x14ac:dyDescent="0.25">
      <c r="A6438" t="str">
        <f>"1609876911"</f>
        <v>1609876911</v>
      </c>
      <c r="B6438" t="str">
        <f>"00507433"</f>
        <v>00507433</v>
      </c>
      <c r="C6438" t="s">
        <v>13436</v>
      </c>
      <c r="D6438" t="s">
        <v>30063</v>
      </c>
      <c r="E6438" t="s">
        <v>30064</v>
      </c>
      <c r="G6438" t="s">
        <v>30065</v>
      </c>
      <c r="L6438" t="s">
        <v>83</v>
      </c>
      <c r="M6438" t="s">
        <v>85</v>
      </c>
      <c r="R6438" t="s">
        <v>30066</v>
      </c>
      <c r="W6438" t="s">
        <v>30064</v>
      </c>
      <c r="Y6438" t="s">
        <v>97</v>
      </c>
      <c r="Z6438" t="s">
        <v>77</v>
      </c>
      <c r="AA6438" t="str">
        <f>"10029-6500"</f>
        <v>10029-6500</v>
      </c>
      <c r="AB6438" t="s">
        <v>78</v>
      </c>
      <c r="AC6438" t="s">
        <v>79</v>
      </c>
      <c r="AD6438" t="s">
        <v>75</v>
      </c>
      <c r="AE6438" t="s">
        <v>80</v>
      </c>
      <c r="AG6438" t="s">
        <v>81</v>
      </c>
    </row>
    <row r="6439" spans="1:33" x14ac:dyDescent="0.25">
      <c r="A6439" t="str">
        <f>"1619046620"</f>
        <v>1619046620</v>
      </c>
      <c r="B6439" t="str">
        <f>"03154698"</f>
        <v>03154698</v>
      </c>
      <c r="C6439" t="s">
        <v>13436</v>
      </c>
      <c r="D6439" t="s">
        <v>30067</v>
      </c>
      <c r="E6439" t="s">
        <v>30068</v>
      </c>
      <c r="G6439" t="s">
        <v>30069</v>
      </c>
      <c r="L6439" t="s">
        <v>74</v>
      </c>
      <c r="M6439" t="s">
        <v>75</v>
      </c>
      <c r="R6439" t="s">
        <v>30068</v>
      </c>
      <c r="W6439" t="s">
        <v>30068</v>
      </c>
      <c r="X6439" t="s">
        <v>235</v>
      </c>
      <c r="Y6439" t="s">
        <v>190</v>
      </c>
      <c r="Z6439" t="s">
        <v>77</v>
      </c>
      <c r="AA6439" t="str">
        <f>"11102-2448"</f>
        <v>11102-2448</v>
      </c>
      <c r="AB6439" t="s">
        <v>78</v>
      </c>
      <c r="AC6439" t="s">
        <v>79</v>
      </c>
      <c r="AD6439" t="s">
        <v>75</v>
      </c>
      <c r="AE6439" t="s">
        <v>80</v>
      </c>
      <c r="AG6439" t="s">
        <v>81</v>
      </c>
    </row>
    <row r="6440" spans="1:33" x14ac:dyDescent="0.25">
      <c r="A6440" t="str">
        <f>"1619083524"</f>
        <v>1619083524</v>
      </c>
      <c r="B6440" t="str">
        <f>"02552716"</f>
        <v>02552716</v>
      </c>
      <c r="C6440" t="s">
        <v>13436</v>
      </c>
      <c r="D6440" t="s">
        <v>30070</v>
      </c>
      <c r="E6440" t="s">
        <v>30071</v>
      </c>
      <c r="G6440" t="s">
        <v>30072</v>
      </c>
      <c r="L6440" t="s">
        <v>84</v>
      </c>
      <c r="M6440" t="s">
        <v>85</v>
      </c>
      <c r="R6440" t="s">
        <v>30073</v>
      </c>
      <c r="W6440" t="s">
        <v>30071</v>
      </c>
      <c r="X6440" t="s">
        <v>6014</v>
      </c>
      <c r="Y6440" t="s">
        <v>180</v>
      </c>
      <c r="Z6440" t="s">
        <v>77</v>
      </c>
      <c r="AA6440" t="str">
        <f>"10701-1303"</f>
        <v>10701-1303</v>
      </c>
      <c r="AB6440" t="s">
        <v>78</v>
      </c>
      <c r="AC6440" t="s">
        <v>79</v>
      </c>
      <c r="AD6440" t="s">
        <v>75</v>
      </c>
      <c r="AE6440" t="s">
        <v>80</v>
      </c>
      <c r="AG6440" t="s">
        <v>81</v>
      </c>
    </row>
    <row r="6441" spans="1:33" x14ac:dyDescent="0.25">
      <c r="A6441" t="str">
        <f>"1619099850"</f>
        <v>1619099850</v>
      </c>
      <c r="B6441" t="str">
        <f>"03422511"</f>
        <v>03422511</v>
      </c>
      <c r="C6441" t="s">
        <v>13436</v>
      </c>
      <c r="D6441" t="s">
        <v>30074</v>
      </c>
      <c r="E6441" t="s">
        <v>30075</v>
      </c>
      <c r="G6441" t="s">
        <v>30076</v>
      </c>
      <c r="L6441" t="s">
        <v>83</v>
      </c>
      <c r="M6441" t="s">
        <v>75</v>
      </c>
      <c r="R6441" t="s">
        <v>30077</v>
      </c>
      <c r="W6441" t="s">
        <v>30075</v>
      </c>
      <c r="X6441" t="s">
        <v>329</v>
      </c>
      <c r="Y6441" t="s">
        <v>97</v>
      </c>
      <c r="Z6441" t="s">
        <v>77</v>
      </c>
      <c r="AA6441" t="str">
        <f>"10029-6500"</f>
        <v>10029-6500</v>
      </c>
      <c r="AB6441" t="s">
        <v>78</v>
      </c>
      <c r="AC6441" t="s">
        <v>79</v>
      </c>
      <c r="AD6441" t="s">
        <v>75</v>
      </c>
      <c r="AE6441" t="s">
        <v>80</v>
      </c>
      <c r="AG6441" t="s">
        <v>81</v>
      </c>
    </row>
    <row r="6442" spans="1:33" x14ac:dyDescent="0.25">
      <c r="A6442" t="str">
        <f>"1174765457"</f>
        <v>1174765457</v>
      </c>
      <c r="B6442" t="str">
        <f>"03641247"</f>
        <v>03641247</v>
      </c>
      <c r="C6442" t="s">
        <v>13436</v>
      </c>
      <c r="D6442" t="s">
        <v>30078</v>
      </c>
      <c r="E6442" t="s">
        <v>30079</v>
      </c>
      <c r="L6442" t="s">
        <v>105</v>
      </c>
      <c r="M6442" t="s">
        <v>85</v>
      </c>
      <c r="R6442" t="s">
        <v>30080</v>
      </c>
      <c r="W6442" t="s">
        <v>30081</v>
      </c>
      <c r="X6442" t="s">
        <v>329</v>
      </c>
      <c r="Y6442" t="s">
        <v>97</v>
      </c>
      <c r="Z6442" t="s">
        <v>77</v>
      </c>
      <c r="AA6442" t="str">
        <f>"10029-6504"</f>
        <v>10029-6504</v>
      </c>
      <c r="AB6442" t="s">
        <v>78</v>
      </c>
      <c r="AC6442" t="s">
        <v>79</v>
      </c>
      <c r="AD6442" t="s">
        <v>75</v>
      </c>
      <c r="AE6442" t="s">
        <v>80</v>
      </c>
      <c r="AG6442" t="s">
        <v>81</v>
      </c>
    </row>
    <row r="6443" spans="1:33" x14ac:dyDescent="0.25">
      <c r="A6443" t="str">
        <f>"1174784870"</f>
        <v>1174784870</v>
      </c>
      <c r="B6443" t="str">
        <f>"03731371"</f>
        <v>03731371</v>
      </c>
      <c r="C6443" t="s">
        <v>13436</v>
      </c>
      <c r="D6443" t="s">
        <v>30082</v>
      </c>
      <c r="E6443" t="s">
        <v>30083</v>
      </c>
      <c r="L6443" t="s">
        <v>74</v>
      </c>
      <c r="M6443" t="s">
        <v>75</v>
      </c>
      <c r="R6443" t="s">
        <v>30084</v>
      </c>
      <c r="W6443" t="s">
        <v>30083</v>
      </c>
      <c r="X6443" t="s">
        <v>30085</v>
      </c>
      <c r="Y6443" t="s">
        <v>97</v>
      </c>
      <c r="Z6443" t="s">
        <v>77</v>
      </c>
      <c r="AA6443" t="str">
        <f>"10003-3314"</f>
        <v>10003-3314</v>
      </c>
      <c r="AB6443" t="s">
        <v>78</v>
      </c>
      <c r="AC6443" t="s">
        <v>79</v>
      </c>
      <c r="AD6443" t="s">
        <v>75</v>
      </c>
      <c r="AE6443" t="s">
        <v>80</v>
      </c>
      <c r="AG6443" t="s">
        <v>81</v>
      </c>
    </row>
    <row r="6444" spans="1:33" x14ac:dyDescent="0.25">
      <c r="A6444" t="str">
        <f>"1174787477"</f>
        <v>1174787477</v>
      </c>
      <c r="C6444" t="s">
        <v>13436</v>
      </c>
      <c r="K6444" t="s">
        <v>99</v>
      </c>
      <c r="L6444" t="s">
        <v>102</v>
      </c>
      <c r="M6444" t="s">
        <v>75</v>
      </c>
      <c r="R6444" t="s">
        <v>30086</v>
      </c>
      <c r="S6444" t="s">
        <v>30087</v>
      </c>
      <c r="T6444" t="s">
        <v>97</v>
      </c>
      <c r="U6444" t="s">
        <v>77</v>
      </c>
      <c r="V6444" t="str">
        <f>"100296500"</f>
        <v>100296500</v>
      </c>
      <c r="AC6444" t="s">
        <v>79</v>
      </c>
      <c r="AD6444" t="s">
        <v>75</v>
      </c>
      <c r="AE6444" t="s">
        <v>103</v>
      </c>
      <c r="AG6444" t="s">
        <v>81</v>
      </c>
    </row>
    <row r="6445" spans="1:33" x14ac:dyDescent="0.25">
      <c r="A6445" t="str">
        <f>"1174814362"</f>
        <v>1174814362</v>
      </c>
      <c r="C6445" t="s">
        <v>13436</v>
      </c>
      <c r="K6445" t="s">
        <v>99</v>
      </c>
      <c r="L6445" t="s">
        <v>74</v>
      </c>
      <c r="M6445" t="s">
        <v>75</v>
      </c>
      <c r="R6445" t="s">
        <v>30088</v>
      </c>
      <c r="S6445" t="s">
        <v>30089</v>
      </c>
      <c r="T6445" t="s">
        <v>30090</v>
      </c>
      <c r="U6445" t="s">
        <v>1784</v>
      </c>
      <c r="V6445" t="str">
        <f>"187110027"</f>
        <v>187110027</v>
      </c>
      <c r="AC6445" t="s">
        <v>79</v>
      </c>
      <c r="AD6445" t="s">
        <v>75</v>
      </c>
      <c r="AE6445" t="s">
        <v>103</v>
      </c>
      <c r="AG6445" t="s">
        <v>81</v>
      </c>
    </row>
    <row r="6446" spans="1:33" x14ac:dyDescent="0.25">
      <c r="A6446" t="str">
        <f>"1174814933"</f>
        <v>1174814933</v>
      </c>
      <c r="B6446" t="str">
        <f>"04272804"</f>
        <v>04272804</v>
      </c>
      <c r="C6446" t="s">
        <v>13436</v>
      </c>
      <c r="D6446" t="s">
        <v>30091</v>
      </c>
      <c r="E6446" t="s">
        <v>30092</v>
      </c>
      <c r="L6446" t="s">
        <v>74</v>
      </c>
      <c r="M6446" t="s">
        <v>75</v>
      </c>
      <c r="R6446" t="s">
        <v>30093</v>
      </c>
      <c r="W6446" t="s">
        <v>30094</v>
      </c>
      <c r="X6446" t="s">
        <v>1810</v>
      </c>
      <c r="Y6446" t="s">
        <v>95</v>
      </c>
      <c r="Z6446" t="s">
        <v>77</v>
      </c>
      <c r="AA6446" t="str">
        <f>"12205-1427"</f>
        <v>12205-1427</v>
      </c>
      <c r="AB6446" t="s">
        <v>78</v>
      </c>
      <c r="AC6446" t="s">
        <v>79</v>
      </c>
      <c r="AD6446" t="s">
        <v>75</v>
      </c>
      <c r="AE6446" t="s">
        <v>80</v>
      </c>
      <c r="AG6446" t="s">
        <v>81</v>
      </c>
    </row>
    <row r="6447" spans="1:33" x14ac:dyDescent="0.25">
      <c r="A6447" t="str">
        <f>"1174815096"</f>
        <v>1174815096</v>
      </c>
      <c r="C6447" t="s">
        <v>13436</v>
      </c>
      <c r="K6447" t="s">
        <v>99</v>
      </c>
      <c r="L6447" t="s">
        <v>102</v>
      </c>
      <c r="M6447" t="s">
        <v>75</v>
      </c>
      <c r="R6447" t="s">
        <v>30095</v>
      </c>
      <c r="S6447" t="s">
        <v>329</v>
      </c>
      <c r="T6447" t="s">
        <v>97</v>
      </c>
      <c r="U6447" t="s">
        <v>77</v>
      </c>
      <c r="V6447" t="str">
        <f>"100296500"</f>
        <v>100296500</v>
      </c>
      <c r="AC6447" t="s">
        <v>79</v>
      </c>
      <c r="AD6447" t="s">
        <v>75</v>
      </c>
      <c r="AE6447" t="s">
        <v>103</v>
      </c>
      <c r="AG6447" t="s">
        <v>81</v>
      </c>
    </row>
    <row r="6448" spans="1:33" x14ac:dyDescent="0.25">
      <c r="A6448" t="str">
        <f>"1174816789"</f>
        <v>1174816789</v>
      </c>
      <c r="C6448" t="s">
        <v>13436</v>
      </c>
      <c r="K6448" t="s">
        <v>99</v>
      </c>
      <c r="L6448" t="s">
        <v>102</v>
      </c>
      <c r="M6448" t="s">
        <v>75</v>
      </c>
      <c r="R6448" t="s">
        <v>30096</v>
      </c>
      <c r="S6448" t="s">
        <v>30097</v>
      </c>
      <c r="T6448" t="s">
        <v>97</v>
      </c>
      <c r="U6448" t="s">
        <v>77</v>
      </c>
      <c r="V6448" t="str">
        <f>"100033314"</f>
        <v>100033314</v>
      </c>
      <c r="AC6448" t="s">
        <v>79</v>
      </c>
      <c r="AD6448" t="s">
        <v>75</v>
      </c>
      <c r="AE6448" t="s">
        <v>103</v>
      </c>
      <c r="AG6448" t="s">
        <v>81</v>
      </c>
    </row>
    <row r="6449" spans="1:33" x14ac:dyDescent="0.25">
      <c r="A6449" t="str">
        <f>"1760470280"</f>
        <v>1760470280</v>
      </c>
      <c r="B6449" t="str">
        <f>"02057894"</f>
        <v>02057894</v>
      </c>
      <c r="C6449" t="s">
        <v>13436</v>
      </c>
      <c r="D6449" t="s">
        <v>30098</v>
      </c>
      <c r="E6449" t="s">
        <v>30099</v>
      </c>
      <c r="G6449" t="s">
        <v>30100</v>
      </c>
      <c r="L6449" t="s">
        <v>74</v>
      </c>
      <c r="M6449" t="s">
        <v>85</v>
      </c>
      <c r="R6449" t="s">
        <v>30101</v>
      </c>
      <c r="W6449" t="s">
        <v>30099</v>
      </c>
      <c r="X6449" t="s">
        <v>989</v>
      </c>
      <c r="Y6449" t="s">
        <v>97</v>
      </c>
      <c r="Z6449" t="s">
        <v>77</v>
      </c>
      <c r="AA6449" t="str">
        <f>"10011-5903"</f>
        <v>10011-5903</v>
      </c>
      <c r="AB6449" t="s">
        <v>78</v>
      </c>
      <c r="AC6449" t="s">
        <v>79</v>
      </c>
      <c r="AD6449" t="s">
        <v>75</v>
      </c>
      <c r="AE6449" t="s">
        <v>80</v>
      </c>
      <c r="AG6449" t="s">
        <v>81</v>
      </c>
    </row>
    <row r="6450" spans="1:33" x14ac:dyDescent="0.25">
      <c r="A6450" t="str">
        <f>"1760641633"</f>
        <v>1760641633</v>
      </c>
      <c r="B6450" t="str">
        <f>"03136798"</f>
        <v>03136798</v>
      </c>
      <c r="C6450" t="s">
        <v>13436</v>
      </c>
      <c r="D6450" t="s">
        <v>30102</v>
      </c>
      <c r="E6450" t="s">
        <v>30103</v>
      </c>
      <c r="G6450" t="s">
        <v>30104</v>
      </c>
      <c r="L6450" t="s">
        <v>83</v>
      </c>
      <c r="M6450" t="s">
        <v>85</v>
      </c>
      <c r="R6450" t="s">
        <v>30103</v>
      </c>
      <c r="W6450" t="s">
        <v>30105</v>
      </c>
      <c r="X6450" t="s">
        <v>159</v>
      </c>
      <c r="Y6450" t="s">
        <v>160</v>
      </c>
      <c r="Z6450" t="s">
        <v>77</v>
      </c>
      <c r="AA6450" t="str">
        <f>"11030-3816"</f>
        <v>11030-3816</v>
      </c>
      <c r="AB6450" t="s">
        <v>78</v>
      </c>
      <c r="AC6450" t="s">
        <v>79</v>
      </c>
      <c r="AD6450" t="s">
        <v>75</v>
      </c>
      <c r="AE6450" t="s">
        <v>80</v>
      </c>
      <c r="AG6450" t="s">
        <v>81</v>
      </c>
    </row>
    <row r="6451" spans="1:33" x14ac:dyDescent="0.25">
      <c r="A6451" t="str">
        <f>"1770574055"</f>
        <v>1770574055</v>
      </c>
      <c r="B6451" t="str">
        <f>"00949519"</f>
        <v>00949519</v>
      </c>
      <c r="C6451" t="s">
        <v>13436</v>
      </c>
      <c r="D6451" t="s">
        <v>30106</v>
      </c>
      <c r="E6451" t="s">
        <v>30107</v>
      </c>
      <c r="G6451" t="s">
        <v>30108</v>
      </c>
      <c r="L6451" t="s">
        <v>83</v>
      </c>
      <c r="M6451" t="s">
        <v>85</v>
      </c>
      <c r="R6451" t="s">
        <v>30109</v>
      </c>
      <c r="W6451" t="s">
        <v>30107</v>
      </c>
      <c r="X6451" t="s">
        <v>28069</v>
      </c>
      <c r="Y6451" t="s">
        <v>97</v>
      </c>
      <c r="Z6451" t="s">
        <v>77</v>
      </c>
      <c r="AA6451" t="str">
        <f>"10019-1701"</f>
        <v>10019-1701</v>
      </c>
      <c r="AB6451" t="s">
        <v>78</v>
      </c>
      <c r="AC6451" t="s">
        <v>79</v>
      </c>
      <c r="AD6451" t="s">
        <v>75</v>
      </c>
      <c r="AE6451" t="s">
        <v>80</v>
      </c>
      <c r="AG6451" t="s">
        <v>81</v>
      </c>
    </row>
    <row r="6452" spans="1:33" x14ac:dyDescent="0.25">
      <c r="A6452" t="str">
        <f>"1588920052"</f>
        <v>1588920052</v>
      </c>
      <c r="C6452" t="s">
        <v>13436</v>
      </c>
      <c r="K6452" t="s">
        <v>99</v>
      </c>
      <c r="L6452" t="s">
        <v>102</v>
      </c>
      <c r="M6452" t="s">
        <v>75</v>
      </c>
      <c r="R6452" t="s">
        <v>30110</v>
      </c>
      <c r="S6452" t="s">
        <v>4521</v>
      </c>
      <c r="T6452" t="s">
        <v>97</v>
      </c>
      <c r="U6452" t="s">
        <v>77</v>
      </c>
      <c r="V6452" t="str">
        <f>"100251737"</f>
        <v>100251737</v>
      </c>
      <c r="AC6452" t="s">
        <v>79</v>
      </c>
      <c r="AD6452" t="s">
        <v>75</v>
      </c>
      <c r="AE6452" t="s">
        <v>103</v>
      </c>
      <c r="AG6452" t="s">
        <v>81</v>
      </c>
    </row>
    <row r="6453" spans="1:33" x14ac:dyDescent="0.25">
      <c r="A6453" t="str">
        <f>"1588920078"</f>
        <v>1588920078</v>
      </c>
      <c r="B6453" t="str">
        <f>"04389575"</f>
        <v>04389575</v>
      </c>
      <c r="C6453" t="s">
        <v>13436</v>
      </c>
      <c r="D6453" t="s">
        <v>30111</v>
      </c>
      <c r="E6453" t="s">
        <v>30112</v>
      </c>
      <c r="L6453" t="s">
        <v>102</v>
      </c>
      <c r="M6453" t="s">
        <v>75</v>
      </c>
      <c r="R6453" t="s">
        <v>30113</v>
      </c>
      <c r="W6453" t="s">
        <v>30112</v>
      </c>
      <c r="X6453" t="s">
        <v>6074</v>
      </c>
      <c r="Y6453" t="s">
        <v>91</v>
      </c>
      <c r="Z6453" t="s">
        <v>77</v>
      </c>
      <c r="AA6453" t="str">
        <f>"11373-1329"</f>
        <v>11373-1329</v>
      </c>
      <c r="AB6453" t="s">
        <v>78</v>
      </c>
      <c r="AC6453" t="s">
        <v>79</v>
      </c>
      <c r="AD6453" t="s">
        <v>75</v>
      </c>
      <c r="AE6453" t="s">
        <v>80</v>
      </c>
      <c r="AG6453" t="s">
        <v>81</v>
      </c>
    </row>
    <row r="6454" spans="1:33" x14ac:dyDescent="0.25">
      <c r="A6454" t="str">
        <f>"1588922579"</f>
        <v>1588922579</v>
      </c>
      <c r="C6454" t="s">
        <v>13436</v>
      </c>
      <c r="K6454" t="s">
        <v>99</v>
      </c>
      <c r="L6454" t="s">
        <v>102</v>
      </c>
      <c r="M6454" t="s">
        <v>75</v>
      </c>
      <c r="R6454" t="s">
        <v>30114</v>
      </c>
      <c r="S6454" t="s">
        <v>30115</v>
      </c>
      <c r="T6454" t="s">
        <v>3877</v>
      </c>
      <c r="U6454" t="s">
        <v>3878</v>
      </c>
      <c r="V6454" t="str">
        <f>"782405613"</f>
        <v>782405613</v>
      </c>
      <c r="AC6454" t="s">
        <v>79</v>
      </c>
      <c r="AD6454" t="s">
        <v>75</v>
      </c>
      <c r="AE6454" t="s">
        <v>103</v>
      </c>
      <c r="AG6454" t="s">
        <v>81</v>
      </c>
    </row>
    <row r="6455" spans="1:33" x14ac:dyDescent="0.25">
      <c r="A6455" t="str">
        <f>"1588930275"</f>
        <v>1588930275</v>
      </c>
      <c r="C6455" t="s">
        <v>13436</v>
      </c>
      <c r="K6455" t="s">
        <v>99</v>
      </c>
      <c r="L6455" t="s">
        <v>102</v>
      </c>
      <c r="M6455" t="s">
        <v>75</v>
      </c>
      <c r="R6455" t="s">
        <v>30116</v>
      </c>
      <c r="S6455" t="s">
        <v>30117</v>
      </c>
      <c r="T6455" t="s">
        <v>97</v>
      </c>
      <c r="U6455" t="s">
        <v>77</v>
      </c>
      <c r="V6455" t="str">
        <f>"100191043"</f>
        <v>100191043</v>
      </c>
      <c r="AC6455" t="s">
        <v>79</v>
      </c>
      <c r="AD6455" t="s">
        <v>75</v>
      </c>
      <c r="AE6455" t="s">
        <v>103</v>
      </c>
      <c r="AG6455" t="s">
        <v>81</v>
      </c>
    </row>
    <row r="6456" spans="1:33" x14ac:dyDescent="0.25">
      <c r="A6456" t="str">
        <f>"1033140298"</f>
        <v>1033140298</v>
      </c>
      <c r="B6456" t="str">
        <f>"02698319"</f>
        <v>02698319</v>
      </c>
      <c r="C6456" t="s">
        <v>13436</v>
      </c>
      <c r="D6456" t="s">
        <v>30118</v>
      </c>
      <c r="E6456" t="s">
        <v>30119</v>
      </c>
      <c r="G6456" t="s">
        <v>30120</v>
      </c>
      <c r="L6456" t="s">
        <v>83</v>
      </c>
      <c r="M6456" t="s">
        <v>85</v>
      </c>
      <c r="R6456" t="s">
        <v>30121</v>
      </c>
      <c r="W6456" t="s">
        <v>30119</v>
      </c>
      <c r="X6456" t="s">
        <v>443</v>
      </c>
      <c r="Y6456" t="s">
        <v>97</v>
      </c>
      <c r="Z6456" t="s">
        <v>77</v>
      </c>
      <c r="AA6456" t="str">
        <f>"10075-1850"</f>
        <v>10075-1850</v>
      </c>
      <c r="AB6456" t="s">
        <v>78</v>
      </c>
      <c r="AC6456" t="s">
        <v>79</v>
      </c>
      <c r="AD6456" t="s">
        <v>75</v>
      </c>
      <c r="AE6456" t="s">
        <v>80</v>
      </c>
      <c r="AG6456" t="s">
        <v>81</v>
      </c>
    </row>
    <row r="6457" spans="1:33" x14ac:dyDescent="0.25">
      <c r="A6457" t="str">
        <f>"1518281401"</f>
        <v>1518281401</v>
      </c>
      <c r="B6457" t="str">
        <f>"03712636"</f>
        <v>03712636</v>
      </c>
      <c r="C6457" t="s">
        <v>13436</v>
      </c>
      <c r="D6457" t="s">
        <v>30122</v>
      </c>
      <c r="E6457" t="s">
        <v>30123</v>
      </c>
      <c r="L6457" t="s">
        <v>74</v>
      </c>
      <c r="M6457" t="s">
        <v>75</v>
      </c>
      <c r="R6457" t="s">
        <v>30124</v>
      </c>
      <c r="W6457" t="s">
        <v>30123</v>
      </c>
      <c r="X6457" t="s">
        <v>30125</v>
      </c>
      <c r="Y6457" t="s">
        <v>87</v>
      </c>
      <c r="Z6457" t="s">
        <v>77</v>
      </c>
      <c r="AA6457" t="str">
        <f>"11224-2770"</f>
        <v>11224-2770</v>
      </c>
      <c r="AB6457" t="s">
        <v>128</v>
      </c>
      <c r="AC6457" t="s">
        <v>79</v>
      </c>
      <c r="AD6457" t="s">
        <v>75</v>
      </c>
      <c r="AE6457" t="s">
        <v>80</v>
      </c>
      <c r="AG6457" t="s">
        <v>81</v>
      </c>
    </row>
    <row r="6458" spans="1:33" x14ac:dyDescent="0.25">
      <c r="A6458" t="str">
        <f>"1518283738"</f>
        <v>1518283738</v>
      </c>
      <c r="B6458" t="str">
        <f>"03829334"</f>
        <v>03829334</v>
      </c>
      <c r="C6458" t="s">
        <v>13436</v>
      </c>
      <c r="D6458" t="s">
        <v>30126</v>
      </c>
      <c r="E6458" t="s">
        <v>30127</v>
      </c>
      <c r="L6458" t="s">
        <v>74</v>
      </c>
      <c r="M6458" t="s">
        <v>75</v>
      </c>
      <c r="R6458" t="s">
        <v>30128</v>
      </c>
      <c r="W6458" t="s">
        <v>30127</v>
      </c>
      <c r="X6458" t="s">
        <v>30129</v>
      </c>
      <c r="Y6458" t="s">
        <v>97</v>
      </c>
      <c r="Z6458" t="s">
        <v>77</v>
      </c>
      <c r="AA6458" t="str">
        <f>"10003-0000"</f>
        <v>10003-0000</v>
      </c>
      <c r="AB6458" t="s">
        <v>78</v>
      </c>
      <c r="AC6458" t="s">
        <v>79</v>
      </c>
      <c r="AD6458" t="s">
        <v>75</v>
      </c>
      <c r="AE6458" t="s">
        <v>80</v>
      </c>
      <c r="AG6458" t="s">
        <v>81</v>
      </c>
    </row>
    <row r="6459" spans="1:33" x14ac:dyDescent="0.25">
      <c r="A6459" t="str">
        <f>"1518285956"</f>
        <v>1518285956</v>
      </c>
      <c r="C6459" t="s">
        <v>13436</v>
      </c>
      <c r="K6459" t="s">
        <v>99</v>
      </c>
      <c r="L6459" t="s">
        <v>102</v>
      </c>
      <c r="M6459" t="s">
        <v>75</v>
      </c>
      <c r="R6459" t="s">
        <v>30130</v>
      </c>
      <c r="S6459" t="s">
        <v>30131</v>
      </c>
      <c r="T6459" t="s">
        <v>4646</v>
      </c>
      <c r="U6459" t="s">
        <v>4647</v>
      </c>
      <c r="V6459" t="str">
        <f>"303294021"</f>
        <v>303294021</v>
      </c>
      <c r="AC6459" t="s">
        <v>79</v>
      </c>
      <c r="AD6459" t="s">
        <v>75</v>
      </c>
      <c r="AE6459" t="s">
        <v>103</v>
      </c>
      <c r="AG6459" t="s">
        <v>81</v>
      </c>
    </row>
    <row r="6460" spans="1:33" x14ac:dyDescent="0.25">
      <c r="A6460" t="str">
        <f>"1518288950"</f>
        <v>1518288950</v>
      </c>
      <c r="B6460" t="str">
        <f>"03536225"</f>
        <v>03536225</v>
      </c>
      <c r="C6460" t="s">
        <v>13436</v>
      </c>
      <c r="D6460" t="s">
        <v>30132</v>
      </c>
      <c r="E6460" t="s">
        <v>30133</v>
      </c>
      <c r="G6460" t="s">
        <v>30134</v>
      </c>
      <c r="L6460" t="s">
        <v>94</v>
      </c>
      <c r="M6460" t="s">
        <v>75</v>
      </c>
      <c r="R6460" t="s">
        <v>30133</v>
      </c>
      <c r="W6460" t="s">
        <v>30133</v>
      </c>
      <c r="X6460" t="s">
        <v>21087</v>
      </c>
      <c r="Y6460" t="s">
        <v>97</v>
      </c>
      <c r="Z6460" t="s">
        <v>77</v>
      </c>
      <c r="AA6460" t="str">
        <f>"10011-5368"</f>
        <v>10011-5368</v>
      </c>
      <c r="AB6460" t="s">
        <v>78</v>
      </c>
      <c r="AC6460" t="s">
        <v>79</v>
      </c>
      <c r="AD6460" t="s">
        <v>75</v>
      </c>
      <c r="AE6460" t="s">
        <v>80</v>
      </c>
      <c r="AG6460" t="s">
        <v>81</v>
      </c>
    </row>
    <row r="6461" spans="1:33" x14ac:dyDescent="0.25">
      <c r="A6461" t="str">
        <f>"1518301712"</f>
        <v>1518301712</v>
      </c>
      <c r="C6461" t="s">
        <v>13436</v>
      </c>
      <c r="K6461" t="s">
        <v>99</v>
      </c>
      <c r="L6461" t="s">
        <v>102</v>
      </c>
      <c r="M6461" t="s">
        <v>75</v>
      </c>
      <c r="R6461" t="s">
        <v>30135</v>
      </c>
      <c r="S6461" t="s">
        <v>30136</v>
      </c>
      <c r="T6461" t="s">
        <v>30137</v>
      </c>
      <c r="U6461" t="s">
        <v>4544</v>
      </c>
      <c r="V6461" t="str">
        <f>"482352624"</f>
        <v>482352624</v>
      </c>
      <c r="AC6461" t="s">
        <v>79</v>
      </c>
      <c r="AD6461" t="s">
        <v>75</v>
      </c>
      <c r="AE6461" t="s">
        <v>103</v>
      </c>
      <c r="AG6461" t="s">
        <v>81</v>
      </c>
    </row>
    <row r="6462" spans="1:33" x14ac:dyDescent="0.25">
      <c r="A6462" t="str">
        <f>"1518302660"</f>
        <v>1518302660</v>
      </c>
      <c r="C6462" t="s">
        <v>13436</v>
      </c>
      <c r="K6462" t="s">
        <v>99</v>
      </c>
      <c r="L6462" t="s">
        <v>102</v>
      </c>
      <c r="M6462" t="s">
        <v>75</v>
      </c>
      <c r="R6462" t="s">
        <v>30138</v>
      </c>
      <c r="S6462" t="s">
        <v>30139</v>
      </c>
      <c r="T6462" t="s">
        <v>97</v>
      </c>
      <c r="U6462" t="s">
        <v>77</v>
      </c>
      <c r="V6462" t="str">
        <f>"100191147"</f>
        <v>100191147</v>
      </c>
      <c r="AC6462" t="s">
        <v>79</v>
      </c>
      <c r="AD6462" t="s">
        <v>75</v>
      </c>
      <c r="AE6462" t="s">
        <v>103</v>
      </c>
      <c r="AG6462" t="s">
        <v>81</v>
      </c>
    </row>
    <row r="6463" spans="1:33" x14ac:dyDescent="0.25">
      <c r="A6463" t="str">
        <f>"1518303247"</f>
        <v>1518303247</v>
      </c>
      <c r="C6463" t="s">
        <v>13436</v>
      </c>
      <c r="K6463" t="s">
        <v>99</v>
      </c>
      <c r="L6463" t="s">
        <v>102</v>
      </c>
      <c r="M6463" t="s">
        <v>75</v>
      </c>
      <c r="R6463" t="s">
        <v>30140</v>
      </c>
      <c r="S6463" t="s">
        <v>30141</v>
      </c>
      <c r="T6463" t="s">
        <v>97</v>
      </c>
      <c r="U6463" t="s">
        <v>77</v>
      </c>
      <c r="V6463" t="str">
        <f>"100296574"</f>
        <v>100296574</v>
      </c>
      <c r="AC6463" t="s">
        <v>79</v>
      </c>
      <c r="AD6463" t="s">
        <v>75</v>
      </c>
      <c r="AE6463" t="s">
        <v>103</v>
      </c>
      <c r="AG6463" t="s">
        <v>81</v>
      </c>
    </row>
    <row r="6464" spans="1:33" x14ac:dyDescent="0.25">
      <c r="A6464" t="str">
        <f>"1285069187"</f>
        <v>1285069187</v>
      </c>
      <c r="C6464" t="s">
        <v>13436</v>
      </c>
      <c r="G6464" t="s">
        <v>30142</v>
      </c>
      <c r="K6464" t="s">
        <v>99</v>
      </c>
      <c r="L6464" t="s">
        <v>102</v>
      </c>
      <c r="M6464" t="s">
        <v>75</v>
      </c>
      <c r="R6464" t="s">
        <v>30143</v>
      </c>
      <c r="S6464" t="s">
        <v>30144</v>
      </c>
      <c r="T6464" t="s">
        <v>97</v>
      </c>
      <c r="U6464" t="s">
        <v>77</v>
      </c>
      <c r="V6464" t="str">
        <f>"10025"</f>
        <v>10025</v>
      </c>
      <c r="AC6464" t="s">
        <v>79</v>
      </c>
      <c r="AD6464" t="s">
        <v>75</v>
      </c>
      <c r="AE6464" t="s">
        <v>103</v>
      </c>
      <c r="AG6464" t="s">
        <v>81</v>
      </c>
    </row>
    <row r="6465" spans="1:33" x14ac:dyDescent="0.25">
      <c r="A6465" t="str">
        <f>"1447546049"</f>
        <v>1447546049</v>
      </c>
      <c r="B6465" t="str">
        <f>"03728618"</f>
        <v>03728618</v>
      </c>
      <c r="C6465" t="s">
        <v>13436</v>
      </c>
      <c r="D6465" t="s">
        <v>30145</v>
      </c>
      <c r="E6465" t="s">
        <v>30146</v>
      </c>
      <c r="G6465" t="s">
        <v>30147</v>
      </c>
      <c r="L6465" t="s">
        <v>74</v>
      </c>
      <c r="M6465" t="s">
        <v>75</v>
      </c>
      <c r="R6465" t="s">
        <v>30148</v>
      </c>
      <c r="W6465" t="s">
        <v>30146</v>
      </c>
      <c r="X6465" t="s">
        <v>329</v>
      </c>
      <c r="Y6465" t="s">
        <v>97</v>
      </c>
      <c r="Z6465" t="s">
        <v>77</v>
      </c>
      <c r="AA6465" t="str">
        <f>"10029-6504"</f>
        <v>10029-6504</v>
      </c>
      <c r="AB6465" t="s">
        <v>78</v>
      </c>
      <c r="AC6465" t="s">
        <v>79</v>
      </c>
      <c r="AD6465" t="s">
        <v>75</v>
      </c>
      <c r="AE6465" t="s">
        <v>80</v>
      </c>
      <c r="AG6465" t="s">
        <v>81</v>
      </c>
    </row>
    <row r="6466" spans="1:33" x14ac:dyDescent="0.25">
      <c r="A6466" t="str">
        <f>"1447549019"</f>
        <v>1447549019</v>
      </c>
      <c r="B6466" t="str">
        <f>"03846760"</f>
        <v>03846760</v>
      </c>
      <c r="C6466" t="s">
        <v>13436</v>
      </c>
      <c r="D6466" t="s">
        <v>30149</v>
      </c>
      <c r="E6466" t="s">
        <v>30150</v>
      </c>
      <c r="L6466" t="s">
        <v>74</v>
      </c>
      <c r="M6466" t="s">
        <v>75</v>
      </c>
      <c r="R6466" t="s">
        <v>30151</v>
      </c>
      <c r="W6466" t="s">
        <v>30150</v>
      </c>
      <c r="X6466" t="s">
        <v>329</v>
      </c>
      <c r="Y6466" t="s">
        <v>97</v>
      </c>
      <c r="Z6466" t="s">
        <v>77</v>
      </c>
      <c r="AA6466" t="str">
        <f>"10029-6504"</f>
        <v>10029-6504</v>
      </c>
      <c r="AB6466" t="s">
        <v>78</v>
      </c>
      <c r="AC6466" t="s">
        <v>79</v>
      </c>
      <c r="AD6466" t="s">
        <v>75</v>
      </c>
      <c r="AE6466" t="s">
        <v>80</v>
      </c>
      <c r="AG6466" t="s">
        <v>81</v>
      </c>
    </row>
    <row r="6467" spans="1:33" x14ac:dyDescent="0.25">
      <c r="A6467" t="str">
        <f>"1447559026"</f>
        <v>1447559026</v>
      </c>
      <c r="B6467" t="str">
        <f>"03805805"</f>
        <v>03805805</v>
      </c>
      <c r="C6467" t="s">
        <v>13436</v>
      </c>
      <c r="D6467" t="s">
        <v>30152</v>
      </c>
      <c r="E6467" t="s">
        <v>30153</v>
      </c>
      <c r="L6467" t="s">
        <v>102</v>
      </c>
      <c r="M6467" t="s">
        <v>75</v>
      </c>
      <c r="R6467" t="s">
        <v>30154</v>
      </c>
      <c r="W6467" t="s">
        <v>30153</v>
      </c>
      <c r="X6467" t="s">
        <v>12304</v>
      </c>
      <c r="Y6467" t="s">
        <v>97</v>
      </c>
      <c r="Z6467" t="s">
        <v>77</v>
      </c>
      <c r="AA6467" t="str">
        <f>"10003-4201"</f>
        <v>10003-4201</v>
      </c>
      <c r="AB6467" t="s">
        <v>78</v>
      </c>
      <c r="AC6467" t="s">
        <v>79</v>
      </c>
      <c r="AD6467" t="s">
        <v>75</v>
      </c>
      <c r="AE6467" t="s">
        <v>80</v>
      </c>
      <c r="AG6467" t="s">
        <v>81</v>
      </c>
    </row>
    <row r="6468" spans="1:33" x14ac:dyDescent="0.25">
      <c r="A6468" t="str">
        <f>"1447559927"</f>
        <v>1447559927</v>
      </c>
      <c r="B6468" t="str">
        <f>"03924150"</f>
        <v>03924150</v>
      </c>
      <c r="C6468" t="s">
        <v>13436</v>
      </c>
      <c r="D6468" t="s">
        <v>30155</v>
      </c>
      <c r="E6468" t="s">
        <v>30156</v>
      </c>
      <c r="G6468" t="s">
        <v>30157</v>
      </c>
      <c r="L6468" t="s">
        <v>84</v>
      </c>
      <c r="M6468" t="s">
        <v>75</v>
      </c>
      <c r="R6468" t="s">
        <v>30156</v>
      </c>
      <c r="W6468" t="s">
        <v>30158</v>
      </c>
      <c r="X6468" t="s">
        <v>329</v>
      </c>
      <c r="Y6468" t="s">
        <v>97</v>
      </c>
      <c r="Z6468" t="s">
        <v>77</v>
      </c>
      <c r="AA6468" t="str">
        <f>"10029-6504"</f>
        <v>10029-6504</v>
      </c>
      <c r="AB6468" t="s">
        <v>78</v>
      </c>
      <c r="AC6468" t="s">
        <v>79</v>
      </c>
      <c r="AD6468" t="s">
        <v>75</v>
      </c>
      <c r="AE6468" t="s">
        <v>80</v>
      </c>
      <c r="AG6468" t="s">
        <v>81</v>
      </c>
    </row>
    <row r="6469" spans="1:33" x14ac:dyDescent="0.25">
      <c r="A6469" t="str">
        <f>"1447559950"</f>
        <v>1447559950</v>
      </c>
      <c r="C6469" t="s">
        <v>13436</v>
      </c>
      <c r="K6469" t="s">
        <v>99</v>
      </c>
      <c r="L6469" t="s">
        <v>102</v>
      </c>
      <c r="M6469" t="s">
        <v>75</v>
      </c>
      <c r="R6469" t="s">
        <v>30159</v>
      </c>
      <c r="S6469" t="s">
        <v>12270</v>
      </c>
      <c r="T6469" t="s">
        <v>97</v>
      </c>
      <c r="U6469" t="s">
        <v>77</v>
      </c>
      <c r="V6469" t="str">
        <f>"100295204"</f>
        <v>100295204</v>
      </c>
      <c r="AC6469" t="s">
        <v>79</v>
      </c>
      <c r="AD6469" t="s">
        <v>75</v>
      </c>
      <c r="AE6469" t="s">
        <v>103</v>
      </c>
      <c r="AG6469" t="s">
        <v>81</v>
      </c>
    </row>
    <row r="6470" spans="1:33" x14ac:dyDescent="0.25">
      <c r="A6470" t="str">
        <f>"1760791081"</f>
        <v>1760791081</v>
      </c>
      <c r="C6470" t="s">
        <v>13436</v>
      </c>
      <c r="G6470" t="s">
        <v>30160</v>
      </c>
      <c r="K6470" t="s">
        <v>99</v>
      </c>
      <c r="L6470" t="s">
        <v>102</v>
      </c>
      <c r="M6470" t="s">
        <v>75</v>
      </c>
      <c r="R6470" t="s">
        <v>30161</v>
      </c>
      <c r="S6470" t="s">
        <v>169</v>
      </c>
      <c r="T6470" t="s">
        <v>155</v>
      </c>
      <c r="U6470" t="s">
        <v>77</v>
      </c>
      <c r="V6470" t="str">
        <f>"103053436"</f>
        <v>103053436</v>
      </c>
      <c r="AC6470" t="s">
        <v>79</v>
      </c>
      <c r="AD6470" t="s">
        <v>75</v>
      </c>
      <c r="AE6470" t="s">
        <v>103</v>
      </c>
      <c r="AG6470" t="s">
        <v>81</v>
      </c>
    </row>
    <row r="6471" spans="1:33" x14ac:dyDescent="0.25">
      <c r="A6471" t="str">
        <f>"1760895890"</f>
        <v>1760895890</v>
      </c>
      <c r="C6471" t="s">
        <v>13436</v>
      </c>
      <c r="G6471" t="s">
        <v>30162</v>
      </c>
      <c r="K6471" t="s">
        <v>99</v>
      </c>
      <c r="L6471" t="s">
        <v>102</v>
      </c>
      <c r="M6471" t="s">
        <v>75</v>
      </c>
      <c r="R6471" t="s">
        <v>30163</v>
      </c>
      <c r="S6471" t="s">
        <v>21973</v>
      </c>
      <c r="T6471" t="s">
        <v>97</v>
      </c>
      <c r="U6471" t="s">
        <v>77</v>
      </c>
      <c r="V6471" t="str">
        <f>"100191147"</f>
        <v>100191147</v>
      </c>
      <c r="AC6471" t="s">
        <v>79</v>
      </c>
      <c r="AD6471" t="s">
        <v>75</v>
      </c>
      <c r="AE6471" t="s">
        <v>103</v>
      </c>
      <c r="AG6471" t="s">
        <v>81</v>
      </c>
    </row>
    <row r="6472" spans="1:33" x14ac:dyDescent="0.25">
      <c r="A6472" t="str">
        <f>"1780688192"</f>
        <v>1780688192</v>
      </c>
      <c r="B6472" t="str">
        <f>"04107842"</f>
        <v>04107842</v>
      </c>
      <c r="C6472" t="s">
        <v>13436</v>
      </c>
      <c r="D6472" t="s">
        <v>30164</v>
      </c>
      <c r="E6472" t="s">
        <v>30165</v>
      </c>
      <c r="G6472" t="s">
        <v>30166</v>
      </c>
      <c r="L6472" t="s">
        <v>74</v>
      </c>
      <c r="M6472" t="s">
        <v>85</v>
      </c>
      <c r="R6472" t="s">
        <v>30167</v>
      </c>
      <c r="W6472" t="s">
        <v>30165</v>
      </c>
      <c r="X6472" t="s">
        <v>29502</v>
      </c>
      <c r="Y6472" t="s">
        <v>97</v>
      </c>
      <c r="Z6472" t="s">
        <v>77</v>
      </c>
      <c r="AA6472" t="str">
        <f>"10016-8728"</f>
        <v>10016-8728</v>
      </c>
      <c r="AB6472" t="s">
        <v>78</v>
      </c>
      <c r="AC6472" t="s">
        <v>79</v>
      </c>
      <c r="AD6472" t="s">
        <v>75</v>
      </c>
      <c r="AE6472" t="s">
        <v>80</v>
      </c>
      <c r="AG6472" t="s">
        <v>81</v>
      </c>
    </row>
    <row r="6473" spans="1:33" x14ac:dyDescent="0.25">
      <c r="A6473" t="str">
        <f>"1144311168"</f>
        <v>1144311168</v>
      </c>
      <c r="B6473" t="str">
        <f>"02245210"</f>
        <v>02245210</v>
      </c>
      <c r="C6473" t="s">
        <v>13436</v>
      </c>
      <c r="D6473" t="s">
        <v>30168</v>
      </c>
      <c r="E6473" t="s">
        <v>30169</v>
      </c>
      <c r="G6473" t="s">
        <v>30170</v>
      </c>
      <c r="L6473" t="s">
        <v>83</v>
      </c>
      <c r="M6473" t="s">
        <v>85</v>
      </c>
      <c r="R6473" t="s">
        <v>30171</v>
      </c>
      <c r="W6473" t="s">
        <v>30169</v>
      </c>
      <c r="X6473" t="s">
        <v>5779</v>
      </c>
      <c r="Y6473" t="s">
        <v>97</v>
      </c>
      <c r="Z6473" t="s">
        <v>77</v>
      </c>
      <c r="AA6473" t="str">
        <f>"10029-6503"</f>
        <v>10029-6503</v>
      </c>
      <c r="AB6473" t="s">
        <v>78</v>
      </c>
      <c r="AC6473" t="s">
        <v>79</v>
      </c>
      <c r="AD6473" t="s">
        <v>75</v>
      </c>
      <c r="AE6473" t="s">
        <v>80</v>
      </c>
      <c r="AG6473" t="s">
        <v>81</v>
      </c>
    </row>
    <row r="6474" spans="1:33" x14ac:dyDescent="0.25">
      <c r="A6474" t="str">
        <f>"1144321225"</f>
        <v>1144321225</v>
      </c>
      <c r="B6474" t="str">
        <f>"01132365"</f>
        <v>01132365</v>
      </c>
      <c r="C6474" t="s">
        <v>13436</v>
      </c>
      <c r="D6474" t="s">
        <v>30172</v>
      </c>
      <c r="E6474" t="s">
        <v>30173</v>
      </c>
      <c r="G6474" t="s">
        <v>30174</v>
      </c>
      <c r="L6474" t="s">
        <v>74</v>
      </c>
      <c r="M6474" t="s">
        <v>75</v>
      </c>
      <c r="R6474" t="s">
        <v>30175</v>
      </c>
      <c r="W6474" t="s">
        <v>30176</v>
      </c>
      <c r="X6474" t="s">
        <v>2926</v>
      </c>
      <c r="Y6474" t="s">
        <v>97</v>
      </c>
      <c r="Z6474" t="s">
        <v>77</v>
      </c>
      <c r="AA6474" t="str">
        <f>"10029-6503"</f>
        <v>10029-6503</v>
      </c>
      <c r="AB6474" t="s">
        <v>78</v>
      </c>
      <c r="AC6474" t="s">
        <v>79</v>
      </c>
      <c r="AD6474" t="s">
        <v>75</v>
      </c>
      <c r="AE6474" t="s">
        <v>80</v>
      </c>
      <c r="AG6474" t="s">
        <v>81</v>
      </c>
    </row>
    <row r="6475" spans="1:33" x14ac:dyDescent="0.25">
      <c r="A6475" t="str">
        <f>"1144337122"</f>
        <v>1144337122</v>
      </c>
      <c r="B6475" t="str">
        <f>"00946323"</f>
        <v>00946323</v>
      </c>
      <c r="C6475" t="s">
        <v>13436</v>
      </c>
      <c r="D6475" t="s">
        <v>30177</v>
      </c>
      <c r="E6475" t="s">
        <v>30178</v>
      </c>
      <c r="G6475" t="s">
        <v>30179</v>
      </c>
      <c r="L6475" t="s">
        <v>84</v>
      </c>
      <c r="M6475" t="s">
        <v>85</v>
      </c>
      <c r="R6475" t="s">
        <v>30180</v>
      </c>
      <c r="W6475" t="s">
        <v>30178</v>
      </c>
      <c r="X6475" t="s">
        <v>30181</v>
      </c>
      <c r="Y6475" t="s">
        <v>328</v>
      </c>
      <c r="Z6475" t="s">
        <v>77</v>
      </c>
      <c r="AA6475" t="str">
        <f>"11379-1967"</f>
        <v>11379-1967</v>
      </c>
      <c r="AB6475" t="s">
        <v>78</v>
      </c>
      <c r="AC6475" t="s">
        <v>79</v>
      </c>
      <c r="AD6475" t="s">
        <v>75</v>
      </c>
      <c r="AE6475" t="s">
        <v>80</v>
      </c>
      <c r="AG6475" t="s">
        <v>81</v>
      </c>
    </row>
    <row r="6476" spans="1:33" x14ac:dyDescent="0.25">
      <c r="A6476" t="str">
        <f>"1144411745"</f>
        <v>1144411745</v>
      </c>
      <c r="B6476" t="str">
        <f>"03517755"</f>
        <v>03517755</v>
      </c>
      <c r="C6476" t="s">
        <v>13436</v>
      </c>
      <c r="D6476" t="s">
        <v>30182</v>
      </c>
      <c r="E6476" t="s">
        <v>30183</v>
      </c>
      <c r="L6476" t="s">
        <v>83</v>
      </c>
      <c r="M6476" t="s">
        <v>85</v>
      </c>
      <c r="R6476" t="s">
        <v>30183</v>
      </c>
      <c r="W6476" t="s">
        <v>30183</v>
      </c>
      <c r="X6476" t="s">
        <v>30184</v>
      </c>
      <c r="Y6476" t="s">
        <v>87</v>
      </c>
      <c r="Z6476" t="s">
        <v>77</v>
      </c>
      <c r="AA6476" t="str">
        <f>"11236-3742"</f>
        <v>11236-3742</v>
      </c>
      <c r="AB6476" t="s">
        <v>78</v>
      </c>
      <c r="AC6476" t="s">
        <v>79</v>
      </c>
      <c r="AD6476" t="s">
        <v>75</v>
      </c>
      <c r="AE6476" t="s">
        <v>80</v>
      </c>
      <c r="AG6476" t="s">
        <v>81</v>
      </c>
    </row>
    <row r="6477" spans="1:33" x14ac:dyDescent="0.25">
      <c r="A6477" t="str">
        <f>"1386955698"</f>
        <v>1386955698</v>
      </c>
      <c r="C6477" t="s">
        <v>13436</v>
      </c>
      <c r="K6477" t="s">
        <v>99</v>
      </c>
      <c r="L6477" t="s">
        <v>102</v>
      </c>
      <c r="M6477" t="s">
        <v>75</v>
      </c>
      <c r="R6477" t="s">
        <v>30185</v>
      </c>
      <c r="S6477" t="s">
        <v>5050</v>
      </c>
      <c r="T6477" t="s">
        <v>97</v>
      </c>
      <c r="U6477" t="s">
        <v>77</v>
      </c>
      <c r="V6477" t="str">
        <f>"100296500"</f>
        <v>100296500</v>
      </c>
      <c r="AC6477" t="s">
        <v>79</v>
      </c>
      <c r="AD6477" t="s">
        <v>75</v>
      </c>
      <c r="AE6477" t="s">
        <v>103</v>
      </c>
      <c r="AG6477" t="s">
        <v>81</v>
      </c>
    </row>
    <row r="6478" spans="1:33" x14ac:dyDescent="0.25">
      <c r="A6478" t="str">
        <f>"1447415971"</f>
        <v>1447415971</v>
      </c>
      <c r="B6478" t="str">
        <f>"04167855"</f>
        <v>04167855</v>
      </c>
      <c r="C6478" t="s">
        <v>13436</v>
      </c>
      <c r="D6478" t="s">
        <v>30186</v>
      </c>
      <c r="E6478" t="s">
        <v>30187</v>
      </c>
      <c r="L6478" t="s">
        <v>74</v>
      </c>
      <c r="M6478" t="s">
        <v>75</v>
      </c>
      <c r="R6478" t="s">
        <v>30188</v>
      </c>
      <c r="W6478" t="s">
        <v>30187</v>
      </c>
      <c r="X6478" t="s">
        <v>30189</v>
      </c>
      <c r="Y6478" t="s">
        <v>90</v>
      </c>
      <c r="Z6478" t="s">
        <v>77</v>
      </c>
      <c r="AA6478" t="str">
        <f>"12901-2779"</f>
        <v>12901-2779</v>
      </c>
      <c r="AB6478" t="s">
        <v>78</v>
      </c>
      <c r="AC6478" t="s">
        <v>79</v>
      </c>
      <c r="AD6478" t="s">
        <v>75</v>
      </c>
      <c r="AE6478" t="s">
        <v>80</v>
      </c>
      <c r="AG6478" t="s">
        <v>81</v>
      </c>
    </row>
    <row r="6479" spans="1:33" x14ac:dyDescent="0.25">
      <c r="A6479" t="str">
        <f>"1245674787"</f>
        <v>1245674787</v>
      </c>
      <c r="B6479" t="str">
        <f>"04625421"</f>
        <v>04625421</v>
      </c>
      <c r="C6479" t="s">
        <v>13436</v>
      </c>
      <c r="D6479" t="s">
        <v>30190</v>
      </c>
      <c r="E6479" t="s">
        <v>30191</v>
      </c>
      <c r="L6479" t="s">
        <v>102</v>
      </c>
      <c r="M6479" t="s">
        <v>75</v>
      </c>
      <c r="R6479" t="s">
        <v>30192</v>
      </c>
      <c r="W6479" t="s">
        <v>30191</v>
      </c>
      <c r="AB6479" t="s">
        <v>78</v>
      </c>
      <c r="AC6479" t="s">
        <v>79</v>
      </c>
      <c r="AD6479" t="s">
        <v>75</v>
      </c>
      <c r="AE6479" t="s">
        <v>80</v>
      </c>
      <c r="AG6479" t="s">
        <v>81</v>
      </c>
    </row>
    <row r="6480" spans="1:33" x14ac:dyDescent="0.25">
      <c r="A6480" t="str">
        <f>"1245674795"</f>
        <v>1245674795</v>
      </c>
      <c r="C6480" t="s">
        <v>13436</v>
      </c>
      <c r="K6480" t="s">
        <v>99</v>
      </c>
      <c r="L6480" t="s">
        <v>102</v>
      </c>
      <c r="M6480" t="s">
        <v>75</v>
      </c>
      <c r="R6480" t="s">
        <v>30193</v>
      </c>
      <c r="S6480" t="s">
        <v>181</v>
      </c>
      <c r="T6480" t="s">
        <v>97</v>
      </c>
      <c r="U6480" t="s">
        <v>77</v>
      </c>
      <c r="V6480" t="str">
        <f>"100251716"</f>
        <v>100251716</v>
      </c>
      <c r="AC6480" t="s">
        <v>79</v>
      </c>
      <c r="AD6480" t="s">
        <v>75</v>
      </c>
      <c r="AE6480" t="s">
        <v>103</v>
      </c>
      <c r="AG6480" t="s">
        <v>81</v>
      </c>
    </row>
    <row r="6481" spans="1:33" x14ac:dyDescent="0.25">
      <c r="A6481" t="str">
        <f>"1356767834"</f>
        <v>1356767834</v>
      </c>
      <c r="C6481" t="s">
        <v>13436</v>
      </c>
      <c r="K6481" t="s">
        <v>99</v>
      </c>
      <c r="L6481" t="s">
        <v>102</v>
      </c>
      <c r="M6481" t="s">
        <v>75</v>
      </c>
      <c r="R6481" t="s">
        <v>30194</v>
      </c>
      <c r="S6481" t="s">
        <v>30195</v>
      </c>
      <c r="T6481" t="s">
        <v>87</v>
      </c>
      <c r="U6481" t="s">
        <v>77</v>
      </c>
      <c r="V6481" t="str">
        <f>"112313037"</f>
        <v>112313037</v>
      </c>
      <c r="AC6481" t="s">
        <v>79</v>
      </c>
      <c r="AD6481" t="s">
        <v>75</v>
      </c>
      <c r="AE6481" t="s">
        <v>103</v>
      </c>
      <c r="AG6481" t="s">
        <v>81</v>
      </c>
    </row>
    <row r="6482" spans="1:33" x14ac:dyDescent="0.25">
      <c r="A6482" t="str">
        <f>"1356768790"</f>
        <v>1356768790</v>
      </c>
      <c r="C6482" t="s">
        <v>13436</v>
      </c>
      <c r="K6482" t="s">
        <v>99</v>
      </c>
      <c r="L6482" t="s">
        <v>102</v>
      </c>
      <c r="M6482" t="s">
        <v>75</v>
      </c>
      <c r="R6482" t="s">
        <v>30196</v>
      </c>
      <c r="S6482" t="s">
        <v>30197</v>
      </c>
      <c r="T6482" t="s">
        <v>2646</v>
      </c>
      <c r="U6482" t="s">
        <v>351</v>
      </c>
      <c r="V6482" t="str">
        <f>"336026748"</f>
        <v>336026748</v>
      </c>
      <c r="AC6482" t="s">
        <v>79</v>
      </c>
      <c r="AD6482" t="s">
        <v>75</v>
      </c>
      <c r="AE6482" t="s">
        <v>103</v>
      </c>
      <c r="AG6482" t="s">
        <v>81</v>
      </c>
    </row>
    <row r="6483" spans="1:33" x14ac:dyDescent="0.25">
      <c r="A6483" t="str">
        <f>"1235438953"</f>
        <v>1235438953</v>
      </c>
      <c r="B6483" t="str">
        <f>"04409023"</f>
        <v>04409023</v>
      </c>
      <c r="C6483" t="s">
        <v>13436</v>
      </c>
      <c r="D6483" t="s">
        <v>30198</v>
      </c>
      <c r="E6483" t="s">
        <v>30199</v>
      </c>
      <c r="L6483" t="s">
        <v>102</v>
      </c>
      <c r="M6483" t="s">
        <v>75</v>
      </c>
      <c r="R6483" t="s">
        <v>30200</v>
      </c>
      <c r="W6483" t="s">
        <v>30199</v>
      </c>
      <c r="X6483" t="s">
        <v>6074</v>
      </c>
      <c r="Y6483" t="s">
        <v>91</v>
      </c>
      <c r="Z6483" t="s">
        <v>77</v>
      </c>
      <c r="AA6483" t="str">
        <f>"11373-1329"</f>
        <v>11373-1329</v>
      </c>
      <c r="AB6483" t="s">
        <v>78</v>
      </c>
      <c r="AC6483" t="s">
        <v>79</v>
      </c>
      <c r="AD6483" t="s">
        <v>75</v>
      </c>
      <c r="AE6483" t="s">
        <v>80</v>
      </c>
      <c r="AG6483" t="s">
        <v>81</v>
      </c>
    </row>
    <row r="6484" spans="1:33" x14ac:dyDescent="0.25">
      <c r="A6484" t="str">
        <f>"1235442229"</f>
        <v>1235442229</v>
      </c>
      <c r="B6484" t="str">
        <f>"03394272"</f>
        <v>03394272</v>
      </c>
      <c r="C6484" t="s">
        <v>13436</v>
      </c>
      <c r="D6484" t="s">
        <v>30201</v>
      </c>
      <c r="E6484" t="s">
        <v>30202</v>
      </c>
      <c r="G6484" t="s">
        <v>30203</v>
      </c>
      <c r="L6484" t="s">
        <v>105</v>
      </c>
      <c r="M6484" t="s">
        <v>75</v>
      </c>
      <c r="R6484" t="s">
        <v>30204</v>
      </c>
      <c r="W6484" t="s">
        <v>30205</v>
      </c>
      <c r="X6484" t="s">
        <v>181</v>
      </c>
      <c r="Y6484" t="s">
        <v>97</v>
      </c>
      <c r="Z6484" t="s">
        <v>77</v>
      </c>
      <c r="AA6484" t="str">
        <f>"10025-1716"</f>
        <v>10025-1716</v>
      </c>
      <c r="AB6484" t="s">
        <v>125</v>
      </c>
      <c r="AC6484" t="s">
        <v>79</v>
      </c>
      <c r="AD6484" t="s">
        <v>75</v>
      </c>
      <c r="AE6484" t="s">
        <v>80</v>
      </c>
      <c r="AG6484" t="s">
        <v>81</v>
      </c>
    </row>
    <row r="6485" spans="1:33" x14ac:dyDescent="0.25">
      <c r="A6485" t="str">
        <f>"1235457706"</f>
        <v>1235457706</v>
      </c>
      <c r="B6485" t="str">
        <f>"04077978"</f>
        <v>04077978</v>
      </c>
      <c r="C6485" t="s">
        <v>13436</v>
      </c>
      <c r="D6485" t="s">
        <v>30206</v>
      </c>
      <c r="E6485" t="s">
        <v>30207</v>
      </c>
      <c r="L6485" t="s">
        <v>74</v>
      </c>
      <c r="M6485" t="s">
        <v>75</v>
      </c>
      <c r="R6485" t="s">
        <v>30208</v>
      </c>
      <c r="W6485" t="s">
        <v>30207</v>
      </c>
      <c r="X6485" t="s">
        <v>30209</v>
      </c>
      <c r="Y6485" t="s">
        <v>30210</v>
      </c>
      <c r="Z6485" t="s">
        <v>77</v>
      </c>
      <c r="AA6485" t="str">
        <f>"11373-1329"</f>
        <v>11373-1329</v>
      </c>
      <c r="AB6485" t="s">
        <v>78</v>
      </c>
      <c r="AC6485" t="s">
        <v>79</v>
      </c>
      <c r="AD6485" t="s">
        <v>75</v>
      </c>
      <c r="AE6485" t="s">
        <v>80</v>
      </c>
      <c r="AG6485" t="s">
        <v>81</v>
      </c>
    </row>
    <row r="6486" spans="1:33" x14ac:dyDescent="0.25">
      <c r="A6486" t="str">
        <f>"1235469420"</f>
        <v>1235469420</v>
      </c>
      <c r="B6486" t="str">
        <f>"03711451"</f>
        <v>03711451</v>
      </c>
      <c r="C6486" t="s">
        <v>13436</v>
      </c>
      <c r="D6486" t="s">
        <v>30211</v>
      </c>
      <c r="E6486" t="s">
        <v>30212</v>
      </c>
      <c r="G6486" t="s">
        <v>30213</v>
      </c>
      <c r="L6486" t="s">
        <v>102</v>
      </c>
      <c r="M6486" t="s">
        <v>75</v>
      </c>
      <c r="R6486" t="s">
        <v>30212</v>
      </c>
      <c r="W6486" t="s">
        <v>30212</v>
      </c>
      <c r="X6486" t="s">
        <v>11156</v>
      </c>
      <c r="Y6486" t="s">
        <v>97</v>
      </c>
      <c r="Z6486" t="s">
        <v>77</v>
      </c>
      <c r="AA6486" t="str">
        <f>"10029-6504"</f>
        <v>10029-6504</v>
      </c>
      <c r="AB6486" t="s">
        <v>78</v>
      </c>
      <c r="AC6486" t="s">
        <v>79</v>
      </c>
      <c r="AD6486" t="s">
        <v>75</v>
      </c>
      <c r="AE6486" t="s">
        <v>80</v>
      </c>
      <c r="AG6486" t="s">
        <v>81</v>
      </c>
    </row>
    <row r="6487" spans="1:33" x14ac:dyDescent="0.25">
      <c r="A6487" t="str">
        <f>"1235472770"</f>
        <v>1235472770</v>
      </c>
      <c r="B6487" t="str">
        <f>"04533919"</f>
        <v>04533919</v>
      </c>
      <c r="C6487" t="s">
        <v>13436</v>
      </c>
      <c r="D6487" t="s">
        <v>30214</v>
      </c>
      <c r="E6487" t="s">
        <v>30215</v>
      </c>
      <c r="L6487" t="s">
        <v>102</v>
      </c>
      <c r="M6487" t="s">
        <v>75</v>
      </c>
      <c r="R6487" t="s">
        <v>30216</v>
      </c>
      <c r="W6487" t="s">
        <v>30215</v>
      </c>
      <c r="AB6487" t="s">
        <v>128</v>
      </c>
      <c r="AC6487" t="s">
        <v>79</v>
      </c>
      <c r="AD6487" t="s">
        <v>75</v>
      </c>
      <c r="AE6487" t="s">
        <v>80</v>
      </c>
      <c r="AG6487" t="s">
        <v>81</v>
      </c>
    </row>
    <row r="6488" spans="1:33" x14ac:dyDescent="0.25">
      <c r="A6488" t="str">
        <f>"1235484056"</f>
        <v>1235484056</v>
      </c>
      <c r="C6488" t="s">
        <v>13436</v>
      </c>
      <c r="K6488" t="s">
        <v>99</v>
      </c>
      <c r="L6488" t="s">
        <v>102</v>
      </c>
      <c r="M6488" t="s">
        <v>75</v>
      </c>
      <c r="R6488" t="s">
        <v>30217</v>
      </c>
      <c r="S6488" t="s">
        <v>30218</v>
      </c>
      <c r="T6488" t="s">
        <v>97</v>
      </c>
      <c r="U6488" t="s">
        <v>77</v>
      </c>
      <c r="V6488" t="str">
        <f>"100033832"</f>
        <v>100033832</v>
      </c>
      <c r="AC6488" t="s">
        <v>79</v>
      </c>
      <c r="AD6488" t="s">
        <v>75</v>
      </c>
      <c r="AE6488" t="s">
        <v>103</v>
      </c>
      <c r="AG6488" t="s">
        <v>81</v>
      </c>
    </row>
    <row r="6489" spans="1:33" x14ac:dyDescent="0.25">
      <c r="A6489" t="str">
        <f>"1235487794"</f>
        <v>1235487794</v>
      </c>
      <c r="C6489" t="s">
        <v>13436</v>
      </c>
      <c r="K6489" t="s">
        <v>99</v>
      </c>
      <c r="L6489" t="s">
        <v>102</v>
      </c>
      <c r="M6489" t="s">
        <v>75</v>
      </c>
      <c r="R6489" t="s">
        <v>30219</v>
      </c>
      <c r="S6489" t="s">
        <v>4607</v>
      </c>
      <c r="T6489" t="s">
        <v>4515</v>
      </c>
      <c r="U6489" t="s">
        <v>1842</v>
      </c>
      <c r="V6489" t="str">
        <f>"066064201"</f>
        <v>066064201</v>
      </c>
      <c r="AC6489" t="s">
        <v>79</v>
      </c>
      <c r="AD6489" t="s">
        <v>75</v>
      </c>
      <c r="AE6489" t="s">
        <v>103</v>
      </c>
      <c r="AG6489" t="s">
        <v>81</v>
      </c>
    </row>
    <row r="6490" spans="1:33" x14ac:dyDescent="0.25">
      <c r="A6490" t="str">
        <f>"1568873701"</f>
        <v>1568873701</v>
      </c>
      <c r="C6490" t="s">
        <v>13436</v>
      </c>
      <c r="K6490" t="s">
        <v>99</v>
      </c>
      <c r="L6490" t="s">
        <v>102</v>
      </c>
      <c r="M6490" t="s">
        <v>75</v>
      </c>
      <c r="R6490" t="s">
        <v>30220</v>
      </c>
      <c r="S6490" t="s">
        <v>2838</v>
      </c>
      <c r="T6490" t="s">
        <v>97</v>
      </c>
      <c r="U6490" t="s">
        <v>77</v>
      </c>
      <c r="V6490" t="str">
        <f>"100033105"</f>
        <v>100033105</v>
      </c>
      <c r="AC6490" t="s">
        <v>79</v>
      </c>
      <c r="AD6490" t="s">
        <v>75</v>
      </c>
      <c r="AE6490" t="s">
        <v>103</v>
      </c>
      <c r="AG6490" t="s">
        <v>81</v>
      </c>
    </row>
    <row r="6491" spans="1:33" x14ac:dyDescent="0.25">
      <c r="A6491" t="str">
        <f>"1568880318"</f>
        <v>1568880318</v>
      </c>
      <c r="B6491" t="str">
        <f>"04281256"</f>
        <v>04281256</v>
      </c>
      <c r="C6491" t="s">
        <v>13436</v>
      </c>
      <c r="D6491" t="s">
        <v>30221</v>
      </c>
      <c r="E6491" t="s">
        <v>30222</v>
      </c>
      <c r="L6491" t="s">
        <v>102</v>
      </c>
      <c r="M6491" t="s">
        <v>75</v>
      </c>
      <c r="R6491" t="s">
        <v>30223</v>
      </c>
      <c r="W6491" t="s">
        <v>30222</v>
      </c>
      <c r="X6491" t="s">
        <v>306</v>
      </c>
      <c r="Y6491" t="s">
        <v>97</v>
      </c>
      <c r="Z6491" t="s">
        <v>77</v>
      </c>
      <c r="AA6491" t="str">
        <f>"10003-4201"</f>
        <v>10003-4201</v>
      </c>
      <c r="AB6491" t="s">
        <v>78</v>
      </c>
      <c r="AC6491" t="s">
        <v>79</v>
      </c>
      <c r="AD6491" t="s">
        <v>75</v>
      </c>
      <c r="AE6491" t="s">
        <v>80</v>
      </c>
      <c r="AG6491" t="s">
        <v>81</v>
      </c>
    </row>
    <row r="6492" spans="1:33" x14ac:dyDescent="0.25">
      <c r="A6492" t="str">
        <f>"1568880797"</f>
        <v>1568880797</v>
      </c>
      <c r="C6492" t="s">
        <v>13436</v>
      </c>
      <c r="K6492" t="s">
        <v>99</v>
      </c>
      <c r="L6492" t="s">
        <v>102</v>
      </c>
      <c r="M6492" t="s">
        <v>75</v>
      </c>
      <c r="R6492" t="s">
        <v>30224</v>
      </c>
      <c r="S6492" t="s">
        <v>14477</v>
      </c>
      <c r="T6492" t="s">
        <v>97</v>
      </c>
      <c r="U6492" t="s">
        <v>77</v>
      </c>
      <c r="V6492" t="str">
        <f>"100033804"</f>
        <v>100033804</v>
      </c>
      <c r="AC6492" t="s">
        <v>79</v>
      </c>
      <c r="AD6492" t="s">
        <v>75</v>
      </c>
      <c r="AE6492" t="s">
        <v>103</v>
      </c>
      <c r="AG6492" t="s">
        <v>81</v>
      </c>
    </row>
    <row r="6493" spans="1:33" x14ac:dyDescent="0.25">
      <c r="A6493" t="str">
        <f>"1164408159"</f>
        <v>1164408159</v>
      </c>
      <c r="C6493" t="s">
        <v>13436</v>
      </c>
      <c r="G6493" t="s">
        <v>30225</v>
      </c>
      <c r="K6493" t="s">
        <v>99</v>
      </c>
      <c r="L6493" t="s">
        <v>102</v>
      </c>
      <c r="M6493" t="s">
        <v>75</v>
      </c>
      <c r="R6493" t="s">
        <v>30226</v>
      </c>
      <c r="S6493" t="s">
        <v>30227</v>
      </c>
      <c r="T6493" t="s">
        <v>5171</v>
      </c>
      <c r="U6493" t="s">
        <v>77</v>
      </c>
      <c r="V6493" t="str">
        <f>"105731354"</f>
        <v>105731354</v>
      </c>
      <c r="AC6493" t="s">
        <v>79</v>
      </c>
      <c r="AD6493" t="s">
        <v>75</v>
      </c>
      <c r="AE6493" t="s">
        <v>103</v>
      </c>
      <c r="AG6493" t="s">
        <v>81</v>
      </c>
    </row>
    <row r="6494" spans="1:33" x14ac:dyDescent="0.25">
      <c r="A6494" t="str">
        <f>"1023033644"</f>
        <v>1023033644</v>
      </c>
      <c r="B6494" t="str">
        <f>"01381442"</f>
        <v>01381442</v>
      </c>
      <c r="C6494" t="s">
        <v>13436</v>
      </c>
      <c r="D6494" t="s">
        <v>30228</v>
      </c>
      <c r="E6494" t="s">
        <v>30229</v>
      </c>
      <c r="G6494" t="s">
        <v>30230</v>
      </c>
      <c r="L6494" t="s">
        <v>84</v>
      </c>
      <c r="M6494" t="s">
        <v>85</v>
      </c>
      <c r="R6494" t="s">
        <v>30231</v>
      </c>
      <c r="W6494" t="s">
        <v>30229</v>
      </c>
      <c r="X6494" t="s">
        <v>30232</v>
      </c>
      <c r="Y6494" t="s">
        <v>97</v>
      </c>
      <c r="Z6494" t="s">
        <v>77</v>
      </c>
      <c r="AA6494" t="str">
        <f>"10019"</f>
        <v>10019</v>
      </c>
      <c r="AB6494" t="s">
        <v>78</v>
      </c>
      <c r="AC6494" t="s">
        <v>79</v>
      </c>
      <c r="AD6494" t="s">
        <v>75</v>
      </c>
      <c r="AE6494" t="s">
        <v>80</v>
      </c>
      <c r="AG6494" t="s">
        <v>81</v>
      </c>
    </row>
    <row r="6495" spans="1:33" x14ac:dyDescent="0.25">
      <c r="A6495" t="str">
        <f>"1023035789"</f>
        <v>1023035789</v>
      </c>
      <c r="B6495" t="str">
        <f>"01601165"</f>
        <v>01601165</v>
      </c>
      <c r="C6495" t="s">
        <v>13436</v>
      </c>
      <c r="D6495" t="s">
        <v>30233</v>
      </c>
      <c r="E6495" t="s">
        <v>30234</v>
      </c>
      <c r="G6495" t="s">
        <v>30235</v>
      </c>
      <c r="L6495" t="s">
        <v>83</v>
      </c>
      <c r="M6495" t="s">
        <v>85</v>
      </c>
      <c r="R6495" t="s">
        <v>30236</v>
      </c>
      <c r="W6495" t="s">
        <v>30234</v>
      </c>
      <c r="X6495" t="s">
        <v>191</v>
      </c>
      <c r="Y6495" t="s">
        <v>97</v>
      </c>
      <c r="Z6495" t="s">
        <v>77</v>
      </c>
      <c r="AA6495" t="str">
        <f>"10019-1147"</f>
        <v>10019-1147</v>
      </c>
      <c r="AB6495" t="s">
        <v>78</v>
      </c>
      <c r="AC6495" t="s">
        <v>79</v>
      </c>
      <c r="AD6495" t="s">
        <v>75</v>
      </c>
      <c r="AE6495" t="s">
        <v>80</v>
      </c>
      <c r="AG6495" t="s">
        <v>81</v>
      </c>
    </row>
    <row r="6496" spans="1:33" x14ac:dyDescent="0.25">
      <c r="A6496" t="str">
        <f>"1023179918"</f>
        <v>1023179918</v>
      </c>
      <c r="B6496" t="str">
        <f>"02112590"</f>
        <v>02112590</v>
      </c>
      <c r="C6496" t="s">
        <v>13436</v>
      </c>
      <c r="D6496" t="s">
        <v>30237</v>
      </c>
      <c r="E6496" t="s">
        <v>30238</v>
      </c>
      <c r="G6496" t="s">
        <v>30239</v>
      </c>
      <c r="L6496" t="s">
        <v>74</v>
      </c>
      <c r="M6496" t="s">
        <v>85</v>
      </c>
      <c r="R6496" t="s">
        <v>30240</v>
      </c>
      <c r="W6496" t="s">
        <v>30238</v>
      </c>
      <c r="X6496" t="s">
        <v>4542</v>
      </c>
      <c r="Y6496" t="s">
        <v>131</v>
      </c>
      <c r="Z6496" t="s">
        <v>77</v>
      </c>
      <c r="AA6496" t="str">
        <f>"10467-2401"</f>
        <v>10467-2401</v>
      </c>
      <c r="AB6496" t="s">
        <v>78</v>
      </c>
      <c r="AC6496" t="s">
        <v>79</v>
      </c>
      <c r="AD6496" t="s">
        <v>75</v>
      </c>
      <c r="AE6496" t="s">
        <v>80</v>
      </c>
      <c r="AG6496" t="s">
        <v>81</v>
      </c>
    </row>
    <row r="6497" spans="1:33" x14ac:dyDescent="0.25">
      <c r="A6497" t="str">
        <f>"1033255476"</f>
        <v>1033255476</v>
      </c>
      <c r="B6497" t="str">
        <f>"02798167"</f>
        <v>02798167</v>
      </c>
      <c r="C6497" t="s">
        <v>13436</v>
      </c>
      <c r="D6497" t="s">
        <v>30241</v>
      </c>
      <c r="E6497" t="s">
        <v>30242</v>
      </c>
      <c r="G6497" t="s">
        <v>30243</v>
      </c>
      <c r="L6497" t="s">
        <v>84</v>
      </c>
      <c r="M6497" t="s">
        <v>85</v>
      </c>
      <c r="R6497" t="s">
        <v>30244</v>
      </c>
      <c r="W6497" t="s">
        <v>30242</v>
      </c>
      <c r="X6497" t="s">
        <v>4770</v>
      </c>
      <c r="Y6497" t="s">
        <v>131</v>
      </c>
      <c r="Z6497" t="s">
        <v>77</v>
      </c>
      <c r="AA6497" t="str">
        <f>"10460-2306"</f>
        <v>10460-2306</v>
      </c>
      <c r="AB6497" t="s">
        <v>78</v>
      </c>
      <c r="AC6497" t="s">
        <v>79</v>
      </c>
      <c r="AD6497" t="s">
        <v>75</v>
      </c>
      <c r="AE6497" t="s">
        <v>80</v>
      </c>
      <c r="AG6497" t="s">
        <v>81</v>
      </c>
    </row>
    <row r="6498" spans="1:33" x14ac:dyDescent="0.25">
      <c r="A6498" t="str">
        <f>"1043210156"</f>
        <v>1043210156</v>
      </c>
      <c r="B6498" t="str">
        <f>"02579091"</f>
        <v>02579091</v>
      </c>
      <c r="C6498" t="s">
        <v>13436</v>
      </c>
      <c r="D6498" t="s">
        <v>30245</v>
      </c>
      <c r="E6498" t="s">
        <v>30246</v>
      </c>
      <c r="G6498" t="s">
        <v>30247</v>
      </c>
      <c r="L6498" t="s">
        <v>83</v>
      </c>
      <c r="M6498" t="s">
        <v>85</v>
      </c>
      <c r="R6498" t="s">
        <v>30248</v>
      </c>
      <c r="W6498" t="s">
        <v>30246</v>
      </c>
      <c r="X6498" t="s">
        <v>30249</v>
      </c>
      <c r="Y6498" t="s">
        <v>328</v>
      </c>
      <c r="Z6498" t="s">
        <v>77</v>
      </c>
      <c r="AA6498" t="str">
        <f>"11379-1300"</f>
        <v>11379-1300</v>
      </c>
      <c r="AB6498" t="s">
        <v>78</v>
      </c>
      <c r="AC6498" t="s">
        <v>79</v>
      </c>
      <c r="AD6498" t="s">
        <v>75</v>
      </c>
      <c r="AE6498" t="s">
        <v>80</v>
      </c>
      <c r="AG6498" t="s">
        <v>81</v>
      </c>
    </row>
    <row r="6499" spans="1:33" x14ac:dyDescent="0.25">
      <c r="A6499" t="str">
        <f>"1043259823"</f>
        <v>1043259823</v>
      </c>
      <c r="B6499" t="str">
        <f>"02194998"</f>
        <v>02194998</v>
      </c>
      <c r="C6499" t="s">
        <v>13436</v>
      </c>
      <c r="D6499" t="s">
        <v>30250</v>
      </c>
      <c r="E6499" t="s">
        <v>30251</v>
      </c>
      <c r="G6499" t="s">
        <v>30252</v>
      </c>
      <c r="L6499" t="s">
        <v>83</v>
      </c>
      <c r="M6499" t="s">
        <v>85</v>
      </c>
      <c r="R6499" t="s">
        <v>30253</v>
      </c>
      <c r="W6499" t="s">
        <v>30251</v>
      </c>
      <c r="X6499" t="s">
        <v>30254</v>
      </c>
      <c r="Y6499" t="s">
        <v>97</v>
      </c>
      <c r="Z6499" t="s">
        <v>77</v>
      </c>
      <c r="AA6499" t="str">
        <f>"10003"</f>
        <v>10003</v>
      </c>
      <c r="AB6499" t="s">
        <v>78</v>
      </c>
      <c r="AC6499" t="s">
        <v>79</v>
      </c>
      <c r="AD6499" t="s">
        <v>75</v>
      </c>
      <c r="AE6499" t="s">
        <v>80</v>
      </c>
      <c r="AG6499" t="s">
        <v>81</v>
      </c>
    </row>
    <row r="6500" spans="1:33" x14ac:dyDescent="0.25">
      <c r="A6500" t="str">
        <f>"1053329342"</f>
        <v>1053329342</v>
      </c>
      <c r="B6500" t="str">
        <f>"02320836"</f>
        <v>02320836</v>
      </c>
      <c r="C6500" t="s">
        <v>13436</v>
      </c>
      <c r="D6500" t="s">
        <v>30255</v>
      </c>
      <c r="E6500" t="s">
        <v>30256</v>
      </c>
      <c r="G6500" t="s">
        <v>30257</v>
      </c>
      <c r="L6500" t="s">
        <v>83</v>
      </c>
      <c r="M6500" t="s">
        <v>85</v>
      </c>
      <c r="R6500" t="s">
        <v>30258</v>
      </c>
      <c r="W6500" t="s">
        <v>30256</v>
      </c>
      <c r="X6500" t="s">
        <v>4505</v>
      </c>
      <c r="Y6500" t="s">
        <v>97</v>
      </c>
      <c r="Z6500" t="s">
        <v>77</v>
      </c>
      <c r="AA6500" t="str">
        <f>"10013"</f>
        <v>10013</v>
      </c>
      <c r="AB6500" t="s">
        <v>78</v>
      </c>
      <c r="AC6500" t="s">
        <v>79</v>
      </c>
      <c r="AD6500" t="s">
        <v>75</v>
      </c>
      <c r="AE6500" t="s">
        <v>80</v>
      </c>
      <c r="AG6500" t="s">
        <v>81</v>
      </c>
    </row>
    <row r="6501" spans="1:33" x14ac:dyDescent="0.25">
      <c r="A6501" t="str">
        <f>"1053345520"</f>
        <v>1053345520</v>
      </c>
      <c r="B6501" t="str">
        <f>"00250500"</f>
        <v>00250500</v>
      </c>
      <c r="C6501" t="s">
        <v>13436</v>
      </c>
      <c r="D6501" t="s">
        <v>30259</v>
      </c>
      <c r="E6501" t="s">
        <v>30260</v>
      </c>
      <c r="G6501" t="s">
        <v>30261</v>
      </c>
      <c r="L6501" t="s">
        <v>83</v>
      </c>
      <c r="M6501" t="s">
        <v>85</v>
      </c>
      <c r="R6501" t="s">
        <v>30262</v>
      </c>
      <c r="W6501" t="s">
        <v>30263</v>
      </c>
      <c r="X6501" t="s">
        <v>30264</v>
      </c>
      <c r="Y6501" t="s">
        <v>97</v>
      </c>
      <c r="Z6501" t="s">
        <v>77</v>
      </c>
      <c r="AA6501" t="str">
        <f>"10009-2706"</f>
        <v>10009-2706</v>
      </c>
      <c r="AB6501" t="s">
        <v>78</v>
      </c>
      <c r="AC6501" t="s">
        <v>79</v>
      </c>
      <c r="AD6501" t="s">
        <v>75</v>
      </c>
      <c r="AE6501" t="s">
        <v>80</v>
      </c>
      <c r="AG6501" t="s">
        <v>81</v>
      </c>
    </row>
    <row r="6502" spans="1:33" x14ac:dyDescent="0.25">
      <c r="A6502" t="str">
        <f>"1467428573"</f>
        <v>1467428573</v>
      </c>
      <c r="B6502" t="str">
        <f>"01693567"</f>
        <v>01693567</v>
      </c>
      <c r="C6502" t="s">
        <v>13436</v>
      </c>
      <c r="D6502" t="s">
        <v>30265</v>
      </c>
      <c r="E6502" t="s">
        <v>30266</v>
      </c>
      <c r="G6502" t="s">
        <v>30267</v>
      </c>
      <c r="L6502" t="s">
        <v>83</v>
      </c>
      <c r="M6502" t="s">
        <v>85</v>
      </c>
      <c r="R6502" t="s">
        <v>30268</v>
      </c>
      <c r="W6502" t="s">
        <v>30266</v>
      </c>
      <c r="X6502" t="s">
        <v>30269</v>
      </c>
      <c r="Y6502" t="s">
        <v>97</v>
      </c>
      <c r="Z6502" t="s">
        <v>77</v>
      </c>
      <c r="AA6502" t="str">
        <f>"10010-3901"</f>
        <v>10010-3901</v>
      </c>
      <c r="AB6502" t="s">
        <v>78</v>
      </c>
      <c r="AC6502" t="s">
        <v>79</v>
      </c>
      <c r="AD6502" t="s">
        <v>75</v>
      </c>
      <c r="AE6502" t="s">
        <v>80</v>
      </c>
      <c r="AG6502" t="s">
        <v>81</v>
      </c>
    </row>
    <row r="6503" spans="1:33" x14ac:dyDescent="0.25">
      <c r="A6503" t="str">
        <f>"1477561918"</f>
        <v>1477561918</v>
      </c>
      <c r="B6503" t="str">
        <f>"00805885"</f>
        <v>00805885</v>
      </c>
      <c r="C6503" t="s">
        <v>13436</v>
      </c>
      <c r="D6503" t="s">
        <v>30270</v>
      </c>
      <c r="E6503" t="s">
        <v>30271</v>
      </c>
      <c r="G6503" t="s">
        <v>30272</v>
      </c>
      <c r="L6503" t="s">
        <v>74</v>
      </c>
      <c r="M6503" t="s">
        <v>85</v>
      </c>
      <c r="R6503" t="s">
        <v>30273</v>
      </c>
      <c r="W6503" t="s">
        <v>30271</v>
      </c>
      <c r="X6503" t="s">
        <v>30274</v>
      </c>
      <c r="Y6503" t="s">
        <v>155</v>
      </c>
      <c r="Z6503" t="s">
        <v>77</v>
      </c>
      <c r="AA6503" t="str">
        <f>"10304-4420"</f>
        <v>10304-4420</v>
      </c>
      <c r="AB6503" t="s">
        <v>78</v>
      </c>
      <c r="AC6503" t="s">
        <v>79</v>
      </c>
      <c r="AD6503" t="s">
        <v>75</v>
      </c>
      <c r="AE6503" t="s">
        <v>80</v>
      </c>
      <c r="AG6503" t="s">
        <v>81</v>
      </c>
    </row>
    <row r="6504" spans="1:33" x14ac:dyDescent="0.25">
      <c r="A6504" t="str">
        <f>"1477650554"</f>
        <v>1477650554</v>
      </c>
      <c r="B6504" t="str">
        <f>"00570434"</f>
        <v>00570434</v>
      </c>
      <c r="C6504" t="s">
        <v>13436</v>
      </c>
      <c r="D6504" t="s">
        <v>30275</v>
      </c>
      <c r="E6504" t="s">
        <v>30276</v>
      </c>
      <c r="G6504" t="s">
        <v>30277</v>
      </c>
      <c r="L6504" t="s">
        <v>83</v>
      </c>
      <c r="M6504" t="s">
        <v>85</v>
      </c>
      <c r="R6504" t="s">
        <v>30278</v>
      </c>
      <c r="W6504" t="s">
        <v>30276</v>
      </c>
      <c r="X6504" t="s">
        <v>30279</v>
      </c>
      <c r="Y6504" t="s">
        <v>4456</v>
      </c>
      <c r="Z6504" t="s">
        <v>77</v>
      </c>
      <c r="AA6504" t="str">
        <f>"13039-3504"</f>
        <v>13039-3504</v>
      </c>
      <c r="AB6504" t="s">
        <v>78</v>
      </c>
      <c r="AC6504" t="s">
        <v>79</v>
      </c>
      <c r="AD6504" t="s">
        <v>75</v>
      </c>
      <c r="AE6504" t="s">
        <v>80</v>
      </c>
      <c r="AG6504" t="s">
        <v>81</v>
      </c>
    </row>
    <row r="6505" spans="1:33" x14ac:dyDescent="0.25">
      <c r="A6505" t="str">
        <f>"1558362566"</f>
        <v>1558362566</v>
      </c>
      <c r="B6505" t="str">
        <f>"01676746"</f>
        <v>01676746</v>
      </c>
      <c r="C6505" t="s">
        <v>13436</v>
      </c>
      <c r="D6505" t="s">
        <v>30280</v>
      </c>
      <c r="E6505" t="s">
        <v>30281</v>
      </c>
      <c r="G6505" t="s">
        <v>30282</v>
      </c>
      <c r="L6505" t="s">
        <v>74</v>
      </c>
      <c r="M6505" t="s">
        <v>85</v>
      </c>
      <c r="R6505" t="s">
        <v>30283</v>
      </c>
      <c r="W6505" t="s">
        <v>30281</v>
      </c>
      <c r="Y6505" t="s">
        <v>97</v>
      </c>
      <c r="Z6505" t="s">
        <v>77</v>
      </c>
      <c r="AA6505" t="str">
        <f>"10032-3720"</f>
        <v>10032-3720</v>
      </c>
      <c r="AB6505" t="s">
        <v>78</v>
      </c>
      <c r="AC6505" t="s">
        <v>79</v>
      </c>
      <c r="AD6505" t="s">
        <v>75</v>
      </c>
      <c r="AE6505" t="s">
        <v>80</v>
      </c>
      <c r="AG6505" t="s">
        <v>81</v>
      </c>
    </row>
    <row r="6506" spans="1:33" x14ac:dyDescent="0.25">
      <c r="A6506" t="str">
        <f>"1558367409"</f>
        <v>1558367409</v>
      </c>
      <c r="B6506" t="str">
        <f>"01958992"</f>
        <v>01958992</v>
      </c>
      <c r="C6506" t="s">
        <v>13436</v>
      </c>
      <c r="D6506" t="s">
        <v>30284</v>
      </c>
      <c r="E6506" t="s">
        <v>30285</v>
      </c>
      <c r="G6506" t="s">
        <v>30286</v>
      </c>
      <c r="L6506" t="s">
        <v>74</v>
      </c>
      <c r="M6506" t="s">
        <v>85</v>
      </c>
      <c r="R6506" t="s">
        <v>30287</v>
      </c>
      <c r="W6506" t="s">
        <v>30285</v>
      </c>
      <c r="X6506" t="s">
        <v>27352</v>
      </c>
      <c r="Y6506" t="s">
        <v>160</v>
      </c>
      <c r="Z6506" t="s">
        <v>77</v>
      </c>
      <c r="AA6506" t="str">
        <f>"11030-3008"</f>
        <v>11030-3008</v>
      </c>
      <c r="AB6506" t="s">
        <v>78</v>
      </c>
      <c r="AC6506" t="s">
        <v>79</v>
      </c>
      <c r="AD6506" t="s">
        <v>75</v>
      </c>
      <c r="AE6506" t="s">
        <v>80</v>
      </c>
      <c r="AG6506" t="s">
        <v>81</v>
      </c>
    </row>
    <row r="6507" spans="1:33" x14ac:dyDescent="0.25">
      <c r="A6507" t="str">
        <f>"1558377044"</f>
        <v>1558377044</v>
      </c>
      <c r="B6507" t="str">
        <f>"03551099"</f>
        <v>03551099</v>
      </c>
      <c r="C6507" t="s">
        <v>13436</v>
      </c>
      <c r="D6507" t="s">
        <v>30288</v>
      </c>
      <c r="E6507" t="s">
        <v>30289</v>
      </c>
      <c r="G6507" t="s">
        <v>30290</v>
      </c>
      <c r="L6507" t="s">
        <v>74</v>
      </c>
      <c r="M6507" t="s">
        <v>85</v>
      </c>
      <c r="R6507" t="s">
        <v>30289</v>
      </c>
      <c r="W6507" t="s">
        <v>30289</v>
      </c>
      <c r="X6507" t="s">
        <v>329</v>
      </c>
      <c r="Y6507" t="s">
        <v>97</v>
      </c>
      <c r="Z6507" t="s">
        <v>77</v>
      </c>
      <c r="AA6507" t="str">
        <f>"10029-6500"</f>
        <v>10029-6500</v>
      </c>
      <c r="AB6507" t="s">
        <v>78</v>
      </c>
      <c r="AC6507" t="s">
        <v>79</v>
      </c>
      <c r="AD6507" t="s">
        <v>75</v>
      </c>
      <c r="AE6507" t="s">
        <v>80</v>
      </c>
      <c r="AG6507" t="s">
        <v>81</v>
      </c>
    </row>
    <row r="6508" spans="1:33" x14ac:dyDescent="0.25">
      <c r="A6508" t="str">
        <f>"1538500020"</f>
        <v>1538500020</v>
      </c>
      <c r="C6508" t="s">
        <v>13436</v>
      </c>
      <c r="K6508" t="s">
        <v>99</v>
      </c>
      <c r="L6508" t="s">
        <v>102</v>
      </c>
      <c r="M6508" t="s">
        <v>75</v>
      </c>
      <c r="R6508" t="s">
        <v>30291</v>
      </c>
      <c r="S6508" t="s">
        <v>12974</v>
      </c>
      <c r="T6508" t="s">
        <v>97</v>
      </c>
      <c r="U6508" t="s">
        <v>77</v>
      </c>
      <c r="V6508" t="str">
        <f>"100251716"</f>
        <v>100251716</v>
      </c>
      <c r="AC6508" t="s">
        <v>79</v>
      </c>
      <c r="AD6508" t="s">
        <v>75</v>
      </c>
      <c r="AE6508" t="s">
        <v>103</v>
      </c>
      <c r="AG6508" t="s">
        <v>81</v>
      </c>
    </row>
    <row r="6509" spans="1:33" x14ac:dyDescent="0.25">
      <c r="A6509" t="str">
        <f>"1538501838"</f>
        <v>1538501838</v>
      </c>
      <c r="B6509" t="str">
        <f>"04518012"</f>
        <v>04518012</v>
      </c>
      <c r="C6509" t="s">
        <v>13436</v>
      </c>
      <c r="D6509" t="s">
        <v>30292</v>
      </c>
      <c r="E6509" t="s">
        <v>30293</v>
      </c>
      <c r="L6509" t="s">
        <v>102</v>
      </c>
      <c r="M6509" t="s">
        <v>75</v>
      </c>
      <c r="R6509" t="s">
        <v>30293</v>
      </c>
      <c r="W6509" t="s">
        <v>30293</v>
      </c>
      <c r="AB6509" t="s">
        <v>78</v>
      </c>
      <c r="AC6509" t="s">
        <v>79</v>
      </c>
      <c r="AD6509" t="s">
        <v>75</v>
      </c>
      <c r="AE6509" t="s">
        <v>80</v>
      </c>
      <c r="AG6509" t="s">
        <v>81</v>
      </c>
    </row>
    <row r="6510" spans="1:33" x14ac:dyDescent="0.25">
      <c r="A6510" t="str">
        <f>"1538502778"</f>
        <v>1538502778</v>
      </c>
      <c r="C6510" t="s">
        <v>13436</v>
      </c>
      <c r="K6510" t="s">
        <v>99</v>
      </c>
      <c r="L6510" t="s">
        <v>102</v>
      </c>
      <c r="M6510" t="s">
        <v>75</v>
      </c>
      <c r="R6510" t="s">
        <v>30294</v>
      </c>
      <c r="S6510" t="s">
        <v>12670</v>
      </c>
      <c r="T6510" t="s">
        <v>97</v>
      </c>
      <c r="U6510" t="s">
        <v>77</v>
      </c>
      <c r="V6510" t="str">
        <f>"100033821"</f>
        <v>100033821</v>
      </c>
      <c r="AC6510" t="s">
        <v>79</v>
      </c>
      <c r="AD6510" t="s">
        <v>75</v>
      </c>
      <c r="AE6510" t="s">
        <v>103</v>
      </c>
      <c r="AG6510" t="s">
        <v>81</v>
      </c>
    </row>
    <row r="6511" spans="1:33" x14ac:dyDescent="0.25">
      <c r="A6511" t="str">
        <f>"1407146152"</f>
        <v>1407146152</v>
      </c>
      <c r="B6511" t="str">
        <f>"04519802"</f>
        <v>04519802</v>
      </c>
      <c r="C6511" t="s">
        <v>13436</v>
      </c>
      <c r="D6511" t="s">
        <v>30295</v>
      </c>
      <c r="E6511" t="s">
        <v>30296</v>
      </c>
      <c r="L6511" t="s">
        <v>102</v>
      </c>
      <c r="M6511" t="s">
        <v>75</v>
      </c>
      <c r="R6511" t="s">
        <v>30297</v>
      </c>
      <c r="W6511" t="s">
        <v>30296</v>
      </c>
      <c r="AB6511" t="s">
        <v>78</v>
      </c>
      <c r="AC6511" t="s">
        <v>79</v>
      </c>
      <c r="AD6511" t="s">
        <v>75</v>
      </c>
      <c r="AE6511" t="s">
        <v>80</v>
      </c>
      <c r="AG6511" t="s">
        <v>81</v>
      </c>
    </row>
    <row r="6512" spans="1:33" x14ac:dyDescent="0.25">
      <c r="A6512" t="str">
        <f>"1407149941"</f>
        <v>1407149941</v>
      </c>
      <c r="C6512" t="s">
        <v>13436</v>
      </c>
      <c r="K6512" t="s">
        <v>99</v>
      </c>
      <c r="L6512" t="s">
        <v>102</v>
      </c>
      <c r="M6512" t="s">
        <v>75</v>
      </c>
      <c r="R6512" t="s">
        <v>30298</v>
      </c>
      <c r="S6512" t="s">
        <v>30299</v>
      </c>
      <c r="T6512" t="s">
        <v>4483</v>
      </c>
      <c r="U6512" t="s">
        <v>1842</v>
      </c>
      <c r="V6512" t="str">
        <f>"065103218"</f>
        <v>065103218</v>
      </c>
      <c r="AC6512" t="s">
        <v>79</v>
      </c>
      <c r="AD6512" t="s">
        <v>75</v>
      </c>
      <c r="AE6512" t="s">
        <v>103</v>
      </c>
      <c r="AG6512" t="s">
        <v>81</v>
      </c>
    </row>
    <row r="6513" spans="1:33" x14ac:dyDescent="0.25">
      <c r="A6513" t="str">
        <f>"1407158017"</f>
        <v>1407158017</v>
      </c>
      <c r="B6513" t="str">
        <f>"03312714"</f>
        <v>03312714</v>
      </c>
      <c r="C6513" t="s">
        <v>13436</v>
      </c>
      <c r="D6513" t="s">
        <v>30300</v>
      </c>
      <c r="E6513" t="s">
        <v>30301</v>
      </c>
      <c r="L6513" t="s">
        <v>74</v>
      </c>
      <c r="M6513" t="s">
        <v>75</v>
      </c>
      <c r="R6513" t="s">
        <v>30302</v>
      </c>
      <c r="W6513" t="s">
        <v>30301</v>
      </c>
      <c r="X6513" t="s">
        <v>30303</v>
      </c>
      <c r="Y6513" t="s">
        <v>131</v>
      </c>
      <c r="Z6513" t="s">
        <v>77</v>
      </c>
      <c r="AA6513" t="str">
        <f>"10461-2301"</f>
        <v>10461-2301</v>
      </c>
      <c r="AB6513" t="s">
        <v>78</v>
      </c>
      <c r="AC6513" t="s">
        <v>79</v>
      </c>
      <c r="AD6513" t="s">
        <v>75</v>
      </c>
      <c r="AE6513" t="s">
        <v>80</v>
      </c>
      <c r="AG6513" t="s">
        <v>81</v>
      </c>
    </row>
    <row r="6514" spans="1:33" x14ac:dyDescent="0.25">
      <c r="A6514" t="str">
        <f>"1417154956"</f>
        <v>1417154956</v>
      </c>
      <c r="B6514" t="str">
        <f>"03496417"</f>
        <v>03496417</v>
      </c>
      <c r="C6514" t="s">
        <v>13436</v>
      </c>
      <c r="D6514" t="s">
        <v>30304</v>
      </c>
      <c r="E6514" t="s">
        <v>30305</v>
      </c>
      <c r="G6514" t="s">
        <v>30306</v>
      </c>
      <c r="L6514" t="s">
        <v>83</v>
      </c>
      <c r="M6514" t="s">
        <v>85</v>
      </c>
      <c r="R6514" t="s">
        <v>30307</v>
      </c>
      <c r="W6514" t="s">
        <v>30305</v>
      </c>
      <c r="X6514" t="s">
        <v>30308</v>
      </c>
      <c r="Y6514" t="s">
        <v>97</v>
      </c>
      <c r="Z6514" t="s">
        <v>77</v>
      </c>
      <c r="AA6514" t="str">
        <f>"10003-1405"</f>
        <v>10003-1405</v>
      </c>
      <c r="AB6514" t="s">
        <v>78</v>
      </c>
      <c r="AC6514" t="s">
        <v>79</v>
      </c>
      <c r="AD6514" t="s">
        <v>75</v>
      </c>
      <c r="AE6514" t="s">
        <v>80</v>
      </c>
      <c r="AG6514" t="s">
        <v>81</v>
      </c>
    </row>
    <row r="6515" spans="1:33" x14ac:dyDescent="0.25">
      <c r="A6515" t="str">
        <f>"1417181074"</f>
        <v>1417181074</v>
      </c>
      <c r="B6515" t="str">
        <f>"03546756"</f>
        <v>03546756</v>
      </c>
      <c r="C6515" t="s">
        <v>13436</v>
      </c>
      <c r="D6515" t="s">
        <v>30309</v>
      </c>
      <c r="E6515" t="s">
        <v>30310</v>
      </c>
      <c r="G6515" t="s">
        <v>30311</v>
      </c>
      <c r="L6515" t="s">
        <v>83</v>
      </c>
      <c r="M6515" t="s">
        <v>85</v>
      </c>
      <c r="R6515" t="s">
        <v>30312</v>
      </c>
      <c r="W6515" t="s">
        <v>30310</v>
      </c>
      <c r="X6515" t="s">
        <v>169</v>
      </c>
      <c r="Y6515" t="s">
        <v>155</v>
      </c>
      <c r="Z6515" t="s">
        <v>77</v>
      </c>
      <c r="AA6515" t="str">
        <f>"10305-3436"</f>
        <v>10305-3436</v>
      </c>
      <c r="AB6515" t="s">
        <v>78</v>
      </c>
      <c r="AC6515" t="s">
        <v>79</v>
      </c>
      <c r="AD6515" t="s">
        <v>75</v>
      </c>
      <c r="AE6515" t="s">
        <v>80</v>
      </c>
      <c r="AG6515" t="s">
        <v>81</v>
      </c>
    </row>
    <row r="6516" spans="1:33" x14ac:dyDescent="0.25">
      <c r="A6516" t="str">
        <f>"1427050970"</f>
        <v>1427050970</v>
      </c>
      <c r="B6516" t="str">
        <f>"02666255"</f>
        <v>02666255</v>
      </c>
      <c r="C6516" t="s">
        <v>13436</v>
      </c>
      <c r="D6516" t="s">
        <v>30313</v>
      </c>
      <c r="E6516" t="s">
        <v>30314</v>
      </c>
      <c r="G6516" t="s">
        <v>30315</v>
      </c>
      <c r="L6516" t="s">
        <v>102</v>
      </c>
      <c r="M6516" t="s">
        <v>85</v>
      </c>
      <c r="R6516" t="s">
        <v>30316</v>
      </c>
      <c r="W6516" t="s">
        <v>30314</v>
      </c>
      <c r="X6516" t="s">
        <v>30317</v>
      </c>
      <c r="Y6516" t="s">
        <v>178</v>
      </c>
      <c r="Z6516" t="s">
        <v>77</v>
      </c>
      <c r="AA6516" t="str">
        <f>"11021-5113"</f>
        <v>11021-5113</v>
      </c>
      <c r="AB6516" t="s">
        <v>78</v>
      </c>
      <c r="AC6516" t="s">
        <v>79</v>
      </c>
      <c r="AD6516" t="s">
        <v>75</v>
      </c>
      <c r="AE6516" t="s">
        <v>80</v>
      </c>
      <c r="AG6516" t="s">
        <v>81</v>
      </c>
    </row>
    <row r="6517" spans="1:33" x14ac:dyDescent="0.25">
      <c r="A6517" t="str">
        <f>"1427210293"</f>
        <v>1427210293</v>
      </c>
      <c r="B6517" t="str">
        <f>"03441361"</f>
        <v>03441361</v>
      </c>
      <c r="C6517" t="s">
        <v>13436</v>
      </c>
      <c r="D6517" t="s">
        <v>1142</v>
      </c>
      <c r="E6517" t="s">
        <v>1143</v>
      </c>
      <c r="G6517" t="s">
        <v>30318</v>
      </c>
      <c r="L6517" t="s">
        <v>84</v>
      </c>
      <c r="M6517" t="s">
        <v>85</v>
      </c>
      <c r="R6517" t="s">
        <v>1144</v>
      </c>
      <c r="W6517" t="s">
        <v>1145</v>
      </c>
      <c r="X6517" t="s">
        <v>1140</v>
      </c>
      <c r="Y6517" t="s">
        <v>171</v>
      </c>
      <c r="Z6517" t="s">
        <v>77</v>
      </c>
      <c r="AA6517" t="str">
        <f>"11432-2638"</f>
        <v>11432-2638</v>
      </c>
      <c r="AB6517" t="s">
        <v>78</v>
      </c>
      <c r="AC6517" t="s">
        <v>79</v>
      </c>
      <c r="AD6517" t="s">
        <v>75</v>
      </c>
      <c r="AE6517" t="s">
        <v>80</v>
      </c>
      <c r="AG6517" t="s">
        <v>81</v>
      </c>
    </row>
    <row r="6518" spans="1:33" x14ac:dyDescent="0.25">
      <c r="A6518" t="str">
        <f>"1437393865"</f>
        <v>1437393865</v>
      </c>
      <c r="B6518" t="str">
        <f>"03524421"</f>
        <v>03524421</v>
      </c>
      <c r="C6518" t="s">
        <v>13436</v>
      </c>
      <c r="D6518" t="s">
        <v>30319</v>
      </c>
      <c r="E6518" t="s">
        <v>30320</v>
      </c>
      <c r="G6518" t="s">
        <v>30321</v>
      </c>
      <c r="L6518" t="s">
        <v>83</v>
      </c>
      <c r="M6518" t="s">
        <v>85</v>
      </c>
      <c r="R6518" t="s">
        <v>30320</v>
      </c>
      <c r="W6518" t="s">
        <v>30320</v>
      </c>
      <c r="X6518" t="s">
        <v>30322</v>
      </c>
      <c r="Y6518" t="s">
        <v>131</v>
      </c>
      <c r="Z6518" t="s">
        <v>77</v>
      </c>
      <c r="AA6518" t="str">
        <f>"10475-4614"</f>
        <v>10475-4614</v>
      </c>
      <c r="AB6518" t="s">
        <v>78</v>
      </c>
      <c r="AC6518" t="s">
        <v>79</v>
      </c>
      <c r="AD6518" t="s">
        <v>75</v>
      </c>
      <c r="AE6518" t="s">
        <v>80</v>
      </c>
      <c r="AG6518" t="s">
        <v>81</v>
      </c>
    </row>
    <row r="6519" spans="1:33" x14ac:dyDescent="0.25">
      <c r="A6519" t="str">
        <f>"1164723672"</f>
        <v>1164723672</v>
      </c>
      <c r="B6519" t="str">
        <f>"03765253"</f>
        <v>03765253</v>
      </c>
      <c r="C6519" t="s">
        <v>13436</v>
      </c>
      <c r="D6519" t="s">
        <v>30323</v>
      </c>
      <c r="E6519" t="s">
        <v>30324</v>
      </c>
      <c r="G6519" t="s">
        <v>30325</v>
      </c>
      <c r="L6519" t="s">
        <v>83</v>
      </c>
      <c r="M6519" t="s">
        <v>75</v>
      </c>
      <c r="R6519" t="s">
        <v>30326</v>
      </c>
      <c r="W6519" t="s">
        <v>30324</v>
      </c>
      <c r="X6519" t="s">
        <v>4029</v>
      </c>
      <c r="Y6519" t="s">
        <v>97</v>
      </c>
      <c r="Z6519" t="s">
        <v>77</v>
      </c>
      <c r="AA6519" t="str">
        <f>"10029-6503"</f>
        <v>10029-6503</v>
      </c>
      <c r="AB6519" t="s">
        <v>78</v>
      </c>
      <c r="AC6519" t="s">
        <v>79</v>
      </c>
      <c r="AD6519" t="s">
        <v>75</v>
      </c>
      <c r="AE6519" t="s">
        <v>80</v>
      </c>
      <c r="AG6519" t="s">
        <v>81</v>
      </c>
    </row>
    <row r="6520" spans="1:33" x14ac:dyDescent="0.25">
      <c r="A6520" t="str">
        <f>"1164735296"</f>
        <v>1164735296</v>
      </c>
      <c r="B6520" t="str">
        <f>"04161015"</f>
        <v>04161015</v>
      </c>
      <c r="C6520" t="s">
        <v>13436</v>
      </c>
      <c r="D6520" t="s">
        <v>30327</v>
      </c>
      <c r="E6520" t="s">
        <v>30328</v>
      </c>
      <c r="G6520" t="s">
        <v>30329</v>
      </c>
      <c r="L6520" t="s">
        <v>74</v>
      </c>
      <c r="M6520" t="s">
        <v>75</v>
      </c>
      <c r="R6520" t="s">
        <v>30330</v>
      </c>
      <c r="W6520" t="s">
        <v>30328</v>
      </c>
      <c r="X6520" t="s">
        <v>30331</v>
      </c>
      <c r="Y6520" t="s">
        <v>760</v>
      </c>
      <c r="Z6520" t="s">
        <v>77</v>
      </c>
      <c r="AA6520" t="str">
        <f>"11426-1839"</f>
        <v>11426-1839</v>
      </c>
      <c r="AB6520" t="s">
        <v>78</v>
      </c>
      <c r="AC6520" t="s">
        <v>79</v>
      </c>
      <c r="AD6520" t="s">
        <v>75</v>
      </c>
      <c r="AE6520" t="s">
        <v>80</v>
      </c>
      <c r="AG6520" t="s">
        <v>81</v>
      </c>
    </row>
    <row r="6521" spans="1:33" x14ac:dyDescent="0.25">
      <c r="A6521" t="str">
        <f>"1164785200"</f>
        <v>1164785200</v>
      </c>
      <c r="B6521" t="str">
        <f>"03723237"</f>
        <v>03723237</v>
      </c>
      <c r="C6521" t="s">
        <v>13436</v>
      </c>
      <c r="D6521" t="s">
        <v>6048</v>
      </c>
      <c r="E6521" t="s">
        <v>6049</v>
      </c>
      <c r="G6521" t="s">
        <v>30332</v>
      </c>
      <c r="L6521" t="s">
        <v>74</v>
      </c>
      <c r="M6521" t="s">
        <v>75</v>
      </c>
      <c r="R6521" t="s">
        <v>6050</v>
      </c>
      <c r="W6521" t="s">
        <v>6049</v>
      </c>
      <c r="X6521" t="s">
        <v>258</v>
      </c>
      <c r="Y6521" t="s">
        <v>131</v>
      </c>
      <c r="Z6521" t="s">
        <v>77</v>
      </c>
      <c r="AA6521" t="str">
        <f>"10467-2401"</f>
        <v>10467-2401</v>
      </c>
      <c r="AB6521" t="s">
        <v>78</v>
      </c>
      <c r="AC6521" t="s">
        <v>79</v>
      </c>
      <c r="AD6521" t="s">
        <v>75</v>
      </c>
      <c r="AE6521" t="s">
        <v>80</v>
      </c>
      <c r="AG6521" t="s">
        <v>81</v>
      </c>
    </row>
    <row r="6522" spans="1:33" x14ac:dyDescent="0.25">
      <c r="A6522" t="str">
        <f>"1164785374"</f>
        <v>1164785374</v>
      </c>
      <c r="C6522" t="s">
        <v>13436</v>
      </c>
      <c r="G6522" t="s">
        <v>30333</v>
      </c>
      <c r="K6522" t="s">
        <v>99</v>
      </c>
      <c r="L6522" t="s">
        <v>102</v>
      </c>
      <c r="M6522" t="s">
        <v>75</v>
      </c>
      <c r="R6522" t="s">
        <v>30334</v>
      </c>
      <c r="S6522" t="s">
        <v>30335</v>
      </c>
      <c r="T6522" t="s">
        <v>1783</v>
      </c>
      <c r="U6522" t="s">
        <v>1784</v>
      </c>
      <c r="V6522" t="str">
        <f>"191076810"</f>
        <v>191076810</v>
      </c>
      <c r="AC6522" t="s">
        <v>79</v>
      </c>
      <c r="AD6522" t="s">
        <v>75</v>
      </c>
      <c r="AE6522" t="s">
        <v>103</v>
      </c>
      <c r="AG6522" t="s">
        <v>81</v>
      </c>
    </row>
    <row r="6523" spans="1:33" x14ac:dyDescent="0.25">
      <c r="A6523" t="str">
        <f>"1174551352"</f>
        <v>1174551352</v>
      </c>
      <c r="B6523" t="str">
        <f>"00423198"</f>
        <v>00423198</v>
      </c>
      <c r="C6523" t="s">
        <v>13436</v>
      </c>
      <c r="D6523" t="s">
        <v>30336</v>
      </c>
      <c r="E6523" t="s">
        <v>30337</v>
      </c>
      <c r="G6523" t="s">
        <v>30338</v>
      </c>
      <c r="L6523" t="s">
        <v>83</v>
      </c>
      <c r="M6523" t="s">
        <v>75</v>
      </c>
      <c r="R6523" t="s">
        <v>30339</v>
      </c>
      <c r="W6523" t="s">
        <v>30340</v>
      </c>
      <c r="X6523" t="s">
        <v>790</v>
      </c>
      <c r="Y6523" t="s">
        <v>236</v>
      </c>
      <c r="Z6523" t="s">
        <v>77</v>
      </c>
      <c r="AA6523" t="str">
        <f>"11102-1874"</f>
        <v>11102-1874</v>
      </c>
      <c r="AB6523" t="s">
        <v>78</v>
      </c>
      <c r="AC6523" t="s">
        <v>79</v>
      </c>
      <c r="AD6523" t="s">
        <v>75</v>
      </c>
      <c r="AE6523" t="s">
        <v>80</v>
      </c>
      <c r="AG6523" t="s">
        <v>81</v>
      </c>
    </row>
    <row r="6524" spans="1:33" x14ac:dyDescent="0.25">
      <c r="A6524" t="str">
        <f>"1366425464"</f>
        <v>1366425464</v>
      </c>
      <c r="B6524" t="str">
        <f>"01670180"</f>
        <v>01670180</v>
      </c>
      <c r="C6524" t="s">
        <v>13436</v>
      </c>
      <c r="D6524" t="s">
        <v>30341</v>
      </c>
      <c r="E6524" t="s">
        <v>30342</v>
      </c>
      <c r="L6524" t="s">
        <v>74</v>
      </c>
      <c r="M6524" t="s">
        <v>85</v>
      </c>
      <c r="R6524" t="s">
        <v>30343</v>
      </c>
      <c r="W6524" t="s">
        <v>30344</v>
      </c>
      <c r="X6524" t="s">
        <v>329</v>
      </c>
      <c r="Y6524" t="s">
        <v>97</v>
      </c>
      <c r="Z6524" t="s">
        <v>77</v>
      </c>
      <c r="AA6524" t="str">
        <f>"10029-6500"</f>
        <v>10029-6500</v>
      </c>
      <c r="AB6524" t="s">
        <v>78</v>
      </c>
      <c r="AC6524" t="s">
        <v>79</v>
      </c>
      <c r="AD6524" t="s">
        <v>75</v>
      </c>
      <c r="AE6524" t="s">
        <v>80</v>
      </c>
      <c r="AG6524" t="s">
        <v>81</v>
      </c>
    </row>
    <row r="6525" spans="1:33" x14ac:dyDescent="0.25">
      <c r="A6525" t="str">
        <f>"1396926408"</f>
        <v>1396926408</v>
      </c>
      <c r="B6525" t="str">
        <f>"03367351"</f>
        <v>03367351</v>
      </c>
      <c r="C6525" t="s">
        <v>13436</v>
      </c>
      <c r="D6525" t="s">
        <v>30345</v>
      </c>
      <c r="E6525" t="s">
        <v>30346</v>
      </c>
      <c r="G6525" t="s">
        <v>30347</v>
      </c>
      <c r="L6525" t="s">
        <v>74</v>
      </c>
      <c r="M6525" t="s">
        <v>85</v>
      </c>
      <c r="R6525" t="s">
        <v>30348</v>
      </c>
      <c r="W6525" t="s">
        <v>30346</v>
      </c>
      <c r="X6525" t="s">
        <v>329</v>
      </c>
      <c r="Y6525" t="s">
        <v>97</v>
      </c>
      <c r="Z6525" t="s">
        <v>77</v>
      </c>
      <c r="AA6525" t="str">
        <f>"10029-6504"</f>
        <v>10029-6504</v>
      </c>
      <c r="AB6525" t="s">
        <v>78</v>
      </c>
      <c r="AC6525" t="s">
        <v>79</v>
      </c>
      <c r="AD6525" t="s">
        <v>75</v>
      </c>
      <c r="AE6525" t="s">
        <v>80</v>
      </c>
      <c r="AG6525" t="s">
        <v>81</v>
      </c>
    </row>
    <row r="6526" spans="1:33" x14ac:dyDescent="0.25">
      <c r="A6526" t="str">
        <f>"1346216157"</f>
        <v>1346216157</v>
      </c>
      <c r="B6526" t="str">
        <f>"02532103"</f>
        <v>02532103</v>
      </c>
      <c r="C6526" t="s">
        <v>13436</v>
      </c>
      <c r="D6526" t="s">
        <v>30349</v>
      </c>
      <c r="E6526" t="s">
        <v>30350</v>
      </c>
      <c r="G6526" t="s">
        <v>30351</v>
      </c>
      <c r="L6526" t="s">
        <v>83</v>
      </c>
      <c r="M6526" t="s">
        <v>85</v>
      </c>
      <c r="R6526" t="s">
        <v>30352</v>
      </c>
      <c r="W6526" t="s">
        <v>30350</v>
      </c>
      <c r="X6526" t="s">
        <v>272</v>
      </c>
      <c r="Y6526" t="s">
        <v>97</v>
      </c>
      <c r="Z6526" t="s">
        <v>77</v>
      </c>
      <c r="AA6526" t="str">
        <f>"10029-6501"</f>
        <v>10029-6501</v>
      </c>
      <c r="AB6526" t="s">
        <v>78</v>
      </c>
      <c r="AC6526" t="s">
        <v>79</v>
      </c>
      <c r="AD6526" t="s">
        <v>75</v>
      </c>
      <c r="AE6526" t="s">
        <v>80</v>
      </c>
      <c r="AG6526" t="s">
        <v>81</v>
      </c>
    </row>
    <row r="6527" spans="1:33" x14ac:dyDescent="0.25">
      <c r="A6527" t="str">
        <f>"1346218880"</f>
        <v>1346218880</v>
      </c>
      <c r="B6527" t="str">
        <f>"02588223"</f>
        <v>02588223</v>
      </c>
      <c r="C6527" t="s">
        <v>13436</v>
      </c>
      <c r="D6527" t="s">
        <v>30353</v>
      </c>
      <c r="E6527" t="s">
        <v>30354</v>
      </c>
      <c r="G6527" t="s">
        <v>30355</v>
      </c>
      <c r="L6527" t="s">
        <v>74</v>
      </c>
      <c r="M6527" t="s">
        <v>85</v>
      </c>
      <c r="R6527" t="s">
        <v>30356</v>
      </c>
      <c r="W6527" t="s">
        <v>30354</v>
      </c>
      <c r="X6527" t="s">
        <v>272</v>
      </c>
      <c r="Y6527" t="s">
        <v>97</v>
      </c>
      <c r="Z6527" t="s">
        <v>77</v>
      </c>
      <c r="AA6527" t="str">
        <f>"10029-6501"</f>
        <v>10029-6501</v>
      </c>
      <c r="AB6527" t="s">
        <v>78</v>
      </c>
      <c r="AC6527" t="s">
        <v>79</v>
      </c>
      <c r="AD6527" t="s">
        <v>75</v>
      </c>
      <c r="AE6527" t="s">
        <v>80</v>
      </c>
      <c r="AG6527" t="s">
        <v>81</v>
      </c>
    </row>
    <row r="6528" spans="1:33" x14ac:dyDescent="0.25">
      <c r="A6528" t="str">
        <f>"1346225596"</f>
        <v>1346225596</v>
      </c>
      <c r="B6528" t="str">
        <f>"03570876"</f>
        <v>03570876</v>
      </c>
      <c r="C6528" t="s">
        <v>13436</v>
      </c>
      <c r="D6528" t="s">
        <v>30357</v>
      </c>
      <c r="E6528" t="s">
        <v>30358</v>
      </c>
      <c r="G6528" t="s">
        <v>30359</v>
      </c>
      <c r="L6528" t="s">
        <v>102</v>
      </c>
      <c r="M6528" t="s">
        <v>75</v>
      </c>
      <c r="R6528" t="s">
        <v>30360</v>
      </c>
      <c r="W6528" t="s">
        <v>30358</v>
      </c>
      <c r="X6528" t="s">
        <v>30361</v>
      </c>
      <c r="Y6528" t="s">
        <v>14555</v>
      </c>
      <c r="Z6528" t="s">
        <v>3878</v>
      </c>
      <c r="AA6528" t="str">
        <f>"78705-1852"</f>
        <v>78705-1852</v>
      </c>
      <c r="AB6528" t="s">
        <v>78</v>
      </c>
      <c r="AC6528" t="s">
        <v>79</v>
      </c>
      <c r="AD6528" t="s">
        <v>75</v>
      </c>
      <c r="AE6528" t="s">
        <v>80</v>
      </c>
      <c r="AG6528" t="s">
        <v>81</v>
      </c>
    </row>
    <row r="6529" spans="1:33" x14ac:dyDescent="0.25">
      <c r="A6529" t="str">
        <f>"1508925975"</f>
        <v>1508925975</v>
      </c>
      <c r="B6529" t="str">
        <f>"03514752"</f>
        <v>03514752</v>
      </c>
      <c r="C6529" t="s">
        <v>13436</v>
      </c>
      <c r="D6529" t="s">
        <v>30362</v>
      </c>
      <c r="E6529" t="s">
        <v>30363</v>
      </c>
      <c r="G6529" t="s">
        <v>30364</v>
      </c>
      <c r="L6529" t="s">
        <v>74</v>
      </c>
      <c r="M6529" t="s">
        <v>75</v>
      </c>
      <c r="R6529" t="s">
        <v>30365</v>
      </c>
      <c r="W6529" t="s">
        <v>30363</v>
      </c>
      <c r="X6529" t="s">
        <v>30366</v>
      </c>
      <c r="Y6529" t="s">
        <v>3087</v>
      </c>
      <c r="Z6529" t="s">
        <v>77</v>
      </c>
      <c r="AA6529" t="str">
        <f>"10591-1075"</f>
        <v>10591-1075</v>
      </c>
      <c r="AB6529" t="s">
        <v>125</v>
      </c>
      <c r="AC6529" t="s">
        <v>79</v>
      </c>
      <c r="AD6529" t="s">
        <v>75</v>
      </c>
      <c r="AE6529" t="s">
        <v>80</v>
      </c>
      <c r="AG6529" t="s">
        <v>81</v>
      </c>
    </row>
    <row r="6530" spans="1:33" x14ac:dyDescent="0.25">
      <c r="A6530" t="str">
        <f>"1508975210"</f>
        <v>1508975210</v>
      </c>
      <c r="B6530" t="str">
        <f>"01066417"</f>
        <v>01066417</v>
      </c>
      <c r="C6530" t="s">
        <v>13436</v>
      </c>
      <c r="D6530" t="s">
        <v>30367</v>
      </c>
      <c r="E6530" t="s">
        <v>30368</v>
      </c>
      <c r="G6530" t="s">
        <v>30369</v>
      </c>
      <c r="L6530" t="s">
        <v>74</v>
      </c>
      <c r="M6530" t="s">
        <v>85</v>
      </c>
      <c r="R6530" t="s">
        <v>30370</v>
      </c>
      <c r="W6530" t="s">
        <v>30371</v>
      </c>
      <c r="X6530" t="s">
        <v>30372</v>
      </c>
      <c r="Y6530" t="s">
        <v>97</v>
      </c>
      <c r="Z6530" t="s">
        <v>77</v>
      </c>
      <c r="AA6530" t="str">
        <f>"10029-6503"</f>
        <v>10029-6503</v>
      </c>
      <c r="AB6530" t="s">
        <v>78</v>
      </c>
      <c r="AC6530" t="s">
        <v>79</v>
      </c>
      <c r="AD6530" t="s">
        <v>75</v>
      </c>
      <c r="AE6530" t="s">
        <v>80</v>
      </c>
      <c r="AG6530" t="s">
        <v>81</v>
      </c>
    </row>
    <row r="6531" spans="1:33" x14ac:dyDescent="0.25">
      <c r="A6531" t="str">
        <f>"1518004993"</f>
        <v>1518004993</v>
      </c>
      <c r="B6531" t="str">
        <f>"02984898"</f>
        <v>02984898</v>
      </c>
      <c r="C6531" t="s">
        <v>13436</v>
      </c>
      <c r="D6531" t="s">
        <v>30373</v>
      </c>
      <c r="E6531" t="s">
        <v>30374</v>
      </c>
      <c r="L6531" t="s">
        <v>83</v>
      </c>
      <c r="M6531" t="s">
        <v>85</v>
      </c>
      <c r="R6531" t="s">
        <v>30375</v>
      </c>
      <c r="W6531" t="s">
        <v>30376</v>
      </c>
      <c r="X6531" t="s">
        <v>30377</v>
      </c>
      <c r="Y6531" t="s">
        <v>97</v>
      </c>
      <c r="Z6531" t="s">
        <v>77</v>
      </c>
      <c r="AA6531" t="str">
        <f>"10029-6501"</f>
        <v>10029-6501</v>
      </c>
      <c r="AB6531" t="s">
        <v>78</v>
      </c>
      <c r="AC6531" t="s">
        <v>79</v>
      </c>
      <c r="AD6531" t="s">
        <v>75</v>
      </c>
      <c r="AE6531" t="s">
        <v>80</v>
      </c>
      <c r="AG6531" t="s">
        <v>81</v>
      </c>
    </row>
    <row r="6532" spans="1:33" x14ac:dyDescent="0.25">
      <c r="A6532" t="str">
        <f>"1225396922"</f>
        <v>1225396922</v>
      </c>
      <c r="C6532" t="s">
        <v>13436</v>
      </c>
      <c r="K6532" t="s">
        <v>99</v>
      </c>
      <c r="L6532" t="s">
        <v>102</v>
      </c>
      <c r="M6532" t="s">
        <v>75</v>
      </c>
      <c r="R6532" t="s">
        <v>30378</v>
      </c>
      <c r="S6532" t="s">
        <v>30379</v>
      </c>
      <c r="T6532" t="s">
        <v>97</v>
      </c>
      <c r="U6532" t="s">
        <v>77</v>
      </c>
      <c r="V6532" t="str">
        <f>"100033821"</f>
        <v>100033821</v>
      </c>
      <c r="AC6532" t="s">
        <v>79</v>
      </c>
      <c r="AD6532" t="s">
        <v>75</v>
      </c>
      <c r="AE6532" t="s">
        <v>103</v>
      </c>
      <c r="AG6532" t="s">
        <v>81</v>
      </c>
    </row>
    <row r="6533" spans="1:33" x14ac:dyDescent="0.25">
      <c r="A6533" t="str">
        <f>"1124439849"</f>
        <v>1124439849</v>
      </c>
      <c r="C6533" t="s">
        <v>13436</v>
      </c>
      <c r="K6533" t="s">
        <v>99</v>
      </c>
      <c r="L6533" t="s">
        <v>102</v>
      </c>
      <c r="M6533" t="s">
        <v>75</v>
      </c>
      <c r="R6533" t="s">
        <v>30380</v>
      </c>
      <c r="S6533" t="s">
        <v>11602</v>
      </c>
      <c r="T6533" t="s">
        <v>97</v>
      </c>
      <c r="U6533" t="s">
        <v>77</v>
      </c>
      <c r="V6533" t="str">
        <f>"100295204"</f>
        <v>100295204</v>
      </c>
      <c r="AC6533" t="s">
        <v>79</v>
      </c>
      <c r="AD6533" t="s">
        <v>75</v>
      </c>
      <c r="AE6533" t="s">
        <v>103</v>
      </c>
      <c r="AG6533" t="s">
        <v>81</v>
      </c>
    </row>
    <row r="6534" spans="1:33" x14ac:dyDescent="0.25">
      <c r="A6534" t="str">
        <f>"1124441498"</f>
        <v>1124441498</v>
      </c>
      <c r="C6534" t="s">
        <v>13436</v>
      </c>
      <c r="K6534" t="s">
        <v>99</v>
      </c>
      <c r="L6534" t="s">
        <v>102</v>
      </c>
      <c r="M6534" t="s">
        <v>75</v>
      </c>
      <c r="R6534" t="s">
        <v>30381</v>
      </c>
      <c r="S6534" t="s">
        <v>2926</v>
      </c>
      <c r="T6534" t="s">
        <v>97</v>
      </c>
      <c r="U6534" t="s">
        <v>77</v>
      </c>
      <c r="V6534" t="str">
        <f>"100296503"</f>
        <v>100296503</v>
      </c>
      <c r="AC6534" t="s">
        <v>79</v>
      </c>
      <c r="AD6534" t="s">
        <v>75</v>
      </c>
      <c r="AE6534" t="s">
        <v>103</v>
      </c>
      <c r="AG6534" t="s">
        <v>81</v>
      </c>
    </row>
    <row r="6535" spans="1:33" x14ac:dyDescent="0.25">
      <c r="A6535" t="str">
        <f>"1275829574"</f>
        <v>1275829574</v>
      </c>
      <c r="C6535" t="s">
        <v>13436</v>
      </c>
      <c r="K6535" t="s">
        <v>99</v>
      </c>
      <c r="L6535" t="s">
        <v>102</v>
      </c>
      <c r="M6535" t="s">
        <v>75</v>
      </c>
      <c r="R6535" t="s">
        <v>30382</v>
      </c>
      <c r="S6535" t="s">
        <v>13562</v>
      </c>
      <c r="T6535" t="s">
        <v>97</v>
      </c>
      <c r="U6535" t="s">
        <v>77</v>
      </c>
      <c r="V6535" t="str">
        <f>"100296508"</f>
        <v>100296508</v>
      </c>
      <c r="AC6535" t="s">
        <v>79</v>
      </c>
      <c r="AD6535" t="s">
        <v>75</v>
      </c>
      <c r="AE6535" t="s">
        <v>103</v>
      </c>
      <c r="AG6535" t="s">
        <v>81</v>
      </c>
    </row>
    <row r="6536" spans="1:33" x14ac:dyDescent="0.25">
      <c r="A6536" t="str">
        <f>"1275837593"</f>
        <v>1275837593</v>
      </c>
      <c r="C6536" t="s">
        <v>13436</v>
      </c>
      <c r="K6536" t="s">
        <v>99</v>
      </c>
      <c r="L6536" t="s">
        <v>102</v>
      </c>
      <c r="M6536" t="s">
        <v>75</v>
      </c>
      <c r="R6536" t="s">
        <v>30383</v>
      </c>
      <c r="S6536" t="s">
        <v>329</v>
      </c>
      <c r="T6536" t="s">
        <v>97</v>
      </c>
      <c r="U6536" t="s">
        <v>77</v>
      </c>
      <c r="V6536" t="str">
        <f>"100296500"</f>
        <v>100296500</v>
      </c>
      <c r="AC6536" t="s">
        <v>79</v>
      </c>
      <c r="AD6536" t="s">
        <v>75</v>
      </c>
      <c r="AE6536" t="s">
        <v>103</v>
      </c>
      <c r="AG6536" t="s">
        <v>81</v>
      </c>
    </row>
    <row r="6537" spans="1:33" x14ac:dyDescent="0.25">
      <c r="A6537" t="str">
        <f>"1275851008"</f>
        <v>1275851008</v>
      </c>
      <c r="B6537" t="str">
        <f>"03990530"</f>
        <v>03990530</v>
      </c>
      <c r="C6537" t="s">
        <v>13436</v>
      </c>
      <c r="D6537" t="s">
        <v>30384</v>
      </c>
      <c r="E6537" t="s">
        <v>30385</v>
      </c>
      <c r="G6537" t="s">
        <v>30386</v>
      </c>
      <c r="L6537" t="s">
        <v>83</v>
      </c>
      <c r="M6537" t="s">
        <v>75</v>
      </c>
      <c r="R6537" t="s">
        <v>30387</v>
      </c>
      <c r="W6537" t="s">
        <v>30385</v>
      </c>
      <c r="X6537" t="s">
        <v>2587</v>
      </c>
      <c r="Y6537" t="s">
        <v>97</v>
      </c>
      <c r="Z6537" t="s">
        <v>77</v>
      </c>
      <c r="AA6537" t="str">
        <f>"10003-3314"</f>
        <v>10003-3314</v>
      </c>
      <c r="AB6537" t="s">
        <v>78</v>
      </c>
      <c r="AC6537" t="s">
        <v>79</v>
      </c>
      <c r="AD6537" t="s">
        <v>75</v>
      </c>
      <c r="AE6537" t="s">
        <v>80</v>
      </c>
      <c r="AG6537" t="s">
        <v>81</v>
      </c>
    </row>
    <row r="6538" spans="1:33" x14ac:dyDescent="0.25">
      <c r="A6538" t="str">
        <f>"1285630368"</f>
        <v>1285630368</v>
      </c>
      <c r="B6538" t="str">
        <f>"02046495"</f>
        <v>02046495</v>
      </c>
      <c r="C6538" t="s">
        <v>13436</v>
      </c>
      <c r="D6538" t="s">
        <v>30388</v>
      </c>
      <c r="E6538" t="s">
        <v>30389</v>
      </c>
      <c r="G6538" t="s">
        <v>30390</v>
      </c>
      <c r="L6538" t="s">
        <v>83</v>
      </c>
      <c r="M6538" t="s">
        <v>85</v>
      </c>
      <c r="R6538" t="s">
        <v>30391</v>
      </c>
      <c r="W6538" t="s">
        <v>30389</v>
      </c>
      <c r="X6538" t="s">
        <v>27352</v>
      </c>
      <c r="Y6538" t="s">
        <v>160</v>
      </c>
      <c r="Z6538" t="s">
        <v>77</v>
      </c>
      <c r="AA6538" t="str">
        <f>"11030-3008"</f>
        <v>11030-3008</v>
      </c>
      <c r="AB6538" t="s">
        <v>78</v>
      </c>
      <c r="AC6538" t="s">
        <v>79</v>
      </c>
      <c r="AD6538" t="s">
        <v>75</v>
      </c>
      <c r="AE6538" t="s">
        <v>80</v>
      </c>
      <c r="AG6538" t="s">
        <v>81</v>
      </c>
    </row>
    <row r="6539" spans="1:33" x14ac:dyDescent="0.25">
      <c r="A6539" t="str">
        <f>"1285634451"</f>
        <v>1285634451</v>
      </c>
      <c r="B6539" t="str">
        <f>"02061732"</f>
        <v>02061732</v>
      </c>
      <c r="C6539" t="s">
        <v>13436</v>
      </c>
      <c r="D6539" t="s">
        <v>30392</v>
      </c>
      <c r="E6539" t="s">
        <v>30393</v>
      </c>
      <c r="G6539" t="s">
        <v>30394</v>
      </c>
      <c r="L6539" t="s">
        <v>83</v>
      </c>
      <c r="M6539" t="s">
        <v>85</v>
      </c>
      <c r="R6539" t="s">
        <v>30395</v>
      </c>
      <c r="W6539" t="s">
        <v>30393</v>
      </c>
      <c r="X6539" t="s">
        <v>2926</v>
      </c>
      <c r="Y6539" t="s">
        <v>97</v>
      </c>
      <c r="Z6539" t="s">
        <v>77</v>
      </c>
      <c r="AA6539" t="str">
        <f>"10029-6503"</f>
        <v>10029-6503</v>
      </c>
      <c r="AB6539" t="s">
        <v>78</v>
      </c>
      <c r="AC6539" t="s">
        <v>79</v>
      </c>
      <c r="AD6539" t="s">
        <v>75</v>
      </c>
      <c r="AE6539" t="s">
        <v>80</v>
      </c>
      <c r="AG6539" t="s">
        <v>81</v>
      </c>
    </row>
    <row r="6540" spans="1:33" x14ac:dyDescent="0.25">
      <c r="A6540" t="str">
        <f>"1285640177"</f>
        <v>1285640177</v>
      </c>
      <c r="B6540" t="str">
        <f>"01076315"</f>
        <v>01076315</v>
      </c>
      <c r="C6540" t="s">
        <v>13436</v>
      </c>
      <c r="D6540" t="s">
        <v>30396</v>
      </c>
      <c r="E6540" t="s">
        <v>30397</v>
      </c>
      <c r="G6540" t="s">
        <v>30398</v>
      </c>
      <c r="L6540" t="s">
        <v>83</v>
      </c>
      <c r="M6540" t="s">
        <v>85</v>
      </c>
      <c r="R6540" t="s">
        <v>30399</v>
      </c>
      <c r="W6540" t="s">
        <v>30397</v>
      </c>
      <c r="X6540" t="s">
        <v>11945</v>
      </c>
      <c r="Y6540" t="s">
        <v>2128</v>
      </c>
      <c r="Z6540" t="s">
        <v>77</v>
      </c>
      <c r="AA6540" t="str">
        <f>"11743-2779"</f>
        <v>11743-2779</v>
      </c>
      <c r="AB6540" t="s">
        <v>78</v>
      </c>
      <c r="AC6540" t="s">
        <v>79</v>
      </c>
      <c r="AD6540" t="s">
        <v>75</v>
      </c>
      <c r="AE6540" t="s">
        <v>80</v>
      </c>
      <c r="AG6540" t="s">
        <v>81</v>
      </c>
    </row>
    <row r="6541" spans="1:33" x14ac:dyDescent="0.25">
      <c r="A6541" t="str">
        <f>"1285652024"</f>
        <v>1285652024</v>
      </c>
      <c r="B6541" t="str">
        <f>"00600179"</f>
        <v>00600179</v>
      </c>
      <c r="C6541" t="s">
        <v>13436</v>
      </c>
      <c r="D6541" t="s">
        <v>30400</v>
      </c>
      <c r="E6541" t="s">
        <v>30401</v>
      </c>
      <c r="G6541" t="s">
        <v>30402</v>
      </c>
      <c r="L6541" t="s">
        <v>83</v>
      </c>
      <c r="M6541" t="s">
        <v>85</v>
      </c>
      <c r="R6541" t="s">
        <v>30403</v>
      </c>
      <c r="W6541" t="s">
        <v>30401</v>
      </c>
      <c r="X6541" t="s">
        <v>272</v>
      </c>
      <c r="Y6541" t="s">
        <v>97</v>
      </c>
      <c r="Z6541" t="s">
        <v>77</v>
      </c>
      <c r="AA6541" t="str">
        <f>"10029-6501"</f>
        <v>10029-6501</v>
      </c>
      <c r="AB6541" t="s">
        <v>78</v>
      </c>
      <c r="AC6541" t="s">
        <v>79</v>
      </c>
      <c r="AD6541" t="s">
        <v>75</v>
      </c>
      <c r="AE6541" t="s">
        <v>80</v>
      </c>
      <c r="AG6541" t="s">
        <v>81</v>
      </c>
    </row>
    <row r="6542" spans="1:33" x14ac:dyDescent="0.25">
      <c r="A6542" t="str">
        <f>"1285673426"</f>
        <v>1285673426</v>
      </c>
      <c r="B6542" t="str">
        <f>"00810568"</f>
        <v>00810568</v>
      </c>
      <c r="C6542" t="s">
        <v>13436</v>
      </c>
      <c r="D6542" t="s">
        <v>30404</v>
      </c>
      <c r="E6542" t="s">
        <v>30405</v>
      </c>
      <c r="G6542" t="s">
        <v>30406</v>
      </c>
      <c r="L6542" t="s">
        <v>83</v>
      </c>
      <c r="M6542" t="s">
        <v>85</v>
      </c>
      <c r="R6542" t="s">
        <v>30407</v>
      </c>
      <c r="W6542" t="s">
        <v>30405</v>
      </c>
      <c r="X6542" t="s">
        <v>30408</v>
      </c>
      <c r="Y6542" t="s">
        <v>97</v>
      </c>
      <c r="Z6542" t="s">
        <v>77</v>
      </c>
      <c r="AA6542" t="str">
        <f>"10029-6500"</f>
        <v>10029-6500</v>
      </c>
      <c r="AB6542" t="s">
        <v>78</v>
      </c>
      <c r="AC6542" t="s">
        <v>79</v>
      </c>
      <c r="AD6542" t="s">
        <v>75</v>
      </c>
      <c r="AE6542" t="s">
        <v>80</v>
      </c>
      <c r="AG6542" t="s">
        <v>81</v>
      </c>
    </row>
    <row r="6543" spans="1:33" x14ac:dyDescent="0.25">
      <c r="A6543" t="str">
        <f>"1124461207"</f>
        <v>1124461207</v>
      </c>
      <c r="C6543" t="s">
        <v>13436</v>
      </c>
      <c r="K6543" t="s">
        <v>99</v>
      </c>
      <c r="L6543" t="s">
        <v>102</v>
      </c>
      <c r="M6543" t="s">
        <v>75</v>
      </c>
      <c r="R6543" t="s">
        <v>30409</v>
      </c>
      <c r="S6543" t="s">
        <v>30410</v>
      </c>
      <c r="T6543" t="s">
        <v>97</v>
      </c>
      <c r="U6543" t="s">
        <v>77</v>
      </c>
      <c r="V6543" t="str">
        <f>"100296552"</f>
        <v>100296552</v>
      </c>
      <c r="AC6543" t="s">
        <v>79</v>
      </c>
      <c r="AD6543" t="s">
        <v>75</v>
      </c>
      <c r="AE6543" t="s">
        <v>103</v>
      </c>
      <c r="AG6543" t="s">
        <v>81</v>
      </c>
    </row>
    <row r="6544" spans="1:33" x14ac:dyDescent="0.25">
      <c r="A6544" t="str">
        <f>"1124462619"</f>
        <v>1124462619</v>
      </c>
      <c r="C6544" t="s">
        <v>13436</v>
      </c>
      <c r="K6544" t="s">
        <v>99</v>
      </c>
      <c r="L6544" t="s">
        <v>102</v>
      </c>
      <c r="M6544" t="s">
        <v>75</v>
      </c>
      <c r="R6544" t="s">
        <v>30411</v>
      </c>
      <c r="S6544" t="s">
        <v>23601</v>
      </c>
      <c r="T6544" t="s">
        <v>97</v>
      </c>
      <c r="U6544" t="s">
        <v>77</v>
      </c>
      <c r="V6544" t="str">
        <f>"100296503"</f>
        <v>100296503</v>
      </c>
      <c r="AC6544" t="s">
        <v>79</v>
      </c>
      <c r="AD6544" t="s">
        <v>75</v>
      </c>
      <c r="AE6544" t="s">
        <v>103</v>
      </c>
      <c r="AG6544" t="s">
        <v>81</v>
      </c>
    </row>
    <row r="6545" spans="1:33" x14ac:dyDescent="0.25">
      <c r="A6545" t="str">
        <f>"1366747230"</f>
        <v>1366747230</v>
      </c>
      <c r="B6545" t="str">
        <f>"03867769"</f>
        <v>03867769</v>
      </c>
      <c r="C6545" t="s">
        <v>13436</v>
      </c>
      <c r="D6545" t="s">
        <v>30412</v>
      </c>
      <c r="E6545" t="s">
        <v>30413</v>
      </c>
      <c r="G6545" t="s">
        <v>30414</v>
      </c>
      <c r="L6545" t="s">
        <v>74</v>
      </c>
      <c r="M6545" t="s">
        <v>75</v>
      </c>
      <c r="R6545" t="s">
        <v>30415</v>
      </c>
      <c r="W6545" t="s">
        <v>30413</v>
      </c>
      <c r="X6545" t="s">
        <v>329</v>
      </c>
      <c r="Y6545" t="s">
        <v>97</v>
      </c>
      <c r="Z6545" t="s">
        <v>77</v>
      </c>
      <c r="AA6545" t="str">
        <f>"10029-6504"</f>
        <v>10029-6504</v>
      </c>
      <c r="AB6545" t="s">
        <v>78</v>
      </c>
      <c r="AC6545" t="s">
        <v>79</v>
      </c>
      <c r="AD6545" t="s">
        <v>75</v>
      </c>
      <c r="AE6545" t="s">
        <v>80</v>
      </c>
      <c r="AG6545" t="s">
        <v>81</v>
      </c>
    </row>
    <row r="6546" spans="1:33" x14ac:dyDescent="0.25">
      <c r="A6546" t="str">
        <f>"1366765158"</f>
        <v>1366765158</v>
      </c>
      <c r="B6546" t="str">
        <f>"03879903"</f>
        <v>03879903</v>
      </c>
      <c r="C6546" t="s">
        <v>13436</v>
      </c>
      <c r="D6546" t="s">
        <v>30416</v>
      </c>
      <c r="E6546" t="s">
        <v>30417</v>
      </c>
      <c r="L6546" t="s">
        <v>74</v>
      </c>
      <c r="M6546" t="s">
        <v>75</v>
      </c>
      <c r="R6546" t="s">
        <v>30418</v>
      </c>
      <c r="W6546" t="s">
        <v>30417</v>
      </c>
      <c r="X6546" t="s">
        <v>21255</v>
      </c>
      <c r="Y6546" t="s">
        <v>97</v>
      </c>
      <c r="Z6546" t="s">
        <v>77</v>
      </c>
      <c r="AA6546" t="str">
        <f>"10003-3881"</f>
        <v>10003-3881</v>
      </c>
      <c r="AB6546" t="s">
        <v>78</v>
      </c>
      <c r="AC6546" t="s">
        <v>79</v>
      </c>
      <c r="AD6546" t="s">
        <v>75</v>
      </c>
      <c r="AE6546" t="s">
        <v>80</v>
      </c>
      <c r="AG6546" t="s">
        <v>81</v>
      </c>
    </row>
    <row r="6547" spans="1:33" x14ac:dyDescent="0.25">
      <c r="A6547" t="str">
        <f>"1326201211"</f>
        <v>1326201211</v>
      </c>
      <c r="B6547" t="str">
        <f>"04071445"</f>
        <v>04071445</v>
      </c>
      <c r="C6547" t="s">
        <v>13436</v>
      </c>
      <c r="D6547" t="s">
        <v>30419</v>
      </c>
      <c r="E6547" t="s">
        <v>30420</v>
      </c>
      <c r="G6547" t="s">
        <v>30421</v>
      </c>
      <c r="L6547" t="s">
        <v>74</v>
      </c>
      <c r="M6547" t="s">
        <v>75</v>
      </c>
      <c r="R6547" t="s">
        <v>30422</v>
      </c>
      <c r="W6547" t="s">
        <v>30420</v>
      </c>
      <c r="X6547" t="s">
        <v>11945</v>
      </c>
      <c r="Y6547" t="s">
        <v>2128</v>
      </c>
      <c r="Z6547" t="s">
        <v>77</v>
      </c>
      <c r="AA6547" t="str">
        <f>"11743-2779"</f>
        <v>11743-2779</v>
      </c>
      <c r="AB6547" t="s">
        <v>78</v>
      </c>
      <c r="AC6547" t="s">
        <v>79</v>
      </c>
      <c r="AD6547" t="s">
        <v>75</v>
      </c>
      <c r="AE6547" t="s">
        <v>80</v>
      </c>
      <c r="AG6547" t="s">
        <v>81</v>
      </c>
    </row>
    <row r="6548" spans="1:33" x14ac:dyDescent="0.25">
      <c r="A6548" t="str">
        <f>"1326206152"</f>
        <v>1326206152</v>
      </c>
      <c r="C6548" t="s">
        <v>13436</v>
      </c>
      <c r="K6548" t="s">
        <v>99</v>
      </c>
      <c r="L6548" t="s">
        <v>102</v>
      </c>
      <c r="M6548" t="s">
        <v>75</v>
      </c>
      <c r="R6548" t="s">
        <v>30423</v>
      </c>
      <c r="S6548" t="s">
        <v>30424</v>
      </c>
      <c r="T6548" t="s">
        <v>97</v>
      </c>
      <c r="U6548" t="s">
        <v>77</v>
      </c>
      <c r="V6548" t="str">
        <f>"10029"</f>
        <v>10029</v>
      </c>
      <c r="AC6548" t="s">
        <v>79</v>
      </c>
      <c r="AD6548" t="s">
        <v>75</v>
      </c>
      <c r="AE6548" t="s">
        <v>103</v>
      </c>
      <c r="AG6548" t="s">
        <v>81</v>
      </c>
    </row>
    <row r="6549" spans="1:33" x14ac:dyDescent="0.25">
      <c r="A6549" t="str">
        <f>"1326228180"</f>
        <v>1326228180</v>
      </c>
      <c r="C6549" t="s">
        <v>13436</v>
      </c>
      <c r="K6549" t="s">
        <v>99</v>
      </c>
      <c r="L6549" t="s">
        <v>102</v>
      </c>
      <c r="M6549" t="s">
        <v>75</v>
      </c>
      <c r="R6549" t="s">
        <v>30425</v>
      </c>
      <c r="S6549" t="s">
        <v>30426</v>
      </c>
      <c r="T6549" t="s">
        <v>3130</v>
      </c>
      <c r="U6549" t="s">
        <v>77</v>
      </c>
      <c r="V6549" t="str">
        <f>"114132672"</f>
        <v>114132672</v>
      </c>
      <c r="AC6549" t="s">
        <v>79</v>
      </c>
      <c r="AD6549" t="s">
        <v>75</v>
      </c>
      <c r="AE6549" t="s">
        <v>103</v>
      </c>
      <c r="AG6549" t="s">
        <v>81</v>
      </c>
    </row>
    <row r="6550" spans="1:33" x14ac:dyDescent="0.25">
      <c r="A6550" t="str">
        <f>"1326233222"</f>
        <v>1326233222</v>
      </c>
      <c r="B6550" t="str">
        <f>"03745140"</f>
        <v>03745140</v>
      </c>
      <c r="C6550" t="s">
        <v>13436</v>
      </c>
      <c r="D6550" t="s">
        <v>30427</v>
      </c>
      <c r="E6550" t="s">
        <v>30428</v>
      </c>
      <c r="G6550" t="s">
        <v>30429</v>
      </c>
      <c r="L6550" t="s">
        <v>102</v>
      </c>
      <c r="M6550" t="s">
        <v>75</v>
      </c>
      <c r="R6550" t="s">
        <v>30430</v>
      </c>
      <c r="W6550" t="s">
        <v>30428</v>
      </c>
      <c r="X6550" t="s">
        <v>11156</v>
      </c>
      <c r="Y6550" t="s">
        <v>97</v>
      </c>
      <c r="Z6550" t="s">
        <v>77</v>
      </c>
      <c r="AA6550" t="str">
        <f>"10029-6504"</f>
        <v>10029-6504</v>
      </c>
      <c r="AB6550" t="s">
        <v>78</v>
      </c>
      <c r="AC6550" t="s">
        <v>79</v>
      </c>
      <c r="AD6550" t="s">
        <v>75</v>
      </c>
      <c r="AE6550" t="s">
        <v>80</v>
      </c>
      <c r="AG6550" t="s">
        <v>81</v>
      </c>
    </row>
    <row r="6551" spans="1:33" x14ac:dyDescent="0.25">
      <c r="A6551" t="str">
        <f>"1548434913"</f>
        <v>1548434913</v>
      </c>
      <c r="B6551" t="str">
        <f>"04128589"</f>
        <v>04128589</v>
      </c>
      <c r="C6551" t="s">
        <v>13436</v>
      </c>
      <c r="D6551" t="s">
        <v>30431</v>
      </c>
      <c r="E6551" t="s">
        <v>30432</v>
      </c>
      <c r="L6551" t="s">
        <v>74</v>
      </c>
      <c r="M6551" t="s">
        <v>75</v>
      </c>
      <c r="R6551" t="s">
        <v>30433</v>
      </c>
      <c r="W6551" t="s">
        <v>30432</v>
      </c>
      <c r="X6551" t="s">
        <v>176</v>
      </c>
      <c r="Y6551" t="s">
        <v>171</v>
      </c>
      <c r="Z6551" t="s">
        <v>77</v>
      </c>
      <c r="AA6551" t="str">
        <f>"11432-1121"</f>
        <v>11432-1121</v>
      </c>
      <c r="AB6551" t="s">
        <v>78</v>
      </c>
      <c r="AC6551" t="s">
        <v>79</v>
      </c>
      <c r="AD6551" t="s">
        <v>75</v>
      </c>
      <c r="AE6551" t="s">
        <v>80</v>
      </c>
      <c r="AG6551" t="s">
        <v>81</v>
      </c>
    </row>
    <row r="6552" spans="1:33" x14ac:dyDescent="0.25">
      <c r="A6552" t="str">
        <f>"1548440688"</f>
        <v>1548440688</v>
      </c>
      <c r="B6552" t="str">
        <f>"03040099"</f>
        <v>03040099</v>
      </c>
      <c r="C6552" t="s">
        <v>13436</v>
      </c>
      <c r="D6552" t="s">
        <v>6250</v>
      </c>
      <c r="E6552" t="s">
        <v>6251</v>
      </c>
      <c r="G6552" t="s">
        <v>30434</v>
      </c>
      <c r="L6552" t="s">
        <v>84</v>
      </c>
      <c r="M6552" t="s">
        <v>85</v>
      </c>
      <c r="R6552" t="s">
        <v>6251</v>
      </c>
      <c r="W6552" t="s">
        <v>6252</v>
      </c>
      <c r="X6552" t="s">
        <v>6253</v>
      </c>
      <c r="Y6552" t="s">
        <v>205</v>
      </c>
      <c r="Z6552" t="s">
        <v>77</v>
      </c>
      <c r="AA6552" t="str">
        <f>"10977-5527"</f>
        <v>10977-5527</v>
      </c>
      <c r="AB6552" t="s">
        <v>78</v>
      </c>
      <c r="AC6552" t="s">
        <v>79</v>
      </c>
      <c r="AD6552" t="s">
        <v>75</v>
      </c>
      <c r="AE6552" t="s">
        <v>80</v>
      </c>
      <c r="AG6552" t="s">
        <v>81</v>
      </c>
    </row>
    <row r="6553" spans="1:33" x14ac:dyDescent="0.25">
      <c r="A6553" t="str">
        <f>"1083927503"</f>
        <v>1083927503</v>
      </c>
      <c r="C6553" t="s">
        <v>13436</v>
      </c>
      <c r="K6553" t="s">
        <v>99</v>
      </c>
      <c r="L6553" t="s">
        <v>102</v>
      </c>
      <c r="M6553" t="s">
        <v>75</v>
      </c>
      <c r="R6553" t="s">
        <v>30435</v>
      </c>
      <c r="S6553" t="s">
        <v>30436</v>
      </c>
      <c r="T6553" t="s">
        <v>97</v>
      </c>
      <c r="U6553" t="s">
        <v>77</v>
      </c>
      <c r="V6553" t="str">
        <f>"10023"</f>
        <v>10023</v>
      </c>
      <c r="AC6553" t="s">
        <v>79</v>
      </c>
      <c r="AD6553" t="s">
        <v>75</v>
      </c>
      <c r="AE6553" t="s">
        <v>103</v>
      </c>
      <c r="AG6553" t="s">
        <v>81</v>
      </c>
    </row>
    <row r="6554" spans="1:33" x14ac:dyDescent="0.25">
      <c r="A6554" t="str">
        <f>"1083929897"</f>
        <v>1083929897</v>
      </c>
      <c r="B6554" t="str">
        <f>"03730403"</f>
        <v>03730403</v>
      </c>
      <c r="C6554" t="s">
        <v>13436</v>
      </c>
      <c r="D6554" t="s">
        <v>30437</v>
      </c>
      <c r="E6554" t="s">
        <v>30438</v>
      </c>
      <c r="G6554" t="s">
        <v>30439</v>
      </c>
      <c r="L6554" t="s">
        <v>74</v>
      </c>
      <c r="M6554" t="s">
        <v>75</v>
      </c>
      <c r="R6554" t="s">
        <v>30440</v>
      </c>
      <c r="W6554" t="s">
        <v>30438</v>
      </c>
      <c r="X6554" t="s">
        <v>11195</v>
      </c>
      <c r="Y6554" t="s">
        <v>97</v>
      </c>
      <c r="Z6554" t="s">
        <v>77</v>
      </c>
      <c r="AA6554" t="str">
        <f>"10029-6030"</f>
        <v>10029-6030</v>
      </c>
      <c r="AB6554" t="s">
        <v>78</v>
      </c>
      <c r="AC6554" t="s">
        <v>79</v>
      </c>
      <c r="AD6554" t="s">
        <v>75</v>
      </c>
      <c r="AE6554" t="s">
        <v>80</v>
      </c>
      <c r="AG6554" t="s">
        <v>81</v>
      </c>
    </row>
    <row r="6555" spans="1:33" x14ac:dyDescent="0.25">
      <c r="A6555" t="str">
        <f>"1083938997"</f>
        <v>1083938997</v>
      </c>
      <c r="C6555" t="s">
        <v>13436</v>
      </c>
      <c r="K6555" t="s">
        <v>99</v>
      </c>
      <c r="L6555" t="s">
        <v>102</v>
      </c>
      <c r="M6555" t="s">
        <v>75</v>
      </c>
      <c r="R6555" t="s">
        <v>30441</v>
      </c>
      <c r="S6555" t="s">
        <v>30442</v>
      </c>
      <c r="T6555" t="s">
        <v>30443</v>
      </c>
      <c r="U6555" t="s">
        <v>4635</v>
      </c>
      <c r="V6555" t="str">
        <f>"701212429"</f>
        <v>701212429</v>
      </c>
      <c r="AC6555" t="s">
        <v>79</v>
      </c>
      <c r="AD6555" t="s">
        <v>75</v>
      </c>
      <c r="AE6555" t="s">
        <v>103</v>
      </c>
      <c r="AG6555" t="s">
        <v>81</v>
      </c>
    </row>
    <row r="6556" spans="1:33" x14ac:dyDescent="0.25">
      <c r="A6556" t="str">
        <f>"1083956486"</f>
        <v>1083956486</v>
      </c>
      <c r="C6556" t="s">
        <v>13436</v>
      </c>
      <c r="K6556" t="s">
        <v>99</v>
      </c>
      <c r="L6556" t="s">
        <v>102</v>
      </c>
      <c r="M6556" t="s">
        <v>75</v>
      </c>
      <c r="R6556" t="s">
        <v>30444</v>
      </c>
      <c r="S6556" t="s">
        <v>30445</v>
      </c>
      <c r="T6556" t="s">
        <v>30446</v>
      </c>
      <c r="U6556" t="s">
        <v>123</v>
      </c>
      <c r="V6556" t="str">
        <f>"021302635"</f>
        <v>021302635</v>
      </c>
      <c r="AC6556" t="s">
        <v>79</v>
      </c>
      <c r="AD6556" t="s">
        <v>75</v>
      </c>
      <c r="AE6556" t="s">
        <v>103</v>
      </c>
      <c r="AG6556" t="s">
        <v>81</v>
      </c>
    </row>
    <row r="6557" spans="1:33" x14ac:dyDescent="0.25">
      <c r="A6557" t="str">
        <f>"1083956692"</f>
        <v>1083956692</v>
      </c>
      <c r="C6557" t="s">
        <v>13436</v>
      </c>
      <c r="K6557" t="s">
        <v>99</v>
      </c>
      <c r="L6557" t="s">
        <v>102</v>
      </c>
      <c r="M6557" t="s">
        <v>75</v>
      </c>
      <c r="R6557" t="s">
        <v>30447</v>
      </c>
      <c r="S6557" t="s">
        <v>843</v>
      </c>
      <c r="T6557" t="s">
        <v>97</v>
      </c>
      <c r="U6557" t="s">
        <v>77</v>
      </c>
      <c r="V6557" t="str">
        <f>"100166402"</f>
        <v>100166402</v>
      </c>
      <c r="AC6557" t="s">
        <v>79</v>
      </c>
      <c r="AD6557" t="s">
        <v>75</v>
      </c>
      <c r="AE6557" t="s">
        <v>103</v>
      </c>
      <c r="AG6557" t="s">
        <v>81</v>
      </c>
    </row>
    <row r="6558" spans="1:33" x14ac:dyDescent="0.25">
      <c r="A6558" t="str">
        <f>"1083957799"</f>
        <v>1083957799</v>
      </c>
      <c r="B6558" t="str">
        <f>"04503480"</f>
        <v>04503480</v>
      </c>
      <c r="C6558" t="s">
        <v>13436</v>
      </c>
      <c r="D6558" t="s">
        <v>30448</v>
      </c>
      <c r="E6558" t="s">
        <v>30449</v>
      </c>
      <c r="L6558" t="s">
        <v>74</v>
      </c>
      <c r="M6558" t="s">
        <v>75</v>
      </c>
      <c r="R6558" t="s">
        <v>30449</v>
      </c>
      <c r="W6558" t="s">
        <v>30450</v>
      </c>
      <c r="AB6558" t="s">
        <v>78</v>
      </c>
      <c r="AC6558" t="s">
        <v>79</v>
      </c>
      <c r="AD6558" t="s">
        <v>75</v>
      </c>
      <c r="AE6558" t="s">
        <v>80</v>
      </c>
      <c r="AG6558" t="s">
        <v>81</v>
      </c>
    </row>
    <row r="6559" spans="1:33" x14ac:dyDescent="0.25">
      <c r="A6559" t="str">
        <f>"1083971022"</f>
        <v>1083971022</v>
      </c>
      <c r="C6559" t="s">
        <v>13436</v>
      </c>
      <c r="K6559" t="s">
        <v>99</v>
      </c>
      <c r="L6559" t="s">
        <v>102</v>
      </c>
      <c r="M6559" t="s">
        <v>75</v>
      </c>
      <c r="R6559" t="s">
        <v>30451</v>
      </c>
      <c r="S6559" t="s">
        <v>26543</v>
      </c>
      <c r="T6559" t="s">
        <v>124</v>
      </c>
      <c r="U6559" t="s">
        <v>2395</v>
      </c>
      <c r="V6559" t="str">
        <f>"559050001"</f>
        <v>559050001</v>
      </c>
      <c r="AC6559" t="s">
        <v>79</v>
      </c>
      <c r="AD6559" t="s">
        <v>75</v>
      </c>
      <c r="AE6559" t="s">
        <v>103</v>
      </c>
      <c r="AG6559" t="s">
        <v>81</v>
      </c>
    </row>
    <row r="6560" spans="1:33" x14ac:dyDescent="0.25">
      <c r="A6560" t="str">
        <f>"1609001130"</f>
        <v>1609001130</v>
      </c>
      <c r="C6560" t="s">
        <v>13436</v>
      </c>
      <c r="K6560" t="s">
        <v>99</v>
      </c>
      <c r="L6560" t="s">
        <v>102</v>
      </c>
      <c r="M6560" t="s">
        <v>75</v>
      </c>
      <c r="R6560" t="s">
        <v>30452</v>
      </c>
      <c r="S6560" t="s">
        <v>30453</v>
      </c>
      <c r="T6560" t="s">
        <v>97</v>
      </c>
      <c r="U6560" t="s">
        <v>77</v>
      </c>
      <c r="V6560" t="str">
        <f>"100296508"</f>
        <v>100296508</v>
      </c>
      <c r="AC6560" t="s">
        <v>79</v>
      </c>
      <c r="AD6560" t="s">
        <v>75</v>
      </c>
      <c r="AE6560" t="s">
        <v>103</v>
      </c>
      <c r="AG6560" t="s">
        <v>81</v>
      </c>
    </row>
    <row r="6561" spans="1:33" x14ac:dyDescent="0.25">
      <c r="A6561" t="str">
        <f>"1033147426"</f>
        <v>1033147426</v>
      </c>
      <c r="B6561" t="str">
        <f>"01900054"</f>
        <v>01900054</v>
      </c>
      <c r="C6561" t="s">
        <v>30454</v>
      </c>
      <c r="D6561" t="s">
        <v>681</v>
      </c>
      <c r="E6561" t="s">
        <v>682</v>
      </c>
      <c r="G6561" t="s">
        <v>30454</v>
      </c>
      <c r="H6561" t="s">
        <v>30455</v>
      </c>
      <c r="J6561" t="s">
        <v>30456</v>
      </c>
      <c r="L6561" t="s">
        <v>84</v>
      </c>
      <c r="M6561" t="s">
        <v>85</v>
      </c>
      <c r="R6561" t="s">
        <v>683</v>
      </c>
      <c r="W6561" t="s">
        <v>682</v>
      </c>
      <c r="X6561" t="s">
        <v>684</v>
      </c>
      <c r="Y6561" t="s">
        <v>129</v>
      </c>
      <c r="Z6561" t="s">
        <v>77</v>
      </c>
      <c r="AA6561" t="str">
        <f>"11372-6629"</f>
        <v>11372-6629</v>
      </c>
      <c r="AB6561" t="s">
        <v>78</v>
      </c>
      <c r="AC6561" t="s">
        <v>79</v>
      </c>
      <c r="AD6561" t="s">
        <v>75</v>
      </c>
      <c r="AE6561" t="s">
        <v>80</v>
      </c>
      <c r="AG6561" t="s">
        <v>81</v>
      </c>
    </row>
    <row r="6562" spans="1:33" x14ac:dyDescent="0.25">
      <c r="A6562" t="str">
        <f>"1699858506"</f>
        <v>1699858506</v>
      </c>
      <c r="B6562" t="str">
        <f>"02243589"</f>
        <v>02243589</v>
      </c>
      <c r="C6562" t="s">
        <v>30457</v>
      </c>
      <c r="D6562" t="s">
        <v>30458</v>
      </c>
      <c r="E6562" t="s">
        <v>30459</v>
      </c>
      <c r="G6562" t="s">
        <v>30457</v>
      </c>
      <c r="H6562" t="s">
        <v>30460</v>
      </c>
      <c r="J6562" t="s">
        <v>30461</v>
      </c>
      <c r="L6562" t="s">
        <v>84</v>
      </c>
      <c r="M6562" t="s">
        <v>75</v>
      </c>
      <c r="R6562" t="s">
        <v>30462</v>
      </c>
      <c r="W6562" t="s">
        <v>30459</v>
      </c>
      <c r="X6562" t="s">
        <v>151</v>
      </c>
      <c r="Y6562" t="s">
        <v>152</v>
      </c>
      <c r="Z6562" t="s">
        <v>77</v>
      </c>
      <c r="AA6562" t="str">
        <f>"11375-2029"</f>
        <v>11375-2029</v>
      </c>
      <c r="AB6562" t="s">
        <v>78</v>
      </c>
      <c r="AC6562" t="s">
        <v>79</v>
      </c>
      <c r="AD6562" t="s">
        <v>75</v>
      </c>
      <c r="AE6562" t="s">
        <v>80</v>
      </c>
      <c r="AG6562" t="s">
        <v>81</v>
      </c>
    </row>
    <row r="6563" spans="1:33" x14ac:dyDescent="0.25">
      <c r="A6563" t="str">
        <f>"1174584429"</f>
        <v>1174584429</v>
      </c>
      <c r="B6563" t="str">
        <f>"01845665"</f>
        <v>01845665</v>
      </c>
      <c r="C6563" t="s">
        <v>13436</v>
      </c>
      <c r="D6563" t="s">
        <v>30463</v>
      </c>
      <c r="E6563" t="s">
        <v>30464</v>
      </c>
      <c r="G6563" t="s">
        <v>30465</v>
      </c>
      <c r="L6563" t="s">
        <v>84</v>
      </c>
      <c r="M6563" t="s">
        <v>85</v>
      </c>
      <c r="R6563" t="s">
        <v>30466</v>
      </c>
      <c r="W6563" t="s">
        <v>30464</v>
      </c>
      <c r="X6563" t="s">
        <v>329</v>
      </c>
      <c r="Y6563" t="s">
        <v>97</v>
      </c>
      <c r="Z6563" t="s">
        <v>77</v>
      </c>
      <c r="AA6563" t="str">
        <f>"10029-6500"</f>
        <v>10029-6500</v>
      </c>
      <c r="AB6563" t="s">
        <v>78</v>
      </c>
      <c r="AC6563" t="s">
        <v>79</v>
      </c>
      <c r="AD6563" t="s">
        <v>75</v>
      </c>
      <c r="AE6563" t="s">
        <v>80</v>
      </c>
      <c r="AG6563" t="s">
        <v>81</v>
      </c>
    </row>
    <row r="6564" spans="1:33" x14ac:dyDescent="0.25">
      <c r="A6564" t="str">
        <f>"1558382317"</f>
        <v>1558382317</v>
      </c>
      <c r="B6564" t="str">
        <f>"01922196"</f>
        <v>01922196</v>
      </c>
      <c r="C6564" t="s">
        <v>13436</v>
      </c>
      <c r="D6564" t="s">
        <v>30467</v>
      </c>
      <c r="E6564" t="s">
        <v>30468</v>
      </c>
      <c r="G6564" t="s">
        <v>30469</v>
      </c>
      <c r="L6564" t="s">
        <v>83</v>
      </c>
      <c r="M6564" t="s">
        <v>85</v>
      </c>
      <c r="R6564" t="s">
        <v>30470</v>
      </c>
      <c r="W6564" t="s">
        <v>30468</v>
      </c>
      <c r="X6564" t="s">
        <v>187</v>
      </c>
      <c r="Y6564" t="s">
        <v>161</v>
      </c>
      <c r="Z6564" t="s">
        <v>77</v>
      </c>
      <c r="AA6564" t="str">
        <f>"11040-1402"</f>
        <v>11040-1402</v>
      </c>
      <c r="AB6564" t="s">
        <v>78</v>
      </c>
      <c r="AC6564" t="s">
        <v>79</v>
      </c>
      <c r="AD6564" t="s">
        <v>75</v>
      </c>
      <c r="AE6564" t="s">
        <v>80</v>
      </c>
      <c r="AG6564" t="s">
        <v>81</v>
      </c>
    </row>
    <row r="6565" spans="1:33" x14ac:dyDescent="0.25">
      <c r="A6565" t="str">
        <f>"1558408088"</f>
        <v>1558408088</v>
      </c>
      <c r="B6565" t="str">
        <f>"00672862"</f>
        <v>00672862</v>
      </c>
      <c r="C6565" t="s">
        <v>13436</v>
      </c>
      <c r="D6565" t="s">
        <v>30471</v>
      </c>
      <c r="E6565" t="s">
        <v>30472</v>
      </c>
      <c r="L6565" t="s">
        <v>74</v>
      </c>
      <c r="M6565" t="s">
        <v>75</v>
      </c>
      <c r="R6565" t="s">
        <v>30473</v>
      </c>
      <c r="W6565" t="s">
        <v>30472</v>
      </c>
      <c r="X6565" t="s">
        <v>5864</v>
      </c>
      <c r="Y6565" t="s">
        <v>97</v>
      </c>
      <c r="Z6565" t="s">
        <v>77</v>
      </c>
      <c r="AA6565" t="str">
        <f>"10029-5208"</f>
        <v>10029-5208</v>
      </c>
      <c r="AB6565" t="s">
        <v>78</v>
      </c>
      <c r="AC6565" t="s">
        <v>79</v>
      </c>
      <c r="AD6565" t="s">
        <v>75</v>
      </c>
      <c r="AE6565" t="s">
        <v>80</v>
      </c>
      <c r="AG6565" t="s">
        <v>81</v>
      </c>
    </row>
    <row r="6566" spans="1:33" x14ac:dyDescent="0.25">
      <c r="A6566" t="str">
        <f>"1558409037"</f>
        <v>1558409037</v>
      </c>
      <c r="B6566" t="str">
        <f>"03152090"</f>
        <v>03152090</v>
      </c>
      <c r="C6566" t="s">
        <v>13436</v>
      </c>
      <c r="D6566" t="s">
        <v>5311</v>
      </c>
      <c r="E6566" t="s">
        <v>5312</v>
      </c>
      <c r="L6566" t="s">
        <v>74</v>
      </c>
      <c r="M6566" t="s">
        <v>85</v>
      </c>
      <c r="R6566" t="s">
        <v>5313</v>
      </c>
      <c r="W6566" t="s">
        <v>5312</v>
      </c>
      <c r="X6566" t="s">
        <v>5314</v>
      </c>
      <c r="Y6566" t="s">
        <v>97</v>
      </c>
      <c r="Z6566" t="s">
        <v>77</v>
      </c>
      <c r="AA6566" t="str">
        <f>"10029"</f>
        <v>10029</v>
      </c>
      <c r="AB6566" t="s">
        <v>78</v>
      </c>
      <c r="AC6566" t="s">
        <v>79</v>
      </c>
      <c r="AD6566" t="s">
        <v>75</v>
      </c>
      <c r="AE6566" t="s">
        <v>80</v>
      </c>
      <c r="AG6566" t="s">
        <v>81</v>
      </c>
    </row>
    <row r="6567" spans="1:33" x14ac:dyDescent="0.25">
      <c r="A6567" t="str">
        <f>"1558443747"</f>
        <v>1558443747</v>
      </c>
      <c r="B6567" t="str">
        <f>"01859732"</f>
        <v>01859732</v>
      </c>
      <c r="C6567" t="s">
        <v>13436</v>
      </c>
      <c r="D6567" t="s">
        <v>30474</v>
      </c>
      <c r="E6567" t="s">
        <v>30475</v>
      </c>
      <c r="G6567" t="s">
        <v>30476</v>
      </c>
      <c r="L6567" t="s">
        <v>83</v>
      </c>
      <c r="M6567" t="s">
        <v>85</v>
      </c>
      <c r="R6567" t="s">
        <v>2591</v>
      </c>
      <c r="W6567" t="s">
        <v>30475</v>
      </c>
      <c r="X6567" t="s">
        <v>5244</v>
      </c>
      <c r="Y6567" t="s">
        <v>131</v>
      </c>
      <c r="Z6567" t="s">
        <v>77</v>
      </c>
      <c r="AA6567" t="str">
        <f>"10461-2660"</f>
        <v>10461-2660</v>
      </c>
      <c r="AB6567" t="s">
        <v>78</v>
      </c>
      <c r="AC6567" t="s">
        <v>79</v>
      </c>
      <c r="AD6567" t="s">
        <v>75</v>
      </c>
      <c r="AE6567" t="s">
        <v>80</v>
      </c>
      <c r="AG6567" t="s">
        <v>81</v>
      </c>
    </row>
    <row r="6568" spans="1:33" x14ac:dyDescent="0.25">
      <c r="A6568" t="str">
        <f>"1558447292"</f>
        <v>1558447292</v>
      </c>
      <c r="B6568" t="str">
        <f>"03726510"</f>
        <v>03726510</v>
      </c>
      <c r="C6568" t="s">
        <v>13436</v>
      </c>
      <c r="D6568" t="s">
        <v>30477</v>
      </c>
      <c r="E6568" t="s">
        <v>30478</v>
      </c>
      <c r="G6568" t="s">
        <v>30479</v>
      </c>
      <c r="L6568" t="s">
        <v>83</v>
      </c>
      <c r="M6568" t="s">
        <v>75</v>
      </c>
      <c r="R6568" t="s">
        <v>30478</v>
      </c>
      <c r="W6568" t="s">
        <v>30478</v>
      </c>
      <c r="X6568" t="s">
        <v>329</v>
      </c>
      <c r="Y6568" t="s">
        <v>97</v>
      </c>
      <c r="Z6568" t="s">
        <v>77</v>
      </c>
      <c r="AA6568" t="str">
        <f>"10029-6504"</f>
        <v>10029-6504</v>
      </c>
      <c r="AB6568" t="s">
        <v>78</v>
      </c>
      <c r="AC6568" t="s">
        <v>79</v>
      </c>
      <c r="AD6568" t="s">
        <v>75</v>
      </c>
      <c r="AE6568" t="s">
        <v>80</v>
      </c>
      <c r="AG6568" t="s">
        <v>81</v>
      </c>
    </row>
    <row r="6569" spans="1:33" x14ac:dyDescent="0.25">
      <c r="A6569" t="str">
        <f>"1558488387"</f>
        <v>1558488387</v>
      </c>
      <c r="B6569" t="str">
        <f>"03219261"</f>
        <v>03219261</v>
      </c>
      <c r="C6569" t="s">
        <v>13436</v>
      </c>
      <c r="D6569" t="s">
        <v>30480</v>
      </c>
      <c r="E6569" t="s">
        <v>30481</v>
      </c>
      <c r="G6569" t="s">
        <v>30482</v>
      </c>
      <c r="L6569" t="s">
        <v>83</v>
      </c>
      <c r="M6569" t="s">
        <v>85</v>
      </c>
      <c r="R6569" t="s">
        <v>30483</v>
      </c>
      <c r="W6569" t="s">
        <v>30481</v>
      </c>
      <c r="X6569" t="s">
        <v>329</v>
      </c>
      <c r="Y6569" t="s">
        <v>97</v>
      </c>
      <c r="Z6569" t="s">
        <v>77</v>
      </c>
      <c r="AA6569" t="str">
        <f>"10029-6500"</f>
        <v>10029-6500</v>
      </c>
      <c r="AB6569" t="s">
        <v>78</v>
      </c>
      <c r="AC6569" t="s">
        <v>79</v>
      </c>
      <c r="AD6569" t="s">
        <v>75</v>
      </c>
      <c r="AE6569" t="s">
        <v>80</v>
      </c>
      <c r="AG6569" t="s">
        <v>81</v>
      </c>
    </row>
    <row r="6570" spans="1:33" x14ac:dyDescent="0.25">
      <c r="A6570" t="str">
        <f>"1558499350"</f>
        <v>1558499350</v>
      </c>
      <c r="B6570" t="str">
        <f>"03535839"</f>
        <v>03535839</v>
      </c>
      <c r="C6570" t="s">
        <v>13436</v>
      </c>
      <c r="D6570" t="s">
        <v>30484</v>
      </c>
      <c r="E6570" t="s">
        <v>30485</v>
      </c>
      <c r="L6570" t="s">
        <v>74</v>
      </c>
      <c r="M6570" t="s">
        <v>75</v>
      </c>
      <c r="R6570" t="s">
        <v>30486</v>
      </c>
      <c r="W6570" t="s">
        <v>30485</v>
      </c>
      <c r="X6570" t="s">
        <v>330</v>
      </c>
      <c r="Y6570" t="s">
        <v>97</v>
      </c>
      <c r="Z6570" t="s">
        <v>77</v>
      </c>
      <c r="AA6570" t="str">
        <f>"10029-5204"</f>
        <v>10029-5204</v>
      </c>
      <c r="AB6570" t="s">
        <v>78</v>
      </c>
      <c r="AC6570" t="s">
        <v>79</v>
      </c>
      <c r="AD6570" t="s">
        <v>75</v>
      </c>
      <c r="AE6570" t="s">
        <v>80</v>
      </c>
      <c r="AG6570" t="s">
        <v>81</v>
      </c>
    </row>
    <row r="6571" spans="1:33" x14ac:dyDescent="0.25">
      <c r="A6571" t="str">
        <f>"1558505891"</f>
        <v>1558505891</v>
      </c>
      <c r="B6571" t="str">
        <f>"03800584"</f>
        <v>03800584</v>
      </c>
      <c r="C6571" t="s">
        <v>13436</v>
      </c>
      <c r="D6571" t="s">
        <v>30487</v>
      </c>
      <c r="E6571" t="s">
        <v>30488</v>
      </c>
      <c r="L6571" t="s">
        <v>102</v>
      </c>
      <c r="M6571" t="s">
        <v>75</v>
      </c>
      <c r="R6571" t="s">
        <v>30489</v>
      </c>
      <c r="W6571" t="s">
        <v>30488</v>
      </c>
      <c r="X6571" t="s">
        <v>4521</v>
      </c>
      <c r="Y6571" t="s">
        <v>97</v>
      </c>
      <c r="Z6571" t="s">
        <v>77</v>
      </c>
      <c r="AA6571" t="str">
        <f>"10025-1737"</f>
        <v>10025-1737</v>
      </c>
      <c r="AB6571" t="s">
        <v>78</v>
      </c>
      <c r="AC6571" t="s">
        <v>79</v>
      </c>
      <c r="AD6571" t="s">
        <v>75</v>
      </c>
      <c r="AE6571" t="s">
        <v>80</v>
      </c>
      <c r="AG6571" t="s">
        <v>81</v>
      </c>
    </row>
    <row r="6572" spans="1:33" x14ac:dyDescent="0.25">
      <c r="A6572" t="str">
        <f>"1316179831"</f>
        <v>1316179831</v>
      </c>
      <c r="C6572" t="s">
        <v>13436</v>
      </c>
      <c r="G6572" t="s">
        <v>30490</v>
      </c>
      <c r="K6572" t="s">
        <v>99</v>
      </c>
      <c r="L6572" t="s">
        <v>102</v>
      </c>
      <c r="M6572" t="s">
        <v>75</v>
      </c>
      <c r="R6572" t="s">
        <v>4747</v>
      </c>
      <c r="S6572" t="s">
        <v>4748</v>
      </c>
      <c r="T6572" t="s">
        <v>146</v>
      </c>
      <c r="U6572" t="s">
        <v>77</v>
      </c>
      <c r="V6572" t="str">
        <f>"105951530"</f>
        <v>105951530</v>
      </c>
      <c r="AC6572" t="s">
        <v>79</v>
      </c>
      <c r="AD6572" t="s">
        <v>75</v>
      </c>
      <c r="AE6572" t="s">
        <v>103</v>
      </c>
      <c r="AG6572" t="s">
        <v>81</v>
      </c>
    </row>
    <row r="6573" spans="1:33" x14ac:dyDescent="0.25">
      <c r="A6573" t="str">
        <f>"1316279995"</f>
        <v>1316279995</v>
      </c>
      <c r="B6573" t="str">
        <f>"03794896"</f>
        <v>03794896</v>
      </c>
      <c r="C6573" t="s">
        <v>13436</v>
      </c>
      <c r="D6573" t="s">
        <v>30491</v>
      </c>
      <c r="E6573" t="s">
        <v>30492</v>
      </c>
      <c r="G6573" t="s">
        <v>30493</v>
      </c>
      <c r="L6573" t="s">
        <v>102</v>
      </c>
      <c r="M6573" t="s">
        <v>75</v>
      </c>
      <c r="R6573" t="s">
        <v>30494</v>
      </c>
      <c r="W6573" t="s">
        <v>30495</v>
      </c>
      <c r="X6573" t="s">
        <v>30496</v>
      </c>
      <c r="Y6573" t="s">
        <v>97</v>
      </c>
      <c r="Z6573" t="s">
        <v>77</v>
      </c>
      <c r="AA6573" t="str">
        <f>"10029-6501"</f>
        <v>10029-6501</v>
      </c>
      <c r="AB6573" t="s">
        <v>78</v>
      </c>
      <c r="AC6573" t="s">
        <v>79</v>
      </c>
      <c r="AD6573" t="s">
        <v>75</v>
      </c>
      <c r="AE6573" t="s">
        <v>80</v>
      </c>
      <c r="AG6573" t="s">
        <v>81</v>
      </c>
    </row>
    <row r="6574" spans="1:33" x14ac:dyDescent="0.25">
      <c r="A6574" t="str">
        <f>"1366790065"</f>
        <v>1366790065</v>
      </c>
      <c r="C6574" t="s">
        <v>13436</v>
      </c>
      <c r="G6574" t="s">
        <v>30497</v>
      </c>
      <c r="K6574" t="s">
        <v>99</v>
      </c>
      <c r="L6574" t="s">
        <v>102</v>
      </c>
      <c r="M6574" t="s">
        <v>75</v>
      </c>
      <c r="R6574" t="s">
        <v>30498</v>
      </c>
      <c r="S6574" t="s">
        <v>30499</v>
      </c>
      <c r="T6574" t="s">
        <v>97</v>
      </c>
      <c r="U6574" t="s">
        <v>77</v>
      </c>
      <c r="V6574" t="str">
        <f>"10011"</f>
        <v>10011</v>
      </c>
      <c r="AC6574" t="s">
        <v>79</v>
      </c>
      <c r="AD6574" t="s">
        <v>75</v>
      </c>
      <c r="AE6574" t="s">
        <v>103</v>
      </c>
      <c r="AG6574" t="s">
        <v>81</v>
      </c>
    </row>
    <row r="6575" spans="1:33" x14ac:dyDescent="0.25">
      <c r="A6575" t="str">
        <f>"1245518463"</f>
        <v>1245518463</v>
      </c>
      <c r="B6575" t="str">
        <f>"04349097"</f>
        <v>04349097</v>
      </c>
      <c r="C6575" t="s">
        <v>13436</v>
      </c>
      <c r="D6575" t="s">
        <v>30500</v>
      </c>
      <c r="E6575" t="s">
        <v>30501</v>
      </c>
      <c r="L6575" t="s">
        <v>74</v>
      </c>
      <c r="M6575" t="s">
        <v>75</v>
      </c>
      <c r="R6575" t="s">
        <v>30502</v>
      </c>
      <c r="W6575" t="s">
        <v>30503</v>
      </c>
      <c r="X6575" t="s">
        <v>1739</v>
      </c>
      <c r="Y6575" t="s">
        <v>95</v>
      </c>
      <c r="Z6575" t="s">
        <v>77</v>
      </c>
      <c r="AA6575" t="str">
        <f>"12208-1707"</f>
        <v>12208-1707</v>
      </c>
      <c r="AB6575" t="s">
        <v>78</v>
      </c>
      <c r="AC6575" t="s">
        <v>79</v>
      </c>
      <c r="AD6575" t="s">
        <v>75</v>
      </c>
      <c r="AE6575" t="s">
        <v>80</v>
      </c>
      <c r="AG6575" t="s">
        <v>81</v>
      </c>
    </row>
    <row r="6576" spans="1:33" x14ac:dyDescent="0.25">
      <c r="A6576" t="str">
        <f>"1245521491"</f>
        <v>1245521491</v>
      </c>
      <c r="C6576" t="s">
        <v>13436</v>
      </c>
      <c r="K6576" t="s">
        <v>99</v>
      </c>
      <c r="L6576" t="s">
        <v>102</v>
      </c>
      <c r="M6576" t="s">
        <v>75</v>
      </c>
      <c r="R6576" t="s">
        <v>30504</v>
      </c>
      <c r="S6576" t="s">
        <v>30505</v>
      </c>
      <c r="T6576" t="s">
        <v>139</v>
      </c>
      <c r="U6576" t="s">
        <v>77</v>
      </c>
      <c r="V6576" t="str">
        <f>"113541748"</f>
        <v>113541748</v>
      </c>
      <c r="AC6576" t="s">
        <v>79</v>
      </c>
      <c r="AD6576" t="s">
        <v>75</v>
      </c>
      <c r="AE6576" t="s">
        <v>103</v>
      </c>
      <c r="AG6576" t="s">
        <v>81</v>
      </c>
    </row>
    <row r="6577" spans="1:33" x14ac:dyDescent="0.25">
      <c r="A6577" t="str">
        <f>"1013276708"</f>
        <v>1013276708</v>
      </c>
      <c r="C6577" t="s">
        <v>13436</v>
      </c>
      <c r="K6577" t="s">
        <v>99</v>
      </c>
      <c r="L6577" t="s">
        <v>102</v>
      </c>
      <c r="M6577" t="s">
        <v>75</v>
      </c>
      <c r="R6577" t="s">
        <v>30506</v>
      </c>
      <c r="S6577" t="s">
        <v>30507</v>
      </c>
      <c r="T6577" t="s">
        <v>30508</v>
      </c>
      <c r="U6577" t="s">
        <v>4647</v>
      </c>
      <c r="V6577" t="str">
        <f>"308133325"</f>
        <v>308133325</v>
      </c>
      <c r="AC6577" t="s">
        <v>79</v>
      </c>
      <c r="AD6577" t="s">
        <v>75</v>
      </c>
      <c r="AE6577" t="s">
        <v>103</v>
      </c>
      <c r="AG6577" t="s">
        <v>81</v>
      </c>
    </row>
    <row r="6578" spans="1:33" x14ac:dyDescent="0.25">
      <c r="A6578" t="str">
        <f>"1013283811"</f>
        <v>1013283811</v>
      </c>
      <c r="B6578" t="str">
        <f>"04424948"</f>
        <v>04424948</v>
      </c>
      <c r="C6578" t="s">
        <v>13436</v>
      </c>
      <c r="D6578" t="s">
        <v>30509</v>
      </c>
      <c r="E6578" t="s">
        <v>30510</v>
      </c>
      <c r="L6578" t="s">
        <v>74</v>
      </c>
      <c r="M6578" t="s">
        <v>75</v>
      </c>
      <c r="R6578" t="s">
        <v>30511</v>
      </c>
      <c r="W6578" t="s">
        <v>30510</v>
      </c>
      <c r="X6578" t="s">
        <v>181</v>
      </c>
      <c r="Y6578" t="s">
        <v>97</v>
      </c>
      <c r="Z6578" t="s">
        <v>77</v>
      </c>
      <c r="AA6578" t="str">
        <f>"10025-1716"</f>
        <v>10025-1716</v>
      </c>
      <c r="AB6578" t="s">
        <v>78</v>
      </c>
      <c r="AC6578" t="s">
        <v>79</v>
      </c>
      <c r="AD6578" t="s">
        <v>75</v>
      </c>
      <c r="AE6578" t="s">
        <v>80</v>
      </c>
      <c r="AG6578" t="s">
        <v>81</v>
      </c>
    </row>
    <row r="6579" spans="1:33" x14ac:dyDescent="0.25">
      <c r="A6579" t="str">
        <f>"1013290337"</f>
        <v>1013290337</v>
      </c>
      <c r="C6579" t="s">
        <v>13436</v>
      </c>
      <c r="K6579" t="s">
        <v>99</v>
      </c>
      <c r="L6579" t="s">
        <v>102</v>
      </c>
      <c r="M6579" t="s">
        <v>75</v>
      </c>
      <c r="R6579" t="s">
        <v>30512</v>
      </c>
      <c r="S6579" t="s">
        <v>30513</v>
      </c>
      <c r="T6579" t="s">
        <v>1783</v>
      </c>
      <c r="U6579" t="s">
        <v>1784</v>
      </c>
      <c r="V6579" t="str">
        <f>"191074140"</f>
        <v>191074140</v>
      </c>
      <c r="AC6579" t="s">
        <v>79</v>
      </c>
      <c r="AD6579" t="s">
        <v>75</v>
      </c>
      <c r="AE6579" t="s">
        <v>103</v>
      </c>
      <c r="AG6579" t="s">
        <v>81</v>
      </c>
    </row>
    <row r="6580" spans="1:33" x14ac:dyDescent="0.25">
      <c r="A6580" t="str">
        <f>"1013334093"</f>
        <v>1013334093</v>
      </c>
      <c r="C6580" t="s">
        <v>13436</v>
      </c>
      <c r="K6580" t="s">
        <v>99</v>
      </c>
      <c r="L6580" t="s">
        <v>102</v>
      </c>
      <c r="M6580" t="s">
        <v>75</v>
      </c>
      <c r="R6580" t="s">
        <v>30514</v>
      </c>
      <c r="S6580" t="s">
        <v>843</v>
      </c>
      <c r="T6580" t="s">
        <v>97</v>
      </c>
      <c r="U6580" t="s">
        <v>77</v>
      </c>
      <c r="V6580" t="str">
        <f>"100166402"</f>
        <v>100166402</v>
      </c>
      <c r="AC6580" t="s">
        <v>79</v>
      </c>
      <c r="AD6580" t="s">
        <v>75</v>
      </c>
      <c r="AE6580" t="s">
        <v>103</v>
      </c>
      <c r="AG6580" t="s">
        <v>81</v>
      </c>
    </row>
    <row r="6581" spans="1:33" x14ac:dyDescent="0.25">
      <c r="A6581" t="str">
        <f>"1013334309"</f>
        <v>1013334309</v>
      </c>
      <c r="C6581" t="s">
        <v>13436</v>
      </c>
      <c r="K6581" t="s">
        <v>99</v>
      </c>
      <c r="L6581" t="s">
        <v>102</v>
      </c>
      <c r="M6581" t="s">
        <v>75</v>
      </c>
      <c r="R6581" t="s">
        <v>30515</v>
      </c>
      <c r="S6581" t="s">
        <v>12670</v>
      </c>
      <c r="T6581" t="s">
        <v>97</v>
      </c>
      <c r="U6581" t="s">
        <v>77</v>
      </c>
      <c r="V6581" t="str">
        <f>"100033821"</f>
        <v>100033821</v>
      </c>
      <c r="AC6581" t="s">
        <v>79</v>
      </c>
      <c r="AD6581" t="s">
        <v>75</v>
      </c>
      <c r="AE6581" t="s">
        <v>103</v>
      </c>
      <c r="AG6581" t="s">
        <v>81</v>
      </c>
    </row>
    <row r="6582" spans="1:33" x14ac:dyDescent="0.25">
      <c r="A6582" t="str">
        <f>"1013335603"</f>
        <v>1013335603</v>
      </c>
      <c r="C6582" t="s">
        <v>13436</v>
      </c>
      <c r="K6582" t="s">
        <v>99</v>
      </c>
      <c r="L6582" t="s">
        <v>102</v>
      </c>
      <c r="M6582" t="s">
        <v>75</v>
      </c>
      <c r="R6582" t="s">
        <v>30516</v>
      </c>
      <c r="S6582" t="s">
        <v>30517</v>
      </c>
      <c r="T6582" t="s">
        <v>97</v>
      </c>
      <c r="U6582" t="s">
        <v>77</v>
      </c>
      <c r="V6582" t="str">
        <f>"100656712"</f>
        <v>100656712</v>
      </c>
      <c r="AC6582" t="s">
        <v>79</v>
      </c>
      <c r="AD6582" t="s">
        <v>75</v>
      </c>
      <c r="AE6582" t="s">
        <v>103</v>
      </c>
      <c r="AG6582" t="s">
        <v>81</v>
      </c>
    </row>
    <row r="6583" spans="1:33" x14ac:dyDescent="0.25">
      <c r="A6583" t="str">
        <f>"1013335751"</f>
        <v>1013335751</v>
      </c>
      <c r="C6583" t="s">
        <v>13436</v>
      </c>
      <c r="K6583" t="s">
        <v>99</v>
      </c>
      <c r="L6583" t="s">
        <v>102</v>
      </c>
      <c r="M6583" t="s">
        <v>75</v>
      </c>
      <c r="R6583" t="s">
        <v>30518</v>
      </c>
      <c r="S6583" t="s">
        <v>30519</v>
      </c>
      <c r="T6583" t="s">
        <v>4537</v>
      </c>
      <c r="U6583" t="s">
        <v>1784</v>
      </c>
      <c r="V6583" t="str">
        <f>"165055304"</f>
        <v>165055304</v>
      </c>
      <c r="AC6583" t="s">
        <v>79</v>
      </c>
      <c r="AD6583" t="s">
        <v>75</v>
      </c>
      <c r="AE6583" t="s">
        <v>103</v>
      </c>
      <c r="AG6583" t="s">
        <v>81</v>
      </c>
    </row>
    <row r="6584" spans="1:33" x14ac:dyDescent="0.25">
      <c r="A6584" t="str">
        <f>"1013350297"</f>
        <v>1013350297</v>
      </c>
      <c r="C6584" t="s">
        <v>13436</v>
      </c>
      <c r="K6584" t="s">
        <v>99</v>
      </c>
      <c r="L6584" t="s">
        <v>102</v>
      </c>
      <c r="M6584" t="s">
        <v>75</v>
      </c>
      <c r="R6584" t="s">
        <v>30520</v>
      </c>
      <c r="S6584" t="s">
        <v>30521</v>
      </c>
      <c r="T6584" t="s">
        <v>30522</v>
      </c>
      <c r="U6584" t="s">
        <v>4576</v>
      </c>
      <c r="V6584" t="str">
        <f>"197072313"</f>
        <v>197072313</v>
      </c>
      <c r="AC6584" t="s">
        <v>79</v>
      </c>
      <c r="AD6584" t="s">
        <v>75</v>
      </c>
      <c r="AE6584" t="s">
        <v>103</v>
      </c>
      <c r="AG6584" t="s">
        <v>81</v>
      </c>
    </row>
    <row r="6585" spans="1:33" x14ac:dyDescent="0.25">
      <c r="B6585" t="str">
        <f>"03153362"</f>
        <v>03153362</v>
      </c>
      <c r="C6585" t="s">
        <v>30523</v>
      </c>
      <c r="D6585" t="s">
        <v>30524</v>
      </c>
      <c r="E6585" t="s">
        <v>30525</v>
      </c>
      <c r="G6585" t="s">
        <v>30526</v>
      </c>
      <c r="H6585" t="s">
        <v>5086</v>
      </c>
      <c r="J6585" t="s">
        <v>5087</v>
      </c>
      <c r="L6585" t="s">
        <v>37</v>
      </c>
      <c r="M6585" t="s">
        <v>75</v>
      </c>
      <c r="W6585" t="s">
        <v>30525</v>
      </c>
      <c r="X6585" t="s">
        <v>5212</v>
      </c>
      <c r="Y6585" t="s">
        <v>180</v>
      </c>
      <c r="Z6585" t="s">
        <v>77</v>
      </c>
      <c r="AA6585" t="str">
        <f>"10705-3441"</f>
        <v>10705-3441</v>
      </c>
      <c r="AB6585" t="s">
        <v>98</v>
      </c>
      <c r="AC6585" t="s">
        <v>79</v>
      </c>
      <c r="AD6585" t="s">
        <v>75</v>
      </c>
      <c r="AE6585" t="s">
        <v>80</v>
      </c>
      <c r="AG6585" t="s">
        <v>81</v>
      </c>
    </row>
    <row r="6586" spans="1:33" x14ac:dyDescent="0.25">
      <c r="A6586" t="str">
        <f>"1265616452"</f>
        <v>1265616452</v>
      </c>
      <c r="B6586" t="str">
        <f>"03761722"</f>
        <v>03761722</v>
      </c>
      <c r="C6586" t="s">
        <v>13436</v>
      </c>
      <c r="D6586" t="s">
        <v>30527</v>
      </c>
      <c r="E6586" t="s">
        <v>30528</v>
      </c>
      <c r="G6586" t="s">
        <v>30529</v>
      </c>
      <c r="L6586" t="s">
        <v>74</v>
      </c>
      <c r="M6586" t="s">
        <v>75</v>
      </c>
      <c r="R6586" t="s">
        <v>30530</v>
      </c>
      <c r="W6586" t="s">
        <v>30528</v>
      </c>
      <c r="X6586" t="s">
        <v>12961</v>
      </c>
      <c r="Y6586" t="s">
        <v>1965</v>
      </c>
      <c r="Z6586" t="s">
        <v>77</v>
      </c>
      <c r="AA6586" t="str">
        <f>"11767-1090"</f>
        <v>11767-1090</v>
      </c>
      <c r="AB6586" t="s">
        <v>78</v>
      </c>
      <c r="AC6586" t="s">
        <v>79</v>
      </c>
      <c r="AD6586" t="s">
        <v>75</v>
      </c>
      <c r="AE6586" t="s">
        <v>80</v>
      </c>
      <c r="AG6586" t="s">
        <v>81</v>
      </c>
    </row>
    <row r="6587" spans="1:33" x14ac:dyDescent="0.25">
      <c r="A6587" t="str">
        <f>"1265633390"</f>
        <v>1265633390</v>
      </c>
      <c r="B6587" t="str">
        <f>"03874504"</f>
        <v>03874504</v>
      </c>
      <c r="C6587" t="s">
        <v>13436</v>
      </c>
      <c r="D6587" t="s">
        <v>30531</v>
      </c>
      <c r="E6587" t="s">
        <v>30532</v>
      </c>
      <c r="G6587" t="s">
        <v>30533</v>
      </c>
      <c r="L6587" t="s">
        <v>83</v>
      </c>
      <c r="M6587" t="s">
        <v>85</v>
      </c>
      <c r="R6587" t="s">
        <v>30534</v>
      </c>
      <c r="W6587" t="s">
        <v>30532</v>
      </c>
      <c r="X6587" t="s">
        <v>329</v>
      </c>
      <c r="Y6587" t="s">
        <v>97</v>
      </c>
      <c r="Z6587" t="s">
        <v>77</v>
      </c>
      <c r="AA6587" t="str">
        <f>"10029-6504"</f>
        <v>10029-6504</v>
      </c>
      <c r="AB6587" t="s">
        <v>78</v>
      </c>
      <c r="AC6587" t="s">
        <v>79</v>
      </c>
      <c r="AD6587" t="s">
        <v>75</v>
      </c>
      <c r="AE6587" t="s">
        <v>80</v>
      </c>
      <c r="AG6587" t="s">
        <v>81</v>
      </c>
    </row>
    <row r="6588" spans="1:33" x14ac:dyDescent="0.25">
      <c r="A6588" t="str">
        <f>"1265652051"</f>
        <v>1265652051</v>
      </c>
      <c r="B6588" t="str">
        <f>"03373842"</f>
        <v>03373842</v>
      </c>
      <c r="C6588" t="s">
        <v>13436</v>
      </c>
      <c r="D6588" t="s">
        <v>30535</v>
      </c>
      <c r="E6588" t="s">
        <v>30536</v>
      </c>
      <c r="G6588" t="s">
        <v>30537</v>
      </c>
      <c r="L6588" t="s">
        <v>83</v>
      </c>
      <c r="M6588" t="s">
        <v>85</v>
      </c>
      <c r="R6588" t="s">
        <v>30538</v>
      </c>
      <c r="W6588" t="s">
        <v>30539</v>
      </c>
      <c r="X6588" t="s">
        <v>4029</v>
      </c>
      <c r="Y6588" t="s">
        <v>97</v>
      </c>
      <c r="Z6588" t="s">
        <v>77</v>
      </c>
      <c r="AA6588" t="str">
        <f>"10029-6503"</f>
        <v>10029-6503</v>
      </c>
      <c r="AB6588" t="s">
        <v>78</v>
      </c>
      <c r="AC6588" t="s">
        <v>79</v>
      </c>
      <c r="AD6588" t="s">
        <v>75</v>
      </c>
      <c r="AE6588" t="s">
        <v>80</v>
      </c>
      <c r="AG6588" t="s">
        <v>81</v>
      </c>
    </row>
    <row r="6589" spans="1:33" x14ac:dyDescent="0.25">
      <c r="A6589" t="str">
        <f>"1265661128"</f>
        <v>1265661128</v>
      </c>
      <c r="B6589" t="str">
        <f>"03232919"</f>
        <v>03232919</v>
      </c>
      <c r="C6589" t="s">
        <v>13436</v>
      </c>
      <c r="D6589" t="s">
        <v>5412</v>
      </c>
      <c r="E6589" t="s">
        <v>5413</v>
      </c>
      <c r="G6589" t="s">
        <v>30540</v>
      </c>
      <c r="L6589" t="s">
        <v>105</v>
      </c>
      <c r="M6589" t="s">
        <v>75</v>
      </c>
      <c r="R6589" t="s">
        <v>5414</v>
      </c>
      <c r="W6589" t="s">
        <v>5413</v>
      </c>
      <c r="X6589" t="s">
        <v>4768</v>
      </c>
      <c r="Y6589" t="s">
        <v>131</v>
      </c>
      <c r="Z6589" t="s">
        <v>77</v>
      </c>
      <c r="AA6589" t="str">
        <f>"10261-4982"</f>
        <v>10261-4982</v>
      </c>
      <c r="AB6589" t="s">
        <v>78</v>
      </c>
      <c r="AC6589" t="s">
        <v>79</v>
      </c>
      <c r="AD6589" t="s">
        <v>75</v>
      </c>
      <c r="AE6589" t="s">
        <v>80</v>
      </c>
      <c r="AG6589" t="s">
        <v>81</v>
      </c>
    </row>
    <row r="6590" spans="1:33" x14ac:dyDescent="0.25">
      <c r="A6590" t="str">
        <f>"1265674998"</f>
        <v>1265674998</v>
      </c>
      <c r="B6590" t="str">
        <f>"03377442"</f>
        <v>03377442</v>
      </c>
      <c r="C6590" t="s">
        <v>13436</v>
      </c>
      <c r="D6590" t="s">
        <v>30541</v>
      </c>
      <c r="E6590" t="s">
        <v>30542</v>
      </c>
      <c r="G6590" t="s">
        <v>30543</v>
      </c>
      <c r="L6590" t="s">
        <v>83</v>
      </c>
      <c r="M6590" t="s">
        <v>85</v>
      </c>
      <c r="R6590" t="s">
        <v>30544</v>
      </c>
      <c r="W6590" t="s">
        <v>30542</v>
      </c>
      <c r="X6590" t="s">
        <v>5557</v>
      </c>
      <c r="Y6590" t="s">
        <v>97</v>
      </c>
      <c r="Z6590" t="s">
        <v>77</v>
      </c>
      <c r="AA6590" t="str">
        <f>"10029-6501"</f>
        <v>10029-6501</v>
      </c>
      <c r="AB6590" t="s">
        <v>78</v>
      </c>
      <c r="AC6590" t="s">
        <v>79</v>
      </c>
      <c r="AD6590" t="s">
        <v>75</v>
      </c>
      <c r="AE6590" t="s">
        <v>80</v>
      </c>
      <c r="AG6590" t="s">
        <v>81</v>
      </c>
    </row>
    <row r="6591" spans="1:33" x14ac:dyDescent="0.25">
      <c r="A6591" t="str">
        <f>"1265691281"</f>
        <v>1265691281</v>
      </c>
      <c r="B6591" t="str">
        <f>"03412824"</f>
        <v>03412824</v>
      </c>
      <c r="C6591" t="s">
        <v>13436</v>
      </c>
      <c r="D6591" t="s">
        <v>30545</v>
      </c>
      <c r="E6591" t="s">
        <v>30546</v>
      </c>
      <c r="L6591" t="s">
        <v>74</v>
      </c>
      <c r="M6591" t="s">
        <v>75</v>
      </c>
      <c r="R6591" t="s">
        <v>30547</v>
      </c>
      <c r="W6591" t="s">
        <v>30546</v>
      </c>
      <c r="X6591" t="s">
        <v>235</v>
      </c>
      <c r="Y6591" t="s">
        <v>190</v>
      </c>
      <c r="Z6591" t="s">
        <v>77</v>
      </c>
      <c r="AA6591" t="str">
        <f>"11102-2448"</f>
        <v>11102-2448</v>
      </c>
      <c r="AB6591" t="s">
        <v>78</v>
      </c>
      <c r="AC6591" t="s">
        <v>79</v>
      </c>
      <c r="AD6591" t="s">
        <v>75</v>
      </c>
      <c r="AE6591" t="s">
        <v>80</v>
      </c>
      <c r="AG6591" t="s">
        <v>81</v>
      </c>
    </row>
    <row r="6592" spans="1:33" x14ac:dyDescent="0.25">
      <c r="A6592" t="str">
        <f>"1265692180"</f>
        <v>1265692180</v>
      </c>
      <c r="C6592" t="s">
        <v>13436</v>
      </c>
      <c r="G6592" t="s">
        <v>30548</v>
      </c>
      <c r="K6592" t="s">
        <v>99</v>
      </c>
      <c r="L6592" t="s">
        <v>74</v>
      </c>
      <c r="M6592" t="s">
        <v>75</v>
      </c>
      <c r="R6592" t="s">
        <v>30549</v>
      </c>
      <c r="S6592" t="s">
        <v>30550</v>
      </c>
      <c r="T6592" t="s">
        <v>2660</v>
      </c>
      <c r="U6592" t="s">
        <v>2661</v>
      </c>
      <c r="V6592" t="str">
        <f>"212011544"</f>
        <v>212011544</v>
      </c>
      <c r="AC6592" t="s">
        <v>79</v>
      </c>
      <c r="AD6592" t="s">
        <v>75</v>
      </c>
      <c r="AE6592" t="s">
        <v>103</v>
      </c>
      <c r="AG6592" t="s">
        <v>81</v>
      </c>
    </row>
    <row r="6593" spans="1:33" x14ac:dyDescent="0.25">
      <c r="A6593" t="str">
        <f>"1265699888"</f>
        <v>1265699888</v>
      </c>
      <c r="C6593" t="s">
        <v>13436</v>
      </c>
      <c r="G6593" t="s">
        <v>30551</v>
      </c>
      <c r="K6593" t="s">
        <v>99</v>
      </c>
      <c r="L6593" t="s">
        <v>102</v>
      </c>
      <c r="M6593" t="s">
        <v>75</v>
      </c>
      <c r="R6593" t="s">
        <v>30552</v>
      </c>
      <c r="S6593" t="s">
        <v>30553</v>
      </c>
      <c r="T6593" t="s">
        <v>30443</v>
      </c>
      <c r="U6593" t="s">
        <v>4635</v>
      </c>
      <c r="V6593" t="str">
        <f>"701122632"</f>
        <v>701122632</v>
      </c>
      <c r="AC6593" t="s">
        <v>79</v>
      </c>
      <c r="AD6593" t="s">
        <v>75</v>
      </c>
      <c r="AE6593" t="s">
        <v>103</v>
      </c>
      <c r="AG6593" t="s">
        <v>81</v>
      </c>
    </row>
    <row r="6594" spans="1:33" x14ac:dyDescent="0.25">
      <c r="A6594" t="str">
        <f>"1265724579"</f>
        <v>1265724579</v>
      </c>
      <c r="B6594" t="str">
        <f>"04450419"</f>
        <v>04450419</v>
      </c>
      <c r="C6594" t="s">
        <v>13436</v>
      </c>
      <c r="D6594" t="s">
        <v>30554</v>
      </c>
      <c r="E6594" t="s">
        <v>30555</v>
      </c>
      <c r="L6594" t="s">
        <v>74</v>
      </c>
      <c r="M6594" t="s">
        <v>75</v>
      </c>
      <c r="R6594" t="s">
        <v>30555</v>
      </c>
      <c r="W6594" t="s">
        <v>30556</v>
      </c>
      <c r="AB6594" t="s">
        <v>78</v>
      </c>
      <c r="AC6594" t="s">
        <v>79</v>
      </c>
      <c r="AD6594" t="s">
        <v>75</v>
      </c>
      <c r="AE6594" t="s">
        <v>80</v>
      </c>
      <c r="AG6594" t="s">
        <v>81</v>
      </c>
    </row>
    <row r="6595" spans="1:33" x14ac:dyDescent="0.25">
      <c r="A6595" t="str">
        <f>"1538336573"</f>
        <v>1538336573</v>
      </c>
      <c r="C6595" t="s">
        <v>13436</v>
      </c>
      <c r="K6595" t="s">
        <v>99</v>
      </c>
      <c r="L6595" t="s">
        <v>102</v>
      </c>
      <c r="M6595" t="s">
        <v>75</v>
      </c>
      <c r="R6595" t="s">
        <v>30557</v>
      </c>
      <c r="S6595" t="s">
        <v>30558</v>
      </c>
      <c r="T6595" t="s">
        <v>30559</v>
      </c>
      <c r="U6595" t="s">
        <v>2595</v>
      </c>
      <c r="V6595" t="str">
        <f>"930033101"</f>
        <v>930033101</v>
      </c>
      <c r="AC6595" t="s">
        <v>79</v>
      </c>
      <c r="AD6595" t="s">
        <v>75</v>
      </c>
      <c r="AE6595" t="s">
        <v>103</v>
      </c>
      <c r="AG6595" t="s">
        <v>81</v>
      </c>
    </row>
    <row r="6596" spans="1:33" x14ac:dyDescent="0.25">
      <c r="A6596" t="str">
        <f>"1538345863"</f>
        <v>1538345863</v>
      </c>
      <c r="B6596" t="str">
        <f>"02058693"</f>
        <v>02058693</v>
      </c>
      <c r="C6596" t="s">
        <v>13436</v>
      </c>
      <c r="D6596" t="s">
        <v>30560</v>
      </c>
      <c r="E6596" t="s">
        <v>30561</v>
      </c>
      <c r="G6596" t="s">
        <v>30562</v>
      </c>
      <c r="L6596" t="s">
        <v>102</v>
      </c>
      <c r="M6596" t="s">
        <v>75</v>
      </c>
      <c r="R6596" t="s">
        <v>30561</v>
      </c>
      <c r="W6596" t="s">
        <v>30561</v>
      </c>
      <c r="X6596" t="s">
        <v>23664</v>
      </c>
      <c r="Y6596" t="s">
        <v>97</v>
      </c>
      <c r="Z6596" t="s">
        <v>77</v>
      </c>
      <c r="AA6596" t="str">
        <f>"10029-6574"</f>
        <v>10029-6574</v>
      </c>
      <c r="AB6596" t="s">
        <v>78</v>
      </c>
      <c r="AC6596" t="s">
        <v>79</v>
      </c>
      <c r="AD6596" t="s">
        <v>75</v>
      </c>
      <c r="AE6596" t="s">
        <v>80</v>
      </c>
      <c r="AG6596" t="s">
        <v>81</v>
      </c>
    </row>
    <row r="6597" spans="1:33" x14ac:dyDescent="0.25">
      <c r="A6597" t="str">
        <f>"1366670473"</f>
        <v>1366670473</v>
      </c>
      <c r="B6597" t="str">
        <f>"03736138"</f>
        <v>03736138</v>
      </c>
      <c r="C6597" t="s">
        <v>13436</v>
      </c>
      <c r="D6597" t="s">
        <v>30563</v>
      </c>
      <c r="E6597" t="s">
        <v>30564</v>
      </c>
      <c r="G6597" t="s">
        <v>30565</v>
      </c>
      <c r="L6597" t="s">
        <v>74</v>
      </c>
      <c r="M6597" t="s">
        <v>85</v>
      </c>
      <c r="R6597" t="s">
        <v>30566</v>
      </c>
      <c r="W6597" t="s">
        <v>30564</v>
      </c>
      <c r="X6597" t="s">
        <v>329</v>
      </c>
      <c r="Y6597" t="s">
        <v>97</v>
      </c>
      <c r="Z6597" t="s">
        <v>77</v>
      </c>
      <c r="AA6597" t="str">
        <f>"10029-6504"</f>
        <v>10029-6504</v>
      </c>
      <c r="AB6597" t="s">
        <v>78</v>
      </c>
      <c r="AC6597" t="s">
        <v>79</v>
      </c>
      <c r="AD6597" t="s">
        <v>75</v>
      </c>
      <c r="AE6597" t="s">
        <v>80</v>
      </c>
      <c r="AG6597" t="s">
        <v>81</v>
      </c>
    </row>
    <row r="6598" spans="1:33" x14ac:dyDescent="0.25">
      <c r="A6598" t="str">
        <f>"1043215387"</f>
        <v>1043215387</v>
      </c>
      <c r="B6598" t="str">
        <f>"00245923"</f>
        <v>00245923</v>
      </c>
      <c r="C6598" t="s">
        <v>13436</v>
      </c>
      <c r="D6598" t="s">
        <v>30567</v>
      </c>
      <c r="E6598" t="s">
        <v>30568</v>
      </c>
      <c r="G6598" t="s">
        <v>30569</v>
      </c>
      <c r="L6598" t="s">
        <v>74</v>
      </c>
      <c r="M6598" t="s">
        <v>75</v>
      </c>
      <c r="R6598" t="s">
        <v>30570</v>
      </c>
      <c r="W6598" t="s">
        <v>30568</v>
      </c>
      <c r="X6598" t="s">
        <v>737</v>
      </c>
      <c r="Y6598" t="s">
        <v>97</v>
      </c>
      <c r="Z6598" t="s">
        <v>77</v>
      </c>
      <c r="AA6598" t="str">
        <f>"10019-1147"</f>
        <v>10019-1147</v>
      </c>
      <c r="AB6598" t="s">
        <v>78</v>
      </c>
      <c r="AC6598" t="s">
        <v>79</v>
      </c>
      <c r="AD6598" t="s">
        <v>75</v>
      </c>
      <c r="AE6598" t="s">
        <v>80</v>
      </c>
      <c r="AG6598" t="s">
        <v>81</v>
      </c>
    </row>
    <row r="6599" spans="1:33" x14ac:dyDescent="0.25">
      <c r="A6599" t="str">
        <f>"1578502779"</f>
        <v>1578502779</v>
      </c>
      <c r="B6599" t="str">
        <f>"03789168"</f>
        <v>03789168</v>
      </c>
      <c r="C6599" t="s">
        <v>13436</v>
      </c>
      <c r="D6599" t="s">
        <v>30571</v>
      </c>
      <c r="E6599" t="s">
        <v>30572</v>
      </c>
      <c r="G6599" t="s">
        <v>30573</v>
      </c>
      <c r="L6599" t="s">
        <v>74</v>
      </c>
      <c r="M6599" t="s">
        <v>75</v>
      </c>
      <c r="R6599" t="s">
        <v>30574</v>
      </c>
      <c r="W6599" t="s">
        <v>30572</v>
      </c>
      <c r="X6599" t="s">
        <v>329</v>
      </c>
      <c r="Y6599" t="s">
        <v>97</v>
      </c>
      <c r="Z6599" t="s">
        <v>77</v>
      </c>
      <c r="AA6599" t="str">
        <f>"10029-6504"</f>
        <v>10029-6504</v>
      </c>
      <c r="AB6599" t="s">
        <v>78</v>
      </c>
      <c r="AC6599" t="s">
        <v>79</v>
      </c>
      <c r="AD6599" t="s">
        <v>75</v>
      </c>
      <c r="AE6599" t="s">
        <v>80</v>
      </c>
      <c r="AG6599" t="s">
        <v>81</v>
      </c>
    </row>
    <row r="6600" spans="1:33" x14ac:dyDescent="0.25">
      <c r="A6600" t="str">
        <f>"1558542597"</f>
        <v>1558542597</v>
      </c>
      <c r="B6600" t="str">
        <f>"03741586"</f>
        <v>03741586</v>
      </c>
      <c r="C6600" t="s">
        <v>13436</v>
      </c>
      <c r="D6600" t="s">
        <v>30575</v>
      </c>
      <c r="E6600" t="s">
        <v>30576</v>
      </c>
      <c r="G6600" t="s">
        <v>30577</v>
      </c>
      <c r="L6600" t="s">
        <v>74</v>
      </c>
      <c r="M6600" t="s">
        <v>75</v>
      </c>
      <c r="R6600" t="s">
        <v>30576</v>
      </c>
      <c r="W6600" t="s">
        <v>30576</v>
      </c>
      <c r="X6600" t="s">
        <v>30578</v>
      </c>
      <c r="Y6600" t="s">
        <v>97</v>
      </c>
      <c r="Z6600" t="s">
        <v>77</v>
      </c>
      <c r="AA6600" t="str">
        <f>"10029-6501"</f>
        <v>10029-6501</v>
      </c>
      <c r="AB6600" t="s">
        <v>78</v>
      </c>
      <c r="AC6600" t="s">
        <v>79</v>
      </c>
      <c r="AD6600" t="s">
        <v>75</v>
      </c>
      <c r="AE6600" t="s">
        <v>80</v>
      </c>
      <c r="AG6600" t="s">
        <v>81</v>
      </c>
    </row>
    <row r="6601" spans="1:33" x14ac:dyDescent="0.25">
      <c r="A6601" t="str">
        <f>"1558562652"</f>
        <v>1558562652</v>
      </c>
      <c r="B6601" t="str">
        <f>"02890155"</f>
        <v>02890155</v>
      </c>
      <c r="C6601" t="s">
        <v>13436</v>
      </c>
      <c r="D6601" t="s">
        <v>30579</v>
      </c>
      <c r="E6601" t="s">
        <v>30580</v>
      </c>
      <c r="G6601" t="s">
        <v>30581</v>
      </c>
      <c r="L6601" t="s">
        <v>83</v>
      </c>
      <c r="M6601" t="s">
        <v>85</v>
      </c>
      <c r="R6601" t="s">
        <v>30582</v>
      </c>
      <c r="W6601" t="s">
        <v>30580</v>
      </c>
      <c r="X6601" t="s">
        <v>329</v>
      </c>
      <c r="Y6601" t="s">
        <v>97</v>
      </c>
      <c r="Z6601" t="s">
        <v>77</v>
      </c>
      <c r="AA6601" t="str">
        <f>"10029-6504"</f>
        <v>10029-6504</v>
      </c>
      <c r="AB6601" t="s">
        <v>78</v>
      </c>
      <c r="AC6601" t="s">
        <v>79</v>
      </c>
      <c r="AD6601" t="s">
        <v>75</v>
      </c>
      <c r="AE6601" t="s">
        <v>80</v>
      </c>
      <c r="AG6601" t="s">
        <v>81</v>
      </c>
    </row>
    <row r="6602" spans="1:33" x14ac:dyDescent="0.25">
      <c r="A6602" t="str">
        <f>"1558562926"</f>
        <v>1558562926</v>
      </c>
      <c r="B6602" t="str">
        <f>"03101159"</f>
        <v>03101159</v>
      </c>
      <c r="C6602" t="s">
        <v>13436</v>
      </c>
      <c r="D6602" t="s">
        <v>30583</v>
      </c>
      <c r="E6602" t="s">
        <v>30584</v>
      </c>
      <c r="L6602" t="s">
        <v>83</v>
      </c>
      <c r="M6602" t="s">
        <v>85</v>
      </c>
      <c r="R6602" t="s">
        <v>30585</v>
      </c>
      <c r="W6602" t="s">
        <v>30584</v>
      </c>
      <c r="X6602" t="s">
        <v>258</v>
      </c>
      <c r="Y6602" t="s">
        <v>131</v>
      </c>
      <c r="Z6602" t="s">
        <v>77</v>
      </c>
      <c r="AA6602" t="str">
        <f>"10467-2401"</f>
        <v>10467-2401</v>
      </c>
      <c r="AB6602" t="s">
        <v>78</v>
      </c>
      <c r="AC6602" t="s">
        <v>79</v>
      </c>
      <c r="AD6602" t="s">
        <v>75</v>
      </c>
      <c r="AE6602" t="s">
        <v>80</v>
      </c>
      <c r="AG6602" t="s">
        <v>81</v>
      </c>
    </row>
    <row r="6603" spans="1:33" x14ac:dyDescent="0.25">
      <c r="A6603" t="str">
        <f>"1295178127"</f>
        <v>1295178127</v>
      </c>
      <c r="C6603" t="s">
        <v>13436</v>
      </c>
      <c r="K6603" t="s">
        <v>99</v>
      </c>
      <c r="L6603" t="s">
        <v>102</v>
      </c>
      <c r="M6603" t="s">
        <v>75</v>
      </c>
      <c r="R6603" t="s">
        <v>30586</v>
      </c>
      <c r="S6603" t="s">
        <v>30587</v>
      </c>
      <c r="T6603" t="s">
        <v>97</v>
      </c>
      <c r="U6603" t="s">
        <v>77</v>
      </c>
      <c r="V6603" t="str">
        <f>"10003"</f>
        <v>10003</v>
      </c>
      <c r="AC6603" t="s">
        <v>79</v>
      </c>
      <c r="AD6603" t="s">
        <v>75</v>
      </c>
      <c r="AE6603" t="s">
        <v>103</v>
      </c>
      <c r="AG6603" t="s">
        <v>81</v>
      </c>
    </row>
    <row r="6604" spans="1:33" x14ac:dyDescent="0.25">
      <c r="A6604" t="str">
        <f>"1407901119"</f>
        <v>1407901119</v>
      </c>
      <c r="B6604" t="str">
        <f>"02394874"</f>
        <v>02394874</v>
      </c>
      <c r="C6604" t="s">
        <v>30588</v>
      </c>
      <c r="D6604" t="s">
        <v>30589</v>
      </c>
      <c r="E6604" t="s">
        <v>30590</v>
      </c>
      <c r="G6604" t="s">
        <v>30591</v>
      </c>
      <c r="H6604" t="s">
        <v>30592</v>
      </c>
      <c r="J6604" t="s">
        <v>30593</v>
      </c>
      <c r="L6604" t="s">
        <v>15</v>
      </c>
      <c r="M6604" t="s">
        <v>85</v>
      </c>
      <c r="R6604" t="s">
        <v>30594</v>
      </c>
      <c r="W6604" t="s">
        <v>30595</v>
      </c>
      <c r="X6604" t="s">
        <v>30596</v>
      </c>
      <c r="Y6604" t="s">
        <v>87</v>
      </c>
      <c r="Z6604" t="s">
        <v>77</v>
      </c>
      <c r="AA6604" t="str">
        <f>"11238-1510"</f>
        <v>11238-1510</v>
      </c>
      <c r="AB6604" t="s">
        <v>107</v>
      </c>
      <c r="AC6604" t="s">
        <v>79</v>
      </c>
      <c r="AD6604" t="s">
        <v>75</v>
      </c>
      <c r="AE6604" t="s">
        <v>80</v>
      </c>
      <c r="AG6604" t="s">
        <v>81</v>
      </c>
    </row>
    <row r="6605" spans="1:33" x14ac:dyDescent="0.25">
      <c r="A6605" t="str">
        <f>"1760543672"</f>
        <v>1760543672</v>
      </c>
      <c r="B6605" t="str">
        <f>"03007114"</f>
        <v>03007114</v>
      </c>
      <c r="C6605" t="s">
        <v>30597</v>
      </c>
      <c r="D6605" t="s">
        <v>1840</v>
      </c>
      <c r="E6605" t="s">
        <v>1839</v>
      </c>
      <c r="G6605" t="s">
        <v>30598</v>
      </c>
      <c r="H6605" t="s">
        <v>30599</v>
      </c>
      <c r="J6605" t="s">
        <v>30600</v>
      </c>
      <c r="L6605" t="s">
        <v>119</v>
      </c>
      <c r="M6605" t="s">
        <v>85</v>
      </c>
      <c r="R6605" t="s">
        <v>1839</v>
      </c>
      <c r="W6605" t="s">
        <v>1839</v>
      </c>
      <c r="X6605" t="s">
        <v>1841</v>
      </c>
      <c r="Y6605" t="s">
        <v>1760</v>
      </c>
      <c r="Z6605" t="s">
        <v>77</v>
      </c>
      <c r="AA6605" t="str">
        <f>"12009-3437"</f>
        <v>12009-3437</v>
      </c>
      <c r="AB6605" t="s">
        <v>96</v>
      </c>
      <c r="AC6605" t="s">
        <v>79</v>
      </c>
      <c r="AD6605" t="s">
        <v>75</v>
      </c>
      <c r="AE6605" t="s">
        <v>80</v>
      </c>
      <c r="AG6605" t="s">
        <v>81</v>
      </c>
    </row>
    <row r="6606" spans="1:33" x14ac:dyDescent="0.25">
      <c r="C6606" t="s">
        <v>30601</v>
      </c>
      <c r="G6606" t="s">
        <v>30602</v>
      </c>
      <c r="H6606" t="s">
        <v>30603</v>
      </c>
      <c r="J6606" t="s">
        <v>30604</v>
      </c>
      <c r="K6606" t="s">
        <v>99</v>
      </c>
      <c r="L6606" t="s">
        <v>100</v>
      </c>
      <c r="M6606" t="s">
        <v>75</v>
      </c>
      <c r="N6606" t="s">
        <v>30605</v>
      </c>
      <c r="O6606" t="s">
        <v>431</v>
      </c>
      <c r="P6606" t="s">
        <v>77</v>
      </c>
      <c r="AC6606" t="s">
        <v>79</v>
      </c>
      <c r="AD6606" t="s">
        <v>75</v>
      </c>
      <c r="AE6606" t="s">
        <v>101</v>
      </c>
      <c r="AG6606" t="s">
        <v>81</v>
      </c>
    </row>
    <row r="6607" spans="1:33" x14ac:dyDescent="0.25">
      <c r="C6607" t="s">
        <v>30606</v>
      </c>
      <c r="G6607" t="s">
        <v>30602</v>
      </c>
      <c r="H6607" t="s">
        <v>30603</v>
      </c>
      <c r="J6607" t="s">
        <v>30604</v>
      </c>
      <c r="K6607" t="s">
        <v>99</v>
      </c>
      <c r="L6607" t="s">
        <v>100</v>
      </c>
      <c r="M6607" t="s">
        <v>75</v>
      </c>
      <c r="N6607" t="s">
        <v>30607</v>
      </c>
      <c r="O6607" t="s">
        <v>431</v>
      </c>
      <c r="P6607" t="s">
        <v>77</v>
      </c>
      <c r="AC6607" t="s">
        <v>79</v>
      </c>
      <c r="AD6607" t="s">
        <v>75</v>
      </c>
      <c r="AE6607" t="s">
        <v>101</v>
      </c>
      <c r="AG6607" t="s">
        <v>81</v>
      </c>
    </row>
    <row r="6608" spans="1:33" x14ac:dyDescent="0.25">
      <c r="A6608" t="str">
        <f>"1366717613"</f>
        <v>1366717613</v>
      </c>
      <c r="C6608" t="s">
        <v>13436</v>
      </c>
      <c r="K6608" t="s">
        <v>99</v>
      </c>
      <c r="L6608" t="s">
        <v>102</v>
      </c>
      <c r="M6608" t="s">
        <v>75</v>
      </c>
      <c r="R6608" t="s">
        <v>30608</v>
      </c>
      <c r="S6608" t="s">
        <v>12670</v>
      </c>
      <c r="T6608" t="s">
        <v>97</v>
      </c>
      <c r="U6608" t="s">
        <v>77</v>
      </c>
      <c r="V6608" t="str">
        <f>"100033821"</f>
        <v>100033821</v>
      </c>
      <c r="AC6608" t="s">
        <v>79</v>
      </c>
      <c r="AD6608" t="s">
        <v>75</v>
      </c>
      <c r="AE6608" t="s">
        <v>103</v>
      </c>
      <c r="AG6608" t="s">
        <v>81</v>
      </c>
    </row>
    <row r="6609" spans="1:33" x14ac:dyDescent="0.25">
      <c r="A6609" t="str">
        <f>"1184934788"</f>
        <v>1184934788</v>
      </c>
      <c r="C6609" t="s">
        <v>13436</v>
      </c>
      <c r="G6609" t="s">
        <v>30609</v>
      </c>
      <c r="K6609" t="s">
        <v>99</v>
      </c>
      <c r="L6609" t="s">
        <v>74</v>
      </c>
      <c r="M6609" t="s">
        <v>75</v>
      </c>
      <c r="R6609" t="s">
        <v>30610</v>
      </c>
      <c r="S6609" t="s">
        <v>248</v>
      </c>
      <c r="T6609" t="s">
        <v>97</v>
      </c>
      <c r="U6609" t="s">
        <v>77</v>
      </c>
      <c r="V6609" t="str">
        <f>"100657471"</f>
        <v>100657471</v>
      </c>
      <c r="AC6609" t="s">
        <v>79</v>
      </c>
      <c r="AD6609" t="s">
        <v>75</v>
      </c>
      <c r="AE6609" t="s">
        <v>103</v>
      </c>
      <c r="AG6609" t="s">
        <v>81</v>
      </c>
    </row>
    <row r="6610" spans="1:33" x14ac:dyDescent="0.25">
      <c r="A6610" t="str">
        <f>"1184942286"</f>
        <v>1184942286</v>
      </c>
      <c r="C6610" t="s">
        <v>13436</v>
      </c>
      <c r="K6610" t="s">
        <v>99</v>
      </c>
      <c r="L6610" t="s">
        <v>102</v>
      </c>
      <c r="M6610" t="s">
        <v>75</v>
      </c>
      <c r="R6610" t="s">
        <v>30611</v>
      </c>
      <c r="S6610" t="s">
        <v>30612</v>
      </c>
      <c r="T6610" t="s">
        <v>2262</v>
      </c>
      <c r="U6610" t="s">
        <v>123</v>
      </c>
      <c r="V6610" t="str">
        <f>"021182308"</f>
        <v>021182308</v>
      </c>
      <c r="AC6610" t="s">
        <v>79</v>
      </c>
      <c r="AD6610" t="s">
        <v>75</v>
      </c>
      <c r="AE6610" t="s">
        <v>103</v>
      </c>
      <c r="AG6610" t="s">
        <v>81</v>
      </c>
    </row>
    <row r="6611" spans="1:33" x14ac:dyDescent="0.25">
      <c r="A6611" t="str">
        <f>"1063488625"</f>
        <v>1063488625</v>
      </c>
      <c r="B6611" t="str">
        <f>"02665483"</f>
        <v>02665483</v>
      </c>
      <c r="C6611" t="s">
        <v>13436</v>
      </c>
      <c r="D6611" t="s">
        <v>30613</v>
      </c>
      <c r="E6611" t="s">
        <v>30614</v>
      </c>
      <c r="G6611" t="s">
        <v>30615</v>
      </c>
      <c r="L6611" t="s">
        <v>74</v>
      </c>
      <c r="M6611" t="s">
        <v>85</v>
      </c>
      <c r="R6611" t="s">
        <v>30616</v>
      </c>
      <c r="W6611" t="s">
        <v>30617</v>
      </c>
      <c r="X6611" t="s">
        <v>30618</v>
      </c>
      <c r="Y6611" t="s">
        <v>97</v>
      </c>
      <c r="Z6611" t="s">
        <v>77</v>
      </c>
      <c r="AA6611" t="str">
        <f>"10029"</f>
        <v>10029</v>
      </c>
      <c r="AB6611" t="s">
        <v>78</v>
      </c>
      <c r="AC6611" t="s">
        <v>79</v>
      </c>
      <c r="AD6611" t="s">
        <v>75</v>
      </c>
      <c r="AE6611" t="s">
        <v>80</v>
      </c>
      <c r="AG6611" t="s">
        <v>81</v>
      </c>
    </row>
    <row r="6612" spans="1:33" x14ac:dyDescent="0.25">
      <c r="A6612" t="str">
        <f>"1669748141"</f>
        <v>1669748141</v>
      </c>
      <c r="C6612" t="s">
        <v>13436</v>
      </c>
      <c r="K6612" t="s">
        <v>99</v>
      </c>
      <c r="L6612" t="s">
        <v>102</v>
      </c>
      <c r="M6612" t="s">
        <v>75</v>
      </c>
      <c r="R6612" t="s">
        <v>30619</v>
      </c>
      <c r="S6612" t="s">
        <v>30620</v>
      </c>
      <c r="T6612" t="s">
        <v>30621</v>
      </c>
      <c r="U6612" t="s">
        <v>2661</v>
      </c>
      <c r="V6612" t="str">
        <f>"210933765"</f>
        <v>210933765</v>
      </c>
      <c r="AC6612" t="s">
        <v>79</v>
      </c>
      <c r="AD6612" t="s">
        <v>75</v>
      </c>
      <c r="AE6612" t="s">
        <v>103</v>
      </c>
      <c r="AG6612" t="s">
        <v>81</v>
      </c>
    </row>
    <row r="6613" spans="1:33" x14ac:dyDescent="0.25">
      <c r="A6613" t="str">
        <f>"1669762704"</f>
        <v>1669762704</v>
      </c>
      <c r="C6613" t="s">
        <v>13436</v>
      </c>
      <c r="K6613" t="s">
        <v>99</v>
      </c>
      <c r="L6613" t="s">
        <v>102</v>
      </c>
      <c r="M6613" t="s">
        <v>75</v>
      </c>
      <c r="R6613" t="s">
        <v>30622</v>
      </c>
      <c r="S6613" t="s">
        <v>30623</v>
      </c>
      <c r="T6613" t="s">
        <v>2111</v>
      </c>
      <c r="U6613" t="s">
        <v>156</v>
      </c>
      <c r="V6613" t="str">
        <f>"071032496"</f>
        <v>071032496</v>
      </c>
      <c r="AC6613" t="s">
        <v>79</v>
      </c>
      <c r="AD6613" t="s">
        <v>75</v>
      </c>
      <c r="AE6613" t="s">
        <v>103</v>
      </c>
      <c r="AG6613" t="s">
        <v>81</v>
      </c>
    </row>
    <row r="6614" spans="1:33" x14ac:dyDescent="0.25">
      <c r="A6614" t="str">
        <f>"1245677764"</f>
        <v>1245677764</v>
      </c>
      <c r="C6614" t="s">
        <v>13436</v>
      </c>
      <c r="K6614" t="s">
        <v>99</v>
      </c>
      <c r="L6614" t="s">
        <v>102</v>
      </c>
      <c r="M6614" t="s">
        <v>75</v>
      </c>
      <c r="R6614" t="s">
        <v>30624</v>
      </c>
      <c r="S6614" t="s">
        <v>191</v>
      </c>
      <c r="T6614" t="s">
        <v>97</v>
      </c>
      <c r="U6614" t="s">
        <v>77</v>
      </c>
      <c r="V6614" t="str">
        <f>"100191147"</f>
        <v>100191147</v>
      </c>
      <c r="AC6614" t="s">
        <v>79</v>
      </c>
      <c r="AD6614" t="s">
        <v>75</v>
      </c>
      <c r="AE6614" t="s">
        <v>103</v>
      </c>
      <c r="AG6614" t="s">
        <v>81</v>
      </c>
    </row>
    <row r="6615" spans="1:33" x14ac:dyDescent="0.25">
      <c r="A6615" t="str">
        <f>"1174663652"</f>
        <v>1174663652</v>
      </c>
      <c r="C6615" t="s">
        <v>13436</v>
      </c>
      <c r="G6615" t="s">
        <v>30625</v>
      </c>
      <c r="K6615" t="s">
        <v>99</v>
      </c>
      <c r="L6615" t="s">
        <v>102</v>
      </c>
      <c r="M6615" t="s">
        <v>75</v>
      </c>
      <c r="R6615" t="s">
        <v>30626</v>
      </c>
      <c r="S6615" t="s">
        <v>30627</v>
      </c>
      <c r="T6615" t="s">
        <v>97</v>
      </c>
      <c r="U6615" t="s">
        <v>77</v>
      </c>
      <c r="V6615" t="str">
        <f>"100214870"</f>
        <v>100214870</v>
      </c>
      <c r="AC6615" t="s">
        <v>79</v>
      </c>
      <c r="AD6615" t="s">
        <v>75</v>
      </c>
      <c r="AE6615" t="s">
        <v>103</v>
      </c>
      <c r="AG6615" t="s">
        <v>81</v>
      </c>
    </row>
    <row r="6616" spans="1:33" x14ac:dyDescent="0.25">
      <c r="A6616" t="str">
        <f>"1487681482"</f>
        <v>1487681482</v>
      </c>
      <c r="B6616" t="str">
        <f>"02218519"</f>
        <v>02218519</v>
      </c>
      <c r="C6616" t="s">
        <v>13436</v>
      </c>
      <c r="D6616" t="s">
        <v>30628</v>
      </c>
      <c r="E6616" t="s">
        <v>30629</v>
      </c>
      <c r="G6616" t="s">
        <v>30630</v>
      </c>
      <c r="L6616" t="s">
        <v>83</v>
      </c>
      <c r="M6616" t="s">
        <v>85</v>
      </c>
      <c r="R6616" t="s">
        <v>30631</v>
      </c>
      <c r="W6616" t="s">
        <v>30629</v>
      </c>
      <c r="X6616" t="s">
        <v>5688</v>
      </c>
      <c r="Y6616" t="s">
        <v>97</v>
      </c>
      <c r="Z6616" t="s">
        <v>77</v>
      </c>
      <c r="AA6616" t="str">
        <f>"10003"</f>
        <v>10003</v>
      </c>
      <c r="AB6616" t="s">
        <v>78</v>
      </c>
      <c r="AC6616" t="s">
        <v>79</v>
      </c>
      <c r="AD6616" t="s">
        <v>75</v>
      </c>
      <c r="AE6616" t="s">
        <v>80</v>
      </c>
      <c r="AG6616" t="s">
        <v>81</v>
      </c>
    </row>
    <row r="6617" spans="1:33" x14ac:dyDescent="0.25">
      <c r="A6617" t="str">
        <f>"1497837090"</f>
        <v>1497837090</v>
      </c>
      <c r="B6617" t="str">
        <f>"02313019"</f>
        <v>02313019</v>
      </c>
      <c r="C6617" t="s">
        <v>13436</v>
      </c>
      <c r="D6617" t="s">
        <v>1357</v>
      </c>
      <c r="E6617" t="s">
        <v>1356</v>
      </c>
      <c r="G6617" t="s">
        <v>30632</v>
      </c>
      <c r="L6617" t="s">
        <v>84</v>
      </c>
      <c r="M6617" t="s">
        <v>85</v>
      </c>
      <c r="R6617" t="s">
        <v>1358</v>
      </c>
      <c r="W6617" t="s">
        <v>1358</v>
      </c>
      <c r="X6617" t="s">
        <v>528</v>
      </c>
      <c r="Y6617" t="s">
        <v>97</v>
      </c>
      <c r="Z6617" t="s">
        <v>77</v>
      </c>
      <c r="AA6617" t="str">
        <f>"10013-4223"</f>
        <v>10013-4223</v>
      </c>
      <c r="AB6617" t="s">
        <v>78</v>
      </c>
      <c r="AC6617" t="s">
        <v>79</v>
      </c>
      <c r="AD6617" t="s">
        <v>75</v>
      </c>
      <c r="AE6617" t="s">
        <v>80</v>
      </c>
      <c r="AG6617" t="s">
        <v>81</v>
      </c>
    </row>
    <row r="6618" spans="1:33" x14ac:dyDescent="0.25">
      <c r="A6618" t="str">
        <f>"1497863336"</f>
        <v>1497863336</v>
      </c>
      <c r="B6618" t="str">
        <f>"01716921"</f>
        <v>01716921</v>
      </c>
      <c r="C6618" t="s">
        <v>13436</v>
      </c>
      <c r="D6618" t="s">
        <v>30633</v>
      </c>
      <c r="E6618" t="s">
        <v>30634</v>
      </c>
      <c r="G6618" t="s">
        <v>30635</v>
      </c>
      <c r="L6618" t="s">
        <v>84</v>
      </c>
      <c r="M6618" t="s">
        <v>85</v>
      </c>
      <c r="R6618" t="s">
        <v>30636</v>
      </c>
      <c r="W6618" t="s">
        <v>30637</v>
      </c>
      <c r="X6618" t="s">
        <v>30638</v>
      </c>
      <c r="Y6618" t="s">
        <v>3307</v>
      </c>
      <c r="Z6618" t="s">
        <v>77</v>
      </c>
      <c r="AA6618" t="str">
        <f>"10562-2001"</f>
        <v>10562-2001</v>
      </c>
      <c r="AB6618" t="s">
        <v>78</v>
      </c>
      <c r="AC6618" t="s">
        <v>79</v>
      </c>
      <c r="AD6618" t="s">
        <v>75</v>
      </c>
      <c r="AE6618" t="s">
        <v>80</v>
      </c>
      <c r="AG6618" t="s">
        <v>81</v>
      </c>
    </row>
    <row r="6619" spans="1:33" x14ac:dyDescent="0.25">
      <c r="A6619" t="str">
        <f>"1508977208"</f>
        <v>1508977208</v>
      </c>
      <c r="B6619" t="str">
        <f>"02656962"</f>
        <v>02656962</v>
      </c>
      <c r="C6619" t="s">
        <v>13436</v>
      </c>
      <c r="D6619" t="s">
        <v>30639</v>
      </c>
      <c r="E6619" t="s">
        <v>30640</v>
      </c>
      <c r="G6619" t="s">
        <v>30641</v>
      </c>
      <c r="L6619" t="s">
        <v>84</v>
      </c>
      <c r="M6619" t="s">
        <v>85</v>
      </c>
      <c r="R6619" t="s">
        <v>30642</v>
      </c>
      <c r="W6619" t="s">
        <v>30640</v>
      </c>
      <c r="X6619" t="s">
        <v>30643</v>
      </c>
      <c r="Y6619" t="s">
        <v>129</v>
      </c>
      <c r="Z6619" t="s">
        <v>77</v>
      </c>
      <c r="AA6619" t="str">
        <f>"11372-6339"</f>
        <v>11372-6339</v>
      </c>
      <c r="AB6619" t="s">
        <v>78</v>
      </c>
      <c r="AC6619" t="s">
        <v>79</v>
      </c>
      <c r="AD6619" t="s">
        <v>75</v>
      </c>
      <c r="AE6619" t="s">
        <v>80</v>
      </c>
      <c r="AG6619" t="s">
        <v>81</v>
      </c>
    </row>
    <row r="6620" spans="1:33" x14ac:dyDescent="0.25">
      <c r="A6620" t="str">
        <f>"1518032317"</f>
        <v>1518032317</v>
      </c>
      <c r="B6620" t="str">
        <f>"00838615"</f>
        <v>00838615</v>
      </c>
      <c r="C6620" t="s">
        <v>13436</v>
      </c>
      <c r="D6620" t="s">
        <v>30644</v>
      </c>
      <c r="E6620" t="s">
        <v>30645</v>
      </c>
      <c r="G6620" t="s">
        <v>30646</v>
      </c>
      <c r="L6620" t="s">
        <v>83</v>
      </c>
      <c r="M6620" t="s">
        <v>85</v>
      </c>
      <c r="R6620" t="s">
        <v>30647</v>
      </c>
      <c r="W6620" t="s">
        <v>30645</v>
      </c>
      <c r="X6620" t="s">
        <v>30648</v>
      </c>
      <c r="Y6620" t="s">
        <v>97</v>
      </c>
      <c r="Z6620" t="s">
        <v>77</v>
      </c>
      <c r="AA6620" t="str">
        <f>"10017-7306"</f>
        <v>10017-7306</v>
      </c>
      <c r="AB6620" t="s">
        <v>78</v>
      </c>
      <c r="AC6620" t="s">
        <v>79</v>
      </c>
      <c r="AD6620" t="s">
        <v>75</v>
      </c>
      <c r="AE6620" t="s">
        <v>80</v>
      </c>
      <c r="AG6620" t="s">
        <v>81</v>
      </c>
    </row>
    <row r="6621" spans="1:33" x14ac:dyDescent="0.25">
      <c r="A6621" t="str">
        <f>"1528110244"</f>
        <v>1528110244</v>
      </c>
      <c r="B6621" t="str">
        <f>"01860122"</f>
        <v>01860122</v>
      </c>
      <c r="C6621" t="s">
        <v>13436</v>
      </c>
      <c r="D6621" t="s">
        <v>30649</v>
      </c>
      <c r="E6621" t="s">
        <v>30650</v>
      </c>
      <c r="G6621" t="s">
        <v>30651</v>
      </c>
      <c r="L6621" t="s">
        <v>83</v>
      </c>
      <c r="M6621" t="s">
        <v>85</v>
      </c>
      <c r="R6621" t="s">
        <v>30652</v>
      </c>
      <c r="W6621" t="s">
        <v>30650</v>
      </c>
      <c r="X6621" t="s">
        <v>3037</v>
      </c>
      <c r="Y6621" t="s">
        <v>97</v>
      </c>
      <c r="Z6621" t="s">
        <v>77</v>
      </c>
      <c r="AA6621" t="str">
        <f>"10003"</f>
        <v>10003</v>
      </c>
      <c r="AB6621" t="s">
        <v>78</v>
      </c>
      <c r="AC6621" t="s">
        <v>79</v>
      </c>
      <c r="AD6621" t="s">
        <v>75</v>
      </c>
      <c r="AE6621" t="s">
        <v>80</v>
      </c>
      <c r="AG6621" t="s">
        <v>81</v>
      </c>
    </row>
    <row r="6622" spans="1:33" x14ac:dyDescent="0.25">
      <c r="A6622" t="str">
        <f>"1528172392"</f>
        <v>1528172392</v>
      </c>
      <c r="B6622" t="str">
        <f>"02315117"</f>
        <v>02315117</v>
      </c>
      <c r="C6622" t="s">
        <v>13436</v>
      </c>
      <c r="D6622" t="s">
        <v>30653</v>
      </c>
      <c r="E6622" t="s">
        <v>30654</v>
      </c>
      <c r="G6622" t="s">
        <v>30655</v>
      </c>
      <c r="L6622" t="s">
        <v>83</v>
      </c>
      <c r="M6622" t="s">
        <v>85</v>
      </c>
      <c r="R6622" t="s">
        <v>30656</v>
      </c>
      <c r="W6622" t="s">
        <v>30654</v>
      </c>
      <c r="X6622" t="s">
        <v>30657</v>
      </c>
      <c r="Y6622" t="s">
        <v>97</v>
      </c>
      <c r="Z6622" t="s">
        <v>77</v>
      </c>
      <c r="AA6622" t="str">
        <f>"10065-4870"</f>
        <v>10065-4870</v>
      </c>
      <c r="AB6622" t="s">
        <v>78</v>
      </c>
      <c r="AC6622" t="s">
        <v>79</v>
      </c>
      <c r="AD6622" t="s">
        <v>75</v>
      </c>
      <c r="AE6622" t="s">
        <v>80</v>
      </c>
      <c r="AG6622" t="s">
        <v>81</v>
      </c>
    </row>
    <row r="6623" spans="1:33" x14ac:dyDescent="0.25">
      <c r="A6623" t="str">
        <f>"1528340940"</f>
        <v>1528340940</v>
      </c>
      <c r="C6623" t="s">
        <v>13436</v>
      </c>
      <c r="G6623" t="s">
        <v>30658</v>
      </c>
      <c r="K6623" t="s">
        <v>99</v>
      </c>
      <c r="L6623" t="s">
        <v>102</v>
      </c>
      <c r="M6623" t="s">
        <v>85</v>
      </c>
      <c r="R6623" t="s">
        <v>5908</v>
      </c>
      <c r="S6623" t="s">
        <v>5909</v>
      </c>
      <c r="T6623" t="s">
        <v>5910</v>
      </c>
      <c r="U6623" t="s">
        <v>77</v>
      </c>
      <c r="V6623" t="str">
        <f>"117622140"</f>
        <v>117622140</v>
      </c>
      <c r="AC6623" t="s">
        <v>79</v>
      </c>
      <c r="AD6623" t="s">
        <v>75</v>
      </c>
      <c r="AE6623" t="s">
        <v>103</v>
      </c>
      <c r="AG6623" t="s">
        <v>81</v>
      </c>
    </row>
    <row r="6624" spans="1:33" x14ac:dyDescent="0.25">
      <c r="A6624" t="str">
        <f>"1538112461"</f>
        <v>1538112461</v>
      </c>
      <c r="B6624" t="str">
        <f>"01152450"</f>
        <v>01152450</v>
      </c>
      <c r="C6624" t="s">
        <v>13436</v>
      </c>
      <c r="D6624" t="s">
        <v>30659</v>
      </c>
      <c r="E6624" t="s">
        <v>30660</v>
      </c>
      <c r="G6624" t="s">
        <v>30661</v>
      </c>
      <c r="L6624" t="s">
        <v>84</v>
      </c>
      <c r="M6624" t="s">
        <v>85</v>
      </c>
      <c r="R6624" t="s">
        <v>30662</v>
      </c>
      <c r="W6624" t="s">
        <v>30660</v>
      </c>
      <c r="X6624" t="s">
        <v>30663</v>
      </c>
      <c r="Y6624" t="s">
        <v>97</v>
      </c>
      <c r="Z6624" t="s">
        <v>77</v>
      </c>
      <c r="AA6624" t="str">
        <f>"10014-6847"</f>
        <v>10014-6847</v>
      </c>
      <c r="AB6624" t="s">
        <v>78</v>
      </c>
      <c r="AC6624" t="s">
        <v>79</v>
      </c>
      <c r="AD6624" t="s">
        <v>75</v>
      </c>
      <c r="AE6624" t="s">
        <v>80</v>
      </c>
      <c r="AG6624" t="s">
        <v>81</v>
      </c>
    </row>
    <row r="6625" spans="1:33" x14ac:dyDescent="0.25">
      <c r="A6625" t="str">
        <f>"1538220199"</f>
        <v>1538220199</v>
      </c>
      <c r="B6625" t="str">
        <f>"01129428"</f>
        <v>01129428</v>
      </c>
      <c r="C6625" t="s">
        <v>13436</v>
      </c>
      <c r="D6625" t="s">
        <v>30664</v>
      </c>
      <c r="E6625" t="s">
        <v>30665</v>
      </c>
      <c r="G6625" t="s">
        <v>30666</v>
      </c>
      <c r="L6625" t="s">
        <v>84</v>
      </c>
      <c r="M6625" t="s">
        <v>85</v>
      </c>
      <c r="R6625" t="s">
        <v>5521</v>
      </c>
      <c r="W6625" t="s">
        <v>30665</v>
      </c>
      <c r="X6625" t="s">
        <v>4535</v>
      </c>
      <c r="Y6625" t="s">
        <v>97</v>
      </c>
      <c r="Z6625" t="s">
        <v>77</v>
      </c>
      <c r="AA6625" t="str">
        <f>"10123-0309"</f>
        <v>10123-0309</v>
      </c>
      <c r="AB6625" t="s">
        <v>78</v>
      </c>
      <c r="AC6625" t="s">
        <v>79</v>
      </c>
      <c r="AD6625" t="s">
        <v>75</v>
      </c>
      <c r="AE6625" t="s">
        <v>80</v>
      </c>
      <c r="AG6625" t="s">
        <v>81</v>
      </c>
    </row>
    <row r="6626" spans="1:33" x14ac:dyDescent="0.25">
      <c r="A6626" t="str">
        <f>"1538328299"</f>
        <v>1538328299</v>
      </c>
      <c r="B6626" t="str">
        <f>"03598547"</f>
        <v>03598547</v>
      </c>
      <c r="C6626" t="s">
        <v>13436</v>
      </c>
      <c r="D6626" t="s">
        <v>30667</v>
      </c>
      <c r="E6626" t="s">
        <v>30668</v>
      </c>
      <c r="G6626" t="s">
        <v>30669</v>
      </c>
      <c r="L6626" t="s">
        <v>83</v>
      </c>
      <c r="M6626" t="s">
        <v>85</v>
      </c>
      <c r="R6626" t="s">
        <v>30670</v>
      </c>
      <c r="W6626" t="s">
        <v>30668</v>
      </c>
      <c r="X6626" t="s">
        <v>995</v>
      </c>
      <c r="Y6626" t="s">
        <v>97</v>
      </c>
      <c r="Z6626" t="s">
        <v>77</v>
      </c>
      <c r="AA6626" t="str">
        <f>"10013-4554"</f>
        <v>10013-4554</v>
      </c>
      <c r="AB6626" t="s">
        <v>78</v>
      </c>
      <c r="AC6626" t="s">
        <v>79</v>
      </c>
      <c r="AD6626" t="s">
        <v>75</v>
      </c>
      <c r="AE6626" t="s">
        <v>80</v>
      </c>
      <c r="AG6626" t="s">
        <v>81</v>
      </c>
    </row>
    <row r="6627" spans="1:33" x14ac:dyDescent="0.25">
      <c r="A6627" t="str">
        <f>"1669488615"</f>
        <v>1669488615</v>
      </c>
      <c r="B6627" t="str">
        <f>"02020928"</f>
        <v>02020928</v>
      </c>
      <c r="C6627" t="s">
        <v>13436</v>
      </c>
      <c r="D6627" t="s">
        <v>30671</v>
      </c>
      <c r="E6627" t="s">
        <v>30672</v>
      </c>
      <c r="G6627" t="s">
        <v>30673</v>
      </c>
      <c r="L6627" t="s">
        <v>83</v>
      </c>
      <c r="M6627" t="s">
        <v>85</v>
      </c>
      <c r="R6627" t="s">
        <v>30674</v>
      </c>
      <c r="W6627" t="s">
        <v>30672</v>
      </c>
      <c r="X6627" t="s">
        <v>4461</v>
      </c>
      <c r="Y6627" t="s">
        <v>2068</v>
      </c>
      <c r="Z6627" t="s">
        <v>77</v>
      </c>
      <c r="AA6627" t="str">
        <f>"11725-3405"</f>
        <v>11725-3405</v>
      </c>
      <c r="AB6627" t="s">
        <v>78</v>
      </c>
      <c r="AC6627" t="s">
        <v>79</v>
      </c>
      <c r="AD6627" t="s">
        <v>75</v>
      </c>
      <c r="AE6627" t="s">
        <v>80</v>
      </c>
      <c r="AG6627" t="s">
        <v>81</v>
      </c>
    </row>
    <row r="6628" spans="1:33" x14ac:dyDescent="0.25">
      <c r="A6628" t="str">
        <f>"1386832665"</f>
        <v>1386832665</v>
      </c>
      <c r="C6628" t="s">
        <v>13436</v>
      </c>
      <c r="K6628" t="s">
        <v>99</v>
      </c>
      <c r="L6628" t="s">
        <v>74</v>
      </c>
      <c r="M6628" t="s">
        <v>75</v>
      </c>
      <c r="R6628" t="s">
        <v>5155</v>
      </c>
      <c r="S6628" t="s">
        <v>5156</v>
      </c>
      <c r="T6628" t="s">
        <v>131</v>
      </c>
      <c r="U6628" t="s">
        <v>77</v>
      </c>
      <c r="V6628" t="str">
        <f>"104672401"</f>
        <v>104672401</v>
      </c>
      <c r="AC6628" t="s">
        <v>79</v>
      </c>
      <c r="AD6628" t="s">
        <v>75</v>
      </c>
      <c r="AE6628" t="s">
        <v>103</v>
      </c>
      <c r="AG6628" t="s">
        <v>81</v>
      </c>
    </row>
    <row r="6629" spans="1:33" x14ac:dyDescent="0.25">
      <c r="A6629" t="str">
        <f>"1386840387"</f>
        <v>1386840387</v>
      </c>
      <c r="B6629" t="str">
        <f>"03227745"</f>
        <v>03227745</v>
      </c>
      <c r="C6629" t="s">
        <v>13436</v>
      </c>
      <c r="D6629" t="s">
        <v>30675</v>
      </c>
      <c r="E6629" t="s">
        <v>30676</v>
      </c>
      <c r="G6629" t="s">
        <v>30677</v>
      </c>
      <c r="L6629" t="s">
        <v>84</v>
      </c>
      <c r="M6629" t="s">
        <v>75</v>
      </c>
      <c r="R6629" t="s">
        <v>30678</v>
      </c>
      <c r="W6629" t="s">
        <v>30679</v>
      </c>
      <c r="X6629" t="s">
        <v>30680</v>
      </c>
      <c r="Y6629" t="s">
        <v>97</v>
      </c>
      <c r="Z6629" t="s">
        <v>77</v>
      </c>
      <c r="AA6629" t="str">
        <f>"10006-1995"</f>
        <v>10006-1995</v>
      </c>
      <c r="AB6629" t="s">
        <v>78</v>
      </c>
      <c r="AC6629" t="s">
        <v>79</v>
      </c>
      <c r="AD6629" t="s">
        <v>75</v>
      </c>
      <c r="AE6629" t="s">
        <v>80</v>
      </c>
      <c r="AG6629" t="s">
        <v>81</v>
      </c>
    </row>
    <row r="6630" spans="1:33" x14ac:dyDescent="0.25">
      <c r="A6630" t="str">
        <f>"1386891075"</f>
        <v>1386891075</v>
      </c>
      <c r="B6630" t="str">
        <f>"03111153"</f>
        <v>03111153</v>
      </c>
      <c r="C6630" t="s">
        <v>13436</v>
      </c>
      <c r="D6630" t="s">
        <v>30681</v>
      </c>
      <c r="E6630" t="s">
        <v>30682</v>
      </c>
      <c r="G6630" t="s">
        <v>30683</v>
      </c>
      <c r="L6630" t="s">
        <v>74</v>
      </c>
      <c r="M6630" t="s">
        <v>75</v>
      </c>
      <c r="R6630" t="s">
        <v>30684</v>
      </c>
      <c r="W6630" t="s">
        <v>30682</v>
      </c>
      <c r="X6630" t="s">
        <v>11195</v>
      </c>
      <c r="Y6630" t="s">
        <v>97</v>
      </c>
      <c r="Z6630" t="s">
        <v>77</v>
      </c>
      <c r="AA6630" t="str">
        <f>"10029-0001"</f>
        <v>10029-0001</v>
      </c>
      <c r="AB6630" t="s">
        <v>78</v>
      </c>
      <c r="AC6630" t="s">
        <v>79</v>
      </c>
      <c r="AD6630" t="s">
        <v>75</v>
      </c>
      <c r="AE6630" t="s">
        <v>80</v>
      </c>
      <c r="AG6630" t="s">
        <v>81</v>
      </c>
    </row>
    <row r="6631" spans="1:33" x14ac:dyDescent="0.25">
      <c r="A6631" t="str">
        <f>"1386910602"</f>
        <v>1386910602</v>
      </c>
      <c r="B6631" t="str">
        <f>"03822988"</f>
        <v>03822988</v>
      </c>
      <c r="C6631" t="s">
        <v>13436</v>
      </c>
      <c r="D6631" t="s">
        <v>30685</v>
      </c>
      <c r="E6631" t="s">
        <v>30686</v>
      </c>
      <c r="G6631" t="s">
        <v>30687</v>
      </c>
      <c r="L6631" t="s">
        <v>74</v>
      </c>
      <c r="M6631" t="s">
        <v>75</v>
      </c>
      <c r="R6631" t="s">
        <v>30688</v>
      </c>
      <c r="W6631" t="s">
        <v>30686</v>
      </c>
      <c r="X6631" t="s">
        <v>25370</v>
      </c>
      <c r="Y6631" t="s">
        <v>97</v>
      </c>
      <c r="Z6631" t="s">
        <v>77</v>
      </c>
      <c r="AA6631" t="str">
        <f>"10029-6504"</f>
        <v>10029-6504</v>
      </c>
      <c r="AB6631" t="s">
        <v>78</v>
      </c>
      <c r="AC6631" t="s">
        <v>79</v>
      </c>
      <c r="AD6631" t="s">
        <v>75</v>
      </c>
      <c r="AE6631" t="s">
        <v>80</v>
      </c>
      <c r="AG6631" t="s">
        <v>81</v>
      </c>
    </row>
    <row r="6632" spans="1:33" x14ac:dyDescent="0.25">
      <c r="A6632" t="str">
        <f>"1386910677"</f>
        <v>1386910677</v>
      </c>
      <c r="C6632" t="s">
        <v>13436</v>
      </c>
      <c r="K6632" t="s">
        <v>99</v>
      </c>
      <c r="L6632" t="s">
        <v>102</v>
      </c>
      <c r="M6632" t="s">
        <v>75</v>
      </c>
      <c r="R6632" t="s">
        <v>30689</v>
      </c>
      <c r="S6632" t="s">
        <v>191</v>
      </c>
      <c r="T6632" t="s">
        <v>97</v>
      </c>
      <c r="U6632" t="s">
        <v>77</v>
      </c>
      <c r="V6632" t="str">
        <f>"100191147"</f>
        <v>100191147</v>
      </c>
      <c r="AC6632" t="s">
        <v>79</v>
      </c>
      <c r="AD6632" t="s">
        <v>75</v>
      </c>
      <c r="AE6632" t="s">
        <v>103</v>
      </c>
      <c r="AG6632" t="s">
        <v>81</v>
      </c>
    </row>
    <row r="6633" spans="1:33" x14ac:dyDescent="0.25">
      <c r="A6633" t="str">
        <f>"1386923415"</f>
        <v>1386923415</v>
      </c>
      <c r="B6633" t="str">
        <f>"03765946"</f>
        <v>03765946</v>
      </c>
      <c r="C6633" t="s">
        <v>13436</v>
      </c>
      <c r="D6633" t="s">
        <v>30690</v>
      </c>
      <c r="E6633" t="s">
        <v>30691</v>
      </c>
      <c r="L6633" t="s">
        <v>102</v>
      </c>
      <c r="M6633" t="s">
        <v>75</v>
      </c>
      <c r="R6633" t="s">
        <v>30692</v>
      </c>
      <c r="W6633" t="s">
        <v>30691</v>
      </c>
      <c r="X6633" t="s">
        <v>272</v>
      </c>
      <c r="Y6633" t="s">
        <v>97</v>
      </c>
      <c r="Z6633" t="s">
        <v>77</v>
      </c>
      <c r="AA6633" t="str">
        <f>"10029-6501"</f>
        <v>10029-6501</v>
      </c>
      <c r="AB6633" t="s">
        <v>78</v>
      </c>
      <c r="AC6633" t="s">
        <v>79</v>
      </c>
      <c r="AD6633" t="s">
        <v>75</v>
      </c>
      <c r="AE6633" t="s">
        <v>80</v>
      </c>
      <c r="AG6633" t="s">
        <v>81</v>
      </c>
    </row>
    <row r="6634" spans="1:33" x14ac:dyDescent="0.25">
      <c r="A6634" t="str">
        <f>"1386928596"</f>
        <v>1386928596</v>
      </c>
      <c r="B6634" t="str">
        <f>"03711593"</f>
        <v>03711593</v>
      </c>
      <c r="C6634" t="s">
        <v>13436</v>
      </c>
      <c r="D6634" t="s">
        <v>30693</v>
      </c>
      <c r="E6634" t="s">
        <v>30694</v>
      </c>
      <c r="G6634" t="s">
        <v>30695</v>
      </c>
      <c r="L6634" t="s">
        <v>74</v>
      </c>
      <c r="M6634" t="s">
        <v>75</v>
      </c>
      <c r="R6634" t="s">
        <v>30696</v>
      </c>
      <c r="W6634" t="s">
        <v>30694</v>
      </c>
      <c r="X6634" t="s">
        <v>11399</v>
      </c>
      <c r="Y6634" t="s">
        <v>97</v>
      </c>
      <c r="Z6634" t="s">
        <v>77</v>
      </c>
      <c r="AA6634" t="str">
        <f>"10029-6508"</f>
        <v>10029-6508</v>
      </c>
      <c r="AB6634" t="s">
        <v>78</v>
      </c>
      <c r="AC6634" t="s">
        <v>79</v>
      </c>
      <c r="AD6634" t="s">
        <v>75</v>
      </c>
      <c r="AE6634" t="s">
        <v>80</v>
      </c>
      <c r="AG6634" t="s">
        <v>81</v>
      </c>
    </row>
    <row r="6635" spans="1:33" x14ac:dyDescent="0.25">
      <c r="A6635" t="str">
        <f>"1386933240"</f>
        <v>1386933240</v>
      </c>
      <c r="C6635" t="s">
        <v>13436</v>
      </c>
      <c r="K6635" t="s">
        <v>99</v>
      </c>
      <c r="L6635" t="s">
        <v>102</v>
      </c>
      <c r="M6635" t="s">
        <v>75</v>
      </c>
      <c r="R6635" t="s">
        <v>30697</v>
      </c>
      <c r="S6635" t="s">
        <v>30698</v>
      </c>
      <c r="T6635" t="s">
        <v>97</v>
      </c>
      <c r="U6635" t="s">
        <v>77</v>
      </c>
      <c r="V6635" t="str">
        <f>"100296552"</f>
        <v>100296552</v>
      </c>
      <c r="AC6635" t="s">
        <v>79</v>
      </c>
      <c r="AD6635" t="s">
        <v>75</v>
      </c>
      <c r="AE6635" t="s">
        <v>103</v>
      </c>
      <c r="AG6635" t="s">
        <v>81</v>
      </c>
    </row>
    <row r="6636" spans="1:33" x14ac:dyDescent="0.25">
      <c r="A6636" t="str">
        <f>"1386934164"</f>
        <v>1386934164</v>
      </c>
      <c r="C6636" t="s">
        <v>13436</v>
      </c>
      <c r="K6636" t="s">
        <v>99</v>
      </c>
      <c r="L6636" t="s">
        <v>102</v>
      </c>
      <c r="M6636" t="s">
        <v>75</v>
      </c>
      <c r="R6636" t="s">
        <v>30699</v>
      </c>
      <c r="S6636" t="s">
        <v>30700</v>
      </c>
      <c r="T6636" t="s">
        <v>2262</v>
      </c>
      <c r="U6636" t="s">
        <v>123</v>
      </c>
      <c r="V6636" t="str">
        <f>"021142621"</f>
        <v>021142621</v>
      </c>
      <c r="AC6636" t="s">
        <v>79</v>
      </c>
      <c r="AD6636" t="s">
        <v>75</v>
      </c>
      <c r="AE6636" t="s">
        <v>103</v>
      </c>
      <c r="AG6636" t="s">
        <v>81</v>
      </c>
    </row>
    <row r="6637" spans="1:33" x14ac:dyDescent="0.25">
      <c r="A6637" t="str">
        <f>"1386934917"</f>
        <v>1386934917</v>
      </c>
      <c r="C6637" t="s">
        <v>13436</v>
      </c>
      <c r="K6637" t="s">
        <v>99</v>
      </c>
      <c r="L6637" t="s">
        <v>102</v>
      </c>
      <c r="M6637" t="s">
        <v>75</v>
      </c>
      <c r="R6637" t="s">
        <v>30701</v>
      </c>
      <c r="S6637" t="s">
        <v>30702</v>
      </c>
      <c r="T6637" t="s">
        <v>155</v>
      </c>
      <c r="U6637" t="s">
        <v>77</v>
      </c>
      <c r="V6637" t="str">
        <f>"103092932"</f>
        <v>103092932</v>
      </c>
      <c r="AC6637" t="s">
        <v>79</v>
      </c>
      <c r="AD6637" t="s">
        <v>75</v>
      </c>
      <c r="AE6637" t="s">
        <v>103</v>
      </c>
      <c r="AG6637" t="s">
        <v>81</v>
      </c>
    </row>
    <row r="6638" spans="1:33" x14ac:dyDescent="0.25">
      <c r="A6638" t="str">
        <f>"1386939924"</f>
        <v>1386939924</v>
      </c>
      <c r="B6638" t="str">
        <f>"04452035"</f>
        <v>04452035</v>
      </c>
      <c r="C6638" t="s">
        <v>13436</v>
      </c>
      <c r="D6638" t="s">
        <v>30703</v>
      </c>
      <c r="E6638" t="s">
        <v>30704</v>
      </c>
      <c r="L6638" t="s">
        <v>102</v>
      </c>
      <c r="M6638" t="s">
        <v>75</v>
      </c>
      <c r="R6638" t="s">
        <v>30704</v>
      </c>
      <c r="W6638" t="s">
        <v>30704</v>
      </c>
      <c r="AB6638" t="s">
        <v>78</v>
      </c>
      <c r="AC6638" t="s">
        <v>79</v>
      </c>
      <c r="AD6638" t="s">
        <v>75</v>
      </c>
      <c r="AE6638" t="s">
        <v>80</v>
      </c>
      <c r="AG6638" t="s">
        <v>81</v>
      </c>
    </row>
    <row r="6639" spans="1:33" x14ac:dyDescent="0.25">
      <c r="A6639" t="str">
        <f>"1386944643"</f>
        <v>1386944643</v>
      </c>
      <c r="C6639" t="s">
        <v>13436</v>
      </c>
      <c r="G6639" t="s">
        <v>30705</v>
      </c>
      <c r="K6639" t="s">
        <v>99</v>
      </c>
      <c r="L6639" t="s">
        <v>102</v>
      </c>
      <c r="M6639" t="s">
        <v>75</v>
      </c>
      <c r="R6639" t="s">
        <v>30706</v>
      </c>
      <c r="S6639" t="s">
        <v>30707</v>
      </c>
      <c r="T6639" t="s">
        <v>97</v>
      </c>
      <c r="U6639" t="s">
        <v>77</v>
      </c>
      <c r="V6639" t="str">
        <f>"100752318"</f>
        <v>100752318</v>
      </c>
      <c r="AC6639" t="s">
        <v>79</v>
      </c>
      <c r="AD6639" t="s">
        <v>75</v>
      </c>
      <c r="AE6639" t="s">
        <v>103</v>
      </c>
      <c r="AG6639" t="s">
        <v>81</v>
      </c>
    </row>
    <row r="6640" spans="1:33" x14ac:dyDescent="0.25">
      <c r="A6640" t="str">
        <f>"1013994839"</f>
        <v>1013994839</v>
      </c>
      <c r="B6640" t="str">
        <f>"00339693"</f>
        <v>00339693</v>
      </c>
      <c r="C6640" t="s">
        <v>13436</v>
      </c>
      <c r="D6640" t="s">
        <v>1502</v>
      </c>
      <c r="E6640" t="s">
        <v>1503</v>
      </c>
      <c r="G6640" t="s">
        <v>30708</v>
      </c>
      <c r="L6640" t="s">
        <v>83</v>
      </c>
      <c r="M6640" t="s">
        <v>85</v>
      </c>
      <c r="R6640" t="s">
        <v>1501</v>
      </c>
      <c r="W6640" t="s">
        <v>1504</v>
      </c>
      <c r="X6640" t="s">
        <v>1505</v>
      </c>
      <c r="Y6640" t="s">
        <v>217</v>
      </c>
      <c r="Z6640" t="s">
        <v>77</v>
      </c>
      <c r="AA6640" t="str">
        <f>"11557-1674"</f>
        <v>11557-1674</v>
      </c>
      <c r="AB6640" t="s">
        <v>78</v>
      </c>
      <c r="AC6640" t="s">
        <v>79</v>
      </c>
      <c r="AD6640" t="s">
        <v>75</v>
      </c>
      <c r="AE6640" t="s">
        <v>80</v>
      </c>
      <c r="AG6640" t="s">
        <v>81</v>
      </c>
    </row>
    <row r="6641" spans="1:33" x14ac:dyDescent="0.25">
      <c r="A6641" t="str">
        <f>"1023041167"</f>
        <v>1023041167</v>
      </c>
      <c r="B6641" t="str">
        <f>"00810426"</f>
        <v>00810426</v>
      </c>
      <c r="C6641" t="s">
        <v>13436</v>
      </c>
      <c r="D6641" t="s">
        <v>30709</v>
      </c>
      <c r="E6641" t="s">
        <v>30710</v>
      </c>
      <c r="L6641" t="s">
        <v>83</v>
      </c>
      <c r="M6641" t="s">
        <v>85</v>
      </c>
      <c r="W6641" t="s">
        <v>30710</v>
      </c>
      <c r="X6641" t="s">
        <v>329</v>
      </c>
      <c r="Y6641" t="s">
        <v>97</v>
      </c>
      <c r="Z6641" t="s">
        <v>77</v>
      </c>
      <c r="AA6641" t="str">
        <f>"10029-6504"</f>
        <v>10029-6504</v>
      </c>
      <c r="AB6641" t="s">
        <v>78</v>
      </c>
      <c r="AC6641" t="s">
        <v>79</v>
      </c>
      <c r="AD6641" t="s">
        <v>75</v>
      </c>
      <c r="AE6641" t="s">
        <v>80</v>
      </c>
      <c r="AG6641" t="s">
        <v>81</v>
      </c>
    </row>
    <row r="6642" spans="1:33" x14ac:dyDescent="0.25">
      <c r="A6642" t="str">
        <f>"1235337023"</f>
        <v>1235337023</v>
      </c>
      <c r="C6642" t="s">
        <v>13436</v>
      </c>
      <c r="G6642" t="s">
        <v>30711</v>
      </c>
      <c r="K6642" t="s">
        <v>99</v>
      </c>
      <c r="L6642" t="s">
        <v>102</v>
      </c>
      <c r="M6642" t="s">
        <v>75</v>
      </c>
      <c r="R6642" t="s">
        <v>30712</v>
      </c>
      <c r="S6642" t="s">
        <v>229</v>
      </c>
      <c r="T6642" t="s">
        <v>230</v>
      </c>
      <c r="U6642" t="s">
        <v>77</v>
      </c>
      <c r="V6642" t="str">
        <f>"117954927"</f>
        <v>117954927</v>
      </c>
      <c r="AC6642" t="s">
        <v>79</v>
      </c>
      <c r="AD6642" t="s">
        <v>75</v>
      </c>
      <c r="AE6642" t="s">
        <v>103</v>
      </c>
      <c r="AG6642" t="s">
        <v>81</v>
      </c>
    </row>
    <row r="6643" spans="1:33" x14ac:dyDescent="0.25">
      <c r="A6643" t="str">
        <f>"1235405580"</f>
        <v>1235405580</v>
      </c>
      <c r="C6643" t="s">
        <v>13436</v>
      </c>
      <c r="G6643" t="s">
        <v>30713</v>
      </c>
      <c r="K6643" t="s">
        <v>99</v>
      </c>
      <c r="L6643" t="s">
        <v>102</v>
      </c>
      <c r="M6643" t="s">
        <v>75</v>
      </c>
      <c r="R6643" t="s">
        <v>30714</v>
      </c>
      <c r="S6643" t="s">
        <v>30715</v>
      </c>
      <c r="T6643" t="s">
        <v>97</v>
      </c>
      <c r="U6643" t="s">
        <v>77</v>
      </c>
      <c r="V6643" t="str">
        <f>"100296552"</f>
        <v>100296552</v>
      </c>
      <c r="AC6643" t="s">
        <v>79</v>
      </c>
      <c r="AD6643" t="s">
        <v>75</v>
      </c>
      <c r="AE6643" t="s">
        <v>103</v>
      </c>
      <c r="AG6643" t="s">
        <v>81</v>
      </c>
    </row>
    <row r="6644" spans="1:33" x14ac:dyDescent="0.25">
      <c r="A6644" t="str">
        <f>"1245279447"</f>
        <v>1245279447</v>
      </c>
      <c r="B6644" t="str">
        <f>"02573077"</f>
        <v>02573077</v>
      </c>
      <c r="C6644" t="s">
        <v>13436</v>
      </c>
      <c r="D6644" t="s">
        <v>30716</v>
      </c>
      <c r="E6644" t="s">
        <v>30717</v>
      </c>
      <c r="G6644" t="s">
        <v>30718</v>
      </c>
      <c r="L6644" t="s">
        <v>143</v>
      </c>
      <c r="M6644" t="s">
        <v>85</v>
      </c>
      <c r="R6644" t="s">
        <v>30719</v>
      </c>
      <c r="W6644" t="s">
        <v>30717</v>
      </c>
      <c r="X6644" t="s">
        <v>329</v>
      </c>
      <c r="Y6644" t="s">
        <v>97</v>
      </c>
      <c r="Z6644" t="s">
        <v>77</v>
      </c>
      <c r="AA6644" t="str">
        <f>"10029-6500"</f>
        <v>10029-6500</v>
      </c>
      <c r="AB6644" t="s">
        <v>78</v>
      </c>
      <c r="AC6644" t="s">
        <v>79</v>
      </c>
      <c r="AD6644" t="s">
        <v>75</v>
      </c>
      <c r="AE6644" t="s">
        <v>80</v>
      </c>
      <c r="AG6644" t="s">
        <v>81</v>
      </c>
    </row>
    <row r="6645" spans="1:33" x14ac:dyDescent="0.25">
      <c r="A6645" t="str">
        <f>"1245469717"</f>
        <v>1245469717</v>
      </c>
      <c r="B6645" t="str">
        <f>"03612791"</f>
        <v>03612791</v>
      </c>
      <c r="C6645" t="s">
        <v>13436</v>
      </c>
      <c r="D6645" t="s">
        <v>30720</v>
      </c>
      <c r="E6645" t="s">
        <v>30721</v>
      </c>
      <c r="G6645" t="s">
        <v>30722</v>
      </c>
      <c r="L6645" t="s">
        <v>74</v>
      </c>
      <c r="M6645" t="s">
        <v>85</v>
      </c>
      <c r="R6645" t="s">
        <v>30721</v>
      </c>
      <c r="W6645" t="s">
        <v>30721</v>
      </c>
      <c r="X6645" t="s">
        <v>329</v>
      </c>
      <c r="Y6645" t="s">
        <v>97</v>
      </c>
      <c r="Z6645" t="s">
        <v>77</v>
      </c>
      <c r="AA6645" t="str">
        <f>"10029-6504"</f>
        <v>10029-6504</v>
      </c>
      <c r="AB6645" t="s">
        <v>78</v>
      </c>
      <c r="AC6645" t="s">
        <v>79</v>
      </c>
      <c r="AD6645" t="s">
        <v>75</v>
      </c>
      <c r="AE6645" t="s">
        <v>80</v>
      </c>
      <c r="AG6645" t="s">
        <v>81</v>
      </c>
    </row>
    <row r="6646" spans="1:33" x14ac:dyDescent="0.25">
      <c r="A6646" t="str">
        <f>"1245492156"</f>
        <v>1245492156</v>
      </c>
      <c r="B6646" t="str">
        <f>"03457976"</f>
        <v>03457976</v>
      </c>
      <c r="C6646" t="s">
        <v>13436</v>
      </c>
      <c r="D6646" t="s">
        <v>30723</v>
      </c>
      <c r="E6646" t="s">
        <v>30724</v>
      </c>
      <c r="G6646" t="s">
        <v>30725</v>
      </c>
      <c r="L6646" t="s">
        <v>84</v>
      </c>
      <c r="M6646" t="s">
        <v>85</v>
      </c>
      <c r="R6646" t="s">
        <v>30726</v>
      </c>
      <c r="W6646" t="s">
        <v>30724</v>
      </c>
      <c r="X6646" t="s">
        <v>329</v>
      </c>
      <c r="Y6646" t="s">
        <v>97</v>
      </c>
      <c r="Z6646" t="s">
        <v>77</v>
      </c>
      <c r="AA6646" t="str">
        <f>"10029-6504"</f>
        <v>10029-6504</v>
      </c>
      <c r="AB6646" t="s">
        <v>78</v>
      </c>
      <c r="AC6646" t="s">
        <v>79</v>
      </c>
      <c r="AD6646" t="s">
        <v>75</v>
      </c>
      <c r="AE6646" t="s">
        <v>80</v>
      </c>
      <c r="AG6646" t="s">
        <v>81</v>
      </c>
    </row>
    <row r="6647" spans="1:33" x14ac:dyDescent="0.25">
      <c r="A6647" t="str">
        <f>"1962474742"</f>
        <v>1962474742</v>
      </c>
      <c r="B6647" t="str">
        <f>"02361195"</f>
        <v>02361195</v>
      </c>
      <c r="C6647" t="s">
        <v>13436</v>
      </c>
      <c r="D6647" t="s">
        <v>30727</v>
      </c>
      <c r="E6647" t="s">
        <v>30728</v>
      </c>
      <c r="G6647" t="s">
        <v>30729</v>
      </c>
      <c r="L6647" t="s">
        <v>83</v>
      </c>
      <c r="M6647" t="s">
        <v>85</v>
      </c>
      <c r="R6647" t="s">
        <v>30730</v>
      </c>
      <c r="W6647" t="s">
        <v>30728</v>
      </c>
      <c r="X6647" t="s">
        <v>30731</v>
      </c>
      <c r="Y6647" t="s">
        <v>97</v>
      </c>
      <c r="Z6647" t="s">
        <v>77</v>
      </c>
      <c r="AA6647" t="str">
        <f>"10022-1304"</f>
        <v>10022-1304</v>
      </c>
      <c r="AB6647" t="s">
        <v>78</v>
      </c>
      <c r="AC6647" t="s">
        <v>79</v>
      </c>
      <c r="AD6647" t="s">
        <v>75</v>
      </c>
      <c r="AE6647" t="s">
        <v>80</v>
      </c>
      <c r="AG6647" t="s">
        <v>81</v>
      </c>
    </row>
    <row r="6648" spans="1:33" x14ac:dyDescent="0.25">
      <c r="A6648" t="str">
        <f>"1962483685"</f>
        <v>1962483685</v>
      </c>
      <c r="B6648" t="str">
        <f>"01440904"</f>
        <v>01440904</v>
      </c>
      <c r="C6648" t="s">
        <v>13436</v>
      </c>
      <c r="D6648" t="s">
        <v>30732</v>
      </c>
      <c r="E6648" t="s">
        <v>30733</v>
      </c>
      <c r="G6648" t="s">
        <v>30734</v>
      </c>
      <c r="L6648" t="s">
        <v>83</v>
      </c>
      <c r="M6648" t="s">
        <v>85</v>
      </c>
      <c r="R6648" t="s">
        <v>30735</v>
      </c>
      <c r="W6648" t="s">
        <v>30733</v>
      </c>
      <c r="X6648" t="s">
        <v>610</v>
      </c>
      <c r="Y6648" t="s">
        <v>87</v>
      </c>
      <c r="Z6648" t="s">
        <v>77</v>
      </c>
      <c r="AA6648" t="str">
        <f>"11203-2056"</f>
        <v>11203-2056</v>
      </c>
      <c r="AB6648" t="s">
        <v>78</v>
      </c>
      <c r="AC6648" t="s">
        <v>79</v>
      </c>
      <c r="AD6648" t="s">
        <v>75</v>
      </c>
      <c r="AE6648" t="s">
        <v>80</v>
      </c>
      <c r="AG6648" t="s">
        <v>81</v>
      </c>
    </row>
    <row r="6649" spans="1:33" x14ac:dyDescent="0.25">
      <c r="A6649" t="str">
        <f>"1174847610"</f>
        <v>1174847610</v>
      </c>
      <c r="B6649" t="str">
        <f>"04208848"</f>
        <v>04208848</v>
      </c>
      <c r="C6649" t="s">
        <v>13436</v>
      </c>
      <c r="D6649" t="s">
        <v>30736</v>
      </c>
      <c r="E6649" t="s">
        <v>30737</v>
      </c>
      <c r="L6649" t="s">
        <v>83</v>
      </c>
      <c r="M6649" t="s">
        <v>75</v>
      </c>
      <c r="R6649" t="s">
        <v>30738</v>
      </c>
      <c r="W6649" t="s">
        <v>30739</v>
      </c>
      <c r="X6649" t="s">
        <v>30740</v>
      </c>
      <c r="Y6649" t="s">
        <v>97</v>
      </c>
      <c r="Z6649" t="s">
        <v>77</v>
      </c>
      <c r="AA6649" t="str">
        <f>"10029-6504"</f>
        <v>10029-6504</v>
      </c>
      <c r="AB6649" t="s">
        <v>78</v>
      </c>
      <c r="AC6649" t="s">
        <v>79</v>
      </c>
      <c r="AD6649" t="s">
        <v>75</v>
      </c>
      <c r="AE6649" t="s">
        <v>80</v>
      </c>
      <c r="AG6649" t="s">
        <v>81</v>
      </c>
    </row>
    <row r="6650" spans="1:33" x14ac:dyDescent="0.25">
      <c r="A6650" t="str">
        <f>"1407919145"</f>
        <v>1407919145</v>
      </c>
      <c r="B6650" t="str">
        <f>"02906994"</f>
        <v>02906994</v>
      </c>
      <c r="C6650" t="s">
        <v>13436</v>
      </c>
      <c r="D6650" t="s">
        <v>895</v>
      </c>
      <c r="E6650" t="s">
        <v>896</v>
      </c>
      <c r="G6650" t="s">
        <v>30741</v>
      </c>
      <c r="L6650" t="s">
        <v>84</v>
      </c>
      <c r="M6650" t="s">
        <v>85</v>
      </c>
      <c r="R6650" t="s">
        <v>897</v>
      </c>
      <c r="W6650" t="s">
        <v>896</v>
      </c>
      <c r="X6650" t="s">
        <v>513</v>
      </c>
      <c r="Y6650" t="s">
        <v>97</v>
      </c>
      <c r="Z6650" t="s">
        <v>77</v>
      </c>
      <c r="AA6650" t="str">
        <f>"10013-4408"</f>
        <v>10013-4408</v>
      </c>
      <c r="AB6650" t="s">
        <v>78</v>
      </c>
      <c r="AC6650" t="s">
        <v>79</v>
      </c>
      <c r="AD6650" t="s">
        <v>75</v>
      </c>
      <c r="AE6650" t="s">
        <v>80</v>
      </c>
      <c r="AG6650" t="s">
        <v>81</v>
      </c>
    </row>
    <row r="6651" spans="1:33" x14ac:dyDescent="0.25">
      <c r="A6651" t="str">
        <f>"1407964505"</f>
        <v>1407964505</v>
      </c>
      <c r="B6651" t="str">
        <f>"02414560"</f>
        <v>02414560</v>
      </c>
      <c r="C6651" t="s">
        <v>13436</v>
      </c>
      <c r="D6651" t="s">
        <v>30742</v>
      </c>
      <c r="E6651" t="s">
        <v>30743</v>
      </c>
      <c r="G6651" t="s">
        <v>30744</v>
      </c>
      <c r="L6651" t="s">
        <v>74</v>
      </c>
      <c r="M6651" t="s">
        <v>85</v>
      </c>
      <c r="R6651" t="s">
        <v>30743</v>
      </c>
      <c r="W6651" t="s">
        <v>30743</v>
      </c>
      <c r="X6651" t="s">
        <v>30743</v>
      </c>
      <c r="Y6651" t="s">
        <v>97</v>
      </c>
      <c r="Z6651" t="s">
        <v>77</v>
      </c>
      <c r="AA6651" t="str">
        <f>"10023-5107"</f>
        <v>10023-5107</v>
      </c>
      <c r="AB6651" t="s">
        <v>78</v>
      </c>
      <c r="AC6651" t="s">
        <v>79</v>
      </c>
      <c r="AD6651" t="s">
        <v>75</v>
      </c>
      <c r="AE6651" t="s">
        <v>80</v>
      </c>
      <c r="AG6651" t="s">
        <v>81</v>
      </c>
    </row>
    <row r="6652" spans="1:33" x14ac:dyDescent="0.25">
      <c r="A6652" t="str">
        <f>"1407967482"</f>
        <v>1407967482</v>
      </c>
      <c r="B6652" t="str">
        <f>"02258717"</f>
        <v>02258717</v>
      </c>
      <c r="C6652" t="s">
        <v>13436</v>
      </c>
      <c r="D6652" t="s">
        <v>2086</v>
      </c>
      <c r="E6652" t="s">
        <v>2087</v>
      </c>
      <c r="G6652" t="s">
        <v>30745</v>
      </c>
      <c r="L6652" t="s">
        <v>105</v>
      </c>
      <c r="M6652" t="s">
        <v>85</v>
      </c>
      <c r="R6652" t="s">
        <v>2085</v>
      </c>
      <c r="W6652" t="s">
        <v>2087</v>
      </c>
      <c r="X6652" t="s">
        <v>175</v>
      </c>
      <c r="Y6652" t="s">
        <v>87</v>
      </c>
      <c r="Z6652" t="s">
        <v>77</v>
      </c>
      <c r="AA6652" t="str">
        <f>"11235-7745"</f>
        <v>11235-7745</v>
      </c>
      <c r="AB6652" t="s">
        <v>78</v>
      </c>
      <c r="AC6652" t="s">
        <v>79</v>
      </c>
      <c r="AD6652" t="s">
        <v>75</v>
      </c>
      <c r="AE6652" t="s">
        <v>80</v>
      </c>
      <c r="AG6652" t="s">
        <v>81</v>
      </c>
    </row>
    <row r="6653" spans="1:33" x14ac:dyDescent="0.25">
      <c r="A6653" t="str">
        <f>"1417022591"</f>
        <v>1417022591</v>
      </c>
      <c r="B6653" t="str">
        <f>"00673987"</f>
        <v>00673987</v>
      </c>
      <c r="C6653" t="s">
        <v>13436</v>
      </c>
      <c r="D6653" t="s">
        <v>30746</v>
      </c>
      <c r="E6653" t="s">
        <v>30747</v>
      </c>
      <c r="G6653" t="s">
        <v>30748</v>
      </c>
      <c r="L6653" t="s">
        <v>74</v>
      </c>
      <c r="M6653" t="s">
        <v>85</v>
      </c>
      <c r="R6653" t="s">
        <v>30749</v>
      </c>
      <c r="W6653" t="s">
        <v>30747</v>
      </c>
      <c r="X6653" t="s">
        <v>5621</v>
      </c>
      <c r="Y6653" t="s">
        <v>97</v>
      </c>
      <c r="Z6653" t="s">
        <v>77</v>
      </c>
      <c r="AA6653" t="str">
        <f>"10028-1059"</f>
        <v>10028-1059</v>
      </c>
      <c r="AB6653" t="s">
        <v>78</v>
      </c>
      <c r="AC6653" t="s">
        <v>79</v>
      </c>
      <c r="AD6653" t="s">
        <v>75</v>
      </c>
      <c r="AE6653" t="s">
        <v>80</v>
      </c>
      <c r="AG6653" t="s">
        <v>81</v>
      </c>
    </row>
    <row r="6654" spans="1:33" x14ac:dyDescent="0.25">
      <c r="A6654" t="str">
        <f>"1417049727"</f>
        <v>1417049727</v>
      </c>
      <c r="B6654" t="str">
        <f>"02350067"</f>
        <v>02350067</v>
      </c>
      <c r="C6654" t="s">
        <v>13436</v>
      </c>
      <c r="D6654" t="s">
        <v>30750</v>
      </c>
      <c r="E6654" t="s">
        <v>30751</v>
      </c>
      <c r="G6654" t="s">
        <v>30752</v>
      </c>
      <c r="L6654" t="s">
        <v>83</v>
      </c>
      <c r="M6654" t="s">
        <v>85</v>
      </c>
      <c r="R6654" t="s">
        <v>30753</v>
      </c>
      <c r="W6654" t="s">
        <v>30751</v>
      </c>
      <c r="X6654" t="s">
        <v>30754</v>
      </c>
      <c r="Y6654" t="s">
        <v>97</v>
      </c>
      <c r="Z6654" t="s">
        <v>77</v>
      </c>
      <c r="AA6654" t="str">
        <f>"10022-2614"</f>
        <v>10022-2614</v>
      </c>
      <c r="AB6654" t="s">
        <v>78</v>
      </c>
      <c r="AC6654" t="s">
        <v>79</v>
      </c>
      <c r="AD6654" t="s">
        <v>75</v>
      </c>
      <c r="AE6654" t="s">
        <v>80</v>
      </c>
      <c r="AG6654" t="s">
        <v>81</v>
      </c>
    </row>
    <row r="6655" spans="1:33" x14ac:dyDescent="0.25">
      <c r="A6655" t="str">
        <f>"1417938119"</f>
        <v>1417938119</v>
      </c>
      <c r="B6655" t="str">
        <f>"01648508"</f>
        <v>01648508</v>
      </c>
      <c r="C6655" t="s">
        <v>13436</v>
      </c>
      <c r="D6655" t="s">
        <v>30755</v>
      </c>
      <c r="E6655" t="s">
        <v>30756</v>
      </c>
      <c r="G6655" t="s">
        <v>30757</v>
      </c>
      <c r="L6655" t="s">
        <v>83</v>
      </c>
      <c r="M6655" t="s">
        <v>85</v>
      </c>
      <c r="R6655" t="s">
        <v>30758</v>
      </c>
      <c r="W6655" t="s">
        <v>30756</v>
      </c>
      <c r="X6655" t="s">
        <v>181</v>
      </c>
      <c r="Y6655" t="s">
        <v>97</v>
      </c>
      <c r="Z6655" t="s">
        <v>77</v>
      </c>
      <c r="AA6655" t="str">
        <f>"10025-1716"</f>
        <v>10025-1716</v>
      </c>
      <c r="AB6655" t="s">
        <v>78</v>
      </c>
      <c r="AC6655" t="s">
        <v>79</v>
      </c>
      <c r="AD6655" t="s">
        <v>75</v>
      </c>
      <c r="AE6655" t="s">
        <v>80</v>
      </c>
      <c r="AG6655" t="s">
        <v>81</v>
      </c>
    </row>
    <row r="6656" spans="1:33" x14ac:dyDescent="0.25">
      <c r="A6656" t="str">
        <f>"1528490851"</f>
        <v>1528490851</v>
      </c>
      <c r="C6656" t="s">
        <v>13436</v>
      </c>
      <c r="K6656" t="s">
        <v>99</v>
      </c>
      <c r="L6656" t="s">
        <v>102</v>
      </c>
      <c r="M6656" t="s">
        <v>75</v>
      </c>
      <c r="R6656" t="s">
        <v>30759</v>
      </c>
      <c r="S6656" t="s">
        <v>30760</v>
      </c>
      <c r="T6656" t="s">
        <v>97</v>
      </c>
      <c r="U6656" t="s">
        <v>77</v>
      </c>
      <c r="V6656" t="str">
        <f>"100235935"</f>
        <v>100235935</v>
      </c>
      <c r="AC6656" t="s">
        <v>79</v>
      </c>
      <c r="AD6656" t="s">
        <v>75</v>
      </c>
      <c r="AE6656" t="s">
        <v>103</v>
      </c>
      <c r="AG6656" t="s">
        <v>81</v>
      </c>
    </row>
    <row r="6657" spans="1:33" x14ac:dyDescent="0.25">
      <c r="A6657" t="str">
        <f>"1578519385"</f>
        <v>1578519385</v>
      </c>
      <c r="B6657" t="str">
        <f>"02060295"</f>
        <v>02060295</v>
      </c>
      <c r="C6657" t="s">
        <v>13436</v>
      </c>
      <c r="D6657" t="s">
        <v>30761</v>
      </c>
      <c r="E6657" t="s">
        <v>30762</v>
      </c>
      <c r="G6657" t="s">
        <v>30763</v>
      </c>
      <c r="L6657" t="s">
        <v>83</v>
      </c>
      <c r="M6657" t="s">
        <v>85</v>
      </c>
      <c r="R6657" t="s">
        <v>30764</v>
      </c>
      <c r="W6657" t="s">
        <v>30762</v>
      </c>
      <c r="X6657" t="s">
        <v>30765</v>
      </c>
      <c r="Y6657" t="s">
        <v>2660</v>
      </c>
      <c r="Z6657" t="s">
        <v>2661</v>
      </c>
      <c r="AA6657" t="str">
        <f>"21287-0005"</f>
        <v>21287-0005</v>
      </c>
      <c r="AB6657" t="s">
        <v>78</v>
      </c>
      <c r="AC6657" t="s">
        <v>79</v>
      </c>
      <c r="AD6657" t="s">
        <v>75</v>
      </c>
      <c r="AE6657" t="s">
        <v>80</v>
      </c>
      <c r="AG6657" t="s">
        <v>81</v>
      </c>
    </row>
    <row r="6658" spans="1:33" x14ac:dyDescent="0.25">
      <c r="A6658" t="str">
        <f>"1669763942"</f>
        <v>1669763942</v>
      </c>
      <c r="B6658" t="str">
        <f>"04208646"</f>
        <v>04208646</v>
      </c>
      <c r="C6658" t="s">
        <v>13436</v>
      </c>
      <c r="D6658" t="s">
        <v>30766</v>
      </c>
      <c r="E6658" t="s">
        <v>30767</v>
      </c>
      <c r="L6658" t="s">
        <v>83</v>
      </c>
      <c r="M6658" t="s">
        <v>75</v>
      </c>
      <c r="R6658" t="s">
        <v>30768</v>
      </c>
      <c r="W6658" t="s">
        <v>30769</v>
      </c>
      <c r="X6658" t="s">
        <v>30770</v>
      </c>
      <c r="Y6658" t="s">
        <v>97</v>
      </c>
      <c r="Z6658" t="s">
        <v>77</v>
      </c>
      <c r="AA6658" t="str">
        <f>"10029-6504"</f>
        <v>10029-6504</v>
      </c>
      <c r="AB6658" t="s">
        <v>78</v>
      </c>
      <c r="AC6658" t="s">
        <v>79</v>
      </c>
      <c r="AD6658" t="s">
        <v>75</v>
      </c>
      <c r="AE6658" t="s">
        <v>80</v>
      </c>
      <c r="AG6658" t="s">
        <v>81</v>
      </c>
    </row>
    <row r="6659" spans="1:33" x14ac:dyDescent="0.25">
      <c r="A6659" t="str">
        <f>"1669764874"</f>
        <v>1669764874</v>
      </c>
      <c r="B6659" t="str">
        <f>"04502609"</f>
        <v>04502609</v>
      </c>
      <c r="C6659" t="s">
        <v>13436</v>
      </c>
      <c r="D6659" t="s">
        <v>30771</v>
      </c>
      <c r="E6659" t="s">
        <v>30772</v>
      </c>
      <c r="L6659" t="s">
        <v>102</v>
      </c>
      <c r="M6659" t="s">
        <v>75</v>
      </c>
      <c r="R6659" t="s">
        <v>30773</v>
      </c>
      <c r="W6659" t="s">
        <v>30772</v>
      </c>
      <c r="AB6659" t="s">
        <v>78</v>
      </c>
      <c r="AC6659" t="s">
        <v>79</v>
      </c>
      <c r="AD6659" t="s">
        <v>75</v>
      </c>
      <c r="AE6659" t="s">
        <v>80</v>
      </c>
      <c r="AG6659" t="s">
        <v>81</v>
      </c>
    </row>
    <row r="6660" spans="1:33" x14ac:dyDescent="0.25">
      <c r="A6660" t="str">
        <f>"1669764999"</f>
        <v>1669764999</v>
      </c>
      <c r="B6660" t="str">
        <f>"04415252"</f>
        <v>04415252</v>
      </c>
      <c r="C6660" t="s">
        <v>13436</v>
      </c>
      <c r="D6660" t="s">
        <v>30774</v>
      </c>
      <c r="E6660" t="s">
        <v>30775</v>
      </c>
      <c r="L6660" t="s">
        <v>74</v>
      </c>
      <c r="M6660" t="s">
        <v>75</v>
      </c>
      <c r="R6660" t="s">
        <v>30776</v>
      </c>
      <c r="W6660" t="s">
        <v>30775</v>
      </c>
      <c r="X6660" t="s">
        <v>365</v>
      </c>
      <c r="Y6660" t="s">
        <v>236</v>
      </c>
      <c r="Z6660" t="s">
        <v>77</v>
      </c>
      <c r="AA6660" t="str">
        <f>"11102-2448"</f>
        <v>11102-2448</v>
      </c>
      <c r="AB6660" t="s">
        <v>78</v>
      </c>
      <c r="AC6660" t="s">
        <v>79</v>
      </c>
      <c r="AD6660" t="s">
        <v>75</v>
      </c>
      <c r="AE6660" t="s">
        <v>80</v>
      </c>
      <c r="AG6660" t="s">
        <v>81</v>
      </c>
    </row>
    <row r="6661" spans="1:33" x14ac:dyDescent="0.25">
      <c r="A6661" t="str">
        <f>"1669768016"</f>
        <v>1669768016</v>
      </c>
      <c r="B6661" t="str">
        <f>"04458691"</f>
        <v>04458691</v>
      </c>
      <c r="C6661" t="s">
        <v>13436</v>
      </c>
      <c r="D6661" t="s">
        <v>30777</v>
      </c>
      <c r="E6661" t="s">
        <v>30778</v>
      </c>
      <c r="L6661" t="s">
        <v>74</v>
      </c>
      <c r="M6661" t="s">
        <v>75</v>
      </c>
      <c r="R6661" t="s">
        <v>30779</v>
      </c>
      <c r="W6661" t="s">
        <v>30778</v>
      </c>
      <c r="AB6661" t="s">
        <v>78</v>
      </c>
      <c r="AC6661" t="s">
        <v>79</v>
      </c>
      <c r="AD6661" t="s">
        <v>75</v>
      </c>
      <c r="AE6661" t="s">
        <v>80</v>
      </c>
      <c r="AG6661" t="s">
        <v>81</v>
      </c>
    </row>
    <row r="6662" spans="1:33" x14ac:dyDescent="0.25">
      <c r="A6662" t="str">
        <f>"1669769089"</f>
        <v>1669769089</v>
      </c>
      <c r="B6662" t="str">
        <f>"04550730"</f>
        <v>04550730</v>
      </c>
      <c r="C6662" t="s">
        <v>13436</v>
      </c>
      <c r="D6662" t="s">
        <v>30780</v>
      </c>
      <c r="E6662" t="s">
        <v>30781</v>
      </c>
      <c r="L6662" t="s">
        <v>102</v>
      </c>
      <c r="M6662" t="s">
        <v>75</v>
      </c>
      <c r="R6662" t="s">
        <v>30782</v>
      </c>
      <c r="W6662" t="s">
        <v>30781</v>
      </c>
      <c r="AB6662" t="s">
        <v>78</v>
      </c>
      <c r="AC6662" t="s">
        <v>79</v>
      </c>
      <c r="AD6662" t="s">
        <v>75</v>
      </c>
      <c r="AE6662" t="s">
        <v>80</v>
      </c>
      <c r="AG6662" t="s">
        <v>81</v>
      </c>
    </row>
    <row r="6663" spans="1:33" x14ac:dyDescent="0.25">
      <c r="A6663" t="str">
        <f>"1669769188"</f>
        <v>1669769188</v>
      </c>
      <c r="B6663" t="str">
        <f>"03387097"</f>
        <v>03387097</v>
      </c>
      <c r="C6663" t="s">
        <v>13436</v>
      </c>
      <c r="D6663" t="s">
        <v>30783</v>
      </c>
      <c r="E6663" t="s">
        <v>30784</v>
      </c>
      <c r="G6663" t="s">
        <v>30785</v>
      </c>
      <c r="L6663" t="s">
        <v>74</v>
      </c>
      <c r="M6663" t="s">
        <v>75</v>
      </c>
      <c r="R6663" t="s">
        <v>30786</v>
      </c>
      <c r="W6663" t="s">
        <v>30787</v>
      </c>
      <c r="X6663" t="s">
        <v>30788</v>
      </c>
      <c r="Y6663" t="s">
        <v>139</v>
      </c>
      <c r="Z6663" t="s">
        <v>77</v>
      </c>
      <c r="AA6663" t="str">
        <f>"11355-4230"</f>
        <v>11355-4230</v>
      </c>
      <c r="AB6663" t="s">
        <v>78</v>
      </c>
      <c r="AC6663" t="s">
        <v>79</v>
      </c>
      <c r="AD6663" t="s">
        <v>75</v>
      </c>
      <c r="AE6663" t="s">
        <v>80</v>
      </c>
      <c r="AG6663" t="s">
        <v>81</v>
      </c>
    </row>
    <row r="6664" spans="1:33" x14ac:dyDescent="0.25">
      <c r="A6664" t="str">
        <f>"1669771218"</f>
        <v>1669771218</v>
      </c>
      <c r="C6664" t="s">
        <v>13436</v>
      </c>
      <c r="K6664" t="s">
        <v>99</v>
      </c>
      <c r="L6664" t="s">
        <v>102</v>
      </c>
      <c r="M6664" t="s">
        <v>75</v>
      </c>
      <c r="R6664" t="s">
        <v>30789</v>
      </c>
      <c r="S6664" t="s">
        <v>30790</v>
      </c>
      <c r="T6664" t="s">
        <v>30791</v>
      </c>
      <c r="U6664" t="s">
        <v>2632</v>
      </c>
      <c r="V6664" t="str">
        <f>"224434830"</f>
        <v>224434830</v>
      </c>
      <c r="AC6664" t="s">
        <v>79</v>
      </c>
      <c r="AD6664" t="s">
        <v>75</v>
      </c>
      <c r="AE6664" t="s">
        <v>103</v>
      </c>
      <c r="AG6664" t="s">
        <v>81</v>
      </c>
    </row>
    <row r="6665" spans="1:33" x14ac:dyDescent="0.25">
      <c r="A6665" t="str">
        <f>"1639194657"</f>
        <v>1639194657</v>
      </c>
      <c r="B6665" t="str">
        <f>"02172452"</f>
        <v>02172452</v>
      </c>
      <c r="C6665" t="s">
        <v>13436</v>
      </c>
      <c r="D6665" t="s">
        <v>30792</v>
      </c>
      <c r="E6665" t="s">
        <v>30793</v>
      </c>
      <c r="G6665" t="s">
        <v>30794</v>
      </c>
      <c r="L6665" t="s">
        <v>74</v>
      </c>
      <c r="M6665" t="s">
        <v>75</v>
      </c>
      <c r="R6665" t="s">
        <v>30795</v>
      </c>
      <c r="W6665" t="s">
        <v>30793</v>
      </c>
      <c r="X6665" t="s">
        <v>323</v>
      </c>
      <c r="Y6665" t="s">
        <v>87</v>
      </c>
      <c r="Z6665" t="s">
        <v>77</v>
      </c>
      <c r="AA6665" t="str">
        <f>"11201-5509"</f>
        <v>11201-5509</v>
      </c>
      <c r="AB6665" t="s">
        <v>78</v>
      </c>
      <c r="AC6665" t="s">
        <v>79</v>
      </c>
      <c r="AD6665" t="s">
        <v>75</v>
      </c>
      <c r="AE6665" t="s">
        <v>80</v>
      </c>
      <c r="AG6665" t="s">
        <v>81</v>
      </c>
    </row>
    <row r="6666" spans="1:33" x14ac:dyDescent="0.25">
      <c r="A6666" t="str">
        <f>"1639194855"</f>
        <v>1639194855</v>
      </c>
      <c r="B6666" t="str">
        <f>"00213781"</f>
        <v>00213781</v>
      </c>
      <c r="C6666" t="s">
        <v>13436</v>
      </c>
      <c r="D6666" t="s">
        <v>30796</v>
      </c>
      <c r="E6666" t="s">
        <v>30797</v>
      </c>
      <c r="G6666" t="s">
        <v>30798</v>
      </c>
      <c r="L6666" t="s">
        <v>83</v>
      </c>
      <c r="M6666" t="s">
        <v>85</v>
      </c>
      <c r="R6666" t="s">
        <v>30799</v>
      </c>
      <c r="W6666" t="s">
        <v>30797</v>
      </c>
      <c r="X6666" t="s">
        <v>30800</v>
      </c>
      <c r="Y6666" t="s">
        <v>180</v>
      </c>
      <c r="Z6666" t="s">
        <v>77</v>
      </c>
      <c r="AA6666" t="str">
        <f>"10701-1304"</f>
        <v>10701-1304</v>
      </c>
      <c r="AB6666" t="s">
        <v>78</v>
      </c>
      <c r="AC6666" t="s">
        <v>79</v>
      </c>
      <c r="AD6666" t="s">
        <v>75</v>
      </c>
      <c r="AE6666" t="s">
        <v>80</v>
      </c>
      <c r="AG6666" t="s">
        <v>81</v>
      </c>
    </row>
    <row r="6667" spans="1:33" x14ac:dyDescent="0.25">
      <c r="A6667" t="str">
        <f>"1639203847"</f>
        <v>1639203847</v>
      </c>
      <c r="B6667" t="str">
        <f>"03948029"</f>
        <v>03948029</v>
      </c>
      <c r="C6667" t="s">
        <v>13436</v>
      </c>
      <c r="D6667" t="s">
        <v>4579</v>
      </c>
      <c r="E6667" t="s">
        <v>4580</v>
      </c>
      <c r="G6667" t="s">
        <v>30801</v>
      </c>
      <c r="L6667" t="s">
        <v>83</v>
      </c>
      <c r="M6667" t="s">
        <v>75</v>
      </c>
      <c r="R6667" t="s">
        <v>4580</v>
      </c>
      <c r="W6667" t="s">
        <v>4581</v>
      </c>
      <c r="X6667" t="s">
        <v>4532</v>
      </c>
      <c r="Y6667" t="s">
        <v>124</v>
      </c>
      <c r="Z6667" t="s">
        <v>77</v>
      </c>
      <c r="AA6667" t="str">
        <f>"14605-2105"</f>
        <v>14605-2105</v>
      </c>
      <c r="AB6667" t="s">
        <v>78</v>
      </c>
      <c r="AC6667" t="s">
        <v>79</v>
      </c>
      <c r="AD6667" t="s">
        <v>75</v>
      </c>
      <c r="AE6667" t="s">
        <v>80</v>
      </c>
      <c r="AG6667" t="s">
        <v>81</v>
      </c>
    </row>
    <row r="6668" spans="1:33" x14ac:dyDescent="0.25">
      <c r="A6668" t="str">
        <f>"1639263262"</f>
        <v>1639263262</v>
      </c>
      <c r="B6668" t="str">
        <f>"02754112"</f>
        <v>02754112</v>
      </c>
      <c r="C6668" t="s">
        <v>13436</v>
      </c>
      <c r="D6668" t="s">
        <v>30802</v>
      </c>
      <c r="E6668" t="s">
        <v>30803</v>
      </c>
      <c r="G6668" t="s">
        <v>30804</v>
      </c>
      <c r="L6668" t="s">
        <v>84</v>
      </c>
      <c r="M6668" t="s">
        <v>85</v>
      </c>
      <c r="R6668" t="s">
        <v>30805</v>
      </c>
      <c r="W6668" t="s">
        <v>30803</v>
      </c>
      <c r="X6668" t="s">
        <v>11176</v>
      </c>
      <c r="Y6668" t="s">
        <v>97</v>
      </c>
      <c r="Z6668" t="s">
        <v>77</v>
      </c>
      <c r="AA6668" t="str">
        <f>"10029-6542"</f>
        <v>10029-6542</v>
      </c>
      <c r="AB6668" t="s">
        <v>78</v>
      </c>
      <c r="AC6668" t="s">
        <v>79</v>
      </c>
      <c r="AD6668" t="s">
        <v>75</v>
      </c>
      <c r="AE6668" t="s">
        <v>80</v>
      </c>
      <c r="AG6668" t="s">
        <v>81</v>
      </c>
    </row>
    <row r="6669" spans="1:33" x14ac:dyDescent="0.25">
      <c r="A6669" t="str">
        <f>"1508143504"</f>
        <v>1508143504</v>
      </c>
      <c r="B6669" t="str">
        <f>"03743744"</f>
        <v>03743744</v>
      </c>
      <c r="C6669" t="s">
        <v>13436</v>
      </c>
      <c r="D6669" t="s">
        <v>30806</v>
      </c>
      <c r="E6669" t="s">
        <v>30807</v>
      </c>
      <c r="G6669" t="s">
        <v>30808</v>
      </c>
      <c r="L6669" t="s">
        <v>74</v>
      </c>
      <c r="M6669" t="s">
        <v>75</v>
      </c>
      <c r="R6669" t="s">
        <v>30807</v>
      </c>
      <c r="W6669" t="s">
        <v>30807</v>
      </c>
      <c r="X6669" t="s">
        <v>329</v>
      </c>
      <c r="Y6669" t="s">
        <v>97</v>
      </c>
      <c r="Z6669" t="s">
        <v>77</v>
      </c>
      <c r="AA6669" t="str">
        <f>"10029-6504"</f>
        <v>10029-6504</v>
      </c>
      <c r="AB6669" t="s">
        <v>78</v>
      </c>
      <c r="AC6669" t="s">
        <v>79</v>
      </c>
      <c r="AD6669" t="s">
        <v>75</v>
      </c>
      <c r="AE6669" t="s">
        <v>80</v>
      </c>
      <c r="AG6669" t="s">
        <v>81</v>
      </c>
    </row>
    <row r="6670" spans="1:33" x14ac:dyDescent="0.25">
      <c r="A6670" t="str">
        <f>"1508155995"</f>
        <v>1508155995</v>
      </c>
      <c r="B6670" t="str">
        <f>"04270224"</f>
        <v>04270224</v>
      </c>
      <c r="C6670" t="s">
        <v>13436</v>
      </c>
      <c r="D6670" t="s">
        <v>30809</v>
      </c>
      <c r="E6670" t="s">
        <v>30810</v>
      </c>
      <c r="G6670" t="s">
        <v>30811</v>
      </c>
      <c r="L6670" t="s">
        <v>94</v>
      </c>
      <c r="M6670" t="s">
        <v>75</v>
      </c>
      <c r="R6670" t="s">
        <v>30810</v>
      </c>
      <c r="W6670" t="s">
        <v>30810</v>
      </c>
      <c r="X6670" t="s">
        <v>16212</v>
      </c>
      <c r="Y6670" t="s">
        <v>97</v>
      </c>
      <c r="Z6670" t="s">
        <v>77</v>
      </c>
      <c r="AA6670" t="str">
        <f>"10016-8728"</f>
        <v>10016-8728</v>
      </c>
      <c r="AB6670" t="s">
        <v>78</v>
      </c>
      <c r="AC6670" t="s">
        <v>79</v>
      </c>
      <c r="AD6670" t="s">
        <v>75</v>
      </c>
      <c r="AE6670" t="s">
        <v>80</v>
      </c>
      <c r="AG6670" t="s">
        <v>81</v>
      </c>
    </row>
    <row r="6671" spans="1:33" x14ac:dyDescent="0.25">
      <c r="A6671" t="str">
        <f>"1508163072"</f>
        <v>1508163072</v>
      </c>
      <c r="B6671" t="str">
        <f>"03728732"</f>
        <v>03728732</v>
      </c>
      <c r="C6671" t="s">
        <v>13436</v>
      </c>
      <c r="D6671" t="s">
        <v>30812</v>
      </c>
      <c r="E6671" t="s">
        <v>30813</v>
      </c>
      <c r="G6671" t="s">
        <v>30814</v>
      </c>
      <c r="L6671" t="s">
        <v>74</v>
      </c>
      <c r="M6671" t="s">
        <v>75</v>
      </c>
      <c r="R6671" t="s">
        <v>30815</v>
      </c>
      <c r="W6671" t="s">
        <v>30813</v>
      </c>
      <c r="X6671" t="s">
        <v>30816</v>
      </c>
      <c r="Y6671" t="s">
        <v>97</v>
      </c>
      <c r="Z6671" t="s">
        <v>77</v>
      </c>
      <c r="AA6671" t="str">
        <f>"10029-6504"</f>
        <v>10029-6504</v>
      </c>
      <c r="AB6671" t="s">
        <v>78</v>
      </c>
      <c r="AC6671" t="s">
        <v>79</v>
      </c>
      <c r="AD6671" t="s">
        <v>75</v>
      </c>
      <c r="AE6671" t="s">
        <v>80</v>
      </c>
      <c r="AG6671" t="s">
        <v>81</v>
      </c>
    </row>
    <row r="6672" spans="1:33" x14ac:dyDescent="0.25">
      <c r="A6672" t="str">
        <f>"1508180472"</f>
        <v>1508180472</v>
      </c>
      <c r="B6672" t="str">
        <f>"03610271"</f>
        <v>03610271</v>
      </c>
      <c r="C6672" t="s">
        <v>13436</v>
      </c>
      <c r="D6672" t="s">
        <v>30817</v>
      </c>
      <c r="E6672" t="s">
        <v>30818</v>
      </c>
      <c r="G6672" t="s">
        <v>30819</v>
      </c>
      <c r="L6672" t="s">
        <v>74</v>
      </c>
      <c r="M6672" t="s">
        <v>75</v>
      </c>
      <c r="R6672" t="s">
        <v>30820</v>
      </c>
      <c r="W6672" t="s">
        <v>30818</v>
      </c>
      <c r="X6672" t="s">
        <v>235</v>
      </c>
      <c r="Y6672" t="s">
        <v>236</v>
      </c>
      <c r="Z6672" t="s">
        <v>77</v>
      </c>
      <c r="AA6672" t="str">
        <f>"11102-2448"</f>
        <v>11102-2448</v>
      </c>
      <c r="AB6672" t="s">
        <v>78</v>
      </c>
      <c r="AC6672" t="s">
        <v>79</v>
      </c>
      <c r="AD6672" t="s">
        <v>75</v>
      </c>
      <c r="AE6672" t="s">
        <v>80</v>
      </c>
      <c r="AG6672" t="s">
        <v>81</v>
      </c>
    </row>
    <row r="6673" spans="1:33" x14ac:dyDescent="0.25">
      <c r="A6673" t="str">
        <f>"1508181678"</f>
        <v>1508181678</v>
      </c>
      <c r="B6673" t="str">
        <f>"03727277"</f>
        <v>03727277</v>
      </c>
      <c r="C6673" t="s">
        <v>13436</v>
      </c>
      <c r="D6673" t="s">
        <v>30821</v>
      </c>
      <c r="E6673" t="s">
        <v>30822</v>
      </c>
      <c r="G6673" t="s">
        <v>30823</v>
      </c>
      <c r="L6673" t="s">
        <v>84</v>
      </c>
      <c r="M6673" t="s">
        <v>85</v>
      </c>
      <c r="R6673" t="s">
        <v>30822</v>
      </c>
      <c r="W6673" t="s">
        <v>30822</v>
      </c>
      <c r="X6673" t="s">
        <v>2838</v>
      </c>
      <c r="Y6673" t="s">
        <v>97</v>
      </c>
      <c r="Z6673" t="s">
        <v>77</v>
      </c>
      <c r="AA6673" t="str">
        <f>"10003-3105"</f>
        <v>10003-3105</v>
      </c>
      <c r="AB6673" t="s">
        <v>78</v>
      </c>
      <c r="AC6673" t="s">
        <v>79</v>
      </c>
      <c r="AD6673" t="s">
        <v>75</v>
      </c>
      <c r="AE6673" t="s">
        <v>80</v>
      </c>
      <c r="AG6673" t="s">
        <v>81</v>
      </c>
    </row>
    <row r="6674" spans="1:33" x14ac:dyDescent="0.25">
      <c r="A6674" t="str">
        <f>"1154649408"</f>
        <v>1154649408</v>
      </c>
      <c r="B6674" t="str">
        <f>"03255016"</f>
        <v>03255016</v>
      </c>
      <c r="C6674" t="s">
        <v>13436</v>
      </c>
      <c r="D6674" t="s">
        <v>30824</v>
      </c>
      <c r="E6674" t="s">
        <v>30825</v>
      </c>
      <c r="G6674" t="s">
        <v>30826</v>
      </c>
      <c r="L6674" t="s">
        <v>83</v>
      </c>
      <c r="M6674" t="s">
        <v>75</v>
      </c>
      <c r="R6674" t="s">
        <v>30827</v>
      </c>
      <c r="W6674" t="s">
        <v>30828</v>
      </c>
      <c r="X6674" t="s">
        <v>150</v>
      </c>
      <c r="Y6674" t="s">
        <v>87</v>
      </c>
      <c r="Z6674" t="s">
        <v>77</v>
      </c>
      <c r="AA6674" t="str">
        <f>"11212-3139"</f>
        <v>11212-3139</v>
      </c>
      <c r="AB6674" t="s">
        <v>78</v>
      </c>
      <c r="AC6674" t="s">
        <v>79</v>
      </c>
      <c r="AD6674" t="s">
        <v>75</v>
      </c>
      <c r="AE6674" t="s">
        <v>80</v>
      </c>
      <c r="AG6674" t="s">
        <v>81</v>
      </c>
    </row>
    <row r="6675" spans="1:33" x14ac:dyDescent="0.25">
      <c r="A6675" t="str">
        <f>"1154660546"</f>
        <v>1154660546</v>
      </c>
      <c r="B6675" t="str">
        <f>"03762416"</f>
        <v>03762416</v>
      </c>
      <c r="C6675" t="s">
        <v>13436</v>
      </c>
      <c r="D6675" t="s">
        <v>30829</v>
      </c>
      <c r="E6675" t="s">
        <v>30830</v>
      </c>
      <c r="G6675" t="s">
        <v>30831</v>
      </c>
      <c r="L6675" t="s">
        <v>74</v>
      </c>
      <c r="M6675" t="s">
        <v>75</v>
      </c>
      <c r="R6675" t="s">
        <v>30832</v>
      </c>
      <c r="W6675" t="s">
        <v>30830</v>
      </c>
      <c r="X6675" t="s">
        <v>11176</v>
      </c>
      <c r="Y6675" t="s">
        <v>97</v>
      </c>
      <c r="Z6675" t="s">
        <v>77</v>
      </c>
      <c r="AA6675" t="str">
        <f>"10029-6542"</f>
        <v>10029-6542</v>
      </c>
      <c r="AB6675" t="s">
        <v>78</v>
      </c>
      <c r="AC6675" t="s">
        <v>79</v>
      </c>
      <c r="AD6675" t="s">
        <v>75</v>
      </c>
      <c r="AE6675" t="s">
        <v>80</v>
      </c>
      <c r="AG6675" t="s">
        <v>81</v>
      </c>
    </row>
    <row r="6676" spans="1:33" x14ac:dyDescent="0.25">
      <c r="A6676" t="str">
        <f>"1528482122"</f>
        <v>1528482122</v>
      </c>
      <c r="C6676" t="s">
        <v>13436</v>
      </c>
      <c r="G6676" t="s">
        <v>30833</v>
      </c>
      <c r="K6676" t="s">
        <v>99</v>
      </c>
      <c r="L6676" t="s">
        <v>102</v>
      </c>
      <c r="M6676" t="s">
        <v>75</v>
      </c>
      <c r="R6676" t="s">
        <v>30834</v>
      </c>
      <c r="S6676" t="s">
        <v>30835</v>
      </c>
      <c r="T6676" t="s">
        <v>161</v>
      </c>
      <c r="U6676" t="s">
        <v>77</v>
      </c>
      <c r="V6676" t="str">
        <f>"11040"</f>
        <v>11040</v>
      </c>
      <c r="AC6676" t="s">
        <v>79</v>
      </c>
      <c r="AD6676" t="s">
        <v>75</v>
      </c>
      <c r="AE6676" t="s">
        <v>103</v>
      </c>
      <c r="AG6676" t="s">
        <v>81</v>
      </c>
    </row>
    <row r="6677" spans="1:33" x14ac:dyDescent="0.25">
      <c r="A6677" t="str">
        <f>"1053498576"</f>
        <v>1053498576</v>
      </c>
      <c r="B6677" t="str">
        <f>"01352423"</f>
        <v>01352423</v>
      </c>
      <c r="C6677" t="s">
        <v>13436</v>
      </c>
      <c r="D6677" t="s">
        <v>30836</v>
      </c>
      <c r="E6677" t="s">
        <v>30837</v>
      </c>
      <c r="G6677" t="s">
        <v>30838</v>
      </c>
      <c r="L6677" t="s">
        <v>74</v>
      </c>
      <c r="M6677" t="s">
        <v>85</v>
      </c>
      <c r="R6677" t="s">
        <v>30839</v>
      </c>
      <c r="W6677" t="s">
        <v>30840</v>
      </c>
      <c r="X6677" t="s">
        <v>30841</v>
      </c>
      <c r="Y6677" t="s">
        <v>97</v>
      </c>
      <c r="Z6677" t="s">
        <v>77</v>
      </c>
      <c r="AA6677" t="str">
        <f>"10019"</f>
        <v>10019</v>
      </c>
      <c r="AB6677" t="s">
        <v>78</v>
      </c>
      <c r="AC6677" t="s">
        <v>79</v>
      </c>
      <c r="AD6677" t="s">
        <v>75</v>
      </c>
      <c r="AE6677" t="s">
        <v>80</v>
      </c>
      <c r="AG6677" t="s">
        <v>81</v>
      </c>
    </row>
    <row r="6678" spans="1:33" x14ac:dyDescent="0.25">
      <c r="A6678" t="str">
        <f>"1063431666"</f>
        <v>1063431666</v>
      </c>
      <c r="B6678" t="str">
        <f>"01385602"</f>
        <v>01385602</v>
      </c>
      <c r="C6678" t="s">
        <v>13436</v>
      </c>
      <c r="D6678" t="s">
        <v>30842</v>
      </c>
      <c r="E6678" t="s">
        <v>30843</v>
      </c>
      <c r="G6678" t="s">
        <v>30844</v>
      </c>
      <c r="L6678" t="s">
        <v>74</v>
      </c>
      <c r="M6678" t="s">
        <v>85</v>
      </c>
      <c r="R6678" t="s">
        <v>30845</v>
      </c>
      <c r="W6678" t="s">
        <v>30843</v>
      </c>
      <c r="X6678" t="s">
        <v>30846</v>
      </c>
      <c r="Y6678" t="s">
        <v>97</v>
      </c>
      <c r="Z6678" t="s">
        <v>77</v>
      </c>
      <c r="AA6678" t="str">
        <f>"10003"</f>
        <v>10003</v>
      </c>
      <c r="AB6678" t="s">
        <v>78</v>
      </c>
      <c r="AC6678" t="s">
        <v>79</v>
      </c>
      <c r="AD6678" t="s">
        <v>75</v>
      </c>
      <c r="AE6678" t="s">
        <v>80</v>
      </c>
      <c r="AG6678" t="s">
        <v>81</v>
      </c>
    </row>
    <row r="6679" spans="1:33" x14ac:dyDescent="0.25">
      <c r="A6679" t="str">
        <f>"1063559797"</f>
        <v>1063559797</v>
      </c>
      <c r="B6679" t="str">
        <f>"01571622"</f>
        <v>01571622</v>
      </c>
      <c r="C6679" t="s">
        <v>13436</v>
      </c>
      <c r="D6679" t="s">
        <v>30847</v>
      </c>
      <c r="E6679" t="s">
        <v>30848</v>
      </c>
      <c r="G6679" t="s">
        <v>30849</v>
      </c>
      <c r="L6679" t="s">
        <v>83</v>
      </c>
      <c r="M6679" t="s">
        <v>85</v>
      </c>
      <c r="R6679" t="s">
        <v>30850</v>
      </c>
      <c r="W6679" t="s">
        <v>30848</v>
      </c>
      <c r="X6679" t="s">
        <v>5585</v>
      </c>
      <c r="Y6679" t="s">
        <v>97</v>
      </c>
      <c r="Z6679" t="s">
        <v>77</v>
      </c>
      <c r="AA6679" t="str">
        <f>"10003"</f>
        <v>10003</v>
      </c>
      <c r="AB6679" t="s">
        <v>78</v>
      </c>
      <c r="AC6679" t="s">
        <v>79</v>
      </c>
      <c r="AD6679" t="s">
        <v>75</v>
      </c>
      <c r="AE6679" t="s">
        <v>80</v>
      </c>
      <c r="AG6679" t="s">
        <v>81</v>
      </c>
    </row>
    <row r="6680" spans="1:33" x14ac:dyDescent="0.25">
      <c r="A6680" t="str">
        <f>"1073508701"</f>
        <v>1073508701</v>
      </c>
      <c r="B6680" t="str">
        <f>"01851427"</f>
        <v>01851427</v>
      </c>
      <c r="C6680" t="s">
        <v>13436</v>
      </c>
      <c r="D6680" t="s">
        <v>30851</v>
      </c>
      <c r="E6680" t="s">
        <v>30852</v>
      </c>
      <c r="G6680" t="s">
        <v>30853</v>
      </c>
      <c r="L6680" t="s">
        <v>83</v>
      </c>
      <c r="M6680" t="s">
        <v>85</v>
      </c>
      <c r="R6680" t="s">
        <v>30854</v>
      </c>
      <c r="W6680" t="s">
        <v>30852</v>
      </c>
      <c r="X6680" t="s">
        <v>30855</v>
      </c>
      <c r="Y6680" t="s">
        <v>97</v>
      </c>
      <c r="Z6680" t="s">
        <v>77</v>
      </c>
      <c r="AA6680" t="str">
        <f>"10013-4558"</f>
        <v>10013-4558</v>
      </c>
      <c r="AB6680" t="s">
        <v>78</v>
      </c>
      <c r="AC6680" t="s">
        <v>79</v>
      </c>
      <c r="AD6680" t="s">
        <v>75</v>
      </c>
      <c r="AE6680" t="s">
        <v>80</v>
      </c>
      <c r="AG6680" t="s">
        <v>81</v>
      </c>
    </row>
    <row r="6681" spans="1:33" x14ac:dyDescent="0.25">
      <c r="A6681" t="str">
        <f>"1275959967"</f>
        <v>1275959967</v>
      </c>
      <c r="C6681" t="s">
        <v>13436</v>
      </c>
      <c r="K6681" t="s">
        <v>99</v>
      </c>
      <c r="L6681" t="s">
        <v>102</v>
      </c>
      <c r="M6681" t="s">
        <v>75</v>
      </c>
      <c r="R6681" t="s">
        <v>30856</v>
      </c>
      <c r="S6681" t="s">
        <v>329</v>
      </c>
      <c r="T6681" t="s">
        <v>97</v>
      </c>
      <c r="U6681" t="s">
        <v>77</v>
      </c>
      <c r="V6681" t="str">
        <f>"100296504"</f>
        <v>100296504</v>
      </c>
      <c r="AC6681" t="s">
        <v>79</v>
      </c>
      <c r="AD6681" t="s">
        <v>75</v>
      </c>
      <c r="AE6681" t="s">
        <v>103</v>
      </c>
      <c r="AG6681" t="s">
        <v>81</v>
      </c>
    </row>
    <row r="6682" spans="1:33" x14ac:dyDescent="0.25">
      <c r="A6682" t="str">
        <f>"1275968661"</f>
        <v>1275968661</v>
      </c>
      <c r="C6682" t="s">
        <v>13436</v>
      </c>
      <c r="G6682" t="s">
        <v>30857</v>
      </c>
      <c r="K6682" t="s">
        <v>99</v>
      </c>
      <c r="L6682" t="s">
        <v>74</v>
      </c>
      <c r="M6682" t="s">
        <v>75</v>
      </c>
      <c r="R6682" t="s">
        <v>30858</v>
      </c>
      <c r="S6682" t="s">
        <v>30859</v>
      </c>
      <c r="T6682" t="s">
        <v>254</v>
      </c>
      <c r="U6682" t="s">
        <v>77</v>
      </c>
      <c r="V6682" t="str">
        <f>"113742923"</f>
        <v>113742923</v>
      </c>
      <c r="AC6682" t="s">
        <v>79</v>
      </c>
      <c r="AD6682" t="s">
        <v>75</v>
      </c>
      <c r="AE6682" t="s">
        <v>103</v>
      </c>
      <c r="AG6682" t="s">
        <v>81</v>
      </c>
    </row>
    <row r="6683" spans="1:33" x14ac:dyDescent="0.25">
      <c r="A6683" t="str">
        <f>"1275976201"</f>
        <v>1275976201</v>
      </c>
      <c r="C6683" t="s">
        <v>13436</v>
      </c>
      <c r="K6683" t="s">
        <v>99</v>
      </c>
      <c r="L6683" t="s">
        <v>102</v>
      </c>
      <c r="M6683" t="s">
        <v>75</v>
      </c>
      <c r="R6683" t="s">
        <v>30860</v>
      </c>
      <c r="S6683" t="s">
        <v>181</v>
      </c>
      <c r="T6683" t="s">
        <v>97</v>
      </c>
      <c r="U6683" t="s">
        <v>77</v>
      </c>
      <c r="V6683" t="str">
        <f>"100251716"</f>
        <v>100251716</v>
      </c>
      <c r="AC6683" t="s">
        <v>79</v>
      </c>
      <c r="AD6683" t="s">
        <v>75</v>
      </c>
      <c r="AE6683" t="s">
        <v>103</v>
      </c>
      <c r="AG6683" t="s">
        <v>81</v>
      </c>
    </row>
    <row r="6684" spans="1:33" x14ac:dyDescent="0.25">
      <c r="A6684" t="str">
        <f>"1255300216"</f>
        <v>1255300216</v>
      </c>
      <c r="B6684" t="str">
        <f>"02521039"</f>
        <v>02521039</v>
      </c>
      <c r="C6684" t="s">
        <v>13436</v>
      </c>
      <c r="D6684" t="s">
        <v>30861</v>
      </c>
      <c r="E6684" t="s">
        <v>30862</v>
      </c>
      <c r="G6684" t="s">
        <v>30863</v>
      </c>
      <c r="L6684" t="s">
        <v>83</v>
      </c>
      <c r="M6684" t="s">
        <v>85</v>
      </c>
      <c r="R6684" t="s">
        <v>30864</v>
      </c>
      <c r="W6684" t="s">
        <v>30862</v>
      </c>
      <c r="X6684" t="s">
        <v>311</v>
      </c>
      <c r="Y6684" t="s">
        <v>87</v>
      </c>
      <c r="Z6684" t="s">
        <v>77</v>
      </c>
      <c r="AA6684" t="str">
        <f>"11220-2559"</f>
        <v>11220-2559</v>
      </c>
      <c r="AB6684" t="s">
        <v>78</v>
      </c>
      <c r="AC6684" t="s">
        <v>79</v>
      </c>
      <c r="AD6684" t="s">
        <v>75</v>
      </c>
      <c r="AE6684" t="s">
        <v>80</v>
      </c>
      <c r="AG6684" t="s">
        <v>81</v>
      </c>
    </row>
    <row r="6685" spans="1:33" x14ac:dyDescent="0.25">
      <c r="A6685" t="str">
        <f>"1255309407"</f>
        <v>1255309407</v>
      </c>
      <c r="B6685" t="str">
        <f>"02611190"</f>
        <v>02611190</v>
      </c>
      <c r="C6685" t="s">
        <v>13436</v>
      </c>
      <c r="D6685" t="s">
        <v>30865</v>
      </c>
      <c r="E6685" t="s">
        <v>30866</v>
      </c>
      <c r="G6685" t="s">
        <v>30867</v>
      </c>
      <c r="L6685" t="s">
        <v>83</v>
      </c>
      <c r="M6685" t="s">
        <v>85</v>
      </c>
      <c r="R6685" t="s">
        <v>30868</v>
      </c>
      <c r="W6685" t="s">
        <v>30866</v>
      </c>
      <c r="X6685" t="s">
        <v>30869</v>
      </c>
      <c r="Y6685" t="s">
        <v>97</v>
      </c>
      <c r="Z6685" t="s">
        <v>77</v>
      </c>
      <c r="AA6685" t="str">
        <f>"10029-0000"</f>
        <v>10029-0000</v>
      </c>
      <c r="AB6685" t="s">
        <v>78</v>
      </c>
      <c r="AC6685" t="s">
        <v>79</v>
      </c>
      <c r="AD6685" t="s">
        <v>75</v>
      </c>
      <c r="AE6685" t="s">
        <v>80</v>
      </c>
      <c r="AG6685" t="s">
        <v>81</v>
      </c>
    </row>
    <row r="6686" spans="1:33" x14ac:dyDescent="0.25">
      <c r="A6686" t="str">
        <f>"1255325957"</f>
        <v>1255325957</v>
      </c>
      <c r="B6686" t="str">
        <f>"02625083"</f>
        <v>02625083</v>
      </c>
      <c r="C6686" t="s">
        <v>13436</v>
      </c>
      <c r="D6686" t="s">
        <v>30870</v>
      </c>
      <c r="E6686" t="s">
        <v>30871</v>
      </c>
      <c r="G6686" t="s">
        <v>30872</v>
      </c>
      <c r="L6686" t="s">
        <v>74</v>
      </c>
      <c r="M6686" t="s">
        <v>85</v>
      </c>
      <c r="R6686" t="s">
        <v>30873</v>
      </c>
      <c r="W6686" t="s">
        <v>30871</v>
      </c>
      <c r="X6686" t="s">
        <v>14502</v>
      </c>
      <c r="Y6686" t="s">
        <v>97</v>
      </c>
      <c r="Z6686" t="s">
        <v>77</v>
      </c>
      <c r="AA6686" t="str">
        <f>"10016-4972"</f>
        <v>10016-4972</v>
      </c>
      <c r="AB6686" t="s">
        <v>78</v>
      </c>
      <c r="AC6686" t="s">
        <v>79</v>
      </c>
      <c r="AD6686" t="s">
        <v>75</v>
      </c>
      <c r="AE6686" t="s">
        <v>80</v>
      </c>
      <c r="AG6686" t="s">
        <v>81</v>
      </c>
    </row>
    <row r="6687" spans="1:33" x14ac:dyDescent="0.25">
      <c r="A6687" t="str">
        <f>"1255342267"</f>
        <v>1255342267</v>
      </c>
      <c r="B6687" t="str">
        <f>"03359762"</f>
        <v>03359762</v>
      </c>
      <c r="C6687" t="s">
        <v>13436</v>
      </c>
      <c r="D6687" t="s">
        <v>5941</v>
      </c>
      <c r="E6687" t="s">
        <v>5942</v>
      </c>
      <c r="G6687" t="s">
        <v>30874</v>
      </c>
      <c r="L6687" t="s">
        <v>83</v>
      </c>
      <c r="M6687" t="s">
        <v>75</v>
      </c>
      <c r="R6687" t="s">
        <v>5942</v>
      </c>
      <c r="W6687" t="s">
        <v>5942</v>
      </c>
      <c r="X6687" t="s">
        <v>4577</v>
      </c>
      <c r="Y6687" t="s">
        <v>2666</v>
      </c>
      <c r="Z6687" t="s">
        <v>77</v>
      </c>
      <c r="AA6687" t="str">
        <f>"12533-5367"</f>
        <v>12533-5367</v>
      </c>
      <c r="AB6687" t="s">
        <v>78</v>
      </c>
      <c r="AC6687" t="s">
        <v>79</v>
      </c>
      <c r="AD6687" t="s">
        <v>75</v>
      </c>
      <c r="AE6687" t="s">
        <v>80</v>
      </c>
      <c r="AG6687" t="s">
        <v>81</v>
      </c>
    </row>
    <row r="6688" spans="1:33" x14ac:dyDescent="0.25">
      <c r="A6688" t="str">
        <f>"1255365409"</f>
        <v>1255365409</v>
      </c>
      <c r="B6688" t="str">
        <f>"02544205"</f>
        <v>02544205</v>
      </c>
      <c r="C6688" t="s">
        <v>13436</v>
      </c>
      <c r="D6688" t="s">
        <v>30875</v>
      </c>
      <c r="E6688" t="s">
        <v>30876</v>
      </c>
      <c r="G6688" t="s">
        <v>30877</v>
      </c>
      <c r="L6688" t="s">
        <v>83</v>
      </c>
      <c r="M6688" t="s">
        <v>85</v>
      </c>
      <c r="R6688" t="s">
        <v>30878</v>
      </c>
      <c r="W6688" t="s">
        <v>30876</v>
      </c>
      <c r="X6688" t="s">
        <v>30879</v>
      </c>
      <c r="Y6688" t="s">
        <v>97</v>
      </c>
      <c r="Z6688" t="s">
        <v>77</v>
      </c>
      <c r="AA6688" t="str">
        <f>"10029-6503"</f>
        <v>10029-6503</v>
      </c>
      <c r="AB6688" t="s">
        <v>78</v>
      </c>
      <c r="AC6688" t="s">
        <v>79</v>
      </c>
      <c r="AD6688" t="s">
        <v>75</v>
      </c>
      <c r="AE6688" t="s">
        <v>80</v>
      </c>
      <c r="AG6688" t="s">
        <v>81</v>
      </c>
    </row>
    <row r="6689" spans="1:33" x14ac:dyDescent="0.25">
      <c r="A6689" t="str">
        <f>"1255367355"</f>
        <v>1255367355</v>
      </c>
      <c r="B6689" t="str">
        <f>"01007056"</f>
        <v>01007056</v>
      </c>
      <c r="C6689" t="s">
        <v>13436</v>
      </c>
      <c r="D6689" t="s">
        <v>30880</v>
      </c>
      <c r="E6689" t="s">
        <v>30881</v>
      </c>
      <c r="G6689" t="s">
        <v>30882</v>
      </c>
      <c r="L6689" t="s">
        <v>84</v>
      </c>
      <c r="M6689" t="s">
        <v>75</v>
      </c>
      <c r="R6689" t="s">
        <v>30883</v>
      </c>
      <c r="W6689" t="s">
        <v>30884</v>
      </c>
      <c r="X6689" t="s">
        <v>15850</v>
      </c>
      <c r="Y6689" t="s">
        <v>97</v>
      </c>
      <c r="Z6689" t="s">
        <v>77</v>
      </c>
      <c r="AA6689" t="str">
        <f>"10075-1922"</f>
        <v>10075-1922</v>
      </c>
      <c r="AB6689" t="s">
        <v>78</v>
      </c>
      <c r="AC6689" t="s">
        <v>79</v>
      </c>
      <c r="AD6689" t="s">
        <v>75</v>
      </c>
      <c r="AE6689" t="s">
        <v>80</v>
      </c>
      <c r="AG6689" t="s">
        <v>81</v>
      </c>
    </row>
    <row r="6690" spans="1:33" x14ac:dyDescent="0.25">
      <c r="A6690" t="str">
        <f>"1255415014"</f>
        <v>1255415014</v>
      </c>
      <c r="B6690" t="str">
        <f>"03155906"</f>
        <v>03155906</v>
      </c>
      <c r="C6690" t="s">
        <v>13436</v>
      </c>
      <c r="D6690" t="s">
        <v>30885</v>
      </c>
      <c r="E6690" t="s">
        <v>30886</v>
      </c>
      <c r="L6690" t="s">
        <v>74</v>
      </c>
      <c r="M6690" t="s">
        <v>75</v>
      </c>
      <c r="R6690" t="s">
        <v>30887</v>
      </c>
      <c r="W6690" t="s">
        <v>30887</v>
      </c>
      <c r="X6690" t="s">
        <v>235</v>
      </c>
      <c r="Y6690" t="s">
        <v>236</v>
      </c>
      <c r="Z6690" t="s">
        <v>77</v>
      </c>
      <c r="AA6690" t="str">
        <f>"11102-2448"</f>
        <v>11102-2448</v>
      </c>
      <c r="AB6690" t="s">
        <v>78</v>
      </c>
      <c r="AC6690" t="s">
        <v>79</v>
      </c>
      <c r="AD6690" t="s">
        <v>75</v>
      </c>
      <c r="AE6690" t="s">
        <v>80</v>
      </c>
      <c r="AG6690" t="s">
        <v>81</v>
      </c>
    </row>
    <row r="6691" spans="1:33" x14ac:dyDescent="0.25">
      <c r="A6691" t="str">
        <f>"1255424529"</f>
        <v>1255424529</v>
      </c>
      <c r="B6691" t="str">
        <f>"02880211"</f>
        <v>02880211</v>
      </c>
      <c r="C6691" t="s">
        <v>13436</v>
      </c>
      <c r="D6691" t="s">
        <v>30888</v>
      </c>
      <c r="E6691" t="s">
        <v>30889</v>
      </c>
      <c r="G6691" t="s">
        <v>30890</v>
      </c>
      <c r="L6691" t="s">
        <v>83</v>
      </c>
      <c r="M6691" t="s">
        <v>85</v>
      </c>
      <c r="R6691" t="s">
        <v>30891</v>
      </c>
      <c r="W6691" t="s">
        <v>30889</v>
      </c>
      <c r="X6691" t="s">
        <v>329</v>
      </c>
      <c r="Y6691" t="s">
        <v>97</v>
      </c>
      <c r="Z6691" t="s">
        <v>77</v>
      </c>
      <c r="AA6691" t="str">
        <f>"10029-6500"</f>
        <v>10029-6500</v>
      </c>
      <c r="AB6691" t="s">
        <v>78</v>
      </c>
      <c r="AC6691" t="s">
        <v>79</v>
      </c>
      <c r="AD6691" t="s">
        <v>75</v>
      </c>
      <c r="AE6691" t="s">
        <v>80</v>
      </c>
      <c r="AG6691" t="s">
        <v>81</v>
      </c>
    </row>
    <row r="6692" spans="1:33" x14ac:dyDescent="0.25">
      <c r="A6692" t="str">
        <f>"1255438131"</f>
        <v>1255438131</v>
      </c>
      <c r="B6692" t="str">
        <f>"03307215"</f>
        <v>03307215</v>
      </c>
      <c r="C6692" t="s">
        <v>13436</v>
      </c>
      <c r="D6692" t="s">
        <v>30892</v>
      </c>
      <c r="E6692" t="s">
        <v>30893</v>
      </c>
      <c r="G6692" t="s">
        <v>30894</v>
      </c>
      <c r="L6692" t="s">
        <v>83</v>
      </c>
      <c r="M6692" t="s">
        <v>85</v>
      </c>
      <c r="R6692" t="s">
        <v>30895</v>
      </c>
      <c r="W6692" t="s">
        <v>30893</v>
      </c>
      <c r="X6692" t="s">
        <v>11945</v>
      </c>
      <c r="Y6692" t="s">
        <v>2128</v>
      </c>
      <c r="Z6692" t="s">
        <v>77</v>
      </c>
      <c r="AA6692" t="str">
        <f>"11743-2779"</f>
        <v>11743-2779</v>
      </c>
      <c r="AB6692" t="s">
        <v>78</v>
      </c>
      <c r="AC6692" t="s">
        <v>79</v>
      </c>
      <c r="AD6692" t="s">
        <v>75</v>
      </c>
      <c r="AE6692" t="s">
        <v>80</v>
      </c>
      <c r="AG6692" t="s">
        <v>81</v>
      </c>
    </row>
    <row r="6693" spans="1:33" x14ac:dyDescent="0.25">
      <c r="A6693" t="str">
        <f>"1497171482"</f>
        <v>1497171482</v>
      </c>
      <c r="C6693" t="s">
        <v>13436</v>
      </c>
      <c r="G6693" t="s">
        <v>30896</v>
      </c>
      <c r="K6693" t="s">
        <v>99</v>
      </c>
      <c r="L6693" t="s">
        <v>74</v>
      </c>
      <c r="M6693" t="s">
        <v>75</v>
      </c>
      <c r="R6693" t="s">
        <v>30897</v>
      </c>
      <c r="S6693" t="s">
        <v>2587</v>
      </c>
      <c r="T6693" t="s">
        <v>97</v>
      </c>
      <c r="U6693" t="s">
        <v>77</v>
      </c>
      <c r="V6693" t="str">
        <f>"100033314"</f>
        <v>100033314</v>
      </c>
      <c r="AC6693" t="s">
        <v>79</v>
      </c>
      <c r="AD6693" t="s">
        <v>75</v>
      </c>
      <c r="AE6693" t="s">
        <v>103</v>
      </c>
      <c r="AG6693" t="s">
        <v>81</v>
      </c>
    </row>
    <row r="6694" spans="1:33" x14ac:dyDescent="0.25">
      <c r="A6694" t="str">
        <f>"1497172548"</f>
        <v>1497172548</v>
      </c>
      <c r="C6694" t="s">
        <v>13436</v>
      </c>
      <c r="K6694" t="s">
        <v>99</v>
      </c>
      <c r="L6694" t="s">
        <v>102</v>
      </c>
      <c r="M6694" t="s">
        <v>75</v>
      </c>
      <c r="R6694" t="s">
        <v>30898</v>
      </c>
      <c r="S6694" t="s">
        <v>12670</v>
      </c>
      <c r="T6694" t="s">
        <v>97</v>
      </c>
      <c r="U6694" t="s">
        <v>77</v>
      </c>
      <c r="V6694" t="str">
        <f>"100033821"</f>
        <v>100033821</v>
      </c>
      <c r="AC6694" t="s">
        <v>79</v>
      </c>
      <c r="AD6694" t="s">
        <v>75</v>
      </c>
      <c r="AE6694" t="s">
        <v>103</v>
      </c>
      <c r="AG6694" t="s">
        <v>81</v>
      </c>
    </row>
    <row r="6695" spans="1:33" x14ac:dyDescent="0.25">
      <c r="A6695" t="str">
        <f>"1497173447"</f>
        <v>1497173447</v>
      </c>
      <c r="C6695" t="s">
        <v>13436</v>
      </c>
      <c r="K6695" t="s">
        <v>99</v>
      </c>
      <c r="L6695" t="s">
        <v>102</v>
      </c>
      <c r="M6695" t="s">
        <v>75</v>
      </c>
      <c r="R6695" t="s">
        <v>30899</v>
      </c>
      <c r="S6695" t="s">
        <v>30900</v>
      </c>
      <c r="T6695" t="s">
        <v>30901</v>
      </c>
      <c r="U6695" t="s">
        <v>285</v>
      </c>
      <c r="V6695" t="str">
        <f>"604621345"</f>
        <v>604621345</v>
      </c>
      <c r="AC6695" t="s">
        <v>79</v>
      </c>
      <c r="AD6695" t="s">
        <v>75</v>
      </c>
      <c r="AE6695" t="s">
        <v>103</v>
      </c>
      <c r="AG6695" t="s">
        <v>81</v>
      </c>
    </row>
    <row r="6696" spans="1:33" x14ac:dyDescent="0.25">
      <c r="A6696" t="str">
        <f>"1295057578"</f>
        <v>1295057578</v>
      </c>
      <c r="B6696" t="str">
        <f>"04597504"</f>
        <v>04597504</v>
      </c>
      <c r="C6696" t="s">
        <v>13436</v>
      </c>
      <c r="D6696" t="s">
        <v>30902</v>
      </c>
      <c r="E6696" t="s">
        <v>30903</v>
      </c>
      <c r="L6696" t="s">
        <v>102</v>
      </c>
      <c r="M6696" t="s">
        <v>75</v>
      </c>
      <c r="R6696" t="s">
        <v>30904</v>
      </c>
      <c r="W6696" t="s">
        <v>30903</v>
      </c>
      <c r="AB6696" t="s">
        <v>78</v>
      </c>
      <c r="AC6696" t="s">
        <v>79</v>
      </c>
      <c r="AD6696" t="s">
        <v>75</v>
      </c>
      <c r="AE6696" t="s">
        <v>80</v>
      </c>
      <c r="AG6696" t="s">
        <v>81</v>
      </c>
    </row>
    <row r="6697" spans="1:33" x14ac:dyDescent="0.25">
      <c r="A6697" t="str">
        <f>"1215121538"</f>
        <v>1215121538</v>
      </c>
      <c r="B6697" t="str">
        <f>"03030999"</f>
        <v>03030999</v>
      </c>
      <c r="C6697" t="s">
        <v>13436</v>
      </c>
      <c r="D6697" t="s">
        <v>30905</v>
      </c>
      <c r="E6697" t="s">
        <v>30906</v>
      </c>
      <c r="G6697" t="s">
        <v>30907</v>
      </c>
      <c r="L6697" t="s">
        <v>83</v>
      </c>
      <c r="M6697" t="s">
        <v>85</v>
      </c>
      <c r="R6697" t="s">
        <v>30908</v>
      </c>
      <c r="W6697" t="s">
        <v>30906</v>
      </c>
      <c r="X6697" t="s">
        <v>176</v>
      </c>
      <c r="Y6697" t="s">
        <v>171</v>
      </c>
      <c r="Z6697" t="s">
        <v>77</v>
      </c>
      <c r="AA6697" t="str">
        <f>"11432-1121"</f>
        <v>11432-1121</v>
      </c>
      <c r="AB6697" t="s">
        <v>78</v>
      </c>
      <c r="AC6697" t="s">
        <v>79</v>
      </c>
      <c r="AD6697" t="s">
        <v>75</v>
      </c>
      <c r="AE6697" t="s">
        <v>80</v>
      </c>
      <c r="AG6697" t="s">
        <v>81</v>
      </c>
    </row>
    <row r="6698" spans="1:33" x14ac:dyDescent="0.25">
      <c r="A6698" t="str">
        <f>"1215179122"</f>
        <v>1215179122</v>
      </c>
      <c r="B6698" t="str">
        <f>"04637192"</f>
        <v>04637192</v>
      </c>
      <c r="C6698" t="s">
        <v>13436</v>
      </c>
      <c r="D6698" t="s">
        <v>30909</v>
      </c>
      <c r="E6698" t="s">
        <v>30910</v>
      </c>
      <c r="L6698" t="s">
        <v>102</v>
      </c>
      <c r="M6698" t="s">
        <v>75</v>
      </c>
      <c r="R6698" t="s">
        <v>30910</v>
      </c>
      <c r="W6698" t="s">
        <v>30910</v>
      </c>
      <c r="AB6698" t="s">
        <v>78</v>
      </c>
      <c r="AC6698" t="s">
        <v>79</v>
      </c>
      <c r="AD6698" t="s">
        <v>75</v>
      </c>
      <c r="AE6698" t="s">
        <v>80</v>
      </c>
      <c r="AG6698" t="s">
        <v>81</v>
      </c>
    </row>
    <row r="6699" spans="1:33" x14ac:dyDescent="0.25">
      <c r="A6699" t="str">
        <f>"1366435281"</f>
        <v>1366435281</v>
      </c>
      <c r="C6699" t="s">
        <v>13436</v>
      </c>
      <c r="G6699" t="s">
        <v>30911</v>
      </c>
      <c r="K6699" t="s">
        <v>99</v>
      </c>
      <c r="L6699" t="s">
        <v>102</v>
      </c>
      <c r="M6699" t="s">
        <v>75</v>
      </c>
      <c r="R6699" t="s">
        <v>30912</v>
      </c>
      <c r="S6699" t="s">
        <v>30913</v>
      </c>
      <c r="T6699" t="s">
        <v>97</v>
      </c>
      <c r="U6699" t="s">
        <v>77</v>
      </c>
      <c r="V6699" t="str">
        <f>"100296500"</f>
        <v>100296500</v>
      </c>
      <c r="AC6699" t="s">
        <v>79</v>
      </c>
      <c r="AD6699" t="s">
        <v>75</v>
      </c>
      <c r="AE6699" t="s">
        <v>103</v>
      </c>
      <c r="AG6699" t="s">
        <v>81</v>
      </c>
    </row>
    <row r="6700" spans="1:33" x14ac:dyDescent="0.25">
      <c r="A6700" t="str">
        <f>"1366449340"</f>
        <v>1366449340</v>
      </c>
      <c r="B6700" t="str">
        <f>"00580410"</f>
        <v>00580410</v>
      </c>
      <c r="C6700" t="s">
        <v>13436</v>
      </c>
      <c r="D6700" t="s">
        <v>30914</v>
      </c>
      <c r="E6700" t="s">
        <v>30915</v>
      </c>
      <c r="G6700" t="s">
        <v>30916</v>
      </c>
      <c r="L6700" t="s">
        <v>74</v>
      </c>
      <c r="M6700" t="s">
        <v>85</v>
      </c>
      <c r="R6700" t="s">
        <v>30917</v>
      </c>
      <c r="W6700" t="s">
        <v>30915</v>
      </c>
      <c r="X6700" t="s">
        <v>3446</v>
      </c>
      <c r="Y6700" t="s">
        <v>97</v>
      </c>
      <c r="Z6700" t="s">
        <v>77</v>
      </c>
      <c r="AA6700" t="str">
        <f>"10065-8183"</f>
        <v>10065-8183</v>
      </c>
      <c r="AB6700" t="s">
        <v>78</v>
      </c>
      <c r="AC6700" t="s">
        <v>79</v>
      </c>
      <c r="AD6700" t="s">
        <v>75</v>
      </c>
      <c r="AE6700" t="s">
        <v>80</v>
      </c>
      <c r="AG6700" t="s">
        <v>81</v>
      </c>
    </row>
    <row r="6701" spans="1:33" x14ac:dyDescent="0.25">
      <c r="A6701" t="str">
        <f>"1366451924"</f>
        <v>1366451924</v>
      </c>
      <c r="B6701" t="str">
        <f>"00729740"</f>
        <v>00729740</v>
      </c>
      <c r="C6701" t="s">
        <v>13436</v>
      </c>
      <c r="D6701" t="s">
        <v>30918</v>
      </c>
      <c r="E6701" t="s">
        <v>30919</v>
      </c>
      <c r="L6701" t="s">
        <v>84</v>
      </c>
      <c r="M6701" t="s">
        <v>85</v>
      </c>
      <c r="R6701" t="s">
        <v>30920</v>
      </c>
      <c r="W6701" t="s">
        <v>30921</v>
      </c>
      <c r="X6701" t="s">
        <v>30922</v>
      </c>
      <c r="Y6701" t="s">
        <v>180</v>
      </c>
      <c r="Z6701" t="s">
        <v>77</v>
      </c>
      <c r="AA6701" t="str">
        <f>"10701-1301"</f>
        <v>10701-1301</v>
      </c>
      <c r="AB6701" t="s">
        <v>78</v>
      </c>
      <c r="AC6701" t="s">
        <v>79</v>
      </c>
      <c r="AD6701" t="s">
        <v>75</v>
      </c>
      <c r="AE6701" t="s">
        <v>80</v>
      </c>
      <c r="AG6701" t="s">
        <v>81</v>
      </c>
    </row>
    <row r="6702" spans="1:33" x14ac:dyDescent="0.25">
      <c r="A6702" t="str">
        <f>"1366457194"</f>
        <v>1366457194</v>
      </c>
      <c r="B6702" t="str">
        <f>"00206542"</f>
        <v>00206542</v>
      </c>
      <c r="C6702" t="s">
        <v>13436</v>
      </c>
      <c r="D6702" t="s">
        <v>30923</v>
      </c>
      <c r="E6702" t="s">
        <v>30924</v>
      </c>
      <c r="G6702" t="s">
        <v>30925</v>
      </c>
      <c r="L6702" t="s">
        <v>83</v>
      </c>
      <c r="M6702" t="s">
        <v>85</v>
      </c>
      <c r="R6702" t="s">
        <v>30926</v>
      </c>
      <c r="W6702" t="s">
        <v>30924</v>
      </c>
      <c r="X6702" t="s">
        <v>267</v>
      </c>
      <c r="Y6702" t="s">
        <v>91</v>
      </c>
      <c r="Z6702" t="s">
        <v>77</v>
      </c>
      <c r="AA6702" t="str">
        <f>"11373-1329"</f>
        <v>11373-1329</v>
      </c>
      <c r="AB6702" t="s">
        <v>78</v>
      </c>
      <c r="AC6702" t="s">
        <v>79</v>
      </c>
      <c r="AD6702" t="s">
        <v>75</v>
      </c>
      <c r="AE6702" t="s">
        <v>80</v>
      </c>
      <c r="AG6702" t="s">
        <v>81</v>
      </c>
    </row>
    <row r="6703" spans="1:33" x14ac:dyDescent="0.25">
      <c r="A6703" t="str">
        <f>"1366460198"</f>
        <v>1366460198</v>
      </c>
      <c r="B6703" t="str">
        <f>"02417352"</f>
        <v>02417352</v>
      </c>
      <c r="C6703" t="s">
        <v>13436</v>
      </c>
      <c r="D6703" t="s">
        <v>30927</v>
      </c>
      <c r="E6703" t="s">
        <v>30928</v>
      </c>
      <c r="G6703" t="s">
        <v>30929</v>
      </c>
      <c r="L6703" t="s">
        <v>83</v>
      </c>
      <c r="M6703" t="s">
        <v>85</v>
      </c>
      <c r="R6703" t="s">
        <v>30930</v>
      </c>
      <c r="W6703" t="s">
        <v>30928</v>
      </c>
      <c r="X6703" t="s">
        <v>272</v>
      </c>
      <c r="Y6703" t="s">
        <v>97</v>
      </c>
      <c r="Z6703" t="s">
        <v>77</v>
      </c>
      <c r="AA6703" t="str">
        <f>"10029-6501"</f>
        <v>10029-6501</v>
      </c>
      <c r="AB6703" t="s">
        <v>78</v>
      </c>
      <c r="AC6703" t="s">
        <v>79</v>
      </c>
      <c r="AD6703" t="s">
        <v>75</v>
      </c>
      <c r="AE6703" t="s">
        <v>80</v>
      </c>
      <c r="AG6703" t="s">
        <v>81</v>
      </c>
    </row>
    <row r="6704" spans="1:33" x14ac:dyDescent="0.25">
      <c r="A6704" t="str">
        <f>"1669715462"</f>
        <v>1669715462</v>
      </c>
      <c r="C6704" t="s">
        <v>13436</v>
      </c>
      <c r="K6704" t="s">
        <v>99</v>
      </c>
      <c r="L6704" t="s">
        <v>102</v>
      </c>
      <c r="M6704" t="s">
        <v>75</v>
      </c>
      <c r="R6704" t="s">
        <v>30931</v>
      </c>
      <c r="S6704" t="s">
        <v>5901</v>
      </c>
      <c r="T6704" t="s">
        <v>2111</v>
      </c>
      <c r="U6704" t="s">
        <v>156</v>
      </c>
      <c r="V6704" t="str">
        <f>"071032496"</f>
        <v>071032496</v>
      </c>
      <c r="AC6704" t="s">
        <v>79</v>
      </c>
      <c r="AD6704" t="s">
        <v>75</v>
      </c>
      <c r="AE6704" t="s">
        <v>103</v>
      </c>
      <c r="AG6704" t="s">
        <v>81</v>
      </c>
    </row>
    <row r="6705" spans="1:33" x14ac:dyDescent="0.25">
      <c r="A6705" t="str">
        <f>"1669725057"</f>
        <v>1669725057</v>
      </c>
      <c r="C6705" t="s">
        <v>13436</v>
      </c>
      <c r="K6705" t="s">
        <v>99</v>
      </c>
      <c r="L6705" t="s">
        <v>102</v>
      </c>
      <c r="M6705" t="s">
        <v>75</v>
      </c>
      <c r="R6705" t="s">
        <v>30932</v>
      </c>
      <c r="S6705" t="s">
        <v>30933</v>
      </c>
      <c r="T6705" t="s">
        <v>4522</v>
      </c>
      <c r="U6705" t="s">
        <v>739</v>
      </c>
      <c r="V6705" t="str">
        <f>"441091900"</f>
        <v>441091900</v>
      </c>
      <c r="AC6705" t="s">
        <v>79</v>
      </c>
      <c r="AD6705" t="s">
        <v>75</v>
      </c>
      <c r="AE6705" t="s">
        <v>103</v>
      </c>
      <c r="AG6705" t="s">
        <v>81</v>
      </c>
    </row>
    <row r="6706" spans="1:33" x14ac:dyDescent="0.25">
      <c r="A6706" t="str">
        <f>"1275890063"</f>
        <v>1275890063</v>
      </c>
      <c r="B6706" t="str">
        <f>"04559582"</f>
        <v>04559582</v>
      </c>
      <c r="C6706" t="s">
        <v>13436</v>
      </c>
      <c r="D6706" t="s">
        <v>30934</v>
      </c>
      <c r="E6706" t="s">
        <v>30935</v>
      </c>
      <c r="L6706" t="s">
        <v>102</v>
      </c>
      <c r="M6706" t="s">
        <v>75</v>
      </c>
      <c r="R6706" t="s">
        <v>30936</v>
      </c>
      <c r="W6706" t="s">
        <v>30935</v>
      </c>
      <c r="AB6706" t="s">
        <v>128</v>
      </c>
      <c r="AC6706" t="s">
        <v>79</v>
      </c>
      <c r="AD6706" t="s">
        <v>75</v>
      </c>
      <c r="AE6706" t="s">
        <v>80</v>
      </c>
      <c r="AG6706" t="s">
        <v>81</v>
      </c>
    </row>
    <row r="6707" spans="1:33" x14ac:dyDescent="0.25">
      <c r="A6707" t="str">
        <f>"1275890923"</f>
        <v>1275890923</v>
      </c>
      <c r="C6707" t="s">
        <v>13436</v>
      </c>
      <c r="K6707" t="s">
        <v>99</v>
      </c>
      <c r="L6707" t="s">
        <v>102</v>
      </c>
      <c r="M6707" t="s">
        <v>75</v>
      </c>
      <c r="R6707" t="s">
        <v>30937</v>
      </c>
      <c r="S6707" t="s">
        <v>30938</v>
      </c>
      <c r="T6707" t="s">
        <v>97</v>
      </c>
      <c r="U6707" t="s">
        <v>77</v>
      </c>
      <c r="V6707" t="str">
        <f>"100297219"</f>
        <v>100297219</v>
      </c>
      <c r="AC6707" t="s">
        <v>79</v>
      </c>
      <c r="AD6707" t="s">
        <v>75</v>
      </c>
      <c r="AE6707" t="s">
        <v>103</v>
      </c>
      <c r="AG6707" t="s">
        <v>81</v>
      </c>
    </row>
    <row r="6708" spans="1:33" x14ac:dyDescent="0.25">
      <c r="A6708" t="str">
        <f>"1275899783"</f>
        <v>1275899783</v>
      </c>
      <c r="C6708" t="s">
        <v>13436</v>
      </c>
      <c r="K6708" t="s">
        <v>99</v>
      </c>
      <c r="L6708" t="s">
        <v>102</v>
      </c>
      <c r="M6708" t="s">
        <v>75</v>
      </c>
      <c r="R6708" t="s">
        <v>30939</v>
      </c>
      <c r="S6708" t="s">
        <v>30940</v>
      </c>
      <c r="T6708" t="s">
        <v>30941</v>
      </c>
      <c r="U6708" t="s">
        <v>3878</v>
      </c>
      <c r="V6708" t="str">
        <f>"785508307"</f>
        <v>785508307</v>
      </c>
      <c r="AC6708" t="s">
        <v>79</v>
      </c>
      <c r="AD6708" t="s">
        <v>75</v>
      </c>
      <c r="AE6708" t="s">
        <v>103</v>
      </c>
      <c r="AG6708" t="s">
        <v>81</v>
      </c>
    </row>
    <row r="6709" spans="1:33" x14ac:dyDescent="0.25">
      <c r="A6709" t="str">
        <f>"1275944415"</f>
        <v>1275944415</v>
      </c>
      <c r="C6709" t="s">
        <v>13436</v>
      </c>
      <c r="K6709" t="s">
        <v>99</v>
      </c>
      <c r="L6709" t="s">
        <v>102</v>
      </c>
      <c r="M6709" t="s">
        <v>75</v>
      </c>
      <c r="R6709" t="s">
        <v>30942</v>
      </c>
      <c r="S6709" t="s">
        <v>2838</v>
      </c>
      <c r="T6709" t="s">
        <v>97</v>
      </c>
      <c r="U6709" t="s">
        <v>77</v>
      </c>
      <c r="V6709" t="str">
        <f>"100033105"</f>
        <v>100033105</v>
      </c>
      <c r="AC6709" t="s">
        <v>79</v>
      </c>
      <c r="AD6709" t="s">
        <v>75</v>
      </c>
      <c r="AE6709" t="s">
        <v>103</v>
      </c>
      <c r="AG6709" t="s">
        <v>81</v>
      </c>
    </row>
    <row r="6710" spans="1:33" x14ac:dyDescent="0.25">
      <c r="A6710" t="str">
        <f>"1275950487"</f>
        <v>1275950487</v>
      </c>
      <c r="C6710" t="s">
        <v>13436</v>
      </c>
      <c r="K6710" t="s">
        <v>99</v>
      </c>
      <c r="L6710" t="s">
        <v>102</v>
      </c>
      <c r="M6710" t="s">
        <v>75</v>
      </c>
      <c r="R6710" t="s">
        <v>30943</v>
      </c>
      <c r="S6710" t="s">
        <v>329</v>
      </c>
      <c r="T6710" t="s">
        <v>97</v>
      </c>
      <c r="U6710" t="s">
        <v>77</v>
      </c>
      <c r="V6710" t="str">
        <f>"100296504"</f>
        <v>100296504</v>
      </c>
      <c r="AC6710" t="s">
        <v>79</v>
      </c>
      <c r="AD6710" t="s">
        <v>75</v>
      </c>
      <c r="AE6710" t="s">
        <v>103</v>
      </c>
      <c r="AG6710" t="s">
        <v>81</v>
      </c>
    </row>
    <row r="6711" spans="1:33" x14ac:dyDescent="0.25">
      <c r="A6711" t="str">
        <f>"1275950628"</f>
        <v>1275950628</v>
      </c>
      <c r="C6711" t="s">
        <v>13436</v>
      </c>
      <c r="K6711" t="s">
        <v>99</v>
      </c>
      <c r="L6711" t="s">
        <v>102</v>
      </c>
      <c r="M6711" t="s">
        <v>75</v>
      </c>
      <c r="R6711" t="s">
        <v>30944</v>
      </c>
      <c r="S6711" t="s">
        <v>5249</v>
      </c>
      <c r="T6711" t="s">
        <v>97</v>
      </c>
      <c r="U6711" t="s">
        <v>77</v>
      </c>
      <c r="V6711" t="str">
        <f>"100033805"</f>
        <v>100033805</v>
      </c>
      <c r="AC6711" t="s">
        <v>79</v>
      </c>
      <c r="AD6711" t="s">
        <v>75</v>
      </c>
      <c r="AE6711" t="s">
        <v>103</v>
      </c>
      <c r="AG6711" t="s">
        <v>81</v>
      </c>
    </row>
    <row r="6712" spans="1:33" x14ac:dyDescent="0.25">
      <c r="A6712" t="str">
        <f>"1275951162"</f>
        <v>1275951162</v>
      </c>
      <c r="C6712" t="s">
        <v>13436</v>
      </c>
      <c r="K6712" t="s">
        <v>99</v>
      </c>
      <c r="L6712" t="s">
        <v>102</v>
      </c>
      <c r="M6712" t="s">
        <v>75</v>
      </c>
      <c r="R6712" t="s">
        <v>30945</v>
      </c>
      <c r="S6712" t="s">
        <v>329</v>
      </c>
      <c r="T6712" t="s">
        <v>97</v>
      </c>
      <c r="U6712" t="s">
        <v>77</v>
      </c>
      <c r="V6712" t="str">
        <f>"100296504"</f>
        <v>100296504</v>
      </c>
      <c r="AC6712" t="s">
        <v>79</v>
      </c>
      <c r="AD6712" t="s">
        <v>75</v>
      </c>
      <c r="AE6712" t="s">
        <v>103</v>
      </c>
      <c r="AG6712" t="s">
        <v>81</v>
      </c>
    </row>
    <row r="6713" spans="1:33" x14ac:dyDescent="0.25">
      <c r="A6713" t="str">
        <f>"1275952756"</f>
        <v>1275952756</v>
      </c>
      <c r="B6713" t="str">
        <f>"04301240"</f>
        <v>04301240</v>
      </c>
      <c r="C6713" t="s">
        <v>13436</v>
      </c>
      <c r="D6713" t="s">
        <v>30946</v>
      </c>
      <c r="E6713" t="s">
        <v>30947</v>
      </c>
      <c r="L6713" t="s">
        <v>102</v>
      </c>
      <c r="M6713" t="s">
        <v>75</v>
      </c>
      <c r="R6713" t="s">
        <v>30948</v>
      </c>
      <c r="W6713" t="s">
        <v>30947</v>
      </c>
      <c r="X6713" t="s">
        <v>12304</v>
      </c>
      <c r="Y6713" t="s">
        <v>97</v>
      </c>
      <c r="Z6713" t="s">
        <v>77</v>
      </c>
      <c r="AA6713" t="str">
        <f>"10003-4201"</f>
        <v>10003-4201</v>
      </c>
      <c r="AB6713" t="s">
        <v>78</v>
      </c>
      <c r="AC6713" t="s">
        <v>79</v>
      </c>
      <c r="AD6713" t="s">
        <v>75</v>
      </c>
      <c r="AE6713" t="s">
        <v>80</v>
      </c>
      <c r="AG6713" t="s">
        <v>81</v>
      </c>
    </row>
    <row r="6714" spans="1:33" x14ac:dyDescent="0.25">
      <c r="A6714" t="str">
        <f>"1346256310"</f>
        <v>1346256310</v>
      </c>
      <c r="B6714" t="str">
        <f>"01476273"</f>
        <v>01476273</v>
      </c>
      <c r="C6714" t="s">
        <v>13436</v>
      </c>
      <c r="D6714" t="s">
        <v>30949</v>
      </c>
      <c r="E6714" t="s">
        <v>30950</v>
      </c>
      <c r="G6714" t="s">
        <v>30951</v>
      </c>
      <c r="L6714" t="s">
        <v>74</v>
      </c>
      <c r="M6714" t="s">
        <v>85</v>
      </c>
      <c r="R6714" t="s">
        <v>30952</v>
      </c>
      <c r="W6714" t="s">
        <v>30950</v>
      </c>
      <c r="X6714" t="s">
        <v>11597</v>
      </c>
      <c r="Y6714" t="s">
        <v>2128</v>
      </c>
      <c r="Z6714" t="s">
        <v>77</v>
      </c>
      <c r="AA6714" t="str">
        <f>"11743-2743"</f>
        <v>11743-2743</v>
      </c>
      <c r="AB6714" t="s">
        <v>78</v>
      </c>
      <c r="AC6714" t="s">
        <v>79</v>
      </c>
      <c r="AD6714" t="s">
        <v>75</v>
      </c>
      <c r="AE6714" t="s">
        <v>80</v>
      </c>
      <c r="AG6714" t="s">
        <v>81</v>
      </c>
    </row>
    <row r="6715" spans="1:33" x14ac:dyDescent="0.25">
      <c r="A6715" t="str">
        <f>"1346269388"</f>
        <v>1346269388</v>
      </c>
      <c r="B6715" t="str">
        <f>"02582034"</f>
        <v>02582034</v>
      </c>
      <c r="C6715" t="s">
        <v>13436</v>
      </c>
      <c r="D6715" t="s">
        <v>30953</v>
      </c>
      <c r="E6715" t="s">
        <v>30954</v>
      </c>
      <c r="G6715" t="s">
        <v>30955</v>
      </c>
      <c r="L6715" t="s">
        <v>83</v>
      </c>
      <c r="M6715" t="s">
        <v>85</v>
      </c>
      <c r="R6715" t="s">
        <v>30954</v>
      </c>
      <c r="W6715" t="s">
        <v>30954</v>
      </c>
      <c r="X6715" t="s">
        <v>329</v>
      </c>
      <c r="Y6715" t="s">
        <v>97</v>
      </c>
      <c r="Z6715" t="s">
        <v>77</v>
      </c>
      <c r="AA6715" t="str">
        <f>"10029-6500"</f>
        <v>10029-6500</v>
      </c>
      <c r="AB6715" t="s">
        <v>78</v>
      </c>
      <c r="AC6715" t="s">
        <v>79</v>
      </c>
      <c r="AD6715" t="s">
        <v>75</v>
      </c>
      <c r="AE6715" t="s">
        <v>80</v>
      </c>
      <c r="AG6715" t="s">
        <v>81</v>
      </c>
    </row>
    <row r="6716" spans="1:33" x14ac:dyDescent="0.25">
      <c r="A6716" t="str">
        <f>"1346269636"</f>
        <v>1346269636</v>
      </c>
      <c r="B6716" t="str">
        <f>"01760883"</f>
        <v>01760883</v>
      </c>
      <c r="C6716" t="s">
        <v>13436</v>
      </c>
      <c r="D6716" t="s">
        <v>30956</v>
      </c>
      <c r="E6716" t="s">
        <v>30957</v>
      </c>
      <c r="G6716" t="s">
        <v>30958</v>
      </c>
      <c r="L6716" t="s">
        <v>84</v>
      </c>
      <c r="M6716" t="s">
        <v>85</v>
      </c>
      <c r="R6716" t="s">
        <v>30959</v>
      </c>
      <c r="W6716" t="s">
        <v>30957</v>
      </c>
      <c r="X6716" t="s">
        <v>30960</v>
      </c>
      <c r="Y6716" t="s">
        <v>97</v>
      </c>
      <c r="Z6716" t="s">
        <v>77</v>
      </c>
      <c r="AA6716" t="str">
        <f>"10003-3314"</f>
        <v>10003-3314</v>
      </c>
      <c r="AB6716" t="s">
        <v>78</v>
      </c>
      <c r="AC6716" t="s">
        <v>79</v>
      </c>
      <c r="AD6716" t="s">
        <v>75</v>
      </c>
      <c r="AE6716" t="s">
        <v>80</v>
      </c>
      <c r="AG6716" t="s">
        <v>81</v>
      </c>
    </row>
    <row r="6717" spans="1:33" x14ac:dyDescent="0.25">
      <c r="A6717" t="str">
        <f>"1346272572"</f>
        <v>1346272572</v>
      </c>
      <c r="B6717" t="str">
        <f>"01017821"</f>
        <v>01017821</v>
      </c>
      <c r="C6717" t="s">
        <v>13436</v>
      </c>
      <c r="D6717" t="s">
        <v>30961</v>
      </c>
      <c r="E6717" t="s">
        <v>30962</v>
      </c>
      <c r="G6717" t="s">
        <v>30963</v>
      </c>
      <c r="L6717" t="s">
        <v>83</v>
      </c>
      <c r="M6717" t="s">
        <v>85</v>
      </c>
      <c r="R6717" t="s">
        <v>30964</v>
      </c>
      <c r="W6717" t="s">
        <v>30962</v>
      </c>
      <c r="X6717" t="s">
        <v>272</v>
      </c>
      <c r="Y6717" t="s">
        <v>97</v>
      </c>
      <c r="Z6717" t="s">
        <v>77</v>
      </c>
      <c r="AA6717" t="str">
        <f>"10029-6501"</f>
        <v>10029-6501</v>
      </c>
      <c r="AB6717" t="s">
        <v>78</v>
      </c>
      <c r="AC6717" t="s">
        <v>79</v>
      </c>
      <c r="AD6717" t="s">
        <v>75</v>
      </c>
      <c r="AE6717" t="s">
        <v>80</v>
      </c>
      <c r="AG6717" t="s">
        <v>81</v>
      </c>
    </row>
    <row r="6718" spans="1:33" x14ac:dyDescent="0.25">
      <c r="A6718" t="str">
        <f>"1346278983"</f>
        <v>1346278983</v>
      </c>
      <c r="B6718" t="str">
        <f>"02563211"</f>
        <v>02563211</v>
      </c>
      <c r="C6718" t="s">
        <v>13436</v>
      </c>
      <c r="D6718" t="s">
        <v>30965</v>
      </c>
      <c r="E6718" t="s">
        <v>30966</v>
      </c>
      <c r="G6718" t="s">
        <v>30967</v>
      </c>
      <c r="L6718" t="s">
        <v>74</v>
      </c>
      <c r="M6718" t="s">
        <v>75</v>
      </c>
      <c r="R6718" t="s">
        <v>30968</v>
      </c>
      <c r="W6718" t="s">
        <v>30966</v>
      </c>
      <c r="X6718" t="s">
        <v>1739</v>
      </c>
      <c r="Y6718" t="s">
        <v>95</v>
      </c>
      <c r="Z6718" t="s">
        <v>77</v>
      </c>
      <c r="AA6718" t="str">
        <f>"12208-1707"</f>
        <v>12208-1707</v>
      </c>
      <c r="AB6718" t="s">
        <v>78</v>
      </c>
      <c r="AC6718" t="s">
        <v>79</v>
      </c>
      <c r="AD6718" t="s">
        <v>75</v>
      </c>
      <c r="AE6718" t="s">
        <v>80</v>
      </c>
      <c r="AG6718" t="s">
        <v>81</v>
      </c>
    </row>
    <row r="6719" spans="1:33" x14ac:dyDescent="0.25">
      <c r="A6719" t="str">
        <f>"1346331824"</f>
        <v>1346331824</v>
      </c>
      <c r="B6719" t="str">
        <f>"02175780"</f>
        <v>02175780</v>
      </c>
      <c r="C6719" t="s">
        <v>13436</v>
      </c>
      <c r="D6719" t="s">
        <v>30969</v>
      </c>
      <c r="E6719" t="s">
        <v>30970</v>
      </c>
      <c r="G6719" t="s">
        <v>30971</v>
      </c>
      <c r="L6719" t="s">
        <v>94</v>
      </c>
      <c r="M6719" t="s">
        <v>75</v>
      </c>
      <c r="R6719" t="s">
        <v>30972</v>
      </c>
      <c r="W6719" t="s">
        <v>30970</v>
      </c>
      <c r="X6719" t="s">
        <v>30973</v>
      </c>
      <c r="Y6719" t="s">
        <v>97</v>
      </c>
      <c r="Z6719" t="s">
        <v>77</v>
      </c>
      <c r="AA6719" t="str">
        <f>"10029-6500"</f>
        <v>10029-6500</v>
      </c>
      <c r="AB6719" t="s">
        <v>78</v>
      </c>
      <c r="AC6719" t="s">
        <v>79</v>
      </c>
      <c r="AD6719" t="s">
        <v>75</v>
      </c>
      <c r="AE6719" t="s">
        <v>80</v>
      </c>
      <c r="AG6719" t="s">
        <v>81</v>
      </c>
    </row>
    <row r="6720" spans="1:33" x14ac:dyDescent="0.25">
      <c r="A6720" t="str">
        <f>"1326389974"</f>
        <v>1326389974</v>
      </c>
      <c r="C6720" t="s">
        <v>13436</v>
      </c>
      <c r="G6720" t="s">
        <v>30974</v>
      </c>
      <c r="K6720" t="s">
        <v>99</v>
      </c>
      <c r="L6720" t="s">
        <v>102</v>
      </c>
      <c r="M6720" t="s">
        <v>75</v>
      </c>
      <c r="R6720" t="s">
        <v>30975</v>
      </c>
      <c r="S6720" t="s">
        <v>14796</v>
      </c>
      <c r="T6720" t="s">
        <v>97</v>
      </c>
      <c r="U6720" t="s">
        <v>77</v>
      </c>
      <c r="V6720" t="str">
        <f>"100296501"</f>
        <v>100296501</v>
      </c>
      <c r="AC6720" t="s">
        <v>79</v>
      </c>
      <c r="AD6720" t="s">
        <v>75</v>
      </c>
      <c r="AE6720" t="s">
        <v>103</v>
      </c>
      <c r="AG6720" t="s">
        <v>81</v>
      </c>
    </row>
    <row r="6721" spans="1:33" x14ac:dyDescent="0.25">
      <c r="A6721" t="str">
        <f>"1851629745"</f>
        <v>1851629745</v>
      </c>
      <c r="C6721" t="s">
        <v>13436</v>
      </c>
      <c r="G6721" t="s">
        <v>30976</v>
      </c>
      <c r="K6721" t="s">
        <v>99</v>
      </c>
      <c r="L6721" t="s">
        <v>74</v>
      </c>
      <c r="M6721" t="s">
        <v>75</v>
      </c>
      <c r="R6721" t="s">
        <v>30977</v>
      </c>
      <c r="S6721" t="s">
        <v>30978</v>
      </c>
      <c r="T6721" t="s">
        <v>2640</v>
      </c>
      <c r="U6721" t="s">
        <v>77</v>
      </c>
      <c r="V6721" t="str">
        <f>"117683323"</f>
        <v>117683323</v>
      </c>
      <c r="AC6721" t="s">
        <v>79</v>
      </c>
      <c r="AD6721" t="s">
        <v>75</v>
      </c>
      <c r="AE6721" t="s">
        <v>103</v>
      </c>
      <c r="AG6721" t="s">
        <v>81</v>
      </c>
    </row>
    <row r="6722" spans="1:33" x14ac:dyDescent="0.25">
      <c r="A6722" t="str">
        <f>"1851671259"</f>
        <v>1851671259</v>
      </c>
      <c r="B6722" t="str">
        <f>"03378021"</f>
        <v>03378021</v>
      </c>
      <c r="C6722" t="s">
        <v>13436</v>
      </c>
      <c r="D6722" t="s">
        <v>30979</v>
      </c>
      <c r="E6722" t="s">
        <v>30980</v>
      </c>
      <c r="G6722" t="s">
        <v>30981</v>
      </c>
      <c r="L6722" t="s">
        <v>74</v>
      </c>
      <c r="M6722" t="s">
        <v>85</v>
      </c>
      <c r="R6722" t="s">
        <v>30982</v>
      </c>
      <c r="W6722" t="s">
        <v>30980</v>
      </c>
      <c r="X6722" t="s">
        <v>3742</v>
      </c>
      <c r="Y6722" t="s">
        <v>227</v>
      </c>
      <c r="Z6722" t="s">
        <v>77</v>
      </c>
      <c r="AA6722" t="str">
        <f>"10604-2901"</f>
        <v>10604-2901</v>
      </c>
      <c r="AB6722" t="s">
        <v>78</v>
      </c>
      <c r="AC6722" t="s">
        <v>79</v>
      </c>
      <c r="AD6722" t="s">
        <v>75</v>
      </c>
      <c r="AE6722" t="s">
        <v>80</v>
      </c>
      <c r="AG6722" t="s">
        <v>81</v>
      </c>
    </row>
    <row r="6723" spans="1:33" x14ac:dyDescent="0.25">
      <c r="A6723" t="str">
        <f>"1447585591"</f>
        <v>1447585591</v>
      </c>
      <c r="B6723" t="str">
        <f>"03169413"</f>
        <v>03169413</v>
      </c>
      <c r="C6723" t="s">
        <v>13436</v>
      </c>
      <c r="D6723" t="s">
        <v>30983</v>
      </c>
      <c r="E6723" t="s">
        <v>30984</v>
      </c>
      <c r="G6723" t="s">
        <v>30985</v>
      </c>
      <c r="L6723" t="s">
        <v>74</v>
      </c>
      <c r="M6723" t="s">
        <v>75</v>
      </c>
      <c r="R6723" t="s">
        <v>30986</v>
      </c>
      <c r="W6723" t="s">
        <v>30987</v>
      </c>
      <c r="X6723" t="s">
        <v>676</v>
      </c>
      <c r="Y6723" t="s">
        <v>97</v>
      </c>
      <c r="Z6723" t="s">
        <v>77</v>
      </c>
      <c r="AA6723" t="str">
        <f>"10009-6531"</f>
        <v>10009-6531</v>
      </c>
      <c r="AB6723" t="s">
        <v>78</v>
      </c>
      <c r="AC6723" t="s">
        <v>79</v>
      </c>
      <c r="AD6723" t="s">
        <v>75</v>
      </c>
      <c r="AE6723" t="s">
        <v>80</v>
      </c>
      <c r="AG6723" t="s">
        <v>81</v>
      </c>
    </row>
    <row r="6724" spans="1:33" x14ac:dyDescent="0.25">
      <c r="A6724" t="str">
        <f>"1447591854"</f>
        <v>1447591854</v>
      </c>
      <c r="C6724" t="s">
        <v>13436</v>
      </c>
      <c r="K6724" t="s">
        <v>99</v>
      </c>
      <c r="L6724" t="s">
        <v>102</v>
      </c>
      <c r="M6724" t="s">
        <v>75</v>
      </c>
      <c r="R6724" t="s">
        <v>30988</v>
      </c>
      <c r="S6724" t="s">
        <v>5325</v>
      </c>
      <c r="T6724" t="s">
        <v>4484</v>
      </c>
      <c r="U6724" t="s">
        <v>1800</v>
      </c>
      <c r="V6724" t="str">
        <f>"800452545"</f>
        <v>800452545</v>
      </c>
      <c r="AC6724" t="s">
        <v>79</v>
      </c>
      <c r="AD6724" t="s">
        <v>75</v>
      </c>
      <c r="AE6724" t="s">
        <v>103</v>
      </c>
      <c r="AG6724" t="s">
        <v>81</v>
      </c>
    </row>
    <row r="6725" spans="1:33" x14ac:dyDescent="0.25">
      <c r="A6725" t="str">
        <f>"1447592357"</f>
        <v>1447592357</v>
      </c>
      <c r="C6725" t="s">
        <v>13436</v>
      </c>
      <c r="K6725" t="s">
        <v>99</v>
      </c>
      <c r="L6725" t="s">
        <v>102</v>
      </c>
      <c r="M6725" t="s">
        <v>75</v>
      </c>
      <c r="R6725" t="s">
        <v>30989</v>
      </c>
      <c r="S6725" t="s">
        <v>30990</v>
      </c>
      <c r="T6725" t="s">
        <v>97</v>
      </c>
      <c r="U6725" t="s">
        <v>77</v>
      </c>
      <c r="V6725" t="str">
        <f>"101284014"</f>
        <v>101284014</v>
      </c>
      <c r="AC6725" t="s">
        <v>79</v>
      </c>
      <c r="AD6725" t="s">
        <v>75</v>
      </c>
      <c r="AE6725" t="s">
        <v>103</v>
      </c>
      <c r="AG6725" t="s">
        <v>81</v>
      </c>
    </row>
    <row r="6726" spans="1:33" x14ac:dyDescent="0.25">
      <c r="A6726" t="str">
        <f>"1447592480"</f>
        <v>1447592480</v>
      </c>
      <c r="B6726" t="str">
        <f>"04093041"</f>
        <v>04093041</v>
      </c>
      <c r="C6726" t="s">
        <v>13436</v>
      </c>
      <c r="D6726" t="s">
        <v>30991</v>
      </c>
      <c r="E6726" t="s">
        <v>30992</v>
      </c>
      <c r="G6726" t="s">
        <v>30993</v>
      </c>
      <c r="L6726" t="s">
        <v>74</v>
      </c>
      <c r="M6726" t="s">
        <v>75</v>
      </c>
      <c r="R6726" t="s">
        <v>30994</v>
      </c>
      <c r="W6726" t="s">
        <v>30995</v>
      </c>
      <c r="X6726" t="s">
        <v>272</v>
      </c>
      <c r="Y6726" t="s">
        <v>97</v>
      </c>
      <c r="Z6726" t="s">
        <v>77</v>
      </c>
      <c r="AA6726" t="str">
        <f>"10029-6501"</f>
        <v>10029-6501</v>
      </c>
      <c r="AB6726" t="s">
        <v>78</v>
      </c>
      <c r="AC6726" t="s">
        <v>79</v>
      </c>
      <c r="AD6726" t="s">
        <v>75</v>
      </c>
      <c r="AE6726" t="s">
        <v>80</v>
      </c>
      <c r="AG6726" t="s">
        <v>81</v>
      </c>
    </row>
    <row r="6727" spans="1:33" x14ac:dyDescent="0.25">
      <c r="A6727" t="str">
        <f>"1447592969"</f>
        <v>1447592969</v>
      </c>
      <c r="C6727" t="s">
        <v>13436</v>
      </c>
      <c r="K6727" t="s">
        <v>99</v>
      </c>
      <c r="L6727" t="s">
        <v>102</v>
      </c>
      <c r="M6727" t="s">
        <v>75</v>
      </c>
      <c r="R6727" t="s">
        <v>30996</v>
      </c>
      <c r="S6727" t="s">
        <v>329</v>
      </c>
      <c r="T6727" t="s">
        <v>97</v>
      </c>
      <c r="U6727" t="s">
        <v>77</v>
      </c>
      <c r="V6727" t="str">
        <f>"100296500"</f>
        <v>100296500</v>
      </c>
      <c r="AC6727" t="s">
        <v>79</v>
      </c>
      <c r="AD6727" t="s">
        <v>75</v>
      </c>
      <c r="AE6727" t="s">
        <v>103</v>
      </c>
      <c r="AG6727" t="s">
        <v>81</v>
      </c>
    </row>
    <row r="6728" spans="1:33" x14ac:dyDescent="0.25">
      <c r="A6728" t="str">
        <f>"1447593025"</f>
        <v>1447593025</v>
      </c>
      <c r="C6728" t="s">
        <v>13436</v>
      </c>
      <c r="K6728" t="s">
        <v>99</v>
      </c>
      <c r="L6728" t="s">
        <v>102</v>
      </c>
      <c r="M6728" t="s">
        <v>75</v>
      </c>
      <c r="R6728" t="s">
        <v>30997</v>
      </c>
      <c r="S6728" t="s">
        <v>181</v>
      </c>
      <c r="T6728" t="s">
        <v>97</v>
      </c>
      <c r="U6728" t="s">
        <v>77</v>
      </c>
      <c r="V6728" t="str">
        <f>"100251716"</f>
        <v>100251716</v>
      </c>
      <c r="AC6728" t="s">
        <v>79</v>
      </c>
      <c r="AD6728" t="s">
        <v>75</v>
      </c>
      <c r="AE6728" t="s">
        <v>103</v>
      </c>
      <c r="AG6728" t="s">
        <v>81</v>
      </c>
    </row>
    <row r="6729" spans="1:33" x14ac:dyDescent="0.25">
      <c r="A6729" t="str">
        <f>"1144642869"</f>
        <v>1144642869</v>
      </c>
      <c r="C6729" t="s">
        <v>13436</v>
      </c>
      <c r="G6729" t="s">
        <v>30998</v>
      </c>
      <c r="K6729" t="s">
        <v>99</v>
      </c>
      <c r="L6729" t="s">
        <v>102</v>
      </c>
      <c r="M6729" t="s">
        <v>75</v>
      </c>
      <c r="R6729" t="s">
        <v>30999</v>
      </c>
      <c r="S6729" t="s">
        <v>31000</v>
      </c>
      <c r="T6729" t="s">
        <v>97</v>
      </c>
      <c r="U6729" t="s">
        <v>77</v>
      </c>
      <c r="V6729" t="str">
        <f>"104672410"</f>
        <v>104672410</v>
      </c>
      <c r="AC6729" t="s">
        <v>79</v>
      </c>
      <c r="AD6729" t="s">
        <v>75</v>
      </c>
      <c r="AE6729" t="s">
        <v>103</v>
      </c>
      <c r="AG6729" t="s">
        <v>81</v>
      </c>
    </row>
    <row r="6730" spans="1:33" x14ac:dyDescent="0.25">
      <c r="A6730" t="str">
        <f>"1144647421"</f>
        <v>1144647421</v>
      </c>
      <c r="C6730" t="s">
        <v>13436</v>
      </c>
      <c r="K6730" t="s">
        <v>99</v>
      </c>
      <c r="L6730" t="s">
        <v>102</v>
      </c>
      <c r="M6730" t="s">
        <v>75</v>
      </c>
      <c r="R6730" t="s">
        <v>31001</v>
      </c>
      <c r="S6730" t="s">
        <v>12670</v>
      </c>
      <c r="T6730" t="s">
        <v>97</v>
      </c>
      <c r="U6730" t="s">
        <v>77</v>
      </c>
      <c r="V6730" t="str">
        <f>"100033821"</f>
        <v>100033821</v>
      </c>
      <c r="AC6730" t="s">
        <v>79</v>
      </c>
      <c r="AD6730" t="s">
        <v>75</v>
      </c>
      <c r="AE6730" t="s">
        <v>103</v>
      </c>
      <c r="AG6730" t="s">
        <v>81</v>
      </c>
    </row>
    <row r="6731" spans="1:33" x14ac:dyDescent="0.25">
      <c r="A6731" t="str">
        <f>"1447668421"</f>
        <v>1447668421</v>
      </c>
      <c r="C6731" t="s">
        <v>13436</v>
      </c>
      <c r="K6731" t="s">
        <v>99</v>
      </c>
      <c r="L6731" t="s">
        <v>102</v>
      </c>
      <c r="M6731" t="s">
        <v>75</v>
      </c>
      <c r="R6731" t="s">
        <v>31002</v>
      </c>
      <c r="S6731" t="s">
        <v>3553</v>
      </c>
      <c r="T6731" t="s">
        <v>97</v>
      </c>
      <c r="U6731" t="s">
        <v>77</v>
      </c>
      <c r="V6731" t="str">
        <f>"10003"</f>
        <v>10003</v>
      </c>
      <c r="AC6731" t="s">
        <v>79</v>
      </c>
      <c r="AD6731" t="s">
        <v>75</v>
      </c>
      <c r="AE6731" t="s">
        <v>103</v>
      </c>
      <c r="AG6731" t="s">
        <v>81</v>
      </c>
    </row>
    <row r="6732" spans="1:33" x14ac:dyDescent="0.25">
      <c r="A6732" t="str">
        <f>"1447677604"</f>
        <v>1447677604</v>
      </c>
      <c r="C6732" t="s">
        <v>13436</v>
      </c>
      <c r="K6732" t="s">
        <v>99</v>
      </c>
      <c r="L6732" t="s">
        <v>102</v>
      </c>
      <c r="M6732" t="s">
        <v>75</v>
      </c>
      <c r="R6732" t="s">
        <v>31003</v>
      </c>
      <c r="S6732" t="s">
        <v>31004</v>
      </c>
      <c r="T6732" t="s">
        <v>97</v>
      </c>
      <c r="U6732" t="s">
        <v>77</v>
      </c>
      <c r="V6732" t="str">
        <f>"100656307"</f>
        <v>100656307</v>
      </c>
      <c r="AC6732" t="s">
        <v>79</v>
      </c>
      <c r="AD6732" t="s">
        <v>75</v>
      </c>
      <c r="AE6732" t="s">
        <v>103</v>
      </c>
      <c r="AG6732" t="s">
        <v>81</v>
      </c>
    </row>
    <row r="6733" spans="1:33" x14ac:dyDescent="0.25">
      <c r="A6733" t="str">
        <f>"1447679246"</f>
        <v>1447679246</v>
      </c>
      <c r="C6733" t="s">
        <v>13436</v>
      </c>
      <c r="K6733" t="s">
        <v>99</v>
      </c>
      <c r="L6733" t="s">
        <v>102</v>
      </c>
      <c r="M6733" t="s">
        <v>75</v>
      </c>
      <c r="R6733" t="s">
        <v>31005</v>
      </c>
      <c r="S6733" t="s">
        <v>181</v>
      </c>
      <c r="T6733" t="s">
        <v>97</v>
      </c>
      <c r="U6733" t="s">
        <v>77</v>
      </c>
      <c r="V6733" t="str">
        <f>"100251716"</f>
        <v>100251716</v>
      </c>
      <c r="AC6733" t="s">
        <v>79</v>
      </c>
      <c r="AD6733" t="s">
        <v>75</v>
      </c>
      <c r="AE6733" t="s">
        <v>103</v>
      </c>
      <c r="AG6733" t="s">
        <v>81</v>
      </c>
    </row>
    <row r="6734" spans="1:33" x14ac:dyDescent="0.25">
      <c r="A6734" t="str">
        <f>"1447229190"</f>
        <v>1447229190</v>
      </c>
      <c r="B6734" t="str">
        <f>"02589673"</f>
        <v>02589673</v>
      </c>
      <c r="C6734" t="s">
        <v>13436</v>
      </c>
      <c r="D6734" t="s">
        <v>31006</v>
      </c>
      <c r="E6734" t="s">
        <v>31007</v>
      </c>
      <c r="G6734" t="s">
        <v>31008</v>
      </c>
      <c r="L6734" t="s">
        <v>74</v>
      </c>
      <c r="M6734" t="s">
        <v>85</v>
      </c>
      <c r="R6734" t="s">
        <v>31009</v>
      </c>
      <c r="W6734" t="s">
        <v>31007</v>
      </c>
      <c r="X6734" t="s">
        <v>329</v>
      </c>
      <c r="Y6734" t="s">
        <v>97</v>
      </c>
      <c r="Z6734" t="s">
        <v>77</v>
      </c>
      <c r="AA6734" t="str">
        <f>"10029-6500"</f>
        <v>10029-6500</v>
      </c>
      <c r="AB6734" t="s">
        <v>78</v>
      </c>
      <c r="AC6734" t="s">
        <v>79</v>
      </c>
      <c r="AD6734" t="s">
        <v>75</v>
      </c>
      <c r="AE6734" t="s">
        <v>80</v>
      </c>
      <c r="AG6734" t="s">
        <v>81</v>
      </c>
    </row>
    <row r="6735" spans="1:33" x14ac:dyDescent="0.25">
      <c r="A6735" t="str">
        <f>"1447236138"</f>
        <v>1447236138</v>
      </c>
      <c r="C6735" t="s">
        <v>13436</v>
      </c>
      <c r="G6735" t="s">
        <v>31010</v>
      </c>
      <c r="K6735" t="s">
        <v>99</v>
      </c>
      <c r="L6735" t="s">
        <v>74</v>
      </c>
      <c r="M6735" t="s">
        <v>75</v>
      </c>
      <c r="R6735" t="s">
        <v>31011</v>
      </c>
      <c r="S6735" t="s">
        <v>5324</v>
      </c>
      <c r="T6735" t="s">
        <v>97</v>
      </c>
      <c r="U6735" t="s">
        <v>77</v>
      </c>
      <c r="V6735" t="str">
        <f>"100296500"</f>
        <v>100296500</v>
      </c>
      <c r="AC6735" t="s">
        <v>79</v>
      </c>
      <c r="AD6735" t="s">
        <v>75</v>
      </c>
      <c r="AE6735" t="s">
        <v>103</v>
      </c>
      <c r="AG6735" t="s">
        <v>81</v>
      </c>
    </row>
    <row r="6736" spans="1:33" x14ac:dyDescent="0.25">
      <c r="A6736" t="str">
        <f>"1538100722"</f>
        <v>1538100722</v>
      </c>
      <c r="B6736" t="str">
        <f>"01497227"</f>
        <v>01497227</v>
      </c>
      <c r="C6736" t="s">
        <v>13436</v>
      </c>
      <c r="D6736" t="s">
        <v>31012</v>
      </c>
      <c r="E6736" t="s">
        <v>31013</v>
      </c>
      <c r="G6736" t="s">
        <v>31014</v>
      </c>
      <c r="L6736" t="s">
        <v>74</v>
      </c>
      <c r="M6736" t="s">
        <v>85</v>
      </c>
      <c r="R6736" t="s">
        <v>31015</v>
      </c>
      <c r="W6736" t="s">
        <v>31013</v>
      </c>
      <c r="X6736" t="s">
        <v>31016</v>
      </c>
      <c r="Y6736" t="s">
        <v>146</v>
      </c>
      <c r="Z6736" t="s">
        <v>77</v>
      </c>
      <c r="AA6736" t="str">
        <f>"10595"</f>
        <v>10595</v>
      </c>
      <c r="AB6736" t="s">
        <v>78</v>
      </c>
      <c r="AC6736" t="s">
        <v>79</v>
      </c>
      <c r="AD6736" t="s">
        <v>75</v>
      </c>
      <c r="AE6736" t="s">
        <v>80</v>
      </c>
      <c r="AG6736" t="s">
        <v>81</v>
      </c>
    </row>
    <row r="6737" spans="1:33" x14ac:dyDescent="0.25">
      <c r="A6737" t="str">
        <f>"1538130323"</f>
        <v>1538130323</v>
      </c>
      <c r="B6737" t="str">
        <f>"03365588"</f>
        <v>03365588</v>
      </c>
      <c r="C6737" t="s">
        <v>13436</v>
      </c>
      <c r="D6737" t="s">
        <v>31017</v>
      </c>
      <c r="E6737" t="s">
        <v>31018</v>
      </c>
      <c r="G6737" t="s">
        <v>31019</v>
      </c>
      <c r="L6737" t="s">
        <v>74</v>
      </c>
      <c r="M6737" t="s">
        <v>85</v>
      </c>
      <c r="R6737" t="s">
        <v>31020</v>
      </c>
      <c r="W6737" t="s">
        <v>31018</v>
      </c>
      <c r="X6737" t="s">
        <v>329</v>
      </c>
      <c r="Y6737" t="s">
        <v>97</v>
      </c>
      <c r="Z6737" t="s">
        <v>77</v>
      </c>
      <c r="AA6737" t="str">
        <f>"10029-6504"</f>
        <v>10029-6504</v>
      </c>
      <c r="AB6737" t="s">
        <v>78</v>
      </c>
      <c r="AC6737" t="s">
        <v>79</v>
      </c>
      <c r="AD6737" t="s">
        <v>75</v>
      </c>
      <c r="AE6737" t="s">
        <v>80</v>
      </c>
      <c r="AG6737" t="s">
        <v>81</v>
      </c>
    </row>
    <row r="6738" spans="1:33" x14ac:dyDescent="0.25">
      <c r="A6738" t="str">
        <f>"1124274204"</f>
        <v>1124274204</v>
      </c>
      <c r="B6738" t="str">
        <f>"03191540"</f>
        <v>03191540</v>
      </c>
      <c r="C6738" t="s">
        <v>13436</v>
      </c>
      <c r="D6738" t="s">
        <v>31021</v>
      </c>
      <c r="E6738" t="s">
        <v>31022</v>
      </c>
      <c r="G6738" t="s">
        <v>31023</v>
      </c>
      <c r="L6738" t="s">
        <v>102</v>
      </c>
      <c r="M6738" t="s">
        <v>75</v>
      </c>
      <c r="R6738" t="s">
        <v>31024</v>
      </c>
      <c r="W6738" t="s">
        <v>31025</v>
      </c>
      <c r="X6738" t="s">
        <v>251</v>
      </c>
      <c r="Y6738" t="s">
        <v>87</v>
      </c>
      <c r="Z6738" t="s">
        <v>77</v>
      </c>
      <c r="AA6738" t="str">
        <f>"11203-1809"</f>
        <v>11203-1809</v>
      </c>
      <c r="AB6738" t="s">
        <v>78</v>
      </c>
      <c r="AC6738" t="s">
        <v>79</v>
      </c>
      <c r="AD6738" t="s">
        <v>75</v>
      </c>
      <c r="AE6738" t="s">
        <v>80</v>
      </c>
      <c r="AG6738" t="s">
        <v>81</v>
      </c>
    </row>
    <row r="6739" spans="1:33" x14ac:dyDescent="0.25">
      <c r="A6739" t="str">
        <f>"1124278791"</f>
        <v>1124278791</v>
      </c>
      <c r="C6739" t="s">
        <v>13436</v>
      </c>
      <c r="G6739" t="s">
        <v>31026</v>
      </c>
      <c r="K6739" t="s">
        <v>99</v>
      </c>
      <c r="L6739" t="s">
        <v>102</v>
      </c>
      <c r="M6739" t="s">
        <v>75</v>
      </c>
      <c r="R6739" t="s">
        <v>31027</v>
      </c>
      <c r="S6739" t="s">
        <v>5324</v>
      </c>
      <c r="T6739" t="s">
        <v>97</v>
      </c>
      <c r="U6739" t="s">
        <v>77</v>
      </c>
      <c r="V6739" t="str">
        <f>"100296500"</f>
        <v>100296500</v>
      </c>
      <c r="AC6739" t="s">
        <v>79</v>
      </c>
      <c r="AD6739" t="s">
        <v>75</v>
      </c>
      <c r="AE6739" t="s">
        <v>103</v>
      </c>
      <c r="AG6739" t="s">
        <v>81</v>
      </c>
    </row>
    <row r="6740" spans="1:33" x14ac:dyDescent="0.25">
      <c r="A6740" t="str">
        <f>"1124289970"</f>
        <v>1124289970</v>
      </c>
      <c r="B6740" t="str">
        <f>"03243969"</f>
        <v>03243969</v>
      </c>
      <c r="C6740" t="s">
        <v>13436</v>
      </c>
      <c r="D6740" t="s">
        <v>31028</v>
      </c>
      <c r="E6740" t="s">
        <v>31029</v>
      </c>
      <c r="G6740" t="s">
        <v>31030</v>
      </c>
      <c r="L6740" t="s">
        <v>83</v>
      </c>
      <c r="M6740" t="s">
        <v>85</v>
      </c>
      <c r="R6740" t="s">
        <v>31031</v>
      </c>
      <c r="W6740" t="s">
        <v>31032</v>
      </c>
      <c r="X6740" t="s">
        <v>6019</v>
      </c>
      <c r="Y6740" t="s">
        <v>91</v>
      </c>
      <c r="Z6740" t="s">
        <v>77</v>
      </c>
      <c r="AA6740" t="str">
        <f>"11373-1329"</f>
        <v>11373-1329</v>
      </c>
      <c r="AB6740" t="s">
        <v>78</v>
      </c>
      <c r="AC6740" t="s">
        <v>79</v>
      </c>
      <c r="AD6740" t="s">
        <v>75</v>
      </c>
      <c r="AE6740" t="s">
        <v>80</v>
      </c>
      <c r="AG6740" t="s">
        <v>81</v>
      </c>
    </row>
    <row r="6741" spans="1:33" x14ac:dyDescent="0.25">
      <c r="A6741" t="str">
        <f>"1124290044"</f>
        <v>1124290044</v>
      </c>
      <c r="B6741" t="str">
        <f>"03628824"</f>
        <v>03628824</v>
      </c>
      <c r="C6741" t="s">
        <v>13436</v>
      </c>
      <c r="D6741" t="s">
        <v>31033</v>
      </c>
      <c r="E6741" t="s">
        <v>31034</v>
      </c>
      <c r="G6741" t="s">
        <v>31035</v>
      </c>
      <c r="L6741" t="s">
        <v>83</v>
      </c>
      <c r="M6741" t="s">
        <v>75</v>
      </c>
      <c r="R6741" t="s">
        <v>31036</v>
      </c>
      <c r="W6741" t="s">
        <v>31034</v>
      </c>
      <c r="X6741" t="s">
        <v>442</v>
      </c>
      <c r="Y6741" t="s">
        <v>97</v>
      </c>
      <c r="Z6741" t="s">
        <v>77</v>
      </c>
      <c r="AA6741" t="str">
        <f>"10065-6007"</f>
        <v>10065-6007</v>
      </c>
      <c r="AB6741" t="s">
        <v>78</v>
      </c>
      <c r="AC6741" t="s">
        <v>79</v>
      </c>
      <c r="AD6741" t="s">
        <v>75</v>
      </c>
      <c r="AE6741" t="s">
        <v>80</v>
      </c>
      <c r="AG6741" t="s">
        <v>81</v>
      </c>
    </row>
    <row r="6742" spans="1:33" x14ac:dyDescent="0.25">
      <c r="A6742" t="str">
        <f>"1124339080"</f>
        <v>1124339080</v>
      </c>
      <c r="B6742" t="str">
        <f>"04346847"</f>
        <v>04346847</v>
      </c>
      <c r="C6742" t="s">
        <v>13436</v>
      </c>
      <c r="D6742" t="s">
        <v>31037</v>
      </c>
      <c r="E6742" t="s">
        <v>31038</v>
      </c>
      <c r="G6742" t="s">
        <v>31039</v>
      </c>
      <c r="L6742" t="s">
        <v>83</v>
      </c>
      <c r="M6742" t="s">
        <v>75</v>
      </c>
      <c r="R6742" t="s">
        <v>31040</v>
      </c>
      <c r="W6742" t="s">
        <v>31038</v>
      </c>
      <c r="X6742" t="s">
        <v>2603</v>
      </c>
      <c r="Y6742" t="s">
        <v>2604</v>
      </c>
      <c r="Z6742" t="s">
        <v>77</v>
      </c>
      <c r="AA6742" t="str">
        <f>"10901-4812"</f>
        <v>10901-4812</v>
      </c>
      <c r="AB6742" t="s">
        <v>78</v>
      </c>
      <c r="AC6742" t="s">
        <v>79</v>
      </c>
      <c r="AD6742" t="s">
        <v>75</v>
      </c>
      <c r="AE6742" t="s">
        <v>80</v>
      </c>
      <c r="AG6742" t="s">
        <v>81</v>
      </c>
    </row>
    <row r="6743" spans="1:33" x14ac:dyDescent="0.25">
      <c r="A6743" t="str">
        <f>"1124343033"</f>
        <v>1124343033</v>
      </c>
      <c r="B6743" t="str">
        <f>"03247830"</f>
        <v>03247830</v>
      </c>
      <c r="C6743" t="s">
        <v>13436</v>
      </c>
      <c r="D6743" t="s">
        <v>31041</v>
      </c>
      <c r="E6743" t="s">
        <v>31042</v>
      </c>
      <c r="G6743" t="s">
        <v>31043</v>
      </c>
      <c r="L6743" t="s">
        <v>84</v>
      </c>
      <c r="M6743" t="s">
        <v>85</v>
      </c>
      <c r="R6743" t="s">
        <v>31044</v>
      </c>
      <c r="W6743" t="s">
        <v>31042</v>
      </c>
      <c r="X6743" t="s">
        <v>235</v>
      </c>
      <c r="Y6743" t="s">
        <v>190</v>
      </c>
      <c r="Z6743" t="s">
        <v>77</v>
      </c>
      <c r="AA6743" t="str">
        <f>"11102-2448"</f>
        <v>11102-2448</v>
      </c>
      <c r="AB6743" t="s">
        <v>78</v>
      </c>
      <c r="AC6743" t="s">
        <v>79</v>
      </c>
      <c r="AD6743" t="s">
        <v>75</v>
      </c>
      <c r="AE6743" t="s">
        <v>80</v>
      </c>
      <c r="AG6743" t="s">
        <v>81</v>
      </c>
    </row>
    <row r="6744" spans="1:33" x14ac:dyDescent="0.25">
      <c r="A6744" t="str">
        <f>"1124343694"</f>
        <v>1124343694</v>
      </c>
      <c r="B6744" t="str">
        <f>"03980265"</f>
        <v>03980265</v>
      </c>
      <c r="C6744" t="s">
        <v>13436</v>
      </c>
      <c r="D6744" t="s">
        <v>31045</v>
      </c>
      <c r="E6744" t="s">
        <v>31046</v>
      </c>
      <c r="G6744" t="s">
        <v>31047</v>
      </c>
      <c r="L6744" t="s">
        <v>74</v>
      </c>
      <c r="M6744" t="s">
        <v>75</v>
      </c>
      <c r="R6744" t="s">
        <v>31048</v>
      </c>
      <c r="W6744" t="s">
        <v>31046</v>
      </c>
      <c r="X6744" t="s">
        <v>181</v>
      </c>
      <c r="Y6744" t="s">
        <v>97</v>
      </c>
      <c r="Z6744" t="s">
        <v>77</v>
      </c>
      <c r="AA6744" t="str">
        <f>"10025-1716"</f>
        <v>10025-1716</v>
      </c>
      <c r="AB6744" t="s">
        <v>78</v>
      </c>
      <c r="AC6744" t="s">
        <v>79</v>
      </c>
      <c r="AD6744" t="s">
        <v>75</v>
      </c>
      <c r="AE6744" t="s">
        <v>80</v>
      </c>
      <c r="AG6744" t="s">
        <v>81</v>
      </c>
    </row>
    <row r="6745" spans="1:33" x14ac:dyDescent="0.25">
      <c r="A6745" t="str">
        <f>"1124366224"</f>
        <v>1124366224</v>
      </c>
      <c r="B6745" t="str">
        <f>"03705337"</f>
        <v>03705337</v>
      </c>
      <c r="C6745" t="s">
        <v>13436</v>
      </c>
      <c r="D6745" t="s">
        <v>31049</v>
      </c>
      <c r="E6745" t="s">
        <v>31050</v>
      </c>
      <c r="G6745" t="s">
        <v>31051</v>
      </c>
      <c r="L6745" t="s">
        <v>74</v>
      </c>
      <c r="M6745" t="s">
        <v>75</v>
      </c>
      <c r="R6745" t="s">
        <v>31052</v>
      </c>
      <c r="W6745" t="s">
        <v>31053</v>
      </c>
      <c r="X6745" t="s">
        <v>31054</v>
      </c>
      <c r="Y6745" t="s">
        <v>97</v>
      </c>
      <c r="Z6745" t="s">
        <v>77</v>
      </c>
      <c r="AA6745" t="str">
        <f>"10029-6501"</f>
        <v>10029-6501</v>
      </c>
      <c r="AB6745" t="s">
        <v>78</v>
      </c>
      <c r="AC6745" t="s">
        <v>79</v>
      </c>
      <c r="AD6745" t="s">
        <v>75</v>
      </c>
      <c r="AE6745" t="s">
        <v>80</v>
      </c>
      <c r="AG6745" t="s">
        <v>81</v>
      </c>
    </row>
    <row r="6746" spans="1:33" x14ac:dyDescent="0.25">
      <c r="A6746" t="str">
        <f>"1679557243"</f>
        <v>1679557243</v>
      </c>
      <c r="B6746" t="str">
        <f>"02439009"</f>
        <v>02439009</v>
      </c>
      <c r="C6746" t="s">
        <v>13436</v>
      </c>
      <c r="D6746" t="s">
        <v>31055</v>
      </c>
      <c r="E6746" t="s">
        <v>31056</v>
      </c>
      <c r="G6746" t="s">
        <v>31057</v>
      </c>
      <c r="L6746" t="s">
        <v>83</v>
      </c>
      <c r="M6746" t="s">
        <v>85</v>
      </c>
      <c r="R6746" t="s">
        <v>31058</v>
      </c>
      <c r="W6746" t="s">
        <v>31059</v>
      </c>
      <c r="X6746" t="s">
        <v>329</v>
      </c>
      <c r="Y6746" t="s">
        <v>97</v>
      </c>
      <c r="Z6746" t="s">
        <v>77</v>
      </c>
      <c r="AA6746" t="str">
        <f>"10029-6500"</f>
        <v>10029-6500</v>
      </c>
      <c r="AB6746" t="s">
        <v>78</v>
      </c>
      <c r="AC6746" t="s">
        <v>79</v>
      </c>
      <c r="AD6746" t="s">
        <v>75</v>
      </c>
      <c r="AE6746" t="s">
        <v>80</v>
      </c>
      <c r="AG6746" t="s">
        <v>81</v>
      </c>
    </row>
    <row r="6747" spans="1:33" x14ac:dyDescent="0.25">
      <c r="A6747" t="str">
        <f>"1073568788"</f>
        <v>1073568788</v>
      </c>
      <c r="B6747" t="str">
        <f>"02703015"</f>
        <v>02703015</v>
      </c>
      <c r="C6747" t="s">
        <v>13436</v>
      </c>
      <c r="D6747" t="s">
        <v>31060</v>
      </c>
      <c r="E6747" t="s">
        <v>31061</v>
      </c>
      <c r="G6747" t="s">
        <v>31062</v>
      </c>
      <c r="L6747" t="s">
        <v>83</v>
      </c>
      <c r="M6747" t="s">
        <v>85</v>
      </c>
      <c r="R6747" t="s">
        <v>31063</v>
      </c>
      <c r="W6747" t="s">
        <v>31061</v>
      </c>
      <c r="X6747" t="s">
        <v>977</v>
      </c>
      <c r="Y6747" t="s">
        <v>97</v>
      </c>
      <c r="Z6747" t="s">
        <v>77</v>
      </c>
      <c r="AA6747" t="str">
        <f>"10003"</f>
        <v>10003</v>
      </c>
      <c r="AB6747" t="s">
        <v>78</v>
      </c>
      <c r="AC6747" t="s">
        <v>79</v>
      </c>
      <c r="AD6747" t="s">
        <v>75</v>
      </c>
      <c r="AE6747" t="s">
        <v>80</v>
      </c>
      <c r="AG6747" t="s">
        <v>81</v>
      </c>
    </row>
    <row r="6748" spans="1:33" x14ac:dyDescent="0.25">
      <c r="A6748" t="str">
        <f>"1073584090"</f>
        <v>1073584090</v>
      </c>
      <c r="B6748" t="str">
        <f>"00345964"</f>
        <v>00345964</v>
      </c>
      <c r="C6748" t="s">
        <v>13436</v>
      </c>
      <c r="D6748" t="s">
        <v>31064</v>
      </c>
      <c r="E6748" t="s">
        <v>31065</v>
      </c>
      <c r="G6748" t="s">
        <v>31066</v>
      </c>
      <c r="L6748" t="s">
        <v>83</v>
      </c>
      <c r="M6748" t="s">
        <v>85</v>
      </c>
      <c r="R6748" t="s">
        <v>31067</v>
      </c>
      <c r="W6748" t="s">
        <v>31065</v>
      </c>
      <c r="AB6748" t="s">
        <v>78</v>
      </c>
      <c r="AC6748" t="s">
        <v>79</v>
      </c>
      <c r="AD6748" t="s">
        <v>75</v>
      </c>
      <c r="AE6748" t="s">
        <v>80</v>
      </c>
      <c r="AG6748" t="s">
        <v>81</v>
      </c>
    </row>
    <row r="6749" spans="1:33" x14ac:dyDescent="0.25">
      <c r="A6749" t="str">
        <f>"1073629069"</f>
        <v>1073629069</v>
      </c>
      <c r="B6749" t="str">
        <f>"02414666"</f>
        <v>02414666</v>
      </c>
      <c r="C6749" t="s">
        <v>13436</v>
      </c>
      <c r="D6749" t="s">
        <v>31068</v>
      </c>
      <c r="E6749" t="s">
        <v>31069</v>
      </c>
      <c r="G6749" t="s">
        <v>31070</v>
      </c>
      <c r="L6749" t="s">
        <v>83</v>
      </c>
      <c r="M6749" t="s">
        <v>85</v>
      </c>
      <c r="R6749" t="s">
        <v>31071</v>
      </c>
      <c r="W6749" t="s">
        <v>31069</v>
      </c>
      <c r="X6749" t="s">
        <v>31069</v>
      </c>
      <c r="Y6749" t="s">
        <v>97</v>
      </c>
      <c r="Z6749" t="s">
        <v>77</v>
      </c>
      <c r="AA6749" t="str">
        <f>"10019-3211"</f>
        <v>10019-3211</v>
      </c>
      <c r="AB6749" t="s">
        <v>78</v>
      </c>
      <c r="AC6749" t="s">
        <v>79</v>
      </c>
      <c r="AD6749" t="s">
        <v>75</v>
      </c>
      <c r="AE6749" t="s">
        <v>80</v>
      </c>
      <c r="AG6749" t="s">
        <v>81</v>
      </c>
    </row>
    <row r="6750" spans="1:33" x14ac:dyDescent="0.25">
      <c r="A6750" t="str">
        <f>"1073667093"</f>
        <v>1073667093</v>
      </c>
      <c r="B6750" t="str">
        <f>"00781695"</f>
        <v>00781695</v>
      </c>
      <c r="C6750" t="s">
        <v>13436</v>
      </c>
      <c r="D6750" t="s">
        <v>31072</v>
      </c>
      <c r="E6750" t="s">
        <v>31073</v>
      </c>
      <c r="G6750" t="s">
        <v>31074</v>
      </c>
      <c r="L6750" t="s">
        <v>83</v>
      </c>
      <c r="M6750" t="s">
        <v>85</v>
      </c>
      <c r="R6750" t="s">
        <v>31075</v>
      </c>
      <c r="W6750" t="s">
        <v>31073</v>
      </c>
      <c r="X6750" t="s">
        <v>31076</v>
      </c>
      <c r="Y6750" t="s">
        <v>97</v>
      </c>
      <c r="Z6750" t="s">
        <v>77</v>
      </c>
      <c r="AA6750" t="str">
        <f>"10003"</f>
        <v>10003</v>
      </c>
      <c r="AB6750" t="s">
        <v>78</v>
      </c>
      <c r="AC6750" t="s">
        <v>79</v>
      </c>
      <c r="AD6750" t="s">
        <v>75</v>
      </c>
      <c r="AE6750" t="s">
        <v>80</v>
      </c>
      <c r="AG6750" t="s">
        <v>81</v>
      </c>
    </row>
    <row r="6751" spans="1:33" x14ac:dyDescent="0.25">
      <c r="A6751" t="str">
        <f>"1073681912"</f>
        <v>1073681912</v>
      </c>
      <c r="B6751" t="str">
        <f>"02010557"</f>
        <v>02010557</v>
      </c>
      <c r="C6751" t="s">
        <v>13436</v>
      </c>
      <c r="D6751" t="s">
        <v>1332</v>
      </c>
      <c r="E6751" t="s">
        <v>1331</v>
      </c>
      <c r="G6751" t="s">
        <v>31077</v>
      </c>
      <c r="L6751" t="s">
        <v>84</v>
      </c>
      <c r="M6751" t="s">
        <v>85</v>
      </c>
      <c r="W6751" t="s">
        <v>1331</v>
      </c>
      <c r="X6751" t="s">
        <v>984</v>
      </c>
      <c r="Y6751" t="s">
        <v>97</v>
      </c>
      <c r="Z6751" t="s">
        <v>77</v>
      </c>
      <c r="AA6751" t="str">
        <f>"10029-7491"</f>
        <v>10029-7491</v>
      </c>
      <c r="AB6751" t="s">
        <v>78</v>
      </c>
      <c r="AC6751" t="s">
        <v>79</v>
      </c>
      <c r="AD6751" t="s">
        <v>75</v>
      </c>
      <c r="AE6751" t="s">
        <v>80</v>
      </c>
      <c r="AG6751" t="s">
        <v>81</v>
      </c>
    </row>
    <row r="6752" spans="1:33" x14ac:dyDescent="0.25">
      <c r="A6752" t="str">
        <f>"1275976946"</f>
        <v>1275976946</v>
      </c>
      <c r="C6752" t="s">
        <v>13436</v>
      </c>
      <c r="K6752" t="s">
        <v>99</v>
      </c>
      <c r="L6752" t="s">
        <v>102</v>
      </c>
      <c r="M6752" t="s">
        <v>75</v>
      </c>
      <c r="R6752" t="s">
        <v>31078</v>
      </c>
      <c r="S6752" t="s">
        <v>31079</v>
      </c>
      <c r="T6752" t="s">
        <v>97</v>
      </c>
      <c r="U6752" t="s">
        <v>77</v>
      </c>
      <c r="V6752" t="str">
        <f>"100296501"</f>
        <v>100296501</v>
      </c>
      <c r="AC6752" t="s">
        <v>79</v>
      </c>
      <c r="AD6752" t="s">
        <v>75</v>
      </c>
      <c r="AE6752" t="s">
        <v>103</v>
      </c>
      <c r="AG6752" t="s">
        <v>81</v>
      </c>
    </row>
    <row r="6753" spans="1:33" x14ac:dyDescent="0.25">
      <c r="A6753" t="str">
        <f>"1275978355"</f>
        <v>1275978355</v>
      </c>
      <c r="C6753" t="s">
        <v>13436</v>
      </c>
      <c r="K6753" t="s">
        <v>99</v>
      </c>
      <c r="L6753" t="s">
        <v>102</v>
      </c>
      <c r="M6753" t="s">
        <v>75</v>
      </c>
      <c r="R6753" t="s">
        <v>31080</v>
      </c>
      <c r="S6753" t="s">
        <v>31081</v>
      </c>
      <c r="T6753" t="s">
        <v>97</v>
      </c>
      <c r="U6753" t="s">
        <v>77</v>
      </c>
      <c r="V6753" t="str">
        <f>"100296500"</f>
        <v>100296500</v>
      </c>
      <c r="AC6753" t="s">
        <v>79</v>
      </c>
      <c r="AD6753" t="s">
        <v>75</v>
      </c>
      <c r="AE6753" t="s">
        <v>103</v>
      </c>
      <c r="AG6753" t="s">
        <v>81</v>
      </c>
    </row>
    <row r="6754" spans="1:33" x14ac:dyDescent="0.25">
      <c r="A6754" t="str">
        <f>"1285051185"</f>
        <v>1285051185</v>
      </c>
      <c r="C6754" t="s">
        <v>13436</v>
      </c>
      <c r="K6754" t="s">
        <v>99</v>
      </c>
      <c r="L6754" t="s">
        <v>102</v>
      </c>
      <c r="M6754" t="s">
        <v>75</v>
      </c>
      <c r="R6754" t="s">
        <v>31082</v>
      </c>
      <c r="S6754" t="s">
        <v>11850</v>
      </c>
      <c r="T6754" t="s">
        <v>97</v>
      </c>
      <c r="U6754" t="s">
        <v>77</v>
      </c>
      <c r="V6754" t="str">
        <f>"100296504"</f>
        <v>100296504</v>
      </c>
      <c r="AC6754" t="s">
        <v>79</v>
      </c>
      <c r="AD6754" t="s">
        <v>75</v>
      </c>
      <c r="AE6754" t="s">
        <v>103</v>
      </c>
      <c r="AG6754" t="s">
        <v>81</v>
      </c>
    </row>
    <row r="6755" spans="1:33" x14ac:dyDescent="0.25">
      <c r="A6755" t="str">
        <f>"1285054098"</f>
        <v>1285054098</v>
      </c>
      <c r="B6755" t="str">
        <f>"02028908"</f>
        <v>02028908</v>
      </c>
      <c r="C6755" t="s">
        <v>13436</v>
      </c>
      <c r="D6755" t="s">
        <v>31083</v>
      </c>
      <c r="E6755" t="s">
        <v>31084</v>
      </c>
      <c r="G6755" t="s">
        <v>31085</v>
      </c>
      <c r="L6755" t="s">
        <v>102</v>
      </c>
      <c r="M6755" t="s">
        <v>75</v>
      </c>
      <c r="R6755" t="s">
        <v>31086</v>
      </c>
      <c r="W6755" t="s">
        <v>31084</v>
      </c>
      <c r="X6755" t="s">
        <v>31084</v>
      </c>
      <c r="Y6755" t="s">
        <v>213</v>
      </c>
      <c r="Z6755" t="s">
        <v>77</v>
      </c>
      <c r="AA6755" t="str">
        <f>"11758-5031"</f>
        <v>11758-5031</v>
      </c>
      <c r="AB6755" t="s">
        <v>125</v>
      </c>
      <c r="AC6755" t="s">
        <v>79</v>
      </c>
      <c r="AD6755" t="s">
        <v>75</v>
      </c>
      <c r="AE6755" t="s">
        <v>80</v>
      </c>
      <c r="AG6755" t="s">
        <v>81</v>
      </c>
    </row>
    <row r="6756" spans="1:33" x14ac:dyDescent="0.25">
      <c r="A6756" t="str">
        <f>"1285068114"</f>
        <v>1285068114</v>
      </c>
      <c r="C6756" t="s">
        <v>13436</v>
      </c>
      <c r="G6756" t="s">
        <v>31087</v>
      </c>
      <c r="K6756" t="s">
        <v>99</v>
      </c>
      <c r="L6756" t="s">
        <v>102</v>
      </c>
      <c r="M6756" t="s">
        <v>75</v>
      </c>
      <c r="R6756" t="s">
        <v>31088</v>
      </c>
      <c r="S6756" t="s">
        <v>138</v>
      </c>
      <c r="T6756" t="s">
        <v>139</v>
      </c>
      <c r="U6756" t="s">
        <v>77</v>
      </c>
      <c r="V6756" t="str">
        <f>"113555045"</f>
        <v>113555045</v>
      </c>
      <c r="AC6756" t="s">
        <v>79</v>
      </c>
      <c r="AD6756" t="s">
        <v>75</v>
      </c>
      <c r="AE6756" t="s">
        <v>103</v>
      </c>
      <c r="AG6756" t="s">
        <v>81</v>
      </c>
    </row>
    <row r="6757" spans="1:33" x14ac:dyDescent="0.25">
      <c r="A6757" t="str">
        <f>"1285725036"</f>
        <v>1285725036</v>
      </c>
      <c r="B6757" t="str">
        <f>"00336934"</f>
        <v>00336934</v>
      </c>
      <c r="C6757" t="s">
        <v>13436</v>
      </c>
      <c r="D6757" t="s">
        <v>31089</v>
      </c>
      <c r="E6757" t="s">
        <v>31090</v>
      </c>
      <c r="G6757" t="s">
        <v>31091</v>
      </c>
      <c r="L6757" t="s">
        <v>84</v>
      </c>
      <c r="M6757" t="s">
        <v>75</v>
      </c>
      <c r="R6757" t="s">
        <v>31092</v>
      </c>
      <c r="W6757" t="s">
        <v>31090</v>
      </c>
      <c r="X6757" t="s">
        <v>31093</v>
      </c>
      <c r="Y6757" t="s">
        <v>87</v>
      </c>
      <c r="Z6757" t="s">
        <v>77</v>
      </c>
      <c r="AA6757" t="str">
        <f>"11201"</f>
        <v>11201</v>
      </c>
      <c r="AB6757" t="s">
        <v>78</v>
      </c>
      <c r="AC6757" t="s">
        <v>79</v>
      </c>
      <c r="AD6757" t="s">
        <v>75</v>
      </c>
      <c r="AE6757" t="s">
        <v>80</v>
      </c>
      <c r="AG6757" t="s">
        <v>81</v>
      </c>
    </row>
    <row r="6758" spans="1:33" x14ac:dyDescent="0.25">
      <c r="A6758" t="str">
        <f>"1285735910"</f>
        <v>1285735910</v>
      </c>
      <c r="B6758" t="str">
        <f>"01954609"</f>
        <v>01954609</v>
      </c>
      <c r="C6758" t="s">
        <v>13436</v>
      </c>
      <c r="D6758" t="s">
        <v>31094</v>
      </c>
      <c r="E6758" t="s">
        <v>31095</v>
      </c>
      <c r="L6758" t="s">
        <v>74</v>
      </c>
      <c r="M6758" t="s">
        <v>75</v>
      </c>
      <c r="R6758" t="s">
        <v>31096</v>
      </c>
      <c r="W6758" t="s">
        <v>31095</v>
      </c>
      <c r="X6758" t="s">
        <v>2926</v>
      </c>
      <c r="Y6758" t="s">
        <v>97</v>
      </c>
      <c r="Z6758" t="s">
        <v>77</v>
      </c>
      <c r="AA6758" t="str">
        <f>"10029-6503"</f>
        <v>10029-6503</v>
      </c>
      <c r="AB6758" t="s">
        <v>114</v>
      </c>
      <c r="AC6758" t="s">
        <v>79</v>
      </c>
      <c r="AD6758" t="s">
        <v>75</v>
      </c>
      <c r="AE6758" t="s">
        <v>80</v>
      </c>
      <c r="AG6758" t="s">
        <v>81</v>
      </c>
    </row>
    <row r="6759" spans="1:33" x14ac:dyDescent="0.25">
      <c r="A6759" t="str">
        <f>"1285776021"</f>
        <v>1285776021</v>
      </c>
      <c r="B6759" t="str">
        <f>"02234426"</f>
        <v>02234426</v>
      </c>
      <c r="C6759" t="s">
        <v>13436</v>
      </c>
      <c r="D6759" t="s">
        <v>31097</v>
      </c>
      <c r="E6759" t="s">
        <v>31098</v>
      </c>
      <c r="L6759" t="s">
        <v>74</v>
      </c>
      <c r="M6759" t="s">
        <v>75</v>
      </c>
      <c r="R6759" t="s">
        <v>31099</v>
      </c>
      <c r="W6759" t="s">
        <v>31098</v>
      </c>
      <c r="X6759" t="s">
        <v>5615</v>
      </c>
      <c r="Y6759" t="s">
        <v>131</v>
      </c>
      <c r="Z6759" t="s">
        <v>77</v>
      </c>
      <c r="AA6759" t="str">
        <f>"10458-5302"</f>
        <v>10458-5302</v>
      </c>
      <c r="AB6759" t="s">
        <v>82</v>
      </c>
      <c r="AC6759" t="s">
        <v>79</v>
      </c>
      <c r="AD6759" t="s">
        <v>75</v>
      </c>
      <c r="AE6759" t="s">
        <v>80</v>
      </c>
      <c r="AG6759" t="s">
        <v>81</v>
      </c>
    </row>
    <row r="6760" spans="1:33" x14ac:dyDescent="0.25">
      <c r="A6760" t="str">
        <f>"1285830331"</f>
        <v>1285830331</v>
      </c>
      <c r="B6760" t="str">
        <f>"03994438"</f>
        <v>03994438</v>
      </c>
      <c r="C6760" t="s">
        <v>13436</v>
      </c>
      <c r="D6760" t="s">
        <v>31100</v>
      </c>
      <c r="E6760" t="s">
        <v>31101</v>
      </c>
      <c r="G6760" t="s">
        <v>31102</v>
      </c>
      <c r="L6760" t="s">
        <v>102</v>
      </c>
      <c r="M6760" t="s">
        <v>85</v>
      </c>
      <c r="R6760" t="s">
        <v>31103</v>
      </c>
      <c r="W6760" t="s">
        <v>31101</v>
      </c>
      <c r="X6760" t="s">
        <v>31104</v>
      </c>
      <c r="Y6760" t="s">
        <v>97</v>
      </c>
      <c r="Z6760" t="s">
        <v>77</v>
      </c>
      <c r="AA6760" t="str">
        <f>"10029-6508"</f>
        <v>10029-6508</v>
      </c>
      <c r="AB6760" t="s">
        <v>78</v>
      </c>
      <c r="AC6760" t="s">
        <v>79</v>
      </c>
      <c r="AD6760" t="s">
        <v>75</v>
      </c>
      <c r="AE6760" t="s">
        <v>80</v>
      </c>
      <c r="AG6760" t="s">
        <v>81</v>
      </c>
    </row>
    <row r="6761" spans="1:33" x14ac:dyDescent="0.25">
      <c r="A6761" t="str">
        <f>"1881768422"</f>
        <v>1881768422</v>
      </c>
      <c r="B6761" t="str">
        <f>"02424748"</f>
        <v>02424748</v>
      </c>
      <c r="C6761" t="s">
        <v>13436</v>
      </c>
      <c r="D6761" t="s">
        <v>31105</v>
      </c>
      <c r="E6761" t="s">
        <v>31106</v>
      </c>
      <c r="G6761" t="s">
        <v>31107</v>
      </c>
      <c r="L6761" t="s">
        <v>83</v>
      </c>
      <c r="M6761" t="s">
        <v>85</v>
      </c>
      <c r="R6761" t="s">
        <v>31108</v>
      </c>
      <c r="W6761" t="s">
        <v>31106</v>
      </c>
      <c r="X6761" t="s">
        <v>191</v>
      </c>
      <c r="Y6761" t="s">
        <v>97</v>
      </c>
      <c r="Z6761" t="s">
        <v>77</v>
      </c>
      <c r="AA6761" t="str">
        <f>"10019-1147"</f>
        <v>10019-1147</v>
      </c>
      <c r="AB6761" t="s">
        <v>78</v>
      </c>
      <c r="AC6761" t="s">
        <v>79</v>
      </c>
      <c r="AD6761" t="s">
        <v>75</v>
      </c>
      <c r="AE6761" t="s">
        <v>80</v>
      </c>
      <c r="AG6761" t="s">
        <v>81</v>
      </c>
    </row>
    <row r="6762" spans="1:33" x14ac:dyDescent="0.25">
      <c r="A6762" t="str">
        <f>"1881774057"</f>
        <v>1881774057</v>
      </c>
      <c r="B6762" t="str">
        <f>"03381064"</f>
        <v>03381064</v>
      </c>
      <c r="C6762" t="s">
        <v>13436</v>
      </c>
      <c r="D6762" t="s">
        <v>31109</v>
      </c>
      <c r="E6762" t="s">
        <v>31110</v>
      </c>
      <c r="L6762" t="s">
        <v>83</v>
      </c>
      <c r="M6762" t="s">
        <v>85</v>
      </c>
      <c r="R6762" t="s">
        <v>31111</v>
      </c>
      <c r="W6762" t="s">
        <v>31112</v>
      </c>
      <c r="X6762" t="s">
        <v>4029</v>
      </c>
      <c r="Y6762" t="s">
        <v>97</v>
      </c>
      <c r="Z6762" t="s">
        <v>77</v>
      </c>
      <c r="AA6762" t="str">
        <f>"10029-6503"</f>
        <v>10029-6503</v>
      </c>
      <c r="AB6762" t="s">
        <v>78</v>
      </c>
      <c r="AC6762" t="s">
        <v>79</v>
      </c>
      <c r="AD6762" t="s">
        <v>75</v>
      </c>
      <c r="AE6762" t="s">
        <v>80</v>
      </c>
      <c r="AG6762" t="s">
        <v>81</v>
      </c>
    </row>
    <row r="6763" spans="1:33" x14ac:dyDescent="0.25">
      <c r="A6763" t="str">
        <f>"1881775724"</f>
        <v>1881775724</v>
      </c>
      <c r="B6763" t="str">
        <f>"00423932"</f>
        <v>00423932</v>
      </c>
      <c r="C6763" t="s">
        <v>13436</v>
      </c>
      <c r="D6763" t="s">
        <v>31113</v>
      </c>
      <c r="E6763" t="s">
        <v>31114</v>
      </c>
      <c r="G6763" t="s">
        <v>31115</v>
      </c>
      <c r="L6763" t="s">
        <v>83</v>
      </c>
      <c r="M6763" t="s">
        <v>75</v>
      </c>
      <c r="R6763" t="s">
        <v>31116</v>
      </c>
      <c r="W6763" t="s">
        <v>31114</v>
      </c>
      <c r="X6763" t="s">
        <v>9103</v>
      </c>
      <c r="Y6763" t="s">
        <v>97</v>
      </c>
      <c r="Z6763" t="s">
        <v>77</v>
      </c>
      <c r="AA6763" t="str">
        <f>"10019"</f>
        <v>10019</v>
      </c>
      <c r="AB6763" t="s">
        <v>78</v>
      </c>
      <c r="AC6763" t="s">
        <v>79</v>
      </c>
      <c r="AD6763" t="s">
        <v>75</v>
      </c>
      <c r="AE6763" t="s">
        <v>80</v>
      </c>
      <c r="AG6763" t="s">
        <v>81</v>
      </c>
    </row>
    <row r="6764" spans="1:33" x14ac:dyDescent="0.25">
      <c r="A6764" t="str">
        <f>"1881811198"</f>
        <v>1881811198</v>
      </c>
      <c r="B6764" t="str">
        <f>"03510776"</f>
        <v>03510776</v>
      </c>
      <c r="C6764" t="s">
        <v>13436</v>
      </c>
      <c r="D6764" t="s">
        <v>31117</v>
      </c>
      <c r="E6764" t="s">
        <v>31118</v>
      </c>
      <c r="L6764" t="s">
        <v>83</v>
      </c>
      <c r="M6764" t="s">
        <v>85</v>
      </c>
      <c r="R6764" t="s">
        <v>31119</v>
      </c>
      <c r="W6764" t="s">
        <v>31118</v>
      </c>
      <c r="X6764" t="s">
        <v>4029</v>
      </c>
      <c r="Y6764" t="s">
        <v>97</v>
      </c>
      <c r="Z6764" t="s">
        <v>77</v>
      </c>
      <c r="AA6764" t="str">
        <f>"10029-6503"</f>
        <v>10029-6503</v>
      </c>
      <c r="AB6764" t="s">
        <v>78</v>
      </c>
      <c r="AC6764" t="s">
        <v>79</v>
      </c>
      <c r="AD6764" t="s">
        <v>75</v>
      </c>
      <c r="AE6764" t="s">
        <v>80</v>
      </c>
      <c r="AG6764" t="s">
        <v>81</v>
      </c>
    </row>
    <row r="6765" spans="1:33" x14ac:dyDescent="0.25">
      <c r="A6765" t="str">
        <f>"1447200548"</f>
        <v>1447200548</v>
      </c>
      <c r="B6765" t="str">
        <f>"02652688"</f>
        <v>02652688</v>
      </c>
      <c r="C6765" t="s">
        <v>13436</v>
      </c>
      <c r="D6765" t="s">
        <v>31120</v>
      </c>
      <c r="E6765" t="s">
        <v>31121</v>
      </c>
      <c r="G6765" t="s">
        <v>31122</v>
      </c>
      <c r="L6765" t="s">
        <v>84</v>
      </c>
      <c r="M6765" t="s">
        <v>85</v>
      </c>
      <c r="R6765" t="s">
        <v>31121</v>
      </c>
      <c r="W6765" t="s">
        <v>31121</v>
      </c>
      <c r="X6765" t="s">
        <v>259</v>
      </c>
      <c r="Y6765" t="s">
        <v>139</v>
      </c>
      <c r="Z6765" t="s">
        <v>77</v>
      </c>
      <c r="AA6765" t="str">
        <f>"11355-2205"</f>
        <v>11355-2205</v>
      </c>
      <c r="AB6765" t="s">
        <v>78</v>
      </c>
      <c r="AC6765" t="s">
        <v>79</v>
      </c>
      <c r="AD6765" t="s">
        <v>75</v>
      </c>
      <c r="AE6765" t="s">
        <v>80</v>
      </c>
      <c r="AG6765" t="s">
        <v>81</v>
      </c>
    </row>
    <row r="6766" spans="1:33" x14ac:dyDescent="0.25">
      <c r="A6766" t="str">
        <f>"1447268636"</f>
        <v>1447268636</v>
      </c>
      <c r="B6766" t="str">
        <f>"01760663"</f>
        <v>01760663</v>
      </c>
      <c r="C6766" t="s">
        <v>13436</v>
      </c>
      <c r="D6766" t="s">
        <v>31123</v>
      </c>
      <c r="E6766" t="s">
        <v>31124</v>
      </c>
      <c r="G6766" t="s">
        <v>31125</v>
      </c>
      <c r="L6766" t="s">
        <v>83</v>
      </c>
      <c r="M6766" t="s">
        <v>85</v>
      </c>
      <c r="R6766" t="s">
        <v>31126</v>
      </c>
      <c r="W6766" t="s">
        <v>31124</v>
      </c>
      <c r="X6766" t="s">
        <v>5688</v>
      </c>
      <c r="Y6766" t="s">
        <v>97</v>
      </c>
      <c r="Z6766" t="s">
        <v>77</v>
      </c>
      <c r="AA6766" t="str">
        <f>"10003"</f>
        <v>10003</v>
      </c>
      <c r="AB6766" t="s">
        <v>78</v>
      </c>
      <c r="AC6766" t="s">
        <v>79</v>
      </c>
      <c r="AD6766" t="s">
        <v>75</v>
      </c>
      <c r="AE6766" t="s">
        <v>80</v>
      </c>
      <c r="AG6766" t="s">
        <v>81</v>
      </c>
    </row>
    <row r="6767" spans="1:33" x14ac:dyDescent="0.25">
      <c r="A6767" t="str">
        <f>"1447280367"</f>
        <v>1447280367</v>
      </c>
      <c r="C6767" t="s">
        <v>13436</v>
      </c>
      <c r="G6767" t="s">
        <v>31127</v>
      </c>
      <c r="K6767" t="s">
        <v>99</v>
      </c>
      <c r="L6767" t="s">
        <v>102</v>
      </c>
      <c r="M6767" t="s">
        <v>85</v>
      </c>
      <c r="R6767" t="s">
        <v>31128</v>
      </c>
      <c r="S6767" t="s">
        <v>31129</v>
      </c>
      <c r="T6767" t="s">
        <v>2262</v>
      </c>
      <c r="U6767" t="s">
        <v>123</v>
      </c>
      <c r="V6767" t="str">
        <f>"02114"</f>
        <v>02114</v>
      </c>
      <c r="AC6767" t="s">
        <v>79</v>
      </c>
      <c r="AD6767" t="s">
        <v>75</v>
      </c>
      <c r="AE6767" t="s">
        <v>103</v>
      </c>
      <c r="AG6767" t="s">
        <v>81</v>
      </c>
    </row>
    <row r="6768" spans="1:33" x14ac:dyDescent="0.25">
      <c r="A6768" t="str">
        <f>"1447297858"</f>
        <v>1447297858</v>
      </c>
      <c r="B6768" t="str">
        <f>"02681749"</f>
        <v>02681749</v>
      </c>
      <c r="C6768" t="s">
        <v>13436</v>
      </c>
      <c r="D6768" t="s">
        <v>31130</v>
      </c>
      <c r="E6768" t="s">
        <v>31131</v>
      </c>
      <c r="G6768" t="s">
        <v>31132</v>
      </c>
      <c r="L6768" t="s">
        <v>84</v>
      </c>
      <c r="M6768" t="s">
        <v>85</v>
      </c>
      <c r="R6768" t="s">
        <v>31133</v>
      </c>
      <c r="W6768" t="s">
        <v>31131</v>
      </c>
      <c r="X6768" t="s">
        <v>31134</v>
      </c>
      <c r="Y6768" t="s">
        <v>87</v>
      </c>
      <c r="Z6768" t="s">
        <v>77</v>
      </c>
      <c r="AA6768" t="str">
        <f>"11235-6683"</f>
        <v>11235-6683</v>
      </c>
      <c r="AB6768" t="s">
        <v>78</v>
      </c>
      <c r="AC6768" t="s">
        <v>79</v>
      </c>
      <c r="AD6768" t="s">
        <v>75</v>
      </c>
      <c r="AE6768" t="s">
        <v>80</v>
      </c>
      <c r="AG6768" t="s">
        <v>81</v>
      </c>
    </row>
    <row r="6769" spans="1:33" x14ac:dyDescent="0.25">
      <c r="A6769" t="str">
        <f>"1053420299"</f>
        <v>1053420299</v>
      </c>
      <c r="B6769" t="str">
        <f>"01256904"</f>
        <v>01256904</v>
      </c>
      <c r="C6769" t="s">
        <v>13436</v>
      </c>
      <c r="D6769" t="s">
        <v>31135</v>
      </c>
      <c r="E6769" t="s">
        <v>31136</v>
      </c>
      <c r="G6769" t="s">
        <v>31137</v>
      </c>
      <c r="L6769" t="s">
        <v>83</v>
      </c>
      <c r="M6769" t="s">
        <v>85</v>
      </c>
      <c r="R6769" t="s">
        <v>31138</v>
      </c>
      <c r="W6769" t="s">
        <v>31136</v>
      </c>
      <c r="X6769" t="s">
        <v>1816</v>
      </c>
      <c r="Y6769" t="s">
        <v>97</v>
      </c>
      <c r="Z6769" t="s">
        <v>77</v>
      </c>
      <c r="AA6769" t="str">
        <f>"10038-4381"</f>
        <v>10038-4381</v>
      </c>
      <c r="AB6769" t="s">
        <v>78</v>
      </c>
      <c r="AC6769" t="s">
        <v>79</v>
      </c>
      <c r="AD6769" t="s">
        <v>75</v>
      </c>
      <c r="AE6769" t="s">
        <v>80</v>
      </c>
      <c r="AG6769" t="s">
        <v>81</v>
      </c>
    </row>
    <row r="6770" spans="1:33" x14ac:dyDescent="0.25">
      <c r="A6770" t="str">
        <f>"1053450403"</f>
        <v>1053450403</v>
      </c>
      <c r="B6770" t="str">
        <f>"00592498"</f>
        <v>00592498</v>
      </c>
      <c r="C6770" t="s">
        <v>13436</v>
      </c>
      <c r="D6770" t="s">
        <v>31139</v>
      </c>
      <c r="E6770" t="s">
        <v>31140</v>
      </c>
      <c r="G6770" t="s">
        <v>31141</v>
      </c>
      <c r="L6770" t="s">
        <v>83</v>
      </c>
      <c r="M6770" t="s">
        <v>85</v>
      </c>
      <c r="R6770" t="s">
        <v>31142</v>
      </c>
      <c r="W6770" t="s">
        <v>31143</v>
      </c>
      <c r="X6770" t="s">
        <v>24058</v>
      </c>
      <c r="Y6770" t="s">
        <v>97</v>
      </c>
      <c r="Z6770" t="s">
        <v>77</v>
      </c>
      <c r="AA6770" t="str">
        <f>"10016-5507"</f>
        <v>10016-5507</v>
      </c>
      <c r="AB6770" t="s">
        <v>78</v>
      </c>
      <c r="AC6770" t="s">
        <v>79</v>
      </c>
      <c r="AD6770" t="s">
        <v>75</v>
      </c>
      <c r="AE6770" t="s">
        <v>80</v>
      </c>
      <c r="AG6770" t="s">
        <v>81</v>
      </c>
    </row>
    <row r="6771" spans="1:33" x14ac:dyDescent="0.25">
      <c r="A6771" t="str">
        <f>"1205803459"</f>
        <v>1205803459</v>
      </c>
      <c r="B6771" t="str">
        <f>"02100970"</f>
        <v>02100970</v>
      </c>
      <c r="C6771" t="s">
        <v>13436</v>
      </c>
      <c r="D6771" t="s">
        <v>31144</v>
      </c>
      <c r="E6771" t="s">
        <v>31145</v>
      </c>
      <c r="G6771" t="s">
        <v>31146</v>
      </c>
      <c r="L6771" t="s">
        <v>74</v>
      </c>
      <c r="M6771" t="s">
        <v>85</v>
      </c>
      <c r="R6771" t="s">
        <v>31147</v>
      </c>
      <c r="W6771" t="s">
        <v>31148</v>
      </c>
      <c r="X6771" t="s">
        <v>11176</v>
      </c>
      <c r="Y6771" t="s">
        <v>97</v>
      </c>
      <c r="Z6771" t="s">
        <v>77</v>
      </c>
      <c r="AA6771" t="str">
        <f>"10029-6542"</f>
        <v>10029-6542</v>
      </c>
      <c r="AB6771" t="s">
        <v>78</v>
      </c>
      <c r="AC6771" t="s">
        <v>79</v>
      </c>
      <c r="AD6771" t="s">
        <v>75</v>
      </c>
      <c r="AE6771" t="s">
        <v>80</v>
      </c>
      <c r="AG6771" t="s">
        <v>81</v>
      </c>
    </row>
    <row r="6772" spans="1:33" x14ac:dyDescent="0.25">
      <c r="A6772" t="str">
        <f>"1548689540"</f>
        <v>1548689540</v>
      </c>
      <c r="C6772" t="s">
        <v>13436</v>
      </c>
      <c r="K6772" t="s">
        <v>99</v>
      </c>
      <c r="L6772" t="s">
        <v>102</v>
      </c>
      <c r="M6772" t="s">
        <v>75</v>
      </c>
      <c r="R6772" t="s">
        <v>31149</v>
      </c>
      <c r="S6772" t="s">
        <v>31150</v>
      </c>
      <c r="T6772" t="s">
        <v>97</v>
      </c>
      <c r="U6772" t="s">
        <v>77</v>
      </c>
      <c r="V6772" t="str">
        <f>"101284018"</f>
        <v>101284018</v>
      </c>
      <c r="AC6772" t="s">
        <v>79</v>
      </c>
      <c r="AD6772" t="s">
        <v>75</v>
      </c>
      <c r="AE6772" t="s">
        <v>103</v>
      </c>
      <c r="AG6772" t="s">
        <v>81</v>
      </c>
    </row>
    <row r="6773" spans="1:33" x14ac:dyDescent="0.25">
      <c r="A6773" t="str">
        <f>"1558337345"</f>
        <v>1558337345</v>
      </c>
      <c r="B6773" t="str">
        <f>"01863872"</f>
        <v>01863872</v>
      </c>
      <c r="C6773" t="s">
        <v>13436</v>
      </c>
      <c r="D6773" t="s">
        <v>31151</v>
      </c>
      <c r="E6773" t="s">
        <v>31152</v>
      </c>
      <c r="G6773" t="s">
        <v>31153</v>
      </c>
      <c r="L6773" t="s">
        <v>83</v>
      </c>
      <c r="M6773" t="s">
        <v>85</v>
      </c>
      <c r="R6773" t="s">
        <v>31154</v>
      </c>
      <c r="W6773" t="s">
        <v>31152</v>
      </c>
      <c r="Y6773" t="s">
        <v>97</v>
      </c>
      <c r="Z6773" t="s">
        <v>77</v>
      </c>
      <c r="AA6773" t="str">
        <f>"10029-6501"</f>
        <v>10029-6501</v>
      </c>
      <c r="AB6773" t="s">
        <v>78</v>
      </c>
      <c r="AC6773" t="s">
        <v>79</v>
      </c>
      <c r="AD6773" t="s">
        <v>75</v>
      </c>
      <c r="AE6773" t="s">
        <v>80</v>
      </c>
      <c r="AG6773" t="s">
        <v>81</v>
      </c>
    </row>
    <row r="6774" spans="1:33" x14ac:dyDescent="0.25">
      <c r="A6774" t="str">
        <f>"1558356246"</f>
        <v>1558356246</v>
      </c>
      <c r="B6774" t="str">
        <f>"01550238"</f>
        <v>01550238</v>
      </c>
      <c r="C6774" t="s">
        <v>13436</v>
      </c>
      <c r="D6774" t="s">
        <v>31155</v>
      </c>
      <c r="E6774" t="s">
        <v>31156</v>
      </c>
      <c r="G6774" t="s">
        <v>31157</v>
      </c>
      <c r="L6774" t="s">
        <v>74</v>
      </c>
      <c r="M6774" t="s">
        <v>85</v>
      </c>
      <c r="R6774" t="s">
        <v>31158</v>
      </c>
      <c r="W6774" t="s">
        <v>31156</v>
      </c>
      <c r="X6774" t="s">
        <v>169</v>
      </c>
      <c r="Y6774" t="s">
        <v>155</v>
      </c>
      <c r="Z6774" t="s">
        <v>77</v>
      </c>
      <c r="AA6774" t="str">
        <f>"10305-3436"</f>
        <v>10305-3436</v>
      </c>
      <c r="AB6774" t="s">
        <v>78</v>
      </c>
      <c r="AC6774" t="s">
        <v>79</v>
      </c>
      <c r="AD6774" t="s">
        <v>75</v>
      </c>
      <c r="AE6774" t="s">
        <v>80</v>
      </c>
      <c r="AG6774" t="s">
        <v>81</v>
      </c>
    </row>
    <row r="6775" spans="1:33" x14ac:dyDescent="0.25">
      <c r="A6775" t="str">
        <f>"1326337387"</f>
        <v>1326337387</v>
      </c>
      <c r="B6775" t="str">
        <f>"03795080"</f>
        <v>03795080</v>
      </c>
      <c r="C6775" t="s">
        <v>13436</v>
      </c>
      <c r="D6775" t="s">
        <v>31159</v>
      </c>
      <c r="E6775" t="s">
        <v>31160</v>
      </c>
      <c r="L6775" t="s">
        <v>102</v>
      </c>
      <c r="M6775" t="s">
        <v>75</v>
      </c>
      <c r="R6775" t="s">
        <v>31161</v>
      </c>
      <c r="W6775" t="s">
        <v>31160</v>
      </c>
      <c r="X6775" t="s">
        <v>12304</v>
      </c>
      <c r="Y6775" t="s">
        <v>97</v>
      </c>
      <c r="Z6775" t="s">
        <v>77</v>
      </c>
      <c r="AA6775" t="str">
        <f>"10003-4201"</f>
        <v>10003-4201</v>
      </c>
      <c r="AB6775" t="s">
        <v>78</v>
      </c>
      <c r="AC6775" t="s">
        <v>79</v>
      </c>
      <c r="AD6775" t="s">
        <v>75</v>
      </c>
      <c r="AE6775" t="s">
        <v>80</v>
      </c>
      <c r="AG6775" t="s">
        <v>81</v>
      </c>
    </row>
    <row r="6776" spans="1:33" x14ac:dyDescent="0.25">
      <c r="A6776" t="str">
        <f>"1326345323"</f>
        <v>1326345323</v>
      </c>
      <c r="C6776" t="s">
        <v>13436</v>
      </c>
      <c r="K6776" t="s">
        <v>99</v>
      </c>
      <c r="L6776" t="s">
        <v>102</v>
      </c>
      <c r="M6776" t="s">
        <v>75</v>
      </c>
      <c r="R6776" t="s">
        <v>31162</v>
      </c>
      <c r="S6776" t="s">
        <v>31163</v>
      </c>
      <c r="T6776" t="s">
        <v>31164</v>
      </c>
      <c r="U6776" t="s">
        <v>936</v>
      </c>
      <c r="V6776" t="str">
        <f>"380187246"</f>
        <v>380187246</v>
      </c>
      <c r="AC6776" t="s">
        <v>79</v>
      </c>
      <c r="AD6776" t="s">
        <v>75</v>
      </c>
      <c r="AE6776" t="s">
        <v>103</v>
      </c>
      <c r="AG6776" t="s">
        <v>81</v>
      </c>
    </row>
    <row r="6777" spans="1:33" x14ac:dyDescent="0.25">
      <c r="A6777" t="str">
        <f>"1326347766"</f>
        <v>1326347766</v>
      </c>
      <c r="B6777" t="str">
        <f>"04501319"</f>
        <v>04501319</v>
      </c>
      <c r="C6777" t="s">
        <v>13436</v>
      </c>
      <c r="D6777" t="s">
        <v>31165</v>
      </c>
      <c r="E6777" t="s">
        <v>31166</v>
      </c>
      <c r="L6777" t="s">
        <v>102</v>
      </c>
      <c r="M6777" t="s">
        <v>75</v>
      </c>
      <c r="R6777" t="s">
        <v>31167</v>
      </c>
      <c r="W6777" t="s">
        <v>31166</v>
      </c>
      <c r="AB6777" t="s">
        <v>78</v>
      </c>
      <c r="AC6777" t="s">
        <v>79</v>
      </c>
      <c r="AD6777" t="s">
        <v>75</v>
      </c>
      <c r="AE6777" t="s">
        <v>80</v>
      </c>
      <c r="AG6777" t="s">
        <v>81</v>
      </c>
    </row>
    <row r="6778" spans="1:33" x14ac:dyDescent="0.25">
      <c r="A6778" t="str">
        <f>"1326366378"</f>
        <v>1326366378</v>
      </c>
      <c r="C6778" t="s">
        <v>13436</v>
      </c>
      <c r="K6778" t="s">
        <v>99</v>
      </c>
      <c r="L6778" t="s">
        <v>74</v>
      </c>
      <c r="M6778" t="s">
        <v>75</v>
      </c>
      <c r="R6778" t="s">
        <v>31168</v>
      </c>
      <c r="S6778" t="s">
        <v>14023</v>
      </c>
      <c r="T6778" t="s">
        <v>97</v>
      </c>
      <c r="U6778" t="s">
        <v>77</v>
      </c>
      <c r="V6778" t="str">
        <f>"100166402"</f>
        <v>100166402</v>
      </c>
      <c r="AC6778" t="s">
        <v>79</v>
      </c>
      <c r="AD6778" t="s">
        <v>75</v>
      </c>
      <c r="AE6778" t="s">
        <v>103</v>
      </c>
      <c r="AG6778" t="s">
        <v>81</v>
      </c>
    </row>
    <row r="6779" spans="1:33" x14ac:dyDescent="0.25">
      <c r="A6779" t="str">
        <f>"1548231277"</f>
        <v>1548231277</v>
      </c>
      <c r="B6779" t="str">
        <f>"02278435"</f>
        <v>02278435</v>
      </c>
      <c r="C6779" t="s">
        <v>13436</v>
      </c>
      <c r="D6779" t="s">
        <v>31169</v>
      </c>
      <c r="E6779" t="s">
        <v>31170</v>
      </c>
      <c r="G6779" t="s">
        <v>31171</v>
      </c>
      <c r="L6779" t="s">
        <v>83</v>
      </c>
      <c r="M6779" t="s">
        <v>85</v>
      </c>
      <c r="R6779" t="s">
        <v>31172</v>
      </c>
      <c r="W6779" t="s">
        <v>31170</v>
      </c>
      <c r="X6779" t="s">
        <v>31173</v>
      </c>
      <c r="Y6779" t="s">
        <v>97</v>
      </c>
      <c r="Z6779" t="s">
        <v>77</v>
      </c>
      <c r="AA6779" t="str">
        <f>"10029-6500"</f>
        <v>10029-6500</v>
      </c>
      <c r="AB6779" t="s">
        <v>78</v>
      </c>
      <c r="AC6779" t="s">
        <v>79</v>
      </c>
      <c r="AD6779" t="s">
        <v>75</v>
      </c>
      <c r="AE6779" t="s">
        <v>80</v>
      </c>
      <c r="AG6779" t="s">
        <v>81</v>
      </c>
    </row>
    <row r="6780" spans="1:33" x14ac:dyDescent="0.25">
      <c r="A6780" t="str">
        <f>"1548243777"</f>
        <v>1548243777</v>
      </c>
      <c r="B6780" t="str">
        <f>"02685303"</f>
        <v>02685303</v>
      </c>
      <c r="C6780" t="s">
        <v>13436</v>
      </c>
      <c r="D6780" t="s">
        <v>31174</v>
      </c>
      <c r="E6780" t="s">
        <v>31175</v>
      </c>
      <c r="G6780" t="s">
        <v>31176</v>
      </c>
      <c r="L6780" t="s">
        <v>83</v>
      </c>
      <c r="M6780" t="s">
        <v>85</v>
      </c>
      <c r="R6780" t="s">
        <v>31177</v>
      </c>
      <c r="W6780" t="s">
        <v>31178</v>
      </c>
      <c r="X6780" t="s">
        <v>329</v>
      </c>
      <c r="Y6780" t="s">
        <v>97</v>
      </c>
      <c r="Z6780" t="s">
        <v>77</v>
      </c>
      <c r="AA6780" t="str">
        <f>"10029-6500"</f>
        <v>10029-6500</v>
      </c>
      <c r="AB6780" t="s">
        <v>78</v>
      </c>
      <c r="AC6780" t="s">
        <v>79</v>
      </c>
      <c r="AD6780" t="s">
        <v>75</v>
      </c>
      <c r="AE6780" t="s">
        <v>80</v>
      </c>
      <c r="AG6780" t="s">
        <v>81</v>
      </c>
    </row>
    <row r="6781" spans="1:33" x14ac:dyDescent="0.25">
      <c r="A6781" t="str">
        <f>"1174670996"</f>
        <v>1174670996</v>
      </c>
      <c r="C6781" t="s">
        <v>13436</v>
      </c>
      <c r="G6781" t="s">
        <v>31179</v>
      </c>
      <c r="K6781" t="s">
        <v>99</v>
      </c>
      <c r="L6781" t="s">
        <v>74</v>
      </c>
      <c r="M6781" t="s">
        <v>75</v>
      </c>
      <c r="R6781" t="s">
        <v>31180</v>
      </c>
      <c r="S6781" t="s">
        <v>31181</v>
      </c>
      <c r="T6781" t="s">
        <v>131</v>
      </c>
      <c r="U6781" t="s">
        <v>77</v>
      </c>
      <c r="V6781" t="str">
        <f>"10467"</f>
        <v>10467</v>
      </c>
      <c r="AC6781" t="s">
        <v>79</v>
      </c>
      <c r="AD6781" t="s">
        <v>75</v>
      </c>
      <c r="AE6781" t="s">
        <v>103</v>
      </c>
      <c r="AG6781" t="s">
        <v>81</v>
      </c>
    </row>
    <row r="6782" spans="1:33" x14ac:dyDescent="0.25">
      <c r="A6782" t="str">
        <f>"1174729172"</f>
        <v>1174729172</v>
      </c>
      <c r="B6782" t="str">
        <f>"03461983"</f>
        <v>03461983</v>
      </c>
      <c r="C6782" t="s">
        <v>13436</v>
      </c>
      <c r="D6782" t="s">
        <v>31182</v>
      </c>
      <c r="E6782" t="s">
        <v>31183</v>
      </c>
      <c r="G6782" t="s">
        <v>31184</v>
      </c>
      <c r="L6782" t="s">
        <v>83</v>
      </c>
      <c r="M6782" t="s">
        <v>85</v>
      </c>
      <c r="R6782" t="s">
        <v>31185</v>
      </c>
      <c r="W6782" t="s">
        <v>31186</v>
      </c>
      <c r="X6782" t="s">
        <v>329</v>
      </c>
      <c r="Y6782" t="s">
        <v>97</v>
      </c>
      <c r="Z6782" t="s">
        <v>77</v>
      </c>
      <c r="AA6782" t="str">
        <f>"10029-6500"</f>
        <v>10029-6500</v>
      </c>
      <c r="AB6782" t="s">
        <v>78</v>
      </c>
      <c r="AC6782" t="s">
        <v>79</v>
      </c>
      <c r="AD6782" t="s">
        <v>75</v>
      </c>
      <c r="AE6782" t="s">
        <v>80</v>
      </c>
      <c r="AG6782" t="s">
        <v>81</v>
      </c>
    </row>
    <row r="6783" spans="1:33" x14ac:dyDescent="0.25">
      <c r="A6783" t="str">
        <f>"1174754311"</f>
        <v>1174754311</v>
      </c>
      <c r="B6783" t="str">
        <f>"03869005"</f>
        <v>03869005</v>
      </c>
      <c r="C6783" t="s">
        <v>13436</v>
      </c>
      <c r="D6783" t="s">
        <v>31187</v>
      </c>
      <c r="E6783" t="s">
        <v>31188</v>
      </c>
      <c r="G6783" t="s">
        <v>31189</v>
      </c>
      <c r="L6783" t="s">
        <v>105</v>
      </c>
      <c r="M6783" t="s">
        <v>75</v>
      </c>
      <c r="R6783" t="s">
        <v>31190</v>
      </c>
      <c r="W6783" t="s">
        <v>31188</v>
      </c>
      <c r="X6783" t="s">
        <v>31191</v>
      </c>
      <c r="Y6783" t="s">
        <v>97</v>
      </c>
      <c r="Z6783" t="s">
        <v>77</v>
      </c>
      <c r="AA6783" t="str">
        <f>"10003-3804"</f>
        <v>10003-3804</v>
      </c>
      <c r="AB6783" t="s">
        <v>78</v>
      </c>
      <c r="AC6783" t="s">
        <v>79</v>
      </c>
      <c r="AD6783" t="s">
        <v>75</v>
      </c>
      <c r="AE6783" t="s">
        <v>80</v>
      </c>
      <c r="AG6783" t="s">
        <v>81</v>
      </c>
    </row>
    <row r="6784" spans="1:33" x14ac:dyDescent="0.25">
      <c r="A6784" t="str">
        <f>"1174765622"</f>
        <v>1174765622</v>
      </c>
      <c r="B6784" t="str">
        <f>"03612282"</f>
        <v>03612282</v>
      </c>
      <c r="C6784" t="s">
        <v>13436</v>
      </c>
      <c r="D6784" t="s">
        <v>31192</v>
      </c>
      <c r="E6784" t="s">
        <v>31193</v>
      </c>
      <c r="G6784" t="s">
        <v>31194</v>
      </c>
      <c r="L6784" t="s">
        <v>74</v>
      </c>
      <c r="M6784" t="s">
        <v>75</v>
      </c>
      <c r="R6784" t="s">
        <v>31195</v>
      </c>
      <c r="W6784" t="s">
        <v>31193</v>
      </c>
      <c r="X6784" t="s">
        <v>23621</v>
      </c>
      <c r="Y6784" t="s">
        <v>97</v>
      </c>
      <c r="Z6784" t="s">
        <v>77</v>
      </c>
      <c r="AA6784" t="str">
        <f>"10003-3314"</f>
        <v>10003-3314</v>
      </c>
      <c r="AB6784" t="s">
        <v>78</v>
      </c>
      <c r="AC6784" t="s">
        <v>79</v>
      </c>
      <c r="AD6784" t="s">
        <v>75</v>
      </c>
      <c r="AE6784" t="s">
        <v>80</v>
      </c>
      <c r="AG6784" t="s">
        <v>81</v>
      </c>
    </row>
    <row r="6785" spans="1:33" x14ac:dyDescent="0.25">
      <c r="A6785" t="str">
        <f>"1174765762"</f>
        <v>1174765762</v>
      </c>
      <c r="B6785" t="str">
        <f>"03690824"</f>
        <v>03690824</v>
      </c>
      <c r="C6785" t="s">
        <v>13436</v>
      </c>
      <c r="D6785" t="s">
        <v>31196</v>
      </c>
      <c r="E6785" t="s">
        <v>31197</v>
      </c>
      <c r="G6785" t="s">
        <v>31198</v>
      </c>
      <c r="L6785" t="s">
        <v>105</v>
      </c>
      <c r="M6785" t="s">
        <v>75</v>
      </c>
      <c r="R6785" t="s">
        <v>31199</v>
      </c>
      <c r="W6785" t="s">
        <v>31197</v>
      </c>
      <c r="X6785" t="s">
        <v>15887</v>
      </c>
      <c r="Y6785" t="s">
        <v>97</v>
      </c>
      <c r="Z6785" t="s">
        <v>77</v>
      </c>
      <c r="AA6785" t="str">
        <f>"10003-0000"</f>
        <v>10003-0000</v>
      </c>
      <c r="AB6785" t="s">
        <v>78</v>
      </c>
      <c r="AC6785" t="s">
        <v>79</v>
      </c>
      <c r="AD6785" t="s">
        <v>75</v>
      </c>
      <c r="AE6785" t="s">
        <v>80</v>
      </c>
      <c r="AG6785" t="s">
        <v>81</v>
      </c>
    </row>
    <row r="6786" spans="1:33" x14ac:dyDescent="0.25">
      <c r="A6786" t="str">
        <f>"1174785620"</f>
        <v>1174785620</v>
      </c>
      <c r="B6786" t="str">
        <f>"04180558"</f>
        <v>04180558</v>
      </c>
      <c r="C6786" t="s">
        <v>13436</v>
      </c>
      <c r="D6786" t="s">
        <v>31200</v>
      </c>
      <c r="E6786" t="s">
        <v>31201</v>
      </c>
      <c r="G6786" t="s">
        <v>31202</v>
      </c>
      <c r="L6786" t="s">
        <v>83</v>
      </c>
      <c r="M6786" t="s">
        <v>75</v>
      </c>
      <c r="R6786" t="s">
        <v>31201</v>
      </c>
      <c r="W6786" t="s">
        <v>31203</v>
      </c>
      <c r="X6786" t="s">
        <v>5431</v>
      </c>
      <c r="Y6786" t="s">
        <v>2674</v>
      </c>
      <c r="Z6786" t="s">
        <v>77</v>
      </c>
      <c r="AA6786" t="str">
        <f>"11733-4079"</f>
        <v>11733-4079</v>
      </c>
      <c r="AB6786" t="s">
        <v>78</v>
      </c>
      <c r="AC6786" t="s">
        <v>79</v>
      </c>
      <c r="AD6786" t="s">
        <v>75</v>
      </c>
      <c r="AE6786" t="s">
        <v>80</v>
      </c>
      <c r="AG6786" t="s">
        <v>81</v>
      </c>
    </row>
    <row r="6787" spans="1:33" x14ac:dyDescent="0.25">
      <c r="A6787" t="str">
        <f>"1174785984"</f>
        <v>1174785984</v>
      </c>
      <c r="B6787" t="str">
        <f>"03607852"</f>
        <v>03607852</v>
      </c>
      <c r="C6787" t="s">
        <v>13436</v>
      </c>
      <c r="D6787" t="s">
        <v>31204</v>
      </c>
      <c r="E6787" t="s">
        <v>31205</v>
      </c>
      <c r="G6787" t="s">
        <v>31206</v>
      </c>
      <c r="L6787" t="s">
        <v>74</v>
      </c>
      <c r="M6787" t="s">
        <v>75</v>
      </c>
      <c r="R6787" t="s">
        <v>31207</v>
      </c>
      <c r="W6787" t="s">
        <v>31205</v>
      </c>
      <c r="X6787" t="s">
        <v>272</v>
      </c>
      <c r="Y6787" t="s">
        <v>97</v>
      </c>
      <c r="Z6787" t="s">
        <v>77</v>
      </c>
      <c r="AA6787" t="str">
        <f>"10029-6501"</f>
        <v>10029-6501</v>
      </c>
      <c r="AB6787" t="s">
        <v>78</v>
      </c>
      <c r="AC6787" t="s">
        <v>79</v>
      </c>
      <c r="AD6787" t="s">
        <v>75</v>
      </c>
      <c r="AE6787" t="s">
        <v>80</v>
      </c>
      <c r="AG6787" t="s">
        <v>81</v>
      </c>
    </row>
    <row r="6788" spans="1:33" x14ac:dyDescent="0.25">
      <c r="A6788" t="str">
        <f>"1174821128"</f>
        <v>1174821128</v>
      </c>
      <c r="C6788" t="s">
        <v>13436</v>
      </c>
      <c r="G6788" t="s">
        <v>31208</v>
      </c>
      <c r="K6788" t="s">
        <v>99</v>
      </c>
      <c r="L6788" t="s">
        <v>102</v>
      </c>
      <c r="M6788" t="s">
        <v>75</v>
      </c>
      <c r="R6788" t="s">
        <v>31209</v>
      </c>
      <c r="S6788" t="s">
        <v>31210</v>
      </c>
      <c r="T6788" t="s">
        <v>97</v>
      </c>
      <c r="U6788" t="s">
        <v>77</v>
      </c>
      <c r="V6788" t="str">
        <f>"100033314"</f>
        <v>100033314</v>
      </c>
      <c r="AC6788" t="s">
        <v>79</v>
      </c>
      <c r="AD6788" t="s">
        <v>75</v>
      </c>
      <c r="AE6788" t="s">
        <v>103</v>
      </c>
      <c r="AG6788" t="s">
        <v>81</v>
      </c>
    </row>
    <row r="6789" spans="1:33" x14ac:dyDescent="0.25">
      <c r="A6789" t="str">
        <f>"1174849681"</f>
        <v>1174849681</v>
      </c>
      <c r="B6789" t="str">
        <f>"04375215"</f>
        <v>04375215</v>
      </c>
      <c r="C6789" t="s">
        <v>13436</v>
      </c>
      <c r="D6789" t="s">
        <v>31211</v>
      </c>
      <c r="E6789" t="s">
        <v>31212</v>
      </c>
      <c r="G6789" t="s">
        <v>31213</v>
      </c>
      <c r="L6789" t="s">
        <v>83</v>
      </c>
      <c r="M6789" t="s">
        <v>85</v>
      </c>
      <c r="R6789" t="s">
        <v>31214</v>
      </c>
      <c r="W6789" t="s">
        <v>31212</v>
      </c>
      <c r="X6789" t="s">
        <v>442</v>
      </c>
      <c r="Y6789" t="s">
        <v>97</v>
      </c>
      <c r="Z6789" t="s">
        <v>77</v>
      </c>
      <c r="AA6789" t="str">
        <f>"10065-6007"</f>
        <v>10065-6007</v>
      </c>
      <c r="AB6789" t="s">
        <v>78</v>
      </c>
      <c r="AC6789" t="s">
        <v>79</v>
      </c>
      <c r="AD6789" t="s">
        <v>75</v>
      </c>
      <c r="AE6789" t="s">
        <v>80</v>
      </c>
      <c r="AG6789" t="s">
        <v>81</v>
      </c>
    </row>
    <row r="6790" spans="1:33" x14ac:dyDescent="0.25">
      <c r="A6790" t="str">
        <f>"1174887830"</f>
        <v>1174887830</v>
      </c>
      <c r="B6790" t="str">
        <f>"03574238"</f>
        <v>03574238</v>
      </c>
      <c r="C6790" t="s">
        <v>13436</v>
      </c>
      <c r="D6790" t="s">
        <v>31215</v>
      </c>
      <c r="E6790" t="s">
        <v>31216</v>
      </c>
      <c r="G6790" t="s">
        <v>31217</v>
      </c>
      <c r="L6790" t="s">
        <v>84</v>
      </c>
      <c r="M6790" t="s">
        <v>85</v>
      </c>
      <c r="R6790" t="s">
        <v>31218</v>
      </c>
      <c r="W6790" t="s">
        <v>31216</v>
      </c>
      <c r="X6790" t="s">
        <v>6014</v>
      </c>
      <c r="Y6790" t="s">
        <v>180</v>
      </c>
      <c r="Z6790" t="s">
        <v>77</v>
      </c>
      <c r="AA6790" t="str">
        <f>"10701-1330"</f>
        <v>10701-1330</v>
      </c>
      <c r="AB6790" t="s">
        <v>78</v>
      </c>
      <c r="AC6790" t="s">
        <v>79</v>
      </c>
      <c r="AD6790" t="s">
        <v>75</v>
      </c>
      <c r="AE6790" t="s">
        <v>80</v>
      </c>
      <c r="AG6790" t="s">
        <v>81</v>
      </c>
    </row>
    <row r="6791" spans="1:33" x14ac:dyDescent="0.25">
      <c r="A6791" t="str">
        <f>"1174895288"</f>
        <v>1174895288</v>
      </c>
      <c r="B6791" t="str">
        <f>"03763788"</f>
        <v>03763788</v>
      </c>
      <c r="C6791" t="s">
        <v>13436</v>
      </c>
      <c r="D6791" t="s">
        <v>31219</v>
      </c>
      <c r="E6791" t="s">
        <v>31220</v>
      </c>
      <c r="G6791" t="s">
        <v>31221</v>
      </c>
      <c r="L6791" t="s">
        <v>74</v>
      </c>
      <c r="M6791" t="s">
        <v>75</v>
      </c>
      <c r="R6791" t="s">
        <v>31222</v>
      </c>
      <c r="W6791" t="s">
        <v>31220</v>
      </c>
      <c r="X6791" t="s">
        <v>4029</v>
      </c>
      <c r="Y6791" t="s">
        <v>97</v>
      </c>
      <c r="Z6791" t="s">
        <v>77</v>
      </c>
      <c r="AA6791" t="str">
        <f>"10029-6503"</f>
        <v>10029-6503</v>
      </c>
      <c r="AB6791" t="s">
        <v>78</v>
      </c>
      <c r="AC6791" t="s">
        <v>79</v>
      </c>
      <c r="AD6791" t="s">
        <v>75</v>
      </c>
      <c r="AE6791" t="s">
        <v>80</v>
      </c>
      <c r="AG6791" t="s">
        <v>81</v>
      </c>
    </row>
    <row r="6792" spans="1:33" x14ac:dyDescent="0.25">
      <c r="A6792" t="str">
        <f>"1174946347"</f>
        <v>1174946347</v>
      </c>
      <c r="C6792" t="s">
        <v>13436</v>
      </c>
      <c r="G6792" t="s">
        <v>31223</v>
      </c>
      <c r="K6792" t="s">
        <v>99</v>
      </c>
      <c r="L6792" t="s">
        <v>102</v>
      </c>
      <c r="M6792" t="s">
        <v>75</v>
      </c>
      <c r="R6792" t="s">
        <v>31224</v>
      </c>
      <c r="S6792" t="s">
        <v>12243</v>
      </c>
      <c r="T6792" t="s">
        <v>4626</v>
      </c>
      <c r="U6792" t="s">
        <v>4504</v>
      </c>
      <c r="V6792" t="str">
        <f>"029034923"</f>
        <v>029034923</v>
      </c>
      <c r="AC6792" t="s">
        <v>79</v>
      </c>
      <c r="AD6792" t="s">
        <v>75</v>
      </c>
      <c r="AE6792" t="s">
        <v>103</v>
      </c>
      <c r="AG6792" t="s">
        <v>81</v>
      </c>
    </row>
    <row r="6793" spans="1:33" x14ac:dyDescent="0.25">
      <c r="A6793" t="str">
        <f>"1275858110"</f>
        <v>1275858110</v>
      </c>
      <c r="B6793" t="str">
        <f>"04502663"</f>
        <v>04502663</v>
      </c>
      <c r="C6793" t="s">
        <v>13436</v>
      </c>
      <c r="D6793" t="s">
        <v>31225</v>
      </c>
      <c r="E6793" t="s">
        <v>31226</v>
      </c>
      <c r="G6793" t="s">
        <v>31227</v>
      </c>
      <c r="L6793" t="s">
        <v>74</v>
      </c>
      <c r="M6793" t="s">
        <v>75</v>
      </c>
      <c r="R6793" t="s">
        <v>31228</v>
      </c>
      <c r="W6793" t="s">
        <v>31226</v>
      </c>
      <c r="AB6793" t="s">
        <v>78</v>
      </c>
      <c r="AC6793" t="s">
        <v>79</v>
      </c>
      <c r="AD6793" t="s">
        <v>75</v>
      </c>
      <c r="AE6793" t="s">
        <v>80</v>
      </c>
      <c r="AG6793" t="s">
        <v>81</v>
      </c>
    </row>
    <row r="6794" spans="1:33" x14ac:dyDescent="0.25">
      <c r="A6794" t="str">
        <f>"1275859696"</f>
        <v>1275859696</v>
      </c>
      <c r="B6794" t="str">
        <f>"03210253"</f>
        <v>03210253</v>
      </c>
      <c r="C6794" t="s">
        <v>13436</v>
      </c>
      <c r="D6794" t="s">
        <v>31229</v>
      </c>
      <c r="E6794" t="s">
        <v>31230</v>
      </c>
      <c r="G6794" t="s">
        <v>31231</v>
      </c>
      <c r="L6794" t="s">
        <v>83</v>
      </c>
      <c r="M6794" t="s">
        <v>85</v>
      </c>
      <c r="R6794" t="s">
        <v>31232</v>
      </c>
      <c r="W6794" t="s">
        <v>31233</v>
      </c>
      <c r="X6794" t="s">
        <v>11436</v>
      </c>
      <c r="Y6794" t="s">
        <v>97</v>
      </c>
      <c r="Z6794" t="s">
        <v>77</v>
      </c>
      <c r="AA6794" t="str">
        <f>"10029-0000"</f>
        <v>10029-0000</v>
      </c>
      <c r="AB6794" t="s">
        <v>78</v>
      </c>
      <c r="AC6794" t="s">
        <v>79</v>
      </c>
      <c r="AD6794" t="s">
        <v>75</v>
      </c>
      <c r="AE6794" t="s">
        <v>80</v>
      </c>
      <c r="AG6794" t="s">
        <v>81</v>
      </c>
    </row>
    <row r="6795" spans="1:33" x14ac:dyDescent="0.25">
      <c r="A6795" t="str">
        <f>"1275864381"</f>
        <v>1275864381</v>
      </c>
      <c r="C6795" t="s">
        <v>13436</v>
      </c>
      <c r="G6795" t="s">
        <v>31234</v>
      </c>
      <c r="K6795" t="s">
        <v>99</v>
      </c>
      <c r="L6795" t="s">
        <v>102</v>
      </c>
      <c r="M6795" t="s">
        <v>75</v>
      </c>
      <c r="R6795" t="s">
        <v>31235</v>
      </c>
      <c r="S6795" t="s">
        <v>31236</v>
      </c>
      <c r="T6795" t="s">
        <v>97</v>
      </c>
      <c r="U6795" t="s">
        <v>77</v>
      </c>
      <c r="V6795" t="str">
        <f>"10029"</f>
        <v>10029</v>
      </c>
      <c r="AC6795" t="s">
        <v>79</v>
      </c>
      <c r="AD6795" t="s">
        <v>75</v>
      </c>
      <c r="AE6795" t="s">
        <v>103</v>
      </c>
      <c r="AG6795" t="s">
        <v>81</v>
      </c>
    </row>
    <row r="6796" spans="1:33" x14ac:dyDescent="0.25">
      <c r="A6796" t="str">
        <f>"1275875098"</f>
        <v>1275875098</v>
      </c>
      <c r="C6796" t="s">
        <v>13436</v>
      </c>
      <c r="K6796" t="s">
        <v>99</v>
      </c>
      <c r="L6796" t="s">
        <v>102</v>
      </c>
      <c r="M6796" t="s">
        <v>75</v>
      </c>
      <c r="R6796" t="s">
        <v>31237</v>
      </c>
      <c r="S6796" t="s">
        <v>159</v>
      </c>
      <c r="T6796" t="s">
        <v>160</v>
      </c>
      <c r="U6796" t="s">
        <v>77</v>
      </c>
      <c r="V6796" t="str">
        <f>"110303816"</f>
        <v>110303816</v>
      </c>
      <c r="AC6796" t="s">
        <v>79</v>
      </c>
      <c r="AD6796" t="s">
        <v>75</v>
      </c>
      <c r="AE6796" t="s">
        <v>103</v>
      </c>
      <c r="AG6796" t="s">
        <v>81</v>
      </c>
    </row>
    <row r="6797" spans="1:33" x14ac:dyDescent="0.25">
      <c r="A6797" t="str">
        <f>"1275875957"</f>
        <v>1275875957</v>
      </c>
      <c r="B6797" t="str">
        <f>"04508430"</f>
        <v>04508430</v>
      </c>
      <c r="C6797" t="s">
        <v>13436</v>
      </c>
      <c r="D6797" t="s">
        <v>31238</v>
      </c>
      <c r="E6797" t="s">
        <v>31239</v>
      </c>
      <c r="L6797" t="s">
        <v>102</v>
      </c>
      <c r="M6797" t="s">
        <v>75</v>
      </c>
      <c r="R6797" t="s">
        <v>31239</v>
      </c>
      <c r="W6797" t="s">
        <v>31239</v>
      </c>
      <c r="AB6797" t="s">
        <v>78</v>
      </c>
      <c r="AC6797" t="s">
        <v>79</v>
      </c>
      <c r="AD6797" t="s">
        <v>75</v>
      </c>
      <c r="AE6797" t="s">
        <v>80</v>
      </c>
      <c r="AG6797" t="s">
        <v>81</v>
      </c>
    </row>
    <row r="6798" spans="1:33" x14ac:dyDescent="0.25">
      <c r="A6798" t="str">
        <f>"1275878464"</f>
        <v>1275878464</v>
      </c>
      <c r="C6798" t="s">
        <v>13436</v>
      </c>
      <c r="G6798" t="s">
        <v>31240</v>
      </c>
      <c r="K6798" t="s">
        <v>99</v>
      </c>
      <c r="L6798" t="s">
        <v>102</v>
      </c>
      <c r="M6798" t="s">
        <v>75</v>
      </c>
      <c r="R6798" t="s">
        <v>31241</v>
      </c>
      <c r="S6798" t="s">
        <v>31242</v>
      </c>
      <c r="T6798" t="s">
        <v>97</v>
      </c>
      <c r="U6798" t="s">
        <v>77</v>
      </c>
      <c r="V6798" t="str">
        <f>"10021"</f>
        <v>10021</v>
      </c>
      <c r="AC6798" t="s">
        <v>79</v>
      </c>
      <c r="AD6798" t="s">
        <v>75</v>
      </c>
      <c r="AE6798" t="s">
        <v>103</v>
      </c>
      <c r="AG6798" t="s">
        <v>81</v>
      </c>
    </row>
    <row r="6799" spans="1:33" x14ac:dyDescent="0.25">
      <c r="A6799" t="str">
        <f>"1588846331"</f>
        <v>1588846331</v>
      </c>
      <c r="B6799" t="str">
        <f>"04289167"</f>
        <v>04289167</v>
      </c>
      <c r="C6799" t="s">
        <v>13436</v>
      </c>
      <c r="D6799" t="s">
        <v>31243</v>
      </c>
      <c r="E6799" t="s">
        <v>31244</v>
      </c>
      <c r="L6799" t="s">
        <v>102</v>
      </c>
      <c r="M6799" t="s">
        <v>75</v>
      </c>
      <c r="R6799" t="s">
        <v>31245</v>
      </c>
      <c r="W6799" t="s">
        <v>31244</v>
      </c>
      <c r="X6799" t="s">
        <v>31246</v>
      </c>
      <c r="Y6799" t="s">
        <v>97</v>
      </c>
      <c r="Z6799" t="s">
        <v>77</v>
      </c>
      <c r="AA6799" t="str">
        <f>"10027-4439"</f>
        <v>10027-4439</v>
      </c>
      <c r="AB6799" t="s">
        <v>78</v>
      </c>
      <c r="AC6799" t="s">
        <v>79</v>
      </c>
      <c r="AD6799" t="s">
        <v>75</v>
      </c>
      <c r="AE6799" t="s">
        <v>80</v>
      </c>
      <c r="AG6799" t="s">
        <v>81</v>
      </c>
    </row>
    <row r="6800" spans="1:33" x14ac:dyDescent="0.25">
      <c r="A6800" t="str">
        <f>"1588854053"</f>
        <v>1588854053</v>
      </c>
      <c r="C6800" t="s">
        <v>13436</v>
      </c>
      <c r="K6800" t="s">
        <v>99</v>
      </c>
      <c r="L6800" t="s">
        <v>102</v>
      </c>
      <c r="M6800" t="s">
        <v>75</v>
      </c>
      <c r="R6800" t="s">
        <v>31247</v>
      </c>
      <c r="S6800" t="s">
        <v>31248</v>
      </c>
      <c r="T6800" t="s">
        <v>31249</v>
      </c>
      <c r="U6800" t="s">
        <v>351</v>
      </c>
      <c r="V6800" t="str">
        <f>"333243309"</f>
        <v>333243309</v>
      </c>
      <c r="AC6800" t="s">
        <v>79</v>
      </c>
      <c r="AD6800" t="s">
        <v>75</v>
      </c>
      <c r="AE6800" t="s">
        <v>103</v>
      </c>
      <c r="AG6800" t="s">
        <v>81</v>
      </c>
    </row>
    <row r="6801" spans="1:33" x14ac:dyDescent="0.25">
      <c r="A6801" t="str">
        <f>"1326334236"</f>
        <v>1326334236</v>
      </c>
      <c r="C6801" t="s">
        <v>13436</v>
      </c>
      <c r="K6801" t="s">
        <v>99</v>
      </c>
      <c r="L6801" t="s">
        <v>102</v>
      </c>
      <c r="M6801" t="s">
        <v>75</v>
      </c>
      <c r="R6801" t="s">
        <v>31250</v>
      </c>
      <c r="S6801" t="s">
        <v>31251</v>
      </c>
      <c r="T6801" t="s">
        <v>97</v>
      </c>
      <c r="U6801" t="s">
        <v>77</v>
      </c>
      <c r="V6801" t="str">
        <f>"100296500"</f>
        <v>100296500</v>
      </c>
      <c r="AC6801" t="s">
        <v>79</v>
      </c>
      <c r="AD6801" t="s">
        <v>75</v>
      </c>
      <c r="AE6801" t="s">
        <v>103</v>
      </c>
      <c r="AG6801" t="s">
        <v>81</v>
      </c>
    </row>
    <row r="6802" spans="1:33" x14ac:dyDescent="0.25">
      <c r="A6802" t="str">
        <f>"1326334780"</f>
        <v>1326334780</v>
      </c>
      <c r="B6802" t="str">
        <f>"04567699"</f>
        <v>04567699</v>
      </c>
      <c r="C6802" t="s">
        <v>13436</v>
      </c>
      <c r="D6802" t="s">
        <v>31252</v>
      </c>
      <c r="E6802" t="s">
        <v>31253</v>
      </c>
      <c r="L6802" t="s">
        <v>102</v>
      </c>
      <c r="M6802" t="s">
        <v>75</v>
      </c>
      <c r="R6802" t="s">
        <v>31253</v>
      </c>
      <c r="W6802" t="s">
        <v>31253</v>
      </c>
      <c r="AB6802" t="s">
        <v>78</v>
      </c>
      <c r="AC6802" t="s">
        <v>79</v>
      </c>
      <c r="AD6802" t="s">
        <v>75</v>
      </c>
      <c r="AE6802" t="s">
        <v>80</v>
      </c>
      <c r="AG6802" t="s">
        <v>81</v>
      </c>
    </row>
    <row r="6803" spans="1:33" x14ac:dyDescent="0.25">
      <c r="A6803" t="str">
        <f>"1326336348"</f>
        <v>1326336348</v>
      </c>
      <c r="C6803" t="s">
        <v>13436</v>
      </c>
      <c r="K6803" t="s">
        <v>99</v>
      </c>
      <c r="L6803" t="s">
        <v>102</v>
      </c>
      <c r="M6803" t="s">
        <v>75</v>
      </c>
      <c r="R6803" t="s">
        <v>31254</v>
      </c>
      <c r="S6803" t="s">
        <v>31255</v>
      </c>
      <c r="T6803" t="s">
        <v>97</v>
      </c>
      <c r="U6803" t="s">
        <v>77</v>
      </c>
      <c r="V6803" t="str">
        <f>"100191047"</f>
        <v>100191047</v>
      </c>
      <c r="AC6803" t="s">
        <v>79</v>
      </c>
      <c r="AD6803" t="s">
        <v>75</v>
      </c>
      <c r="AE6803" t="s">
        <v>103</v>
      </c>
      <c r="AG6803" t="s">
        <v>81</v>
      </c>
    </row>
    <row r="6804" spans="1:33" x14ac:dyDescent="0.25">
      <c r="A6804" t="str">
        <f>"1396002325"</f>
        <v>1396002325</v>
      </c>
      <c r="C6804" t="s">
        <v>13436</v>
      </c>
      <c r="K6804" t="s">
        <v>99</v>
      </c>
      <c r="L6804" t="s">
        <v>102</v>
      </c>
      <c r="M6804" t="s">
        <v>75</v>
      </c>
      <c r="R6804" t="s">
        <v>31256</v>
      </c>
      <c r="S6804" t="s">
        <v>191</v>
      </c>
      <c r="T6804" t="s">
        <v>97</v>
      </c>
      <c r="U6804" t="s">
        <v>77</v>
      </c>
      <c r="V6804" t="str">
        <f>"100191147"</f>
        <v>100191147</v>
      </c>
      <c r="AC6804" t="s">
        <v>79</v>
      </c>
      <c r="AD6804" t="s">
        <v>75</v>
      </c>
      <c r="AE6804" t="s">
        <v>103</v>
      </c>
      <c r="AG6804" t="s">
        <v>81</v>
      </c>
    </row>
    <row r="6805" spans="1:33" x14ac:dyDescent="0.25">
      <c r="A6805" t="str">
        <f>"1396003497"</f>
        <v>1396003497</v>
      </c>
      <c r="C6805" t="s">
        <v>13436</v>
      </c>
      <c r="K6805" t="s">
        <v>99</v>
      </c>
      <c r="L6805" t="s">
        <v>102</v>
      </c>
      <c r="M6805" t="s">
        <v>75</v>
      </c>
      <c r="R6805" t="s">
        <v>5079</v>
      </c>
      <c r="S6805" t="s">
        <v>31257</v>
      </c>
      <c r="T6805" t="s">
        <v>13739</v>
      </c>
      <c r="U6805" t="s">
        <v>4635</v>
      </c>
      <c r="V6805" t="str">
        <f>"708084375"</f>
        <v>708084375</v>
      </c>
      <c r="AC6805" t="s">
        <v>79</v>
      </c>
      <c r="AD6805" t="s">
        <v>75</v>
      </c>
      <c r="AE6805" t="s">
        <v>103</v>
      </c>
      <c r="AG6805" t="s">
        <v>81</v>
      </c>
    </row>
    <row r="6806" spans="1:33" x14ac:dyDescent="0.25">
      <c r="A6806" t="str">
        <f>"1447245303"</f>
        <v>1447245303</v>
      </c>
      <c r="B6806" t="str">
        <f>"02049434"</f>
        <v>02049434</v>
      </c>
      <c r="C6806" t="s">
        <v>13436</v>
      </c>
      <c r="D6806" t="s">
        <v>31258</v>
      </c>
      <c r="E6806" t="s">
        <v>31259</v>
      </c>
      <c r="G6806" t="s">
        <v>31260</v>
      </c>
      <c r="L6806" t="s">
        <v>83</v>
      </c>
      <c r="M6806" t="s">
        <v>85</v>
      </c>
      <c r="R6806" t="s">
        <v>31261</v>
      </c>
      <c r="W6806" t="s">
        <v>31262</v>
      </c>
      <c r="X6806" t="s">
        <v>5557</v>
      </c>
      <c r="Y6806" t="s">
        <v>97</v>
      </c>
      <c r="Z6806" t="s">
        <v>77</v>
      </c>
      <c r="AA6806" t="str">
        <f>"10029-6501"</f>
        <v>10029-6501</v>
      </c>
      <c r="AB6806" t="s">
        <v>78</v>
      </c>
      <c r="AC6806" t="s">
        <v>79</v>
      </c>
      <c r="AD6806" t="s">
        <v>75</v>
      </c>
      <c r="AE6806" t="s">
        <v>80</v>
      </c>
      <c r="AG6806" t="s">
        <v>81</v>
      </c>
    </row>
    <row r="6807" spans="1:33" x14ac:dyDescent="0.25">
      <c r="A6807" t="str">
        <f>"1003084138"</f>
        <v>1003084138</v>
      </c>
      <c r="B6807" t="str">
        <f>"03285210"</f>
        <v>03285210</v>
      </c>
      <c r="C6807" t="s">
        <v>13436</v>
      </c>
      <c r="D6807" t="s">
        <v>31263</v>
      </c>
      <c r="E6807" t="s">
        <v>31264</v>
      </c>
      <c r="G6807" t="s">
        <v>31265</v>
      </c>
      <c r="L6807" t="s">
        <v>83</v>
      </c>
      <c r="M6807" t="s">
        <v>85</v>
      </c>
      <c r="R6807" t="s">
        <v>31264</v>
      </c>
      <c r="W6807" t="s">
        <v>31264</v>
      </c>
      <c r="X6807" t="s">
        <v>31266</v>
      </c>
      <c r="Y6807" t="s">
        <v>97</v>
      </c>
      <c r="Z6807" t="s">
        <v>77</v>
      </c>
      <c r="AA6807" t="str">
        <f>"10013-2442"</f>
        <v>10013-2442</v>
      </c>
      <c r="AB6807" t="s">
        <v>78</v>
      </c>
      <c r="AC6807" t="s">
        <v>79</v>
      </c>
      <c r="AD6807" t="s">
        <v>75</v>
      </c>
      <c r="AE6807" t="s">
        <v>80</v>
      </c>
      <c r="AG6807" t="s">
        <v>81</v>
      </c>
    </row>
    <row r="6808" spans="1:33" x14ac:dyDescent="0.25">
      <c r="A6808" t="str">
        <f>"1003839374"</f>
        <v>1003839374</v>
      </c>
      <c r="B6808" t="str">
        <f>"02109933"</f>
        <v>02109933</v>
      </c>
      <c r="C6808" t="s">
        <v>13436</v>
      </c>
      <c r="D6808" t="s">
        <v>31267</v>
      </c>
      <c r="E6808" t="s">
        <v>31268</v>
      </c>
      <c r="G6808" t="s">
        <v>31269</v>
      </c>
      <c r="L6808" t="s">
        <v>74</v>
      </c>
      <c r="M6808" t="s">
        <v>85</v>
      </c>
      <c r="R6808" t="s">
        <v>31270</v>
      </c>
      <c r="W6808" t="s">
        <v>31268</v>
      </c>
      <c r="X6808" t="s">
        <v>31271</v>
      </c>
      <c r="Y6808" t="s">
        <v>97</v>
      </c>
      <c r="Z6808" t="s">
        <v>77</v>
      </c>
      <c r="AA6808" t="str">
        <f>"10003-3314"</f>
        <v>10003-3314</v>
      </c>
      <c r="AB6808" t="s">
        <v>78</v>
      </c>
      <c r="AC6808" t="s">
        <v>79</v>
      </c>
      <c r="AD6808" t="s">
        <v>75</v>
      </c>
      <c r="AE6808" t="s">
        <v>80</v>
      </c>
      <c r="AG6808" t="s">
        <v>81</v>
      </c>
    </row>
    <row r="6809" spans="1:33" x14ac:dyDescent="0.25">
      <c r="A6809" t="str">
        <f>"1003896564"</f>
        <v>1003896564</v>
      </c>
      <c r="B6809" t="str">
        <f>"00201134"</f>
        <v>00201134</v>
      </c>
      <c r="C6809" t="s">
        <v>13436</v>
      </c>
      <c r="D6809" t="s">
        <v>31272</v>
      </c>
      <c r="E6809" t="s">
        <v>31273</v>
      </c>
      <c r="G6809" t="s">
        <v>31274</v>
      </c>
      <c r="L6809" t="s">
        <v>83</v>
      </c>
      <c r="M6809" t="s">
        <v>85</v>
      </c>
      <c r="R6809" t="s">
        <v>31275</v>
      </c>
      <c r="W6809" t="s">
        <v>31276</v>
      </c>
      <c r="X6809" t="s">
        <v>31277</v>
      </c>
      <c r="Y6809" t="s">
        <v>97</v>
      </c>
      <c r="Z6809" t="s">
        <v>77</v>
      </c>
      <c r="AA6809" t="str">
        <f>"10003-2746"</f>
        <v>10003-2746</v>
      </c>
      <c r="AB6809" t="s">
        <v>78</v>
      </c>
      <c r="AC6809" t="s">
        <v>79</v>
      </c>
      <c r="AD6809" t="s">
        <v>75</v>
      </c>
      <c r="AE6809" t="s">
        <v>80</v>
      </c>
      <c r="AG6809" t="s">
        <v>81</v>
      </c>
    </row>
    <row r="6810" spans="1:33" x14ac:dyDescent="0.25">
      <c r="A6810" t="str">
        <f>"1003911132"</f>
        <v>1003911132</v>
      </c>
      <c r="B6810" t="str">
        <f>"02190334"</f>
        <v>02190334</v>
      </c>
      <c r="C6810" t="s">
        <v>13436</v>
      </c>
      <c r="D6810" t="s">
        <v>5581</v>
      </c>
      <c r="E6810" t="s">
        <v>5582</v>
      </c>
      <c r="G6810" t="s">
        <v>31278</v>
      </c>
      <c r="L6810" t="s">
        <v>83</v>
      </c>
      <c r="M6810" t="s">
        <v>85</v>
      </c>
      <c r="R6810" t="s">
        <v>5583</v>
      </c>
      <c r="W6810" t="s">
        <v>5582</v>
      </c>
      <c r="X6810" t="s">
        <v>5584</v>
      </c>
      <c r="Y6810" t="s">
        <v>97</v>
      </c>
      <c r="Z6810" t="s">
        <v>77</v>
      </c>
      <c r="AA6810" t="str">
        <f>"10003-9145"</f>
        <v>10003-9145</v>
      </c>
      <c r="AB6810" t="s">
        <v>78</v>
      </c>
      <c r="AC6810" t="s">
        <v>79</v>
      </c>
      <c r="AD6810" t="s">
        <v>75</v>
      </c>
      <c r="AE6810" t="s">
        <v>80</v>
      </c>
      <c r="AG6810" t="s">
        <v>81</v>
      </c>
    </row>
    <row r="6811" spans="1:33" x14ac:dyDescent="0.25">
      <c r="A6811" t="str">
        <f>"1003997289"</f>
        <v>1003997289</v>
      </c>
      <c r="B6811" t="str">
        <f>"02058928"</f>
        <v>02058928</v>
      </c>
      <c r="C6811" t="s">
        <v>13436</v>
      </c>
      <c r="D6811" t="s">
        <v>31279</v>
      </c>
      <c r="E6811" t="s">
        <v>31280</v>
      </c>
      <c r="G6811" t="s">
        <v>31281</v>
      </c>
      <c r="L6811" t="s">
        <v>83</v>
      </c>
      <c r="M6811" t="s">
        <v>85</v>
      </c>
      <c r="R6811" t="s">
        <v>31282</v>
      </c>
      <c r="W6811" t="s">
        <v>31280</v>
      </c>
      <c r="X6811" t="s">
        <v>31283</v>
      </c>
      <c r="Y6811" t="s">
        <v>233</v>
      </c>
      <c r="Z6811" t="s">
        <v>77</v>
      </c>
      <c r="AA6811" t="str">
        <f>"12401-5894"</f>
        <v>12401-5894</v>
      </c>
      <c r="AB6811" t="s">
        <v>78</v>
      </c>
      <c r="AC6811" t="s">
        <v>79</v>
      </c>
      <c r="AD6811" t="s">
        <v>75</v>
      </c>
      <c r="AE6811" t="s">
        <v>80</v>
      </c>
      <c r="AG6811" t="s">
        <v>81</v>
      </c>
    </row>
    <row r="6812" spans="1:33" x14ac:dyDescent="0.25">
      <c r="A6812" t="str">
        <f>"1013026186"</f>
        <v>1013026186</v>
      </c>
      <c r="B6812" t="str">
        <f>"02954149"</f>
        <v>02954149</v>
      </c>
      <c r="C6812" t="s">
        <v>13436</v>
      </c>
      <c r="D6812" t="s">
        <v>31284</v>
      </c>
      <c r="E6812" t="s">
        <v>31285</v>
      </c>
      <c r="G6812" t="s">
        <v>31286</v>
      </c>
      <c r="L6812" t="s">
        <v>74</v>
      </c>
      <c r="M6812" t="s">
        <v>85</v>
      </c>
      <c r="R6812" t="s">
        <v>31287</v>
      </c>
      <c r="W6812" t="s">
        <v>31285</v>
      </c>
      <c r="X6812" t="s">
        <v>31288</v>
      </c>
      <c r="Y6812" t="s">
        <v>97</v>
      </c>
      <c r="Z6812" t="s">
        <v>77</v>
      </c>
      <c r="AA6812" t="str">
        <f>"10016"</f>
        <v>10016</v>
      </c>
      <c r="AB6812" t="s">
        <v>78</v>
      </c>
      <c r="AC6812" t="s">
        <v>79</v>
      </c>
      <c r="AD6812" t="s">
        <v>75</v>
      </c>
      <c r="AE6812" t="s">
        <v>80</v>
      </c>
      <c r="AG6812" t="s">
        <v>81</v>
      </c>
    </row>
    <row r="6813" spans="1:33" x14ac:dyDescent="0.25">
      <c r="A6813" t="str">
        <f>"1679570824"</f>
        <v>1679570824</v>
      </c>
      <c r="B6813" t="str">
        <f>"00193302"</f>
        <v>00193302</v>
      </c>
      <c r="C6813" t="s">
        <v>13436</v>
      </c>
      <c r="D6813" t="s">
        <v>31289</v>
      </c>
      <c r="E6813" t="s">
        <v>31290</v>
      </c>
      <c r="G6813" t="s">
        <v>31291</v>
      </c>
      <c r="L6813" t="s">
        <v>84</v>
      </c>
      <c r="M6813" t="s">
        <v>85</v>
      </c>
      <c r="R6813" t="s">
        <v>31292</v>
      </c>
      <c r="W6813" t="s">
        <v>31290</v>
      </c>
      <c r="X6813" t="s">
        <v>4700</v>
      </c>
      <c r="Y6813" t="s">
        <v>131</v>
      </c>
      <c r="Z6813" t="s">
        <v>77</v>
      </c>
      <c r="AA6813" t="str">
        <f>"10473-2928"</f>
        <v>10473-2928</v>
      </c>
      <c r="AB6813" t="s">
        <v>78</v>
      </c>
      <c r="AC6813" t="s">
        <v>79</v>
      </c>
      <c r="AD6813" t="s">
        <v>75</v>
      </c>
      <c r="AE6813" t="s">
        <v>80</v>
      </c>
      <c r="AG6813" t="s">
        <v>81</v>
      </c>
    </row>
    <row r="6814" spans="1:33" x14ac:dyDescent="0.25">
      <c r="A6814" t="str">
        <f>"1689604159"</f>
        <v>1689604159</v>
      </c>
      <c r="B6814" t="str">
        <f>"01598296"</f>
        <v>01598296</v>
      </c>
      <c r="C6814" t="s">
        <v>13436</v>
      </c>
      <c r="D6814" t="s">
        <v>31293</v>
      </c>
      <c r="E6814" t="s">
        <v>31294</v>
      </c>
      <c r="G6814" t="s">
        <v>31295</v>
      </c>
      <c r="L6814" t="s">
        <v>83</v>
      </c>
      <c r="M6814" t="s">
        <v>85</v>
      </c>
      <c r="R6814" t="s">
        <v>31296</v>
      </c>
      <c r="W6814" t="s">
        <v>31294</v>
      </c>
      <c r="X6814" t="s">
        <v>31297</v>
      </c>
      <c r="Y6814" t="s">
        <v>97</v>
      </c>
      <c r="Z6814" t="s">
        <v>77</v>
      </c>
      <c r="AA6814" t="str">
        <f>"10025"</f>
        <v>10025</v>
      </c>
      <c r="AB6814" t="s">
        <v>78</v>
      </c>
      <c r="AC6814" t="s">
        <v>79</v>
      </c>
      <c r="AD6814" t="s">
        <v>75</v>
      </c>
      <c r="AE6814" t="s">
        <v>80</v>
      </c>
      <c r="AG6814" t="s">
        <v>81</v>
      </c>
    </row>
    <row r="6815" spans="1:33" x14ac:dyDescent="0.25">
      <c r="A6815" t="str">
        <f>"1689729394"</f>
        <v>1689729394</v>
      </c>
      <c r="B6815" t="str">
        <f>"00460944"</f>
        <v>00460944</v>
      </c>
      <c r="C6815" t="s">
        <v>13436</v>
      </c>
      <c r="D6815" t="s">
        <v>31298</v>
      </c>
      <c r="E6815" t="s">
        <v>31299</v>
      </c>
      <c r="G6815" t="s">
        <v>20220</v>
      </c>
      <c r="L6815" t="s">
        <v>74</v>
      </c>
      <c r="M6815" t="s">
        <v>85</v>
      </c>
      <c r="R6815" t="s">
        <v>31300</v>
      </c>
      <c r="W6815" t="s">
        <v>31299</v>
      </c>
      <c r="X6815" t="s">
        <v>31301</v>
      </c>
      <c r="Y6815" t="s">
        <v>97</v>
      </c>
      <c r="Z6815" t="s">
        <v>77</v>
      </c>
      <c r="AA6815" t="str">
        <f>"10025-9700"</f>
        <v>10025-9700</v>
      </c>
      <c r="AB6815" t="s">
        <v>78</v>
      </c>
      <c r="AC6815" t="s">
        <v>79</v>
      </c>
      <c r="AD6815" t="s">
        <v>75</v>
      </c>
      <c r="AE6815" t="s">
        <v>80</v>
      </c>
      <c r="AG6815" t="s">
        <v>81</v>
      </c>
    </row>
    <row r="6816" spans="1:33" x14ac:dyDescent="0.25">
      <c r="A6816" t="str">
        <f>"1326276866"</f>
        <v>1326276866</v>
      </c>
      <c r="B6816" t="str">
        <f>"03604097"</f>
        <v>03604097</v>
      </c>
      <c r="C6816" t="s">
        <v>13436</v>
      </c>
      <c r="D6816" t="s">
        <v>31302</v>
      </c>
      <c r="E6816" t="s">
        <v>31303</v>
      </c>
      <c r="G6816" t="s">
        <v>31304</v>
      </c>
      <c r="L6816" t="s">
        <v>83</v>
      </c>
      <c r="M6816" t="s">
        <v>85</v>
      </c>
      <c r="R6816" t="s">
        <v>31305</v>
      </c>
      <c r="W6816" t="s">
        <v>31303</v>
      </c>
      <c r="X6816" t="s">
        <v>31306</v>
      </c>
      <c r="Y6816" t="s">
        <v>97</v>
      </c>
      <c r="Z6816" t="s">
        <v>77</v>
      </c>
      <c r="AA6816" t="str">
        <f>"10029-6503"</f>
        <v>10029-6503</v>
      </c>
      <c r="AB6816" t="s">
        <v>78</v>
      </c>
      <c r="AC6816" t="s">
        <v>79</v>
      </c>
      <c r="AD6816" t="s">
        <v>75</v>
      </c>
      <c r="AE6816" t="s">
        <v>80</v>
      </c>
      <c r="AG6816" t="s">
        <v>81</v>
      </c>
    </row>
    <row r="6817" spans="1:33" x14ac:dyDescent="0.25">
      <c r="A6817" t="str">
        <f>"1326298290"</f>
        <v>1326298290</v>
      </c>
      <c r="B6817" t="str">
        <f>"03350552"</f>
        <v>03350552</v>
      </c>
      <c r="C6817" t="s">
        <v>13436</v>
      </c>
      <c r="D6817" t="s">
        <v>31307</v>
      </c>
      <c r="E6817" t="s">
        <v>31308</v>
      </c>
      <c r="G6817" t="s">
        <v>31309</v>
      </c>
      <c r="L6817" t="s">
        <v>74</v>
      </c>
      <c r="M6817" t="s">
        <v>75</v>
      </c>
      <c r="R6817" t="s">
        <v>31310</v>
      </c>
      <c r="W6817" t="s">
        <v>31308</v>
      </c>
      <c r="X6817" t="s">
        <v>1452</v>
      </c>
      <c r="Y6817" t="s">
        <v>139</v>
      </c>
      <c r="Z6817" t="s">
        <v>77</v>
      </c>
      <c r="AA6817" t="str">
        <f>"11355-1736"</f>
        <v>11355-1736</v>
      </c>
      <c r="AB6817" t="s">
        <v>78</v>
      </c>
      <c r="AC6817" t="s">
        <v>79</v>
      </c>
      <c r="AD6817" t="s">
        <v>75</v>
      </c>
      <c r="AE6817" t="s">
        <v>80</v>
      </c>
      <c r="AG6817" t="s">
        <v>81</v>
      </c>
    </row>
    <row r="6818" spans="1:33" x14ac:dyDescent="0.25">
      <c r="A6818" t="str">
        <f>"1528358736"</f>
        <v>1528358736</v>
      </c>
      <c r="C6818" t="s">
        <v>13436</v>
      </c>
      <c r="K6818" t="s">
        <v>99</v>
      </c>
      <c r="L6818" t="s">
        <v>102</v>
      </c>
      <c r="M6818" t="s">
        <v>75</v>
      </c>
      <c r="R6818" t="s">
        <v>31311</v>
      </c>
      <c r="S6818" t="s">
        <v>31312</v>
      </c>
      <c r="T6818" t="s">
        <v>4487</v>
      </c>
      <c r="U6818" t="s">
        <v>351</v>
      </c>
      <c r="V6818" t="str">
        <f>"331361005"</f>
        <v>331361005</v>
      </c>
      <c r="AC6818" t="s">
        <v>79</v>
      </c>
      <c r="AD6818" t="s">
        <v>75</v>
      </c>
      <c r="AE6818" t="s">
        <v>103</v>
      </c>
      <c r="AG6818" t="s">
        <v>81</v>
      </c>
    </row>
    <row r="6819" spans="1:33" x14ac:dyDescent="0.25">
      <c r="A6819" t="str">
        <f>"1528367893"</f>
        <v>1528367893</v>
      </c>
      <c r="C6819" t="s">
        <v>13436</v>
      </c>
      <c r="K6819" t="s">
        <v>99</v>
      </c>
      <c r="L6819" t="s">
        <v>102</v>
      </c>
      <c r="M6819" t="s">
        <v>75</v>
      </c>
      <c r="R6819" t="s">
        <v>31313</v>
      </c>
      <c r="S6819" t="s">
        <v>31314</v>
      </c>
      <c r="T6819" t="s">
        <v>135</v>
      </c>
      <c r="U6819" t="s">
        <v>77</v>
      </c>
      <c r="V6819" t="str">
        <f>"142092024"</f>
        <v>142092024</v>
      </c>
      <c r="AC6819" t="s">
        <v>79</v>
      </c>
      <c r="AD6819" t="s">
        <v>75</v>
      </c>
      <c r="AE6819" t="s">
        <v>103</v>
      </c>
      <c r="AG6819" t="s">
        <v>81</v>
      </c>
    </row>
    <row r="6820" spans="1:33" x14ac:dyDescent="0.25">
      <c r="A6820" t="str">
        <f>"1528375029"</f>
        <v>1528375029</v>
      </c>
      <c r="C6820" t="s">
        <v>13436</v>
      </c>
      <c r="G6820" t="s">
        <v>31315</v>
      </c>
      <c r="K6820" t="s">
        <v>99</v>
      </c>
      <c r="L6820" t="s">
        <v>102</v>
      </c>
      <c r="M6820" t="s">
        <v>75</v>
      </c>
      <c r="R6820" t="s">
        <v>31316</v>
      </c>
      <c r="S6820" t="s">
        <v>191</v>
      </c>
      <c r="T6820" t="s">
        <v>97</v>
      </c>
      <c r="U6820" t="s">
        <v>77</v>
      </c>
      <c r="V6820" t="str">
        <f>"100191147"</f>
        <v>100191147</v>
      </c>
      <c r="AC6820" t="s">
        <v>79</v>
      </c>
      <c r="AD6820" t="s">
        <v>75</v>
      </c>
      <c r="AE6820" t="s">
        <v>103</v>
      </c>
      <c r="AG6820" t="s">
        <v>81</v>
      </c>
    </row>
    <row r="6821" spans="1:33" x14ac:dyDescent="0.25">
      <c r="A6821" t="str">
        <f>"1528378601"</f>
        <v>1528378601</v>
      </c>
      <c r="B6821" t="str">
        <f>"04134465"</f>
        <v>04134465</v>
      </c>
      <c r="C6821" t="s">
        <v>13436</v>
      </c>
      <c r="D6821" t="s">
        <v>31317</v>
      </c>
      <c r="E6821" t="s">
        <v>31318</v>
      </c>
      <c r="L6821" t="s">
        <v>74</v>
      </c>
      <c r="M6821" t="s">
        <v>75</v>
      </c>
      <c r="R6821" t="s">
        <v>31319</v>
      </c>
      <c r="W6821" t="s">
        <v>31318</v>
      </c>
      <c r="X6821" t="s">
        <v>543</v>
      </c>
      <c r="Y6821" t="s">
        <v>87</v>
      </c>
      <c r="Z6821" t="s">
        <v>77</v>
      </c>
      <c r="AA6821" t="str">
        <f>"11206-5317"</f>
        <v>11206-5317</v>
      </c>
      <c r="AB6821" t="s">
        <v>78</v>
      </c>
      <c r="AC6821" t="s">
        <v>79</v>
      </c>
      <c r="AD6821" t="s">
        <v>75</v>
      </c>
      <c r="AE6821" t="s">
        <v>80</v>
      </c>
      <c r="AG6821" t="s">
        <v>81</v>
      </c>
    </row>
    <row r="6822" spans="1:33" x14ac:dyDescent="0.25">
      <c r="A6822" t="str">
        <f>"1528384633"</f>
        <v>1528384633</v>
      </c>
      <c r="B6822" t="str">
        <f>"03406833"</f>
        <v>03406833</v>
      </c>
      <c r="C6822" t="s">
        <v>13436</v>
      </c>
      <c r="D6822" t="s">
        <v>31320</v>
      </c>
      <c r="E6822" t="s">
        <v>31321</v>
      </c>
      <c r="L6822" t="s">
        <v>102</v>
      </c>
      <c r="M6822" t="s">
        <v>75</v>
      </c>
      <c r="R6822" t="s">
        <v>31322</v>
      </c>
      <c r="W6822" t="s">
        <v>31321</v>
      </c>
      <c r="X6822" t="s">
        <v>31323</v>
      </c>
      <c r="Y6822" t="s">
        <v>97</v>
      </c>
      <c r="Z6822" t="s">
        <v>77</v>
      </c>
      <c r="AA6822" t="str">
        <f>"10128-4016"</f>
        <v>10128-4016</v>
      </c>
      <c r="AB6822" t="s">
        <v>82</v>
      </c>
      <c r="AC6822" t="s">
        <v>79</v>
      </c>
      <c r="AD6822" t="s">
        <v>75</v>
      </c>
      <c r="AE6822" t="s">
        <v>80</v>
      </c>
      <c r="AG6822" t="s">
        <v>81</v>
      </c>
    </row>
    <row r="6823" spans="1:33" x14ac:dyDescent="0.25">
      <c r="A6823" t="str">
        <f>"1437424728"</f>
        <v>1437424728</v>
      </c>
      <c r="C6823" t="s">
        <v>13436</v>
      </c>
      <c r="K6823" t="s">
        <v>99</v>
      </c>
      <c r="L6823" t="s">
        <v>102</v>
      </c>
      <c r="M6823" t="s">
        <v>75</v>
      </c>
      <c r="R6823" t="s">
        <v>31324</v>
      </c>
      <c r="S6823" t="s">
        <v>5249</v>
      </c>
      <c r="T6823" t="s">
        <v>97</v>
      </c>
      <c r="U6823" t="s">
        <v>77</v>
      </c>
      <c r="V6823" t="str">
        <f>"100033805"</f>
        <v>100033805</v>
      </c>
      <c r="AC6823" t="s">
        <v>79</v>
      </c>
      <c r="AD6823" t="s">
        <v>75</v>
      </c>
      <c r="AE6823" t="s">
        <v>103</v>
      </c>
      <c r="AG6823" t="s">
        <v>81</v>
      </c>
    </row>
    <row r="6824" spans="1:33" x14ac:dyDescent="0.25">
      <c r="A6824" t="str">
        <f>"1528389178"</f>
        <v>1528389178</v>
      </c>
      <c r="B6824" t="str">
        <f>"04407934"</f>
        <v>04407934</v>
      </c>
      <c r="C6824" t="s">
        <v>13436</v>
      </c>
      <c r="D6824" t="s">
        <v>31325</v>
      </c>
      <c r="E6824" t="s">
        <v>31326</v>
      </c>
      <c r="L6824" t="s">
        <v>74</v>
      </c>
      <c r="M6824" t="s">
        <v>75</v>
      </c>
      <c r="R6824" t="s">
        <v>31327</v>
      </c>
      <c r="W6824" t="s">
        <v>31326</v>
      </c>
      <c r="X6824" t="s">
        <v>258</v>
      </c>
      <c r="Y6824" t="s">
        <v>131</v>
      </c>
      <c r="Z6824" t="s">
        <v>77</v>
      </c>
      <c r="AA6824" t="str">
        <f>"10467-2401"</f>
        <v>10467-2401</v>
      </c>
      <c r="AB6824" t="s">
        <v>78</v>
      </c>
      <c r="AC6824" t="s">
        <v>79</v>
      </c>
      <c r="AD6824" t="s">
        <v>75</v>
      </c>
      <c r="AE6824" t="s">
        <v>80</v>
      </c>
      <c r="AG6824" t="s">
        <v>81</v>
      </c>
    </row>
    <row r="6825" spans="1:33" x14ac:dyDescent="0.25">
      <c r="A6825" t="str">
        <f>"1528399029"</f>
        <v>1528399029</v>
      </c>
      <c r="B6825" t="str">
        <f>"03188543"</f>
        <v>03188543</v>
      </c>
      <c r="C6825" t="s">
        <v>13436</v>
      </c>
      <c r="D6825" t="s">
        <v>31328</v>
      </c>
      <c r="E6825" t="s">
        <v>31329</v>
      </c>
      <c r="G6825" t="s">
        <v>31330</v>
      </c>
      <c r="L6825" t="s">
        <v>74</v>
      </c>
      <c r="M6825" t="s">
        <v>75</v>
      </c>
      <c r="R6825" t="s">
        <v>31331</v>
      </c>
      <c r="W6825" t="s">
        <v>31332</v>
      </c>
      <c r="X6825" t="s">
        <v>31333</v>
      </c>
      <c r="Y6825" t="s">
        <v>97</v>
      </c>
      <c r="Z6825" t="s">
        <v>77</v>
      </c>
      <c r="AA6825" t="str">
        <f>"10029-0001"</f>
        <v>10029-0001</v>
      </c>
      <c r="AB6825" t="s">
        <v>78</v>
      </c>
      <c r="AC6825" t="s">
        <v>79</v>
      </c>
      <c r="AD6825" t="s">
        <v>75</v>
      </c>
      <c r="AE6825" t="s">
        <v>80</v>
      </c>
      <c r="AG6825" t="s">
        <v>81</v>
      </c>
    </row>
    <row r="6826" spans="1:33" x14ac:dyDescent="0.25">
      <c r="A6826" t="str">
        <f>"1528400108"</f>
        <v>1528400108</v>
      </c>
      <c r="B6826" t="str">
        <f>"03738474"</f>
        <v>03738474</v>
      </c>
      <c r="C6826" t="s">
        <v>13436</v>
      </c>
      <c r="D6826" t="s">
        <v>31334</v>
      </c>
      <c r="E6826" t="s">
        <v>31335</v>
      </c>
      <c r="G6826" t="s">
        <v>31336</v>
      </c>
      <c r="L6826" t="s">
        <v>102</v>
      </c>
      <c r="M6826" t="s">
        <v>75</v>
      </c>
      <c r="R6826" t="s">
        <v>31337</v>
      </c>
      <c r="W6826" t="s">
        <v>31335</v>
      </c>
      <c r="X6826" t="s">
        <v>329</v>
      </c>
      <c r="Y6826" t="s">
        <v>97</v>
      </c>
      <c r="Z6826" t="s">
        <v>77</v>
      </c>
      <c r="AA6826" t="str">
        <f>"10029-6504"</f>
        <v>10029-6504</v>
      </c>
      <c r="AB6826" t="s">
        <v>78</v>
      </c>
      <c r="AC6826" t="s">
        <v>79</v>
      </c>
      <c r="AD6826" t="s">
        <v>75</v>
      </c>
      <c r="AE6826" t="s">
        <v>80</v>
      </c>
      <c r="AG6826" t="s">
        <v>81</v>
      </c>
    </row>
    <row r="6827" spans="1:33" x14ac:dyDescent="0.25">
      <c r="A6827" t="str">
        <f>"1528401734"</f>
        <v>1528401734</v>
      </c>
      <c r="C6827" t="s">
        <v>13436</v>
      </c>
      <c r="K6827" t="s">
        <v>99</v>
      </c>
      <c r="L6827" t="s">
        <v>102</v>
      </c>
      <c r="M6827" t="s">
        <v>75</v>
      </c>
      <c r="R6827" t="s">
        <v>31338</v>
      </c>
      <c r="S6827" t="s">
        <v>329</v>
      </c>
      <c r="T6827" t="s">
        <v>97</v>
      </c>
      <c r="U6827" t="s">
        <v>77</v>
      </c>
      <c r="V6827" t="str">
        <f>"100296500"</f>
        <v>100296500</v>
      </c>
      <c r="AC6827" t="s">
        <v>79</v>
      </c>
      <c r="AD6827" t="s">
        <v>75</v>
      </c>
      <c r="AE6827" t="s">
        <v>103</v>
      </c>
      <c r="AG6827" t="s">
        <v>81</v>
      </c>
    </row>
    <row r="6828" spans="1:33" x14ac:dyDescent="0.25">
      <c r="A6828" t="str">
        <f>"1083652606"</f>
        <v>1083652606</v>
      </c>
      <c r="B6828" t="str">
        <f>"02723251"</f>
        <v>02723251</v>
      </c>
      <c r="C6828" t="s">
        <v>13436</v>
      </c>
      <c r="D6828" t="s">
        <v>31339</v>
      </c>
      <c r="E6828" t="s">
        <v>31340</v>
      </c>
      <c r="G6828" t="s">
        <v>31341</v>
      </c>
      <c r="L6828" t="s">
        <v>84</v>
      </c>
      <c r="M6828" t="s">
        <v>85</v>
      </c>
      <c r="R6828" t="s">
        <v>31342</v>
      </c>
      <c r="W6828" t="s">
        <v>31343</v>
      </c>
      <c r="X6828" t="s">
        <v>19547</v>
      </c>
      <c r="Y6828" t="s">
        <v>97</v>
      </c>
      <c r="Z6828" t="s">
        <v>77</v>
      </c>
      <c r="AA6828" t="str">
        <f>"10013-5575"</f>
        <v>10013-5575</v>
      </c>
      <c r="AB6828" t="s">
        <v>78</v>
      </c>
      <c r="AC6828" t="s">
        <v>79</v>
      </c>
      <c r="AD6828" t="s">
        <v>75</v>
      </c>
      <c r="AE6828" t="s">
        <v>80</v>
      </c>
      <c r="AG6828" t="s">
        <v>81</v>
      </c>
    </row>
    <row r="6829" spans="1:33" x14ac:dyDescent="0.25">
      <c r="A6829" t="str">
        <f>"1093724056"</f>
        <v>1093724056</v>
      </c>
      <c r="B6829" t="str">
        <f>"00573377"</f>
        <v>00573377</v>
      </c>
      <c r="C6829" t="s">
        <v>13436</v>
      </c>
      <c r="D6829" t="s">
        <v>31344</v>
      </c>
      <c r="E6829" t="s">
        <v>31345</v>
      </c>
      <c r="G6829" t="s">
        <v>31346</v>
      </c>
      <c r="L6829" t="s">
        <v>83</v>
      </c>
      <c r="M6829" t="s">
        <v>85</v>
      </c>
      <c r="R6829" t="s">
        <v>31347</v>
      </c>
      <c r="W6829" t="s">
        <v>31347</v>
      </c>
      <c r="X6829" t="s">
        <v>30264</v>
      </c>
      <c r="Y6829" t="s">
        <v>97</v>
      </c>
      <c r="Z6829" t="s">
        <v>77</v>
      </c>
      <c r="AA6829" t="str">
        <f>"10009-2706"</f>
        <v>10009-2706</v>
      </c>
      <c r="AB6829" t="s">
        <v>78</v>
      </c>
      <c r="AC6829" t="s">
        <v>79</v>
      </c>
      <c r="AD6829" t="s">
        <v>75</v>
      </c>
      <c r="AE6829" t="s">
        <v>80</v>
      </c>
      <c r="AG6829" t="s">
        <v>81</v>
      </c>
    </row>
    <row r="6830" spans="1:33" x14ac:dyDescent="0.25">
      <c r="A6830" t="str">
        <f>"1093748014"</f>
        <v>1093748014</v>
      </c>
      <c r="B6830" t="str">
        <f>"02122172"</f>
        <v>02122172</v>
      </c>
      <c r="C6830" t="s">
        <v>13436</v>
      </c>
      <c r="D6830" t="s">
        <v>31348</v>
      </c>
      <c r="E6830" t="s">
        <v>31349</v>
      </c>
      <c r="G6830" t="s">
        <v>31350</v>
      </c>
      <c r="L6830" t="s">
        <v>84</v>
      </c>
      <c r="M6830" t="s">
        <v>85</v>
      </c>
      <c r="R6830" t="s">
        <v>31349</v>
      </c>
      <c r="W6830" t="s">
        <v>31349</v>
      </c>
      <c r="X6830" t="s">
        <v>3391</v>
      </c>
      <c r="Y6830" t="s">
        <v>97</v>
      </c>
      <c r="Z6830" t="s">
        <v>77</v>
      </c>
      <c r="AA6830" t="str">
        <f>"10037-1802"</f>
        <v>10037-1802</v>
      </c>
      <c r="AB6830" t="s">
        <v>78</v>
      </c>
      <c r="AC6830" t="s">
        <v>79</v>
      </c>
      <c r="AD6830" t="s">
        <v>75</v>
      </c>
      <c r="AE6830" t="s">
        <v>80</v>
      </c>
      <c r="AG6830" t="s">
        <v>81</v>
      </c>
    </row>
    <row r="6831" spans="1:33" x14ac:dyDescent="0.25">
      <c r="A6831" t="str">
        <f>"1093890667"</f>
        <v>1093890667</v>
      </c>
      <c r="B6831" t="str">
        <f>"01037067"</f>
        <v>01037067</v>
      </c>
      <c r="C6831" t="s">
        <v>13436</v>
      </c>
      <c r="D6831" t="s">
        <v>31351</v>
      </c>
      <c r="E6831" t="s">
        <v>31352</v>
      </c>
      <c r="G6831" t="s">
        <v>31353</v>
      </c>
      <c r="L6831" t="s">
        <v>83</v>
      </c>
      <c r="M6831" t="s">
        <v>85</v>
      </c>
      <c r="R6831" t="s">
        <v>31354</v>
      </c>
      <c r="W6831" t="s">
        <v>31352</v>
      </c>
      <c r="X6831" t="s">
        <v>31355</v>
      </c>
      <c r="Y6831" t="s">
        <v>97</v>
      </c>
      <c r="Z6831" t="s">
        <v>77</v>
      </c>
      <c r="AA6831" t="str">
        <f>"10128-7603"</f>
        <v>10128-7603</v>
      </c>
      <c r="AB6831" t="s">
        <v>78</v>
      </c>
      <c r="AC6831" t="s">
        <v>79</v>
      </c>
      <c r="AD6831" t="s">
        <v>75</v>
      </c>
      <c r="AE6831" t="s">
        <v>80</v>
      </c>
      <c r="AG6831" t="s">
        <v>81</v>
      </c>
    </row>
    <row r="6832" spans="1:33" x14ac:dyDescent="0.25">
      <c r="A6832" t="str">
        <f>"1093967184"</f>
        <v>1093967184</v>
      </c>
      <c r="B6832" t="str">
        <f>"03339544"</f>
        <v>03339544</v>
      </c>
      <c r="C6832" t="s">
        <v>13436</v>
      </c>
      <c r="D6832" t="s">
        <v>31356</v>
      </c>
      <c r="E6832" t="s">
        <v>31357</v>
      </c>
      <c r="G6832" t="s">
        <v>31358</v>
      </c>
      <c r="L6832" t="s">
        <v>83</v>
      </c>
      <c r="M6832" t="s">
        <v>85</v>
      </c>
      <c r="R6832" t="s">
        <v>31359</v>
      </c>
      <c r="W6832" t="s">
        <v>31357</v>
      </c>
      <c r="X6832" t="s">
        <v>995</v>
      </c>
      <c r="Y6832" t="s">
        <v>97</v>
      </c>
      <c r="Z6832" t="s">
        <v>77</v>
      </c>
      <c r="AA6832" t="str">
        <f>"10013-4554"</f>
        <v>10013-4554</v>
      </c>
      <c r="AB6832" t="s">
        <v>78</v>
      </c>
      <c r="AC6832" t="s">
        <v>79</v>
      </c>
      <c r="AD6832" t="s">
        <v>75</v>
      </c>
      <c r="AE6832" t="s">
        <v>80</v>
      </c>
      <c r="AG6832" t="s">
        <v>81</v>
      </c>
    </row>
    <row r="6833" spans="1:33" x14ac:dyDescent="0.25">
      <c r="A6833" t="str">
        <f>"1104836337"</f>
        <v>1104836337</v>
      </c>
      <c r="B6833" t="str">
        <f>"00138532"</f>
        <v>00138532</v>
      </c>
      <c r="C6833" t="s">
        <v>13436</v>
      </c>
      <c r="D6833" t="s">
        <v>31360</v>
      </c>
      <c r="E6833" t="s">
        <v>31361</v>
      </c>
      <c r="G6833" t="s">
        <v>31362</v>
      </c>
      <c r="L6833" t="s">
        <v>84</v>
      </c>
      <c r="M6833" t="s">
        <v>85</v>
      </c>
      <c r="R6833" t="s">
        <v>31363</v>
      </c>
      <c r="W6833" t="s">
        <v>31361</v>
      </c>
      <c r="X6833" t="s">
        <v>15380</v>
      </c>
      <c r="Y6833" t="s">
        <v>97</v>
      </c>
      <c r="Z6833" t="s">
        <v>77</v>
      </c>
      <c r="AA6833" t="str">
        <f>"10003"</f>
        <v>10003</v>
      </c>
      <c r="AB6833" t="s">
        <v>78</v>
      </c>
      <c r="AC6833" t="s">
        <v>79</v>
      </c>
      <c r="AD6833" t="s">
        <v>75</v>
      </c>
      <c r="AE6833" t="s">
        <v>80</v>
      </c>
      <c r="AG6833" t="s">
        <v>81</v>
      </c>
    </row>
    <row r="6834" spans="1:33" x14ac:dyDescent="0.25">
      <c r="A6834" t="str">
        <f>"1316379803"</f>
        <v>1316379803</v>
      </c>
      <c r="C6834" t="s">
        <v>13436</v>
      </c>
      <c r="G6834" t="s">
        <v>31364</v>
      </c>
      <c r="K6834" t="s">
        <v>99</v>
      </c>
      <c r="L6834" t="s">
        <v>102</v>
      </c>
      <c r="M6834" t="s">
        <v>75</v>
      </c>
      <c r="R6834" t="s">
        <v>31365</v>
      </c>
      <c r="S6834" t="s">
        <v>12769</v>
      </c>
      <c r="T6834" t="s">
        <v>4861</v>
      </c>
      <c r="U6834" t="s">
        <v>156</v>
      </c>
      <c r="V6834" t="str">
        <f>"076311808"</f>
        <v>076311808</v>
      </c>
      <c r="AC6834" t="s">
        <v>79</v>
      </c>
      <c r="AD6834" t="s">
        <v>75</v>
      </c>
      <c r="AE6834" t="s">
        <v>103</v>
      </c>
      <c r="AG6834" t="s">
        <v>81</v>
      </c>
    </row>
    <row r="6835" spans="1:33" x14ac:dyDescent="0.25">
      <c r="A6835" t="str">
        <f>"1316918592"</f>
        <v>1316918592</v>
      </c>
      <c r="B6835" t="str">
        <f>"00835754"</f>
        <v>00835754</v>
      </c>
      <c r="C6835" t="s">
        <v>13436</v>
      </c>
      <c r="D6835" t="s">
        <v>31366</v>
      </c>
      <c r="E6835" t="s">
        <v>31367</v>
      </c>
      <c r="G6835" t="s">
        <v>31368</v>
      </c>
      <c r="L6835" t="s">
        <v>83</v>
      </c>
      <c r="M6835" t="s">
        <v>85</v>
      </c>
      <c r="R6835" t="s">
        <v>31369</v>
      </c>
      <c r="W6835" t="s">
        <v>31370</v>
      </c>
      <c r="X6835" t="s">
        <v>272</v>
      </c>
      <c r="Y6835" t="s">
        <v>97</v>
      </c>
      <c r="Z6835" t="s">
        <v>77</v>
      </c>
      <c r="AA6835" t="str">
        <f>"10029-6501"</f>
        <v>10029-6501</v>
      </c>
      <c r="AB6835" t="s">
        <v>78</v>
      </c>
      <c r="AC6835" t="s">
        <v>79</v>
      </c>
      <c r="AD6835" t="s">
        <v>75</v>
      </c>
      <c r="AE6835" t="s">
        <v>80</v>
      </c>
      <c r="AG6835" t="s">
        <v>81</v>
      </c>
    </row>
    <row r="6836" spans="1:33" x14ac:dyDescent="0.25">
      <c r="A6836" t="str">
        <f>"1053502567"</f>
        <v>1053502567</v>
      </c>
      <c r="B6836" t="str">
        <f>"02907862"</f>
        <v>02907862</v>
      </c>
      <c r="C6836" t="s">
        <v>13436</v>
      </c>
      <c r="D6836" t="s">
        <v>31371</v>
      </c>
      <c r="E6836" t="s">
        <v>31372</v>
      </c>
      <c r="L6836" t="s">
        <v>84</v>
      </c>
      <c r="M6836" t="s">
        <v>75</v>
      </c>
      <c r="R6836" t="s">
        <v>31373</v>
      </c>
      <c r="W6836" t="s">
        <v>31372</v>
      </c>
      <c r="X6836" t="s">
        <v>185</v>
      </c>
      <c r="Y6836" t="s">
        <v>97</v>
      </c>
      <c r="Z6836" t="s">
        <v>77</v>
      </c>
      <c r="AA6836" t="str">
        <f>"10035-2709"</f>
        <v>10035-2709</v>
      </c>
      <c r="AB6836" t="s">
        <v>78</v>
      </c>
      <c r="AC6836" t="s">
        <v>79</v>
      </c>
      <c r="AD6836" t="s">
        <v>75</v>
      </c>
      <c r="AE6836" t="s">
        <v>80</v>
      </c>
      <c r="AG6836" t="s">
        <v>81</v>
      </c>
    </row>
    <row r="6837" spans="1:33" x14ac:dyDescent="0.25">
      <c r="A6837" t="str">
        <f>"1053512285"</f>
        <v>1053512285</v>
      </c>
      <c r="B6837" t="str">
        <f>"03537235"</f>
        <v>03537235</v>
      </c>
      <c r="C6837" t="s">
        <v>13436</v>
      </c>
      <c r="D6837" t="s">
        <v>31374</v>
      </c>
      <c r="E6837" t="s">
        <v>31375</v>
      </c>
      <c r="G6837" t="s">
        <v>31376</v>
      </c>
      <c r="L6837" t="s">
        <v>83</v>
      </c>
      <c r="M6837" t="s">
        <v>85</v>
      </c>
      <c r="R6837" t="s">
        <v>31377</v>
      </c>
      <c r="W6837" t="s">
        <v>31375</v>
      </c>
      <c r="X6837" t="s">
        <v>13946</v>
      </c>
      <c r="Y6837" t="s">
        <v>1965</v>
      </c>
      <c r="Z6837" t="s">
        <v>77</v>
      </c>
      <c r="AA6837" t="str">
        <f>"11767-1089"</f>
        <v>11767-1089</v>
      </c>
      <c r="AB6837" t="s">
        <v>78</v>
      </c>
      <c r="AC6837" t="s">
        <v>79</v>
      </c>
      <c r="AD6837" t="s">
        <v>75</v>
      </c>
      <c r="AE6837" t="s">
        <v>80</v>
      </c>
      <c r="AG6837" t="s">
        <v>81</v>
      </c>
    </row>
    <row r="6838" spans="1:33" x14ac:dyDescent="0.25">
      <c r="A6838" t="str">
        <f>"1215181839"</f>
        <v>1215181839</v>
      </c>
      <c r="B6838" t="str">
        <f>"02482240"</f>
        <v>02482240</v>
      </c>
      <c r="C6838" t="s">
        <v>13436</v>
      </c>
      <c r="D6838" t="s">
        <v>31378</v>
      </c>
      <c r="E6838" t="s">
        <v>31379</v>
      </c>
      <c r="G6838" t="s">
        <v>31380</v>
      </c>
      <c r="L6838" t="s">
        <v>83</v>
      </c>
      <c r="M6838" t="s">
        <v>85</v>
      </c>
      <c r="R6838" t="s">
        <v>31381</v>
      </c>
      <c r="W6838" t="s">
        <v>31379</v>
      </c>
      <c r="X6838" t="s">
        <v>329</v>
      </c>
      <c r="Y6838" t="s">
        <v>97</v>
      </c>
      <c r="Z6838" t="s">
        <v>77</v>
      </c>
      <c r="AA6838" t="str">
        <f>"10029-6504"</f>
        <v>10029-6504</v>
      </c>
      <c r="AB6838" t="s">
        <v>78</v>
      </c>
      <c r="AC6838" t="s">
        <v>79</v>
      </c>
      <c r="AD6838" t="s">
        <v>75</v>
      </c>
      <c r="AE6838" t="s">
        <v>80</v>
      </c>
      <c r="AG6838" t="s">
        <v>81</v>
      </c>
    </row>
    <row r="6839" spans="1:33" x14ac:dyDescent="0.25">
      <c r="A6839" t="str">
        <f>"1386816726"</f>
        <v>1386816726</v>
      </c>
      <c r="B6839" t="str">
        <f>"01405274"</f>
        <v>01405274</v>
      </c>
      <c r="C6839" t="s">
        <v>13436</v>
      </c>
      <c r="D6839" t="s">
        <v>31382</v>
      </c>
      <c r="E6839" t="s">
        <v>31383</v>
      </c>
      <c r="G6839" t="s">
        <v>31384</v>
      </c>
      <c r="L6839" t="s">
        <v>102</v>
      </c>
      <c r="M6839" t="s">
        <v>75</v>
      </c>
      <c r="R6839" t="s">
        <v>31385</v>
      </c>
      <c r="W6839" t="s">
        <v>31383</v>
      </c>
      <c r="X6839" t="s">
        <v>29615</v>
      </c>
      <c r="Y6839" t="s">
        <v>97</v>
      </c>
      <c r="Z6839" t="s">
        <v>77</v>
      </c>
      <c r="AA6839" t="str">
        <f>"10128-5604"</f>
        <v>10128-5604</v>
      </c>
      <c r="AB6839" t="s">
        <v>78</v>
      </c>
      <c r="AC6839" t="s">
        <v>79</v>
      </c>
      <c r="AD6839" t="s">
        <v>75</v>
      </c>
      <c r="AE6839" t="s">
        <v>80</v>
      </c>
      <c r="AG6839" t="s">
        <v>81</v>
      </c>
    </row>
    <row r="6840" spans="1:33" x14ac:dyDescent="0.25">
      <c r="A6840" t="str">
        <f>"1396010658"</f>
        <v>1396010658</v>
      </c>
      <c r="C6840" t="s">
        <v>13436</v>
      </c>
      <c r="G6840" t="s">
        <v>31386</v>
      </c>
      <c r="K6840" t="s">
        <v>99</v>
      </c>
      <c r="L6840" t="s">
        <v>102</v>
      </c>
      <c r="M6840" t="s">
        <v>75</v>
      </c>
      <c r="R6840" t="s">
        <v>31387</v>
      </c>
      <c r="S6840" t="s">
        <v>31388</v>
      </c>
      <c r="T6840" t="s">
        <v>131</v>
      </c>
      <c r="U6840" t="s">
        <v>77</v>
      </c>
      <c r="V6840" t="str">
        <f>"104612140"</f>
        <v>104612140</v>
      </c>
      <c r="AC6840" t="s">
        <v>79</v>
      </c>
      <c r="AD6840" t="s">
        <v>75</v>
      </c>
      <c r="AE6840" t="s">
        <v>103</v>
      </c>
      <c r="AG6840" t="s">
        <v>81</v>
      </c>
    </row>
    <row r="6841" spans="1:33" x14ac:dyDescent="0.25">
      <c r="A6841" t="str">
        <f>"1396711776"</f>
        <v>1396711776</v>
      </c>
      <c r="B6841" t="str">
        <f>"01740523"</f>
        <v>01740523</v>
      </c>
      <c r="C6841" t="s">
        <v>13436</v>
      </c>
      <c r="D6841" t="s">
        <v>31389</v>
      </c>
      <c r="E6841" t="s">
        <v>31390</v>
      </c>
      <c r="G6841" t="s">
        <v>31391</v>
      </c>
      <c r="L6841" t="s">
        <v>83</v>
      </c>
      <c r="M6841" t="s">
        <v>85</v>
      </c>
      <c r="R6841" t="s">
        <v>31392</v>
      </c>
      <c r="W6841" t="s">
        <v>31393</v>
      </c>
      <c r="X6841" t="s">
        <v>25827</v>
      </c>
      <c r="Y6841" t="s">
        <v>97</v>
      </c>
      <c r="Z6841" t="s">
        <v>77</v>
      </c>
      <c r="AA6841" t="str">
        <f>"10029-6542"</f>
        <v>10029-6542</v>
      </c>
      <c r="AB6841" t="s">
        <v>78</v>
      </c>
      <c r="AC6841" t="s">
        <v>79</v>
      </c>
      <c r="AD6841" t="s">
        <v>75</v>
      </c>
      <c r="AE6841" t="s">
        <v>80</v>
      </c>
      <c r="AG6841" t="s">
        <v>81</v>
      </c>
    </row>
    <row r="6842" spans="1:33" x14ac:dyDescent="0.25">
      <c r="A6842" t="str">
        <f>"1396762837"</f>
        <v>1396762837</v>
      </c>
      <c r="B6842" t="str">
        <f>"02510543"</f>
        <v>02510543</v>
      </c>
      <c r="C6842" t="s">
        <v>13436</v>
      </c>
      <c r="D6842" t="s">
        <v>4174</v>
      </c>
      <c r="E6842" t="s">
        <v>4175</v>
      </c>
      <c r="G6842" t="s">
        <v>31394</v>
      </c>
      <c r="L6842" t="s">
        <v>143</v>
      </c>
      <c r="M6842" t="s">
        <v>85</v>
      </c>
      <c r="R6842" t="s">
        <v>4176</v>
      </c>
      <c r="W6842" t="s">
        <v>4177</v>
      </c>
      <c r="X6842" t="s">
        <v>3596</v>
      </c>
      <c r="Y6842" t="s">
        <v>180</v>
      </c>
      <c r="Z6842" t="s">
        <v>77</v>
      </c>
      <c r="AA6842" t="str">
        <f>"10701-2930"</f>
        <v>10701-2930</v>
      </c>
      <c r="AB6842" t="s">
        <v>78</v>
      </c>
      <c r="AC6842" t="s">
        <v>79</v>
      </c>
      <c r="AD6842" t="s">
        <v>75</v>
      </c>
      <c r="AE6842" t="s">
        <v>80</v>
      </c>
      <c r="AG6842" t="s">
        <v>81</v>
      </c>
    </row>
    <row r="6843" spans="1:33" x14ac:dyDescent="0.25">
      <c r="A6843" t="str">
        <f>"1396836326"</f>
        <v>1396836326</v>
      </c>
      <c r="B6843" t="str">
        <f>"00706661"</f>
        <v>00706661</v>
      </c>
      <c r="C6843" t="s">
        <v>13436</v>
      </c>
      <c r="D6843" t="s">
        <v>31395</v>
      </c>
      <c r="E6843" t="s">
        <v>31396</v>
      </c>
      <c r="G6843" t="s">
        <v>31397</v>
      </c>
      <c r="L6843" t="s">
        <v>83</v>
      </c>
      <c r="M6843" t="s">
        <v>85</v>
      </c>
      <c r="R6843" t="s">
        <v>31398</v>
      </c>
      <c r="W6843" t="s">
        <v>31399</v>
      </c>
      <c r="X6843" t="s">
        <v>31400</v>
      </c>
      <c r="Y6843" t="s">
        <v>97</v>
      </c>
      <c r="Z6843" t="s">
        <v>77</v>
      </c>
      <c r="AA6843" t="str">
        <f>"10128-4077"</f>
        <v>10128-4077</v>
      </c>
      <c r="AB6843" t="s">
        <v>78</v>
      </c>
      <c r="AC6843" t="s">
        <v>79</v>
      </c>
      <c r="AD6843" t="s">
        <v>75</v>
      </c>
      <c r="AE6843" t="s">
        <v>80</v>
      </c>
      <c r="AG6843" t="s">
        <v>81</v>
      </c>
    </row>
    <row r="6844" spans="1:33" x14ac:dyDescent="0.25">
      <c r="A6844" t="str">
        <f>"1013208057"</f>
        <v>1013208057</v>
      </c>
      <c r="C6844" t="s">
        <v>13436</v>
      </c>
      <c r="K6844" t="s">
        <v>99</v>
      </c>
      <c r="L6844" t="s">
        <v>102</v>
      </c>
      <c r="M6844" t="s">
        <v>75</v>
      </c>
      <c r="R6844" t="s">
        <v>31401</v>
      </c>
      <c r="S6844" t="s">
        <v>31402</v>
      </c>
      <c r="T6844" t="s">
        <v>31403</v>
      </c>
      <c r="U6844" t="s">
        <v>1784</v>
      </c>
      <c r="V6844" t="str">
        <f>"193421272"</f>
        <v>193421272</v>
      </c>
      <c r="AC6844" t="s">
        <v>79</v>
      </c>
      <c r="AD6844" t="s">
        <v>75</v>
      </c>
      <c r="AE6844" t="s">
        <v>103</v>
      </c>
      <c r="AG6844" t="s">
        <v>81</v>
      </c>
    </row>
    <row r="6845" spans="1:33" x14ac:dyDescent="0.25">
      <c r="A6845" t="str">
        <f>"1265491427"</f>
        <v>1265491427</v>
      </c>
      <c r="B6845" t="str">
        <f>"01981240"</f>
        <v>01981240</v>
      </c>
      <c r="C6845" t="s">
        <v>13436</v>
      </c>
      <c r="D6845" t="s">
        <v>31404</v>
      </c>
      <c r="E6845" t="s">
        <v>31405</v>
      </c>
      <c r="L6845" t="s">
        <v>74</v>
      </c>
      <c r="M6845" t="s">
        <v>75</v>
      </c>
      <c r="R6845" t="s">
        <v>31406</v>
      </c>
      <c r="W6845" t="s">
        <v>31405</v>
      </c>
      <c r="X6845" t="s">
        <v>329</v>
      </c>
      <c r="Y6845" t="s">
        <v>97</v>
      </c>
      <c r="Z6845" t="s">
        <v>77</v>
      </c>
      <c r="AA6845" t="str">
        <f>"10029-6500"</f>
        <v>10029-6500</v>
      </c>
      <c r="AB6845" t="s">
        <v>78</v>
      </c>
      <c r="AC6845" t="s">
        <v>79</v>
      </c>
      <c r="AD6845" t="s">
        <v>75</v>
      </c>
      <c r="AE6845" t="s">
        <v>80</v>
      </c>
      <c r="AG6845" t="s">
        <v>81</v>
      </c>
    </row>
    <row r="6846" spans="1:33" x14ac:dyDescent="0.25">
      <c r="A6846" t="str">
        <f>"1265491500"</f>
        <v>1265491500</v>
      </c>
      <c r="B6846" t="str">
        <f>"02472273"</f>
        <v>02472273</v>
      </c>
      <c r="C6846" t="s">
        <v>13436</v>
      </c>
      <c r="D6846" t="s">
        <v>31407</v>
      </c>
      <c r="E6846" t="s">
        <v>31408</v>
      </c>
      <c r="G6846" t="s">
        <v>31409</v>
      </c>
      <c r="L6846" t="s">
        <v>84</v>
      </c>
      <c r="M6846" t="s">
        <v>75</v>
      </c>
      <c r="R6846" t="s">
        <v>31410</v>
      </c>
      <c r="W6846" t="s">
        <v>31408</v>
      </c>
      <c r="X6846" t="s">
        <v>323</v>
      </c>
      <c r="Y6846" t="s">
        <v>87</v>
      </c>
      <c r="Z6846" t="s">
        <v>77</v>
      </c>
      <c r="AA6846" t="str">
        <f>"11201-5509"</f>
        <v>11201-5509</v>
      </c>
      <c r="AB6846" t="s">
        <v>78</v>
      </c>
      <c r="AC6846" t="s">
        <v>79</v>
      </c>
      <c r="AD6846" t="s">
        <v>75</v>
      </c>
      <c r="AE6846" t="s">
        <v>80</v>
      </c>
      <c r="AG6846" t="s">
        <v>81</v>
      </c>
    </row>
    <row r="6847" spans="1:33" x14ac:dyDescent="0.25">
      <c r="A6847" t="str">
        <f>"1265495907"</f>
        <v>1265495907</v>
      </c>
      <c r="B6847" t="str">
        <f>"01867005"</f>
        <v>01867005</v>
      </c>
      <c r="C6847" t="s">
        <v>13436</v>
      </c>
      <c r="D6847" t="s">
        <v>31411</v>
      </c>
      <c r="E6847" t="s">
        <v>31412</v>
      </c>
      <c r="G6847" t="s">
        <v>31413</v>
      </c>
      <c r="L6847" t="s">
        <v>102</v>
      </c>
      <c r="M6847" t="s">
        <v>75</v>
      </c>
      <c r="R6847" t="s">
        <v>31414</v>
      </c>
      <c r="W6847" t="s">
        <v>31412</v>
      </c>
      <c r="X6847" t="s">
        <v>329</v>
      </c>
      <c r="Y6847" t="s">
        <v>97</v>
      </c>
      <c r="Z6847" t="s">
        <v>77</v>
      </c>
      <c r="AA6847" t="str">
        <f>"10029-6500"</f>
        <v>10029-6500</v>
      </c>
      <c r="AB6847" t="s">
        <v>78</v>
      </c>
      <c r="AC6847" t="s">
        <v>79</v>
      </c>
      <c r="AD6847" t="s">
        <v>75</v>
      </c>
      <c r="AE6847" t="s">
        <v>80</v>
      </c>
      <c r="AG6847" t="s">
        <v>81</v>
      </c>
    </row>
    <row r="6848" spans="1:33" x14ac:dyDescent="0.25">
      <c r="A6848" t="str">
        <f>"1265506356"</f>
        <v>1265506356</v>
      </c>
      <c r="C6848" t="s">
        <v>13436</v>
      </c>
      <c r="K6848" t="s">
        <v>99</v>
      </c>
      <c r="L6848" t="s">
        <v>74</v>
      </c>
      <c r="M6848" t="s">
        <v>75</v>
      </c>
      <c r="R6848" t="s">
        <v>31415</v>
      </c>
      <c r="S6848" t="s">
        <v>329</v>
      </c>
      <c r="T6848" t="s">
        <v>97</v>
      </c>
      <c r="U6848" t="s">
        <v>77</v>
      </c>
      <c r="V6848" t="str">
        <f>"100296574"</f>
        <v>100296574</v>
      </c>
      <c r="AC6848" t="s">
        <v>79</v>
      </c>
      <c r="AD6848" t="s">
        <v>75</v>
      </c>
      <c r="AE6848" t="s">
        <v>103</v>
      </c>
      <c r="AG6848" t="s">
        <v>81</v>
      </c>
    </row>
    <row r="6849" spans="1:33" x14ac:dyDescent="0.25">
      <c r="A6849" t="str">
        <f>"1982963831"</f>
        <v>1982963831</v>
      </c>
      <c r="B6849" t="str">
        <f>"03579779"</f>
        <v>03579779</v>
      </c>
      <c r="C6849" t="s">
        <v>13436</v>
      </c>
      <c r="D6849" t="s">
        <v>31416</v>
      </c>
      <c r="E6849" t="s">
        <v>31417</v>
      </c>
      <c r="L6849" t="s">
        <v>83</v>
      </c>
      <c r="M6849" t="s">
        <v>85</v>
      </c>
      <c r="R6849" t="s">
        <v>31417</v>
      </c>
      <c r="W6849" t="s">
        <v>31417</v>
      </c>
      <c r="X6849" t="s">
        <v>329</v>
      </c>
      <c r="Y6849" t="s">
        <v>97</v>
      </c>
      <c r="Z6849" t="s">
        <v>77</v>
      </c>
      <c r="AA6849" t="str">
        <f>"10029-6504"</f>
        <v>10029-6504</v>
      </c>
      <c r="AB6849" t="s">
        <v>78</v>
      </c>
      <c r="AC6849" t="s">
        <v>79</v>
      </c>
      <c r="AD6849" t="s">
        <v>75</v>
      </c>
      <c r="AE6849" t="s">
        <v>80</v>
      </c>
      <c r="AG6849" t="s">
        <v>81</v>
      </c>
    </row>
    <row r="6850" spans="1:33" x14ac:dyDescent="0.25">
      <c r="A6850" t="str">
        <f>"1902831431"</f>
        <v>1902831431</v>
      </c>
      <c r="B6850" t="str">
        <f>"02749177"</f>
        <v>02749177</v>
      </c>
      <c r="C6850" t="s">
        <v>13436</v>
      </c>
      <c r="D6850" t="s">
        <v>31418</v>
      </c>
      <c r="E6850" t="s">
        <v>31419</v>
      </c>
      <c r="G6850" t="s">
        <v>31420</v>
      </c>
      <c r="L6850" t="s">
        <v>94</v>
      </c>
      <c r="M6850" t="s">
        <v>85</v>
      </c>
      <c r="R6850" t="s">
        <v>31421</v>
      </c>
      <c r="W6850" t="s">
        <v>31419</v>
      </c>
      <c r="X6850" t="s">
        <v>11176</v>
      </c>
      <c r="Y6850" t="s">
        <v>97</v>
      </c>
      <c r="Z6850" t="s">
        <v>77</v>
      </c>
      <c r="AA6850" t="str">
        <f>"10029-6542"</f>
        <v>10029-6542</v>
      </c>
      <c r="AB6850" t="s">
        <v>78</v>
      </c>
      <c r="AC6850" t="s">
        <v>79</v>
      </c>
      <c r="AD6850" t="s">
        <v>75</v>
      </c>
      <c r="AE6850" t="s">
        <v>80</v>
      </c>
      <c r="AG6850" t="s">
        <v>81</v>
      </c>
    </row>
    <row r="6851" spans="1:33" x14ac:dyDescent="0.25">
      <c r="A6851" t="str">
        <f>"1629241369"</f>
        <v>1629241369</v>
      </c>
      <c r="B6851" t="str">
        <f>"03133497"</f>
        <v>03133497</v>
      </c>
      <c r="C6851" t="s">
        <v>13436</v>
      </c>
      <c r="D6851" t="s">
        <v>31422</v>
      </c>
      <c r="E6851" t="s">
        <v>31423</v>
      </c>
      <c r="G6851" t="s">
        <v>31424</v>
      </c>
      <c r="L6851" t="s">
        <v>83</v>
      </c>
      <c r="M6851" t="s">
        <v>85</v>
      </c>
      <c r="R6851" t="s">
        <v>31425</v>
      </c>
      <c r="W6851" t="s">
        <v>31426</v>
      </c>
      <c r="X6851" t="s">
        <v>329</v>
      </c>
      <c r="Y6851" t="s">
        <v>97</v>
      </c>
      <c r="Z6851" t="s">
        <v>77</v>
      </c>
      <c r="AA6851" t="str">
        <f>"10029-6504"</f>
        <v>10029-6504</v>
      </c>
      <c r="AB6851" t="s">
        <v>78</v>
      </c>
      <c r="AC6851" t="s">
        <v>79</v>
      </c>
      <c r="AD6851" t="s">
        <v>75</v>
      </c>
      <c r="AE6851" t="s">
        <v>80</v>
      </c>
      <c r="AG6851" t="s">
        <v>81</v>
      </c>
    </row>
    <row r="6852" spans="1:33" x14ac:dyDescent="0.25">
      <c r="A6852" t="str">
        <f>"1629243738"</f>
        <v>1629243738</v>
      </c>
      <c r="B6852" t="str">
        <f>"03183084"</f>
        <v>03183084</v>
      </c>
      <c r="C6852" t="s">
        <v>13436</v>
      </c>
      <c r="D6852" t="s">
        <v>31427</v>
      </c>
      <c r="E6852" t="s">
        <v>31428</v>
      </c>
      <c r="G6852" t="s">
        <v>31429</v>
      </c>
      <c r="L6852" t="s">
        <v>83</v>
      </c>
      <c r="M6852" t="s">
        <v>85</v>
      </c>
      <c r="R6852" t="s">
        <v>31430</v>
      </c>
      <c r="W6852" t="s">
        <v>31428</v>
      </c>
      <c r="X6852" t="s">
        <v>186</v>
      </c>
      <c r="Y6852" t="s">
        <v>97</v>
      </c>
      <c r="Z6852" t="s">
        <v>77</v>
      </c>
      <c r="AA6852" t="str">
        <f>"10029-7404"</f>
        <v>10029-7404</v>
      </c>
      <c r="AB6852" t="s">
        <v>78</v>
      </c>
      <c r="AC6852" t="s">
        <v>79</v>
      </c>
      <c r="AD6852" t="s">
        <v>75</v>
      </c>
      <c r="AE6852" t="s">
        <v>80</v>
      </c>
      <c r="AG6852" t="s">
        <v>81</v>
      </c>
    </row>
    <row r="6853" spans="1:33" x14ac:dyDescent="0.25">
      <c r="A6853" t="str">
        <f>"1629254594"</f>
        <v>1629254594</v>
      </c>
      <c r="C6853" t="s">
        <v>13436</v>
      </c>
      <c r="G6853" t="s">
        <v>31431</v>
      </c>
      <c r="K6853" t="s">
        <v>99</v>
      </c>
      <c r="L6853" t="s">
        <v>102</v>
      </c>
      <c r="M6853" t="s">
        <v>75</v>
      </c>
      <c r="R6853" t="s">
        <v>31432</v>
      </c>
      <c r="S6853" t="s">
        <v>4029</v>
      </c>
      <c r="T6853" t="s">
        <v>97</v>
      </c>
      <c r="U6853" t="s">
        <v>77</v>
      </c>
      <c r="V6853" t="str">
        <f>"10009"</f>
        <v>10009</v>
      </c>
      <c r="AC6853" t="s">
        <v>79</v>
      </c>
      <c r="AD6853" t="s">
        <v>75</v>
      </c>
      <c r="AE6853" t="s">
        <v>103</v>
      </c>
      <c r="AG6853" t="s">
        <v>81</v>
      </c>
    </row>
    <row r="6854" spans="1:33" x14ac:dyDescent="0.25">
      <c r="A6854" t="str">
        <f>"1629259924"</f>
        <v>1629259924</v>
      </c>
      <c r="C6854" t="s">
        <v>13436</v>
      </c>
      <c r="G6854" t="s">
        <v>31433</v>
      </c>
      <c r="K6854" t="s">
        <v>99</v>
      </c>
      <c r="L6854" t="s">
        <v>102</v>
      </c>
      <c r="M6854" t="s">
        <v>75</v>
      </c>
      <c r="R6854" t="s">
        <v>31434</v>
      </c>
      <c r="S6854" t="s">
        <v>31435</v>
      </c>
      <c r="T6854" t="s">
        <v>97</v>
      </c>
      <c r="U6854" t="s">
        <v>77</v>
      </c>
      <c r="V6854" t="str">
        <f>"100296503"</f>
        <v>100296503</v>
      </c>
      <c r="AC6854" t="s">
        <v>79</v>
      </c>
      <c r="AD6854" t="s">
        <v>75</v>
      </c>
      <c r="AE6854" t="s">
        <v>103</v>
      </c>
      <c r="AG6854" t="s">
        <v>81</v>
      </c>
    </row>
    <row r="6855" spans="1:33" x14ac:dyDescent="0.25">
      <c r="A6855" t="str">
        <f>"1629261557"</f>
        <v>1629261557</v>
      </c>
      <c r="B6855" t="str">
        <f>"02366250"</f>
        <v>02366250</v>
      </c>
      <c r="C6855" t="s">
        <v>13436</v>
      </c>
      <c r="D6855" t="s">
        <v>31436</v>
      </c>
      <c r="E6855" t="s">
        <v>31437</v>
      </c>
      <c r="G6855" t="s">
        <v>31438</v>
      </c>
      <c r="L6855" t="s">
        <v>83</v>
      </c>
      <c r="M6855" t="s">
        <v>85</v>
      </c>
      <c r="R6855" t="s">
        <v>31439</v>
      </c>
      <c r="W6855" t="s">
        <v>31437</v>
      </c>
      <c r="X6855" t="s">
        <v>31440</v>
      </c>
      <c r="Y6855" t="s">
        <v>97</v>
      </c>
      <c r="Z6855" t="s">
        <v>77</v>
      </c>
      <c r="AA6855" t="str">
        <f>"10029-6501"</f>
        <v>10029-6501</v>
      </c>
      <c r="AB6855" t="s">
        <v>114</v>
      </c>
      <c r="AC6855" t="s">
        <v>79</v>
      </c>
      <c r="AD6855" t="s">
        <v>75</v>
      </c>
      <c r="AE6855" t="s">
        <v>80</v>
      </c>
      <c r="AG6855" t="s">
        <v>81</v>
      </c>
    </row>
    <row r="6856" spans="1:33" x14ac:dyDescent="0.25">
      <c r="A6856" t="str">
        <f>"1629275276"</f>
        <v>1629275276</v>
      </c>
      <c r="B6856" t="str">
        <f>"03125308"</f>
        <v>03125308</v>
      </c>
      <c r="C6856" t="s">
        <v>13436</v>
      </c>
      <c r="D6856" t="s">
        <v>31441</v>
      </c>
      <c r="E6856" t="s">
        <v>31442</v>
      </c>
      <c r="G6856" t="s">
        <v>31443</v>
      </c>
      <c r="L6856" t="s">
        <v>84</v>
      </c>
      <c r="M6856" t="s">
        <v>85</v>
      </c>
      <c r="R6856" t="s">
        <v>31444</v>
      </c>
      <c r="W6856" t="s">
        <v>31442</v>
      </c>
      <c r="X6856" t="s">
        <v>258</v>
      </c>
      <c r="Y6856" t="s">
        <v>131</v>
      </c>
      <c r="Z6856" t="s">
        <v>77</v>
      </c>
      <c r="AA6856" t="str">
        <f>"10467-2401"</f>
        <v>10467-2401</v>
      </c>
      <c r="AB6856" t="s">
        <v>78</v>
      </c>
      <c r="AC6856" t="s">
        <v>79</v>
      </c>
      <c r="AD6856" t="s">
        <v>75</v>
      </c>
      <c r="AE6856" t="s">
        <v>80</v>
      </c>
      <c r="AG6856" t="s">
        <v>81</v>
      </c>
    </row>
    <row r="6857" spans="1:33" x14ac:dyDescent="0.25">
      <c r="A6857" t="str">
        <f>"1629276548"</f>
        <v>1629276548</v>
      </c>
      <c r="B6857" t="str">
        <f>"03090562"</f>
        <v>03090562</v>
      </c>
      <c r="C6857" t="s">
        <v>13436</v>
      </c>
      <c r="D6857" t="s">
        <v>31445</v>
      </c>
      <c r="E6857" t="s">
        <v>31446</v>
      </c>
      <c r="G6857" t="s">
        <v>31447</v>
      </c>
      <c r="L6857" t="s">
        <v>83</v>
      </c>
      <c r="M6857" t="s">
        <v>85</v>
      </c>
      <c r="R6857" t="s">
        <v>31448</v>
      </c>
      <c r="W6857" t="s">
        <v>31446</v>
      </c>
      <c r="X6857" t="s">
        <v>31449</v>
      </c>
      <c r="Y6857" t="s">
        <v>131</v>
      </c>
      <c r="Z6857" t="s">
        <v>77</v>
      </c>
      <c r="AA6857" t="str">
        <f>"10457-8467"</f>
        <v>10457-8467</v>
      </c>
      <c r="AB6857" t="s">
        <v>78</v>
      </c>
      <c r="AC6857" t="s">
        <v>79</v>
      </c>
      <c r="AD6857" t="s">
        <v>75</v>
      </c>
      <c r="AE6857" t="s">
        <v>80</v>
      </c>
      <c r="AG6857" t="s">
        <v>81</v>
      </c>
    </row>
    <row r="6858" spans="1:33" x14ac:dyDescent="0.25">
      <c r="A6858" t="str">
        <f>"1629310016"</f>
        <v>1629310016</v>
      </c>
      <c r="C6858" t="s">
        <v>13436</v>
      </c>
      <c r="K6858" t="s">
        <v>99</v>
      </c>
      <c r="L6858" t="s">
        <v>102</v>
      </c>
      <c r="M6858" t="s">
        <v>75</v>
      </c>
      <c r="R6858" t="s">
        <v>31450</v>
      </c>
      <c r="S6858" t="s">
        <v>5249</v>
      </c>
      <c r="T6858" t="s">
        <v>97</v>
      </c>
      <c r="U6858" t="s">
        <v>77</v>
      </c>
      <c r="V6858" t="str">
        <f>"100033805"</f>
        <v>100033805</v>
      </c>
      <c r="AC6858" t="s">
        <v>79</v>
      </c>
      <c r="AD6858" t="s">
        <v>75</v>
      </c>
      <c r="AE6858" t="s">
        <v>103</v>
      </c>
      <c r="AG6858" t="s">
        <v>81</v>
      </c>
    </row>
    <row r="6859" spans="1:33" x14ac:dyDescent="0.25">
      <c r="A6859" t="str">
        <f>"1629319892"</f>
        <v>1629319892</v>
      </c>
      <c r="B6859" t="str">
        <f>"04518145"</f>
        <v>04518145</v>
      </c>
      <c r="C6859" t="s">
        <v>13436</v>
      </c>
      <c r="D6859" t="s">
        <v>31451</v>
      </c>
      <c r="E6859" t="s">
        <v>31452</v>
      </c>
      <c r="L6859" t="s">
        <v>102</v>
      </c>
      <c r="M6859" t="s">
        <v>75</v>
      </c>
      <c r="R6859" t="s">
        <v>31453</v>
      </c>
      <c r="W6859" t="s">
        <v>31452</v>
      </c>
      <c r="AB6859" t="s">
        <v>82</v>
      </c>
      <c r="AC6859" t="s">
        <v>79</v>
      </c>
      <c r="AD6859" t="s">
        <v>75</v>
      </c>
      <c r="AE6859" t="s">
        <v>80</v>
      </c>
      <c r="AG6859" t="s">
        <v>81</v>
      </c>
    </row>
    <row r="6860" spans="1:33" x14ac:dyDescent="0.25">
      <c r="A6860" t="str">
        <f>"1699859140"</f>
        <v>1699859140</v>
      </c>
      <c r="B6860" t="str">
        <f>"01818368"</f>
        <v>01818368</v>
      </c>
      <c r="C6860" t="s">
        <v>13436</v>
      </c>
      <c r="D6860" t="s">
        <v>31454</v>
      </c>
      <c r="E6860" t="s">
        <v>31455</v>
      </c>
      <c r="G6860" t="s">
        <v>31456</v>
      </c>
      <c r="L6860" t="s">
        <v>83</v>
      </c>
      <c r="M6860" t="s">
        <v>85</v>
      </c>
      <c r="R6860" t="s">
        <v>31457</v>
      </c>
      <c r="W6860" t="s">
        <v>31458</v>
      </c>
      <c r="X6860" t="s">
        <v>31459</v>
      </c>
      <c r="Y6860" t="s">
        <v>97</v>
      </c>
      <c r="Z6860" t="s">
        <v>77</v>
      </c>
      <c r="AA6860" t="str">
        <f>"10029-6501"</f>
        <v>10029-6501</v>
      </c>
      <c r="AB6860" t="s">
        <v>78</v>
      </c>
      <c r="AC6860" t="s">
        <v>79</v>
      </c>
      <c r="AD6860" t="s">
        <v>75</v>
      </c>
      <c r="AE6860" t="s">
        <v>80</v>
      </c>
      <c r="AG6860" t="s">
        <v>81</v>
      </c>
    </row>
    <row r="6861" spans="1:33" x14ac:dyDescent="0.25">
      <c r="A6861" t="str">
        <f>"1699865857"</f>
        <v>1699865857</v>
      </c>
      <c r="C6861" t="s">
        <v>13436</v>
      </c>
      <c r="K6861" t="s">
        <v>99</v>
      </c>
      <c r="L6861" t="s">
        <v>102</v>
      </c>
      <c r="M6861" t="s">
        <v>75</v>
      </c>
      <c r="R6861" t="s">
        <v>31460</v>
      </c>
      <c r="S6861" t="s">
        <v>31461</v>
      </c>
      <c r="T6861" t="s">
        <v>31462</v>
      </c>
      <c r="U6861" t="s">
        <v>31463</v>
      </c>
      <c r="V6861" t="str">
        <f>"522421009"</f>
        <v>522421009</v>
      </c>
      <c r="AC6861" t="s">
        <v>79</v>
      </c>
      <c r="AD6861" t="s">
        <v>75</v>
      </c>
      <c r="AE6861" t="s">
        <v>103</v>
      </c>
      <c r="AG6861" t="s">
        <v>81</v>
      </c>
    </row>
    <row r="6862" spans="1:33" x14ac:dyDescent="0.25">
      <c r="A6862" t="str">
        <f>"1699895177"</f>
        <v>1699895177</v>
      </c>
      <c r="B6862" t="str">
        <f>"03765060"</f>
        <v>03765060</v>
      </c>
      <c r="C6862" t="s">
        <v>13436</v>
      </c>
      <c r="D6862" t="s">
        <v>31464</v>
      </c>
      <c r="E6862" t="s">
        <v>31465</v>
      </c>
      <c r="G6862" t="s">
        <v>31466</v>
      </c>
      <c r="L6862" t="s">
        <v>74</v>
      </c>
      <c r="M6862" t="s">
        <v>75</v>
      </c>
      <c r="R6862" t="s">
        <v>31467</v>
      </c>
      <c r="W6862" t="s">
        <v>31465</v>
      </c>
      <c r="X6862" t="s">
        <v>11195</v>
      </c>
      <c r="Y6862" t="s">
        <v>97</v>
      </c>
      <c r="Z6862" t="s">
        <v>77</v>
      </c>
      <c r="AA6862" t="str">
        <f>"10029-6030"</f>
        <v>10029-6030</v>
      </c>
      <c r="AB6862" t="s">
        <v>78</v>
      </c>
      <c r="AC6862" t="s">
        <v>79</v>
      </c>
      <c r="AD6862" t="s">
        <v>75</v>
      </c>
      <c r="AE6862" t="s">
        <v>80</v>
      </c>
      <c r="AG6862" t="s">
        <v>81</v>
      </c>
    </row>
    <row r="6863" spans="1:33" x14ac:dyDescent="0.25">
      <c r="A6863" t="str">
        <f>"1699901991"</f>
        <v>1699901991</v>
      </c>
      <c r="B6863" t="str">
        <f>"03603298"</f>
        <v>03603298</v>
      </c>
      <c r="C6863" t="s">
        <v>13436</v>
      </c>
      <c r="D6863" t="s">
        <v>31468</v>
      </c>
      <c r="E6863" t="s">
        <v>31469</v>
      </c>
      <c r="G6863" t="s">
        <v>31470</v>
      </c>
      <c r="L6863" t="s">
        <v>83</v>
      </c>
      <c r="M6863" t="s">
        <v>75</v>
      </c>
      <c r="R6863" t="s">
        <v>31471</v>
      </c>
      <c r="W6863" t="s">
        <v>31471</v>
      </c>
      <c r="X6863" t="s">
        <v>3392</v>
      </c>
      <c r="Y6863" t="s">
        <v>97</v>
      </c>
      <c r="Z6863" t="s">
        <v>77</v>
      </c>
      <c r="AA6863" t="str">
        <f>"10003-0000"</f>
        <v>10003-0000</v>
      </c>
      <c r="AB6863" t="s">
        <v>78</v>
      </c>
      <c r="AC6863" t="s">
        <v>79</v>
      </c>
      <c r="AD6863" t="s">
        <v>75</v>
      </c>
      <c r="AE6863" t="s">
        <v>80</v>
      </c>
      <c r="AG6863" t="s">
        <v>81</v>
      </c>
    </row>
    <row r="6864" spans="1:33" x14ac:dyDescent="0.25">
      <c r="A6864" t="str">
        <f>"1699906735"</f>
        <v>1699906735</v>
      </c>
      <c r="B6864" t="str">
        <f>"03418788"</f>
        <v>03418788</v>
      </c>
      <c r="C6864" t="s">
        <v>13436</v>
      </c>
      <c r="D6864" t="s">
        <v>31472</v>
      </c>
      <c r="E6864" t="s">
        <v>31473</v>
      </c>
      <c r="G6864" t="s">
        <v>31474</v>
      </c>
      <c r="L6864" t="s">
        <v>74</v>
      </c>
      <c r="M6864" t="s">
        <v>85</v>
      </c>
      <c r="R6864" t="s">
        <v>31475</v>
      </c>
      <c r="W6864" t="s">
        <v>31473</v>
      </c>
      <c r="X6864" t="s">
        <v>28399</v>
      </c>
      <c r="Y6864" t="s">
        <v>97</v>
      </c>
      <c r="Z6864" t="s">
        <v>77</v>
      </c>
      <c r="AA6864" t="str">
        <f>"10029-6501"</f>
        <v>10029-6501</v>
      </c>
      <c r="AB6864" t="s">
        <v>78</v>
      </c>
      <c r="AC6864" t="s">
        <v>79</v>
      </c>
      <c r="AD6864" t="s">
        <v>75</v>
      </c>
      <c r="AE6864" t="s">
        <v>80</v>
      </c>
      <c r="AG6864" t="s">
        <v>81</v>
      </c>
    </row>
    <row r="6865" spans="1:33" x14ac:dyDescent="0.25">
      <c r="A6865" t="str">
        <f>"1902012180"</f>
        <v>1902012180</v>
      </c>
      <c r="B6865" t="str">
        <f>"03375606"</f>
        <v>03375606</v>
      </c>
      <c r="C6865" t="s">
        <v>13436</v>
      </c>
      <c r="D6865" t="s">
        <v>31476</v>
      </c>
      <c r="E6865" t="s">
        <v>31477</v>
      </c>
      <c r="L6865" t="s">
        <v>83</v>
      </c>
      <c r="M6865" t="s">
        <v>85</v>
      </c>
      <c r="R6865" t="s">
        <v>31478</v>
      </c>
      <c r="W6865" t="s">
        <v>31479</v>
      </c>
      <c r="X6865" t="s">
        <v>31480</v>
      </c>
      <c r="Y6865" t="s">
        <v>97</v>
      </c>
      <c r="Z6865" t="s">
        <v>77</v>
      </c>
      <c r="AA6865" t="str">
        <f>"10029-6503"</f>
        <v>10029-6503</v>
      </c>
      <c r="AB6865" t="s">
        <v>78</v>
      </c>
      <c r="AC6865" t="s">
        <v>79</v>
      </c>
      <c r="AD6865" t="s">
        <v>75</v>
      </c>
      <c r="AE6865" t="s">
        <v>80</v>
      </c>
      <c r="AG6865" t="s">
        <v>81</v>
      </c>
    </row>
    <row r="6866" spans="1:33" x14ac:dyDescent="0.25">
      <c r="A6866" t="str">
        <f>"1629223185"</f>
        <v>1629223185</v>
      </c>
      <c r="B6866" t="str">
        <f>"03209285"</f>
        <v>03209285</v>
      </c>
      <c r="C6866" t="s">
        <v>13436</v>
      </c>
      <c r="D6866" t="s">
        <v>31481</v>
      </c>
      <c r="E6866" t="s">
        <v>31482</v>
      </c>
      <c r="G6866" t="s">
        <v>31483</v>
      </c>
      <c r="L6866" t="s">
        <v>74</v>
      </c>
      <c r="M6866" t="s">
        <v>75</v>
      </c>
      <c r="R6866" t="s">
        <v>31484</v>
      </c>
      <c r="W6866" t="s">
        <v>31485</v>
      </c>
      <c r="X6866" t="s">
        <v>235</v>
      </c>
      <c r="Y6866" t="s">
        <v>236</v>
      </c>
      <c r="Z6866" t="s">
        <v>77</v>
      </c>
      <c r="AA6866" t="str">
        <f>"11102-2448"</f>
        <v>11102-2448</v>
      </c>
      <c r="AB6866" t="s">
        <v>78</v>
      </c>
      <c r="AC6866" t="s">
        <v>79</v>
      </c>
      <c r="AD6866" t="s">
        <v>75</v>
      </c>
      <c r="AE6866" t="s">
        <v>80</v>
      </c>
      <c r="AG6866" t="s">
        <v>81</v>
      </c>
    </row>
    <row r="6867" spans="1:33" x14ac:dyDescent="0.25">
      <c r="A6867" t="str">
        <f>"1629236542"</f>
        <v>1629236542</v>
      </c>
      <c r="B6867" t="str">
        <f>"03198767"</f>
        <v>03198767</v>
      </c>
      <c r="C6867" t="s">
        <v>13436</v>
      </c>
      <c r="D6867" t="s">
        <v>31486</v>
      </c>
      <c r="E6867" t="s">
        <v>31487</v>
      </c>
      <c r="G6867" t="s">
        <v>31488</v>
      </c>
      <c r="L6867" t="s">
        <v>83</v>
      </c>
      <c r="M6867" t="s">
        <v>85</v>
      </c>
      <c r="R6867" t="s">
        <v>1416</v>
      </c>
      <c r="W6867" t="s">
        <v>31487</v>
      </c>
      <c r="X6867" t="s">
        <v>31489</v>
      </c>
      <c r="Y6867" t="s">
        <v>97</v>
      </c>
      <c r="Z6867" t="s">
        <v>77</v>
      </c>
      <c r="AA6867" t="str">
        <f>"10029-6500"</f>
        <v>10029-6500</v>
      </c>
      <c r="AB6867" t="s">
        <v>78</v>
      </c>
      <c r="AC6867" t="s">
        <v>79</v>
      </c>
      <c r="AD6867" t="s">
        <v>75</v>
      </c>
      <c r="AE6867" t="s">
        <v>80</v>
      </c>
      <c r="AG6867" t="s">
        <v>81</v>
      </c>
    </row>
    <row r="6868" spans="1:33" x14ac:dyDescent="0.25">
      <c r="A6868" t="str">
        <f>"1629238001"</f>
        <v>1629238001</v>
      </c>
      <c r="B6868" t="str">
        <f>"03459309"</f>
        <v>03459309</v>
      </c>
      <c r="C6868" t="s">
        <v>13436</v>
      </c>
      <c r="D6868" t="s">
        <v>31490</v>
      </c>
      <c r="E6868" t="s">
        <v>31491</v>
      </c>
      <c r="G6868" t="s">
        <v>31492</v>
      </c>
      <c r="L6868" t="s">
        <v>83</v>
      </c>
      <c r="M6868" t="s">
        <v>85</v>
      </c>
      <c r="R6868" t="s">
        <v>31493</v>
      </c>
      <c r="W6868" t="s">
        <v>31491</v>
      </c>
      <c r="X6868" t="s">
        <v>30770</v>
      </c>
      <c r="Y6868" t="s">
        <v>97</v>
      </c>
      <c r="Z6868" t="s">
        <v>77</v>
      </c>
      <c r="AA6868" t="str">
        <f>"10029-6500"</f>
        <v>10029-6500</v>
      </c>
      <c r="AB6868" t="s">
        <v>78</v>
      </c>
      <c r="AC6868" t="s">
        <v>79</v>
      </c>
      <c r="AD6868" t="s">
        <v>75</v>
      </c>
      <c r="AE6868" t="s">
        <v>80</v>
      </c>
      <c r="AG6868" t="s">
        <v>81</v>
      </c>
    </row>
    <row r="6869" spans="1:33" x14ac:dyDescent="0.25">
      <c r="A6869" t="str">
        <f>"1629239520"</f>
        <v>1629239520</v>
      </c>
      <c r="C6869" t="s">
        <v>13436</v>
      </c>
      <c r="K6869" t="s">
        <v>99</v>
      </c>
      <c r="L6869" t="s">
        <v>102</v>
      </c>
      <c r="M6869" t="s">
        <v>75</v>
      </c>
      <c r="R6869" t="s">
        <v>31494</v>
      </c>
      <c r="S6869" t="s">
        <v>31495</v>
      </c>
      <c r="T6869" t="s">
        <v>11906</v>
      </c>
      <c r="U6869" t="s">
        <v>31496</v>
      </c>
      <c r="V6869" t="str">
        <f>"253023351"</f>
        <v>253023351</v>
      </c>
      <c r="AC6869" t="s">
        <v>79</v>
      </c>
      <c r="AD6869" t="s">
        <v>75</v>
      </c>
      <c r="AE6869" t="s">
        <v>103</v>
      </c>
      <c r="AG6869" t="s">
        <v>81</v>
      </c>
    </row>
    <row r="6870" spans="1:33" x14ac:dyDescent="0.25">
      <c r="A6870" t="str">
        <f>"1780643254"</f>
        <v>1780643254</v>
      </c>
      <c r="B6870" t="str">
        <f>"01588229"</f>
        <v>01588229</v>
      </c>
      <c r="C6870" t="s">
        <v>13436</v>
      </c>
      <c r="D6870" t="s">
        <v>31497</v>
      </c>
      <c r="E6870" t="s">
        <v>31498</v>
      </c>
      <c r="L6870" t="s">
        <v>83</v>
      </c>
      <c r="M6870" t="s">
        <v>85</v>
      </c>
      <c r="R6870" t="s">
        <v>31499</v>
      </c>
      <c r="W6870" t="s">
        <v>31498</v>
      </c>
      <c r="X6870" t="s">
        <v>5309</v>
      </c>
      <c r="Y6870" t="s">
        <v>97</v>
      </c>
      <c r="Z6870" t="s">
        <v>77</v>
      </c>
      <c r="AA6870" t="str">
        <f>"10029"</f>
        <v>10029</v>
      </c>
      <c r="AB6870" t="s">
        <v>78</v>
      </c>
      <c r="AC6870" t="s">
        <v>79</v>
      </c>
      <c r="AD6870" t="s">
        <v>75</v>
      </c>
      <c r="AE6870" t="s">
        <v>80</v>
      </c>
      <c r="AG6870" t="s">
        <v>81</v>
      </c>
    </row>
    <row r="6871" spans="1:33" x14ac:dyDescent="0.25">
      <c r="A6871" t="str">
        <f>"1780644302"</f>
        <v>1780644302</v>
      </c>
      <c r="B6871" t="str">
        <f>"01176232"</f>
        <v>01176232</v>
      </c>
      <c r="C6871" t="s">
        <v>13436</v>
      </c>
      <c r="D6871" t="s">
        <v>31500</v>
      </c>
      <c r="E6871" t="s">
        <v>31501</v>
      </c>
      <c r="L6871" t="s">
        <v>74</v>
      </c>
      <c r="M6871" t="s">
        <v>85</v>
      </c>
      <c r="R6871" t="s">
        <v>31502</v>
      </c>
      <c r="W6871" t="s">
        <v>31501</v>
      </c>
      <c r="X6871" t="s">
        <v>31503</v>
      </c>
      <c r="Y6871" t="s">
        <v>209</v>
      </c>
      <c r="Z6871" t="s">
        <v>77</v>
      </c>
      <c r="AA6871" t="str">
        <f>"11794-0001"</f>
        <v>11794-0001</v>
      </c>
      <c r="AB6871" t="s">
        <v>78</v>
      </c>
      <c r="AC6871" t="s">
        <v>79</v>
      </c>
      <c r="AD6871" t="s">
        <v>75</v>
      </c>
      <c r="AE6871" t="s">
        <v>80</v>
      </c>
      <c r="AG6871" t="s">
        <v>81</v>
      </c>
    </row>
    <row r="6872" spans="1:33" x14ac:dyDescent="0.25">
      <c r="A6872" t="str">
        <f>"1780655522"</f>
        <v>1780655522</v>
      </c>
      <c r="B6872" t="str">
        <f>"03306654"</f>
        <v>03306654</v>
      </c>
      <c r="C6872" t="s">
        <v>13436</v>
      </c>
      <c r="D6872" t="s">
        <v>31504</v>
      </c>
      <c r="E6872" t="s">
        <v>31505</v>
      </c>
      <c r="L6872" t="s">
        <v>83</v>
      </c>
      <c r="M6872" t="s">
        <v>85</v>
      </c>
      <c r="R6872" t="s">
        <v>31506</v>
      </c>
      <c r="W6872" t="s">
        <v>31505</v>
      </c>
      <c r="X6872" t="s">
        <v>842</v>
      </c>
      <c r="Y6872" t="s">
        <v>97</v>
      </c>
      <c r="Z6872" t="s">
        <v>77</v>
      </c>
      <c r="AA6872" t="str">
        <f>"10029-6501"</f>
        <v>10029-6501</v>
      </c>
      <c r="AB6872" t="s">
        <v>78</v>
      </c>
      <c r="AC6872" t="s">
        <v>79</v>
      </c>
      <c r="AD6872" t="s">
        <v>75</v>
      </c>
      <c r="AE6872" t="s">
        <v>80</v>
      </c>
      <c r="AG6872" t="s">
        <v>81</v>
      </c>
    </row>
    <row r="6873" spans="1:33" x14ac:dyDescent="0.25">
      <c r="A6873" t="str">
        <f>"1780657700"</f>
        <v>1780657700</v>
      </c>
      <c r="B6873" t="str">
        <f>"01600182"</f>
        <v>01600182</v>
      </c>
      <c r="C6873" t="s">
        <v>13436</v>
      </c>
      <c r="D6873" t="s">
        <v>31507</v>
      </c>
      <c r="E6873" t="s">
        <v>31508</v>
      </c>
      <c r="G6873" t="s">
        <v>31509</v>
      </c>
      <c r="L6873" t="s">
        <v>83</v>
      </c>
      <c r="M6873" t="s">
        <v>85</v>
      </c>
      <c r="R6873" t="s">
        <v>31510</v>
      </c>
      <c r="W6873" t="s">
        <v>31508</v>
      </c>
      <c r="X6873" t="s">
        <v>4796</v>
      </c>
      <c r="Y6873" t="s">
        <v>131</v>
      </c>
      <c r="Z6873" t="s">
        <v>77</v>
      </c>
      <c r="AA6873" t="str">
        <f>"10461-1925"</f>
        <v>10461-1925</v>
      </c>
      <c r="AB6873" t="s">
        <v>78</v>
      </c>
      <c r="AC6873" t="s">
        <v>79</v>
      </c>
      <c r="AD6873" t="s">
        <v>75</v>
      </c>
      <c r="AE6873" t="s">
        <v>80</v>
      </c>
      <c r="AG6873" t="s">
        <v>81</v>
      </c>
    </row>
    <row r="6874" spans="1:33" x14ac:dyDescent="0.25">
      <c r="A6874" t="str">
        <f>"1780666149"</f>
        <v>1780666149</v>
      </c>
      <c r="B6874" t="str">
        <f>"01872531"</f>
        <v>01872531</v>
      </c>
      <c r="C6874" t="s">
        <v>13436</v>
      </c>
      <c r="D6874" t="s">
        <v>31511</v>
      </c>
      <c r="E6874" t="s">
        <v>31512</v>
      </c>
      <c r="L6874" t="s">
        <v>74</v>
      </c>
      <c r="M6874" t="s">
        <v>85</v>
      </c>
      <c r="R6874" t="s">
        <v>31513</v>
      </c>
      <c r="W6874" t="s">
        <v>31512</v>
      </c>
      <c r="X6874" t="s">
        <v>31514</v>
      </c>
      <c r="Y6874" t="s">
        <v>91</v>
      </c>
      <c r="Z6874" t="s">
        <v>77</v>
      </c>
      <c r="AA6874" t="str">
        <f>"11373-1329"</f>
        <v>11373-1329</v>
      </c>
      <c r="AB6874" t="s">
        <v>78</v>
      </c>
      <c r="AC6874" t="s">
        <v>79</v>
      </c>
      <c r="AD6874" t="s">
        <v>75</v>
      </c>
      <c r="AE6874" t="s">
        <v>80</v>
      </c>
      <c r="AG6874" t="s">
        <v>81</v>
      </c>
    </row>
    <row r="6875" spans="1:33" x14ac:dyDescent="0.25">
      <c r="A6875" t="str">
        <f>"1396005252"</f>
        <v>1396005252</v>
      </c>
      <c r="B6875" t="str">
        <f>"03788016"</f>
        <v>03788016</v>
      </c>
      <c r="C6875" t="s">
        <v>13436</v>
      </c>
      <c r="D6875" t="s">
        <v>4894</v>
      </c>
      <c r="E6875" t="s">
        <v>4895</v>
      </c>
      <c r="L6875" t="s">
        <v>74</v>
      </c>
      <c r="M6875" t="s">
        <v>75</v>
      </c>
      <c r="R6875" t="s">
        <v>4896</v>
      </c>
      <c r="W6875" t="s">
        <v>4895</v>
      </c>
      <c r="X6875" t="s">
        <v>1301</v>
      </c>
      <c r="Y6875" t="s">
        <v>87</v>
      </c>
      <c r="Z6875" t="s">
        <v>77</v>
      </c>
      <c r="AA6875" t="str">
        <f>"11220-4211"</f>
        <v>11220-4211</v>
      </c>
      <c r="AB6875" t="s">
        <v>78</v>
      </c>
      <c r="AC6875" t="s">
        <v>79</v>
      </c>
      <c r="AD6875" t="s">
        <v>75</v>
      </c>
      <c r="AE6875" t="s">
        <v>80</v>
      </c>
      <c r="AG6875" t="s">
        <v>81</v>
      </c>
    </row>
    <row r="6876" spans="1:33" x14ac:dyDescent="0.25">
      <c r="A6876" t="str">
        <f>"1396010732"</f>
        <v>1396010732</v>
      </c>
      <c r="C6876" t="s">
        <v>13436</v>
      </c>
      <c r="K6876" t="s">
        <v>99</v>
      </c>
      <c r="L6876" t="s">
        <v>74</v>
      </c>
      <c r="M6876" t="s">
        <v>75</v>
      </c>
      <c r="R6876" t="s">
        <v>31515</v>
      </c>
      <c r="S6876" t="s">
        <v>31516</v>
      </c>
      <c r="T6876" t="s">
        <v>4520</v>
      </c>
      <c r="U6876" t="s">
        <v>1784</v>
      </c>
      <c r="V6876" t="str">
        <f>"181041961"</f>
        <v>181041961</v>
      </c>
      <c r="AC6876" t="s">
        <v>79</v>
      </c>
      <c r="AD6876" t="s">
        <v>75</v>
      </c>
      <c r="AE6876" t="s">
        <v>103</v>
      </c>
      <c r="AG6876" t="s">
        <v>81</v>
      </c>
    </row>
    <row r="6877" spans="1:33" x14ac:dyDescent="0.25">
      <c r="A6877" t="str">
        <f>"1396044640"</f>
        <v>1396044640</v>
      </c>
      <c r="C6877" t="s">
        <v>13436</v>
      </c>
      <c r="K6877" t="s">
        <v>99</v>
      </c>
      <c r="L6877" t="s">
        <v>102</v>
      </c>
      <c r="M6877" t="s">
        <v>75</v>
      </c>
      <c r="R6877" t="s">
        <v>31517</v>
      </c>
      <c r="S6877" t="s">
        <v>31518</v>
      </c>
      <c r="T6877" t="s">
        <v>97</v>
      </c>
      <c r="U6877" t="s">
        <v>77</v>
      </c>
      <c r="V6877" t="str">
        <f>"100296500"</f>
        <v>100296500</v>
      </c>
      <c r="AC6877" t="s">
        <v>79</v>
      </c>
      <c r="AD6877" t="s">
        <v>75</v>
      </c>
      <c r="AE6877" t="s">
        <v>103</v>
      </c>
      <c r="AG6877" t="s">
        <v>81</v>
      </c>
    </row>
    <row r="6878" spans="1:33" x14ac:dyDescent="0.25">
      <c r="A6878" t="str">
        <f>"1396047924"</f>
        <v>1396047924</v>
      </c>
      <c r="C6878" t="s">
        <v>13436</v>
      </c>
      <c r="G6878" t="s">
        <v>31519</v>
      </c>
      <c r="K6878" t="s">
        <v>99</v>
      </c>
      <c r="L6878" t="s">
        <v>74</v>
      </c>
      <c r="M6878" t="s">
        <v>75</v>
      </c>
      <c r="R6878" t="s">
        <v>31520</v>
      </c>
      <c r="S6878" t="s">
        <v>5324</v>
      </c>
      <c r="T6878" t="s">
        <v>97</v>
      </c>
      <c r="U6878" t="s">
        <v>77</v>
      </c>
      <c r="V6878" t="str">
        <f>"100296500"</f>
        <v>100296500</v>
      </c>
      <c r="AC6878" t="s">
        <v>79</v>
      </c>
      <c r="AD6878" t="s">
        <v>75</v>
      </c>
      <c r="AE6878" t="s">
        <v>103</v>
      </c>
      <c r="AG6878" t="s">
        <v>81</v>
      </c>
    </row>
    <row r="6879" spans="1:33" x14ac:dyDescent="0.25">
      <c r="A6879" t="str">
        <f>"1396056974"</f>
        <v>1396056974</v>
      </c>
      <c r="C6879" t="s">
        <v>13436</v>
      </c>
      <c r="K6879" t="s">
        <v>99</v>
      </c>
      <c r="L6879" t="s">
        <v>102</v>
      </c>
      <c r="M6879" t="s">
        <v>75</v>
      </c>
      <c r="R6879" t="s">
        <v>31521</v>
      </c>
      <c r="S6879" t="s">
        <v>191</v>
      </c>
      <c r="T6879" t="s">
        <v>97</v>
      </c>
      <c r="U6879" t="s">
        <v>77</v>
      </c>
      <c r="V6879" t="str">
        <f>"100191147"</f>
        <v>100191147</v>
      </c>
      <c r="AC6879" t="s">
        <v>79</v>
      </c>
      <c r="AD6879" t="s">
        <v>75</v>
      </c>
      <c r="AE6879" t="s">
        <v>103</v>
      </c>
      <c r="AG6879" t="s">
        <v>81</v>
      </c>
    </row>
    <row r="6880" spans="1:33" x14ac:dyDescent="0.25">
      <c r="A6880" t="str">
        <f>"1396062287"</f>
        <v>1396062287</v>
      </c>
      <c r="B6880" t="str">
        <f>"03716332"</f>
        <v>03716332</v>
      </c>
      <c r="C6880" t="s">
        <v>13436</v>
      </c>
      <c r="D6880" t="s">
        <v>31522</v>
      </c>
      <c r="E6880" t="s">
        <v>31523</v>
      </c>
      <c r="L6880" t="s">
        <v>84</v>
      </c>
      <c r="M6880" t="s">
        <v>85</v>
      </c>
      <c r="R6880" t="s">
        <v>31524</v>
      </c>
      <c r="W6880" t="s">
        <v>31523</v>
      </c>
      <c r="X6880" t="s">
        <v>1010</v>
      </c>
      <c r="Y6880" t="s">
        <v>97</v>
      </c>
      <c r="Z6880" t="s">
        <v>77</v>
      </c>
      <c r="AA6880" t="str">
        <f>"10035-3832"</f>
        <v>10035-3832</v>
      </c>
      <c r="AB6880" t="s">
        <v>78</v>
      </c>
      <c r="AC6880" t="s">
        <v>79</v>
      </c>
      <c r="AD6880" t="s">
        <v>75</v>
      </c>
      <c r="AE6880" t="s">
        <v>80</v>
      </c>
      <c r="AG6880" t="s">
        <v>81</v>
      </c>
    </row>
    <row r="6881" spans="1:33" x14ac:dyDescent="0.25">
      <c r="A6881" t="str">
        <f>"1669771325"</f>
        <v>1669771325</v>
      </c>
      <c r="C6881" t="s">
        <v>13436</v>
      </c>
      <c r="K6881" t="s">
        <v>99</v>
      </c>
      <c r="L6881" t="s">
        <v>102</v>
      </c>
      <c r="M6881" t="s">
        <v>75</v>
      </c>
      <c r="R6881" t="s">
        <v>31525</v>
      </c>
      <c r="S6881" t="s">
        <v>31526</v>
      </c>
      <c r="T6881" t="s">
        <v>31527</v>
      </c>
      <c r="U6881" t="s">
        <v>285</v>
      </c>
      <c r="V6881" t="str">
        <f>"604020715"</f>
        <v>604020715</v>
      </c>
      <c r="AC6881" t="s">
        <v>79</v>
      </c>
      <c r="AD6881" t="s">
        <v>75</v>
      </c>
      <c r="AE6881" t="s">
        <v>103</v>
      </c>
      <c r="AG6881" t="s">
        <v>81</v>
      </c>
    </row>
    <row r="6882" spans="1:33" x14ac:dyDescent="0.25">
      <c r="A6882" t="str">
        <f>"1669783098"</f>
        <v>1669783098</v>
      </c>
      <c r="C6882" t="s">
        <v>13436</v>
      </c>
      <c r="K6882" t="s">
        <v>99</v>
      </c>
      <c r="L6882" t="s">
        <v>102</v>
      </c>
      <c r="M6882" t="s">
        <v>75</v>
      </c>
      <c r="R6882" t="s">
        <v>31528</v>
      </c>
      <c r="S6882" t="s">
        <v>31529</v>
      </c>
      <c r="T6882" t="s">
        <v>1783</v>
      </c>
      <c r="U6882" t="s">
        <v>1784</v>
      </c>
      <c r="V6882" t="str">
        <f>"191074414"</f>
        <v>191074414</v>
      </c>
      <c r="AC6882" t="s">
        <v>79</v>
      </c>
      <c r="AD6882" t="s">
        <v>75</v>
      </c>
      <c r="AE6882" t="s">
        <v>103</v>
      </c>
      <c r="AG6882" t="s">
        <v>81</v>
      </c>
    </row>
    <row r="6883" spans="1:33" x14ac:dyDescent="0.25">
      <c r="A6883" t="str">
        <f>"1669791554"</f>
        <v>1669791554</v>
      </c>
      <c r="B6883" t="str">
        <f>"03679976"</f>
        <v>03679976</v>
      </c>
      <c r="C6883" t="s">
        <v>13436</v>
      </c>
      <c r="D6883" t="s">
        <v>31530</v>
      </c>
      <c r="E6883" t="s">
        <v>31531</v>
      </c>
      <c r="G6883" t="s">
        <v>31532</v>
      </c>
      <c r="L6883" t="s">
        <v>105</v>
      </c>
      <c r="M6883" t="s">
        <v>75</v>
      </c>
      <c r="R6883" t="s">
        <v>31531</v>
      </c>
      <c r="W6883" t="s">
        <v>31531</v>
      </c>
      <c r="X6883" t="s">
        <v>200</v>
      </c>
      <c r="Y6883" t="s">
        <v>97</v>
      </c>
      <c r="Z6883" t="s">
        <v>77</v>
      </c>
      <c r="AA6883" t="str">
        <f>"10032-3720"</f>
        <v>10032-3720</v>
      </c>
      <c r="AB6883" t="s">
        <v>78</v>
      </c>
      <c r="AC6883" t="s">
        <v>79</v>
      </c>
      <c r="AD6883" t="s">
        <v>75</v>
      </c>
      <c r="AE6883" t="s">
        <v>80</v>
      </c>
      <c r="AG6883" t="s">
        <v>81</v>
      </c>
    </row>
    <row r="6884" spans="1:33" x14ac:dyDescent="0.25">
      <c r="A6884" t="str">
        <f>"1669795340"</f>
        <v>1669795340</v>
      </c>
      <c r="C6884" t="s">
        <v>13436</v>
      </c>
      <c r="K6884" t="s">
        <v>99</v>
      </c>
      <c r="L6884" t="s">
        <v>102</v>
      </c>
      <c r="M6884" t="s">
        <v>75</v>
      </c>
      <c r="R6884" t="s">
        <v>31533</v>
      </c>
      <c r="S6884" t="s">
        <v>31534</v>
      </c>
      <c r="T6884" t="s">
        <v>4646</v>
      </c>
      <c r="U6884" t="s">
        <v>4647</v>
      </c>
      <c r="V6884" t="str">
        <f>"303221059"</f>
        <v>303221059</v>
      </c>
      <c r="AC6884" t="s">
        <v>79</v>
      </c>
      <c r="AD6884" t="s">
        <v>75</v>
      </c>
      <c r="AE6884" t="s">
        <v>103</v>
      </c>
      <c r="AG6884" t="s">
        <v>81</v>
      </c>
    </row>
    <row r="6885" spans="1:33" x14ac:dyDescent="0.25">
      <c r="A6885" t="str">
        <f>"1407293335"</f>
        <v>1407293335</v>
      </c>
      <c r="B6885" t="str">
        <f>"03751993"</f>
        <v>03751993</v>
      </c>
      <c r="C6885" t="s">
        <v>13436</v>
      </c>
      <c r="D6885" t="s">
        <v>31535</v>
      </c>
      <c r="E6885" t="s">
        <v>31536</v>
      </c>
      <c r="L6885" t="s">
        <v>74</v>
      </c>
      <c r="M6885" t="s">
        <v>75</v>
      </c>
      <c r="R6885" t="s">
        <v>31537</v>
      </c>
      <c r="W6885" t="s">
        <v>31536</v>
      </c>
      <c r="X6885" t="s">
        <v>329</v>
      </c>
      <c r="Y6885" t="s">
        <v>97</v>
      </c>
      <c r="Z6885" t="s">
        <v>77</v>
      </c>
      <c r="AA6885" t="str">
        <f>"10029-6504"</f>
        <v>10029-6504</v>
      </c>
      <c r="AB6885" t="s">
        <v>78</v>
      </c>
      <c r="AC6885" t="s">
        <v>79</v>
      </c>
      <c r="AD6885" t="s">
        <v>75</v>
      </c>
      <c r="AE6885" t="s">
        <v>80</v>
      </c>
      <c r="AG6885" t="s">
        <v>81</v>
      </c>
    </row>
    <row r="6886" spans="1:33" x14ac:dyDescent="0.25">
      <c r="A6886" t="str">
        <f>"1407299589"</f>
        <v>1407299589</v>
      </c>
      <c r="C6886" t="s">
        <v>13436</v>
      </c>
      <c r="K6886" t="s">
        <v>99</v>
      </c>
      <c r="L6886" t="s">
        <v>102</v>
      </c>
      <c r="M6886" t="s">
        <v>75</v>
      </c>
      <c r="R6886" t="s">
        <v>31538</v>
      </c>
      <c r="S6886" t="s">
        <v>14955</v>
      </c>
      <c r="T6886" t="s">
        <v>97</v>
      </c>
      <c r="U6886" t="s">
        <v>77</v>
      </c>
      <c r="V6886" t="str">
        <f>"100191147"</f>
        <v>100191147</v>
      </c>
      <c r="AC6886" t="s">
        <v>79</v>
      </c>
      <c r="AD6886" t="s">
        <v>75</v>
      </c>
      <c r="AE6886" t="s">
        <v>103</v>
      </c>
      <c r="AG6886" t="s">
        <v>81</v>
      </c>
    </row>
    <row r="6887" spans="1:33" x14ac:dyDescent="0.25">
      <c r="A6887" t="str">
        <f>"1407807795"</f>
        <v>1407807795</v>
      </c>
      <c r="B6887" t="str">
        <f>"02598832"</f>
        <v>02598832</v>
      </c>
      <c r="C6887" t="s">
        <v>13436</v>
      </c>
      <c r="D6887" t="s">
        <v>31539</v>
      </c>
      <c r="E6887" t="s">
        <v>31540</v>
      </c>
      <c r="G6887" t="s">
        <v>31541</v>
      </c>
      <c r="L6887" t="s">
        <v>83</v>
      </c>
      <c r="M6887" t="s">
        <v>85</v>
      </c>
      <c r="R6887" t="s">
        <v>31542</v>
      </c>
      <c r="W6887" t="s">
        <v>31540</v>
      </c>
      <c r="X6887" t="s">
        <v>130</v>
      </c>
      <c r="Y6887" t="s">
        <v>131</v>
      </c>
      <c r="Z6887" t="s">
        <v>77</v>
      </c>
      <c r="AA6887" t="str">
        <f>"10461-1138"</f>
        <v>10461-1138</v>
      </c>
      <c r="AB6887" t="s">
        <v>78</v>
      </c>
      <c r="AC6887" t="s">
        <v>79</v>
      </c>
      <c r="AD6887" t="s">
        <v>75</v>
      </c>
      <c r="AE6887" t="s">
        <v>80</v>
      </c>
      <c r="AG6887" t="s">
        <v>81</v>
      </c>
    </row>
    <row r="6888" spans="1:33" x14ac:dyDescent="0.25">
      <c r="A6888" t="str">
        <f>"1407825516"</f>
        <v>1407825516</v>
      </c>
      <c r="C6888" t="s">
        <v>13436</v>
      </c>
      <c r="G6888" t="s">
        <v>31543</v>
      </c>
      <c r="K6888" t="s">
        <v>99</v>
      </c>
      <c r="L6888" t="s">
        <v>74</v>
      </c>
      <c r="M6888" t="s">
        <v>75</v>
      </c>
      <c r="R6888" t="s">
        <v>31544</v>
      </c>
      <c r="S6888" t="s">
        <v>31545</v>
      </c>
      <c r="T6888" t="s">
        <v>97</v>
      </c>
      <c r="U6888" t="s">
        <v>77</v>
      </c>
      <c r="V6888" t="str">
        <f>"10029"</f>
        <v>10029</v>
      </c>
      <c r="AC6888" t="s">
        <v>79</v>
      </c>
      <c r="AD6888" t="s">
        <v>75</v>
      </c>
      <c r="AE6888" t="s">
        <v>103</v>
      </c>
      <c r="AG6888" t="s">
        <v>81</v>
      </c>
    </row>
    <row r="6889" spans="1:33" x14ac:dyDescent="0.25">
      <c r="A6889" t="str">
        <f>"1558569004"</f>
        <v>1558569004</v>
      </c>
      <c r="B6889" t="str">
        <f>"02843438"</f>
        <v>02843438</v>
      </c>
      <c r="C6889" t="s">
        <v>13436</v>
      </c>
      <c r="D6889" t="s">
        <v>31546</v>
      </c>
      <c r="E6889" t="s">
        <v>31547</v>
      </c>
      <c r="L6889" t="s">
        <v>84</v>
      </c>
      <c r="M6889" t="s">
        <v>85</v>
      </c>
      <c r="R6889" t="s">
        <v>31548</v>
      </c>
      <c r="W6889" t="s">
        <v>31547</v>
      </c>
      <c r="X6889" t="s">
        <v>649</v>
      </c>
      <c r="Y6889" t="s">
        <v>236</v>
      </c>
      <c r="Z6889" t="s">
        <v>77</v>
      </c>
      <c r="AA6889" t="str">
        <f>"11102-2247"</f>
        <v>11102-2247</v>
      </c>
      <c r="AB6889" t="s">
        <v>78</v>
      </c>
      <c r="AC6889" t="s">
        <v>79</v>
      </c>
      <c r="AD6889" t="s">
        <v>75</v>
      </c>
      <c r="AE6889" t="s">
        <v>80</v>
      </c>
      <c r="AG6889" t="s">
        <v>81</v>
      </c>
    </row>
    <row r="6890" spans="1:33" x14ac:dyDescent="0.25">
      <c r="A6890" t="str">
        <f>"1437194420"</f>
        <v>1437194420</v>
      </c>
      <c r="B6890" t="str">
        <f>"00966321"</f>
        <v>00966321</v>
      </c>
      <c r="C6890" t="s">
        <v>13436</v>
      </c>
      <c r="D6890" t="s">
        <v>31549</v>
      </c>
      <c r="E6890" t="s">
        <v>31550</v>
      </c>
      <c r="G6890" t="s">
        <v>31551</v>
      </c>
      <c r="L6890" t="s">
        <v>83</v>
      </c>
      <c r="M6890" t="s">
        <v>85</v>
      </c>
      <c r="R6890" t="s">
        <v>31552</v>
      </c>
      <c r="W6890" t="s">
        <v>31550</v>
      </c>
      <c r="Y6890" t="s">
        <v>97</v>
      </c>
      <c r="Z6890" t="s">
        <v>77</v>
      </c>
      <c r="AA6890" t="str">
        <f>"10029-6500"</f>
        <v>10029-6500</v>
      </c>
      <c r="AB6890" t="s">
        <v>78</v>
      </c>
      <c r="AC6890" t="s">
        <v>79</v>
      </c>
      <c r="AD6890" t="s">
        <v>75</v>
      </c>
      <c r="AE6890" t="s">
        <v>80</v>
      </c>
      <c r="AG6890" t="s">
        <v>81</v>
      </c>
    </row>
    <row r="6891" spans="1:33" x14ac:dyDescent="0.25">
      <c r="A6891" t="str">
        <f>"1437215407"</f>
        <v>1437215407</v>
      </c>
      <c r="B6891" t="str">
        <f>"03769757"</f>
        <v>03769757</v>
      </c>
      <c r="C6891" t="s">
        <v>13436</v>
      </c>
      <c r="D6891" t="s">
        <v>4753</v>
      </c>
      <c r="E6891" t="s">
        <v>4754</v>
      </c>
      <c r="G6891" t="s">
        <v>31553</v>
      </c>
      <c r="L6891" t="s">
        <v>102</v>
      </c>
      <c r="M6891" t="s">
        <v>75</v>
      </c>
      <c r="R6891" t="s">
        <v>4755</v>
      </c>
      <c r="W6891" t="s">
        <v>4754</v>
      </c>
      <c r="X6891" t="s">
        <v>4756</v>
      </c>
      <c r="Y6891" t="s">
        <v>97</v>
      </c>
      <c r="Z6891" t="s">
        <v>77</v>
      </c>
      <c r="AA6891" t="str">
        <f>"10029-6501"</f>
        <v>10029-6501</v>
      </c>
      <c r="AB6891" t="s">
        <v>78</v>
      </c>
      <c r="AC6891" t="s">
        <v>79</v>
      </c>
      <c r="AD6891" t="s">
        <v>75</v>
      </c>
      <c r="AE6891" t="s">
        <v>80</v>
      </c>
      <c r="AG6891" t="s">
        <v>81</v>
      </c>
    </row>
    <row r="6892" spans="1:33" x14ac:dyDescent="0.25">
      <c r="A6892" t="str">
        <f>"1447386560"</f>
        <v>1447386560</v>
      </c>
      <c r="B6892" t="str">
        <f>"03312892"</f>
        <v>03312892</v>
      </c>
      <c r="C6892" t="s">
        <v>13436</v>
      </c>
      <c r="D6892" t="s">
        <v>31554</v>
      </c>
      <c r="E6892" t="s">
        <v>31555</v>
      </c>
      <c r="G6892" t="s">
        <v>31556</v>
      </c>
      <c r="L6892" t="s">
        <v>83</v>
      </c>
      <c r="M6892" t="s">
        <v>85</v>
      </c>
      <c r="R6892" t="s">
        <v>31555</v>
      </c>
      <c r="W6892" t="s">
        <v>31557</v>
      </c>
      <c r="X6892" t="s">
        <v>31558</v>
      </c>
      <c r="Y6892" t="s">
        <v>97</v>
      </c>
      <c r="Z6892" t="s">
        <v>77</v>
      </c>
      <c r="AA6892" t="str">
        <f>"10029-6500"</f>
        <v>10029-6500</v>
      </c>
      <c r="AB6892" t="s">
        <v>78</v>
      </c>
      <c r="AC6892" t="s">
        <v>79</v>
      </c>
      <c r="AD6892" t="s">
        <v>75</v>
      </c>
      <c r="AE6892" t="s">
        <v>80</v>
      </c>
      <c r="AG6892" t="s">
        <v>81</v>
      </c>
    </row>
    <row r="6893" spans="1:33" x14ac:dyDescent="0.25">
      <c r="A6893" t="str">
        <f>"1447415401"</f>
        <v>1447415401</v>
      </c>
      <c r="C6893" t="s">
        <v>13436</v>
      </c>
      <c r="G6893" t="s">
        <v>31559</v>
      </c>
      <c r="K6893" t="s">
        <v>99</v>
      </c>
      <c r="L6893" t="s">
        <v>74</v>
      </c>
      <c r="M6893" t="s">
        <v>75</v>
      </c>
      <c r="R6893" t="s">
        <v>31560</v>
      </c>
      <c r="S6893" t="s">
        <v>31561</v>
      </c>
      <c r="T6893" t="s">
        <v>97</v>
      </c>
      <c r="U6893" t="s">
        <v>77</v>
      </c>
      <c r="V6893" t="str">
        <f>"100296508"</f>
        <v>100296508</v>
      </c>
      <c r="AC6893" t="s">
        <v>79</v>
      </c>
      <c r="AD6893" t="s">
        <v>75</v>
      </c>
      <c r="AE6893" t="s">
        <v>103</v>
      </c>
      <c r="AG6893" t="s">
        <v>81</v>
      </c>
    </row>
    <row r="6894" spans="1:33" x14ac:dyDescent="0.25">
      <c r="A6894" t="str">
        <f>"1447426762"</f>
        <v>1447426762</v>
      </c>
      <c r="C6894" t="s">
        <v>13436</v>
      </c>
      <c r="G6894" t="s">
        <v>31562</v>
      </c>
      <c r="K6894" t="s">
        <v>99</v>
      </c>
      <c r="L6894" t="s">
        <v>102</v>
      </c>
      <c r="M6894" t="s">
        <v>75</v>
      </c>
      <c r="R6894" t="s">
        <v>31563</v>
      </c>
      <c r="S6894" t="s">
        <v>31564</v>
      </c>
      <c r="T6894" t="s">
        <v>97</v>
      </c>
      <c r="U6894" t="s">
        <v>77</v>
      </c>
      <c r="V6894" t="str">
        <f>"100164325"</f>
        <v>100164325</v>
      </c>
      <c r="AC6894" t="s">
        <v>79</v>
      </c>
      <c r="AD6894" t="s">
        <v>75</v>
      </c>
      <c r="AE6894" t="s">
        <v>103</v>
      </c>
      <c r="AG6894" t="s">
        <v>81</v>
      </c>
    </row>
    <row r="6895" spans="1:33" x14ac:dyDescent="0.25">
      <c r="A6895" t="str">
        <f>"1447442017"</f>
        <v>1447442017</v>
      </c>
      <c r="C6895" t="s">
        <v>13436</v>
      </c>
      <c r="G6895" t="s">
        <v>31565</v>
      </c>
      <c r="K6895" t="s">
        <v>99</v>
      </c>
      <c r="L6895" t="s">
        <v>102</v>
      </c>
      <c r="M6895" t="s">
        <v>75</v>
      </c>
      <c r="R6895" t="s">
        <v>31566</v>
      </c>
      <c r="S6895" t="s">
        <v>31567</v>
      </c>
      <c r="T6895" t="s">
        <v>97</v>
      </c>
      <c r="U6895" t="s">
        <v>77</v>
      </c>
      <c r="V6895" t="str">
        <f>"100323784"</f>
        <v>100323784</v>
      </c>
      <c r="AC6895" t="s">
        <v>79</v>
      </c>
      <c r="AD6895" t="s">
        <v>75</v>
      </c>
      <c r="AE6895" t="s">
        <v>103</v>
      </c>
      <c r="AG6895" t="s">
        <v>81</v>
      </c>
    </row>
    <row r="6896" spans="1:33" x14ac:dyDescent="0.25">
      <c r="A6896" t="str">
        <f>"1447442082"</f>
        <v>1447442082</v>
      </c>
      <c r="C6896" t="s">
        <v>13436</v>
      </c>
      <c r="K6896" t="s">
        <v>99</v>
      </c>
      <c r="L6896" t="s">
        <v>102</v>
      </c>
      <c r="M6896" t="s">
        <v>75</v>
      </c>
      <c r="R6896" t="s">
        <v>31568</v>
      </c>
      <c r="S6896" t="s">
        <v>31569</v>
      </c>
      <c r="T6896" t="s">
        <v>4513</v>
      </c>
      <c r="U6896" t="s">
        <v>123</v>
      </c>
      <c r="V6896" t="str">
        <f>"02169"</f>
        <v>02169</v>
      </c>
      <c r="AC6896" t="s">
        <v>79</v>
      </c>
      <c r="AD6896" t="s">
        <v>75</v>
      </c>
      <c r="AE6896" t="s">
        <v>103</v>
      </c>
      <c r="AG6896" t="s">
        <v>81</v>
      </c>
    </row>
    <row r="6897" spans="1:33" x14ac:dyDescent="0.25">
      <c r="A6897" t="str">
        <f>"1447458625"</f>
        <v>1447458625</v>
      </c>
      <c r="C6897" t="s">
        <v>13436</v>
      </c>
      <c r="G6897" t="s">
        <v>31570</v>
      </c>
      <c r="K6897" t="s">
        <v>99</v>
      </c>
      <c r="L6897" t="s">
        <v>74</v>
      </c>
      <c r="M6897" t="s">
        <v>75</v>
      </c>
      <c r="R6897" t="s">
        <v>31571</v>
      </c>
      <c r="S6897" t="s">
        <v>6229</v>
      </c>
      <c r="T6897" t="s">
        <v>97</v>
      </c>
      <c r="U6897" t="s">
        <v>77</v>
      </c>
      <c r="V6897" t="str">
        <f>"100012320"</f>
        <v>100012320</v>
      </c>
      <c r="AC6897" t="s">
        <v>79</v>
      </c>
      <c r="AD6897" t="s">
        <v>75</v>
      </c>
      <c r="AE6897" t="s">
        <v>103</v>
      </c>
      <c r="AG6897" t="s">
        <v>81</v>
      </c>
    </row>
    <row r="6898" spans="1:33" x14ac:dyDescent="0.25">
      <c r="A6898" t="str">
        <f>"1528403789"</f>
        <v>1528403789</v>
      </c>
      <c r="C6898" t="s">
        <v>13436</v>
      </c>
      <c r="K6898" t="s">
        <v>99</v>
      </c>
      <c r="L6898" t="s">
        <v>102</v>
      </c>
      <c r="M6898" t="s">
        <v>75</v>
      </c>
      <c r="R6898" t="s">
        <v>31572</v>
      </c>
      <c r="S6898" t="s">
        <v>31573</v>
      </c>
      <c r="T6898" t="s">
        <v>97</v>
      </c>
      <c r="U6898" t="s">
        <v>77</v>
      </c>
      <c r="V6898" t="str">
        <f>"100143015"</f>
        <v>100143015</v>
      </c>
      <c r="AC6898" t="s">
        <v>79</v>
      </c>
      <c r="AD6898" t="s">
        <v>75</v>
      </c>
      <c r="AE6898" t="s">
        <v>103</v>
      </c>
      <c r="AG6898" t="s">
        <v>81</v>
      </c>
    </row>
    <row r="6899" spans="1:33" x14ac:dyDescent="0.25">
      <c r="A6899" t="str">
        <f>"1528405271"</f>
        <v>1528405271</v>
      </c>
      <c r="C6899" t="s">
        <v>13436</v>
      </c>
      <c r="K6899" t="s">
        <v>99</v>
      </c>
      <c r="L6899" t="s">
        <v>102</v>
      </c>
      <c r="M6899" t="s">
        <v>75</v>
      </c>
      <c r="R6899" t="s">
        <v>31574</v>
      </c>
      <c r="S6899" t="s">
        <v>191</v>
      </c>
      <c r="T6899" t="s">
        <v>97</v>
      </c>
      <c r="U6899" t="s">
        <v>77</v>
      </c>
      <c r="V6899" t="str">
        <f>"100191147"</f>
        <v>100191147</v>
      </c>
      <c r="AC6899" t="s">
        <v>79</v>
      </c>
      <c r="AD6899" t="s">
        <v>75</v>
      </c>
      <c r="AE6899" t="s">
        <v>103</v>
      </c>
      <c r="AG6899" t="s">
        <v>81</v>
      </c>
    </row>
    <row r="6900" spans="1:33" x14ac:dyDescent="0.25">
      <c r="A6900" t="str">
        <f>"1528475969"</f>
        <v>1528475969</v>
      </c>
      <c r="C6900" t="s">
        <v>13436</v>
      </c>
      <c r="K6900" t="s">
        <v>99</v>
      </c>
      <c r="L6900" t="s">
        <v>102</v>
      </c>
      <c r="M6900" t="s">
        <v>75</v>
      </c>
      <c r="R6900" t="s">
        <v>31575</v>
      </c>
      <c r="S6900" t="s">
        <v>31576</v>
      </c>
      <c r="T6900" t="s">
        <v>97</v>
      </c>
      <c r="U6900" t="s">
        <v>77</v>
      </c>
      <c r="V6900" t="str">
        <f>"100033805"</f>
        <v>100033805</v>
      </c>
      <c r="AC6900" t="s">
        <v>79</v>
      </c>
      <c r="AD6900" t="s">
        <v>75</v>
      </c>
      <c r="AE6900" t="s">
        <v>103</v>
      </c>
      <c r="AG6900" t="s">
        <v>81</v>
      </c>
    </row>
    <row r="6901" spans="1:33" x14ac:dyDescent="0.25">
      <c r="A6901" t="str">
        <f>"1396088803"</f>
        <v>1396088803</v>
      </c>
      <c r="C6901" t="s">
        <v>13436</v>
      </c>
      <c r="K6901" t="s">
        <v>99</v>
      </c>
      <c r="L6901" t="s">
        <v>102</v>
      </c>
      <c r="M6901" t="s">
        <v>75</v>
      </c>
      <c r="R6901" t="s">
        <v>31577</v>
      </c>
      <c r="S6901" t="s">
        <v>31578</v>
      </c>
      <c r="T6901" t="s">
        <v>31579</v>
      </c>
      <c r="U6901" t="s">
        <v>1784</v>
      </c>
      <c r="V6901" t="str">
        <f>"190635715"</f>
        <v>190635715</v>
      </c>
      <c r="AC6901" t="s">
        <v>79</v>
      </c>
      <c r="AD6901" t="s">
        <v>75</v>
      </c>
      <c r="AE6901" t="s">
        <v>103</v>
      </c>
      <c r="AG6901" t="s">
        <v>81</v>
      </c>
    </row>
    <row r="6902" spans="1:33" x14ac:dyDescent="0.25">
      <c r="A6902" t="str">
        <f>"1396162368"</f>
        <v>1396162368</v>
      </c>
      <c r="C6902" t="s">
        <v>13436</v>
      </c>
      <c r="K6902" t="s">
        <v>99</v>
      </c>
      <c r="L6902" t="s">
        <v>102</v>
      </c>
      <c r="M6902" t="s">
        <v>75</v>
      </c>
      <c r="R6902" t="s">
        <v>31580</v>
      </c>
      <c r="S6902" t="s">
        <v>27937</v>
      </c>
      <c r="T6902" t="s">
        <v>97</v>
      </c>
      <c r="U6902" t="s">
        <v>77</v>
      </c>
      <c r="V6902" t="str">
        <f>"10003"</f>
        <v>10003</v>
      </c>
      <c r="AC6902" t="s">
        <v>79</v>
      </c>
      <c r="AD6902" t="s">
        <v>75</v>
      </c>
      <c r="AE6902" t="s">
        <v>103</v>
      </c>
      <c r="AG6902" t="s">
        <v>81</v>
      </c>
    </row>
    <row r="6903" spans="1:33" x14ac:dyDescent="0.25">
      <c r="A6903" t="str">
        <f>"1396164299"</f>
        <v>1396164299</v>
      </c>
      <c r="C6903" t="s">
        <v>13436</v>
      </c>
      <c r="K6903" t="s">
        <v>99</v>
      </c>
      <c r="L6903" t="s">
        <v>102</v>
      </c>
      <c r="M6903" t="s">
        <v>75</v>
      </c>
      <c r="R6903" t="s">
        <v>31581</v>
      </c>
      <c r="S6903" t="s">
        <v>181</v>
      </c>
      <c r="T6903" t="s">
        <v>97</v>
      </c>
      <c r="U6903" t="s">
        <v>77</v>
      </c>
      <c r="V6903" t="str">
        <f>"100251716"</f>
        <v>100251716</v>
      </c>
      <c r="AC6903" t="s">
        <v>79</v>
      </c>
      <c r="AD6903" t="s">
        <v>75</v>
      </c>
      <c r="AE6903" t="s">
        <v>103</v>
      </c>
      <c r="AG6903" t="s">
        <v>81</v>
      </c>
    </row>
    <row r="6904" spans="1:33" x14ac:dyDescent="0.25">
      <c r="A6904" t="str">
        <f>"1063836005"</f>
        <v>1063836005</v>
      </c>
      <c r="C6904" t="s">
        <v>13436</v>
      </c>
      <c r="K6904" t="s">
        <v>99</v>
      </c>
      <c r="L6904" t="s">
        <v>102</v>
      </c>
      <c r="M6904" t="s">
        <v>75</v>
      </c>
      <c r="R6904" t="s">
        <v>31582</v>
      </c>
      <c r="S6904" t="s">
        <v>31583</v>
      </c>
      <c r="T6904" t="s">
        <v>31584</v>
      </c>
      <c r="U6904" t="s">
        <v>4604</v>
      </c>
      <c r="V6904" t="str">
        <f>"394017231"</f>
        <v>394017231</v>
      </c>
      <c r="AC6904" t="s">
        <v>79</v>
      </c>
      <c r="AD6904" t="s">
        <v>75</v>
      </c>
      <c r="AE6904" t="s">
        <v>103</v>
      </c>
      <c r="AG6904" t="s">
        <v>81</v>
      </c>
    </row>
    <row r="6905" spans="1:33" x14ac:dyDescent="0.25">
      <c r="A6905" t="str">
        <f>"1063837136"</f>
        <v>1063837136</v>
      </c>
      <c r="B6905" t="str">
        <f>"03857370"</f>
        <v>03857370</v>
      </c>
      <c r="C6905" t="s">
        <v>13436</v>
      </c>
      <c r="D6905" t="s">
        <v>31585</v>
      </c>
      <c r="E6905" t="s">
        <v>31586</v>
      </c>
      <c r="G6905" t="s">
        <v>31587</v>
      </c>
      <c r="L6905" t="s">
        <v>74</v>
      </c>
      <c r="M6905" t="s">
        <v>75</v>
      </c>
      <c r="R6905" t="s">
        <v>31588</v>
      </c>
      <c r="W6905" t="s">
        <v>31586</v>
      </c>
      <c r="X6905" t="s">
        <v>31589</v>
      </c>
      <c r="Y6905" t="s">
        <v>97</v>
      </c>
      <c r="Z6905" t="s">
        <v>77</v>
      </c>
      <c r="AA6905" t="str">
        <f>"10029-6542"</f>
        <v>10029-6542</v>
      </c>
      <c r="AB6905" t="s">
        <v>78</v>
      </c>
      <c r="AC6905" t="s">
        <v>79</v>
      </c>
      <c r="AD6905" t="s">
        <v>75</v>
      </c>
      <c r="AE6905" t="s">
        <v>80</v>
      </c>
      <c r="AG6905" t="s">
        <v>81</v>
      </c>
    </row>
    <row r="6906" spans="1:33" x14ac:dyDescent="0.25">
      <c r="A6906" t="str">
        <f>"1063848000"</f>
        <v>1063848000</v>
      </c>
      <c r="B6906" t="str">
        <f>"04062924"</f>
        <v>04062924</v>
      </c>
      <c r="C6906" t="s">
        <v>13436</v>
      </c>
      <c r="D6906" t="s">
        <v>4032</v>
      </c>
      <c r="E6906" t="s">
        <v>4033</v>
      </c>
      <c r="G6906" t="s">
        <v>31590</v>
      </c>
      <c r="L6906" t="s">
        <v>74</v>
      </c>
      <c r="M6906" t="s">
        <v>75</v>
      </c>
      <c r="R6906" t="s">
        <v>4033</v>
      </c>
      <c r="W6906" t="s">
        <v>4033</v>
      </c>
      <c r="X6906" t="s">
        <v>329</v>
      </c>
      <c r="Y6906" t="s">
        <v>97</v>
      </c>
      <c r="Z6906" t="s">
        <v>77</v>
      </c>
      <c r="AA6906" t="str">
        <f>"10029-6504"</f>
        <v>10029-6504</v>
      </c>
      <c r="AB6906" t="s">
        <v>78</v>
      </c>
      <c r="AC6906" t="s">
        <v>79</v>
      </c>
      <c r="AD6906" t="s">
        <v>75</v>
      </c>
      <c r="AE6906" t="s">
        <v>80</v>
      </c>
      <c r="AG6906" t="s">
        <v>81</v>
      </c>
    </row>
    <row r="6907" spans="1:33" x14ac:dyDescent="0.25">
      <c r="A6907" t="str">
        <f>"1073513354"</f>
        <v>1073513354</v>
      </c>
      <c r="B6907" t="str">
        <f>"01897103"</f>
        <v>01897103</v>
      </c>
      <c r="C6907" t="s">
        <v>13436</v>
      </c>
      <c r="D6907" t="s">
        <v>31591</v>
      </c>
      <c r="E6907" t="s">
        <v>31592</v>
      </c>
      <c r="G6907" t="s">
        <v>31593</v>
      </c>
      <c r="L6907" t="s">
        <v>83</v>
      </c>
      <c r="M6907" t="s">
        <v>85</v>
      </c>
      <c r="R6907" t="s">
        <v>31594</v>
      </c>
      <c r="W6907" t="s">
        <v>31592</v>
      </c>
      <c r="X6907" t="s">
        <v>2926</v>
      </c>
      <c r="Y6907" t="s">
        <v>97</v>
      </c>
      <c r="Z6907" t="s">
        <v>77</v>
      </c>
      <c r="AA6907" t="str">
        <f>"10029-6503"</f>
        <v>10029-6503</v>
      </c>
      <c r="AB6907" t="s">
        <v>78</v>
      </c>
      <c r="AC6907" t="s">
        <v>79</v>
      </c>
      <c r="AD6907" t="s">
        <v>75</v>
      </c>
      <c r="AE6907" t="s">
        <v>80</v>
      </c>
      <c r="AG6907" t="s">
        <v>81</v>
      </c>
    </row>
    <row r="6908" spans="1:33" x14ac:dyDescent="0.25">
      <c r="A6908" t="str">
        <f>"1073515847"</f>
        <v>1073515847</v>
      </c>
      <c r="B6908" t="str">
        <f>"01659778"</f>
        <v>01659778</v>
      </c>
      <c r="C6908" t="s">
        <v>13436</v>
      </c>
      <c r="D6908" t="s">
        <v>31595</v>
      </c>
      <c r="E6908" t="s">
        <v>31596</v>
      </c>
      <c r="L6908" t="s">
        <v>83</v>
      </c>
      <c r="M6908" t="s">
        <v>75</v>
      </c>
      <c r="R6908" t="s">
        <v>31597</v>
      </c>
      <c r="W6908" t="s">
        <v>31598</v>
      </c>
      <c r="Y6908" t="s">
        <v>97</v>
      </c>
      <c r="Z6908" t="s">
        <v>77</v>
      </c>
      <c r="AA6908" t="str">
        <f>"10029-6500"</f>
        <v>10029-6500</v>
      </c>
      <c r="AB6908" t="s">
        <v>78</v>
      </c>
      <c r="AC6908" t="s">
        <v>79</v>
      </c>
      <c r="AD6908" t="s">
        <v>75</v>
      </c>
      <c r="AE6908" t="s">
        <v>80</v>
      </c>
      <c r="AG6908" t="s">
        <v>81</v>
      </c>
    </row>
    <row r="6909" spans="1:33" x14ac:dyDescent="0.25">
      <c r="A6909" t="str">
        <f>"1073519856"</f>
        <v>1073519856</v>
      </c>
      <c r="B6909" t="str">
        <f>"00775526"</f>
        <v>00775526</v>
      </c>
      <c r="C6909" t="s">
        <v>13436</v>
      </c>
      <c r="D6909" t="s">
        <v>31599</v>
      </c>
      <c r="E6909" t="s">
        <v>31600</v>
      </c>
      <c r="L6909" t="s">
        <v>83</v>
      </c>
      <c r="M6909" t="s">
        <v>85</v>
      </c>
      <c r="R6909" t="s">
        <v>31601</v>
      </c>
      <c r="W6909" t="s">
        <v>31600</v>
      </c>
      <c r="X6909" t="s">
        <v>3609</v>
      </c>
      <c r="Y6909" t="s">
        <v>152</v>
      </c>
      <c r="Z6909" t="s">
        <v>77</v>
      </c>
      <c r="AA6909" t="str">
        <f>"11375-5501"</f>
        <v>11375-5501</v>
      </c>
      <c r="AB6909" t="s">
        <v>78</v>
      </c>
      <c r="AC6909" t="s">
        <v>79</v>
      </c>
      <c r="AD6909" t="s">
        <v>75</v>
      </c>
      <c r="AE6909" t="s">
        <v>80</v>
      </c>
      <c r="AG6909" t="s">
        <v>81</v>
      </c>
    </row>
    <row r="6910" spans="1:33" x14ac:dyDescent="0.25">
      <c r="A6910" t="str">
        <f>"1073538443"</f>
        <v>1073538443</v>
      </c>
      <c r="B6910" t="str">
        <f>"02231905"</f>
        <v>02231905</v>
      </c>
      <c r="C6910" t="s">
        <v>13436</v>
      </c>
      <c r="D6910" t="s">
        <v>31602</v>
      </c>
      <c r="E6910" t="s">
        <v>31603</v>
      </c>
      <c r="G6910" t="s">
        <v>31604</v>
      </c>
      <c r="L6910" t="s">
        <v>74</v>
      </c>
      <c r="M6910" t="s">
        <v>75</v>
      </c>
      <c r="R6910" t="s">
        <v>31605</v>
      </c>
      <c r="W6910" t="s">
        <v>31603</v>
      </c>
      <c r="X6910" t="s">
        <v>31603</v>
      </c>
      <c r="Y6910" t="s">
        <v>97</v>
      </c>
      <c r="Z6910" t="s">
        <v>77</v>
      </c>
      <c r="AA6910" t="str">
        <f>"10022-1236"</f>
        <v>10022-1236</v>
      </c>
      <c r="AB6910" t="s">
        <v>128</v>
      </c>
      <c r="AC6910" t="s">
        <v>79</v>
      </c>
      <c r="AD6910" t="s">
        <v>75</v>
      </c>
      <c r="AE6910" t="s">
        <v>80</v>
      </c>
      <c r="AG6910" t="s">
        <v>81</v>
      </c>
    </row>
    <row r="6911" spans="1:33" x14ac:dyDescent="0.25">
      <c r="A6911" t="str">
        <f>"1073541389"</f>
        <v>1073541389</v>
      </c>
      <c r="B6911" t="str">
        <f>"02671098"</f>
        <v>02671098</v>
      </c>
      <c r="C6911" t="s">
        <v>13436</v>
      </c>
      <c r="D6911" t="s">
        <v>31606</v>
      </c>
      <c r="E6911" t="s">
        <v>31607</v>
      </c>
      <c r="G6911" t="s">
        <v>31608</v>
      </c>
      <c r="L6911" t="s">
        <v>83</v>
      </c>
      <c r="M6911" t="s">
        <v>75</v>
      </c>
      <c r="R6911" t="s">
        <v>31609</v>
      </c>
      <c r="W6911" t="s">
        <v>31607</v>
      </c>
      <c r="X6911" t="s">
        <v>5544</v>
      </c>
      <c r="Y6911" t="s">
        <v>190</v>
      </c>
      <c r="Z6911" t="s">
        <v>77</v>
      </c>
      <c r="AA6911" t="str">
        <f>"11102-2448"</f>
        <v>11102-2448</v>
      </c>
      <c r="AB6911" t="s">
        <v>78</v>
      </c>
      <c r="AC6911" t="s">
        <v>79</v>
      </c>
      <c r="AD6911" t="s">
        <v>75</v>
      </c>
      <c r="AE6911" t="s">
        <v>80</v>
      </c>
      <c r="AG6911" t="s">
        <v>81</v>
      </c>
    </row>
    <row r="6912" spans="1:33" x14ac:dyDescent="0.25">
      <c r="A6912" t="str">
        <f>"1669528881"</f>
        <v>1669528881</v>
      </c>
      <c r="B6912" t="str">
        <f>"01648388"</f>
        <v>01648388</v>
      </c>
      <c r="C6912" t="s">
        <v>13436</v>
      </c>
      <c r="D6912" t="s">
        <v>31610</v>
      </c>
      <c r="E6912" t="s">
        <v>31611</v>
      </c>
      <c r="G6912" t="s">
        <v>31612</v>
      </c>
      <c r="L6912" t="s">
        <v>74</v>
      </c>
      <c r="M6912" t="s">
        <v>75</v>
      </c>
      <c r="R6912" t="s">
        <v>31613</v>
      </c>
      <c r="W6912" t="s">
        <v>31611</v>
      </c>
      <c r="Y6912" t="s">
        <v>97</v>
      </c>
      <c r="Z6912" t="s">
        <v>77</v>
      </c>
      <c r="AA6912" t="str">
        <f>"10029-6500"</f>
        <v>10029-6500</v>
      </c>
      <c r="AB6912" t="s">
        <v>78</v>
      </c>
      <c r="AC6912" t="s">
        <v>79</v>
      </c>
      <c r="AD6912" t="s">
        <v>75</v>
      </c>
      <c r="AE6912" t="s">
        <v>80</v>
      </c>
      <c r="AG6912" t="s">
        <v>81</v>
      </c>
    </row>
    <row r="6913" spans="1:33" x14ac:dyDescent="0.25">
      <c r="A6913" t="str">
        <f>"1669535845"</f>
        <v>1669535845</v>
      </c>
      <c r="B6913" t="str">
        <f>"03640062"</f>
        <v>03640062</v>
      </c>
      <c r="C6913" t="s">
        <v>13436</v>
      </c>
      <c r="D6913" t="s">
        <v>31614</v>
      </c>
      <c r="E6913" t="s">
        <v>31615</v>
      </c>
      <c r="G6913" t="s">
        <v>31616</v>
      </c>
      <c r="L6913" t="s">
        <v>83</v>
      </c>
      <c r="M6913" t="s">
        <v>85</v>
      </c>
      <c r="R6913" t="s">
        <v>31617</v>
      </c>
      <c r="W6913" t="s">
        <v>31615</v>
      </c>
      <c r="X6913" t="s">
        <v>12961</v>
      </c>
      <c r="Y6913" t="s">
        <v>1965</v>
      </c>
      <c r="Z6913" t="s">
        <v>77</v>
      </c>
      <c r="AA6913" t="str">
        <f>"11767-1090"</f>
        <v>11767-1090</v>
      </c>
      <c r="AB6913" t="s">
        <v>78</v>
      </c>
      <c r="AC6913" t="s">
        <v>79</v>
      </c>
      <c r="AD6913" t="s">
        <v>75</v>
      </c>
      <c r="AE6913" t="s">
        <v>80</v>
      </c>
      <c r="AG6913" t="s">
        <v>81</v>
      </c>
    </row>
    <row r="6914" spans="1:33" x14ac:dyDescent="0.25">
      <c r="A6914" t="str">
        <f>"1053396325"</f>
        <v>1053396325</v>
      </c>
      <c r="B6914" t="str">
        <f>"01096042"</f>
        <v>01096042</v>
      </c>
      <c r="C6914" t="s">
        <v>13436</v>
      </c>
      <c r="D6914" t="s">
        <v>31618</v>
      </c>
      <c r="E6914" t="s">
        <v>31619</v>
      </c>
      <c r="G6914" t="s">
        <v>31620</v>
      </c>
      <c r="L6914" t="s">
        <v>83</v>
      </c>
      <c r="M6914" t="s">
        <v>85</v>
      </c>
      <c r="R6914" t="s">
        <v>31621</v>
      </c>
      <c r="W6914" t="s">
        <v>31619</v>
      </c>
      <c r="X6914" t="s">
        <v>329</v>
      </c>
      <c r="Y6914" t="s">
        <v>97</v>
      </c>
      <c r="Z6914" t="s">
        <v>77</v>
      </c>
      <c r="AA6914" t="str">
        <f>"10029-6500"</f>
        <v>10029-6500</v>
      </c>
      <c r="AB6914" t="s">
        <v>78</v>
      </c>
      <c r="AC6914" t="s">
        <v>79</v>
      </c>
      <c r="AD6914" t="s">
        <v>75</v>
      </c>
      <c r="AE6914" t="s">
        <v>80</v>
      </c>
      <c r="AG6914" t="s">
        <v>81</v>
      </c>
    </row>
    <row r="6915" spans="1:33" x14ac:dyDescent="0.25">
      <c r="A6915" t="str">
        <f>"1053432310"</f>
        <v>1053432310</v>
      </c>
      <c r="B6915" t="str">
        <f>"02870299"</f>
        <v>02870299</v>
      </c>
      <c r="C6915" t="s">
        <v>13436</v>
      </c>
      <c r="D6915" t="s">
        <v>31622</v>
      </c>
      <c r="E6915" t="s">
        <v>31623</v>
      </c>
      <c r="G6915" t="s">
        <v>31624</v>
      </c>
      <c r="L6915" t="s">
        <v>83</v>
      </c>
      <c r="M6915" t="s">
        <v>85</v>
      </c>
      <c r="R6915" t="s">
        <v>31625</v>
      </c>
      <c r="W6915" t="s">
        <v>31623</v>
      </c>
      <c r="X6915" t="s">
        <v>2926</v>
      </c>
      <c r="Y6915" t="s">
        <v>97</v>
      </c>
      <c r="Z6915" t="s">
        <v>77</v>
      </c>
      <c r="AA6915" t="str">
        <f>"10029-6503"</f>
        <v>10029-6503</v>
      </c>
      <c r="AB6915" t="s">
        <v>78</v>
      </c>
      <c r="AC6915" t="s">
        <v>79</v>
      </c>
      <c r="AD6915" t="s">
        <v>75</v>
      </c>
      <c r="AE6915" t="s">
        <v>80</v>
      </c>
      <c r="AG6915" t="s">
        <v>81</v>
      </c>
    </row>
    <row r="6916" spans="1:33" x14ac:dyDescent="0.25">
      <c r="A6916" t="str">
        <f>"1053449686"</f>
        <v>1053449686</v>
      </c>
      <c r="B6916" t="str">
        <f>"01955311"</f>
        <v>01955311</v>
      </c>
      <c r="C6916" t="s">
        <v>13436</v>
      </c>
      <c r="D6916" t="s">
        <v>31626</v>
      </c>
      <c r="E6916" t="s">
        <v>31627</v>
      </c>
      <c r="G6916" t="s">
        <v>31628</v>
      </c>
      <c r="L6916" t="s">
        <v>83</v>
      </c>
      <c r="M6916" t="s">
        <v>75</v>
      </c>
      <c r="R6916" t="s">
        <v>31629</v>
      </c>
      <c r="W6916" t="s">
        <v>31627</v>
      </c>
      <c r="X6916" t="s">
        <v>31630</v>
      </c>
      <c r="Y6916" t="s">
        <v>161</v>
      </c>
      <c r="Z6916" t="s">
        <v>77</v>
      </c>
      <c r="AA6916" t="str">
        <f>"11040-1402"</f>
        <v>11040-1402</v>
      </c>
      <c r="AB6916" t="s">
        <v>78</v>
      </c>
      <c r="AC6916" t="s">
        <v>79</v>
      </c>
      <c r="AD6916" t="s">
        <v>75</v>
      </c>
      <c r="AE6916" t="s">
        <v>80</v>
      </c>
      <c r="AG6916" t="s">
        <v>81</v>
      </c>
    </row>
    <row r="6917" spans="1:33" x14ac:dyDescent="0.25">
      <c r="A6917" t="str">
        <f>"1821055526"</f>
        <v>1821055526</v>
      </c>
      <c r="C6917" t="s">
        <v>13436</v>
      </c>
      <c r="G6917" t="s">
        <v>31631</v>
      </c>
      <c r="K6917" t="s">
        <v>99</v>
      </c>
      <c r="L6917" t="s">
        <v>74</v>
      </c>
      <c r="M6917" t="s">
        <v>85</v>
      </c>
      <c r="R6917" t="s">
        <v>31632</v>
      </c>
      <c r="S6917" t="s">
        <v>31633</v>
      </c>
      <c r="T6917" t="s">
        <v>97</v>
      </c>
      <c r="U6917" t="s">
        <v>77</v>
      </c>
      <c r="V6917" t="str">
        <f>"100191104"</f>
        <v>100191104</v>
      </c>
      <c r="AC6917" t="s">
        <v>79</v>
      </c>
      <c r="AD6917" t="s">
        <v>75</v>
      </c>
      <c r="AE6917" t="s">
        <v>103</v>
      </c>
      <c r="AG6917" t="s">
        <v>81</v>
      </c>
    </row>
    <row r="6918" spans="1:33" x14ac:dyDescent="0.25">
      <c r="A6918" t="str">
        <f>"1265532857"</f>
        <v>1265532857</v>
      </c>
      <c r="B6918" t="str">
        <f>"01477494"</f>
        <v>01477494</v>
      </c>
      <c r="C6918" t="s">
        <v>13436</v>
      </c>
      <c r="D6918" t="s">
        <v>31634</v>
      </c>
      <c r="E6918" t="s">
        <v>31635</v>
      </c>
      <c r="L6918" t="s">
        <v>83</v>
      </c>
      <c r="M6918" t="s">
        <v>75</v>
      </c>
      <c r="R6918" t="s">
        <v>31636</v>
      </c>
      <c r="W6918" t="s">
        <v>31637</v>
      </c>
      <c r="X6918" t="s">
        <v>31638</v>
      </c>
      <c r="Y6918" t="s">
        <v>87</v>
      </c>
      <c r="Z6918" t="s">
        <v>77</v>
      </c>
      <c r="AA6918" t="str">
        <f>"11234-5217"</f>
        <v>11234-5217</v>
      </c>
      <c r="AB6918" t="s">
        <v>128</v>
      </c>
      <c r="AC6918" t="s">
        <v>79</v>
      </c>
      <c r="AD6918" t="s">
        <v>75</v>
      </c>
      <c r="AE6918" t="s">
        <v>80</v>
      </c>
      <c r="AG6918" t="s">
        <v>81</v>
      </c>
    </row>
    <row r="6919" spans="1:33" x14ac:dyDescent="0.25">
      <c r="A6919" t="str">
        <f>"1265560551"</f>
        <v>1265560551</v>
      </c>
      <c r="B6919" t="str">
        <f>"02040453"</f>
        <v>02040453</v>
      </c>
      <c r="C6919" t="s">
        <v>13436</v>
      </c>
      <c r="D6919" t="s">
        <v>31639</v>
      </c>
      <c r="E6919" t="s">
        <v>31640</v>
      </c>
      <c r="G6919" t="s">
        <v>31641</v>
      </c>
      <c r="L6919" t="s">
        <v>74</v>
      </c>
      <c r="M6919" t="s">
        <v>75</v>
      </c>
      <c r="R6919" t="s">
        <v>31642</v>
      </c>
      <c r="W6919" t="s">
        <v>31640</v>
      </c>
      <c r="X6919" t="s">
        <v>2525</v>
      </c>
      <c r="Y6919" t="s">
        <v>227</v>
      </c>
      <c r="Z6919" t="s">
        <v>77</v>
      </c>
      <c r="AA6919" t="str">
        <f>"10601-1712"</f>
        <v>10601-1712</v>
      </c>
      <c r="AB6919" t="s">
        <v>78</v>
      </c>
      <c r="AC6919" t="s">
        <v>79</v>
      </c>
      <c r="AD6919" t="s">
        <v>75</v>
      </c>
      <c r="AE6919" t="s">
        <v>80</v>
      </c>
      <c r="AG6919" t="s">
        <v>81</v>
      </c>
    </row>
    <row r="6920" spans="1:33" x14ac:dyDescent="0.25">
      <c r="A6920" t="str">
        <f>"1255754719"</f>
        <v>1255754719</v>
      </c>
      <c r="C6920" t="s">
        <v>13436</v>
      </c>
      <c r="G6920" t="s">
        <v>31643</v>
      </c>
      <c r="K6920" t="s">
        <v>99</v>
      </c>
      <c r="L6920" t="s">
        <v>102</v>
      </c>
      <c r="M6920" t="s">
        <v>75</v>
      </c>
      <c r="R6920" t="s">
        <v>31644</v>
      </c>
      <c r="S6920" t="s">
        <v>31645</v>
      </c>
      <c r="T6920" t="s">
        <v>31646</v>
      </c>
      <c r="U6920" t="s">
        <v>77</v>
      </c>
      <c r="V6920" t="str">
        <f>"136373219"</f>
        <v>136373219</v>
      </c>
      <c r="AC6920" t="s">
        <v>79</v>
      </c>
      <c r="AD6920" t="s">
        <v>75</v>
      </c>
      <c r="AE6920" t="s">
        <v>103</v>
      </c>
      <c r="AG6920" t="s">
        <v>81</v>
      </c>
    </row>
    <row r="6921" spans="1:33" x14ac:dyDescent="0.25">
      <c r="A6921" t="str">
        <f>"1427301175"</f>
        <v>1427301175</v>
      </c>
      <c r="C6921" t="s">
        <v>13436</v>
      </c>
      <c r="G6921" t="s">
        <v>31647</v>
      </c>
      <c r="K6921" t="s">
        <v>99</v>
      </c>
      <c r="L6921" t="s">
        <v>102</v>
      </c>
      <c r="M6921" t="s">
        <v>75</v>
      </c>
      <c r="R6921" t="s">
        <v>31648</v>
      </c>
      <c r="S6921" t="s">
        <v>31649</v>
      </c>
      <c r="T6921" t="s">
        <v>97</v>
      </c>
      <c r="U6921" t="s">
        <v>77</v>
      </c>
      <c r="V6921" t="str">
        <f>"100034901"</f>
        <v>100034901</v>
      </c>
      <c r="AC6921" t="s">
        <v>79</v>
      </c>
      <c r="AD6921" t="s">
        <v>75</v>
      </c>
      <c r="AE6921" t="s">
        <v>103</v>
      </c>
      <c r="AG6921" t="s">
        <v>81</v>
      </c>
    </row>
    <row r="6922" spans="1:33" x14ac:dyDescent="0.25">
      <c r="A6922" t="str">
        <f>"1427309285"</f>
        <v>1427309285</v>
      </c>
      <c r="C6922" t="s">
        <v>13436</v>
      </c>
      <c r="G6922" t="s">
        <v>31650</v>
      </c>
      <c r="K6922" t="s">
        <v>99</v>
      </c>
      <c r="L6922" t="s">
        <v>102</v>
      </c>
      <c r="M6922" t="s">
        <v>75</v>
      </c>
      <c r="R6922" t="s">
        <v>31651</v>
      </c>
      <c r="S6922" t="s">
        <v>12769</v>
      </c>
      <c r="T6922" t="s">
        <v>4861</v>
      </c>
      <c r="U6922" t="s">
        <v>156</v>
      </c>
      <c r="V6922" t="str">
        <f>"076311808"</f>
        <v>076311808</v>
      </c>
      <c r="AC6922" t="s">
        <v>79</v>
      </c>
      <c r="AD6922" t="s">
        <v>75</v>
      </c>
      <c r="AE6922" t="s">
        <v>103</v>
      </c>
      <c r="AG6922" t="s">
        <v>81</v>
      </c>
    </row>
    <row r="6923" spans="1:33" x14ac:dyDescent="0.25">
      <c r="A6923" t="str">
        <f>"1427313923"</f>
        <v>1427313923</v>
      </c>
      <c r="C6923" t="s">
        <v>13436</v>
      </c>
      <c r="G6923" t="s">
        <v>31652</v>
      </c>
      <c r="K6923" t="s">
        <v>99</v>
      </c>
      <c r="L6923" t="s">
        <v>102</v>
      </c>
      <c r="M6923" t="s">
        <v>75</v>
      </c>
      <c r="R6923" t="s">
        <v>31653</v>
      </c>
      <c r="S6923" t="s">
        <v>4766</v>
      </c>
      <c r="T6923" t="s">
        <v>97</v>
      </c>
      <c r="U6923" t="s">
        <v>77</v>
      </c>
      <c r="V6923" t="str">
        <f>"100214823"</f>
        <v>100214823</v>
      </c>
      <c r="AC6923" t="s">
        <v>79</v>
      </c>
      <c r="AD6923" t="s">
        <v>75</v>
      </c>
      <c r="AE6923" t="s">
        <v>103</v>
      </c>
      <c r="AG6923" t="s">
        <v>81</v>
      </c>
    </row>
    <row r="6924" spans="1:33" x14ac:dyDescent="0.25">
      <c r="A6924" t="str">
        <f>"1427314293"</f>
        <v>1427314293</v>
      </c>
      <c r="C6924" t="s">
        <v>13436</v>
      </c>
      <c r="K6924" t="s">
        <v>99</v>
      </c>
      <c r="L6924" t="s">
        <v>102</v>
      </c>
      <c r="M6924" t="s">
        <v>75</v>
      </c>
      <c r="R6924" t="s">
        <v>31654</v>
      </c>
      <c r="S6924" t="s">
        <v>329</v>
      </c>
      <c r="T6924" t="s">
        <v>97</v>
      </c>
      <c r="U6924" t="s">
        <v>77</v>
      </c>
      <c r="V6924" t="str">
        <f>"100296500"</f>
        <v>100296500</v>
      </c>
      <c r="AC6924" t="s">
        <v>79</v>
      </c>
      <c r="AD6924" t="s">
        <v>75</v>
      </c>
      <c r="AE6924" t="s">
        <v>103</v>
      </c>
      <c r="AG6924" t="s">
        <v>81</v>
      </c>
    </row>
    <row r="6925" spans="1:33" x14ac:dyDescent="0.25">
      <c r="A6925" t="str">
        <f>"1427315035"</f>
        <v>1427315035</v>
      </c>
      <c r="C6925" t="s">
        <v>13436</v>
      </c>
      <c r="K6925" t="s">
        <v>99</v>
      </c>
      <c r="L6925" t="s">
        <v>102</v>
      </c>
      <c r="M6925" t="s">
        <v>75</v>
      </c>
      <c r="R6925" t="s">
        <v>31655</v>
      </c>
      <c r="S6925" t="s">
        <v>31656</v>
      </c>
      <c r="T6925" t="s">
        <v>97</v>
      </c>
      <c r="U6925" t="s">
        <v>77</v>
      </c>
      <c r="V6925" t="str">
        <f>"100274802"</f>
        <v>100274802</v>
      </c>
      <c r="AC6925" t="s">
        <v>79</v>
      </c>
      <c r="AD6925" t="s">
        <v>75</v>
      </c>
      <c r="AE6925" t="s">
        <v>103</v>
      </c>
      <c r="AG6925" t="s">
        <v>81</v>
      </c>
    </row>
    <row r="6926" spans="1:33" x14ac:dyDescent="0.25">
      <c r="A6926" t="str">
        <f>"1427315340"</f>
        <v>1427315340</v>
      </c>
      <c r="B6926" t="str">
        <f>"04368058"</f>
        <v>04368058</v>
      </c>
      <c r="C6926" t="s">
        <v>13436</v>
      </c>
      <c r="D6926" t="s">
        <v>31657</v>
      </c>
      <c r="E6926" t="s">
        <v>31658</v>
      </c>
      <c r="L6926" t="s">
        <v>74</v>
      </c>
      <c r="M6926" t="s">
        <v>75</v>
      </c>
      <c r="R6926" t="s">
        <v>31659</v>
      </c>
      <c r="W6926" t="s">
        <v>31658</v>
      </c>
      <c r="X6926" t="s">
        <v>31660</v>
      </c>
      <c r="Y6926" t="s">
        <v>31661</v>
      </c>
      <c r="Z6926" t="s">
        <v>156</v>
      </c>
      <c r="AA6926" t="str">
        <f>"08050-2412"</f>
        <v>08050-2412</v>
      </c>
      <c r="AB6926" t="s">
        <v>78</v>
      </c>
      <c r="AC6926" t="s">
        <v>79</v>
      </c>
      <c r="AD6926" t="s">
        <v>75</v>
      </c>
      <c r="AE6926" t="s">
        <v>80</v>
      </c>
      <c r="AG6926" t="s">
        <v>81</v>
      </c>
    </row>
    <row r="6927" spans="1:33" x14ac:dyDescent="0.25">
      <c r="A6927" t="str">
        <f>"1427315738"</f>
        <v>1427315738</v>
      </c>
      <c r="C6927" t="s">
        <v>13436</v>
      </c>
      <c r="K6927" t="s">
        <v>99</v>
      </c>
      <c r="L6927" t="s">
        <v>102</v>
      </c>
      <c r="M6927" t="s">
        <v>75</v>
      </c>
      <c r="R6927" t="s">
        <v>31662</v>
      </c>
      <c r="S6927" t="s">
        <v>31663</v>
      </c>
      <c r="T6927" t="s">
        <v>31664</v>
      </c>
      <c r="U6927" t="s">
        <v>1842</v>
      </c>
      <c r="V6927" t="str">
        <f>"060522016"</f>
        <v>060522016</v>
      </c>
      <c r="AC6927" t="s">
        <v>79</v>
      </c>
      <c r="AD6927" t="s">
        <v>75</v>
      </c>
      <c r="AE6927" t="s">
        <v>103</v>
      </c>
      <c r="AG6927" t="s">
        <v>81</v>
      </c>
    </row>
    <row r="6928" spans="1:33" x14ac:dyDescent="0.25">
      <c r="A6928" t="str">
        <f>"1467757468"</f>
        <v>1467757468</v>
      </c>
      <c r="B6928" t="str">
        <f>"03449516"</f>
        <v>03449516</v>
      </c>
      <c r="C6928" t="s">
        <v>13436</v>
      </c>
      <c r="D6928" t="s">
        <v>31665</v>
      </c>
      <c r="E6928" t="s">
        <v>31666</v>
      </c>
      <c r="G6928" t="s">
        <v>31667</v>
      </c>
      <c r="L6928" t="s">
        <v>74</v>
      </c>
      <c r="M6928" t="s">
        <v>75</v>
      </c>
      <c r="R6928" t="s">
        <v>31668</v>
      </c>
      <c r="W6928" t="s">
        <v>31666</v>
      </c>
      <c r="X6928" t="s">
        <v>2571</v>
      </c>
      <c r="Y6928" t="s">
        <v>97</v>
      </c>
      <c r="Z6928" t="s">
        <v>77</v>
      </c>
      <c r="AA6928" t="str">
        <f>"10075-0819"</f>
        <v>10075-0819</v>
      </c>
      <c r="AB6928" t="s">
        <v>78</v>
      </c>
      <c r="AC6928" t="s">
        <v>79</v>
      </c>
      <c r="AD6928" t="s">
        <v>75</v>
      </c>
      <c r="AE6928" t="s">
        <v>80</v>
      </c>
      <c r="AG6928" t="s">
        <v>81</v>
      </c>
    </row>
    <row r="6929" spans="1:33" x14ac:dyDescent="0.25">
      <c r="A6929" t="str">
        <f>"1235338823"</f>
        <v>1235338823</v>
      </c>
      <c r="B6929" t="str">
        <f>"02974945"</f>
        <v>02974945</v>
      </c>
      <c r="C6929" t="s">
        <v>13436</v>
      </c>
      <c r="D6929" t="s">
        <v>31669</v>
      </c>
      <c r="E6929" t="s">
        <v>31670</v>
      </c>
      <c r="G6929" t="s">
        <v>31671</v>
      </c>
      <c r="L6929" t="s">
        <v>83</v>
      </c>
      <c r="M6929" t="s">
        <v>85</v>
      </c>
      <c r="R6929" t="s">
        <v>31672</v>
      </c>
      <c r="W6929" t="s">
        <v>31673</v>
      </c>
      <c r="X6929" t="s">
        <v>272</v>
      </c>
      <c r="Y6929" t="s">
        <v>97</v>
      </c>
      <c r="Z6929" t="s">
        <v>77</v>
      </c>
      <c r="AA6929" t="str">
        <f>"10029-6501"</f>
        <v>10029-6501</v>
      </c>
      <c r="AB6929" t="s">
        <v>78</v>
      </c>
      <c r="AC6929" t="s">
        <v>79</v>
      </c>
      <c r="AD6929" t="s">
        <v>75</v>
      </c>
      <c r="AE6929" t="s">
        <v>80</v>
      </c>
      <c r="AG6929" t="s">
        <v>81</v>
      </c>
    </row>
    <row r="6930" spans="1:33" x14ac:dyDescent="0.25">
      <c r="A6930" t="str">
        <f>"1235347717"</f>
        <v>1235347717</v>
      </c>
      <c r="B6930" t="str">
        <f>"02989013"</f>
        <v>02989013</v>
      </c>
      <c r="C6930" t="s">
        <v>13436</v>
      </c>
      <c r="D6930" t="s">
        <v>31674</v>
      </c>
      <c r="E6930" t="s">
        <v>31675</v>
      </c>
      <c r="L6930" t="s">
        <v>74</v>
      </c>
      <c r="M6930" t="s">
        <v>85</v>
      </c>
      <c r="R6930" t="s">
        <v>31676</v>
      </c>
      <c r="W6930" t="s">
        <v>31675</v>
      </c>
      <c r="X6930" t="s">
        <v>329</v>
      </c>
      <c r="Y6930" t="s">
        <v>97</v>
      </c>
      <c r="Z6930" t="s">
        <v>77</v>
      </c>
      <c r="AA6930" t="str">
        <f>"10029-6500"</f>
        <v>10029-6500</v>
      </c>
      <c r="AB6930" t="s">
        <v>78</v>
      </c>
      <c r="AC6930" t="s">
        <v>79</v>
      </c>
      <c r="AD6930" t="s">
        <v>75</v>
      </c>
      <c r="AE6930" t="s">
        <v>80</v>
      </c>
      <c r="AG6930" t="s">
        <v>81</v>
      </c>
    </row>
    <row r="6931" spans="1:33" x14ac:dyDescent="0.25">
      <c r="A6931" t="str">
        <f>"1235353756"</f>
        <v>1235353756</v>
      </c>
      <c r="C6931" t="s">
        <v>13436</v>
      </c>
      <c r="G6931" t="s">
        <v>31677</v>
      </c>
      <c r="K6931" t="s">
        <v>99</v>
      </c>
      <c r="L6931" t="s">
        <v>74</v>
      </c>
      <c r="M6931" t="s">
        <v>75</v>
      </c>
      <c r="R6931" t="s">
        <v>31678</v>
      </c>
      <c r="S6931" t="s">
        <v>31679</v>
      </c>
      <c r="T6931" t="s">
        <v>97</v>
      </c>
      <c r="U6931" t="s">
        <v>77</v>
      </c>
      <c r="V6931" t="str">
        <f>"100166404"</f>
        <v>100166404</v>
      </c>
      <c r="AC6931" t="s">
        <v>79</v>
      </c>
      <c r="AD6931" t="s">
        <v>75</v>
      </c>
      <c r="AE6931" t="s">
        <v>103</v>
      </c>
      <c r="AG6931" t="s">
        <v>81</v>
      </c>
    </row>
    <row r="6932" spans="1:33" x14ac:dyDescent="0.25">
      <c r="A6932" t="str">
        <f>"1235363664"</f>
        <v>1235363664</v>
      </c>
      <c r="B6932" t="str">
        <f>"03126625"</f>
        <v>03126625</v>
      </c>
      <c r="C6932" t="s">
        <v>13436</v>
      </c>
      <c r="D6932" t="s">
        <v>31680</v>
      </c>
      <c r="E6932" t="s">
        <v>31681</v>
      </c>
      <c r="L6932" t="s">
        <v>83</v>
      </c>
      <c r="M6932" t="s">
        <v>85</v>
      </c>
      <c r="R6932" t="s">
        <v>31682</v>
      </c>
      <c r="W6932" t="s">
        <v>31683</v>
      </c>
      <c r="X6932" t="s">
        <v>4029</v>
      </c>
      <c r="Y6932" t="s">
        <v>97</v>
      </c>
      <c r="Z6932" t="s">
        <v>77</v>
      </c>
      <c r="AA6932" t="str">
        <f>"10029-6503"</f>
        <v>10029-6503</v>
      </c>
      <c r="AB6932" t="s">
        <v>78</v>
      </c>
      <c r="AC6932" t="s">
        <v>79</v>
      </c>
      <c r="AD6932" t="s">
        <v>75</v>
      </c>
      <c r="AE6932" t="s">
        <v>80</v>
      </c>
      <c r="AG6932" t="s">
        <v>81</v>
      </c>
    </row>
    <row r="6933" spans="1:33" x14ac:dyDescent="0.25">
      <c r="A6933" t="str">
        <f>"1235365982"</f>
        <v>1235365982</v>
      </c>
      <c r="C6933" t="s">
        <v>13436</v>
      </c>
      <c r="K6933" t="s">
        <v>99</v>
      </c>
      <c r="L6933" t="s">
        <v>102</v>
      </c>
      <c r="M6933" t="s">
        <v>75</v>
      </c>
      <c r="R6933" t="s">
        <v>31684</v>
      </c>
      <c r="S6933" t="s">
        <v>31685</v>
      </c>
      <c r="T6933" t="s">
        <v>1783</v>
      </c>
      <c r="U6933" t="s">
        <v>1784</v>
      </c>
      <c r="V6933" t="str">
        <f>"191405103"</f>
        <v>191405103</v>
      </c>
      <c r="AC6933" t="s">
        <v>79</v>
      </c>
      <c r="AD6933" t="s">
        <v>75</v>
      </c>
      <c r="AE6933" t="s">
        <v>103</v>
      </c>
      <c r="AG6933" t="s">
        <v>81</v>
      </c>
    </row>
    <row r="6934" spans="1:33" x14ac:dyDescent="0.25">
      <c r="A6934" t="str">
        <f>"1235366196"</f>
        <v>1235366196</v>
      </c>
      <c r="B6934" t="str">
        <f>"03873109"</f>
        <v>03873109</v>
      </c>
      <c r="C6934" t="s">
        <v>13436</v>
      </c>
      <c r="D6934" t="s">
        <v>2605</v>
      </c>
      <c r="E6934" t="s">
        <v>2606</v>
      </c>
      <c r="G6934" t="s">
        <v>31686</v>
      </c>
      <c r="L6934" t="s">
        <v>74</v>
      </c>
      <c r="M6934" t="s">
        <v>75</v>
      </c>
      <c r="R6934" t="s">
        <v>2607</v>
      </c>
      <c r="W6934" t="s">
        <v>2606</v>
      </c>
      <c r="X6934" t="s">
        <v>2608</v>
      </c>
      <c r="Y6934" t="s">
        <v>97</v>
      </c>
      <c r="Z6934" t="s">
        <v>77</v>
      </c>
      <c r="AA6934" t="str">
        <f>"10003-4201"</f>
        <v>10003-4201</v>
      </c>
      <c r="AB6934" t="s">
        <v>78</v>
      </c>
      <c r="AC6934" t="s">
        <v>79</v>
      </c>
      <c r="AD6934" t="s">
        <v>75</v>
      </c>
      <c r="AE6934" t="s">
        <v>80</v>
      </c>
      <c r="AG6934" t="s">
        <v>81</v>
      </c>
    </row>
    <row r="6935" spans="1:33" x14ac:dyDescent="0.25">
      <c r="A6935" t="str">
        <f>"1083697445"</f>
        <v>1083697445</v>
      </c>
      <c r="B6935" t="str">
        <f>"01586781"</f>
        <v>01586781</v>
      </c>
      <c r="C6935" t="s">
        <v>13436</v>
      </c>
      <c r="D6935" t="s">
        <v>31687</v>
      </c>
      <c r="E6935" t="s">
        <v>31688</v>
      </c>
      <c r="G6935" t="s">
        <v>31689</v>
      </c>
      <c r="L6935" t="s">
        <v>83</v>
      </c>
      <c r="M6935" t="s">
        <v>85</v>
      </c>
      <c r="R6935" t="s">
        <v>31690</v>
      </c>
      <c r="W6935" t="s">
        <v>31688</v>
      </c>
      <c r="X6935" t="s">
        <v>31691</v>
      </c>
      <c r="Y6935" t="s">
        <v>131</v>
      </c>
      <c r="Z6935" t="s">
        <v>77</v>
      </c>
      <c r="AA6935" t="str">
        <f>"10467-2490"</f>
        <v>10467-2490</v>
      </c>
      <c r="AB6935" t="s">
        <v>78</v>
      </c>
      <c r="AC6935" t="s">
        <v>79</v>
      </c>
      <c r="AD6935" t="s">
        <v>75</v>
      </c>
      <c r="AE6935" t="s">
        <v>80</v>
      </c>
      <c r="AG6935" t="s">
        <v>81</v>
      </c>
    </row>
    <row r="6936" spans="1:33" x14ac:dyDescent="0.25">
      <c r="A6936" t="str">
        <f>"1568751881"</f>
        <v>1568751881</v>
      </c>
      <c r="B6936" t="str">
        <f>"03835307"</f>
        <v>03835307</v>
      </c>
      <c r="C6936" t="s">
        <v>13436</v>
      </c>
      <c r="D6936" t="s">
        <v>31692</v>
      </c>
      <c r="E6936" t="s">
        <v>31693</v>
      </c>
      <c r="G6936" t="s">
        <v>31694</v>
      </c>
      <c r="L6936" t="s">
        <v>105</v>
      </c>
      <c r="M6936" t="s">
        <v>75</v>
      </c>
      <c r="R6936" t="s">
        <v>31695</v>
      </c>
      <c r="W6936" t="s">
        <v>31696</v>
      </c>
      <c r="X6936" t="s">
        <v>31697</v>
      </c>
      <c r="Y6936" t="s">
        <v>97</v>
      </c>
      <c r="Z6936" t="s">
        <v>77</v>
      </c>
      <c r="AA6936" t="str">
        <f>"10003-3314"</f>
        <v>10003-3314</v>
      </c>
      <c r="AB6936" t="s">
        <v>125</v>
      </c>
      <c r="AC6936" t="s">
        <v>79</v>
      </c>
      <c r="AD6936" t="s">
        <v>75</v>
      </c>
      <c r="AE6936" t="s">
        <v>80</v>
      </c>
      <c r="AG6936" t="s">
        <v>81</v>
      </c>
    </row>
    <row r="6937" spans="1:33" x14ac:dyDescent="0.25">
      <c r="A6937" t="str">
        <f>"1568780773"</f>
        <v>1568780773</v>
      </c>
      <c r="C6937" t="s">
        <v>13436</v>
      </c>
      <c r="G6937" t="s">
        <v>31698</v>
      </c>
      <c r="K6937" t="s">
        <v>99</v>
      </c>
      <c r="L6937" t="s">
        <v>74</v>
      </c>
      <c r="M6937" t="s">
        <v>75</v>
      </c>
      <c r="R6937" t="s">
        <v>31699</v>
      </c>
      <c r="S6937" t="s">
        <v>31700</v>
      </c>
      <c r="T6937" t="s">
        <v>4615</v>
      </c>
      <c r="U6937" t="s">
        <v>3878</v>
      </c>
      <c r="V6937" t="str">
        <f>"770304344"</f>
        <v>770304344</v>
      </c>
      <c r="AC6937" t="s">
        <v>79</v>
      </c>
      <c r="AD6937" t="s">
        <v>75</v>
      </c>
      <c r="AE6937" t="s">
        <v>103</v>
      </c>
      <c r="AG6937" t="s">
        <v>81</v>
      </c>
    </row>
    <row r="6938" spans="1:33" x14ac:dyDescent="0.25">
      <c r="A6938" t="str">
        <f>"1568784684"</f>
        <v>1568784684</v>
      </c>
      <c r="B6938" t="str">
        <f>"03721895"</f>
        <v>03721895</v>
      </c>
      <c r="C6938" t="s">
        <v>13436</v>
      </c>
      <c r="D6938" t="s">
        <v>31701</v>
      </c>
      <c r="E6938" t="s">
        <v>31702</v>
      </c>
      <c r="G6938" t="s">
        <v>31703</v>
      </c>
      <c r="L6938" t="s">
        <v>102</v>
      </c>
      <c r="M6938" t="s">
        <v>75</v>
      </c>
      <c r="R6938" t="s">
        <v>31704</v>
      </c>
      <c r="W6938" t="s">
        <v>31705</v>
      </c>
      <c r="X6938" t="s">
        <v>31706</v>
      </c>
      <c r="Y6938" t="s">
        <v>97</v>
      </c>
      <c r="Z6938" t="s">
        <v>77</v>
      </c>
      <c r="AA6938" t="str">
        <f>"10029-6501"</f>
        <v>10029-6501</v>
      </c>
      <c r="AB6938" t="s">
        <v>78</v>
      </c>
      <c r="AC6938" t="s">
        <v>79</v>
      </c>
      <c r="AD6938" t="s">
        <v>75</v>
      </c>
      <c r="AE6938" t="s">
        <v>80</v>
      </c>
      <c r="AG6938" t="s">
        <v>81</v>
      </c>
    </row>
    <row r="6939" spans="1:33" x14ac:dyDescent="0.25">
      <c r="A6939" t="str">
        <f>"1568886414"</f>
        <v>1568886414</v>
      </c>
      <c r="B6939" t="str">
        <f>"03807701"</f>
        <v>03807701</v>
      </c>
      <c r="C6939" t="s">
        <v>13436</v>
      </c>
      <c r="D6939" t="s">
        <v>31707</v>
      </c>
      <c r="E6939" t="s">
        <v>31708</v>
      </c>
      <c r="G6939" t="s">
        <v>31709</v>
      </c>
      <c r="L6939" t="s">
        <v>74</v>
      </c>
      <c r="M6939" t="s">
        <v>75</v>
      </c>
      <c r="R6939" t="s">
        <v>31708</v>
      </c>
      <c r="W6939" t="s">
        <v>31708</v>
      </c>
      <c r="X6939" t="s">
        <v>11436</v>
      </c>
      <c r="Y6939" t="s">
        <v>97</v>
      </c>
      <c r="Z6939" t="s">
        <v>77</v>
      </c>
      <c r="AA6939" t="str">
        <f>"10029-6503"</f>
        <v>10029-6503</v>
      </c>
      <c r="AB6939" t="s">
        <v>78</v>
      </c>
      <c r="AC6939" t="s">
        <v>79</v>
      </c>
      <c r="AD6939" t="s">
        <v>75</v>
      </c>
      <c r="AE6939" t="s">
        <v>80</v>
      </c>
      <c r="AG6939" t="s">
        <v>81</v>
      </c>
    </row>
    <row r="6940" spans="1:33" x14ac:dyDescent="0.25">
      <c r="A6940" t="str">
        <f>"1568898377"</f>
        <v>1568898377</v>
      </c>
      <c r="C6940" t="s">
        <v>13436</v>
      </c>
      <c r="G6940" t="s">
        <v>31710</v>
      </c>
      <c r="K6940" t="s">
        <v>99</v>
      </c>
      <c r="L6940" t="s">
        <v>102</v>
      </c>
      <c r="M6940" t="s">
        <v>75</v>
      </c>
      <c r="R6940" t="s">
        <v>31711</v>
      </c>
      <c r="S6940" t="s">
        <v>31712</v>
      </c>
      <c r="T6940" t="s">
        <v>97</v>
      </c>
      <c r="U6940" t="s">
        <v>77</v>
      </c>
      <c r="V6940" t="str">
        <f>"10029"</f>
        <v>10029</v>
      </c>
      <c r="AC6940" t="s">
        <v>79</v>
      </c>
      <c r="AD6940" t="s">
        <v>75</v>
      </c>
      <c r="AE6940" t="s">
        <v>103</v>
      </c>
      <c r="AG6940" t="s">
        <v>81</v>
      </c>
    </row>
    <row r="6941" spans="1:33" x14ac:dyDescent="0.25">
      <c r="A6941" t="str">
        <f>"1568898591"</f>
        <v>1568898591</v>
      </c>
      <c r="C6941" t="s">
        <v>13436</v>
      </c>
      <c r="G6941" t="s">
        <v>31713</v>
      </c>
      <c r="K6941" t="s">
        <v>99</v>
      </c>
      <c r="L6941" t="s">
        <v>102</v>
      </c>
      <c r="M6941" t="s">
        <v>75</v>
      </c>
      <c r="R6941" t="s">
        <v>31714</v>
      </c>
      <c r="S6941" t="s">
        <v>31715</v>
      </c>
      <c r="T6941" t="s">
        <v>131</v>
      </c>
      <c r="U6941" t="s">
        <v>77</v>
      </c>
      <c r="V6941" t="str">
        <f>"104632305"</f>
        <v>104632305</v>
      </c>
      <c r="AC6941" t="s">
        <v>79</v>
      </c>
      <c r="AD6941" t="s">
        <v>75</v>
      </c>
      <c r="AE6941" t="s">
        <v>103</v>
      </c>
      <c r="AG6941" t="s">
        <v>81</v>
      </c>
    </row>
    <row r="6942" spans="1:33" x14ac:dyDescent="0.25">
      <c r="A6942" t="str">
        <f>"1235170135"</f>
        <v>1235170135</v>
      </c>
      <c r="B6942" t="str">
        <f>"00167304"</f>
        <v>00167304</v>
      </c>
      <c r="C6942" t="s">
        <v>13436</v>
      </c>
      <c r="D6942" t="s">
        <v>31716</v>
      </c>
      <c r="E6942" t="s">
        <v>31717</v>
      </c>
      <c r="G6942" t="s">
        <v>31718</v>
      </c>
      <c r="L6942" t="s">
        <v>84</v>
      </c>
      <c r="M6942" t="s">
        <v>75</v>
      </c>
      <c r="R6942" t="s">
        <v>31719</v>
      </c>
      <c r="W6942" t="s">
        <v>31717</v>
      </c>
      <c r="X6942" t="s">
        <v>31720</v>
      </c>
      <c r="Y6942" t="s">
        <v>129</v>
      </c>
      <c r="Z6942" t="s">
        <v>77</v>
      </c>
      <c r="AA6942" t="str">
        <f>"11372-6210"</f>
        <v>11372-6210</v>
      </c>
      <c r="AB6942" t="s">
        <v>78</v>
      </c>
      <c r="AC6942" t="s">
        <v>79</v>
      </c>
      <c r="AD6942" t="s">
        <v>75</v>
      </c>
      <c r="AE6942" t="s">
        <v>80</v>
      </c>
      <c r="AG6942" t="s">
        <v>81</v>
      </c>
    </row>
    <row r="6943" spans="1:33" x14ac:dyDescent="0.25">
      <c r="A6943" t="str">
        <f>"1750780292"</f>
        <v>1750780292</v>
      </c>
      <c r="B6943" t="str">
        <f>"04009981"</f>
        <v>04009981</v>
      </c>
      <c r="C6943" t="s">
        <v>13436</v>
      </c>
      <c r="D6943" t="s">
        <v>31721</v>
      </c>
      <c r="E6943" t="s">
        <v>31722</v>
      </c>
      <c r="G6943" t="s">
        <v>31723</v>
      </c>
      <c r="L6943" t="s">
        <v>74</v>
      </c>
      <c r="M6943" t="s">
        <v>75</v>
      </c>
      <c r="R6943" t="s">
        <v>31722</v>
      </c>
      <c r="W6943" t="s">
        <v>31722</v>
      </c>
      <c r="X6943" t="s">
        <v>329</v>
      </c>
      <c r="Y6943" t="s">
        <v>97</v>
      </c>
      <c r="Z6943" t="s">
        <v>77</v>
      </c>
      <c r="AA6943" t="str">
        <f>"10029-6504"</f>
        <v>10029-6504</v>
      </c>
      <c r="AB6943" t="s">
        <v>78</v>
      </c>
      <c r="AC6943" t="s">
        <v>79</v>
      </c>
      <c r="AD6943" t="s">
        <v>75</v>
      </c>
      <c r="AE6943" t="s">
        <v>80</v>
      </c>
      <c r="AG6943" t="s">
        <v>81</v>
      </c>
    </row>
    <row r="6944" spans="1:33" x14ac:dyDescent="0.25">
      <c r="A6944" t="str">
        <f>"1962404566"</f>
        <v>1962404566</v>
      </c>
      <c r="B6944" t="str">
        <f>"02073678"</f>
        <v>02073678</v>
      </c>
      <c r="C6944" t="s">
        <v>13436</v>
      </c>
      <c r="D6944" t="s">
        <v>31724</v>
      </c>
      <c r="E6944" t="s">
        <v>31725</v>
      </c>
      <c r="G6944" t="s">
        <v>31726</v>
      </c>
      <c r="L6944" t="s">
        <v>74</v>
      </c>
      <c r="M6944" t="s">
        <v>75</v>
      </c>
      <c r="R6944" t="s">
        <v>31727</v>
      </c>
      <c r="W6944" t="s">
        <v>31725</v>
      </c>
      <c r="X6944" t="s">
        <v>31728</v>
      </c>
      <c r="Y6944" t="s">
        <v>1775</v>
      </c>
      <c r="Z6944" t="s">
        <v>77</v>
      </c>
      <c r="AA6944" t="str">
        <f>"12528-2143"</f>
        <v>12528-2143</v>
      </c>
      <c r="AB6944" t="s">
        <v>78</v>
      </c>
      <c r="AC6944" t="s">
        <v>79</v>
      </c>
      <c r="AD6944" t="s">
        <v>75</v>
      </c>
      <c r="AE6944" t="s">
        <v>80</v>
      </c>
      <c r="AG6944" t="s">
        <v>81</v>
      </c>
    </row>
    <row r="6945" spans="1:33" x14ac:dyDescent="0.25">
      <c r="A6945" t="str">
        <f>"1962416404"</f>
        <v>1962416404</v>
      </c>
      <c r="B6945" t="str">
        <f>"01680804"</f>
        <v>01680804</v>
      </c>
      <c r="C6945" t="s">
        <v>13436</v>
      </c>
      <c r="D6945" t="s">
        <v>31729</v>
      </c>
      <c r="E6945" t="s">
        <v>31730</v>
      </c>
      <c r="G6945" t="s">
        <v>31731</v>
      </c>
      <c r="L6945" t="s">
        <v>83</v>
      </c>
      <c r="M6945" t="s">
        <v>75</v>
      </c>
      <c r="R6945" t="s">
        <v>31732</v>
      </c>
      <c r="W6945" t="s">
        <v>31733</v>
      </c>
      <c r="X6945" t="s">
        <v>31734</v>
      </c>
      <c r="Y6945" t="s">
        <v>97</v>
      </c>
      <c r="Z6945" t="s">
        <v>77</v>
      </c>
      <c r="AA6945" t="str">
        <f>"10019-0000"</f>
        <v>10019-0000</v>
      </c>
      <c r="AB6945" t="s">
        <v>128</v>
      </c>
      <c r="AC6945" t="s">
        <v>79</v>
      </c>
      <c r="AD6945" t="s">
        <v>75</v>
      </c>
      <c r="AE6945" t="s">
        <v>80</v>
      </c>
      <c r="AG6945" t="s">
        <v>81</v>
      </c>
    </row>
    <row r="6946" spans="1:33" x14ac:dyDescent="0.25">
      <c r="A6946" t="str">
        <f>"1962417600"</f>
        <v>1962417600</v>
      </c>
      <c r="B6946" t="str">
        <f>"01440844"</f>
        <v>01440844</v>
      </c>
      <c r="C6946" t="s">
        <v>13436</v>
      </c>
      <c r="D6946" t="s">
        <v>4585</v>
      </c>
      <c r="E6946" t="s">
        <v>4586</v>
      </c>
      <c r="L6946" t="s">
        <v>83</v>
      </c>
      <c r="M6946" t="s">
        <v>85</v>
      </c>
      <c r="R6946" t="s">
        <v>4584</v>
      </c>
      <c r="W6946" t="s">
        <v>4586</v>
      </c>
      <c r="Y6946" t="s">
        <v>97</v>
      </c>
      <c r="Z6946" t="s">
        <v>77</v>
      </c>
      <c r="AA6946" t="str">
        <f>"10029-6501"</f>
        <v>10029-6501</v>
      </c>
      <c r="AB6946" t="s">
        <v>78</v>
      </c>
      <c r="AC6946" t="s">
        <v>79</v>
      </c>
      <c r="AD6946" t="s">
        <v>75</v>
      </c>
      <c r="AE6946" t="s">
        <v>80</v>
      </c>
      <c r="AG6946" t="s">
        <v>81</v>
      </c>
    </row>
    <row r="6947" spans="1:33" x14ac:dyDescent="0.25">
      <c r="A6947" t="str">
        <f>"1962432476"</f>
        <v>1962432476</v>
      </c>
      <c r="B6947" t="str">
        <f>"02177044"</f>
        <v>02177044</v>
      </c>
      <c r="C6947" t="s">
        <v>13436</v>
      </c>
      <c r="D6947" t="s">
        <v>31735</v>
      </c>
      <c r="E6947" t="s">
        <v>31736</v>
      </c>
      <c r="L6947" t="s">
        <v>83</v>
      </c>
      <c r="M6947" t="s">
        <v>85</v>
      </c>
      <c r="R6947" t="s">
        <v>31737</v>
      </c>
      <c r="W6947" t="s">
        <v>31736</v>
      </c>
      <c r="X6947" t="s">
        <v>329</v>
      </c>
      <c r="Y6947" t="s">
        <v>97</v>
      </c>
      <c r="Z6947" t="s">
        <v>77</v>
      </c>
      <c r="AA6947" t="str">
        <f>"10029-6504"</f>
        <v>10029-6504</v>
      </c>
      <c r="AB6947" t="s">
        <v>78</v>
      </c>
      <c r="AC6947" t="s">
        <v>79</v>
      </c>
      <c r="AD6947" t="s">
        <v>75</v>
      </c>
      <c r="AE6947" t="s">
        <v>80</v>
      </c>
      <c r="AG6947" t="s">
        <v>81</v>
      </c>
    </row>
    <row r="6948" spans="1:33" x14ac:dyDescent="0.25">
      <c r="A6948" t="str">
        <f>"1508939083"</f>
        <v>1508939083</v>
      </c>
      <c r="B6948" t="str">
        <f>"02739251"</f>
        <v>02739251</v>
      </c>
      <c r="C6948" t="s">
        <v>13436</v>
      </c>
      <c r="D6948" t="s">
        <v>31738</v>
      </c>
      <c r="E6948" t="s">
        <v>31739</v>
      </c>
      <c r="G6948" t="s">
        <v>31740</v>
      </c>
      <c r="L6948" t="s">
        <v>84</v>
      </c>
      <c r="M6948" t="s">
        <v>85</v>
      </c>
      <c r="R6948" t="s">
        <v>31741</v>
      </c>
      <c r="W6948" t="s">
        <v>31739</v>
      </c>
      <c r="X6948" t="s">
        <v>31742</v>
      </c>
      <c r="Y6948" t="s">
        <v>87</v>
      </c>
      <c r="Z6948" t="s">
        <v>77</v>
      </c>
      <c r="AA6948" t="str">
        <f>"11226-1340"</f>
        <v>11226-1340</v>
      </c>
      <c r="AB6948" t="s">
        <v>78</v>
      </c>
      <c r="AC6948" t="s">
        <v>79</v>
      </c>
      <c r="AD6948" t="s">
        <v>75</v>
      </c>
      <c r="AE6948" t="s">
        <v>80</v>
      </c>
      <c r="AG6948" t="s">
        <v>81</v>
      </c>
    </row>
    <row r="6949" spans="1:33" x14ac:dyDescent="0.25">
      <c r="A6949" t="str">
        <f>"1629223144"</f>
        <v>1629223144</v>
      </c>
      <c r="B6949" t="str">
        <f>"03730352"</f>
        <v>03730352</v>
      </c>
      <c r="C6949" t="s">
        <v>13436</v>
      </c>
      <c r="D6949" t="s">
        <v>31743</v>
      </c>
      <c r="E6949" t="s">
        <v>31744</v>
      </c>
      <c r="G6949" t="s">
        <v>31745</v>
      </c>
      <c r="L6949" t="s">
        <v>74</v>
      </c>
      <c r="M6949" t="s">
        <v>75</v>
      </c>
      <c r="R6949" t="s">
        <v>31744</v>
      </c>
      <c r="W6949" t="s">
        <v>31744</v>
      </c>
      <c r="X6949" t="s">
        <v>329</v>
      </c>
      <c r="Y6949" t="s">
        <v>97</v>
      </c>
      <c r="Z6949" t="s">
        <v>77</v>
      </c>
      <c r="AA6949" t="str">
        <f>"10029-6504"</f>
        <v>10029-6504</v>
      </c>
      <c r="AB6949" t="s">
        <v>78</v>
      </c>
      <c r="AC6949" t="s">
        <v>79</v>
      </c>
      <c r="AD6949" t="s">
        <v>75</v>
      </c>
      <c r="AE6949" t="s">
        <v>80</v>
      </c>
      <c r="AG6949" t="s">
        <v>81</v>
      </c>
    </row>
    <row r="6950" spans="1:33" x14ac:dyDescent="0.25">
      <c r="A6950" t="str">
        <f>"1952392466"</f>
        <v>1952392466</v>
      </c>
      <c r="B6950" t="str">
        <f>"01036837"</f>
        <v>01036837</v>
      </c>
      <c r="C6950" t="s">
        <v>13436</v>
      </c>
      <c r="D6950" t="s">
        <v>31746</v>
      </c>
      <c r="E6950" t="s">
        <v>31747</v>
      </c>
      <c r="G6950" t="s">
        <v>31748</v>
      </c>
      <c r="L6950" t="s">
        <v>83</v>
      </c>
      <c r="M6950" t="s">
        <v>85</v>
      </c>
      <c r="R6950" t="s">
        <v>28656</v>
      </c>
      <c r="W6950" t="s">
        <v>31747</v>
      </c>
      <c r="X6950" t="s">
        <v>228</v>
      </c>
      <c r="Y6950" t="s">
        <v>91</v>
      </c>
      <c r="Z6950" t="s">
        <v>77</v>
      </c>
      <c r="AA6950" t="str">
        <f>"11373-1329"</f>
        <v>11373-1329</v>
      </c>
      <c r="AB6950" t="s">
        <v>78</v>
      </c>
      <c r="AC6950" t="s">
        <v>79</v>
      </c>
      <c r="AD6950" t="s">
        <v>75</v>
      </c>
      <c r="AE6950" t="s">
        <v>80</v>
      </c>
      <c r="AG6950" t="s">
        <v>81</v>
      </c>
    </row>
    <row r="6951" spans="1:33" x14ac:dyDescent="0.25">
      <c r="A6951" t="str">
        <f>"1952463937"</f>
        <v>1952463937</v>
      </c>
      <c r="B6951" t="str">
        <f>"02687227"</f>
        <v>02687227</v>
      </c>
      <c r="C6951" t="s">
        <v>13436</v>
      </c>
      <c r="D6951" t="s">
        <v>31749</v>
      </c>
      <c r="E6951" t="s">
        <v>31750</v>
      </c>
      <c r="L6951" t="s">
        <v>84</v>
      </c>
      <c r="M6951" t="s">
        <v>85</v>
      </c>
      <c r="R6951" t="s">
        <v>31751</v>
      </c>
      <c r="W6951" t="s">
        <v>31750</v>
      </c>
      <c r="X6951" t="s">
        <v>15499</v>
      </c>
      <c r="Y6951" t="s">
        <v>97</v>
      </c>
      <c r="Z6951" t="s">
        <v>77</v>
      </c>
      <c r="AA6951" t="str">
        <f>"10001-6708"</f>
        <v>10001-6708</v>
      </c>
      <c r="AB6951" t="s">
        <v>78</v>
      </c>
      <c r="AC6951" t="s">
        <v>79</v>
      </c>
      <c r="AD6951" t="s">
        <v>75</v>
      </c>
      <c r="AE6951" t="s">
        <v>80</v>
      </c>
      <c r="AG6951" t="s">
        <v>81</v>
      </c>
    </row>
    <row r="6952" spans="1:33" x14ac:dyDescent="0.25">
      <c r="A6952" t="str">
        <f>"1952490740"</f>
        <v>1952490740</v>
      </c>
      <c r="B6952" t="str">
        <f>"02925506"</f>
        <v>02925506</v>
      </c>
      <c r="C6952" t="s">
        <v>13436</v>
      </c>
      <c r="D6952" t="s">
        <v>31752</v>
      </c>
      <c r="E6952" t="s">
        <v>31753</v>
      </c>
      <c r="L6952" t="s">
        <v>94</v>
      </c>
      <c r="M6952" t="s">
        <v>85</v>
      </c>
      <c r="R6952" t="s">
        <v>31754</v>
      </c>
      <c r="W6952" t="s">
        <v>31755</v>
      </c>
      <c r="X6952" t="s">
        <v>329</v>
      </c>
      <c r="Y6952" t="s">
        <v>97</v>
      </c>
      <c r="Z6952" t="s">
        <v>77</v>
      </c>
      <c r="AA6952" t="str">
        <f>"10029-6500"</f>
        <v>10029-6500</v>
      </c>
      <c r="AB6952" t="s">
        <v>78</v>
      </c>
      <c r="AC6952" t="s">
        <v>79</v>
      </c>
      <c r="AD6952" t="s">
        <v>75</v>
      </c>
      <c r="AE6952" t="s">
        <v>80</v>
      </c>
      <c r="AG6952" t="s">
        <v>81</v>
      </c>
    </row>
    <row r="6953" spans="1:33" x14ac:dyDescent="0.25">
      <c r="A6953" t="str">
        <f>"1952495665"</f>
        <v>1952495665</v>
      </c>
      <c r="B6953" t="str">
        <f>"03723466"</f>
        <v>03723466</v>
      </c>
      <c r="C6953" t="s">
        <v>13436</v>
      </c>
      <c r="D6953" t="s">
        <v>31756</v>
      </c>
      <c r="E6953" t="s">
        <v>31757</v>
      </c>
      <c r="G6953" t="s">
        <v>31758</v>
      </c>
      <c r="L6953" t="s">
        <v>74</v>
      </c>
      <c r="M6953" t="s">
        <v>75</v>
      </c>
      <c r="R6953" t="s">
        <v>31759</v>
      </c>
      <c r="W6953" t="s">
        <v>31757</v>
      </c>
      <c r="X6953" t="s">
        <v>6256</v>
      </c>
      <c r="Y6953" t="s">
        <v>97</v>
      </c>
      <c r="Z6953" t="s">
        <v>77</v>
      </c>
      <c r="AA6953" t="str">
        <f>"10128-5604"</f>
        <v>10128-5604</v>
      </c>
      <c r="AB6953" t="s">
        <v>78</v>
      </c>
      <c r="AC6953" t="s">
        <v>79</v>
      </c>
      <c r="AD6953" t="s">
        <v>75</v>
      </c>
      <c r="AE6953" t="s">
        <v>80</v>
      </c>
      <c r="AG6953" t="s">
        <v>81</v>
      </c>
    </row>
    <row r="6954" spans="1:33" x14ac:dyDescent="0.25">
      <c r="A6954" t="str">
        <f>"1952544603"</f>
        <v>1952544603</v>
      </c>
      <c r="B6954" t="str">
        <f>"03405745"</f>
        <v>03405745</v>
      </c>
      <c r="C6954" t="s">
        <v>13436</v>
      </c>
      <c r="D6954" t="s">
        <v>31760</v>
      </c>
      <c r="E6954" t="s">
        <v>31761</v>
      </c>
      <c r="G6954" t="s">
        <v>31762</v>
      </c>
      <c r="L6954" t="s">
        <v>83</v>
      </c>
      <c r="M6954" t="s">
        <v>85</v>
      </c>
      <c r="R6954" t="s">
        <v>31763</v>
      </c>
      <c r="W6954" t="s">
        <v>31764</v>
      </c>
      <c r="X6954" t="s">
        <v>329</v>
      </c>
      <c r="Y6954" t="s">
        <v>97</v>
      </c>
      <c r="Z6954" t="s">
        <v>77</v>
      </c>
      <c r="AA6954" t="str">
        <f>"10029-6500"</f>
        <v>10029-6500</v>
      </c>
      <c r="AB6954" t="s">
        <v>78</v>
      </c>
      <c r="AC6954" t="s">
        <v>79</v>
      </c>
      <c r="AD6954" t="s">
        <v>75</v>
      </c>
      <c r="AE6954" t="s">
        <v>80</v>
      </c>
      <c r="AG6954" t="s">
        <v>81</v>
      </c>
    </row>
    <row r="6955" spans="1:33" x14ac:dyDescent="0.25">
      <c r="A6955" t="str">
        <f>"1952564114"</f>
        <v>1952564114</v>
      </c>
      <c r="B6955" t="str">
        <f>"03656544"</f>
        <v>03656544</v>
      </c>
      <c r="C6955" t="s">
        <v>13436</v>
      </c>
      <c r="D6955" t="s">
        <v>31765</v>
      </c>
      <c r="E6955" t="s">
        <v>31766</v>
      </c>
      <c r="G6955" t="s">
        <v>31767</v>
      </c>
      <c r="L6955" t="s">
        <v>83</v>
      </c>
      <c r="M6955" t="s">
        <v>85</v>
      </c>
      <c r="R6955" t="s">
        <v>31768</v>
      </c>
      <c r="W6955" t="s">
        <v>31766</v>
      </c>
      <c r="X6955" t="s">
        <v>3392</v>
      </c>
      <c r="Y6955" t="s">
        <v>97</v>
      </c>
      <c r="Z6955" t="s">
        <v>77</v>
      </c>
      <c r="AA6955" t="str">
        <f>"10003-0000"</f>
        <v>10003-0000</v>
      </c>
      <c r="AB6955" t="s">
        <v>78</v>
      </c>
      <c r="AC6955" t="s">
        <v>79</v>
      </c>
      <c r="AD6955" t="s">
        <v>75</v>
      </c>
      <c r="AE6955" t="s">
        <v>80</v>
      </c>
      <c r="AG6955" t="s">
        <v>81</v>
      </c>
    </row>
    <row r="6956" spans="1:33" x14ac:dyDescent="0.25">
      <c r="A6956" t="str">
        <f>"1952564163"</f>
        <v>1952564163</v>
      </c>
      <c r="B6956" t="str">
        <f>"03065996"</f>
        <v>03065996</v>
      </c>
      <c r="C6956" t="s">
        <v>13436</v>
      </c>
      <c r="D6956" t="s">
        <v>31769</v>
      </c>
      <c r="E6956" t="s">
        <v>31770</v>
      </c>
      <c r="L6956" t="s">
        <v>83</v>
      </c>
      <c r="M6956" t="s">
        <v>85</v>
      </c>
      <c r="R6956" t="s">
        <v>31771</v>
      </c>
      <c r="W6956" t="s">
        <v>31772</v>
      </c>
      <c r="X6956" t="s">
        <v>942</v>
      </c>
      <c r="Y6956" t="s">
        <v>97</v>
      </c>
      <c r="Z6956" t="s">
        <v>77</v>
      </c>
      <c r="AA6956" t="str">
        <f>"10029-6508"</f>
        <v>10029-6508</v>
      </c>
      <c r="AB6956" t="s">
        <v>78</v>
      </c>
      <c r="AC6956" t="s">
        <v>79</v>
      </c>
      <c r="AD6956" t="s">
        <v>75</v>
      </c>
      <c r="AE6956" t="s">
        <v>80</v>
      </c>
      <c r="AG6956" t="s">
        <v>81</v>
      </c>
    </row>
    <row r="6957" spans="1:33" x14ac:dyDescent="0.25">
      <c r="A6957" t="str">
        <f>"1952584989"</f>
        <v>1952584989</v>
      </c>
      <c r="B6957" t="str">
        <f>"03754941"</f>
        <v>03754941</v>
      </c>
      <c r="C6957" t="s">
        <v>13436</v>
      </c>
      <c r="D6957" t="s">
        <v>31773</v>
      </c>
      <c r="E6957" t="s">
        <v>31774</v>
      </c>
      <c r="L6957" t="s">
        <v>83</v>
      </c>
      <c r="M6957" t="s">
        <v>85</v>
      </c>
      <c r="R6957" t="s">
        <v>31775</v>
      </c>
      <c r="W6957" t="s">
        <v>31774</v>
      </c>
      <c r="X6957" t="s">
        <v>11195</v>
      </c>
      <c r="Y6957" t="s">
        <v>97</v>
      </c>
      <c r="Z6957" t="s">
        <v>77</v>
      </c>
      <c r="AA6957" t="str">
        <f>"10029-6030"</f>
        <v>10029-6030</v>
      </c>
      <c r="AB6957" t="s">
        <v>78</v>
      </c>
      <c r="AC6957" t="s">
        <v>79</v>
      </c>
      <c r="AD6957" t="s">
        <v>75</v>
      </c>
      <c r="AE6957" t="s">
        <v>80</v>
      </c>
      <c r="AG6957" t="s">
        <v>81</v>
      </c>
    </row>
    <row r="6958" spans="1:33" x14ac:dyDescent="0.25">
      <c r="A6958" t="str">
        <f>"1205866571"</f>
        <v>1205866571</v>
      </c>
      <c r="B6958" t="str">
        <f>"00335704"</f>
        <v>00335704</v>
      </c>
      <c r="C6958" t="s">
        <v>31776</v>
      </c>
      <c r="D6958" t="s">
        <v>4132</v>
      </c>
      <c r="E6958" t="s">
        <v>4133</v>
      </c>
      <c r="G6958" t="s">
        <v>31777</v>
      </c>
      <c r="H6958" t="s">
        <v>31778</v>
      </c>
      <c r="J6958" t="s">
        <v>31779</v>
      </c>
      <c r="L6958" t="s">
        <v>105</v>
      </c>
      <c r="M6958" t="s">
        <v>75</v>
      </c>
      <c r="R6958" t="s">
        <v>4134</v>
      </c>
      <c r="W6958" t="s">
        <v>4133</v>
      </c>
      <c r="X6958" t="s">
        <v>4135</v>
      </c>
      <c r="Y6958" t="s">
        <v>182</v>
      </c>
      <c r="Z6958" t="s">
        <v>77</v>
      </c>
      <c r="AA6958" t="str">
        <f>"11501-3893"</f>
        <v>11501-3893</v>
      </c>
      <c r="AB6958" t="s">
        <v>78</v>
      </c>
      <c r="AC6958" t="s">
        <v>79</v>
      </c>
      <c r="AD6958" t="s">
        <v>75</v>
      </c>
      <c r="AE6958" t="s">
        <v>80</v>
      </c>
      <c r="AG6958" t="s">
        <v>81</v>
      </c>
    </row>
    <row r="6959" spans="1:33" x14ac:dyDescent="0.25">
      <c r="C6959" t="s">
        <v>31780</v>
      </c>
      <c r="G6959" t="s">
        <v>31777</v>
      </c>
      <c r="H6959" t="s">
        <v>31778</v>
      </c>
      <c r="J6959" t="s">
        <v>31779</v>
      </c>
      <c r="K6959" t="s">
        <v>99</v>
      </c>
      <c r="L6959" t="s">
        <v>100</v>
      </c>
      <c r="M6959" t="s">
        <v>75</v>
      </c>
      <c r="N6959" t="s">
        <v>431</v>
      </c>
      <c r="O6959" t="s">
        <v>77</v>
      </c>
      <c r="P6959">
        <v>11201</v>
      </c>
      <c r="AC6959" t="s">
        <v>79</v>
      </c>
      <c r="AD6959" t="s">
        <v>75</v>
      </c>
      <c r="AE6959" t="s">
        <v>101</v>
      </c>
      <c r="AG6959" t="s">
        <v>81</v>
      </c>
    </row>
    <row r="6960" spans="1:33" x14ac:dyDescent="0.25">
      <c r="A6960" t="str">
        <f>"1053652503"</f>
        <v>1053652503</v>
      </c>
      <c r="C6960" t="s">
        <v>31781</v>
      </c>
      <c r="G6960" t="s">
        <v>31777</v>
      </c>
      <c r="H6960" t="s">
        <v>31778</v>
      </c>
      <c r="J6960" t="s">
        <v>31779</v>
      </c>
      <c r="K6960" t="s">
        <v>99</v>
      </c>
      <c r="L6960" t="s">
        <v>74</v>
      </c>
      <c r="M6960" t="s">
        <v>75</v>
      </c>
      <c r="R6960" t="s">
        <v>31782</v>
      </c>
      <c r="S6960" t="s">
        <v>31783</v>
      </c>
      <c r="T6960" t="s">
        <v>190</v>
      </c>
      <c r="U6960" t="s">
        <v>77</v>
      </c>
      <c r="V6960" t="str">
        <f>"111012822"</f>
        <v>111012822</v>
      </c>
      <c r="AC6960" t="s">
        <v>79</v>
      </c>
      <c r="AD6960" t="s">
        <v>75</v>
      </c>
      <c r="AE6960" t="s">
        <v>103</v>
      </c>
      <c r="AG6960" t="s">
        <v>81</v>
      </c>
    </row>
    <row r="6961" spans="1:33" x14ac:dyDescent="0.25">
      <c r="A6961" t="str">
        <f>"1447460233"</f>
        <v>1447460233</v>
      </c>
      <c r="B6961" t="str">
        <f>"03142761"</f>
        <v>03142761</v>
      </c>
      <c r="C6961" t="s">
        <v>13436</v>
      </c>
      <c r="D6961" t="s">
        <v>31784</v>
      </c>
      <c r="E6961" t="s">
        <v>31785</v>
      </c>
      <c r="G6961" t="s">
        <v>31786</v>
      </c>
      <c r="L6961" t="s">
        <v>83</v>
      </c>
      <c r="M6961" t="s">
        <v>75</v>
      </c>
      <c r="R6961" t="s">
        <v>31787</v>
      </c>
      <c r="W6961" t="s">
        <v>31785</v>
      </c>
      <c r="X6961" t="s">
        <v>365</v>
      </c>
      <c r="Y6961" t="s">
        <v>190</v>
      </c>
      <c r="Z6961" t="s">
        <v>77</v>
      </c>
      <c r="AA6961" t="str">
        <f>"11102-2448"</f>
        <v>11102-2448</v>
      </c>
      <c r="AB6961" t="s">
        <v>78</v>
      </c>
      <c r="AC6961" t="s">
        <v>79</v>
      </c>
      <c r="AD6961" t="s">
        <v>75</v>
      </c>
      <c r="AE6961" t="s">
        <v>80</v>
      </c>
      <c r="AG6961" t="s">
        <v>81</v>
      </c>
    </row>
    <row r="6962" spans="1:33" x14ac:dyDescent="0.25">
      <c r="A6962" t="str">
        <f>"1447467899"</f>
        <v>1447467899</v>
      </c>
      <c r="B6962" t="str">
        <f>"03446893"</f>
        <v>03446893</v>
      </c>
      <c r="C6962" t="s">
        <v>13436</v>
      </c>
      <c r="D6962" t="s">
        <v>31788</v>
      </c>
      <c r="E6962" t="s">
        <v>31789</v>
      </c>
      <c r="G6962" t="s">
        <v>31790</v>
      </c>
      <c r="L6962" t="s">
        <v>74</v>
      </c>
      <c r="M6962" t="s">
        <v>85</v>
      </c>
      <c r="R6962" t="s">
        <v>31791</v>
      </c>
      <c r="W6962" t="s">
        <v>31789</v>
      </c>
      <c r="X6962" t="s">
        <v>11073</v>
      </c>
      <c r="Y6962" t="s">
        <v>97</v>
      </c>
      <c r="Z6962" t="s">
        <v>77</v>
      </c>
      <c r="AA6962" t="str">
        <f>"10029-6500"</f>
        <v>10029-6500</v>
      </c>
      <c r="AB6962" t="s">
        <v>78</v>
      </c>
      <c r="AC6962" t="s">
        <v>79</v>
      </c>
      <c r="AD6962" t="s">
        <v>75</v>
      </c>
      <c r="AE6962" t="s">
        <v>80</v>
      </c>
      <c r="AG6962" t="s">
        <v>81</v>
      </c>
    </row>
    <row r="6963" spans="1:33" x14ac:dyDescent="0.25">
      <c r="A6963" t="str">
        <f>"1447469606"</f>
        <v>1447469606</v>
      </c>
      <c r="B6963" t="str">
        <f>"02058322"</f>
        <v>02058322</v>
      </c>
      <c r="C6963" t="s">
        <v>13436</v>
      </c>
      <c r="D6963" t="s">
        <v>31792</v>
      </c>
      <c r="E6963" t="s">
        <v>31793</v>
      </c>
      <c r="G6963" t="s">
        <v>31794</v>
      </c>
      <c r="L6963" t="s">
        <v>74</v>
      </c>
      <c r="M6963" t="s">
        <v>75</v>
      </c>
      <c r="R6963" t="s">
        <v>31795</v>
      </c>
      <c r="W6963" t="s">
        <v>31793</v>
      </c>
      <c r="X6963" t="s">
        <v>31796</v>
      </c>
      <c r="Y6963" t="s">
        <v>131</v>
      </c>
      <c r="Z6963" t="s">
        <v>77</v>
      </c>
      <c r="AA6963" t="str">
        <f>"10467-2401"</f>
        <v>10467-2401</v>
      </c>
      <c r="AB6963" t="s">
        <v>78</v>
      </c>
      <c r="AC6963" t="s">
        <v>79</v>
      </c>
      <c r="AD6963" t="s">
        <v>75</v>
      </c>
      <c r="AE6963" t="s">
        <v>80</v>
      </c>
      <c r="AG6963" t="s">
        <v>81</v>
      </c>
    </row>
    <row r="6964" spans="1:33" x14ac:dyDescent="0.25">
      <c r="A6964" t="str">
        <f>"1447488325"</f>
        <v>1447488325</v>
      </c>
      <c r="C6964" t="s">
        <v>13436</v>
      </c>
      <c r="K6964" t="s">
        <v>99</v>
      </c>
      <c r="L6964" t="s">
        <v>102</v>
      </c>
      <c r="M6964" t="s">
        <v>75</v>
      </c>
      <c r="R6964" t="s">
        <v>31797</v>
      </c>
      <c r="S6964" t="s">
        <v>31798</v>
      </c>
      <c r="T6964" t="s">
        <v>31799</v>
      </c>
      <c r="U6964" t="s">
        <v>31463</v>
      </c>
      <c r="V6964" t="str">
        <f>"50314"</f>
        <v>50314</v>
      </c>
      <c r="AC6964" t="s">
        <v>79</v>
      </c>
      <c r="AD6964" t="s">
        <v>75</v>
      </c>
      <c r="AE6964" t="s">
        <v>103</v>
      </c>
      <c r="AG6964" t="s">
        <v>81</v>
      </c>
    </row>
    <row r="6965" spans="1:33" x14ac:dyDescent="0.25">
      <c r="A6965" t="str">
        <f>"1447517875"</f>
        <v>1447517875</v>
      </c>
      <c r="B6965" t="str">
        <f>"04529131"</f>
        <v>04529131</v>
      </c>
      <c r="C6965" t="s">
        <v>13436</v>
      </c>
      <c r="D6965" t="s">
        <v>31800</v>
      </c>
      <c r="E6965" t="s">
        <v>31801</v>
      </c>
      <c r="L6965" t="s">
        <v>102</v>
      </c>
      <c r="M6965" t="s">
        <v>75</v>
      </c>
      <c r="R6965" t="s">
        <v>31802</v>
      </c>
      <c r="W6965" t="s">
        <v>31801</v>
      </c>
      <c r="AB6965" t="s">
        <v>78</v>
      </c>
      <c r="AC6965" t="s">
        <v>79</v>
      </c>
      <c r="AD6965" t="s">
        <v>75</v>
      </c>
      <c r="AE6965" t="s">
        <v>80</v>
      </c>
      <c r="AG6965" t="s">
        <v>81</v>
      </c>
    </row>
    <row r="6966" spans="1:33" x14ac:dyDescent="0.25">
      <c r="A6966" t="str">
        <f>"1447518535"</f>
        <v>1447518535</v>
      </c>
      <c r="B6966" t="str">
        <f>"04511491"</f>
        <v>04511491</v>
      </c>
      <c r="C6966" t="s">
        <v>13436</v>
      </c>
      <c r="D6966" t="s">
        <v>31803</v>
      </c>
      <c r="E6966" t="s">
        <v>31804</v>
      </c>
      <c r="L6966" t="s">
        <v>102</v>
      </c>
      <c r="M6966" t="s">
        <v>75</v>
      </c>
      <c r="R6966" t="s">
        <v>31805</v>
      </c>
      <c r="W6966" t="s">
        <v>31804</v>
      </c>
      <c r="AB6966" t="s">
        <v>78</v>
      </c>
      <c r="AC6966" t="s">
        <v>79</v>
      </c>
      <c r="AD6966" t="s">
        <v>75</v>
      </c>
      <c r="AE6966" t="s">
        <v>80</v>
      </c>
      <c r="AG6966" t="s">
        <v>81</v>
      </c>
    </row>
    <row r="6967" spans="1:33" x14ac:dyDescent="0.25">
      <c r="A6967" t="str">
        <f>"1447541768"</f>
        <v>1447541768</v>
      </c>
      <c r="B6967" t="str">
        <f>"03922543"</f>
        <v>03922543</v>
      </c>
      <c r="C6967" t="s">
        <v>13436</v>
      </c>
      <c r="D6967" t="s">
        <v>31806</v>
      </c>
      <c r="E6967" t="s">
        <v>31807</v>
      </c>
      <c r="L6967" t="s">
        <v>74</v>
      </c>
      <c r="M6967" t="s">
        <v>75</v>
      </c>
      <c r="R6967" t="s">
        <v>31808</v>
      </c>
      <c r="W6967" t="s">
        <v>31809</v>
      </c>
      <c r="X6967" t="s">
        <v>169</v>
      </c>
      <c r="Y6967" t="s">
        <v>155</v>
      </c>
      <c r="Z6967" t="s">
        <v>77</v>
      </c>
      <c r="AA6967" t="str">
        <f>"10305-3436"</f>
        <v>10305-3436</v>
      </c>
      <c r="AB6967" t="s">
        <v>78</v>
      </c>
      <c r="AC6967" t="s">
        <v>79</v>
      </c>
      <c r="AD6967" t="s">
        <v>75</v>
      </c>
      <c r="AE6967" t="s">
        <v>80</v>
      </c>
      <c r="AG6967" t="s">
        <v>81</v>
      </c>
    </row>
    <row r="6968" spans="1:33" x14ac:dyDescent="0.25">
      <c r="A6968" t="str">
        <f>"1447544838"</f>
        <v>1447544838</v>
      </c>
      <c r="C6968" t="s">
        <v>13436</v>
      </c>
      <c r="K6968" t="s">
        <v>99</v>
      </c>
      <c r="L6968" t="s">
        <v>102</v>
      </c>
      <c r="M6968" t="s">
        <v>75</v>
      </c>
      <c r="R6968" t="s">
        <v>31810</v>
      </c>
      <c r="S6968" t="s">
        <v>31811</v>
      </c>
      <c r="T6968" t="s">
        <v>31812</v>
      </c>
      <c r="U6968" t="s">
        <v>351</v>
      </c>
      <c r="V6968" t="str">
        <f>"322241865"</f>
        <v>322241865</v>
      </c>
      <c r="AC6968" t="s">
        <v>79</v>
      </c>
      <c r="AD6968" t="s">
        <v>75</v>
      </c>
      <c r="AE6968" t="s">
        <v>103</v>
      </c>
      <c r="AG6968" t="s">
        <v>81</v>
      </c>
    </row>
    <row r="6969" spans="1:33" x14ac:dyDescent="0.25">
      <c r="A6969" t="str">
        <f>"1326200387"</f>
        <v>1326200387</v>
      </c>
      <c r="B6969" t="str">
        <f>"03347871"</f>
        <v>03347871</v>
      </c>
      <c r="C6969" t="s">
        <v>13436</v>
      </c>
      <c r="D6969" t="s">
        <v>31813</v>
      </c>
      <c r="E6969" t="s">
        <v>31814</v>
      </c>
      <c r="G6969" t="s">
        <v>31815</v>
      </c>
      <c r="L6969" t="s">
        <v>74</v>
      </c>
      <c r="M6969" t="s">
        <v>75</v>
      </c>
      <c r="R6969" t="s">
        <v>31814</v>
      </c>
      <c r="W6969" t="s">
        <v>31816</v>
      </c>
      <c r="X6969" t="s">
        <v>3553</v>
      </c>
      <c r="Y6969" t="s">
        <v>97</v>
      </c>
      <c r="Z6969" t="s">
        <v>77</v>
      </c>
      <c r="AA6969" t="str">
        <f>"10003-3851"</f>
        <v>10003-3851</v>
      </c>
      <c r="AB6969" t="s">
        <v>78</v>
      </c>
      <c r="AC6969" t="s">
        <v>79</v>
      </c>
      <c r="AD6969" t="s">
        <v>75</v>
      </c>
      <c r="AE6969" t="s">
        <v>80</v>
      </c>
      <c r="AG6969" t="s">
        <v>81</v>
      </c>
    </row>
    <row r="6970" spans="1:33" x14ac:dyDescent="0.25">
      <c r="A6970" t="str">
        <f>"1245482108"</f>
        <v>1245482108</v>
      </c>
      <c r="B6970" t="str">
        <f>"03765657"</f>
        <v>03765657</v>
      </c>
      <c r="C6970" t="s">
        <v>13436</v>
      </c>
      <c r="D6970" t="s">
        <v>31817</v>
      </c>
      <c r="E6970" t="s">
        <v>31818</v>
      </c>
      <c r="G6970" t="s">
        <v>31819</v>
      </c>
      <c r="L6970" t="s">
        <v>102</v>
      </c>
      <c r="M6970" t="s">
        <v>75</v>
      </c>
      <c r="R6970" t="s">
        <v>31818</v>
      </c>
      <c r="W6970" t="s">
        <v>31818</v>
      </c>
      <c r="X6970" t="s">
        <v>31820</v>
      </c>
      <c r="Y6970" t="s">
        <v>97</v>
      </c>
      <c r="Z6970" t="s">
        <v>77</v>
      </c>
      <c r="AA6970" t="str">
        <f>"10029-6504"</f>
        <v>10029-6504</v>
      </c>
      <c r="AB6970" t="s">
        <v>78</v>
      </c>
      <c r="AC6970" t="s">
        <v>79</v>
      </c>
      <c r="AD6970" t="s">
        <v>75</v>
      </c>
      <c r="AE6970" t="s">
        <v>80</v>
      </c>
      <c r="AG6970" t="s">
        <v>81</v>
      </c>
    </row>
    <row r="6971" spans="1:33" x14ac:dyDescent="0.25">
      <c r="A6971" t="str">
        <f>"1245489533"</f>
        <v>1245489533</v>
      </c>
      <c r="B6971" t="str">
        <f>"03462493"</f>
        <v>03462493</v>
      </c>
      <c r="C6971" t="s">
        <v>13436</v>
      </c>
      <c r="D6971" t="s">
        <v>31821</v>
      </c>
      <c r="E6971" t="s">
        <v>31822</v>
      </c>
      <c r="G6971" t="s">
        <v>31823</v>
      </c>
      <c r="L6971" t="s">
        <v>83</v>
      </c>
      <c r="M6971" t="s">
        <v>85</v>
      </c>
      <c r="R6971" t="s">
        <v>31824</v>
      </c>
      <c r="W6971" t="s">
        <v>31822</v>
      </c>
      <c r="X6971" t="s">
        <v>11566</v>
      </c>
      <c r="Y6971" t="s">
        <v>97</v>
      </c>
      <c r="Z6971" t="s">
        <v>77</v>
      </c>
      <c r="AA6971" t="str">
        <f>"10029-6500"</f>
        <v>10029-6500</v>
      </c>
      <c r="AB6971" t="s">
        <v>78</v>
      </c>
      <c r="AC6971" t="s">
        <v>79</v>
      </c>
      <c r="AD6971" t="s">
        <v>75</v>
      </c>
      <c r="AE6971" t="s">
        <v>80</v>
      </c>
      <c r="AG6971" t="s">
        <v>81</v>
      </c>
    </row>
    <row r="6972" spans="1:33" x14ac:dyDescent="0.25">
      <c r="A6972" t="str">
        <f>"1245494715"</f>
        <v>1245494715</v>
      </c>
      <c r="B6972" t="str">
        <f>"03061387"</f>
        <v>03061387</v>
      </c>
      <c r="C6972" t="s">
        <v>13436</v>
      </c>
      <c r="D6972" t="s">
        <v>31825</v>
      </c>
      <c r="E6972" t="s">
        <v>31826</v>
      </c>
      <c r="G6972" t="s">
        <v>31827</v>
      </c>
      <c r="L6972" t="s">
        <v>83</v>
      </c>
      <c r="M6972" t="s">
        <v>85</v>
      </c>
      <c r="R6972" t="s">
        <v>31828</v>
      </c>
      <c r="W6972" t="s">
        <v>31826</v>
      </c>
      <c r="X6972" t="s">
        <v>23664</v>
      </c>
      <c r="Y6972" t="s">
        <v>97</v>
      </c>
      <c r="Z6972" t="s">
        <v>77</v>
      </c>
      <c r="AA6972" t="str">
        <f>"10029-6574"</f>
        <v>10029-6574</v>
      </c>
      <c r="AB6972" t="s">
        <v>78</v>
      </c>
      <c r="AC6972" t="s">
        <v>79</v>
      </c>
      <c r="AD6972" t="s">
        <v>75</v>
      </c>
      <c r="AE6972" t="s">
        <v>80</v>
      </c>
      <c r="AG6972" t="s">
        <v>81</v>
      </c>
    </row>
    <row r="6973" spans="1:33" x14ac:dyDescent="0.25">
      <c r="A6973" t="str">
        <f>"1245498419"</f>
        <v>1245498419</v>
      </c>
      <c r="C6973" t="s">
        <v>13436</v>
      </c>
      <c r="K6973" t="s">
        <v>99</v>
      </c>
      <c r="L6973" t="s">
        <v>74</v>
      </c>
      <c r="M6973" t="s">
        <v>75</v>
      </c>
      <c r="R6973" t="s">
        <v>31829</v>
      </c>
      <c r="S6973" t="s">
        <v>31830</v>
      </c>
      <c r="T6973" t="s">
        <v>97</v>
      </c>
      <c r="U6973" t="s">
        <v>77</v>
      </c>
      <c r="V6973" t="str">
        <f>"100162820"</f>
        <v>100162820</v>
      </c>
      <c r="AC6973" t="s">
        <v>79</v>
      </c>
      <c r="AD6973" t="s">
        <v>75</v>
      </c>
      <c r="AE6973" t="s">
        <v>103</v>
      </c>
      <c r="AG6973" t="s">
        <v>81</v>
      </c>
    </row>
    <row r="6974" spans="1:33" x14ac:dyDescent="0.25">
      <c r="A6974" t="str">
        <f>"1497178016"</f>
        <v>1497178016</v>
      </c>
      <c r="C6974" t="s">
        <v>13436</v>
      </c>
      <c r="G6974" t="s">
        <v>31831</v>
      </c>
      <c r="K6974" t="s">
        <v>99</v>
      </c>
      <c r="L6974" t="s">
        <v>102</v>
      </c>
      <c r="M6974" t="s">
        <v>75</v>
      </c>
      <c r="R6974" t="s">
        <v>31832</v>
      </c>
      <c r="S6974" t="s">
        <v>31833</v>
      </c>
      <c r="T6974" t="s">
        <v>31834</v>
      </c>
      <c r="U6974" t="s">
        <v>2595</v>
      </c>
      <c r="V6974" t="str">
        <f>"928219104"</f>
        <v>928219104</v>
      </c>
      <c r="AC6974" t="s">
        <v>79</v>
      </c>
      <c r="AD6974" t="s">
        <v>75</v>
      </c>
      <c r="AE6974" t="s">
        <v>103</v>
      </c>
      <c r="AG6974" t="s">
        <v>81</v>
      </c>
    </row>
    <row r="6975" spans="1:33" x14ac:dyDescent="0.25">
      <c r="A6975" t="str">
        <f>"1497714950"</f>
        <v>1497714950</v>
      </c>
      <c r="C6975" t="s">
        <v>13436</v>
      </c>
      <c r="G6975" t="s">
        <v>31835</v>
      </c>
      <c r="K6975" t="s">
        <v>99</v>
      </c>
      <c r="L6975" t="s">
        <v>102</v>
      </c>
      <c r="M6975" t="s">
        <v>75</v>
      </c>
      <c r="R6975" t="s">
        <v>31836</v>
      </c>
      <c r="S6975" t="s">
        <v>14121</v>
      </c>
      <c r="T6975" t="s">
        <v>97</v>
      </c>
      <c r="U6975" t="s">
        <v>77</v>
      </c>
      <c r="V6975" t="str">
        <f>"100033314"</f>
        <v>100033314</v>
      </c>
      <c r="AC6975" t="s">
        <v>79</v>
      </c>
      <c r="AD6975" t="s">
        <v>75</v>
      </c>
      <c r="AE6975" t="s">
        <v>103</v>
      </c>
      <c r="AG6975" t="s">
        <v>81</v>
      </c>
    </row>
    <row r="6976" spans="1:33" x14ac:dyDescent="0.25">
      <c r="A6976" t="str">
        <f>"1215008214"</f>
        <v>1215008214</v>
      </c>
      <c r="B6976" t="str">
        <f>"01550123"</f>
        <v>01550123</v>
      </c>
      <c r="C6976" t="s">
        <v>13436</v>
      </c>
      <c r="D6976" t="s">
        <v>31837</v>
      </c>
      <c r="E6976" t="s">
        <v>31838</v>
      </c>
      <c r="G6976" t="s">
        <v>31839</v>
      </c>
      <c r="L6976" t="s">
        <v>102</v>
      </c>
      <c r="M6976" t="s">
        <v>75</v>
      </c>
      <c r="R6976" t="s">
        <v>31840</v>
      </c>
      <c r="W6976" t="s">
        <v>31838</v>
      </c>
      <c r="X6976" t="s">
        <v>187</v>
      </c>
      <c r="Y6976" t="s">
        <v>161</v>
      </c>
      <c r="Z6976" t="s">
        <v>77</v>
      </c>
      <c r="AA6976" t="str">
        <f>"11040-1402"</f>
        <v>11040-1402</v>
      </c>
      <c r="AB6976" t="s">
        <v>78</v>
      </c>
      <c r="AC6976" t="s">
        <v>79</v>
      </c>
      <c r="AD6976" t="s">
        <v>75</v>
      </c>
      <c r="AE6976" t="s">
        <v>80</v>
      </c>
      <c r="AG6976" t="s">
        <v>81</v>
      </c>
    </row>
    <row r="6977" spans="1:33" x14ac:dyDescent="0.25">
      <c r="A6977" t="str">
        <f>"1215019054"</f>
        <v>1215019054</v>
      </c>
      <c r="B6977" t="str">
        <f>"02837130"</f>
        <v>02837130</v>
      </c>
      <c r="C6977" t="s">
        <v>13436</v>
      </c>
      <c r="D6977" t="s">
        <v>31841</v>
      </c>
      <c r="E6977" t="s">
        <v>31842</v>
      </c>
      <c r="L6977" t="s">
        <v>74</v>
      </c>
      <c r="M6977" t="s">
        <v>75</v>
      </c>
      <c r="R6977" t="s">
        <v>31843</v>
      </c>
      <c r="W6977" t="s">
        <v>31842</v>
      </c>
      <c r="X6977" t="s">
        <v>200</v>
      </c>
      <c r="Y6977" t="s">
        <v>97</v>
      </c>
      <c r="Z6977" t="s">
        <v>77</v>
      </c>
      <c r="AA6977" t="str">
        <f>"10032-3720"</f>
        <v>10032-3720</v>
      </c>
      <c r="AB6977" t="s">
        <v>78</v>
      </c>
      <c r="AC6977" t="s">
        <v>79</v>
      </c>
      <c r="AD6977" t="s">
        <v>75</v>
      </c>
      <c r="AE6977" t="s">
        <v>80</v>
      </c>
      <c r="AG6977" t="s">
        <v>81</v>
      </c>
    </row>
    <row r="6978" spans="1:33" x14ac:dyDescent="0.25">
      <c r="A6978" t="str">
        <f>"1215022371"</f>
        <v>1215022371</v>
      </c>
      <c r="B6978" t="str">
        <f>"00284524"</f>
        <v>00284524</v>
      </c>
      <c r="C6978" t="s">
        <v>13436</v>
      </c>
      <c r="D6978" t="s">
        <v>31844</v>
      </c>
      <c r="E6978" t="s">
        <v>31845</v>
      </c>
      <c r="L6978" t="s">
        <v>74</v>
      </c>
      <c r="M6978" t="s">
        <v>75</v>
      </c>
      <c r="R6978" t="s">
        <v>31846</v>
      </c>
      <c r="W6978" t="s">
        <v>31845</v>
      </c>
      <c r="X6978" t="s">
        <v>31847</v>
      </c>
      <c r="Y6978" t="s">
        <v>97</v>
      </c>
      <c r="Z6978" t="s">
        <v>77</v>
      </c>
      <c r="AA6978" t="str">
        <f>"10022"</f>
        <v>10022</v>
      </c>
      <c r="AB6978" t="s">
        <v>82</v>
      </c>
      <c r="AC6978" t="s">
        <v>79</v>
      </c>
      <c r="AD6978" t="s">
        <v>75</v>
      </c>
      <c r="AE6978" t="s">
        <v>80</v>
      </c>
      <c r="AG6978" t="s">
        <v>81</v>
      </c>
    </row>
    <row r="6979" spans="1:33" x14ac:dyDescent="0.25">
      <c r="A6979" t="str">
        <f>"1215056304"</f>
        <v>1215056304</v>
      </c>
      <c r="B6979" t="str">
        <f>"03257834"</f>
        <v>03257834</v>
      </c>
      <c r="C6979" t="s">
        <v>13436</v>
      </c>
      <c r="D6979" t="s">
        <v>31848</v>
      </c>
      <c r="E6979" t="s">
        <v>31849</v>
      </c>
      <c r="G6979" t="s">
        <v>31850</v>
      </c>
      <c r="L6979" t="s">
        <v>83</v>
      </c>
      <c r="M6979" t="s">
        <v>85</v>
      </c>
      <c r="R6979" t="s">
        <v>31851</v>
      </c>
      <c r="W6979" t="s">
        <v>31852</v>
      </c>
      <c r="X6979" t="s">
        <v>31853</v>
      </c>
      <c r="Y6979" t="s">
        <v>97</v>
      </c>
      <c r="Z6979" t="s">
        <v>77</v>
      </c>
      <c r="AA6979" t="str">
        <f>"10029-0000"</f>
        <v>10029-0000</v>
      </c>
      <c r="AB6979" t="s">
        <v>78</v>
      </c>
      <c r="AC6979" t="s">
        <v>79</v>
      </c>
      <c r="AD6979" t="s">
        <v>75</v>
      </c>
      <c r="AE6979" t="s">
        <v>80</v>
      </c>
      <c r="AG6979" t="s">
        <v>81</v>
      </c>
    </row>
    <row r="6980" spans="1:33" x14ac:dyDescent="0.25">
      <c r="A6980" t="str">
        <f>"1215074257"</f>
        <v>1215074257</v>
      </c>
      <c r="B6980" t="str">
        <f>"01959553"</f>
        <v>01959553</v>
      </c>
      <c r="C6980" t="s">
        <v>13436</v>
      </c>
      <c r="D6980" t="s">
        <v>31854</v>
      </c>
      <c r="E6980" t="s">
        <v>31855</v>
      </c>
      <c r="G6980" t="s">
        <v>31856</v>
      </c>
      <c r="L6980" t="s">
        <v>74</v>
      </c>
      <c r="M6980" t="s">
        <v>75</v>
      </c>
      <c r="R6980" t="s">
        <v>31857</v>
      </c>
      <c r="W6980" t="s">
        <v>31855</v>
      </c>
      <c r="Y6980" t="s">
        <v>97</v>
      </c>
      <c r="Z6980" t="s">
        <v>77</v>
      </c>
      <c r="AA6980" t="str">
        <f>"10032-3720"</f>
        <v>10032-3720</v>
      </c>
      <c r="AB6980" t="s">
        <v>78</v>
      </c>
      <c r="AC6980" t="s">
        <v>79</v>
      </c>
      <c r="AD6980" t="s">
        <v>75</v>
      </c>
      <c r="AE6980" t="s">
        <v>80</v>
      </c>
      <c r="AG6980" t="s">
        <v>81</v>
      </c>
    </row>
    <row r="6981" spans="1:33" x14ac:dyDescent="0.25">
      <c r="A6981" t="str">
        <f>"1215090949"</f>
        <v>1215090949</v>
      </c>
      <c r="B6981" t="str">
        <f>"01976329"</f>
        <v>01976329</v>
      </c>
      <c r="C6981" t="s">
        <v>13436</v>
      </c>
      <c r="D6981" t="s">
        <v>31858</v>
      </c>
      <c r="E6981" t="s">
        <v>31859</v>
      </c>
      <c r="G6981" t="s">
        <v>31860</v>
      </c>
      <c r="L6981" t="s">
        <v>84</v>
      </c>
      <c r="M6981" t="s">
        <v>75</v>
      </c>
      <c r="R6981" t="s">
        <v>31861</v>
      </c>
      <c r="W6981" t="s">
        <v>31859</v>
      </c>
      <c r="X6981" t="s">
        <v>31862</v>
      </c>
      <c r="Y6981" t="s">
        <v>5736</v>
      </c>
      <c r="Z6981" t="s">
        <v>77</v>
      </c>
      <c r="AA6981" t="str">
        <f>"11710-5720"</f>
        <v>11710-5720</v>
      </c>
      <c r="AB6981" t="s">
        <v>78</v>
      </c>
      <c r="AC6981" t="s">
        <v>79</v>
      </c>
      <c r="AD6981" t="s">
        <v>75</v>
      </c>
      <c r="AE6981" t="s">
        <v>80</v>
      </c>
      <c r="AG6981" t="s">
        <v>81</v>
      </c>
    </row>
    <row r="6982" spans="1:33" x14ac:dyDescent="0.25">
      <c r="A6982" t="str">
        <f>"1215120076"</f>
        <v>1215120076</v>
      </c>
      <c r="B6982" t="str">
        <f>"02970143"</f>
        <v>02970143</v>
      </c>
      <c r="C6982" t="s">
        <v>13436</v>
      </c>
      <c r="D6982" t="s">
        <v>31863</v>
      </c>
      <c r="E6982" t="s">
        <v>31864</v>
      </c>
      <c r="G6982" t="s">
        <v>31865</v>
      </c>
      <c r="L6982" t="s">
        <v>83</v>
      </c>
      <c r="M6982" t="s">
        <v>85</v>
      </c>
      <c r="R6982" t="s">
        <v>31866</v>
      </c>
      <c r="W6982" t="s">
        <v>31867</v>
      </c>
      <c r="X6982" t="s">
        <v>31868</v>
      </c>
      <c r="Y6982" t="s">
        <v>97</v>
      </c>
      <c r="Z6982" t="s">
        <v>77</v>
      </c>
      <c r="AA6982" t="str">
        <f>"10029"</f>
        <v>10029</v>
      </c>
      <c r="AB6982" t="s">
        <v>78</v>
      </c>
      <c r="AC6982" t="s">
        <v>79</v>
      </c>
      <c r="AD6982" t="s">
        <v>75</v>
      </c>
      <c r="AE6982" t="s">
        <v>80</v>
      </c>
      <c r="AG6982" t="s">
        <v>81</v>
      </c>
    </row>
    <row r="6983" spans="1:33" x14ac:dyDescent="0.25">
      <c r="A6983" t="str">
        <f>"1417160839"</f>
        <v>1417160839</v>
      </c>
      <c r="B6983" t="str">
        <f>"02421869"</f>
        <v>02421869</v>
      </c>
      <c r="C6983" t="s">
        <v>13436</v>
      </c>
      <c r="D6983" t="s">
        <v>6198</v>
      </c>
      <c r="E6983" t="s">
        <v>6199</v>
      </c>
      <c r="G6983" t="s">
        <v>31869</v>
      </c>
      <c r="L6983" t="s">
        <v>74</v>
      </c>
      <c r="M6983" t="s">
        <v>75</v>
      </c>
      <c r="R6983" t="s">
        <v>6200</v>
      </c>
      <c r="W6983" t="s">
        <v>6201</v>
      </c>
      <c r="X6983" t="s">
        <v>1824</v>
      </c>
      <c r="Y6983" t="s">
        <v>1808</v>
      </c>
      <c r="Z6983" t="s">
        <v>77</v>
      </c>
      <c r="AA6983" t="str">
        <f>"13501-5930"</f>
        <v>13501-5930</v>
      </c>
      <c r="AB6983" t="s">
        <v>78</v>
      </c>
      <c r="AC6983" t="s">
        <v>79</v>
      </c>
      <c r="AD6983" t="s">
        <v>75</v>
      </c>
      <c r="AE6983" t="s">
        <v>80</v>
      </c>
      <c r="AG6983" t="s">
        <v>81</v>
      </c>
    </row>
    <row r="6984" spans="1:33" x14ac:dyDescent="0.25">
      <c r="A6984" t="str">
        <f>"1437425246"</f>
        <v>1437425246</v>
      </c>
      <c r="C6984" t="s">
        <v>13436</v>
      </c>
      <c r="K6984" t="s">
        <v>99</v>
      </c>
      <c r="L6984" t="s">
        <v>102</v>
      </c>
      <c r="M6984" t="s">
        <v>75</v>
      </c>
      <c r="R6984" t="s">
        <v>31870</v>
      </c>
      <c r="S6984" t="s">
        <v>31871</v>
      </c>
      <c r="T6984" t="s">
        <v>97</v>
      </c>
      <c r="U6984" t="s">
        <v>77</v>
      </c>
      <c r="V6984" t="str">
        <f>"100296501"</f>
        <v>100296501</v>
      </c>
      <c r="AC6984" t="s">
        <v>79</v>
      </c>
      <c r="AD6984" t="s">
        <v>75</v>
      </c>
      <c r="AE6984" t="s">
        <v>103</v>
      </c>
      <c r="AG6984" t="s">
        <v>81</v>
      </c>
    </row>
    <row r="6985" spans="1:33" x14ac:dyDescent="0.25">
      <c r="A6985" t="str">
        <f>"1437449691"</f>
        <v>1437449691</v>
      </c>
      <c r="B6985" t="str">
        <f>"03915946"</f>
        <v>03915946</v>
      </c>
      <c r="C6985" t="s">
        <v>13436</v>
      </c>
      <c r="D6985" t="s">
        <v>31872</v>
      </c>
      <c r="E6985" t="s">
        <v>1381</v>
      </c>
      <c r="G6985" t="s">
        <v>31873</v>
      </c>
      <c r="L6985" t="s">
        <v>84</v>
      </c>
      <c r="M6985" t="s">
        <v>75</v>
      </c>
      <c r="R6985" t="s">
        <v>1382</v>
      </c>
      <c r="W6985" t="s">
        <v>31874</v>
      </c>
      <c r="X6985" t="s">
        <v>9471</v>
      </c>
      <c r="Y6985" t="s">
        <v>97</v>
      </c>
      <c r="Z6985" t="s">
        <v>77</v>
      </c>
      <c r="AA6985" t="str">
        <f>"10009-7813"</f>
        <v>10009-7813</v>
      </c>
      <c r="AB6985" t="s">
        <v>78</v>
      </c>
      <c r="AC6985" t="s">
        <v>79</v>
      </c>
      <c r="AD6985" t="s">
        <v>75</v>
      </c>
      <c r="AE6985" t="s">
        <v>80</v>
      </c>
      <c r="AG6985" t="s">
        <v>81</v>
      </c>
    </row>
    <row r="6986" spans="1:33" x14ac:dyDescent="0.25">
      <c r="A6986" t="str">
        <f>"1023205556"</f>
        <v>1023205556</v>
      </c>
      <c r="C6986" t="s">
        <v>13436</v>
      </c>
      <c r="K6986" t="s">
        <v>99</v>
      </c>
      <c r="L6986" t="s">
        <v>102</v>
      </c>
      <c r="M6986" t="s">
        <v>75</v>
      </c>
      <c r="R6986" t="s">
        <v>31875</v>
      </c>
      <c r="S6986" t="s">
        <v>31876</v>
      </c>
      <c r="T6986" t="s">
        <v>97</v>
      </c>
      <c r="U6986" t="s">
        <v>77</v>
      </c>
      <c r="V6986" t="str">
        <f>"10129"</f>
        <v>10129</v>
      </c>
      <c r="AC6986" t="s">
        <v>79</v>
      </c>
      <c r="AD6986" t="s">
        <v>75</v>
      </c>
      <c r="AE6986" t="s">
        <v>103</v>
      </c>
      <c r="AG6986" t="s">
        <v>81</v>
      </c>
    </row>
    <row r="6987" spans="1:33" x14ac:dyDescent="0.25">
      <c r="A6987" t="str">
        <f>"1013208859"</f>
        <v>1013208859</v>
      </c>
      <c r="C6987" t="s">
        <v>13436</v>
      </c>
      <c r="K6987" t="s">
        <v>99</v>
      </c>
      <c r="L6987" t="s">
        <v>102</v>
      </c>
      <c r="M6987" t="s">
        <v>75</v>
      </c>
      <c r="R6987" t="s">
        <v>31877</v>
      </c>
      <c r="S6987" t="s">
        <v>843</v>
      </c>
      <c r="T6987" t="s">
        <v>97</v>
      </c>
      <c r="U6987" t="s">
        <v>77</v>
      </c>
      <c r="V6987" t="str">
        <f>"100166402"</f>
        <v>100166402</v>
      </c>
      <c r="AC6987" t="s">
        <v>79</v>
      </c>
      <c r="AD6987" t="s">
        <v>75</v>
      </c>
      <c r="AE6987" t="s">
        <v>103</v>
      </c>
      <c r="AG6987" t="s">
        <v>81</v>
      </c>
    </row>
    <row r="6988" spans="1:33" x14ac:dyDescent="0.25">
      <c r="A6988" t="str">
        <f>"1013236876"</f>
        <v>1013236876</v>
      </c>
      <c r="B6988" t="str">
        <f>"04263127"</f>
        <v>04263127</v>
      </c>
      <c r="C6988" t="s">
        <v>13436</v>
      </c>
      <c r="D6988" t="s">
        <v>31878</v>
      </c>
      <c r="E6988" t="s">
        <v>31879</v>
      </c>
      <c r="L6988" t="s">
        <v>83</v>
      </c>
      <c r="M6988" t="s">
        <v>75</v>
      </c>
      <c r="R6988" t="s">
        <v>31880</v>
      </c>
      <c r="W6988" t="s">
        <v>31879</v>
      </c>
      <c r="X6988" t="s">
        <v>329</v>
      </c>
      <c r="Y6988" t="s">
        <v>97</v>
      </c>
      <c r="Z6988" t="s">
        <v>77</v>
      </c>
      <c r="AA6988" t="str">
        <f>"10029-6504"</f>
        <v>10029-6504</v>
      </c>
      <c r="AB6988" t="s">
        <v>78</v>
      </c>
      <c r="AC6988" t="s">
        <v>79</v>
      </c>
      <c r="AD6988" t="s">
        <v>75</v>
      </c>
      <c r="AE6988" t="s">
        <v>80</v>
      </c>
      <c r="AG6988" t="s">
        <v>81</v>
      </c>
    </row>
    <row r="6989" spans="1:33" x14ac:dyDescent="0.25">
      <c r="A6989" t="str">
        <f>"1013250695"</f>
        <v>1013250695</v>
      </c>
      <c r="C6989" t="s">
        <v>13436</v>
      </c>
      <c r="K6989" t="s">
        <v>99</v>
      </c>
      <c r="L6989" t="s">
        <v>102</v>
      </c>
      <c r="M6989" t="s">
        <v>75</v>
      </c>
      <c r="R6989" t="s">
        <v>31881</v>
      </c>
      <c r="S6989" t="s">
        <v>329</v>
      </c>
      <c r="T6989" t="s">
        <v>97</v>
      </c>
      <c r="U6989" t="s">
        <v>77</v>
      </c>
      <c r="V6989" t="str">
        <f>"100296500"</f>
        <v>100296500</v>
      </c>
      <c r="AC6989" t="s">
        <v>79</v>
      </c>
      <c r="AD6989" t="s">
        <v>75</v>
      </c>
      <c r="AE6989" t="s">
        <v>103</v>
      </c>
      <c r="AG6989" t="s">
        <v>81</v>
      </c>
    </row>
    <row r="6990" spans="1:33" x14ac:dyDescent="0.25">
      <c r="A6990" t="str">
        <f>"1013272368"</f>
        <v>1013272368</v>
      </c>
      <c r="C6990" t="s">
        <v>13436</v>
      </c>
      <c r="K6990" t="s">
        <v>99</v>
      </c>
      <c r="L6990" t="s">
        <v>102</v>
      </c>
      <c r="M6990" t="s">
        <v>75</v>
      </c>
      <c r="R6990" t="s">
        <v>31882</v>
      </c>
      <c r="S6990" t="s">
        <v>31883</v>
      </c>
      <c r="T6990" t="s">
        <v>97</v>
      </c>
      <c r="U6990" t="s">
        <v>77</v>
      </c>
      <c r="V6990" t="str">
        <f>"10029"</f>
        <v>10029</v>
      </c>
      <c r="AC6990" t="s">
        <v>79</v>
      </c>
      <c r="AD6990" t="s">
        <v>75</v>
      </c>
      <c r="AE6990" t="s">
        <v>103</v>
      </c>
      <c r="AG6990" t="s">
        <v>81</v>
      </c>
    </row>
    <row r="6991" spans="1:33" x14ac:dyDescent="0.25">
      <c r="A6991" t="str">
        <f>"1013274539"</f>
        <v>1013274539</v>
      </c>
      <c r="C6991" t="s">
        <v>13436</v>
      </c>
      <c r="K6991" t="s">
        <v>99</v>
      </c>
      <c r="L6991" t="s">
        <v>102</v>
      </c>
      <c r="M6991" t="s">
        <v>75</v>
      </c>
      <c r="R6991" t="s">
        <v>31884</v>
      </c>
      <c r="S6991" t="s">
        <v>31885</v>
      </c>
      <c r="T6991" t="s">
        <v>909</v>
      </c>
      <c r="U6991" t="s">
        <v>2595</v>
      </c>
      <c r="V6991" t="str">
        <f>"917673027"</f>
        <v>917673027</v>
      </c>
      <c r="AC6991" t="s">
        <v>79</v>
      </c>
      <c r="AD6991" t="s">
        <v>75</v>
      </c>
      <c r="AE6991" t="s">
        <v>103</v>
      </c>
      <c r="AG6991" t="s">
        <v>81</v>
      </c>
    </row>
    <row r="6992" spans="1:33" x14ac:dyDescent="0.25">
      <c r="A6992" t="str">
        <f>"1184794646"</f>
        <v>1184794646</v>
      </c>
      <c r="C6992" t="s">
        <v>13436</v>
      </c>
      <c r="K6992" t="s">
        <v>99</v>
      </c>
      <c r="L6992" t="s">
        <v>102</v>
      </c>
      <c r="M6992" t="s">
        <v>75</v>
      </c>
      <c r="R6992" t="s">
        <v>31886</v>
      </c>
      <c r="S6992" t="s">
        <v>31887</v>
      </c>
      <c r="T6992" t="s">
        <v>31888</v>
      </c>
      <c r="U6992" t="s">
        <v>1214</v>
      </c>
      <c r="V6992" t="str">
        <f>"285011584"</f>
        <v>285011584</v>
      </c>
      <c r="AC6992" t="s">
        <v>79</v>
      </c>
      <c r="AD6992" t="s">
        <v>75</v>
      </c>
      <c r="AE6992" t="s">
        <v>103</v>
      </c>
      <c r="AG6992" t="s">
        <v>81</v>
      </c>
    </row>
    <row r="6993" spans="1:33" x14ac:dyDescent="0.25">
      <c r="A6993" t="str">
        <f>"1346503869"</f>
        <v>1346503869</v>
      </c>
      <c r="B6993" t="str">
        <f>"03573457"</f>
        <v>03573457</v>
      </c>
      <c r="C6993" t="s">
        <v>13436</v>
      </c>
      <c r="D6993" t="s">
        <v>31889</v>
      </c>
      <c r="E6993" t="s">
        <v>31890</v>
      </c>
      <c r="G6993" t="s">
        <v>31891</v>
      </c>
      <c r="L6993" t="s">
        <v>102</v>
      </c>
      <c r="M6993" t="s">
        <v>75</v>
      </c>
      <c r="R6993" t="s">
        <v>31892</v>
      </c>
      <c r="W6993" t="s">
        <v>31890</v>
      </c>
      <c r="X6993" t="s">
        <v>1076</v>
      </c>
      <c r="Y6993" t="s">
        <v>97</v>
      </c>
      <c r="Z6993" t="s">
        <v>77</v>
      </c>
      <c r="AA6993" t="str">
        <f>"10025-1737"</f>
        <v>10025-1737</v>
      </c>
      <c r="AB6993" t="s">
        <v>125</v>
      </c>
      <c r="AC6993" t="s">
        <v>79</v>
      </c>
      <c r="AD6993" t="s">
        <v>75</v>
      </c>
      <c r="AE6993" t="s">
        <v>80</v>
      </c>
      <c r="AG6993" t="s">
        <v>81</v>
      </c>
    </row>
    <row r="6994" spans="1:33" x14ac:dyDescent="0.25">
      <c r="A6994" t="str">
        <f>"1346506136"</f>
        <v>1346506136</v>
      </c>
      <c r="B6994" t="str">
        <f>"04209023"</f>
        <v>04209023</v>
      </c>
      <c r="C6994" t="s">
        <v>13436</v>
      </c>
      <c r="D6994" t="s">
        <v>31893</v>
      </c>
      <c r="E6994" t="s">
        <v>31894</v>
      </c>
      <c r="L6994" t="s">
        <v>84</v>
      </c>
      <c r="M6994" t="s">
        <v>75</v>
      </c>
      <c r="R6994" t="s">
        <v>31894</v>
      </c>
      <c r="W6994" t="s">
        <v>31895</v>
      </c>
      <c r="X6994" t="s">
        <v>329</v>
      </c>
      <c r="Y6994" t="s">
        <v>97</v>
      </c>
      <c r="Z6994" t="s">
        <v>77</v>
      </c>
      <c r="AA6994" t="str">
        <f>"10029-6504"</f>
        <v>10029-6504</v>
      </c>
      <c r="AB6994" t="s">
        <v>78</v>
      </c>
      <c r="AC6994" t="s">
        <v>79</v>
      </c>
      <c r="AD6994" t="s">
        <v>75</v>
      </c>
      <c r="AE6994" t="s">
        <v>80</v>
      </c>
      <c r="AG6994" t="s">
        <v>81</v>
      </c>
    </row>
    <row r="6995" spans="1:33" x14ac:dyDescent="0.25">
      <c r="A6995" t="str">
        <f>"1346507126"</f>
        <v>1346507126</v>
      </c>
      <c r="C6995" t="s">
        <v>13436</v>
      </c>
      <c r="G6995" t="s">
        <v>31896</v>
      </c>
      <c r="K6995" t="s">
        <v>99</v>
      </c>
      <c r="L6995" t="s">
        <v>102</v>
      </c>
      <c r="M6995" t="s">
        <v>75</v>
      </c>
      <c r="R6995" t="s">
        <v>31897</v>
      </c>
      <c r="S6995" t="s">
        <v>31898</v>
      </c>
      <c r="T6995" t="s">
        <v>87</v>
      </c>
      <c r="U6995" t="s">
        <v>77</v>
      </c>
      <c r="V6995" t="str">
        <f>"112154974"</f>
        <v>112154974</v>
      </c>
      <c r="AC6995" t="s">
        <v>79</v>
      </c>
      <c r="AD6995" t="s">
        <v>75</v>
      </c>
      <c r="AE6995" t="s">
        <v>103</v>
      </c>
      <c r="AG6995" t="s">
        <v>81</v>
      </c>
    </row>
    <row r="6996" spans="1:33" x14ac:dyDescent="0.25">
      <c r="A6996" t="str">
        <f>"1366416018"</f>
        <v>1366416018</v>
      </c>
      <c r="B6996" t="str">
        <f>"02585197"</f>
        <v>02585197</v>
      </c>
      <c r="C6996" t="s">
        <v>13436</v>
      </c>
      <c r="D6996" t="s">
        <v>31899</v>
      </c>
      <c r="E6996" t="s">
        <v>31900</v>
      </c>
      <c r="G6996" t="s">
        <v>31901</v>
      </c>
      <c r="L6996" t="s">
        <v>105</v>
      </c>
      <c r="M6996" t="s">
        <v>85</v>
      </c>
      <c r="R6996" t="s">
        <v>31900</v>
      </c>
      <c r="W6996" t="s">
        <v>31902</v>
      </c>
      <c r="X6996" t="s">
        <v>25779</v>
      </c>
      <c r="Y6996" t="s">
        <v>97</v>
      </c>
      <c r="Z6996" t="s">
        <v>77</v>
      </c>
      <c r="AA6996" t="str">
        <f>"10003"</f>
        <v>10003</v>
      </c>
      <c r="AB6996" t="s">
        <v>78</v>
      </c>
      <c r="AC6996" t="s">
        <v>79</v>
      </c>
      <c r="AD6996" t="s">
        <v>75</v>
      </c>
      <c r="AE6996" t="s">
        <v>80</v>
      </c>
      <c r="AG6996" t="s">
        <v>81</v>
      </c>
    </row>
    <row r="6997" spans="1:33" x14ac:dyDescent="0.25">
      <c r="A6997" t="str">
        <f>"1366544306"</f>
        <v>1366544306</v>
      </c>
      <c r="B6997" t="str">
        <f>"01435074"</f>
        <v>01435074</v>
      </c>
      <c r="C6997" t="s">
        <v>13436</v>
      </c>
      <c r="D6997" t="s">
        <v>31903</v>
      </c>
      <c r="E6997" t="s">
        <v>31904</v>
      </c>
      <c r="G6997" t="s">
        <v>31905</v>
      </c>
      <c r="L6997" t="s">
        <v>83</v>
      </c>
      <c r="M6997" t="s">
        <v>85</v>
      </c>
      <c r="R6997" t="s">
        <v>31906</v>
      </c>
      <c r="W6997" t="s">
        <v>31904</v>
      </c>
      <c r="Y6997" t="s">
        <v>97</v>
      </c>
      <c r="Z6997" t="s">
        <v>77</v>
      </c>
      <c r="AA6997" t="str">
        <f>"10025-1716"</f>
        <v>10025-1716</v>
      </c>
      <c r="AB6997" t="s">
        <v>78</v>
      </c>
      <c r="AC6997" t="s">
        <v>79</v>
      </c>
      <c r="AD6997" t="s">
        <v>75</v>
      </c>
      <c r="AE6997" t="s">
        <v>80</v>
      </c>
      <c r="AG6997" t="s">
        <v>81</v>
      </c>
    </row>
    <row r="6998" spans="1:33" x14ac:dyDescent="0.25">
      <c r="A6998" t="str">
        <f>"1376509364"</f>
        <v>1376509364</v>
      </c>
      <c r="B6998" t="str">
        <f>"00296891"</f>
        <v>00296891</v>
      </c>
      <c r="C6998" t="s">
        <v>13436</v>
      </c>
      <c r="D6998" t="s">
        <v>31907</v>
      </c>
      <c r="E6998" t="s">
        <v>31908</v>
      </c>
      <c r="G6998" t="s">
        <v>31909</v>
      </c>
      <c r="L6998" t="s">
        <v>74</v>
      </c>
      <c r="M6998" t="s">
        <v>85</v>
      </c>
      <c r="R6998" t="s">
        <v>31910</v>
      </c>
      <c r="W6998" t="s">
        <v>31911</v>
      </c>
      <c r="X6998" t="s">
        <v>31912</v>
      </c>
      <c r="Y6998" t="s">
        <v>31913</v>
      </c>
      <c r="Z6998" t="s">
        <v>77</v>
      </c>
      <c r="AA6998" t="str">
        <f>"11106-0000"</f>
        <v>11106-0000</v>
      </c>
      <c r="AB6998" t="s">
        <v>78</v>
      </c>
      <c r="AC6998" t="s">
        <v>79</v>
      </c>
      <c r="AD6998" t="s">
        <v>75</v>
      </c>
      <c r="AE6998" t="s">
        <v>80</v>
      </c>
      <c r="AG6998" t="s">
        <v>81</v>
      </c>
    </row>
    <row r="6999" spans="1:33" x14ac:dyDescent="0.25">
      <c r="A6999" t="str">
        <f>"1396709085"</f>
        <v>1396709085</v>
      </c>
      <c r="C6999" t="s">
        <v>13436</v>
      </c>
      <c r="G6999" t="s">
        <v>31914</v>
      </c>
      <c r="K6999" t="s">
        <v>99</v>
      </c>
      <c r="L6999" t="s">
        <v>74</v>
      </c>
      <c r="M6999" t="s">
        <v>85</v>
      </c>
      <c r="R6999" t="s">
        <v>31915</v>
      </c>
      <c r="S6999" t="s">
        <v>26525</v>
      </c>
      <c r="T6999" t="s">
        <v>97</v>
      </c>
      <c r="U6999" t="s">
        <v>77</v>
      </c>
      <c r="V6999" t="str">
        <f>"100033314"</f>
        <v>100033314</v>
      </c>
      <c r="AC6999" t="s">
        <v>79</v>
      </c>
      <c r="AD6999" t="s">
        <v>75</v>
      </c>
      <c r="AE6999" t="s">
        <v>103</v>
      </c>
      <c r="AG6999" t="s">
        <v>81</v>
      </c>
    </row>
    <row r="7000" spans="1:33" x14ac:dyDescent="0.25">
      <c r="A7000" t="str">
        <f>"1174822969"</f>
        <v>1174822969</v>
      </c>
      <c r="B7000" t="str">
        <f>"03822433"</f>
        <v>03822433</v>
      </c>
      <c r="C7000" t="s">
        <v>13436</v>
      </c>
      <c r="D7000" t="s">
        <v>31916</v>
      </c>
      <c r="E7000" t="s">
        <v>31917</v>
      </c>
      <c r="G7000" t="s">
        <v>31918</v>
      </c>
      <c r="L7000" t="s">
        <v>94</v>
      </c>
      <c r="M7000" t="s">
        <v>85</v>
      </c>
      <c r="R7000" t="s">
        <v>31919</v>
      </c>
      <c r="W7000" t="s">
        <v>31917</v>
      </c>
      <c r="X7000" t="s">
        <v>11073</v>
      </c>
      <c r="Y7000" t="s">
        <v>97</v>
      </c>
      <c r="Z7000" t="s">
        <v>77</v>
      </c>
      <c r="AA7000" t="str">
        <f>"10029-6504"</f>
        <v>10029-6504</v>
      </c>
      <c r="AB7000" t="s">
        <v>78</v>
      </c>
      <c r="AC7000" t="s">
        <v>79</v>
      </c>
      <c r="AD7000" t="s">
        <v>75</v>
      </c>
      <c r="AE7000" t="s">
        <v>80</v>
      </c>
      <c r="AG7000" t="s">
        <v>81</v>
      </c>
    </row>
    <row r="7001" spans="1:33" x14ac:dyDescent="0.25">
      <c r="A7001" t="str">
        <f>"1558493551"</f>
        <v>1558493551</v>
      </c>
      <c r="B7001" t="str">
        <f>"00811183"</f>
        <v>00811183</v>
      </c>
      <c r="C7001" t="s">
        <v>13436</v>
      </c>
      <c r="D7001" t="s">
        <v>31920</v>
      </c>
      <c r="E7001" t="s">
        <v>31921</v>
      </c>
      <c r="G7001" t="s">
        <v>31922</v>
      </c>
      <c r="L7001" t="s">
        <v>74</v>
      </c>
      <c r="M7001" t="s">
        <v>85</v>
      </c>
      <c r="R7001" t="s">
        <v>31923</v>
      </c>
      <c r="W7001" t="s">
        <v>31921</v>
      </c>
      <c r="X7001" t="s">
        <v>31924</v>
      </c>
      <c r="Y7001" t="s">
        <v>97</v>
      </c>
      <c r="Z7001" t="s">
        <v>77</v>
      </c>
      <c r="AA7001" t="str">
        <f>"10003-2925"</f>
        <v>10003-2925</v>
      </c>
      <c r="AB7001" t="s">
        <v>78</v>
      </c>
      <c r="AC7001" t="s">
        <v>79</v>
      </c>
      <c r="AD7001" t="s">
        <v>75</v>
      </c>
      <c r="AE7001" t="s">
        <v>80</v>
      </c>
      <c r="AG7001" t="s">
        <v>81</v>
      </c>
    </row>
    <row r="7002" spans="1:33" x14ac:dyDescent="0.25">
      <c r="A7002" t="str">
        <f>"1568402261"</f>
        <v>1568402261</v>
      </c>
      <c r="B7002" t="str">
        <f>"01857152"</f>
        <v>01857152</v>
      </c>
      <c r="C7002" t="s">
        <v>13436</v>
      </c>
      <c r="D7002" t="s">
        <v>31925</v>
      </c>
      <c r="E7002" t="s">
        <v>31926</v>
      </c>
      <c r="G7002" t="s">
        <v>31927</v>
      </c>
      <c r="L7002" t="s">
        <v>84</v>
      </c>
      <c r="M7002" t="s">
        <v>85</v>
      </c>
      <c r="R7002" t="s">
        <v>31928</v>
      </c>
      <c r="W7002" t="s">
        <v>31926</v>
      </c>
      <c r="X7002" t="s">
        <v>31929</v>
      </c>
      <c r="Y7002" t="s">
        <v>97</v>
      </c>
      <c r="Z7002" t="s">
        <v>77</v>
      </c>
      <c r="AA7002" t="str">
        <f>"10019-1819"</f>
        <v>10019-1819</v>
      </c>
      <c r="AB7002" t="s">
        <v>78</v>
      </c>
      <c r="AC7002" t="s">
        <v>79</v>
      </c>
      <c r="AD7002" t="s">
        <v>75</v>
      </c>
      <c r="AE7002" t="s">
        <v>80</v>
      </c>
      <c r="AG7002" t="s">
        <v>81</v>
      </c>
    </row>
    <row r="7003" spans="1:33" x14ac:dyDescent="0.25">
      <c r="A7003" t="str">
        <f>"1568406569"</f>
        <v>1568406569</v>
      </c>
      <c r="B7003" t="str">
        <f>"01395624"</f>
        <v>01395624</v>
      </c>
      <c r="C7003" t="s">
        <v>13436</v>
      </c>
      <c r="D7003" t="s">
        <v>31930</v>
      </c>
      <c r="E7003" t="s">
        <v>31931</v>
      </c>
      <c r="G7003" t="s">
        <v>31932</v>
      </c>
      <c r="L7003" t="s">
        <v>83</v>
      </c>
      <c r="M7003" t="s">
        <v>85</v>
      </c>
      <c r="R7003" t="s">
        <v>31933</v>
      </c>
      <c r="W7003" t="s">
        <v>31931</v>
      </c>
      <c r="X7003" t="s">
        <v>1333</v>
      </c>
      <c r="Y7003" t="s">
        <v>97</v>
      </c>
      <c r="Z7003" t="s">
        <v>77</v>
      </c>
      <c r="AA7003" t="str">
        <f>"10019"</f>
        <v>10019</v>
      </c>
      <c r="AB7003" t="s">
        <v>78</v>
      </c>
      <c r="AC7003" t="s">
        <v>79</v>
      </c>
      <c r="AD7003" t="s">
        <v>75</v>
      </c>
      <c r="AE7003" t="s">
        <v>80</v>
      </c>
      <c r="AG7003" t="s">
        <v>81</v>
      </c>
    </row>
    <row r="7004" spans="1:33" x14ac:dyDescent="0.25">
      <c r="A7004" t="str">
        <f>"1568413045"</f>
        <v>1568413045</v>
      </c>
      <c r="B7004" t="str">
        <f>"02744503"</f>
        <v>02744503</v>
      </c>
      <c r="C7004" t="s">
        <v>13436</v>
      </c>
      <c r="D7004" t="s">
        <v>31934</v>
      </c>
      <c r="E7004" t="s">
        <v>31935</v>
      </c>
      <c r="G7004" t="s">
        <v>31936</v>
      </c>
      <c r="L7004" t="s">
        <v>83</v>
      </c>
      <c r="M7004" t="s">
        <v>85</v>
      </c>
      <c r="R7004" t="s">
        <v>31937</v>
      </c>
      <c r="W7004" t="s">
        <v>31935</v>
      </c>
      <c r="X7004" t="s">
        <v>2770</v>
      </c>
      <c r="Y7004" t="s">
        <v>97</v>
      </c>
      <c r="Z7004" t="s">
        <v>77</v>
      </c>
      <c r="AA7004" t="str">
        <f>"10003-2674"</f>
        <v>10003-2674</v>
      </c>
      <c r="AB7004" t="s">
        <v>78</v>
      </c>
      <c r="AC7004" t="s">
        <v>79</v>
      </c>
      <c r="AD7004" t="s">
        <v>75</v>
      </c>
      <c r="AE7004" t="s">
        <v>80</v>
      </c>
      <c r="AG7004" t="s">
        <v>81</v>
      </c>
    </row>
    <row r="7005" spans="1:33" x14ac:dyDescent="0.25">
      <c r="A7005" t="str">
        <f>"1568484020"</f>
        <v>1568484020</v>
      </c>
      <c r="B7005" t="str">
        <f>"02395760"</f>
        <v>02395760</v>
      </c>
      <c r="C7005" t="s">
        <v>13436</v>
      </c>
      <c r="D7005" t="s">
        <v>31938</v>
      </c>
      <c r="E7005" t="s">
        <v>31939</v>
      </c>
      <c r="G7005" t="s">
        <v>31940</v>
      </c>
      <c r="L7005" t="s">
        <v>83</v>
      </c>
      <c r="M7005" t="s">
        <v>85</v>
      </c>
      <c r="R7005" t="s">
        <v>31941</v>
      </c>
      <c r="W7005" t="s">
        <v>31939</v>
      </c>
      <c r="X7005" t="s">
        <v>31942</v>
      </c>
      <c r="Y7005" t="s">
        <v>245</v>
      </c>
      <c r="Z7005" t="s">
        <v>77</v>
      </c>
      <c r="AA7005" t="str">
        <f>"11561-2302"</f>
        <v>11561-2302</v>
      </c>
      <c r="AB7005" t="s">
        <v>78</v>
      </c>
      <c r="AC7005" t="s">
        <v>79</v>
      </c>
      <c r="AD7005" t="s">
        <v>75</v>
      </c>
      <c r="AE7005" t="s">
        <v>80</v>
      </c>
      <c r="AG7005" t="s">
        <v>81</v>
      </c>
    </row>
    <row r="7006" spans="1:33" x14ac:dyDescent="0.25">
      <c r="A7006" t="str">
        <f>"1578541207"</f>
        <v>1578541207</v>
      </c>
      <c r="B7006" t="str">
        <f>"00954027"</f>
        <v>00954027</v>
      </c>
      <c r="C7006" t="s">
        <v>13436</v>
      </c>
      <c r="D7006" t="s">
        <v>31943</v>
      </c>
      <c r="E7006" t="s">
        <v>31944</v>
      </c>
      <c r="G7006" t="s">
        <v>31945</v>
      </c>
      <c r="L7006" t="s">
        <v>83</v>
      </c>
      <c r="M7006" t="s">
        <v>85</v>
      </c>
      <c r="R7006" t="s">
        <v>31946</v>
      </c>
      <c r="W7006" t="s">
        <v>31944</v>
      </c>
      <c r="X7006" t="s">
        <v>31400</v>
      </c>
      <c r="Y7006" t="s">
        <v>97</v>
      </c>
      <c r="Z7006" t="s">
        <v>77</v>
      </c>
      <c r="AA7006" t="str">
        <f>"10128-4077"</f>
        <v>10128-4077</v>
      </c>
      <c r="AB7006" t="s">
        <v>78</v>
      </c>
      <c r="AC7006" t="s">
        <v>79</v>
      </c>
      <c r="AD7006" t="s">
        <v>75</v>
      </c>
      <c r="AE7006" t="s">
        <v>80</v>
      </c>
      <c r="AG7006" t="s">
        <v>81</v>
      </c>
    </row>
    <row r="7007" spans="1:33" x14ac:dyDescent="0.25">
      <c r="A7007" t="str">
        <f>"1578547006"</f>
        <v>1578547006</v>
      </c>
      <c r="B7007" t="str">
        <f>"02238493"</f>
        <v>02238493</v>
      </c>
      <c r="C7007" t="s">
        <v>13436</v>
      </c>
      <c r="D7007" t="s">
        <v>31947</v>
      </c>
      <c r="E7007" t="s">
        <v>31948</v>
      </c>
      <c r="G7007" t="s">
        <v>31949</v>
      </c>
      <c r="L7007" t="s">
        <v>84</v>
      </c>
      <c r="M7007" t="s">
        <v>85</v>
      </c>
      <c r="R7007" t="s">
        <v>31950</v>
      </c>
      <c r="W7007" t="s">
        <v>31948</v>
      </c>
      <c r="X7007" t="s">
        <v>282</v>
      </c>
      <c r="Y7007" t="s">
        <v>97</v>
      </c>
      <c r="Z7007" t="s">
        <v>77</v>
      </c>
      <c r="AA7007" t="str">
        <f>"10016-3823"</f>
        <v>10016-3823</v>
      </c>
      <c r="AB7007" t="s">
        <v>78</v>
      </c>
      <c r="AC7007" t="s">
        <v>79</v>
      </c>
      <c r="AD7007" t="s">
        <v>75</v>
      </c>
      <c r="AE7007" t="s">
        <v>80</v>
      </c>
      <c r="AG7007" t="s">
        <v>81</v>
      </c>
    </row>
    <row r="7008" spans="1:33" x14ac:dyDescent="0.25">
      <c r="A7008" t="str">
        <f>"1417965146"</f>
        <v>1417965146</v>
      </c>
      <c r="B7008" t="str">
        <f>"00776747"</f>
        <v>00776747</v>
      </c>
      <c r="C7008" t="s">
        <v>13436</v>
      </c>
      <c r="D7008" t="s">
        <v>31951</v>
      </c>
      <c r="E7008" t="s">
        <v>31952</v>
      </c>
      <c r="G7008" t="s">
        <v>31953</v>
      </c>
      <c r="L7008" t="s">
        <v>83</v>
      </c>
      <c r="M7008" t="s">
        <v>85</v>
      </c>
      <c r="R7008" t="s">
        <v>31954</v>
      </c>
      <c r="W7008" t="s">
        <v>31952</v>
      </c>
      <c r="X7008" t="s">
        <v>31955</v>
      </c>
      <c r="Y7008" t="s">
        <v>97</v>
      </c>
      <c r="Z7008" t="s">
        <v>77</v>
      </c>
      <c r="AA7008" t="str">
        <f>"10003"</f>
        <v>10003</v>
      </c>
      <c r="AB7008" t="s">
        <v>78</v>
      </c>
      <c r="AC7008" t="s">
        <v>79</v>
      </c>
      <c r="AD7008" t="s">
        <v>75</v>
      </c>
      <c r="AE7008" t="s">
        <v>80</v>
      </c>
      <c r="AG7008" t="s">
        <v>81</v>
      </c>
    </row>
    <row r="7009" spans="1:33" x14ac:dyDescent="0.25">
      <c r="A7009" t="str">
        <f>"1639135890"</f>
        <v>1639135890</v>
      </c>
      <c r="B7009" t="str">
        <f>"03179137"</f>
        <v>03179137</v>
      </c>
      <c r="C7009" t="s">
        <v>13436</v>
      </c>
      <c r="D7009" t="s">
        <v>31956</v>
      </c>
      <c r="E7009" t="s">
        <v>31957</v>
      </c>
      <c r="G7009" t="s">
        <v>31958</v>
      </c>
      <c r="L7009" t="s">
        <v>83</v>
      </c>
      <c r="M7009" t="s">
        <v>85</v>
      </c>
      <c r="R7009" t="s">
        <v>31959</v>
      </c>
      <c r="W7009" t="s">
        <v>31957</v>
      </c>
      <c r="X7009" t="s">
        <v>31960</v>
      </c>
      <c r="Y7009" t="s">
        <v>4487</v>
      </c>
      <c r="Z7009" t="s">
        <v>351</v>
      </c>
      <c r="AA7009" t="str">
        <f>"33136-1125"</f>
        <v>33136-1125</v>
      </c>
      <c r="AB7009" t="s">
        <v>78</v>
      </c>
      <c r="AC7009" t="s">
        <v>79</v>
      </c>
      <c r="AD7009" t="s">
        <v>75</v>
      </c>
      <c r="AE7009" t="s">
        <v>80</v>
      </c>
      <c r="AG7009" t="s">
        <v>81</v>
      </c>
    </row>
    <row r="7010" spans="1:33" x14ac:dyDescent="0.25">
      <c r="A7010" t="str">
        <f>"1639140668"</f>
        <v>1639140668</v>
      </c>
      <c r="B7010" t="str">
        <f>"03269523"</f>
        <v>03269523</v>
      </c>
      <c r="C7010" t="s">
        <v>13436</v>
      </c>
      <c r="D7010" t="s">
        <v>31961</v>
      </c>
      <c r="E7010" t="s">
        <v>31962</v>
      </c>
      <c r="G7010" t="s">
        <v>31963</v>
      </c>
      <c r="L7010" t="s">
        <v>83</v>
      </c>
      <c r="M7010" t="s">
        <v>85</v>
      </c>
      <c r="R7010" t="s">
        <v>31964</v>
      </c>
      <c r="W7010" t="s">
        <v>31962</v>
      </c>
      <c r="X7010" t="s">
        <v>4029</v>
      </c>
      <c r="Y7010" t="s">
        <v>97</v>
      </c>
      <c r="Z7010" t="s">
        <v>77</v>
      </c>
      <c r="AA7010" t="str">
        <f>"10029-6503"</f>
        <v>10029-6503</v>
      </c>
      <c r="AB7010" t="s">
        <v>78</v>
      </c>
      <c r="AC7010" t="s">
        <v>79</v>
      </c>
      <c r="AD7010" t="s">
        <v>75</v>
      </c>
      <c r="AE7010" t="s">
        <v>80</v>
      </c>
      <c r="AG7010" t="s">
        <v>81</v>
      </c>
    </row>
    <row r="7011" spans="1:33" x14ac:dyDescent="0.25">
      <c r="A7011" t="str">
        <f>"1639147564"</f>
        <v>1639147564</v>
      </c>
      <c r="B7011" t="str">
        <f>"01754952"</f>
        <v>01754952</v>
      </c>
      <c r="C7011" t="s">
        <v>13436</v>
      </c>
      <c r="D7011" t="s">
        <v>31965</v>
      </c>
      <c r="E7011" t="s">
        <v>31966</v>
      </c>
      <c r="G7011" t="s">
        <v>31967</v>
      </c>
      <c r="L7011" t="s">
        <v>74</v>
      </c>
      <c r="M7011" t="s">
        <v>85</v>
      </c>
      <c r="R7011" t="s">
        <v>31968</v>
      </c>
      <c r="W7011" t="s">
        <v>31966</v>
      </c>
      <c r="X7011" t="s">
        <v>31969</v>
      </c>
      <c r="Y7011" t="s">
        <v>97</v>
      </c>
      <c r="Z7011" t="s">
        <v>77</v>
      </c>
      <c r="AA7011" t="str">
        <f>"10029-6501"</f>
        <v>10029-6501</v>
      </c>
      <c r="AB7011" t="s">
        <v>78</v>
      </c>
      <c r="AC7011" t="s">
        <v>79</v>
      </c>
      <c r="AD7011" t="s">
        <v>75</v>
      </c>
      <c r="AE7011" t="s">
        <v>80</v>
      </c>
      <c r="AG7011" t="s">
        <v>81</v>
      </c>
    </row>
    <row r="7012" spans="1:33" x14ac:dyDescent="0.25">
      <c r="A7012" t="str">
        <f>"1639165293"</f>
        <v>1639165293</v>
      </c>
      <c r="B7012" t="str">
        <f>"01335157"</f>
        <v>01335157</v>
      </c>
      <c r="C7012" t="s">
        <v>13436</v>
      </c>
      <c r="D7012" t="s">
        <v>31970</v>
      </c>
      <c r="E7012" t="s">
        <v>31971</v>
      </c>
      <c r="G7012" t="s">
        <v>31972</v>
      </c>
      <c r="L7012" t="s">
        <v>84</v>
      </c>
      <c r="M7012" t="s">
        <v>85</v>
      </c>
      <c r="R7012" t="s">
        <v>31973</v>
      </c>
      <c r="W7012" t="s">
        <v>31971</v>
      </c>
      <c r="X7012" t="s">
        <v>28240</v>
      </c>
      <c r="Y7012" t="s">
        <v>139</v>
      </c>
      <c r="Z7012" t="s">
        <v>77</v>
      </c>
      <c r="AA7012" t="str">
        <f>"11358-1145"</f>
        <v>11358-1145</v>
      </c>
      <c r="AB7012" t="s">
        <v>78</v>
      </c>
      <c r="AC7012" t="s">
        <v>79</v>
      </c>
      <c r="AD7012" t="s">
        <v>75</v>
      </c>
      <c r="AE7012" t="s">
        <v>80</v>
      </c>
      <c r="AG7012" t="s">
        <v>81</v>
      </c>
    </row>
    <row r="7013" spans="1:33" x14ac:dyDescent="0.25">
      <c r="A7013" t="str">
        <f>"1639173065"</f>
        <v>1639173065</v>
      </c>
      <c r="B7013" t="str">
        <f>"02938392"</f>
        <v>02938392</v>
      </c>
      <c r="C7013" t="s">
        <v>13436</v>
      </c>
      <c r="D7013" t="s">
        <v>31974</v>
      </c>
      <c r="E7013" t="s">
        <v>31975</v>
      </c>
      <c r="G7013" t="s">
        <v>31976</v>
      </c>
      <c r="L7013" t="s">
        <v>83</v>
      </c>
      <c r="M7013" t="s">
        <v>85</v>
      </c>
      <c r="R7013" t="s">
        <v>31975</v>
      </c>
      <c r="W7013" t="s">
        <v>31977</v>
      </c>
      <c r="X7013" t="s">
        <v>329</v>
      </c>
      <c r="Y7013" t="s">
        <v>97</v>
      </c>
      <c r="Z7013" t="s">
        <v>77</v>
      </c>
      <c r="AA7013" t="str">
        <f>"10029-6504"</f>
        <v>10029-6504</v>
      </c>
      <c r="AB7013" t="s">
        <v>78</v>
      </c>
      <c r="AC7013" t="s">
        <v>79</v>
      </c>
      <c r="AD7013" t="s">
        <v>75</v>
      </c>
      <c r="AE7013" t="s">
        <v>80</v>
      </c>
      <c r="AG7013" t="s">
        <v>81</v>
      </c>
    </row>
    <row r="7014" spans="1:33" x14ac:dyDescent="0.25">
      <c r="A7014" t="str">
        <f>"1467560532"</f>
        <v>1467560532</v>
      </c>
      <c r="B7014" t="str">
        <f>"01716361"</f>
        <v>01716361</v>
      </c>
      <c r="C7014" t="s">
        <v>13436</v>
      </c>
      <c r="D7014" t="s">
        <v>31978</v>
      </c>
      <c r="E7014" t="s">
        <v>31979</v>
      </c>
      <c r="L7014" t="s">
        <v>74</v>
      </c>
      <c r="M7014" t="s">
        <v>75</v>
      </c>
      <c r="R7014" t="s">
        <v>31980</v>
      </c>
      <c r="W7014" t="s">
        <v>31979</v>
      </c>
      <c r="X7014" t="s">
        <v>31981</v>
      </c>
      <c r="Y7014" t="s">
        <v>87</v>
      </c>
      <c r="Z7014" t="s">
        <v>77</v>
      </c>
      <c r="AA7014" t="str">
        <f>"11222-5915"</f>
        <v>11222-5915</v>
      </c>
      <c r="AB7014" t="s">
        <v>128</v>
      </c>
      <c r="AC7014" t="s">
        <v>79</v>
      </c>
      <c r="AD7014" t="s">
        <v>75</v>
      </c>
      <c r="AE7014" t="s">
        <v>80</v>
      </c>
      <c r="AG7014" t="s">
        <v>81</v>
      </c>
    </row>
    <row r="7015" spans="1:33" x14ac:dyDescent="0.25">
      <c r="A7015" t="str">
        <f>"1467601104"</f>
        <v>1467601104</v>
      </c>
      <c r="B7015" t="str">
        <f>"03714587"</f>
        <v>03714587</v>
      </c>
      <c r="C7015" t="s">
        <v>13436</v>
      </c>
      <c r="D7015" t="s">
        <v>31982</v>
      </c>
      <c r="E7015" t="s">
        <v>31983</v>
      </c>
      <c r="G7015" t="s">
        <v>31984</v>
      </c>
      <c r="L7015" t="s">
        <v>102</v>
      </c>
      <c r="M7015" t="s">
        <v>75</v>
      </c>
      <c r="R7015" t="s">
        <v>31985</v>
      </c>
      <c r="W7015" t="s">
        <v>31983</v>
      </c>
      <c r="X7015" t="s">
        <v>11181</v>
      </c>
      <c r="Y7015" t="s">
        <v>97</v>
      </c>
      <c r="Z7015" t="s">
        <v>77</v>
      </c>
      <c r="AA7015" t="str">
        <f>"10029-6504"</f>
        <v>10029-6504</v>
      </c>
      <c r="AB7015" t="s">
        <v>78</v>
      </c>
      <c r="AC7015" t="s">
        <v>79</v>
      </c>
      <c r="AD7015" t="s">
        <v>75</v>
      </c>
      <c r="AE7015" t="s">
        <v>80</v>
      </c>
      <c r="AG7015" t="s">
        <v>81</v>
      </c>
    </row>
    <row r="7016" spans="1:33" x14ac:dyDescent="0.25">
      <c r="A7016" t="str">
        <f>"1467601187"</f>
        <v>1467601187</v>
      </c>
      <c r="B7016" t="str">
        <f>"03104405"</f>
        <v>03104405</v>
      </c>
      <c r="C7016" t="s">
        <v>13436</v>
      </c>
      <c r="D7016" t="s">
        <v>31986</v>
      </c>
      <c r="E7016" t="s">
        <v>31987</v>
      </c>
      <c r="G7016" t="s">
        <v>31988</v>
      </c>
      <c r="L7016" t="s">
        <v>83</v>
      </c>
      <c r="M7016" t="s">
        <v>85</v>
      </c>
      <c r="R7016" t="s">
        <v>31989</v>
      </c>
      <c r="W7016" t="s">
        <v>31987</v>
      </c>
      <c r="X7016" t="s">
        <v>4029</v>
      </c>
      <c r="Y7016" t="s">
        <v>97</v>
      </c>
      <c r="Z7016" t="s">
        <v>77</v>
      </c>
      <c r="AA7016" t="str">
        <f>"10029-6503"</f>
        <v>10029-6503</v>
      </c>
      <c r="AB7016" t="s">
        <v>78</v>
      </c>
      <c r="AC7016" t="s">
        <v>79</v>
      </c>
      <c r="AD7016" t="s">
        <v>75</v>
      </c>
      <c r="AE7016" t="s">
        <v>80</v>
      </c>
      <c r="AG7016" t="s">
        <v>81</v>
      </c>
    </row>
    <row r="7017" spans="1:33" x14ac:dyDescent="0.25">
      <c r="A7017" t="str">
        <f>"1467643965"</f>
        <v>1467643965</v>
      </c>
      <c r="B7017" t="str">
        <f>"02890797"</f>
        <v>02890797</v>
      </c>
      <c r="C7017" t="s">
        <v>13436</v>
      </c>
      <c r="D7017" t="s">
        <v>31990</v>
      </c>
      <c r="E7017" t="s">
        <v>31991</v>
      </c>
      <c r="G7017" t="s">
        <v>31992</v>
      </c>
      <c r="L7017" t="s">
        <v>74</v>
      </c>
      <c r="M7017" t="s">
        <v>85</v>
      </c>
      <c r="R7017" t="s">
        <v>31993</v>
      </c>
      <c r="W7017" t="s">
        <v>31991</v>
      </c>
      <c r="X7017" t="s">
        <v>1844</v>
      </c>
      <c r="Y7017" t="s">
        <v>97</v>
      </c>
      <c r="Z7017" t="s">
        <v>77</v>
      </c>
      <c r="AA7017" t="str">
        <f>"10016-4972"</f>
        <v>10016-4972</v>
      </c>
      <c r="AB7017" t="s">
        <v>78</v>
      </c>
      <c r="AC7017" t="s">
        <v>79</v>
      </c>
      <c r="AD7017" t="s">
        <v>75</v>
      </c>
      <c r="AE7017" t="s">
        <v>80</v>
      </c>
      <c r="AG7017" t="s">
        <v>81</v>
      </c>
    </row>
    <row r="7018" spans="1:33" x14ac:dyDescent="0.25">
      <c r="A7018" t="str">
        <f>"1467679357"</f>
        <v>1467679357</v>
      </c>
      <c r="B7018" t="str">
        <f>"03051503"</f>
        <v>03051503</v>
      </c>
      <c r="C7018" t="s">
        <v>13436</v>
      </c>
      <c r="D7018" t="s">
        <v>5650</v>
      </c>
      <c r="E7018" t="s">
        <v>5651</v>
      </c>
      <c r="L7018" t="s">
        <v>84</v>
      </c>
      <c r="M7018" t="s">
        <v>75</v>
      </c>
      <c r="R7018" t="s">
        <v>5651</v>
      </c>
      <c r="W7018" t="s">
        <v>5651</v>
      </c>
      <c r="X7018" t="s">
        <v>253</v>
      </c>
      <c r="Y7018" t="s">
        <v>131</v>
      </c>
      <c r="Z7018" t="s">
        <v>77</v>
      </c>
      <c r="AA7018" t="str">
        <f>"10466-2604"</f>
        <v>10466-2604</v>
      </c>
      <c r="AB7018" t="s">
        <v>78</v>
      </c>
      <c r="AC7018" t="s">
        <v>79</v>
      </c>
      <c r="AD7018" t="s">
        <v>75</v>
      </c>
      <c r="AE7018" t="s">
        <v>80</v>
      </c>
      <c r="AG7018" t="s">
        <v>81</v>
      </c>
    </row>
    <row r="7019" spans="1:33" x14ac:dyDescent="0.25">
      <c r="A7019" t="str">
        <f>"1144547787"</f>
        <v>1144547787</v>
      </c>
      <c r="B7019" t="str">
        <f>"03582294"</f>
        <v>03582294</v>
      </c>
      <c r="C7019" t="s">
        <v>13436</v>
      </c>
      <c r="D7019" t="s">
        <v>31994</v>
      </c>
      <c r="E7019" t="s">
        <v>31995</v>
      </c>
      <c r="G7019" t="s">
        <v>31996</v>
      </c>
      <c r="L7019" t="s">
        <v>84</v>
      </c>
      <c r="M7019" t="s">
        <v>85</v>
      </c>
      <c r="R7019" t="s">
        <v>31997</v>
      </c>
      <c r="W7019" t="s">
        <v>31995</v>
      </c>
      <c r="X7019" t="s">
        <v>329</v>
      </c>
      <c r="Y7019" t="s">
        <v>97</v>
      </c>
      <c r="Z7019" t="s">
        <v>77</v>
      </c>
      <c r="AA7019" t="str">
        <f>"10029-6504"</f>
        <v>10029-6504</v>
      </c>
      <c r="AB7019" t="s">
        <v>78</v>
      </c>
      <c r="AC7019" t="s">
        <v>79</v>
      </c>
      <c r="AD7019" t="s">
        <v>75</v>
      </c>
      <c r="AE7019" t="s">
        <v>80</v>
      </c>
      <c r="AG7019" t="s">
        <v>81</v>
      </c>
    </row>
    <row r="7020" spans="1:33" x14ac:dyDescent="0.25">
      <c r="A7020" t="str">
        <f>"1144550534"</f>
        <v>1144550534</v>
      </c>
      <c r="B7020" t="str">
        <f>"03815776"</f>
        <v>03815776</v>
      </c>
      <c r="C7020" t="s">
        <v>13436</v>
      </c>
      <c r="D7020" t="s">
        <v>31998</v>
      </c>
      <c r="E7020" t="s">
        <v>31999</v>
      </c>
      <c r="G7020" t="s">
        <v>32000</v>
      </c>
      <c r="L7020" t="s">
        <v>102</v>
      </c>
      <c r="M7020" t="s">
        <v>75</v>
      </c>
      <c r="R7020" t="s">
        <v>31999</v>
      </c>
      <c r="W7020" t="s">
        <v>31999</v>
      </c>
      <c r="X7020" t="s">
        <v>329</v>
      </c>
      <c r="Y7020" t="s">
        <v>97</v>
      </c>
      <c r="Z7020" t="s">
        <v>77</v>
      </c>
      <c r="AA7020" t="str">
        <f>"10029-6504"</f>
        <v>10029-6504</v>
      </c>
      <c r="AB7020" t="s">
        <v>78</v>
      </c>
      <c r="AC7020" t="s">
        <v>79</v>
      </c>
      <c r="AD7020" t="s">
        <v>75</v>
      </c>
      <c r="AE7020" t="s">
        <v>80</v>
      </c>
      <c r="AG7020" t="s">
        <v>81</v>
      </c>
    </row>
    <row r="7021" spans="1:33" x14ac:dyDescent="0.25">
      <c r="A7021" t="str">
        <f>"1386608354"</f>
        <v>1386608354</v>
      </c>
      <c r="B7021" t="str">
        <f>"02059034"</f>
        <v>02059034</v>
      </c>
      <c r="C7021" t="s">
        <v>13436</v>
      </c>
      <c r="D7021" t="s">
        <v>32001</v>
      </c>
      <c r="E7021" t="s">
        <v>32002</v>
      </c>
      <c r="G7021" t="s">
        <v>32003</v>
      </c>
      <c r="L7021" t="s">
        <v>83</v>
      </c>
      <c r="M7021" t="s">
        <v>85</v>
      </c>
      <c r="R7021" t="s">
        <v>32004</v>
      </c>
      <c r="W7021" t="s">
        <v>32002</v>
      </c>
      <c r="X7021" t="s">
        <v>22638</v>
      </c>
      <c r="Y7021" t="s">
        <v>97</v>
      </c>
      <c r="Z7021" t="s">
        <v>77</v>
      </c>
      <c r="AA7021" t="str">
        <f>"10032-3733"</f>
        <v>10032-3733</v>
      </c>
      <c r="AB7021" t="s">
        <v>78</v>
      </c>
      <c r="AC7021" t="s">
        <v>79</v>
      </c>
      <c r="AD7021" t="s">
        <v>75</v>
      </c>
      <c r="AE7021" t="s">
        <v>80</v>
      </c>
      <c r="AG7021" t="s">
        <v>81</v>
      </c>
    </row>
    <row r="7022" spans="1:33" x14ac:dyDescent="0.25">
      <c r="A7022" t="str">
        <f>"1023093721"</f>
        <v>1023093721</v>
      </c>
      <c r="B7022" t="str">
        <f>"02250420"</f>
        <v>02250420</v>
      </c>
      <c r="C7022" t="s">
        <v>13436</v>
      </c>
      <c r="D7022" t="s">
        <v>32005</v>
      </c>
      <c r="E7022" t="s">
        <v>32006</v>
      </c>
      <c r="G7022" t="s">
        <v>32007</v>
      </c>
      <c r="L7022" t="s">
        <v>83</v>
      </c>
      <c r="M7022" t="s">
        <v>85</v>
      </c>
      <c r="R7022" t="s">
        <v>32008</v>
      </c>
      <c r="W7022" t="s">
        <v>32009</v>
      </c>
      <c r="X7022" t="s">
        <v>32010</v>
      </c>
      <c r="Y7022" t="s">
        <v>1285</v>
      </c>
      <c r="Z7022" t="s">
        <v>77</v>
      </c>
      <c r="AA7022" t="str">
        <f>"10707-3925"</f>
        <v>10707-3925</v>
      </c>
      <c r="AB7022" t="s">
        <v>78</v>
      </c>
      <c r="AC7022" t="s">
        <v>79</v>
      </c>
      <c r="AD7022" t="s">
        <v>75</v>
      </c>
      <c r="AE7022" t="s">
        <v>80</v>
      </c>
      <c r="AG7022" t="s">
        <v>81</v>
      </c>
    </row>
    <row r="7023" spans="1:33" x14ac:dyDescent="0.25">
      <c r="A7023" t="str">
        <f>"1619122777"</f>
        <v>1619122777</v>
      </c>
      <c r="B7023" t="str">
        <f>"03548230"</f>
        <v>03548230</v>
      </c>
      <c r="C7023" t="s">
        <v>13436</v>
      </c>
      <c r="D7023" t="s">
        <v>32011</v>
      </c>
      <c r="E7023" t="s">
        <v>32012</v>
      </c>
      <c r="G7023" t="s">
        <v>32013</v>
      </c>
      <c r="L7023" t="s">
        <v>74</v>
      </c>
      <c r="M7023" t="s">
        <v>75</v>
      </c>
      <c r="R7023" t="s">
        <v>32014</v>
      </c>
      <c r="W7023" t="s">
        <v>32012</v>
      </c>
      <c r="X7023" t="s">
        <v>5296</v>
      </c>
      <c r="Y7023" t="s">
        <v>131</v>
      </c>
      <c r="Z7023" t="s">
        <v>77</v>
      </c>
      <c r="AA7023" t="str">
        <f>"10467-2404"</f>
        <v>10467-2404</v>
      </c>
      <c r="AB7023" t="s">
        <v>78</v>
      </c>
      <c r="AC7023" t="s">
        <v>79</v>
      </c>
      <c r="AD7023" t="s">
        <v>75</v>
      </c>
      <c r="AE7023" t="s">
        <v>80</v>
      </c>
      <c r="AG7023" t="s">
        <v>81</v>
      </c>
    </row>
    <row r="7024" spans="1:33" x14ac:dyDescent="0.25">
      <c r="A7024" t="str">
        <f>"1326368713"</f>
        <v>1326368713</v>
      </c>
      <c r="C7024" t="s">
        <v>13436</v>
      </c>
      <c r="K7024" t="s">
        <v>99</v>
      </c>
      <c r="L7024" t="s">
        <v>102</v>
      </c>
      <c r="M7024" t="s">
        <v>75</v>
      </c>
      <c r="R7024" t="s">
        <v>32015</v>
      </c>
      <c r="S7024" t="s">
        <v>3553</v>
      </c>
      <c r="T7024" t="s">
        <v>97</v>
      </c>
      <c r="U7024" t="s">
        <v>77</v>
      </c>
      <c r="V7024" t="str">
        <f>"100033851"</f>
        <v>100033851</v>
      </c>
      <c r="AC7024" t="s">
        <v>79</v>
      </c>
      <c r="AD7024" t="s">
        <v>75</v>
      </c>
      <c r="AE7024" t="s">
        <v>103</v>
      </c>
      <c r="AG7024" t="s">
        <v>81</v>
      </c>
    </row>
    <row r="7025" spans="1:33" x14ac:dyDescent="0.25">
      <c r="A7025" t="str">
        <f>"1326377631"</f>
        <v>1326377631</v>
      </c>
      <c r="B7025" t="str">
        <f>"03571726"</f>
        <v>03571726</v>
      </c>
      <c r="C7025" t="s">
        <v>13436</v>
      </c>
      <c r="D7025" t="s">
        <v>32016</v>
      </c>
      <c r="E7025" t="s">
        <v>32017</v>
      </c>
      <c r="G7025" t="s">
        <v>32018</v>
      </c>
      <c r="L7025" t="s">
        <v>74</v>
      </c>
      <c r="M7025" t="s">
        <v>85</v>
      </c>
      <c r="R7025" t="s">
        <v>32019</v>
      </c>
      <c r="W7025" t="s">
        <v>32017</v>
      </c>
      <c r="X7025" t="s">
        <v>32020</v>
      </c>
      <c r="Y7025" t="s">
        <v>97</v>
      </c>
      <c r="Z7025" t="s">
        <v>77</v>
      </c>
      <c r="AA7025" t="str">
        <f>"10029-6501"</f>
        <v>10029-6501</v>
      </c>
      <c r="AB7025" t="s">
        <v>78</v>
      </c>
      <c r="AC7025" t="s">
        <v>79</v>
      </c>
      <c r="AD7025" t="s">
        <v>75</v>
      </c>
      <c r="AE7025" t="s">
        <v>80</v>
      </c>
      <c r="AG7025" t="s">
        <v>81</v>
      </c>
    </row>
    <row r="7026" spans="1:33" x14ac:dyDescent="0.25">
      <c r="A7026" t="str">
        <f>"1326381203"</f>
        <v>1326381203</v>
      </c>
      <c r="C7026" t="s">
        <v>13436</v>
      </c>
      <c r="K7026" t="s">
        <v>99</v>
      </c>
      <c r="L7026" t="s">
        <v>102</v>
      </c>
      <c r="M7026" t="s">
        <v>75</v>
      </c>
      <c r="R7026" t="s">
        <v>32021</v>
      </c>
      <c r="S7026" t="s">
        <v>32022</v>
      </c>
      <c r="T7026" t="s">
        <v>5216</v>
      </c>
      <c r="U7026" t="s">
        <v>156</v>
      </c>
      <c r="V7026" t="str">
        <f>"070361445"</f>
        <v>070361445</v>
      </c>
      <c r="AC7026" t="s">
        <v>79</v>
      </c>
      <c r="AD7026" t="s">
        <v>75</v>
      </c>
      <c r="AE7026" t="s">
        <v>103</v>
      </c>
      <c r="AG7026" t="s">
        <v>81</v>
      </c>
    </row>
    <row r="7027" spans="1:33" x14ac:dyDescent="0.25">
      <c r="A7027" t="str">
        <f>"1093022543"</f>
        <v>1093022543</v>
      </c>
      <c r="B7027" t="str">
        <f>"03791453"</f>
        <v>03791453</v>
      </c>
      <c r="C7027" t="s">
        <v>13436</v>
      </c>
      <c r="D7027" t="s">
        <v>32023</v>
      </c>
      <c r="E7027" t="s">
        <v>32024</v>
      </c>
      <c r="G7027" t="s">
        <v>32025</v>
      </c>
      <c r="L7027" t="s">
        <v>74</v>
      </c>
      <c r="M7027" t="s">
        <v>75</v>
      </c>
      <c r="R7027" t="s">
        <v>32026</v>
      </c>
      <c r="W7027" t="s">
        <v>32024</v>
      </c>
      <c r="X7027" t="s">
        <v>11436</v>
      </c>
      <c r="Y7027" t="s">
        <v>97</v>
      </c>
      <c r="Z7027" t="s">
        <v>77</v>
      </c>
      <c r="AA7027" t="str">
        <f>"10027-6503"</f>
        <v>10027-6503</v>
      </c>
      <c r="AB7027" t="s">
        <v>78</v>
      </c>
      <c r="AC7027" t="s">
        <v>79</v>
      </c>
      <c r="AD7027" t="s">
        <v>75</v>
      </c>
      <c r="AE7027" t="s">
        <v>80</v>
      </c>
      <c r="AG7027" t="s">
        <v>81</v>
      </c>
    </row>
    <row r="7028" spans="1:33" x14ac:dyDescent="0.25">
      <c r="A7028" t="str">
        <f>"1093029456"</f>
        <v>1093029456</v>
      </c>
      <c r="C7028" t="s">
        <v>13436</v>
      </c>
      <c r="G7028" t="s">
        <v>32027</v>
      </c>
      <c r="K7028" t="s">
        <v>99</v>
      </c>
      <c r="L7028" t="s">
        <v>102</v>
      </c>
      <c r="M7028" t="s">
        <v>75</v>
      </c>
      <c r="R7028" t="s">
        <v>32028</v>
      </c>
      <c r="S7028" t="s">
        <v>13562</v>
      </c>
      <c r="T7028" t="s">
        <v>97</v>
      </c>
      <c r="U7028" t="s">
        <v>77</v>
      </c>
      <c r="V7028" t="str">
        <f>"100296508"</f>
        <v>100296508</v>
      </c>
      <c r="AC7028" t="s">
        <v>79</v>
      </c>
      <c r="AD7028" t="s">
        <v>75</v>
      </c>
      <c r="AE7028" t="s">
        <v>103</v>
      </c>
      <c r="AG7028" t="s">
        <v>81</v>
      </c>
    </row>
    <row r="7029" spans="1:33" x14ac:dyDescent="0.25">
      <c r="A7029" t="str">
        <f>"1093030546"</f>
        <v>1093030546</v>
      </c>
      <c r="B7029" t="str">
        <f>"04371582"</f>
        <v>04371582</v>
      </c>
      <c r="C7029" t="s">
        <v>13436</v>
      </c>
      <c r="D7029" t="s">
        <v>32029</v>
      </c>
      <c r="E7029" t="s">
        <v>32030</v>
      </c>
      <c r="L7029" t="s">
        <v>83</v>
      </c>
      <c r="M7029" t="s">
        <v>75</v>
      </c>
      <c r="R7029" t="s">
        <v>32031</v>
      </c>
      <c r="W7029" t="s">
        <v>32030</v>
      </c>
      <c r="X7029" t="s">
        <v>329</v>
      </c>
      <c r="Y7029" t="s">
        <v>97</v>
      </c>
      <c r="Z7029" t="s">
        <v>77</v>
      </c>
      <c r="AA7029" t="str">
        <f>"10029-6504"</f>
        <v>10029-6504</v>
      </c>
      <c r="AB7029" t="s">
        <v>78</v>
      </c>
      <c r="AC7029" t="s">
        <v>79</v>
      </c>
      <c r="AD7029" t="s">
        <v>75</v>
      </c>
      <c r="AE7029" t="s">
        <v>80</v>
      </c>
      <c r="AG7029" t="s">
        <v>81</v>
      </c>
    </row>
    <row r="7030" spans="1:33" x14ac:dyDescent="0.25">
      <c r="A7030" t="str">
        <f>"1093038390"</f>
        <v>1093038390</v>
      </c>
      <c r="B7030" t="str">
        <f>"03480893"</f>
        <v>03480893</v>
      </c>
      <c r="C7030" t="s">
        <v>13436</v>
      </c>
      <c r="D7030" t="s">
        <v>32032</v>
      </c>
      <c r="E7030" t="s">
        <v>32033</v>
      </c>
      <c r="G7030" t="s">
        <v>32034</v>
      </c>
      <c r="L7030" t="s">
        <v>74</v>
      </c>
      <c r="M7030" t="s">
        <v>75</v>
      </c>
      <c r="R7030" t="s">
        <v>32035</v>
      </c>
      <c r="W7030" t="s">
        <v>32036</v>
      </c>
      <c r="X7030" t="s">
        <v>204</v>
      </c>
      <c r="Y7030" t="s">
        <v>97</v>
      </c>
      <c r="Z7030" t="s">
        <v>77</v>
      </c>
      <c r="AA7030" t="str">
        <f>"10065-4870"</f>
        <v>10065-4870</v>
      </c>
      <c r="AB7030" t="s">
        <v>78</v>
      </c>
      <c r="AC7030" t="s">
        <v>79</v>
      </c>
      <c r="AD7030" t="s">
        <v>75</v>
      </c>
      <c r="AE7030" t="s">
        <v>80</v>
      </c>
      <c r="AG7030" t="s">
        <v>81</v>
      </c>
    </row>
    <row r="7031" spans="1:33" x14ac:dyDescent="0.25">
      <c r="A7031" t="str">
        <f>"1093057523"</f>
        <v>1093057523</v>
      </c>
      <c r="C7031" t="s">
        <v>13436</v>
      </c>
      <c r="K7031" t="s">
        <v>99</v>
      </c>
      <c r="L7031" t="s">
        <v>102</v>
      </c>
      <c r="M7031" t="s">
        <v>75</v>
      </c>
      <c r="R7031" t="s">
        <v>32037</v>
      </c>
      <c r="S7031" t="s">
        <v>11850</v>
      </c>
      <c r="T7031" t="s">
        <v>97</v>
      </c>
      <c r="U7031" t="s">
        <v>77</v>
      </c>
      <c r="V7031" t="str">
        <f>"100296504"</f>
        <v>100296504</v>
      </c>
      <c r="AC7031" t="s">
        <v>79</v>
      </c>
      <c r="AD7031" t="s">
        <v>75</v>
      </c>
      <c r="AE7031" t="s">
        <v>103</v>
      </c>
      <c r="AG7031" t="s">
        <v>81</v>
      </c>
    </row>
    <row r="7032" spans="1:33" x14ac:dyDescent="0.25">
      <c r="A7032" t="str">
        <f>"1093057747"</f>
        <v>1093057747</v>
      </c>
      <c r="C7032" t="s">
        <v>13436</v>
      </c>
      <c r="K7032" t="s">
        <v>99</v>
      </c>
      <c r="L7032" t="s">
        <v>102</v>
      </c>
      <c r="M7032" t="s">
        <v>75</v>
      </c>
      <c r="R7032" t="s">
        <v>32038</v>
      </c>
      <c r="S7032" t="s">
        <v>32039</v>
      </c>
      <c r="T7032" t="s">
        <v>5522</v>
      </c>
      <c r="U7032" t="s">
        <v>156</v>
      </c>
      <c r="V7032" t="str">
        <f>"070542635"</f>
        <v>070542635</v>
      </c>
      <c r="AC7032" t="s">
        <v>79</v>
      </c>
      <c r="AD7032" t="s">
        <v>75</v>
      </c>
      <c r="AE7032" t="s">
        <v>103</v>
      </c>
      <c r="AG7032" t="s">
        <v>81</v>
      </c>
    </row>
    <row r="7033" spans="1:33" x14ac:dyDescent="0.25">
      <c r="A7033" t="str">
        <f>"1093071201"</f>
        <v>1093071201</v>
      </c>
      <c r="C7033" t="s">
        <v>13436</v>
      </c>
      <c r="K7033" t="s">
        <v>99</v>
      </c>
      <c r="L7033" t="s">
        <v>74</v>
      </c>
      <c r="M7033" t="s">
        <v>75</v>
      </c>
      <c r="R7033" t="s">
        <v>32040</v>
      </c>
      <c r="S7033" t="s">
        <v>32041</v>
      </c>
      <c r="T7033" t="s">
        <v>131</v>
      </c>
      <c r="U7033" t="s">
        <v>77</v>
      </c>
      <c r="V7033" t="str">
        <f>"104612103"</f>
        <v>104612103</v>
      </c>
      <c r="AC7033" t="s">
        <v>79</v>
      </c>
      <c r="AD7033" t="s">
        <v>75</v>
      </c>
      <c r="AE7033" t="s">
        <v>103</v>
      </c>
      <c r="AG7033" t="s">
        <v>81</v>
      </c>
    </row>
    <row r="7034" spans="1:33" x14ac:dyDescent="0.25">
      <c r="A7034" t="str">
        <f>"1093080194"</f>
        <v>1093080194</v>
      </c>
      <c r="C7034" t="s">
        <v>13436</v>
      </c>
      <c r="K7034" t="s">
        <v>99</v>
      </c>
      <c r="L7034" t="s">
        <v>102</v>
      </c>
      <c r="M7034" t="s">
        <v>75</v>
      </c>
      <c r="R7034" t="s">
        <v>32042</v>
      </c>
      <c r="S7034" t="s">
        <v>32043</v>
      </c>
      <c r="T7034" t="s">
        <v>97</v>
      </c>
      <c r="U7034" t="s">
        <v>77</v>
      </c>
      <c r="V7034" t="str">
        <f>"100296500"</f>
        <v>100296500</v>
      </c>
      <c r="AC7034" t="s">
        <v>79</v>
      </c>
      <c r="AD7034" t="s">
        <v>75</v>
      </c>
      <c r="AE7034" t="s">
        <v>103</v>
      </c>
      <c r="AG7034" t="s">
        <v>81</v>
      </c>
    </row>
    <row r="7035" spans="1:33" x14ac:dyDescent="0.25">
      <c r="A7035" t="str">
        <f>"1093080236"</f>
        <v>1093080236</v>
      </c>
      <c r="C7035" t="s">
        <v>13436</v>
      </c>
      <c r="K7035" t="s">
        <v>99</v>
      </c>
      <c r="L7035" t="s">
        <v>102</v>
      </c>
      <c r="M7035" t="s">
        <v>75</v>
      </c>
      <c r="R7035" t="s">
        <v>32044</v>
      </c>
      <c r="S7035" t="s">
        <v>32045</v>
      </c>
      <c r="T7035" t="s">
        <v>3825</v>
      </c>
      <c r="U7035" t="s">
        <v>77</v>
      </c>
      <c r="V7035" t="str">
        <f>"117273414"</f>
        <v>117273414</v>
      </c>
      <c r="AC7035" t="s">
        <v>79</v>
      </c>
      <c r="AD7035" t="s">
        <v>75</v>
      </c>
      <c r="AE7035" t="s">
        <v>103</v>
      </c>
      <c r="AG7035" t="s">
        <v>81</v>
      </c>
    </row>
    <row r="7036" spans="1:33" x14ac:dyDescent="0.25">
      <c r="A7036" t="str">
        <f>"1093095556"</f>
        <v>1093095556</v>
      </c>
      <c r="B7036" t="str">
        <f>"03886160"</f>
        <v>03886160</v>
      </c>
      <c r="C7036" t="s">
        <v>13436</v>
      </c>
      <c r="D7036" t="s">
        <v>32046</v>
      </c>
      <c r="E7036" t="s">
        <v>32047</v>
      </c>
      <c r="G7036" t="s">
        <v>32048</v>
      </c>
      <c r="L7036" t="s">
        <v>74</v>
      </c>
      <c r="M7036" t="s">
        <v>75</v>
      </c>
      <c r="R7036" t="s">
        <v>32049</v>
      </c>
      <c r="W7036" t="s">
        <v>32050</v>
      </c>
      <c r="X7036" t="s">
        <v>329</v>
      </c>
      <c r="Y7036" t="s">
        <v>97</v>
      </c>
      <c r="Z7036" t="s">
        <v>77</v>
      </c>
      <c r="AA7036" t="str">
        <f>"10029-6504"</f>
        <v>10029-6504</v>
      </c>
      <c r="AB7036" t="s">
        <v>78</v>
      </c>
      <c r="AC7036" t="s">
        <v>79</v>
      </c>
      <c r="AD7036" t="s">
        <v>75</v>
      </c>
      <c r="AE7036" t="s">
        <v>80</v>
      </c>
      <c r="AG7036" t="s">
        <v>81</v>
      </c>
    </row>
    <row r="7037" spans="1:33" x14ac:dyDescent="0.25">
      <c r="A7037" t="str">
        <f>"1740691450"</f>
        <v>1740691450</v>
      </c>
      <c r="C7037" t="s">
        <v>13436</v>
      </c>
      <c r="K7037" t="s">
        <v>99</v>
      </c>
      <c r="L7037" t="s">
        <v>102</v>
      </c>
      <c r="M7037" t="s">
        <v>75</v>
      </c>
      <c r="R7037" t="s">
        <v>32051</v>
      </c>
      <c r="S7037" t="s">
        <v>11602</v>
      </c>
      <c r="T7037" t="s">
        <v>97</v>
      </c>
      <c r="U7037" t="s">
        <v>77</v>
      </c>
      <c r="V7037" t="str">
        <f>"100295204"</f>
        <v>100295204</v>
      </c>
      <c r="AC7037" t="s">
        <v>79</v>
      </c>
      <c r="AD7037" t="s">
        <v>75</v>
      </c>
      <c r="AE7037" t="s">
        <v>103</v>
      </c>
      <c r="AG7037" t="s">
        <v>81</v>
      </c>
    </row>
    <row r="7038" spans="1:33" x14ac:dyDescent="0.25">
      <c r="A7038" t="str">
        <f>"1750313953"</f>
        <v>1750313953</v>
      </c>
      <c r="B7038" t="str">
        <f>"01027316"</f>
        <v>01027316</v>
      </c>
      <c r="C7038" t="s">
        <v>13436</v>
      </c>
      <c r="D7038" t="s">
        <v>32052</v>
      </c>
      <c r="E7038" t="s">
        <v>32053</v>
      </c>
      <c r="G7038" t="s">
        <v>32054</v>
      </c>
      <c r="L7038" t="s">
        <v>83</v>
      </c>
      <c r="M7038" t="s">
        <v>85</v>
      </c>
      <c r="R7038" t="s">
        <v>32055</v>
      </c>
      <c r="W7038" t="s">
        <v>32053</v>
      </c>
      <c r="X7038" t="s">
        <v>272</v>
      </c>
      <c r="Y7038" t="s">
        <v>97</v>
      </c>
      <c r="Z7038" t="s">
        <v>77</v>
      </c>
      <c r="AA7038" t="str">
        <f>"10029-6501"</f>
        <v>10029-6501</v>
      </c>
      <c r="AB7038" t="s">
        <v>78</v>
      </c>
      <c r="AC7038" t="s">
        <v>79</v>
      </c>
      <c r="AD7038" t="s">
        <v>75</v>
      </c>
      <c r="AE7038" t="s">
        <v>80</v>
      </c>
      <c r="AG7038" t="s">
        <v>81</v>
      </c>
    </row>
    <row r="7039" spans="1:33" x14ac:dyDescent="0.25">
      <c r="A7039" t="str">
        <f>"1740522556"</f>
        <v>1740522556</v>
      </c>
      <c r="C7039" t="s">
        <v>13436</v>
      </c>
      <c r="K7039" t="s">
        <v>99</v>
      </c>
      <c r="L7039" t="s">
        <v>102</v>
      </c>
      <c r="M7039" t="s">
        <v>75</v>
      </c>
      <c r="R7039" t="s">
        <v>32056</v>
      </c>
      <c r="S7039" t="s">
        <v>32057</v>
      </c>
      <c r="T7039" t="s">
        <v>97</v>
      </c>
      <c r="U7039" t="s">
        <v>77</v>
      </c>
      <c r="V7039" t="str">
        <f>"100296552"</f>
        <v>100296552</v>
      </c>
      <c r="AC7039" t="s">
        <v>79</v>
      </c>
      <c r="AD7039" t="s">
        <v>75</v>
      </c>
      <c r="AE7039" t="s">
        <v>103</v>
      </c>
      <c r="AG7039" t="s">
        <v>81</v>
      </c>
    </row>
    <row r="7040" spans="1:33" x14ac:dyDescent="0.25">
      <c r="A7040" t="str">
        <f>"1740522580"</f>
        <v>1740522580</v>
      </c>
      <c r="C7040" t="s">
        <v>13436</v>
      </c>
      <c r="K7040" t="s">
        <v>99</v>
      </c>
      <c r="L7040" t="s">
        <v>102</v>
      </c>
      <c r="M7040" t="s">
        <v>75</v>
      </c>
      <c r="R7040" t="s">
        <v>32058</v>
      </c>
      <c r="S7040" t="s">
        <v>329</v>
      </c>
      <c r="T7040" t="s">
        <v>97</v>
      </c>
      <c r="U7040" t="s">
        <v>77</v>
      </c>
      <c r="V7040" t="str">
        <f>"100296500"</f>
        <v>100296500</v>
      </c>
      <c r="AC7040" t="s">
        <v>79</v>
      </c>
      <c r="AD7040" t="s">
        <v>75</v>
      </c>
      <c r="AE7040" t="s">
        <v>103</v>
      </c>
      <c r="AG7040" t="s">
        <v>81</v>
      </c>
    </row>
    <row r="7041" spans="1:33" x14ac:dyDescent="0.25">
      <c r="A7041" t="str">
        <f>"1982826970"</f>
        <v>1982826970</v>
      </c>
      <c r="B7041" t="str">
        <f>"02889563"</f>
        <v>02889563</v>
      </c>
      <c r="C7041" t="s">
        <v>13436</v>
      </c>
      <c r="D7041" t="s">
        <v>32059</v>
      </c>
      <c r="E7041" t="s">
        <v>32060</v>
      </c>
      <c r="L7041" t="s">
        <v>74</v>
      </c>
      <c r="M7041" t="s">
        <v>85</v>
      </c>
      <c r="R7041" t="s">
        <v>32061</v>
      </c>
      <c r="W7041" t="s">
        <v>32060</v>
      </c>
      <c r="X7041" t="s">
        <v>329</v>
      </c>
      <c r="Y7041" t="s">
        <v>97</v>
      </c>
      <c r="Z7041" t="s">
        <v>77</v>
      </c>
      <c r="AA7041" t="str">
        <f>"10029-6500"</f>
        <v>10029-6500</v>
      </c>
      <c r="AB7041" t="s">
        <v>78</v>
      </c>
      <c r="AC7041" t="s">
        <v>79</v>
      </c>
      <c r="AD7041" t="s">
        <v>75</v>
      </c>
      <c r="AE7041" t="s">
        <v>80</v>
      </c>
      <c r="AG7041" t="s">
        <v>81</v>
      </c>
    </row>
    <row r="7042" spans="1:33" x14ac:dyDescent="0.25">
      <c r="A7042" t="str">
        <f>"1982838199"</f>
        <v>1982838199</v>
      </c>
      <c r="B7042" t="str">
        <f>"03123237"</f>
        <v>03123237</v>
      </c>
      <c r="C7042" t="s">
        <v>13436</v>
      </c>
      <c r="D7042" t="s">
        <v>32062</v>
      </c>
      <c r="E7042" t="s">
        <v>32063</v>
      </c>
      <c r="G7042" t="s">
        <v>32064</v>
      </c>
      <c r="L7042" t="s">
        <v>83</v>
      </c>
      <c r="M7042" t="s">
        <v>85</v>
      </c>
      <c r="R7042" t="s">
        <v>32065</v>
      </c>
      <c r="W7042" t="s">
        <v>32066</v>
      </c>
      <c r="X7042" t="s">
        <v>191</v>
      </c>
      <c r="Y7042" t="s">
        <v>97</v>
      </c>
      <c r="Z7042" t="s">
        <v>77</v>
      </c>
      <c r="AA7042" t="str">
        <f>"10019-1147"</f>
        <v>10019-1147</v>
      </c>
      <c r="AB7042" t="s">
        <v>78</v>
      </c>
      <c r="AC7042" t="s">
        <v>79</v>
      </c>
      <c r="AD7042" t="s">
        <v>75</v>
      </c>
      <c r="AE7042" t="s">
        <v>80</v>
      </c>
      <c r="AG7042" t="s">
        <v>81</v>
      </c>
    </row>
    <row r="7043" spans="1:33" x14ac:dyDescent="0.25">
      <c r="A7043" t="str">
        <f>"1982840047"</f>
        <v>1982840047</v>
      </c>
      <c r="B7043" t="str">
        <f>"03849447"</f>
        <v>03849447</v>
      </c>
      <c r="C7043" t="s">
        <v>13436</v>
      </c>
      <c r="D7043" t="s">
        <v>32067</v>
      </c>
      <c r="E7043" t="s">
        <v>32068</v>
      </c>
      <c r="G7043" t="s">
        <v>32069</v>
      </c>
      <c r="L7043" t="s">
        <v>102</v>
      </c>
      <c r="M7043" t="s">
        <v>75</v>
      </c>
      <c r="R7043" t="s">
        <v>32070</v>
      </c>
      <c r="W7043" t="s">
        <v>32071</v>
      </c>
      <c r="X7043" t="s">
        <v>1076</v>
      </c>
      <c r="Y7043" t="s">
        <v>97</v>
      </c>
      <c r="Z7043" t="s">
        <v>77</v>
      </c>
      <c r="AA7043" t="str">
        <f>"10025-1737"</f>
        <v>10025-1737</v>
      </c>
      <c r="AB7043" t="s">
        <v>125</v>
      </c>
      <c r="AC7043" t="s">
        <v>79</v>
      </c>
      <c r="AD7043" t="s">
        <v>75</v>
      </c>
      <c r="AE7043" t="s">
        <v>80</v>
      </c>
      <c r="AG7043" t="s">
        <v>81</v>
      </c>
    </row>
    <row r="7044" spans="1:33" x14ac:dyDescent="0.25">
      <c r="A7044" t="str">
        <f>"1982863502"</f>
        <v>1982863502</v>
      </c>
      <c r="B7044" t="str">
        <f>"03643932"</f>
        <v>03643932</v>
      </c>
      <c r="C7044" t="s">
        <v>13436</v>
      </c>
      <c r="D7044" t="s">
        <v>32072</v>
      </c>
      <c r="E7044" t="s">
        <v>32073</v>
      </c>
      <c r="G7044" t="s">
        <v>32074</v>
      </c>
      <c r="L7044" t="s">
        <v>83</v>
      </c>
      <c r="M7044" t="s">
        <v>85</v>
      </c>
      <c r="R7044" t="s">
        <v>32075</v>
      </c>
      <c r="W7044" t="s">
        <v>32073</v>
      </c>
      <c r="X7044" t="s">
        <v>329</v>
      </c>
      <c r="Y7044" t="s">
        <v>97</v>
      </c>
      <c r="Z7044" t="s">
        <v>77</v>
      </c>
      <c r="AA7044" t="str">
        <f>"10029-6504"</f>
        <v>10029-6504</v>
      </c>
      <c r="AB7044" t="s">
        <v>78</v>
      </c>
      <c r="AC7044" t="s">
        <v>79</v>
      </c>
      <c r="AD7044" t="s">
        <v>75</v>
      </c>
      <c r="AE7044" t="s">
        <v>80</v>
      </c>
      <c r="AG7044" t="s">
        <v>81</v>
      </c>
    </row>
    <row r="7045" spans="1:33" x14ac:dyDescent="0.25">
      <c r="A7045" t="str">
        <f>"1982864781"</f>
        <v>1982864781</v>
      </c>
      <c r="B7045" t="str">
        <f>"03398047"</f>
        <v>03398047</v>
      </c>
      <c r="C7045" t="s">
        <v>13436</v>
      </c>
      <c r="D7045" t="s">
        <v>32076</v>
      </c>
      <c r="E7045" t="s">
        <v>32077</v>
      </c>
      <c r="L7045" t="s">
        <v>83</v>
      </c>
      <c r="M7045" t="s">
        <v>85</v>
      </c>
      <c r="R7045" t="s">
        <v>32078</v>
      </c>
      <c r="W7045" t="s">
        <v>32077</v>
      </c>
      <c r="X7045" t="s">
        <v>235</v>
      </c>
      <c r="Y7045" t="s">
        <v>236</v>
      </c>
      <c r="Z7045" t="s">
        <v>77</v>
      </c>
      <c r="AA7045" t="str">
        <f>"11102-2448"</f>
        <v>11102-2448</v>
      </c>
      <c r="AB7045" t="s">
        <v>78</v>
      </c>
      <c r="AC7045" t="s">
        <v>79</v>
      </c>
      <c r="AD7045" t="s">
        <v>75</v>
      </c>
      <c r="AE7045" t="s">
        <v>80</v>
      </c>
      <c r="AG7045" t="s">
        <v>81</v>
      </c>
    </row>
    <row r="7046" spans="1:33" x14ac:dyDescent="0.25">
      <c r="A7046" t="str">
        <f>"1982867073"</f>
        <v>1982867073</v>
      </c>
      <c r="B7046" t="str">
        <f>"03766992"</f>
        <v>03766992</v>
      </c>
      <c r="C7046" t="s">
        <v>13436</v>
      </c>
      <c r="D7046" t="s">
        <v>32079</v>
      </c>
      <c r="E7046" t="s">
        <v>32080</v>
      </c>
      <c r="G7046" t="s">
        <v>32081</v>
      </c>
      <c r="L7046" t="s">
        <v>74</v>
      </c>
      <c r="M7046" t="s">
        <v>85</v>
      </c>
      <c r="R7046" t="s">
        <v>32080</v>
      </c>
      <c r="W7046" t="s">
        <v>32080</v>
      </c>
      <c r="X7046" t="s">
        <v>32082</v>
      </c>
      <c r="Y7046" t="s">
        <v>97</v>
      </c>
      <c r="Z7046" t="s">
        <v>77</v>
      </c>
      <c r="AA7046" t="str">
        <f>"10003-0000"</f>
        <v>10003-0000</v>
      </c>
      <c r="AB7046" t="s">
        <v>78</v>
      </c>
      <c r="AC7046" t="s">
        <v>79</v>
      </c>
      <c r="AD7046" t="s">
        <v>75</v>
      </c>
      <c r="AE7046" t="s">
        <v>80</v>
      </c>
      <c r="AG7046" t="s">
        <v>81</v>
      </c>
    </row>
    <row r="7047" spans="1:33" x14ac:dyDescent="0.25">
      <c r="A7047" t="str">
        <f>"1982870457"</f>
        <v>1982870457</v>
      </c>
      <c r="B7047" t="str">
        <f>"03492037"</f>
        <v>03492037</v>
      </c>
      <c r="C7047" t="s">
        <v>13436</v>
      </c>
      <c r="D7047" t="s">
        <v>2829</v>
      </c>
      <c r="E7047" t="s">
        <v>2830</v>
      </c>
      <c r="G7047" t="s">
        <v>32083</v>
      </c>
      <c r="L7047" t="s">
        <v>105</v>
      </c>
      <c r="M7047" t="s">
        <v>85</v>
      </c>
      <c r="R7047" t="s">
        <v>2830</v>
      </c>
      <c r="W7047" t="s">
        <v>2830</v>
      </c>
      <c r="X7047" t="s">
        <v>2831</v>
      </c>
      <c r="Y7047" t="s">
        <v>97</v>
      </c>
      <c r="Z7047" t="s">
        <v>77</v>
      </c>
      <c r="AA7047" t="str">
        <f>"10029-6504"</f>
        <v>10029-6504</v>
      </c>
      <c r="AB7047" t="s">
        <v>78</v>
      </c>
      <c r="AC7047" t="s">
        <v>79</v>
      </c>
      <c r="AD7047" t="s">
        <v>75</v>
      </c>
      <c r="AE7047" t="s">
        <v>80</v>
      </c>
      <c r="AG7047" t="s">
        <v>81</v>
      </c>
    </row>
    <row r="7048" spans="1:33" x14ac:dyDescent="0.25">
      <c r="A7048" t="str">
        <f>"1982872008"</f>
        <v>1982872008</v>
      </c>
      <c r="B7048" t="str">
        <f>"03484599"</f>
        <v>03484599</v>
      </c>
      <c r="C7048" t="s">
        <v>13436</v>
      </c>
      <c r="D7048" t="s">
        <v>32084</v>
      </c>
      <c r="E7048" t="s">
        <v>32085</v>
      </c>
      <c r="G7048" t="s">
        <v>32086</v>
      </c>
      <c r="L7048" t="s">
        <v>84</v>
      </c>
      <c r="M7048" t="s">
        <v>85</v>
      </c>
      <c r="R7048" t="s">
        <v>32087</v>
      </c>
      <c r="W7048" t="s">
        <v>32088</v>
      </c>
      <c r="X7048" t="s">
        <v>5249</v>
      </c>
      <c r="Y7048" t="s">
        <v>97</v>
      </c>
      <c r="Z7048" t="s">
        <v>77</v>
      </c>
      <c r="AA7048" t="str">
        <f>"10003-3805"</f>
        <v>10003-3805</v>
      </c>
      <c r="AB7048" t="s">
        <v>78</v>
      </c>
      <c r="AC7048" t="s">
        <v>79</v>
      </c>
      <c r="AD7048" t="s">
        <v>75</v>
      </c>
      <c r="AE7048" t="s">
        <v>80</v>
      </c>
      <c r="AG7048" t="s">
        <v>81</v>
      </c>
    </row>
    <row r="7049" spans="1:33" x14ac:dyDescent="0.25">
      <c r="A7049" t="str">
        <f>"1982928925"</f>
        <v>1982928925</v>
      </c>
      <c r="B7049" t="str">
        <f>"03652586"</f>
        <v>03652586</v>
      </c>
      <c r="C7049" t="s">
        <v>13436</v>
      </c>
      <c r="D7049" t="s">
        <v>32089</v>
      </c>
      <c r="E7049" t="s">
        <v>32090</v>
      </c>
      <c r="L7049" t="s">
        <v>94</v>
      </c>
      <c r="M7049" t="s">
        <v>85</v>
      </c>
      <c r="R7049" t="s">
        <v>32091</v>
      </c>
      <c r="W7049" t="s">
        <v>32090</v>
      </c>
      <c r="X7049" t="s">
        <v>330</v>
      </c>
      <c r="Y7049" t="s">
        <v>97</v>
      </c>
      <c r="Z7049" t="s">
        <v>77</v>
      </c>
      <c r="AA7049" t="str">
        <f>"10029-5204"</f>
        <v>10029-5204</v>
      </c>
      <c r="AB7049" t="s">
        <v>78</v>
      </c>
      <c r="AC7049" t="s">
        <v>79</v>
      </c>
      <c r="AD7049" t="s">
        <v>75</v>
      </c>
      <c r="AE7049" t="s">
        <v>80</v>
      </c>
      <c r="AG7049" t="s">
        <v>81</v>
      </c>
    </row>
    <row r="7050" spans="1:33" x14ac:dyDescent="0.25">
      <c r="A7050" t="str">
        <f>"1437462819"</f>
        <v>1437462819</v>
      </c>
      <c r="C7050" t="s">
        <v>13436</v>
      </c>
      <c r="K7050" t="s">
        <v>99</v>
      </c>
      <c r="L7050" t="s">
        <v>102</v>
      </c>
      <c r="M7050" t="s">
        <v>75</v>
      </c>
      <c r="R7050" t="s">
        <v>32092</v>
      </c>
      <c r="S7050" t="s">
        <v>32093</v>
      </c>
      <c r="T7050" t="s">
        <v>97</v>
      </c>
      <c r="U7050" t="s">
        <v>77</v>
      </c>
      <c r="V7050" t="str">
        <f>"100146329"</f>
        <v>100146329</v>
      </c>
      <c r="AC7050" t="s">
        <v>79</v>
      </c>
      <c r="AD7050" t="s">
        <v>75</v>
      </c>
      <c r="AE7050" t="s">
        <v>103</v>
      </c>
      <c r="AG7050" t="s">
        <v>81</v>
      </c>
    </row>
    <row r="7051" spans="1:33" x14ac:dyDescent="0.25">
      <c r="A7051" t="str">
        <f>"1437473477"</f>
        <v>1437473477</v>
      </c>
      <c r="B7051" t="str">
        <f>"04450464"</f>
        <v>04450464</v>
      </c>
      <c r="C7051" t="s">
        <v>13436</v>
      </c>
      <c r="D7051" t="s">
        <v>32094</v>
      </c>
      <c r="E7051" t="s">
        <v>32095</v>
      </c>
      <c r="L7051" t="s">
        <v>102</v>
      </c>
      <c r="M7051" t="s">
        <v>75</v>
      </c>
      <c r="R7051" t="s">
        <v>32096</v>
      </c>
      <c r="W7051" t="s">
        <v>32095</v>
      </c>
      <c r="AB7051" t="s">
        <v>78</v>
      </c>
      <c r="AC7051" t="s">
        <v>79</v>
      </c>
      <c r="AD7051" t="s">
        <v>75</v>
      </c>
      <c r="AE7051" t="s">
        <v>80</v>
      </c>
      <c r="AG7051" t="s">
        <v>81</v>
      </c>
    </row>
    <row r="7052" spans="1:33" x14ac:dyDescent="0.25">
      <c r="A7052" t="str">
        <f>"1437475373"</f>
        <v>1437475373</v>
      </c>
      <c r="C7052" t="s">
        <v>13436</v>
      </c>
      <c r="K7052" t="s">
        <v>99</v>
      </c>
      <c r="L7052" t="s">
        <v>102</v>
      </c>
      <c r="M7052" t="s">
        <v>75</v>
      </c>
      <c r="R7052" t="s">
        <v>32097</v>
      </c>
      <c r="S7052" t="s">
        <v>32098</v>
      </c>
      <c r="T7052" t="s">
        <v>97</v>
      </c>
      <c r="U7052" t="s">
        <v>77</v>
      </c>
      <c r="V7052" t="str">
        <f>"100116700"</f>
        <v>100116700</v>
      </c>
      <c r="AC7052" t="s">
        <v>79</v>
      </c>
      <c r="AD7052" t="s">
        <v>75</v>
      </c>
      <c r="AE7052" t="s">
        <v>103</v>
      </c>
      <c r="AG7052" t="s">
        <v>81</v>
      </c>
    </row>
    <row r="7053" spans="1:33" x14ac:dyDescent="0.25">
      <c r="A7053" t="str">
        <f>"1437489861"</f>
        <v>1437489861</v>
      </c>
      <c r="B7053" t="str">
        <f>"03567764"</f>
        <v>03567764</v>
      </c>
      <c r="C7053" t="s">
        <v>13436</v>
      </c>
      <c r="D7053" t="s">
        <v>32099</v>
      </c>
      <c r="E7053" t="s">
        <v>32100</v>
      </c>
      <c r="G7053" t="s">
        <v>32101</v>
      </c>
      <c r="L7053" t="s">
        <v>102</v>
      </c>
      <c r="M7053" t="s">
        <v>75</v>
      </c>
      <c r="R7053" t="s">
        <v>32102</v>
      </c>
      <c r="W7053" t="s">
        <v>32100</v>
      </c>
      <c r="X7053" t="s">
        <v>1076</v>
      </c>
      <c r="Y7053" t="s">
        <v>97</v>
      </c>
      <c r="Z7053" t="s">
        <v>77</v>
      </c>
      <c r="AA7053" t="str">
        <f>"10025-1737"</f>
        <v>10025-1737</v>
      </c>
      <c r="AB7053" t="s">
        <v>125</v>
      </c>
      <c r="AC7053" t="s">
        <v>79</v>
      </c>
      <c r="AD7053" t="s">
        <v>75</v>
      </c>
      <c r="AE7053" t="s">
        <v>80</v>
      </c>
      <c r="AG7053" t="s">
        <v>81</v>
      </c>
    </row>
    <row r="7054" spans="1:33" x14ac:dyDescent="0.25">
      <c r="A7054" t="str">
        <f>"1437492774"</f>
        <v>1437492774</v>
      </c>
      <c r="C7054" t="s">
        <v>13436</v>
      </c>
      <c r="K7054" t="s">
        <v>99</v>
      </c>
      <c r="L7054" t="s">
        <v>74</v>
      </c>
      <c r="M7054" t="s">
        <v>75</v>
      </c>
      <c r="R7054" t="s">
        <v>32103</v>
      </c>
      <c r="S7054" t="s">
        <v>329</v>
      </c>
      <c r="T7054" t="s">
        <v>97</v>
      </c>
      <c r="U7054" t="s">
        <v>77</v>
      </c>
      <c r="V7054" t="str">
        <f>"100296500"</f>
        <v>100296500</v>
      </c>
      <c r="AC7054" t="s">
        <v>79</v>
      </c>
      <c r="AD7054" t="s">
        <v>75</v>
      </c>
      <c r="AE7054" t="s">
        <v>103</v>
      </c>
      <c r="AG7054" t="s">
        <v>81</v>
      </c>
    </row>
    <row r="7055" spans="1:33" x14ac:dyDescent="0.25">
      <c r="A7055" t="str">
        <f>"1437492964"</f>
        <v>1437492964</v>
      </c>
      <c r="C7055" t="s">
        <v>13436</v>
      </c>
      <c r="K7055" t="s">
        <v>99</v>
      </c>
      <c r="L7055" t="s">
        <v>102</v>
      </c>
      <c r="M7055" t="s">
        <v>75</v>
      </c>
      <c r="R7055" t="s">
        <v>32104</v>
      </c>
      <c r="S7055" t="s">
        <v>32105</v>
      </c>
      <c r="T7055" t="s">
        <v>32106</v>
      </c>
      <c r="U7055" t="s">
        <v>156</v>
      </c>
      <c r="V7055" t="str">
        <f>"077199536"</f>
        <v>077199536</v>
      </c>
      <c r="AC7055" t="s">
        <v>79</v>
      </c>
      <c r="AD7055" t="s">
        <v>75</v>
      </c>
      <c r="AE7055" t="s">
        <v>103</v>
      </c>
      <c r="AG7055" t="s">
        <v>81</v>
      </c>
    </row>
    <row r="7056" spans="1:33" x14ac:dyDescent="0.25">
      <c r="A7056" t="str">
        <f>"1437495686"</f>
        <v>1437495686</v>
      </c>
      <c r="C7056" t="s">
        <v>13436</v>
      </c>
      <c r="G7056" t="s">
        <v>32107</v>
      </c>
      <c r="K7056" t="s">
        <v>99</v>
      </c>
      <c r="L7056" t="s">
        <v>74</v>
      </c>
      <c r="M7056" t="s">
        <v>75</v>
      </c>
      <c r="R7056" t="s">
        <v>32108</v>
      </c>
      <c r="S7056" t="s">
        <v>11176</v>
      </c>
      <c r="T7056" t="s">
        <v>97</v>
      </c>
      <c r="U7056" t="s">
        <v>77</v>
      </c>
      <c r="V7056" t="str">
        <f>"100296542"</f>
        <v>100296542</v>
      </c>
      <c r="AC7056" t="s">
        <v>79</v>
      </c>
      <c r="AD7056" t="s">
        <v>75</v>
      </c>
      <c r="AE7056" t="s">
        <v>103</v>
      </c>
      <c r="AG7056" t="s">
        <v>81</v>
      </c>
    </row>
    <row r="7057" spans="1:33" x14ac:dyDescent="0.25">
      <c r="A7057" t="str">
        <f>"1437563285"</f>
        <v>1437563285</v>
      </c>
      <c r="C7057" t="s">
        <v>13436</v>
      </c>
      <c r="G7057" t="s">
        <v>32109</v>
      </c>
      <c r="K7057" t="s">
        <v>99</v>
      </c>
      <c r="L7057" t="s">
        <v>102</v>
      </c>
      <c r="M7057" t="s">
        <v>75</v>
      </c>
      <c r="R7057" t="s">
        <v>32110</v>
      </c>
      <c r="S7057" t="s">
        <v>6041</v>
      </c>
      <c r="T7057" t="s">
        <v>97</v>
      </c>
      <c r="U7057" t="s">
        <v>77</v>
      </c>
      <c r="V7057" t="str">
        <f>"10029"</f>
        <v>10029</v>
      </c>
      <c r="AC7057" t="s">
        <v>79</v>
      </c>
      <c r="AD7057" t="s">
        <v>75</v>
      </c>
      <c r="AE7057" t="s">
        <v>103</v>
      </c>
      <c r="AG7057" t="s">
        <v>81</v>
      </c>
    </row>
    <row r="7058" spans="1:33" x14ac:dyDescent="0.25">
      <c r="A7058" t="str">
        <f>"1437565652"</f>
        <v>1437565652</v>
      </c>
      <c r="C7058" t="s">
        <v>13436</v>
      </c>
      <c r="K7058" t="s">
        <v>99</v>
      </c>
      <c r="L7058" t="s">
        <v>102</v>
      </c>
      <c r="M7058" t="s">
        <v>75</v>
      </c>
      <c r="R7058" t="s">
        <v>32111</v>
      </c>
      <c r="S7058" t="s">
        <v>32112</v>
      </c>
      <c r="T7058" t="s">
        <v>97</v>
      </c>
      <c r="U7058" t="s">
        <v>77</v>
      </c>
      <c r="V7058" t="str">
        <f>"100191047"</f>
        <v>100191047</v>
      </c>
      <c r="AC7058" t="s">
        <v>79</v>
      </c>
      <c r="AD7058" t="s">
        <v>75</v>
      </c>
      <c r="AE7058" t="s">
        <v>103</v>
      </c>
      <c r="AG7058" t="s">
        <v>81</v>
      </c>
    </row>
    <row r="7059" spans="1:33" x14ac:dyDescent="0.25">
      <c r="A7059" t="str">
        <f>"1437576378"</f>
        <v>1437576378</v>
      </c>
      <c r="C7059" t="s">
        <v>13436</v>
      </c>
      <c r="K7059" t="s">
        <v>99</v>
      </c>
      <c r="L7059" t="s">
        <v>102</v>
      </c>
      <c r="M7059" t="s">
        <v>75</v>
      </c>
      <c r="R7059" t="s">
        <v>32113</v>
      </c>
      <c r="S7059" t="s">
        <v>16154</v>
      </c>
      <c r="T7059" t="s">
        <v>97</v>
      </c>
      <c r="U7059" t="s">
        <v>77</v>
      </c>
      <c r="V7059" t="str">
        <f>"10003"</f>
        <v>10003</v>
      </c>
      <c r="AC7059" t="s">
        <v>79</v>
      </c>
      <c r="AD7059" t="s">
        <v>75</v>
      </c>
      <c r="AE7059" t="s">
        <v>103</v>
      </c>
      <c r="AG7059" t="s">
        <v>81</v>
      </c>
    </row>
    <row r="7060" spans="1:33" x14ac:dyDescent="0.25">
      <c r="A7060" t="str">
        <f>"1437587300"</f>
        <v>1437587300</v>
      </c>
      <c r="B7060" t="str">
        <f>"04171257"</f>
        <v>04171257</v>
      </c>
      <c r="C7060" t="s">
        <v>13436</v>
      </c>
      <c r="D7060" t="s">
        <v>32114</v>
      </c>
      <c r="E7060" t="s">
        <v>32115</v>
      </c>
      <c r="G7060" t="s">
        <v>32116</v>
      </c>
      <c r="L7060" t="s">
        <v>102</v>
      </c>
      <c r="M7060" t="s">
        <v>75</v>
      </c>
      <c r="R7060" t="s">
        <v>32115</v>
      </c>
      <c r="W7060" t="s">
        <v>32115</v>
      </c>
      <c r="X7060" t="s">
        <v>11195</v>
      </c>
      <c r="Y7060" t="s">
        <v>97</v>
      </c>
      <c r="Z7060" t="s">
        <v>77</v>
      </c>
      <c r="AA7060" t="str">
        <f>"10029-6030"</f>
        <v>10029-6030</v>
      </c>
      <c r="AB7060" t="s">
        <v>78</v>
      </c>
      <c r="AC7060" t="s">
        <v>79</v>
      </c>
      <c r="AD7060" t="s">
        <v>75</v>
      </c>
      <c r="AE7060" t="s">
        <v>80</v>
      </c>
      <c r="AG7060" t="s">
        <v>81</v>
      </c>
    </row>
    <row r="7061" spans="1:33" x14ac:dyDescent="0.25">
      <c r="A7061" t="str">
        <f>"1669615928"</f>
        <v>1669615928</v>
      </c>
      <c r="B7061" t="str">
        <f>"03191802"</f>
        <v>03191802</v>
      </c>
      <c r="C7061" t="s">
        <v>13436</v>
      </c>
      <c r="D7061" t="s">
        <v>32117</v>
      </c>
      <c r="E7061" t="s">
        <v>32118</v>
      </c>
      <c r="G7061" t="s">
        <v>32119</v>
      </c>
      <c r="L7061" t="s">
        <v>83</v>
      </c>
      <c r="M7061" t="s">
        <v>85</v>
      </c>
      <c r="R7061" t="s">
        <v>32120</v>
      </c>
      <c r="W7061" t="s">
        <v>32120</v>
      </c>
      <c r="X7061" t="s">
        <v>29625</v>
      </c>
      <c r="Y7061" t="s">
        <v>1752</v>
      </c>
      <c r="Z7061" t="s">
        <v>156</v>
      </c>
      <c r="AA7061" t="str">
        <f>"07039-5672"</f>
        <v>07039-5672</v>
      </c>
      <c r="AB7061" t="s">
        <v>78</v>
      </c>
      <c r="AC7061" t="s">
        <v>79</v>
      </c>
      <c r="AD7061" t="s">
        <v>75</v>
      </c>
      <c r="AE7061" t="s">
        <v>80</v>
      </c>
      <c r="AG7061" t="s">
        <v>81</v>
      </c>
    </row>
    <row r="7062" spans="1:33" x14ac:dyDescent="0.25">
      <c r="A7062" t="str">
        <f>"1679570246"</f>
        <v>1679570246</v>
      </c>
      <c r="B7062" t="str">
        <f>"01818157"</f>
        <v>01818157</v>
      </c>
      <c r="C7062" t="s">
        <v>13436</v>
      </c>
      <c r="D7062" t="s">
        <v>885</v>
      </c>
      <c r="E7062" t="s">
        <v>886</v>
      </c>
      <c r="G7062" t="s">
        <v>32121</v>
      </c>
      <c r="L7062" t="s">
        <v>84</v>
      </c>
      <c r="M7062" t="s">
        <v>85</v>
      </c>
      <c r="R7062" t="s">
        <v>887</v>
      </c>
      <c r="W7062" t="s">
        <v>886</v>
      </c>
      <c r="X7062" t="s">
        <v>513</v>
      </c>
      <c r="Y7062" t="s">
        <v>97</v>
      </c>
      <c r="Z7062" t="s">
        <v>77</v>
      </c>
      <c r="AA7062" t="str">
        <f>"10013-4408"</f>
        <v>10013-4408</v>
      </c>
      <c r="AB7062" t="s">
        <v>78</v>
      </c>
      <c r="AC7062" t="s">
        <v>79</v>
      </c>
      <c r="AD7062" t="s">
        <v>75</v>
      </c>
      <c r="AE7062" t="s">
        <v>80</v>
      </c>
      <c r="AG7062" t="s">
        <v>81</v>
      </c>
    </row>
    <row r="7063" spans="1:33" x14ac:dyDescent="0.25">
      <c r="A7063" t="str">
        <f>"1396164992"</f>
        <v>1396164992</v>
      </c>
      <c r="C7063" t="s">
        <v>13436</v>
      </c>
      <c r="K7063" t="s">
        <v>99</v>
      </c>
      <c r="L7063" t="s">
        <v>102</v>
      </c>
      <c r="M7063" t="s">
        <v>75</v>
      </c>
      <c r="R7063" t="s">
        <v>32122</v>
      </c>
      <c r="S7063" t="s">
        <v>32123</v>
      </c>
      <c r="T7063" t="s">
        <v>97</v>
      </c>
      <c r="U7063" t="s">
        <v>77</v>
      </c>
      <c r="V7063" t="str">
        <f>"100191147"</f>
        <v>100191147</v>
      </c>
      <c r="AC7063" t="s">
        <v>79</v>
      </c>
      <c r="AD7063" t="s">
        <v>75</v>
      </c>
      <c r="AE7063" t="s">
        <v>103</v>
      </c>
      <c r="AG7063" t="s">
        <v>81</v>
      </c>
    </row>
    <row r="7064" spans="1:33" x14ac:dyDescent="0.25">
      <c r="A7064" t="str">
        <f>"1023354081"</f>
        <v>1023354081</v>
      </c>
      <c r="C7064" t="s">
        <v>13436</v>
      </c>
      <c r="K7064" t="s">
        <v>99</v>
      </c>
      <c r="L7064" t="s">
        <v>102</v>
      </c>
      <c r="M7064" t="s">
        <v>75</v>
      </c>
      <c r="R7064" t="s">
        <v>32124</v>
      </c>
      <c r="S7064" t="s">
        <v>32125</v>
      </c>
      <c r="T7064" t="s">
        <v>97</v>
      </c>
      <c r="U7064" t="s">
        <v>77</v>
      </c>
      <c r="V7064" t="str">
        <f>"100179287"</f>
        <v>100179287</v>
      </c>
      <c r="AC7064" t="s">
        <v>79</v>
      </c>
      <c r="AD7064" t="s">
        <v>75</v>
      </c>
      <c r="AE7064" t="s">
        <v>103</v>
      </c>
      <c r="AG7064" t="s">
        <v>81</v>
      </c>
    </row>
    <row r="7065" spans="1:33" x14ac:dyDescent="0.25">
      <c r="A7065" t="str">
        <f>"1164422531"</f>
        <v>1164422531</v>
      </c>
      <c r="B7065" t="str">
        <f>"02218591"</f>
        <v>02218591</v>
      </c>
      <c r="C7065" t="s">
        <v>13436</v>
      </c>
      <c r="D7065" t="s">
        <v>32126</v>
      </c>
      <c r="E7065" t="s">
        <v>32127</v>
      </c>
      <c r="G7065" t="s">
        <v>32128</v>
      </c>
      <c r="L7065" t="s">
        <v>83</v>
      </c>
      <c r="M7065" t="s">
        <v>85</v>
      </c>
      <c r="R7065" t="s">
        <v>32129</v>
      </c>
      <c r="W7065" t="s">
        <v>32127</v>
      </c>
      <c r="X7065" t="s">
        <v>2926</v>
      </c>
      <c r="Y7065" t="s">
        <v>97</v>
      </c>
      <c r="Z7065" t="s">
        <v>77</v>
      </c>
      <c r="AA7065" t="str">
        <f>"10029-6503"</f>
        <v>10029-6503</v>
      </c>
      <c r="AB7065" t="s">
        <v>78</v>
      </c>
      <c r="AC7065" t="s">
        <v>79</v>
      </c>
      <c r="AD7065" t="s">
        <v>75</v>
      </c>
      <c r="AE7065" t="s">
        <v>80</v>
      </c>
      <c r="AG7065" t="s">
        <v>81</v>
      </c>
    </row>
    <row r="7066" spans="1:33" x14ac:dyDescent="0.25">
      <c r="A7066" t="str">
        <f>"1164423778"</f>
        <v>1164423778</v>
      </c>
      <c r="B7066" t="str">
        <f>"00823001"</f>
        <v>00823001</v>
      </c>
      <c r="C7066" t="s">
        <v>13436</v>
      </c>
      <c r="D7066" t="s">
        <v>32130</v>
      </c>
      <c r="E7066" t="s">
        <v>32131</v>
      </c>
      <c r="G7066" t="s">
        <v>32132</v>
      </c>
      <c r="L7066" t="s">
        <v>84</v>
      </c>
      <c r="M7066" t="s">
        <v>85</v>
      </c>
      <c r="R7066" t="s">
        <v>32133</v>
      </c>
      <c r="W7066" t="s">
        <v>32131</v>
      </c>
      <c r="X7066" t="s">
        <v>32134</v>
      </c>
      <c r="Y7066" t="s">
        <v>139</v>
      </c>
      <c r="Z7066" t="s">
        <v>77</v>
      </c>
      <c r="AA7066" t="str">
        <f>"11366"</f>
        <v>11366</v>
      </c>
      <c r="AB7066" t="s">
        <v>78</v>
      </c>
      <c r="AC7066" t="s">
        <v>79</v>
      </c>
      <c r="AD7066" t="s">
        <v>75</v>
      </c>
      <c r="AE7066" t="s">
        <v>80</v>
      </c>
      <c r="AG7066" t="s">
        <v>81</v>
      </c>
    </row>
    <row r="7067" spans="1:33" x14ac:dyDescent="0.25">
      <c r="A7067" t="str">
        <f>"1164432225"</f>
        <v>1164432225</v>
      </c>
      <c r="B7067" t="str">
        <f>"02089852"</f>
        <v>02089852</v>
      </c>
      <c r="C7067" t="s">
        <v>13436</v>
      </c>
      <c r="D7067" t="s">
        <v>32135</v>
      </c>
      <c r="E7067" t="s">
        <v>32136</v>
      </c>
      <c r="G7067" t="s">
        <v>32137</v>
      </c>
      <c r="L7067" t="s">
        <v>83</v>
      </c>
      <c r="M7067" t="s">
        <v>85</v>
      </c>
      <c r="R7067" t="s">
        <v>32138</v>
      </c>
      <c r="W7067" t="s">
        <v>32136</v>
      </c>
      <c r="X7067" t="s">
        <v>272</v>
      </c>
      <c r="Y7067" t="s">
        <v>97</v>
      </c>
      <c r="Z7067" t="s">
        <v>77</v>
      </c>
      <c r="AA7067" t="str">
        <f>"10029-6501"</f>
        <v>10029-6501</v>
      </c>
      <c r="AB7067" t="s">
        <v>78</v>
      </c>
      <c r="AC7067" t="s">
        <v>79</v>
      </c>
      <c r="AD7067" t="s">
        <v>75</v>
      </c>
      <c r="AE7067" t="s">
        <v>80</v>
      </c>
      <c r="AG7067" t="s">
        <v>81</v>
      </c>
    </row>
    <row r="7068" spans="1:33" x14ac:dyDescent="0.25">
      <c r="A7068" t="str">
        <f>"1164438065"</f>
        <v>1164438065</v>
      </c>
      <c r="B7068" t="str">
        <f>"00830451"</f>
        <v>00830451</v>
      </c>
      <c r="C7068" t="s">
        <v>13436</v>
      </c>
      <c r="D7068" t="s">
        <v>32139</v>
      </c>
      <c r="E7068" t="s">
        <v>32140</v>
      </c>
      <c r="G7068" t="s">
        <v>32141</v>
      </c>
      <c r="L7068" t="s">
        <v>83</v>
      </c>
      <c r="M7068" t="s">
        <v>85</v>
      </c>
      <c r="R7068" t="s">
        <v>5913</v>
      </c>
      <c r="W7068" t="s">
        <v>32140</v>
      </c>
      <c r="X7068" t="s">
        <v>11945</v>
      </c>
      <c r="Y7068" t="s">
        <v>2128</v>
      </c>
      <c r="Z7068" t="s">
        <v>77</v>
      </c>
      <c r="AA7068" t="str">
        <f>"11743-2779"</f>
        <v>11743-2779</v>
      </c>
      <c r="AB7068" t="s">
        <v>78</v>
      </c>
      <c r="AC7068" t="s">
        <v>79</v>
      </c>
      <c r="AD7068" t="s">
        <v>75</v>
      </c>
      <c r="AE7068" t="s">
        <v>80</v>
      </c>
      <c r="AG7068" t="s">
        <v>81</v>
      </c>
    </row>
    <row r="7069" spans="1:33" x14ac:dyDescent="0.25">
      <c r="A7069" t="str">
        <f>"1164493433"</f>
        <v>1164493433</v>
      </c>
      <c r="B7069" t="str">
        <f>"00156987"</f>
        <v>00156987</v>
      </c>
      <c r="C7069" t="s">
        <v>13436</v>
      </c>
      <c r="D7069" t="s">
        <v>32142</v>
      </c>
      <c r="E7069" t="s">
        <v>32143</v>
      </c>
      <c r="G7069" t="s">
        <v>32144</v>
      </c>
      <c r="L7069" t="s">
        <v>74</v>
      </c>
      <c r="M7069" t="s">
        <v>85</v>
      </c>
      <c r="R7069" t="s">
        <v>32145</v>
      </c>
      <c r="W7069" t="s">
        <v>32143</v>
      </c>
      <c r="X7069" t="s">
        <v>14692</v>
      </c>
      <c r="Y7069" t="s">
        <v>97</v>
      </c>
      <c r="Z7069" t="s">
        <v>77</v>
      </c>
      <c r="AA7069" t="str">
        <f>"10024-3666"</f>
        <v>10024-3666</v>
      </c>
      <c r="AB7069" t="s">
        <v>78</v>
      </c>
      <c r="AC7069" t="s">
        <v>79</v>
      </c>
      <c r="AD7069" t="s">
        <v>75</v>
      </c>
      <c r="AE7069" t="s">
        <v>80</v>
      </c>
      <c r="AG7069" t="s">
        <v>81</v>
      </c>
    </row>
    <row r="7070" spans="1:33" x14ac:dyDescent="0.25">
      <c r="A7070" t="str">
        <f>"1164493771"</f>
        <v>1164493771</v>
      </c>
      <c r="B7070" t="str">
        <f>"02054557"</f>
        <v>02054557</v>
      </c>
      <c r="C7070" t="s">
        <v>13436</v>
      </c>
      <c r="D7070" t="s">
        <v>32146</v>
      </c>
      <c r="E7070" t="s">
        <v>32147</v>
      </c>
      <c r="G7070" t="s">
        <v>32148</v>
      </c>
      <c r="L7070" t="s">
        <v>74</v>
      </c>
      <c r="M7070" t="s">
        <v>75</v>
      </c>
      <c r="R7070" t="s">
        <v>32149</v>
      </c>
      <c r="W7070" t="s">
        <v>32147</v>
      </c>
      <c r="X7070" t="s">
        <v>32150</v>
      </c>
      <c r="Y7070" t="s">
        <v>97</v>
      </c>
      <c r="Z7070" t="s">
        <v>77</v>
      </c>
      <c r="AA7070" t="str">
        <f>"10003-3314"</f>
        <v>10003-3314</v>
      </c>
      <c r="AB7070" t="s">
        <v>78</v>
      </c>
      <c r="AC7070" t="s">
        <v>79</v>
      </c>
      <c r="AD7070" t="s">
        <v>75</v>
      </c>
      <c r="AE7070" t="s">
        <v>80</v>
      </c>
      <c r="AG7070" t="s">
        <v>81</v>
      </c>
    </row>
    <row r="7071" spans="1:33" x14ac:dyDescent="0.25">
      <c r="A7071" t="str">
        <f>"1164498978"</f>
        <v>1164498978</v>
      </c>
      <c r="B7071" t="str">
        <f>"02730876"</f>
        <v>02730876</v>
      </c>
      <c r="C7071" t="s">
        <v>13436</v>
      </c>
      <c r="D7071" t="s">
        <v>32151</v>
      </c>
      <c r="E7071" t="s">
        <v>32152</v>
      </c>
      <c r="G7071" t="s">
        <v>32153</v>
      </c>
      <c r="L7071" t="s">
        <v>102</v>
      </c>
      <c r="M7071" t="s">
        <v>75</v>
      </c>
      <c r="R7071" t="s">
        <v>32154</v>
      </c>
      <c r="W7071" t="s">
        <v>32155</v>
      </c>
      <c r="X7071" t="s">
        <v>272</v>
      </c>
      <c r="Y7071" t="s">
        <v>97</v>
      </c>
      <c r="Z7071" t="s">
        <v>77</v>
      </c>
      <c r="AA7071" t="str">
        <f>"10029-6501"</f>
        <v>10029-6501</v>
      </c>
      <c r="AB7071" t="s">
        <v>78</v>
      </c>
      <c r="AC7071" t="s">
        <v>79</v>
      </c>
      <c r="AD7071" t="s">
        <v>75</v>
      </c>
      <c r="AE7071" t="s">
        <v>80</v>
      </c>
      <c r="AG7071" t="s">
        <v>81</v>
      </c>
    </row>
    <row r="7072" spans="1:33" x14ac:dyDescent="0.25">
      <c r="A7072" t="str">
        <f>"1164572673"</f>
        <v>1164572673</v>
      </c>
      <c r="B7072" t="str">
        <f>"02578834"</f>
        <v>02578834</v>
      </c>
      <c r="C7072" t="s">
        <v>13436</v>
      </c>
      <c r="D7072" t="s">
        <v>32156</v>
      </c>
      <c r="E7072" t="s">
        <v>32157</v>
      </c>
      <c r="L7072" t="s">
        <v>84</v>
      </c>
      <c r="M7072" t="s">
        <v>75</v>
      </c>
      <c r="R7072" t="s">
        <v>32158</v>
      </c>
      <c r="W7072" t="s">
        <v>32157</v>
      </c>
      <c r="X7072" t="s">
        <v>12595</v>
      </c>
      <c r="Y7072" t="s">
        <v>190</v>
      </c>
      <c r="Z7072" t="s">
        <v>77</v>
      </c>
      <c r="AA7072" t="str">
        <f>"11102-2445"</f>
        <v>11102-2445</v>
      </c>
      <c r="AB7072" t="s">
        <v>78</v>
      </c>
      <c r="AC7072" t="s">
        <v>79</v>
      </c>
      <c r="AD7072" t="s">
        <v>75</v>
      </c>
      <c r="AE7072" t="s">
        <v>80</v>
      </c>
      <c r="AG7072" t="s">
        <v>81</v>
      </c>
    </row>
    <row r="7073" spans="1:33" x14ac:dyDescent="0.25">
      <c r="A7073" t="str">
        <f>"1164599627"</f>
        <v>1164599627</v>
      </c>
      <c r="B7073" t="str">
        <f>"01265498"</f>
        <v>01265498</v>
      </c>
      <c r="C7073" t="s">
        <v>13436</v>
      </c>
      <c r="D7073" t="s">
        <v>32159</v>
      </c>
      <c r="E7073" t="s">
        <v>32160</v>
      </c>
      <c r="G7073" t="s">
        <v>32161</v>
      </c>
      <c r="L7073" t="s">
        <v>83</v>
      </c>
      <c r="M7073" t="s">
        <v>85</v>
      </c>
      <c r="R7073" t="s">
        <v>32162</v>
      </c>
      <c r="W7073" t="s">
        <v>32160</v>
      </c>
      <c r="X7073" t="s">
        <v>272</v>
      </c>
      <c r="Y7073" t="s">
        <v>97</v>
      </c>
      <c r="Z7073" t="s">
        <v>77</v>
      </c>
      <c r="AA7073" t="str">
        <f>"10029-6501"</f>
        <v>10029-6501</v>
      </c>
      <c r="AB7073" t="s">
        <v>78</v>
      </c>
      <c r="AC7073" t="s">
        <v>79</v>
      </c>
      <c r="AD7073" t="s">
        <v>75</v>
      </c>
      <c r="AE7073" t="s">
        <v>80</v>
      </c>
      <c r="AG7073" t="s">
        <v>81</v>
      </c>
    </row>
    <row r="7074" spans="1:33" x14ac:dyDescent="0.25">
      <c r="A7074" t="str">
        <f>"1043286727"</f>
        <v>1043286727</v>
      </c>
      <c r="B7074" t="str">
        <f>"02151917"</f>
        <v>02151917</v>
      </c>
      <c r="C7074" t="s">
        <v>13436</v>
      </c>
      <c r="D7074" t="s">
        <v>32163</v>
      </c>
      <c r="E7074" t="s">
        <v>32164</v>
      </c>
      <c r="G7074" t="s">
        <v>32165</v>
      </c>
      <c r="L7074" t="s">
        <v>74</v>
      </c>
      <c r="M7074" t="s">
        <v>85</v>
      </c>
      <c r="R7074" t="s">
        <v>32166</v>
      </c>
      <c r="W7074" t="s">
        <v>32164</v>
      </c>
      <c r="X7074" t="s">
        <v>14029</v>
      </c>
      <c r="Y7074" t="s">
        <v>97</v>
      </c>
      <c r="Z7074" t="s">
        <v>77</v>
      </c>
      <c r="AA7074" t="str">
        <f>"10029-6501"</f>
        <v>10029-6501</v>
      </c>
      <c r="AB7074" t="s">
        <v>78</v>
      </c>
      <c r="AC7074" t="s">
        <v>79</v>
      </c>
      <c r="AD7074" t="s">
        <v>75</v>
      </c>
      <c r="AE7074" t="s">
        <v>80</v>
      </c>
      <c r="AG7074" t="s">
        <v>81</v>
      </c>
    </row>
    <row r="7075" spans="1:33" x14ac:dyDescent="0.25">
      <c r="A7075" t="str">
        <f>"1043287675"</f>
        <v>1043287675</v>
      </c>
      <c r="B7075" t="str">
        <f>"01641276"</f>
        <v>01641276</v>
      </c>
      <c r="C7075" t="s">
        <v>13436</v>
      </c>
      <c r="D7075" t="s">
        <v>32167</v>
      </c>
      <c r="E7075" t="s">
        <v>32168</v>
      </c>
      <c r="G7075" t="s">
        <v>32169</v>
      </c>
      <c r="L7075" t="s">
        <v>74</v>
      </c>
      <c r="M7075" t="s">
        <v>85</v>
      </c>
      <c r="R7075" t="s">
        <v>32170</v>
      </c>
      <c r="W7075" t="s">
        <v>32168</v>
      </c>
      <c r="X7075" t="s">
        <v>2926</v>
      </c>
      <c r="Y7075" t="s">
        <v>97</v>
      </c>
      <c r="Z7075" t="s">
        <v>77</v>
      </c>
      <c r="AA7075" t="str">
        <f>"10029-6503"</f>
        <v>10029-6503</v>
      </c>
      <c r="AB7075" t="s">
        <v>78</v>
      </c>
      <c r="AC7075" t="s">
        <v>79</v>
      </c>
      <c r="AD7075" t="s">
        <v>75</v>
      </c>
      <c r="AE7075" t="s">
        <v>80</v>
      </c>
      <c r="AG7075" t="s">
        <v>81</v>
      </c>
    </row>
    <row r="7076" spans="1:33" x14ac:dyDescent="0.25">
      <c r="A7076" t="str">
        <f>"1043314784"</f>
        <v>1043314784</v>
      </c>
      <c r="B7076" t="str">
        <f>"02338407"</f>
        <v>02338407</v>
      </c>
      <c r="C7076" t="s">
        <v>13436</v>
      </c>
      <c r="D7076" t="s">
        <v>32171</v>
      </c>
      <c r="E7076" t="s">
        <v>32172</v>
      </c>
      <c r="G7076" t="s">
        <v>32173</v>
      </c>
      <c r="L7076" t="s">
        <v>83</v>
      </c>
      <c r="M7076" t="s">
        <v>85</v>
      </c>
      <c r="R7076" t="s">
        <v>32174</v>
      </c>
      <c r="W7076" t="s">
        <v>32172</v>
      </c>
      <c r="X7076" t="s">
        <v>32175</v>
      </c>
      <c r="Y7076" t="s">
        <v>97</v>
      </c>
      <c r="Z7076" t="s">
        <v>77</v>
      </c>
      <c r="AA7076" t="str">
        <f>"10016-4910"</f>
        <v>10016-4910</v>
      </c>
      <c r="AB7076" t="s">
        <v>78</v>
      </c>
      <c r="AC7076" t="s">
        <v>79</v>
      </c>
      <c r="AD7076" t="s">
        <v>75</v>
      </c>
      <c r="AE7076" t="s">
        <v>80</v>
      </c>
      <c r="AG7076" t="s">
        <v>81</v>
      </c>
    </row>
    <row r="7077" spans="1:33" x14ac:dyDescent="0.25">
      <c r="A7077" t="str">
        <f>"1023436078"</f>
        <v>1023436078</v>
      </c>
      <c r="C7077" t="s">
        <v>13436</v>
      </c>
      <c r="K7077" t="s">
        <v>99</v>
      </c>
      <c r="L7077" t="s">
        <v>102</v>
      </c>
      <c r="M7077" t="s">
        <v>75</v>
      </c>
      <c r="R7077" t="s">
        <v>32176</v>
      </c>
      <c r="S7077" t="s">
        <v>181</v>
      </c>
      <c r="T7077" t="s">
        <v>97</v>
      </c>
      <c r="U7077" t="s">
        <v>77</v>
      </c>
      <c r="V7077" t="str">
        <f>"100251716"</f>
        <v>100251716</v>
      </c>
      <c r="AC7077" t="s">
        <v>79</v>
      </c>
      <c r="AD7077" t="s">
        <v>75</v>
      </c>
      <c r="AE7077" t="s">
        <v>103</v>
      </c>
      <c r="AG7077" t="s">
        <v>81</v>
      </c>
    </row>
    <row r="7078" spans="1:33" x14ac:dyDescent="0.25">
      <c r="A7078" t="str">
        <f>"1891953246"</f>
        <v>1891953246</v>
      </c>
      <c r="B7078" t="str">
        <f>"03415574"</f>
        <v>03415574</v>
      </c>
      <c r="C7078" t="s">
        <v>13436</v>
      </c>
      <c r="D7078" t="s">
        <v>32177</v>
      </c>
      <c r="E7078" t="s">
        <v>32178</v>
      </c>
      <c r="L7078" t="s">
        <v>83</v>
      </c>
      <c r="M7078" t="s">
        <v>85</v>
      </c>
      <c r="R7078" t="s">
        <v>32179</v>
      </c>
      <c r="W7078" t="s">
        <v>32178</v>
      </c>
      <c r="X7078" t="s">
        <v>329</v>
      </c>
      <c r="Y7078" t="s">
        <v>97</v>
      </c>
      <c r="Z7078" t="s">
        <v>77</v>
      </c>
      <c r="AA7078" t="str">
        <f>"10029-6500"</f>
        <v>10029-6500</v>
      </c>
      <c r="AB7078" t="s">
        <v>78</v>
      </c>
      <c r="AC7078" t="s">
        <v>79</v>
      </c>
      <c r="AD7078" t="s">
        <v>75</v>
      </c>
      <c r="AE7078" t="s">
        <v>80</v>
      </c>
      <c r="AG7078" t="s">
        <v>81</v>
      </c>
    </row>
    <row r="7079" spans="1:33" x14ac:dyDescent="0.25">
      <c r="A7079" t="str">
        <f>"1417984097"</f>
        <v>1417984097</v>
      </c>
      <c r="B7079" t="str">
        <f>"02001307"</f>
        <v>02001307</v>
      </c>
      <c r="C7079" t="s">
        <v>13436</v>
      </c>
      <c r="D7079" t="s">
        <v>32180</v>
      </c>
      <c r="E7079" t="s">
        <v>32181</v>
      </c>
      <c r="G7079" t="s">
        <v>32182</v>
      </c>
      <c r="L7079" t="s">
        <v>83</v>
      </c>
      <c r="M7079" t="s">
        <v>85</v>
      </c>
      <c r="R7079" t="s">
        <v>32183</v>
      </c>
      <c r="W7079" t="s">
        <v>32181</v>
      </c>
      <c r="X7079" t="s">
        <v>197</v>
      </c>
      <c r="Y7079" t="s">
        <v>180</v>
      </c>
      <c r="Z7079" t="s">
        <v>77</v>
      </c>
      <c r="AA7079" t="str">
        <f>"10701-4006"</f>
        <v>10701-4006</v>
      </c>
      <c r="AB7079" t="s">
        <v>78</v>
      </c>
      <c r="AC7079" t="s">
        <v>79</v>
      </c>
      <c r="AD7079" t="s">
        <v>75</v>
      </c>
      <c r="AE7079" t="s">
        <v>80</v>
      </c>
      <c r="AG7079" t="s">
        <v>81</v>
      </c>
    </row>
    <row r="7080" spans="1:33" x14ac:dyDescent="0.25">
      <c r="A7080" t="str">
        <f>"1417988106"</f>
        <v>1417988106</v>
      </c>
      <c r="B7080" t="str">
        <f>"00756574"</f>
        <v>00756574</v>
      </c>
      <c r="C7080" t="s">
        <v>13436</v>
      </c>
      <c r="D7080" t="s">
        <v>32184</v>
      </c>
      <c r="E7080" t="s">
        <v>32185</v>
      </c>
      <c r="G7080" t="s">
        <v>32186</v>
      </c>
      <c r="L7080" t="s">
        <v>83</v>
      </c>
      <c r="M7080" t="s">
        <v>85</v>
      </c>
      <c r="R7080" t="s">
        <v>32187</v>
      </c>
      <c r="W7080" t="s">
        <v>32185</v>
      </c>
      <c r="X7080" t="s">
        <v>3553</v>
      </c>
      <c r="Y7080" t="s">
        <v>97</v>
      </c>
      <c r="Z7080" t="s">
        <v>77</v>
      </c>
      <c r="AA7080" t="str">
        <f>"10003-3851"</f>
        <v>10003-3851</v>
      </c>
      <c r="AB7080" t="s">
        <v>78</v>
      </c>
      <c r="AC7080" t="s">
        <v>79</v>
      </c>
      <c r="AD7080" t="s">
        <v>75</v>
      </c>
      <c r="AE7080" t="s">
        <v>80</v>
      </c>
      <c r="AG7080" t="s">
        <v>81</v>
      </c>
    </row>
    <row r="7081" spans="1:33" x14ac:dyDescent="0.25">
      <c r="A7081" t="str">
        <f>"1003909748"</f>
        <v>1003909748</v>
      </c>
      <c r="B7081" t="str">
        <f>"02298135"</f>
        <v>02298135</v>
      </c>
      <c r="C7081" t="s">
        <v>13436</v>
      </c>
      <c r="D7081" t="s">
        <v>32188</v>
      </c>
      <c r="E7081" t="s">
        <v>32189</v>
      </c>
      <c r="G7081" t="s">
        <v>32190</v>
      </c>
      <c r="L7081" t="s">
        <v>74</v>
      </c>
      <c r="M7081" t="s">
        <v>75</v>
      </c>
      <c r="R7081" t="s">
        <v>32191</v>
      </c>
      <c r="W7081" t="s">
        <v>32189</v>
      </c>
      <c r="X7081" t="s">
        <v>32192</v>
      </c>
      <c r="Y7081" t="s">
        <v>97</v>
      </c>
      <c r="Z7081" t="s">
        <v>77</v>
      </c>
      <c r="AA7081" t="str">
        <f>"10029-6503"</f>
        <v>10029-6503</v>
      </c>
      <c r="AB7081" t="s">
        <v>114</v>
      </c>
      <c r="AC7081" t="s">
        <v>79</v>
      </c>
      <c r="AD7081" t="s">
        <v>75</v>
      </c>
      <c r="AE7081" t="s">
        <v>80</v>
      </c>
      <c r="AG7081" t="s">
        <v>81</v>
      </c>
    </row>
    <row r="7082" spans="1:33" x14ac:dyDescent="0.25">
      <c r="A7082" t="str">
        <f>"1003960378"</f>
        <v>1003960378</v>
      </c>
      <c r="B7082" t="str">
        <f>"03302729"</f>
        <v>03302729</v>
      </c>
      <c r="C7082" t="s">
        <v>13436</v>
      </c>
      <c r="D7082" t="s">
        <v>32193</v>
      </c>
      <c r="E7082" t="s">
        <v>32194</v>
      </c>
      <c r="G7082" t="s">
        <v>32195</v>
      </c>
      <c r="L7082" t="s">
        <v>74</v>
      </c>
      <c r="M7082" t="s">
        <v>75</v>
      </c>
      <c r="R7082" t="s">
        <v>32196</v>
      </c>
      <c r="W7082" t="s">
        <v>32197</v>
      </c>
      <c r="X7082" t="s">
        <v>329</v>
      </c>
      <c r="Y7082" t="s">
        <v>97</v>
      </c>
      <c r="Z7082" t="s">
        <v>77</v>
      </c>
      <c r="AA7082" t="str">
        <f>"10029-6500"</f>
        <v>10029-6500</v>
      </c>
      <c r="AB7082" t="s">
        <v>78</v>
      </c>
      <c r="AC7082" t="s">
        <v>79</v>
      </c>
      <c r="AD7082" t="s">
        <v>75</v>
      </c>
      <c r="AE7082" t="s">
        <v>80</v>
      </c>
      <c r="AG7082" t="s">
        <v>81</v>
      </c>
    </row>
    <row r="7083" spans="1:33" x14ac:dyDescent="0.25">
      <c r="A7083" t="str">
        <f>"1003980418"</f>
        <v>1003980418</v>
      </c>
      <c r="B7083" t="str">
        <f>"01651225"</f>
        <v>01651225</v>
      </c>
      <c r="C7083" t="s">
        <v>13436</v>
      </c>
      <c r="D7083" t="s">
        <v>32198</v>
      </c>
      <c r="E7083" t="s">
        <v>32199</v>
      </c>
      <c r="G7083" t="s">
        <v>32200</v>
      </c>
      <c r="L7083" t="s">
        <v>105</v>
      </c>
      <c r="M7083" t="s">
        <v>75</v>
      </c>
      <c r="R7083" t="s">
        <v>32201</v>
      </c>
      <c r="W7083" t="s">
        <v>32199</v>
      </c>
      <c r="X7083" t="s">
        <v>32202</v>
      </c>
      <c r="Y7083" t="s">
        <v>2068</v>
      </c>
      <c r="Z7083" t="s">
        <v>77</v>
      </c>
      <c r="AA7083" t="str">
        <f>"11725-5415"</f>
        <v>11725-5415</v>
      </c>
      <c r="AB7083" t="s">
        <v>78</v>
      </c>
      <c r="AC7083" t="s">
        <v>79</v>
      </c>
      <c r="AD7083" t="s">
        <v>75</v>
      </c>
      <c r="AE7083" t="s">
        <v>80</v>
      </c>
      <c r="AG7083" t="s">
        <v>81</v>
      </c>
    </row>
    <row r="7084" spans="1:33" x14ac:dyDescent="0.25">
      <c r="A7084" t="str">
        <f>"1013231703"</f>
        <v>1013231703</v>
      </c>
      <c r="B7084" t="str">
        <f>"03762434"</f>
        <v>03762434</v>
      </c>
      <c r="C7084" t="s">
        <v>13436</v>
      </c>
      <c r="D7084" t="s">
        <v>32203</v>
      </c>
      <c r="E7084" t="s">
        <v>32204</v>
      </c>
      <c r="G7084" t="s">
        <v>32205</v>
      </c>
      <c r="L7084" t="s">
        <v>74</v>
      </c>
      <c r="M7084" t="s">
        <v>75</v>
      </c>
      <c r="R7084" t="s">
        <v>32204</v>
      </c>
      <c r="W7084" t="s">
        <v>32204</v>
      </c>
      <c r="X7084" t="s">
        <v>4029</v>
      </c>
      <c r="Y7084" t="s">
        <v>97</v>
      </c>
      <c r="Z7084" t="s">
        <v>77</v>
      </c>
      <c r="AA7084" t="str">
        <f>"10029-6503"</f>
        <v>10029-6503</v>
      </c>
      <c r="AB7084" t="s">
        <v>78</v>
      </c>
      <c r="AC7084" t="s">
        <v>79</v>
      </c>
      <c r="AD7084" t="s">
        <v>75</v>
      </c>
      <c r="AE7084" t="s">
        <v>80</v>
      </c>
      <c r="AG7084" t="s">
        <v>81</v>
      </c>
    </row>
    <row r="7085" spans="1:33" x14ac:dyDescent="0.25">
      <c r="A7085" t="str">
        <f>"1013245661"</f>
        <v>1013245661</v>
      </c>
      <c r="B7085" t="str">
        <f>"03730669"</f>
        <v>03730669</v>
      </c>
      <c r="C7085" t="s">
        <v>13436</v>
      </c>
      <c r="D7085" t="s">
        <v>32206</v>
      </c>
      <c r="E7085" t="s">
        <v>32207</v>
      </c>
      <c r="G7085" t="s">
        <v>32208</v>
      </c>
      <c r="L7085" t="s">
        <v>102</v>
      </c>
      <c r="M7085" t="s">
        <v>75</v>
      </c>
      <c r="R7085" t="s">
        <v>32209</v>
      </c>
      <c r="W7085" t="s">
        <v>32207</v>
      </c>
      <c r="X7085" t="s">
        <v>329</v>
      </c>
      <c r="Y7085" t="s">
        <v>97</v>
      </c>
      <c r="Z7085" t="s">
        <v>77</v>
      </c>
      <c r="AA7085" t="str">
        <f>"10029-6504"</f>
        <v>10029-6504</v>
      </c>
      <c r="AB7085" t="s">
        <v>78</v>
      </c>
      <c r="AC7085" t="s">
        <v>79</v>
      </c>
      <c r="AD7085" t="s">
        <v>75</v>
      </c>
      <c r="AE7085" t="s">
        <v>80</v>
      </c>
      <c r="AG7085" t="s">
        <v>81</v>
      </c>
    </row>
    <row r="7086" spans="1:33" x14ac:dyDescent="0.25">
      <c r="A7086" t="str">
        <f>"1013257955"</f>
        <v>1013257955</v>
      </c>
      <c r="C7086" t="s">
        <v>13436</v>
      </c>
      <c r="G7086" t="s">
        <v>32210</v>
      </c>
      <c r="K7086" t="s">
        <v>99</v>
      </c>
      <c r="L7086" t="s">
        <v>102</v>
      </c>
      <c r="M7086" t="s">
        <v>75</v>
      </c>
      <c r="R7086" t="s">
        <v>32211</v>
      </c>
      <c r="S7086" t="s">
        <v>32212</v>
      </c>
      <c r="T7086" t="s">
        <v>97</v>
      </c>
      <c r="U7086" t="s">
        <v>77</v>
      </c>
      <c r="V7086" t="str">
        <f>"100296574"</f>
        <v>100296574</v>
      </c>
      <c r="AC7086" t="s">
        <v>79</v>
      </c>
      <c r="AD7086" t="s">
        <v>75</v>
      </c>
      <c r="AE7086" t="s">
        <v>103</v>
      </c>
      <c r="AG7086" t="s">
        <v>81</v>
      </c>
    </row>
    <row r="7087" spans="1:33" x14ac:dyDescent="0.25">
      <c r="A7087" t="str">
        <f>"1013324730"</f>
        <v>1013324730</v>
      </c>
      <c r="C7087" t="s">
        <v>13436</v>
      </c>
      <c r="G7087" t="s">
        <v>32213</v>
      </c>
      <c r="K7087" t="s">
        <v>99</v>
      </c>
      <c r="L7087" t="s">
        <v>102</v>
      </c>
      <c r="M7087" t="s">
        <v>75</v>
      </c>
      <c r="R7087" t="s">
        <v>32214</v>
      </c>
      <c r="S7087" t="s">
        <v>12769</v>
      </c>
      <c r="T7087" t="s">
        <v>4861</v>
      </c>
      <c r="U7087" t="s">
        <v>156</v>
      </c>
      <c r="V7087" t="str">
        <f>"076311808"</f>
        <v>076311808</v>
      </c>
      <c r="AC7087" t="s">
        <v>79</v>
      </c>
      <c r="AD7087" t="s">
        <v>75</v>
      </c>
      <c r="AE7087" t="s">
        <v>103</v>
      </c>
      <c r="AG7087" t="s">
        <v>81</v>
      </c>
    </row>
    <row r="7088" spans="1:33" x14ac:dyDescent="0.25">
      <c r="A7088" t="str">
        <f>"1013327303"</f>
        <v>1013327303</v>
      </c>
      <c r="C7088" t="s">
        <v>13436</v>
      </c>
      <c r="G7088" t="s">
        <v>32215</v>
      </c>
      <c r="K7088" t="s">
        <v>99</v>
      </c>
      <c r="L7088" t="s">
        <v>102</v>
      </c>
      <c r="M7088" t="s">
        <v>75</v>
      </c>
      <c r="R7088" t="s">
        <v>32216</v>
      </c>
      <c r="S7088" t="s">
        <v>12418</v>
      </c>
      <c r="T7088" t="s">
        <v>131</v>
      </c>
      <c r="U7088" t="s">
        <v>77</v>
      </c>
      <c r="V7088" t="str">
        <f>"104683904"</f>
        <v>104683904</v>
      </c>
      <c r="AC7088" t="s">
        <v>79</v>
      </c>
      <c r="AD7088" t="s">
        <v>75</v>
      </c>
      <c r="AE7088" t="s">
        <v>103</v>
      </c>
      <c r="AG7088" t="s">
        <v>81</v>
      </c>
    </row>
    <row r="7089" spans="1:33" x14ac:dyDescent="0.25">
      <c r="A7089" t="str">
        <f>"1689796575"</f>
        <v>1689796575</v>
      </c>
      <c r="B7089" t="str">
        <f>"00293114"</f>
        <v>00293114</v>
      </c>
      <c r="C7089" t="s">
        <v>13436</v>
      </c>
      <c r="D7089" t="s">
        <v>32217</v>
      </c>
      <c r="E7089" t="s">
        <v>32218</v>
      </c>
      <c r="G7089" t="s">
        <v>32219</v>
      </c>
      <c r="L7089" t="s">
        <v>83</v>
      </c>
      <c r="M7089" t="s">
        <v>85</v>
      </c>
      <c r="R7089" t="s">
        <v>32220</v>
      </c>
      <c r="W7089" t="s">
        <v>32218</v>
      </c>
      <c r="X7089" t="s">
        <v>258</v>
      </c>
      <c r="Y7089" t="s">
        <v>131</v>
      </c>
      <c r="Z7089" t="s">
        <v>77</v>
      </c>
      <c r="AA7089" t="str">
        <f>"10467-2401"</f>
        <v>10467-2401</v>
      </c>
      <c r="AB7089" t="s">
        <v>82</v>
      </c>
      <c r="AC7089" t="s">
        <v>79</v>
      </c>
      <c r="AD7089" t="s">
        <v>75</v>
      </c>
      <c r="AE7089" t="s">
        <v>80</v>
      </c>
      <c r="AG7089" t="s">
        <v>81</v>
      </c>
    </row>
    <row r="7090" spans="1:33" x14ac:dyDescent="0.25">
      <c r="A7090" t="str">
        <f>"1699754804"</f>
        <v>1699754804</v>
      </c>
      <c r="B7090" t="str">
        <f>"00416160"</f>
        <v>00416160</v>
      </c>
      <c r="C7090" t="s">
        <v>13436</v>
      </c>
      <c r="D7090" t="s">
        <v>32221</v>
      </c>
      <c r="E7090" t="s">
        <v>32222</v>
      </c>
      <c r="G7090" t="s">
        <v>32223</v>
      </c>
      <c r="L7090" t="s">
        <v>74</v>
      </c>
      <c r="M7090" t="s">
        <v>85</v>
      </c>
      <c r="R7090" t="s">
        <v>32224</v>
      </c>
      <c r="W7090" t="s">
        <v>32225</v>
      </c>
      <c r="X7090" t="s">
        <v>32226</v>
      </c>
      <c r="Y7090" t="s">
        <v>97</v>
      </c>
      <c r="Z7090" t="s">
        <v>77</v>
      </c>
      <c r="AA7090" t="str">
        <f>"10025-1813"</f>
        <v>10025-1813</v>
      </c>
      <c r="AB7090" t="s">
        <v>78</v>
      </c>
      <c r="AC7090" t="s">
        <v>79</v>
      </c>
      <c r="AD7090" t="s">
        <v>75</v>
      </c>
      <c r="AE7090" t="s">
        <v>80</v>
      </c>
      <c r="AG7090" t="s">
        <v>81</v>
      </c>
    </row>
    <row r="7091" spans="1:33" x14ac:dyDescent="0.25">
      <c r="A7091" t="str">
        <f>"1699817080"</f>
        <v>1699817080</v>
      </c>
      <c r="B7091" t="str">
        <f>"02377255"</f>
        <v>02377255</v>
      </c>
      <c r="C7091" t="s">
        <v>13436</v>
      </c>
      <c r="D7091" t="s">
        <v>32227</v>
      </c>
      <c r="E7091" t="s">
        <v>32228</v>
      </c>
      <c r="G7091" t="s">
        <v>32229</v>
      </c>
      <c r="L7091" t="s">
        <v>105</v>
      </c>
      <c r="M7091" t="s">
        <v>85</v>
      </c>
      <c r="R7091" t="s">
        <v>32230</v>
      </c>
      <c r="W7091" t="s">
        <v>32228</v>
      </c>
      <c r="X7091" t="s">
        <v>14871</v>
      </c>
      <c r="Y7091" t="s">
        <v>97</v>
      </c>
      <c r="Z7091" t="s">
        <v>77</v>
      </c>
      <c r="AA7091" t="str">
        <f>"10003"</f>
        <v>10003</v>
      </c>
      <c r="AB7091" t="s">
        <v>78</v>
      </c>
      <c r="AC7091" t="s">
        <v>79</v>
      </c>
      <c r="AD7091" t="s">
        <v>75</v>
      </c>
      <c r="AE7091" t="s">
        <v>80</v>
      </c>
      <c r="AG7091" t="s">
        <v>81</v>
      </c>
    </row>
    <row r="7092" spans="1:33" x14ac:dyDescent="0.25">
      <c r="A7092" t="str">
        <f>"1679522486"</f>
        <v>1679522486</v>
      </c>
      <c r="B7092" t="str">
        <f>"01825254"</f>
        <v>01825254</v>
      </c>
      <c r="C7092" t="s">
        <v>13436</v>
      </c>
      <c r="D7092" t="s">
        <v>32231</v>
      </c>
      <c r="E7092" t="s">
        <v>32232</v>
      </c>
      <c r="G7092" t="s">
        <v>32233</v>
      </c>
      <c r="L7092" t="s">
        <v>83</v>
      </c>
      <c r="M7092" t="s">
        <v>75</v>
      </c>
      <c r="R7092" t="s">
        <v>32234</v>
      </c>
      <c r="W7092" t="s">
        <v>32232</v>
      </c>
      <c r="X7092" t="s">
        <v>200</v>
      </c>
      <c r="Y7092" t="s">
        <v>97</v>
      </c>
      <c r="Z7092" t="s">
        <v>77</v>
      </c>
      <c r="AA7092" t="str">
        <f>"10032-3720"</f>
        <v>10032-3720</v>
      </c>
      <c r="AB7092" t="s">
        <v>78</v>
      </c>
      <c r="AC7092" t="s">
        <v>79</v>
      </c>
      <c r="AD7092" t="s">
        <v>75</v>
      </c>
      <c r="AE7092" t="s">
        <v>80</v>
      </c>
      <c r="AG7092" t="s">
        <v>81</v>
      </c>
    </row>
    <row r="7093" spans="1:33" x14ac:dyDescent="0.25">
      <c r="A7093" t="str">
        <f>"1679540033"</f>
        <v>1679540033</v>
      </c>
      <c r="B7093" t="str">
        <f>"02289072"</f>
        <v>02289072</v>
      </c>
      <c r="C7093" t="s">
        <v>13436</v>
      </c>
      <c r="D7093" t="s">
        <v>32235</v>
      </c>
      <c r="E7093" t="s">
        <v>32236</v>
      </c>
      <c r="G7093" t="s">
        <v>32237</v>
      </c>
      <c r="L7093" t="s">
        <v>74</v>
      </c>
      <c r="M7093" t="s">
        <v>85</v>
      </c>
      <c r="R7093" t="s">
        <v>32238</v>
      </c>
      <c r="W7093" t="s">
        <v>32236</v>
      </c>
      <c r="X7093" t="s">
        <v>32239</v>
      </c>
      <c r="Y7093" t="s">
        <v>635</v>
      </c>
      <c r="Z7093" t="s">
        <v>77</v>
      </c>
      <c r="AA7093" t="str">
        <f>"10591-5563"</f>
        <v>10591-5563</v>
      </c>
      <c r="AB7093" t="s">
        <v>78</v>
      </c>
      <c r="AC7093" t="s">
        <v>79</v>
      </c>
      <c r="AD7093" t="s">
        <v>75</v>
      </c>
      <c r="AE7093" t="s">
        <v>80</v>
      </c>
      <c r="AG7093" t="s">
        <v>81</v>
      </c>
    </row>
    <row r="7094" spans="1:33" x14ac:dyDescent="0.25">
      <c r="A7094" t="str">
        <f>"1679540173"</f>
        <v>1679540173</v>
      </c>
      <c r="B7094" t="str">
        <f>"01978129"</f>
        <v>01978129</v>
      </c>
      <c r="C7094" t="s">
        <v>13436</v>
      </c>
      <c r="D7094" t="s">
        <v>32240</v>
      </c>
      <c r="E7094" t="s">
        <v>32241</v>
      </c>
      <c r="G7094" t="s">
        <v>32242</v>
      </c>
      <c r="L7094" t="s">
        <v>83</v>
      </c>
      <c r="M7094" t="s">
        <v>85</v>
      </c>
      <c r="R7094" t="s">
        <v>32243</v>
      </c>
      <c r="W7094" t="s">
        <v>32241</v>
      </c>
      <c r="X7094" t="s">
        <v>537</v>
      </c>
      <c r="Y7094" t="s">
        <v>97</v>
      </c>
      <c r="Z7094" t="s">
        <v>77</v>
      </c>
      <c r="AA7094" t="str">
        <f>"10011-8305"</f>
        <v>10011-8305</v>
      </c>
      <c r="AB7094" t="s">
        <v>78</v>
      </c>
      <c r="AC7094" t="s">
        <v>79</v>
      </c>
      <c r="AD7094" t="s">
        <v>75</v>
      </c>
      <c r="AE7094" t="s">
        <v>80</v>
      </c>
      <c r="AG7094" t="s">
        <v>81</v>
      </c>
    </row>
    <row r="7095" spans="1:33" x14ac:dyDescent="0.25">
      <c r="A7095" t="str">
        <f>"1679555445"</f>
        <v>1679555445</v>
      </c>
      <c r="B7095" t="str">
        <f>"01666279"</f>
        <v>01666279</v>
      </c>
      <c r="C7095" t="s">
        <v>13436</v>
      </c>
      <c r="D7095" t="s">
        <v>32244</v>
      </c>
      <c r="E7095" t="s">
        <v>32245</v>
      </c>
      <c r="L7095" t="s">
        <v>105</v>
      </c>
      <c r="M7095" t="s">
        <v>75</v>
      </c>
      <c r="R7095" t="s">
        <v>32245</v>
      </c>
      <c r="W7095" t="s">
        <v>32245</v>
      </c>
      <c r="Y7095" t="s">
        <v>97</v>
      </c>
      <c r="Z7095" t="s">
        <v>77</v>
      </c>
      <c r="AA7095" t="str">
        <f>"10029-6500"</f>
        <v>10029-6500</v>
      </c>
      <c r="AB7095" t="s">
        <v>78</v>
      </c>
      <c r="AC7095" t="s">
        <v>79</v>
      </c>
      <c r="AD7095" t="s">
        <v>75</v>
      </c>
      <c r="AE7095" t="s">
        <v>80</v>
      </c>
      <c r="AG7095" t="s">
        <v>81</v>
      </c>
    </row>
    <row r="7096" spans="1:33" x14ac:dyDescent="0.25">
      <c r="A7096" t="str">
        <f>"1447425855"</f>
        <v>1447425855</v>
      </c>
      <c r="B7096" t="str">
        <f>"03132294"</f>
        <v>03132294</v>
      </c>
      <c r="C7096" t="s">
        <v>13436</v>
      </c>
      <c r="D7096" t="s">
        <v>32246</v>
      </c>
      <c r="E7096" t="s">
        <v>32247</v>
      </c>
      <c r="G7096" t="s">
        <v>32248</v>
      </c>
      <c r="L7096" t="s">
        <v>74</v>
      </c>
      <c r="M7096" t="s">
        <v>85</v>
      </c>
      <c r="R7096" t="s">
        <v>32247</v>
      </c>
      <c r="W7096" t="s">
        <v>32247</v>
      </c>
      <c r="X7096" t="s">
        <v>329</v>
      </c>
      <c r="Y7096" t="s">
        <v>97</v>
      </c>
      <c r="Z7096" t="s">
        <v>77</v>
      </c>
      <c r="AA7096" t="str">
        <f>"10029-6500"</f>
        <v>10029-6500</v>
      </c>
      <c r="AB7096" t="s">
        <v>78</v>
      </c>
      <c r="AC7096" t="s">
        <v>79</v>
      </c>
      <c r="AD7096" t="s">
        <v>75</v>
      </c>
      <c r="AE7096" t="s">
        <v>80</v>
      </c>
      <c r="AG7096" t="s">
        <v>81</v>
      </c>
    </row>
    <row r="7097" spans="1:33" x14ac:dyDescent="0.25">
      <c r="A7097" t="str">
        <f>"1679639363"</f>
        <v>1679639363</v>
      </c>
      <c r="B7097" t="str">
        <f>"03474086"</f>
        <v>03474086</v>
      </c>
      <c r="C7097" t="s">
        <v>13436</v>
      </c>
      <c r="D7097" t="s">
        <v>32249</v>
      </c>
      <c r="E7097" t="s">
        <v>32250</v>
      </c>
      <c r="G7097" t="s">
        <v>32251</v>
      </c>
      <c r="L7097" t="s">
        <v>83</v>
      </c>
      <c r="M7097" t="s">
        <v>85</v>
      </c>
      <c r="R7097" t="s">
        <v>32250</v>
      </c>
      <c r="W7097" t="s">
        <v>32250</v>
      </c>
      <c r="X7097" t="s">
        <v>329</v>
      </c>
      <c r="Y7097" t="s">
        <v>97</v>
      </c>
      <c r="Z7097" t="s">
        <v>77</v>
      </c>
      <c r="AA7097" t="str">
        <f>"10029-6574"</f>
        <v>10029-6574</v>
      </c>
      <c r="AB7097" t="s">
        <v>78</v>
      </c>
      <c r="AC7097" t="s">
        <v>79</v>
      </c>
      <c r="AD7097" t="s">
        <v>75</v>
      </c>
      <c r="AE7097" t="s">
        <v>80</v>
      </c>
      <c r="AG7097" t="s">
        <v>81</v>
      </c>
    </row>
    <row r="7098" spans="1:33" x14ac:dyDescent="0.25">
      <c r="A7098" t="str">
        <f>"1225043029"</f>
        <v>1225043029</v>
      </c>
      <c r="B7098" t="str">
        <f>"02673632"</f>
        <v>02673632</v>
      </c>
      <c r="C7098" t="s">
        <v>13436</v>
      </c>
      <c r="D7098" t="s">
        <v>32252</v>
      </c>
      <c r="E7098" t="s">
        <v>32253</v>
      </c>
      <c r="G7098" t="s">
        <v>32254</v>
      </c>
      <c r="L7098" t="s">
        <v>83</v>
      </c>
      <c r="M7098" t="s">
        <v>85</v>
      </c>
      <c r="R7098" t="s">
        <v>32255</v>
      </c>
      <c r="W7098" t="s">
        <v>32256</v>
      </c>
      <c r="X7098" t="s">
        <v>11945</v>
      </c>
      <c r="Y7098" t="s">
        <v>2128</v>
      </c>
      <c r="Z7098" t="s">
        <v>77</v>
      </c>
      <c r="AA7098" t="str">
        <f>"11743-2779"</f>
        <v>11743-2779</v>
      </c>
      <c r="AB7098" t="s">
        <v>78</v>
      </c>
      <c r="AC7098" t="s">
        <v>79</v>
      </c>
      <c r="AD7098" t="s">
        <v>75</v>
      </c>
      <c r="AE7098" t="s">
        <v>80</v>
      </c>
      <c r="AG7098" t="s">
        <v>81</v>
      </c>
    </row>
    <row r="7099" spans="1:33" x14ac:dyDescent="0.25">
      <c r="A7099" t="str">
        <f>"1225045958"</f>
        <v>1225045958</v>
      </c>
      <c r="B7099" t="str">
        <f>"02760552"</f>
        <v>02760552</v>
      </c>
      <c r="C7099" t="s">
        <v>13436</v>
      </c>
      <c r="D7099" t="s">
        <v>32257</v>
      </c>
      <c r="E7099" t="s">
        <v>32258</v>
      </c>
      <c r="G7099" t="s">
        <v>32259</v>
      </c>
      <c r="L7099" t="s">
        <v>84</v>
      </c>
      <c r="M7099" t="s">
        <v>85</v>
      </c>
      <c r="R7099" t="s">
        <v>32260</v>
      </c>
      <c r="W7099" t="s">
        <v>32258</v>
      </c>
      <c r="X7099" t="s">
        <v>272</v>
      </c>
      <c r="Y7099" t="s">
        <v>97</v>
      </c>
      <c r="Z7099" t="s">
        <v>77</v>
      </c>
      <c r="AA7099" t="str">
        <f>"10029-6501"</f>
        <v>10029-6501</v>
      </c>
      <c r="AB7099" t="s">
        <v>78</v>
      </c>
      <c r="AC7099" t="s">
        <v>79</v>
      </c>
      <c r="AD7099" t="s">
        <v>75</v>
      </c>
      <c r="AE7099" t="s">
        <v>80</v>
      </c>
      <c r="AG7099" t="s">
        <v>81</v>
      </c>
    </row>
    <row r="7100" spans="1:33" x14ac:dyDescent="0.25">
      <c r="A7100" t="str">
        <f>"1225056070"</f>
        <v>1225056070</v>
      </c>
      <c r="B7100" t="str">
        <f>"00746332"</f>
        <v>00746332</v>
      </c>
      <c r="C7100" t="s">
        <v>13436</v>
      </c>
      <c r="D7100" t="s">
        <v>32261</v>
      </c>
      <c r="E7100" t="s">
        <v>32262</v>
      </c>
      <c r="G7100" t="s">
        <v>32263</v>
      </c>
      <c r="L7100" t="s">
        <v>83</v>
      </c>
      <c r="M7100" t="s">
        <v>85</v>
      </c>
      <c r="R7100" t="s">
        <v>32264</v>
      </c>
      <c r="W7100" t="s">
        <v>32262</v>
      </c>
      <c r="X7100" t="s">
        <v>22779</v>
      </c>
      <c r="Y7100" t="s">
        <v>97</v>
      </c>
      <c r="Z7100" t="s">
        <v>77</v>
      </c>
      <c r="AA7100" t="str">
        <f>"10003-1829"</f>
        <v>10003-1829</v>
      </c>
      <c r="AB7100" t="s">
        <v>78</v>
      </c>
      <c r="AC7100" t="s">
        <v>79</v>
      </c>
      <c r="AD7100" t="s">
        <v>75</v>
      </c>
      <c r="AE7100" t="s">
        <v>80</v>
      </c>
      <c r="AG7100" t="s">
        <v>81</v>
      </c>
    </row>
    <row r="7101" spans="1:33" x14ac:dyDescent="0.25">
      <c r="A7101" t="str">
        <f>"1225057342"</f>
        <v>1225057342</v>
      </c>
      <c r="B7101" t="str">
        <f>"01351106"</f>
        <v>01351106</v>
      </c>
      <c r="C7101" t="s">
        <v>13436</v>
      </c>
      <c r="D7101" t="s">
        <v>32265</v>
      </c>
      <c r="E7101" t="s">
        <v>32266</v>
      </c>
      <c r="G7101" t="s">
        <v>32267</v>
      </c>
      <c r="L7101" t="s">
        <v>83</v>
      </c>
      <c r="M7101" t="s">
        <v>85</v>
      </c>
      <c r="R7101" t="s">
        <v>32268</v>
      </c>
      <c r="W7101" t="s">
        <v>32269</v>
      </c>
      <c r="X7101" t="s">
        <v>272</v>
      </c>
      <c r="Y7101" t="s">
        <v>97</v>
      </c>
      <c r="Z7101" t="s">
        <v>77</v>
      </c>
      <c r="AA7101" t="str">
        <f>"10029-6501"</f>
        <v>10029-6501</v>
      </c>
      <c r="AB7101" t="s">
        <v>78</v>
      </c>
      <c r="AC7101" t="s">
        <v>79</v>
      </c>
      <c r="AD7101" t="s">
        <v>75</v>
      </c>
      <c r="AE7101" t="s">
        <v>80</v>
      </c>
      <c r="AG7101" t="s">
        <v>81</v>
      </c>
    </row>
    <row r="7102" spans="1:33" x14ac:dyDescent="0.25">
      <c r="A7102" t="str">
        <f>"1619133741"</f>
        <v>1619133741</v>
      </c>
      <c r="B7102" t="str">
        <f>"03714867"</f>
        <v>03714867</v>
      </c>
      <c r="C7102" t="s">
        <v>13436</v>
      </c>
      <c r="D7102" t="s">
        <v>32270</v>
      </c>
      <c r="E7102" t="s">
        <v>32271</v>
      </c>
      <c r="G7102" t="s">
        <v>32272</v>
      </c>
      <c r="L7102" t="s">
        <v>102</v>
      </c>
      <c r="M7102" t="s">
        <v>75</v>
      </c>
      <c r="R7102" t="s">
        <v>32273</v>
      </c>
      <c r="W7102" t="s">
        <v>32271</v>
      </c>
      <c r="X7102" t="s">
        <v>329</v>
      </c>
      <c r="Y7102" t="s">
        <v>97</v>
      </c>
      <c r="Z7102" t="s">
        <v>77</v>
      </c>
      <c r="AA7102" t="str">
        <f>"10029-6504"</f>
        <v>10029-6504</v>
      </c>
      <c r="AB7102" t="s">
        <v>78</v>
      </c>
      <c r="AC7102" t="s">
        <v>79</v>
      </c>
      <c r="AD7102" t="s">
        <v>75</v>
      </c>
      <c r="AE7102" t="s">
        <v>80</v>
      </c>
      <c r="AG7102" t="s">
        <v>81</v>
      </c>
    </row>
    <row r="7103" spans="1:33" x14ac:dyDescent="0.25">
      <c r="A7103" t="str">
        <f>"1619145067"</f>
        <v>1619145067</v>
      </c>
      <c r="B7103" t="str">
        <f>"03801392"</f>
        <v>03801392</v>
      </c>
      <c r="C7103" t="s">
        <v>13436</v>
      </c>
      <c r="D7103" t="s">
        <v>32274</v>
      </c>
      <c r="E7103" t="s">
        <v>32275</v>
      </c>
      <c r="L7103" t="s">
        <v>74</v>
      </c>
      <c r="M7103" t="s">
        <v>75</v>
      </c>
      <c r="R7103" t="s">
        <v>32276</v>
      </c>
      <c r="W7103" t="s">
        <v>32275</v>
      </c>
      <c r="X7103" t="s">
        <v>235</v>
      </c>
      <c r="Y7103" t="s">
        <v>190</v>
      </c>
      <c r="Z7103" t="s">
        <v>77</v>
      </c>
      <c r="AA7103" t="str">
        <f>"11102-2448"</f>
        <v>11102-2448</v>
      </c>
      <c r="AB7103" t="s">
        <v>78</v>
      </c>
      <c r="AC7103" t="s">
        <v>79</v>
      </c>
      <c r="AD7103" t="s">
        <v>75</v>
      </c>
      <c r="AE7103" t="s">
        <v>80</v>
      </c>
      <c r="AG7103" t="s">
        <v>81</v>
      </c>
    </row>
    <row r="7104" spans="1:33" x14ac:dyDescent="0.25">
      <c r="A7104" t="str">
        <f>"1619175791"</f>
        <v>1619175791</v>
      </c>
      <c r="C7104" t="s">
        <v>13436</v>
      </c>
      <c r="G7104" t="s">
        <v>32277</v>
      </c>
      <c r="K7104" t="s">
        <v>99</v>
      </c>
      <c r="L7104" t="s">
        <v>102</v>
      </c>
      <c r="M7104" t="s">
        <v>75</v>
      </c>
      <c r="R7104" t="s">
        <v>32278</v>
      </c>
      <c r="S7104" t="s">
        <v>32279</v>
      </c>
      <c r="T7104" t="s">
        <v>2668</v>
      </c>
      <c r="U7104" t="s">
        <v>1214</v>
      </c>
      <c r="V7104" t="str">
        <f>"283748731"</f>
        <v>283748731</v>
      </c>
      <c r="AC7104" t="s">
        <v>79</v>
      </c>
      <c r="AD7104" t="s">
        <v>75</v>
      </c>
      <c r="AE7104" t="s">
        <v>103</v>
      </c>
      <c r="AG7104" t="s">
        <v>81</v>
      </c>
    </row>
    <row r="7105" spans="1:33" x14ac:dyDescent="0.25">
      <c r="A7105" t="str">
        <f>"1619178050"</f>
        <v>1619178050</v>
      </c>
      <c r="B7105" t="str">
        <f>"02939384"</f>
        <v>02939384</v>
      </c>
      <c r="C7105" t="s">
        <v>13436</v>
      </c>
      <c r="D7105" t="s">
        <v>32280</v>
      </c>
      <c r="E7105" t="s">
        <v>32281</v>
      </c>
      <c r="L7105" t="s">
        <v>74</v>
      </c>
      <c r="M7105" t="s">
        <v>75</v>
      </c>
      <c r="R7105" t="s">
        <v>32282</v>
      </c>
      <c r="W7105" t="s">
        <v>32283</v>
      </c>
      <c r="X7105" t="s">
        <v>1734</v>
      </c>
      <c r="Y7105" t="s">
        <v>97</v>
      </c>
      <c r="Z7105" t="s">
        <v>77</v>
      </c>
      <c r="AA7105" t="str">
        <f>"10032-3726"</f>
        <v>10032-3726</v>
      </c>
      <c r="AB7105" t="s">
        <v>78</v>
      </c>
      <c r="AC7105" t="s">
        <v>79</v>
      </c>
      <c r="AD7105" t="s">
        <v>75</v>
      </c>
      <c r="AE7105" t="s">
        <v>80</v>
      </c>
      <c r="AG7105" t="s">
        <v>81</v>
      </c>
    </row>
    <row r="7106" spans="1:33" x14ac:dyDescent="0.25">
      <c r="A7106" t="str">
        <f>"1619210846"</f>
        <v>1619210846</v>
      </c>
      <c r="C7106" t="s">
        <v>13436</v>
      </c>
      <c r="K7106" t="s">
        <v>99</v>
      </c>
      <c r="L7106" t="s">
        <v>74</v>
      </c>
      <c r="M7106" t="s">
        <v>75</v>
      </c>
      <c r="R7106" t="s">
        <v>32284</v>
      </c>
      <c r="S7106" t="s">
        <v>32285</v>
      </c>
      <c r="T7106" t="s">
        <v>2262</v>
      </c>
      <c r="U7106" t="s">
        <v>123</v>
      </c>
      <c r="V7106" t="str">
        <f>"021142621"</f>
        <v>021142621</v>
      </c>
      <c r="AC7106" t="s">
        <v>79</v>
      </c>
      <c r="AD7106" t="s">
        <v>75</v>
      </c>
      <c r="AE7106" t="s">
        <v>103</v>
      </c>
      <c r="AG7106" t="s">
        <v>81</v>
      </c>
    </row>
    <row r="7107" spans="1:33" x14ac:dyDescent="0.25">
      <c r="A7107" t="str">
        <f>"1619219771"</f>
        <v>1619219771</v>
      </c>
      <c r="C7107" t="s">
        <v>13436</v>
      </c>
      <c r="K7107" t="s">
        <v>99</v>
      </c>
      <c r="L7107" t="s">
        <v>102</v>
      </c>
      <c r="M7107" t="s">
        <v>75</v>
      </c>
      <c r="R7107" t="s">
        <v>32286</v>
      </c>
      <c r="S7107" t="s">
        <v>32287</v>
      </c>
      <c r="T7107" t="s">
        <v>4582</v>
      </c>
      <c r="U7107" t="s">
        <v>739</v>
      </c>
      <c r="V7107" t="str">
        <f>"432143908"</f>
        <v>432143908</v>
      </c>
      <c r="AC7107" t="s">
        <v>79</v>
      </c>
      <c r="AD7107" t="s">
        <v>75</v>
      </c>
      <c r="AE7107" t="s">
        <v>103</v>
      </c>
      <c r="AG7107" t="s">
        <v>81</v>
      </c>
    </row>
    <row r="7108" spans="1:33" x14ac:dyDescent="0.25">
      <c r="A7108" t="str">
        <f>"1619231073"</f>
        <v>1619231073</v>
      </c>
      <c r="C7108" t="s">
        <v>13436</v>
      </c>
      <c r="G7108" t="s">
        <v>32288</v>
      </c>
      <c r="K7108" t="s">
        <v>99</v>
      </c>
      <c r="L7108" t="s">
        <v>102</v>
      </c>
      <c r="M7108" t="s">
        <v>75</v>
      </c>
      <c r="R7108" t="s">
        <v>32289</v>
      </c>
      <c r="S7108" t="s">
        <v>32290</v>
      </c>
      <c r="T7108" t="s">
        <v>97</v>
      </c>
      <c r="U7108" t="s">
        <v>77</v>
      </c>
      <c r="V7108" t="str">
        <f>"100297054"</f>
        <v>100297054</v>
      </c>
      <c r="AC7108" t="s">
        <v>79</v>
      </c>
      <c r="AD7108" t="s">
        <v>75</v>
      </c>
      <c r="AE7108" t="s">
        <v>103</v>
      </c>
      <c r="AG7108" t="s">
        <v>81</v>
      </c>
    </row>
    <row r="7109" spans="1:33" x14ac:dyDescent="0.25">
      <c r="A7109" t="str">
        <f>"1114933124"</f>
        <v>1114933124</v>
      </c>
      <c r="C7109" t="s">
        <v>13436</v>
      </c>
      <c r="G7109" t="s">
        <v>32291</v>
      </c>
      <c r="K7109" t="s">
        <v>99</v>
      </c>
      <c r="L7109" t="s">
        <v>102</v>
      </c>
      <c r="M7109" t="s">
        <v>75</v>
      </c>
      <c r="R7109" t="s">
        <v>32292</v>
      </c>
      <c r="S7109" t="s">
        <v>32293</v>
      </c>
      <c r="T7109" t="s">
        <v>97</v>
      </c>
      <c r="U7109" t="s">
        <v>77</v>
      </c>
      <c r="V7109" t="str">
        <f>"100017405"</f>
        <v>100017405</v>
      </c>
      <c r="AC7109" t="s">
        <v>79</v>
      </c>
      <c r="AD7109" t="s">
        <v>75</v>
      </c>
      <c r="AE7109" t="s">
        <v>103</v>
      </c>
      <c r="AG7109" t="s">
        <v>81</v>
      </c>
    </row>
    <row r="7110" spans="1:33" x14ac:dyDescent="0.25">
      <c r="A7110" t="str">
        <f>"1487073516"</f>
        <v>1487073516</v>
      </c>
      <c r="C7110" t="s">
        <v>13436</v>
      </c>
      <c r="K7110" t="s">
        <v>99</v>
      </c>
      <c r="L7110" t="s">
        <v>102</v>
      </c>
      <c r="M7110" t="s">
        <v>75</v>
      </c>
      <c r="R7110" t="s">
        <v>32294</v>
      </c>
      <c r="S7110" t="s">
        <v>32295</v>
      </c>
      <c r="T7110" t="s">
        <v>4463</v>
      </c>
      <c r="U7110" t="s">
        <v>77</v>
      </c>
      <c r="V7110" t="str">
        <f>"145349530"</f>
        <v>145349530</v>
      </c>
      <c r="AC7110" t="s">
        <v>79</v>
      </c>
      <c r="AD7110" t="s">
        <v>75</v>
      </c>
      <c r="AE7110" t="s">
        <v>103</v>
      </c>
      <c r="AG7110" t="s">
        <v>81</v>
      </c>
    </row>
    <row r="7111" spans="1:33" x14ac:dyDescent="0.25">
      <c r="A7111" t="str">
        <f>"1487088688"</f>
        <v>1487088688</v>
      </c>
      <c r="C7111" t="s">
        <v>13436</v>
      </c>
      <c r="G7111" t="s">
        <v>32296</v>
      </c>
      <c r="K7111" t="s">
        <v>99</v>
      </c>
      <c r="L7111" t="s">
        <v>102</v>
      </c>
      <c r="M7111" t="s">
        <v>75</v>
      </c>
      <c r="R7111" t="s">
        <v>32297</v>
      </c>
      <c r="S7111" t="s">
        <v>32298</v>
      </c>
      <c r="T7111" t="s">
        <v>97</v>
      </c>
      <c r="U7111" t="s">
        <v>77</v>
      </c>
      <c r="V7111" t="str">
        <f>"100296504"</f>
        <v>100296504</v>
      </c>
      <c r="AC7111" t="s">
        <v>79</v>
      </c>
      <c r="AD7111" t="s">
        <v>75</v>
      </c>
      <c r="AE7111" t="s">
        <v>103</v>
      </c>
      <c r="AG7111" t="s">
        <v>81</v>
      </c>
    </row>
    <row r="7112" spans="1:33" x14ac:dyDescent="0.25">
      <c r="A7112" t="str">
        <f>"1487095444"</f>
        <v>1487095444</v>
      </c>
      <c r="C7112" t="s">
        <v>13436</v>
      </c>
      <c r="K7112" t="s">
        <v>99</v>
      </c>
      <c r="L7112" t="s">
        <v>102</v>
      </c>
      <c r="M7112" t="s">
        <v>75</v>
      </c>
      <c r="R7112" t="s">
        <v>32299</v>
      </c>
      <c r="S7112" t="s">
        <v>32300</v>
      </c>
      <c r="T7112" t="s">
        <v>97</v>
      </c>
      <c r="U7112" t="s">
        <v>77</v>
      </c>
      <c r="V7112" t="str">
        <f>"100296508"</f>
        <v>100296508</v>
      </c>
      <c r="AC7112" t="s">
        <v>79</v>
      </c>
      <c r="AD7112" t="s">
        <v>75</v>
      </c>
      <c r="AE7112" t="s">
        <v>103</v>
      </c>
      <c r="AG7112" t="s">
        <v>81</v>
      </c>
    </row>
    <row r="7113" spans="1:33" x14ac:dyDescent="0.25">
      <c r="A7113" t="str">
        <f>"1437248440"</f>
        <v>1437248440</v>
      </c>
      <c r="B7113" t="str">
        <f>"02850017"</f>
        <v>02850017</v>
      </c>
      <c r="C7113" t="s">
        <v>13436</v>
      </c>
      <c r="D7113" t="s">
        <v>32301</v>
      </c>
      <c r="E7113" t="s">
        <v>32302</v>
      </c>
      <c r="G7113" t="s">
        <v>32303</v>
      </c>
      <c r="L7113" t="s">
        <v>83</v>
      </c>
      <c r="M7113" t="s">
        <v>75</v>
      </c>
      <c r="R7113" t="s">
        <v>32304</v>
      </c>
      <c r="W7113" t="s">
        <v>32302</v>
      </c>
      <c r="X7113" t="s">
        <v>185</v>
      </c>
      <c r="Y7113" t="s">
        <v>97</v>
      </c>
      <c r="Z7113" t="s">
        <v>77</v>
      </c>
      <c r="AA7113" t="str">
        <f>"10035-2709"</f>
        <v>10035-2709</v>
      </c>
      <c r="AB7113" t="s">
        <v>78</v>
      </c>
      <c r="AC7113" t="s">
        <v>79</v>
      </c>
      <c r="AD7113" t="s">
        <v>75</v>
      </c>
      <c r="AE7113" t="s">
        <v>80</v>
      </c>
      <c r="AG7113" t="s">
        <v>81</v>
      </c>
    </row>
    <row r="7114" spans="1:33" x14ac:dyDescent="0.25">
      <c r="A7114" t="str">
        <f>"1578792834"</f>
        <v>1578792834</v>
      </c>
      <c r="B7114" t="str">
        <f>"04326298"</f>
        <v>04326298</v>
      </c>
      <c r="C7114" t="s">
        <v>13436</v>
      </c>
      <c r="D7114" t="s">
        <v>32305</v>
      </c>
      <c r="E7114" t="s">
        <v>32306</v>
      </c>
      <c r="L7114" t="s">
        <v>74</v>
      </c>
      <c r="M7114" t="s">
        <v>75</v>
      </c>
      <c r="R7114" t="s">
        <v>32306</v>
      </c>
      <c r="W7114" t="s">
        <v>32306</v>
      </c>
      <c r="X7114" t="s">
        <v>443</v>
      </c>
      <c r="Y7114" t="s">
        <v>97</v>
      </c>
      <c r="Z7114" t="s">
        <v>77</v>
      </c>
      <c r="AA7114" t="str">
        <f>"10075-1850"</f>
        <v>10075-1850</v>
      </c>
      <c r="AB7114" t="s">
        <v>78</v>
      </c>
      <c r="AC7114" t="s">
        <v>79</v>
      </c>
      <c r="AD7114" t="s">
        <v>75</v>
      </c>
      <c r="AE7114" t="s">
        <v>80</v>
      </c>
      <c r="AG7114" t="s">
        <v>81</v>
      </c>
    </row>
    <row r="7115" spans="1:33" x14ac:dyDescent="0.25">
      <c r="A7115" t="str">
        <f>"1578796215"</f>
        <v>1578796215</v>
      </c>
      <c r="B7115" t="str">
        <f>"04266262"</f>
        <v>04266262</v>
      </c>
      <c r="C7115" t="s">
        <v>13436</v>
      </c>
      <c r="D7115" t="s">
        <v>32307</v>
      </c>
      <c r="E7115" t="s">
        <v>32308</v>
      </c>
      <c r="L7115" t="s">
        <v>74</v>
      </c>
      <c r="M7115" t="s">
        <v>75</v>
      </c>
      <c r="R7115" t="s">
        <v>32308</v>
      </c>
      <c r="W7115" t="s">
        <v>32308</v>
      </c>
      <c r="X7115" t="s">
        <v>4217</v>
      </c>
      <c r="Y7115" t="s">
        <v>87</v>
      </c>
      <c r="Z7115" t="s">
        <v>77</v>
      </c>
      <c r="AA7115" t="str">
        <f>"11237-4513"</f>
        <v>11237-4513</v>
      </c>
      <c r="AB7115" t="s">
        <v>78</v>
      </c>
      <c r="AC7115" t="s">
        <v>79</v>
      </c>
      <c r="AD7115" t="s">
        <v>75</v>
      </c>
      <c r="AE7115" t="s">
        <v>80</v>
      </c>
      <c r="AG7115" t="s">
        <v>81</v>
      </c>
    </row>
    <row r="7116" spans="1:33" x14ac:dyDescent="0.25">
      <c r="A7116" t="str">
        <f>"1578805164"</f>
        <v>1578805164</v>
      </c>
      <c r="C7116" t="s">
        <v>13436</v>
      </c>
      <c r="K7116" t="s">
        <v>99</v>
      </c>
      <c r="L7116" t="s">
        <v>102</v>
      </c>
      <c r="M7116" t="s">
        <v>75</v>
      </c>
      <c r="R7116" t="s">
        <v>32309</v>
      </c>
      <c r="S7116" t="s">
        <v>32310</v>
      </c>
      <c r="T7116" t="s">
        <v>4530</v>
      </c>
      <c r="U7116" t="s">
        <v>123</v>
      </c>
      <c r="V7116" t="str">
        <f>"020382908"</f>
        <v>020382908</v>
      </c>
      <c r="AC7116" t="s">
        <v>79</v>
      </c>
      <c r="AD7116" t="s">
        <v>75</v>
      </c>
      <c r="AE7116" t="s">
        <v>103</v>
      </c>
      <c r="AG7116" t="s">
        <v>81</v>
      </c>
    </row>
    <row r="7117" spans="1:33" x14ac:dyDescent="0.25">
      <c r="A7117" t="str">
        <f>"1578806667"</f>
        <v>1578806667</v>
      </c>
      <c r="C7117" t="s">
        <v>13436</v>
      </c>
      <c r="K7117" t="s">
        <v>99</v>
      </c>
      <c r="L7117" t="s">
        <v>102</v>
      </c>
      <c r="M7117" t="s">
        <v>75</v>
      </c>
      <c r="R7117" t="s">
        <v>32311</v>
      </c>
      <c r="S7117" t="s">
        <v>32312</v>
      </c>
      <c r="T7117" t="s">
        <v>97</v>
      </c>
      <c r="U7117" t="s">
        <v>77</v>
      </c>
      <c r="V7117" t="str">
        <f>"100296504"</f>
        <v>100296504</v>
      </c>
      <c r="AC7117" t="s">
        <v>79</v>
      </c>
      <c r="AD7117" t="s">
        <v>75</v>
      </c>
      <c r="AE7117" t="s">
        <v>103</v>
      </c>
      <c r="AG7117" t="s">
        <v>81</v>
      </c>
    </row>
    <row r="7118" spans="1:33" x14ac:dyDescent="0.25">
      <c r="A7118" t="str">
        <f>"1548605801"</f>
        <v>1548605801</v>
      </c>
      <c r="C7118" t="s">
        <v>13436</v>
      </c>
      <c r="K7118" t="s">
        <v>99</v>
      </c>
      <c r="L7118" t="s">
        <v>102</v>
      </c>
      <c r="M7118" t="s">
        <v>75</v>
      </c>
      <c r="R7118" t="s">
        <v>32313</v>
      </c>
      <c r="S7118" t="s">
        <v>5050</v>
      </c>
      <c r="T7118" t="s">
        <v>97</v>
      </c>
      <c r="U7118" t="s">
        <v>77</v>
      </c>
      <c r="V7118" t="str">
        <f>"100296500"</f>
        <v>100296500</v>
      </c>
      <c r="AC7118" t="s">
        <v>79</v>
      </c>
      <c r="AD7118" t="s">
        <v>75</v>
      </c>
      <c r="AE7118" t="s">
        <v>103</v>
      </c>
      <c r="AG7118" t="s">
        <v>81</v>
      </c>
    </row>
    <row r="7119" spans="1:33" x14ac:dyDescent="0.25">
      <c r="A7119" t="str">
        <f>"1548687726"</f>
        <v>1548687726</v>
      </c>
      <c r="C7119" t="s">
        <v>13436</v>
      </c>
      <c r="K7119" t="s">
        <v>99</v>
      </c>
      <c r="L7119" t="s">
        <v>102</v>
      </c>
      <c r="M7119" t="s">
        <v>75</v>
      </c>
      <c r="R7119" t="s">
        <v>32314</v>
      </c>
      <c r="S7119" t="s">
        <v>3553</v>
      </c>
      <c r="T7119" t="s">
        <v>97</v>
      </c>
      <c r="U7119" t="s">
        <v>77</v>
      </c>
      <c r="V7119" t="str">
        <f>"100033851"</f>
        <v>100033851</v>
      </c>
      <c r="AC7119" t="s">
        <v>79</v>
      </c>
      <c r="AD7119" t="s">
        <v>75</v>
      </c>
      <c r="AE7119" t="s">
        <v>103</v>
      </c>
      <c r="AG7119" t="s">
        <v>81</v>
      </c>
    </row>
    <row r="7120" spans="1:33" x14ac:dyDescent="0.25">
      <c r="A7120" t="str">
        <f>"1548688351"</f>
        <v>1548688351</v>
      </c>
      <c r="C7120" t="s">
        <v>13436</v>
      </c>
      <c r="K7120" t="s">
        <v>99</v>
      </c>
      <c r="L7120" t="s">
        <v>102</v>
      </c>
      <c r="M7120" t="s">
        <v>75</v>
      </c>
      <c r="R7120" t="s">
        <v>32315</v>
      </c>
      <c r="S7120" t="s">
        <v>5050</v>
      </c>
      <c r="T7120" t="s">
        <v>97</v>
      </c>
      <c r="U7120" t="s">
        <v>77</v>
      </c>
      <c r="V7120" t="str">
        <f>"100296504"</f>
        <v>100296504</v>
      </c>
      <c r="AC7120" t="s">
        <v>79</v>
      </c>
      <c r="AD7120" t="s">
        <v>75</v>
      </c>
      <c r="AE7120" t="s">
        <v>103</v>
      </c>
      <c r="AG7120" t="s">
        <v>81</v>
      </c>
    </row>
    <row r="7121" spans="1:33" x14ac:dyDescent="0.25">
      <c r="A7121" t="str">
        <f>"1528388642"</f>
        <v>1528388642</v>
      </c>
      <c r="B7121" t="str">
        <f>"03866722"</f>
        <v>03866722</v>
      </c>
      <c r="C7121" t="s">
        <v>13436</v>
      </c>
      <c r="D7121" t="s">
        <v>32316</v>
      </c>
      <c r="E7121" t="s">
        <v>32317</v>
      </c>
      <c r="G7121" t="s">
        <v>32318</v>
      </c>
      <c r="L7121" t="s">
        <v>83</v>
      </c>
      <c r="M7121" t="s">
        <v>75</v>
      </c>
      <c r="R7121" t="s">
        <v>32319</v>
      </c>
      <c r="W7121" t="s">
        <v>32317</v>
      </c>
      <c r="X7121" t="s">
        <v>30869</v>
      </c>
      <c r="Y7121" t="s">
        <v>97</v>
      </c>
      <c r="Z7121" t="s">
        <v>77</v>
      </c>
      <c r="AA7121" t="str">
        <f>"10029-0000"</f>
        <v>10029-0000</v>
      </c>
      <c r="AB7121" t="s">
        <v>78</v>
      </c>
      <c r="AC7121" t="s">
        <v>79</v>
      </c>
      <c r="AD7121" t="s">
        <v>75</v>
      </c>
      <c r="AE7121" t="s">
        <v>80</v>
      </c>
      <c r="AG7121" t="s">
        <v>81</v>
      </c>
    </row>
    <row r="7122" spans="1:33" x14ac:dyDescent="0.25">
      <c r="A7122" t="str">
        <f>"1578839676"</f>
        <v>1578839676</v>
      </c>
      <c r="C7122" t="s">
        <v>13436</v>
      </c>
      <c r="K7122" t="s">
        <v>99</v>
      </c>
      <c r="L7122" t="s">
        <v>102</v>
      </c>
      <c r="M7122" t="s">
        <v>75</v>
      </c>
      <c r="R7122" t="s">
        <v>32320</v>
      </c>
      <c r="S7122" t="s">
        <v>32321</v>
      </c>
      <c r="T7122" t="s">
        <v>227</v>
      </c>
      <c r="U7122" t="s">
        <v>77</v>
      </c>
      <c r="V7122" t="str">
        <f>"106011553"</f>
        <v>106011553</v>
      </c>
      <c r="AC7122" t="s">
        <v>79</v>
      </c>
      <c r="AD7122" t="s">
        <v>75</v>
      </c>
      <c r="AE7122" t="s">
        <v>103</v>
      </c>
      <c r="AG7122" t="s">
        <v>81</v>
      </c>
    </row>
    <row r="7123" spans="1:33" x14ac:dyDescent="0.25">
      <c r="A7123" t="str">
        <f>"1578844007"</f>
        <v>1578844007</v>
      </c>
      <c r="B7123" t="str">
        <f>"04325706"</f>
        <v>04325706</v>
      </c>
      <c r="C7123" t="s">
        <v>13436</v>
      </c>
      <c r="D7123" t="s">
        <v>32322</v>
      </c>
      <c r="E7123" t="s">
        <v>32323</v>
      </c>
      <c r="L7123" t="s">
        <v>83</v>
      </c>
      <c r="M7123" t="s">
        <v>75</v>
      </c>
      <c r="R7123" t="s">
        <v>32324</v>
      </c>
      <c r="W7123" t="s">
        <v>32323</v>
      </c>
      <c r="X7123" t="s">
        <v>32325</v>
      </c>
      <c r="Y7123" t="s">
        <v>419</v>
      </c>
      <c r="Z7123" t="s">
        <v>77</v>
      </c>
      <c r="AA7123" t="str">
        <f>"10522-1812"</f>
        <v>10522-1812</v>
      </c>
      <c r="AB7123" t="s">
        <v>78</v>
      </c>
      <c r="AC7123" t="s">
        <v>79</v>
      </c>
      <c r="AD7123" t="s">
        <v>75</v>
      </c>
      <c r="AE7123" t="s">
        <v>80</v>
      </c>
      <c r="AG7123" t="s">
        <v>81</v>
      </c>
    </row>
    <row r="7124" spans="1:33" x14ac:dyDescent="0.25">
      <c r="A7124" t="str">
        <f>"1578850095"</f>
        <v>1578850095</v>
      </c>
      <c r="B7124" t="str">
        <f>"03973351"</f>
        <v>03973351</v>
      </c>
      <c r="C7124" t="s">
        <v>13436</v>
      </c>
      <c r="D7124" t="s">
        <v>32326</v>
      </c>
      <c r="E7124" t="s">
        <v>32327</v>
      </c>
      <c r="L7124" t="s">
        <v>83</v>
      </c>
      <c r="M7124" t="s">
        <v>75</v>
      </c>
      <c r="R7124" t="s">
        <v>32328</v>
      </c>
      <c r="W7124" t="s">
        <v>32327</v>
      </c>
      <c r="X7124" t="s">
        <v>181</v>
      </c>
      <c r="Y7124" t="s">
        <v>97</v>
      </c>
      <c r="Z7124" t="s">
        <v>77</v>
      </c>
      <c r="AA7124" t="str">
        <f>"10025-1716"</f>
        <v>10025-1716</v>
      </c>
      <c r="AB7124" t="s">
        <v>78</v>
      </c>
      <c r="AC7124" t="s">
        <v>79</v>
      </c>
      <c r="AD7124" t="s">
        <v>75</v>
      </c>
      <c r="AE7124" t="s">
        <v>80</v>
      </c>
      <c r="AG7124" t="s">
        <v>81</v>
      </c>
    </row>
    <row r="7125" spans="1:33" x14ac:dyDescent="0.25">
      <c r="A7125" t="str">
        <f>"1578852117"</f>
        <v>1578852117</v>
      </c>
      <c r="B7125" t="str">
        <f>"03781968"</f>
        <v>03781968</v>
      </c>
      <c r="C7125" t="s">
        <v>13436</v>
      </c>
      <c r="D7125" t="s">
        <v>32329</v>
      </c>
      <c r="E7125" t="s">
        <v>32330</v>
      </c>
      <c r="L7125" t="s">
        <v>94</v>
      </c>
      <c r="M7125" t="s">
        <v>85</v>
      </c>
      <c r="R7125" t="s">
        <v>32331</v>
      </c>
      <c r="W7125" t="s">
        <v>32330</v>
      </c>
      <c r="X7125" t="s">
        <v>329</v>
      </c>
      <c r="Y7125" t="s">
        <v>97</v>
      </c>
      <c r="Z7125" t="s">
        <v>77</v>
      </c>
      <c r="AA7125" t="str">
        <f>"10029-6504"</f>
        <v>10029-6504</v>
      </c>
      <c r="AB7125" t="s">
        <v>78</v>
      </c>
      <c r="AC7125" t="s">
        <v>79</v>
      </c>
      <c r="AD7125" t="s">
        <v>75</v>
      </c>
      <c r="AE7125" t="s">
        <v>80</v>
      </c>
      <c r="AG7125" t="s">
        <v>81</v>
      </c>
    </row>
    <row r="7126" spans="1:33" x14ac:dyDescent="0.25">
      <c r="A7126" t="str">
        <f>"1578854923"</f>
        <v>1578854923</v>
      </c>
      <c r="C7126" t="s">
        <v>13436</v>
      </c>
      <c r="G7126" t="s">
        <v>32332</v>
      </c>
      <c r="K7126" t="s">
        <v>99</v>
      </c>
      <c r="L7126" t="s">
        <v>74</v>
      </c>
      <c r="M7126" t="s">
        <v>75</v>
      </c>
      <c r="R7126" t="s">
        <v>32333</v>
      </c>
      <c r="S7126" t="s">
        <v>329</v>
      </c>
      <c r="T7126" t="s">
        <v>97</v>
      </c>
      <c r="U7126" t="s">
        <v>77</v>
      </c>
      <c r="V7126" t="str">
        <f>"100296500"</f>
        <v>100296500</v>
      </c>
      <c r="AC7126" t="s">
        <v>79</v>
      </c>
      <c r="AD7126" t="s">
        <v>75</v>
      </c>
      <c r="AE7126" t="s">
        <v>103</v>
      </c>
      <c r="AG7126" t="s">
        <v>81</v>
      </c>
    </row>
    <row r="7127" spans="1:33" x14ac:dyDescent="0.25">
      <c r="A7127" t="str">
        <f>"1578856126"</f>
        <v>1578856126</v>
      </c>
      <c r="B7127" t="str">
        <f>"03723291"</f>
        <v>03723291</v>
      </c>
      <c r="C7127" t="s">
        <v>13436</v>
      </c>
      <c r="D7127" t="s">
        <v>32334</v>
      </c>
      <c r="E7127" t="s">
        <v>32335</v>
      </c>
      <c r="G7127" t="s">
        <v>32336</v>
      </c>
      <c r="L7127" t="s">
        <v>102</v>
      </c>
      <c r="M7127" t="s">
        <v>75</v>
      </c>
      <c r="R7127" t="s">
        <v>32337</v>
      </c>
      <c r="W7127" t="s">
        <v>32335</v>
      </c>
      <c r="X7127" t="s">
        <v>329</v>
      </c>
      <c r="Y7127" t="s">
        <v>97</v>
      </c>
      <c r="Z7127" t="s">
        <v>77</v>
      </c>
      <c r="AA7127" t="str">
        <f>"10029-6504"</f>
        <v>10029-6504</v>
      </c>
      <c r="AB7127" t="s">
        <v>78</v>
      </c>
      <c r="AC7127" t="s">
        <v>79</v>
      </c>
      <c r="AD7127" t="s">
        <v>75</v>
      </c>
      <c r="AE7127" t="s">
        <v>80</v>
      </c>
      <c r="AG7127" t="s">
        <v>81</v>
      </c>
    </row>
    <row r="7128" spans="1:33" x14ac:dyDescent="0.25">
      <c r="A7128" t="str">
        <f>"1780677518"</f>
        <v>1780677518</v>
      </c>
      <c r="B7128" t="str">
        <f>"00109531"</f>
        <v>00109531</v>
      </c>
      <c r="C7128" t="s">
        <v>13436</v>
      </c>
      <c r="D7128" t="s">
        <v>32338</v>
      </c>
      <c r="E7128" t="s">
        <v>32339</v>
      </c>
      <c r="G7128" t="s">
        <v>32340</v>
      </c>
      <c r="L7128" t="s">
        <v>102</v>
      </c>
      <c r="M7128" t="s">
        <v>75</v>
      </c>
      <c r="R7128" t="s">
        <v>32341</v>
      </c>
      <c r="W7128" t="s">
        <v>32339</v>
      </c>
      <c r="X7128" t="s">
        <v>32342</v>
      </c>
      <c r="Y7128" t="s">
        <v>97</v>
      </c>
      <c r="Z7128" t="s">
        <v>77</v>
      </c>
      <c r="AA7128" t="str">
        <f>"10025"</f>
        <v>10025</v>
      </c>
      <c r="AB7128" t="s">
        <v>78</v>
      </c>
      <c r="AC7128" t="s">
        <v>79</v>
      </c>
      <c r="AD7128" t="s">
        <v>75</v>
      </c>
      <c r="AE7128" t="s">
        <v>80</v>
      </c>
      <c r="AG7128" t="s">
        <v>81</v>
      </c>
    </row>
    <row r="7129" spans="1:33" x14ac:dyDescent="0.25">
      <c r="A7129" t="str">
        <f>"1780682708"</f>
        <v>1780682708</v>
      </c>
      <c r="B7129" t="str">
        <f>"00976370"</f>
        <v>00976370</v>
      </c>
      <c r="C7129" t="s">
        <v>13436</v>
      </c>
      <c r="D7129" t="s">
        <v>32343</v>
      </c>
      <c r="E7129" t="s">
        <v>32344</v>
      </c>
      <c r="L7129" t="s">
        <v>83</v>
      </c>
      <c r="M7129" t="s">
        <v>85</v>
      </c>
      <c r="R7129" t="s">
        <v>32345</v>
      </c>
      <c r="W7129" t="s">
        <v>32344</v>
      </c>
      <c r="X7129" t="s">
        <v>32346</v>
      </c>
      <c r="Y7129" t="s">
        <v>97</v>
      </c>
      <c r="Z7129" t="s">
        <v>77</v>
      </c>
      <c r="AA7129" t="str">
        <f>"10128"</f>
        <v>10128</v>
      </c>
      <c r="AB7129" t="s">
        <v>78</v>
      </c>
      <c r="AC7129" t="s">
        <v>79</v>
      </c>
      <c r="AD7129" t="s">
        <v>75</v>
      </c>
      <c r="AE7129" t="s">
        <v>80</v>
      </c>
      <c r="AG7129" t="s">
        <v>81</v>
      </c>
    </row>
    <row r="7130" spans="1:33" x14ac:dyDescent="0.25">
      <c r="A7130" t="str">
        <f>"1700149226"</f>
        <v>1700149226</v>
      </c>
      <c r="C7130" t="s">
        <v>13436</v>
      </c>
      <c r="K7130" t="s">
        <v>99</v>
      </c>
      <c r="L7130" t="s">
        <v>102</v>
      </c>
      <c r="M7130" t="s">
        <v>75</v>
      </c>
      <c r="R7130" t="s">
        <v>32347</v>
      </c>
      <c r="S7130" t="s">
        <v>32348</v>
      </c>
      <c r="T7130" t="s">
        <v>32349</v>
      </c>
      <c r="U7130" t="s">
        <v>123</v>
      </c>
      <c r="V7130" t="str">
        <f>"021431403"</f>
        <v>021431403</v>
      </c>
      <c r="AC7130" t="s">
        <v>79</v>
      </c>
      <c r="AD7130" t="s">
        <v>75</v>
      </c>
      <c r="AE7130" t="s">
        <v>103</v>
      </c>
      <c r="AG7130" t="s">
        <v>81</v>
      </c>
    </row>
    <row r="7131" spans="1:33" x14ac:dyDescent="0.25">
      <c r="A7131" t="str">
        <f>"1700154614"</f>
        <v>1700154614</v>
      </c>
      <c r="B7131" t="str">
        <f>"03720101"</f>
        <v>03720101</v>
      </c>
      <c r="C7131" t="s">
        <v>13436</v>
      </c>
      <c r="D7131" t="s">
        <v>32350</v>
      </c>
      <c r="E7131" t="s">
        <v>32351</v>
      </c>
      <c r="G7131" t="s">
        <v>32352</v>
      </c>
      <c r="L7131" t="s">
        <v>74</v>
      </c>
      <c r="M7131" t="s">
        <v>75</v>
      </c>
      <c r="R7131" t="s">
        <v>32353</v>
      </c>
      <c r="W7131" t="s">
        <v>32351</v>
      </c>
      <c r="X7131" t="s">
        <v>32354</v>
      </c>
      <c r="Y7131" t="s">
        <v>97</v>
      </c>
      <c r="Z7131" t="s">
        <v>77</v>
      </c>
      <c r="AA7131" t="str">
        <f>"10029-6501"</f>
        <v>10029-6501</v>
      </c>
      <c r="AB7131" t="s">
        <v>78</v>
      </c>
      <c r="AC7131" t="s">
        <v>79</v>
      </c>
      <c r="AD7131" t="s">
        <v>75</v>
      </c>
      <c r="AE7131" t="s">
        <v>80</v>
      </c>
      <c r="AG7131" t="s">
        <v>81</v>
      </c>
    </row>
    <row r="7132" spans="1:33" x14ac:dyDescent="0.25">
      <c r="A7132" t="str">
        <f>"1700159118"</f>
        <v>1700159118</v>
      </c>
      <c r="C7132" t="s">
        <v>13436</v>
      </c>
      <c r="K7132" t="s">
        <v>99</v>
      </c>
      <c r="L7132" t="s">
        <v>102</v>
      </c>
      <c r="M7132" t="s">
        <v>75</v>
      </c>
      <c r="R7132" t="s">
        <v>32355</v>
      </c>
      <c r="S7132" t="s">
        <v>32356</v>
      </c>
      <c r="T7132" t="s">
        <v>32357</v>
      </c>
      <c r="U7132" t="s">
        <v>2595</v>
      </c>
      <c r="V7132" t="str">
        <f>"956080302"</f>
        <v>956080302</v>
      </c>
      <c r="AC7132" t="s">
        <v>79</v>
      </c>
      <c r="AD7132" t="s">
        <v>75</v>
      </c>
      <c r="AE7132" t="s">
        <v>103</v>
      </c>
      <c r="AG7132" t="s">
        <v>81</v>
      </c>
    </row>
    <row r="7133" spans="1:33" x14ac:dyDescent="0.25">
      <c r="A7133" t="str">
        <f>"1700178936"</f>
        <v>1700178936</v>
      </c>
      <c r="C7133" t="s">
        <v>13436</v>
      </c>
      <c r="K7133" t="s">
        <v>99</v>
      </c>
      <c r="L7133" t="s">
        <v>102</v>
      </c>
      <c r="M7133" t="s">
        <v>75</v>
      </c>
      <c r="R7133" t="s">
        <v>32358</v>
      </c>
      <c r="S7133" t="s">
        <v>32359</v>
      </c>
      <c r="T7133" t="s">
        <v>97</v>
      </c>
      <c r="U7133" t="s">
        <v>77</v>
      </c>
      <c r="V7133" t="str">
        <f>"100191147"</f>
        <v>100191147</v>
      </c>
      <c r="AC7133" t="s">
        <v>79</v>
      </c>
      <c r="AD7133" t="s">
        <v>75</v>
      </c>
      <c r="AE7133" t="s">
        <v>103</v>
      </c>
      <c r="AG7133" t="s">
        <v>81</v>
      </c>
    </row>
    <row r="7134" spans="1:33" x14ac:dyDescent="0.25">
      <c r="C7134" t="s">
        <v>32360</v>
      </c>
      <c r="G7134" t="s">
        <v>32361</v>
      </c>
      <c r="H7134" t="s">
        <v>859</v>
      </c>
      <c r="J7134" t="s">
        <v>32362</v>
      </c>
      <c r="K7134" t="s">
        <v>99</v>
      </c>
      <c r="L7134" t="s">
        <v>100</v>
      </c>
      <c r="M7134" t="s">
        <v>75</v>
      </c>
      <c r="N7134" t="s">
        <v>32363</v>
      </c>
      <c r="O7134" t="s">
        <v>431</v>
      </c>
      <c r="P7134" t="s">
        <v>77</v>
      </c>
      <c r="AC7134" t="s">
        <v>79</v>
      </c>
      <c r="AD7134" t="s">
        <v>75</v>
      </c>
      <c r="AE7134" t="s">
        <v>101</v>
      </c>
      <c r="AG7134" t="s">
        <v>81</v>
      </c>
    </row>
    <row r="7135" spans="1:33" x14ac:dyDescent="0.25">
      <c r="A7135" t="str">
        <f>"1215930193"</f>
        <v>1215930193</v>
      </c>
      <c r="B7135" t="str">
        <f>"02994723"</f>
        <v>02994723</v>
      </c>
      <c r="C7135" t="s">
        <v>32364</v>
      </c>
      <c r="D7135" t="s">
        <v>3734</v>
      </c>
      <c r="E7135" t="s">
        <v>3735</v>
      </c>
      <c r="G7135" t="s">
        <v>32365</v>
      </c>
      <c r="H7135" t="s">
        <v>32366</v>
      </c>
      <c r="J7135" t="s">
        <v>32367</v>
      </c>
      <c r="L7135" t="s">
        <v>37</v>
      </c>
      <c r="M7135" t="s">
        <v>75</v>
      </c>
      <c r="R7135" t="s">
        <v>3736</v>
      </c>
      <c r="W7135" t="s">
        <v>3735</v>
      </c>
      <c r="X7135" t="s">
        <v>3737</v>
      </c>
      <c r="Y7135" t="s">
        <v>87</v>
      </c>
      <c r="Z7135" t="s">
        <v>77</v>
      </c>
      <c r="AA7135" t="str">
        <f>"11215-4614"</f>
        <v>11215-4614</v>
      </c>
      <c r="AB7135" t="s">
        <v>154</v>
      </c>
      <c r="AC7135" t="s">
        <v>79</v>
      </c>
      <c r="AD7135" t="s">
        <v>75</v>
      </c>
      <c r="AE7135" t="s">
        <v>80</v>
      </c>
      <c r="AG7135" t="s">
        <v>81</v>
      </c>
    </row>
    <row r="7136" spans="1:33" x14ac:dyDescent="0.25">
      <c r="A7136" t="str">
        <f>"1013343334"</f>
        <v>1013343334</v>
      </c>
      <c r="C7136" t="s">
        <v>32368</v>
      </c>
      <c r="G7136" t="s">
        <v>32369</v>
      </c>
      <c r="H7136" t="s">
        <v>32370</v>
      </c>
      <c r="J7136" t="s">
        <v>32371</v>
      </c>
      <c r="K7136" t="s">
        <v>99</v>
      </c>
      <c r="L7136" t="s">
        <v>102</v>
      </c>
      <c r="M7136" t="s">
        <v>75</v>
      </c>
      <c r="R7136" t="s">
        <v>32372</v>
      </c>
      <c r="S7136" t="s">
        <v>32373</v>
      </c>
      <c r="T7136" t="s">
        <v>2669</v>
      </c>
      <c r="U7136" t="s">
        <v>1842</v>
      </c>
      <c r="V7136" t="str">
        <f>"06422"</f>
        <v>06422</v>
      </c>
      <c r="AC7136" t="s">
        <v>79</v>
      </c>
      <c r="AD7136" t="s">
        <v>75</v>
      </c>
      <c r="AE7136" t="s">
        <v>103</v>
      </c>
      <c r="AG7136" t="s">
        <v>81</v>
      </c>
    </row>
    <row r="7137" spans="1:33" x14ac:dyDescent="0.25">
      <c r="A7137" t="str">
        <f>"1972774057"</f>
        <v>1972774057</v>
      </c>
      <c r="B7137" t="str">
        <f>"03185453"</f>
        <v>03185453</v>
      </c>
      <c r="C7137" t="s">
        <v>13436</v>
      </c>
      <c r="D7137" t="s">
        <v>32374</v>
      </c>
      <c r="E7137" t="s">
        <v>32375</v>
      </c>
      <c r="G7137" t="s">
        <v>32376</v>
      </c>
      <c r="L7137" t="s">
        <v>74</v>
      </c>
      <c r="M7137" t="s">
        <v>75</v>
      </c>
      <c r="R7137" t="s">
        <v>32377</v>
      </c>
      <c r="W7137" t="s">
        <v>32375</v>
      </c>
      <c r="X7137" t="s">
        <v>991</v>
      </c>
      <c r="Y7137" t="s">
        <v>97</v>
      </c>
      <c r="Z7137" t="s">
        <v>77</v>
      </c>
      <c r="AA7137" t="str">
        <f>"10029-6503"</f>
        <v>10029-6503</v>
      </c>
      <c r="AB7137" t="s">
        <v>78</v>
      </c>
      <c r="AC7137" t="s">
        <v>79</v>
      </c>
      <c r="AD7137" t="s">
        <v>75</v>
      </c>
      <c r="AE7137" t="s">
        <v>80</v>
      </c>
      <c r="AG7137" t="s">
        <v>81</v>
      </c>
    </row>
    <row r="7138" spans="1:33" x14ac:dyDescent="0.25">
      <c r="A7138" t="str">
        <f>"1386965374"</f>
        <v>1386965374</v>
      </c>
      <c r="B7138" t="str">
        <f>"03750438"</f>
        <v>03750438</v>
      </c>
      <c r="C7138" t="s">
        <v>32378</v>
      </c>
      <c r="D7138" t="s">
        <v>3792</v>
      </c>
      <c r="E7138" t="s">
        <v>3793</v>
      </c>
      <c r="G7138" t="s">
        <v>32379</v>
      </c>
      <c r="H7138" t="s">
        <v>183</v>
      </c>
      <c r="J7138" t="s">
        <v>184</v>
      </c>
      <c r="L7138" t="s">
        <v>105</v>
      </c>
      <c r="M7138" t="s">
        <v>75</v>
      </c>
      <c r="R7138" t="s">
        <v>3794</v>
      </c>
      <c r="W7138" t="s">
        <v>3793</v>
      </c>
      <c r="X7138" t="s">
        <v>173</v>
      </c>
      <c r="Y7138" t="s">
        <v>87</v>
      </c>
      <c r="Z7138" t="s">
        <v>77</v>
      </c>
      <c r="AA7138" t="str">
        <f>"11219-2916"</f>
        <v>11219-2916</v>
      </c>
      <c r="AB7138" t="s">
        <v>78</v>
      </c>
      <c r="AC7138" t="s">
        <v>79</v>
      </c>
      <c r="AD7138" t="s">
        <v>75</v>
      </c>
      <c r="AE7138" t="s">
        <v>80</v>
      </c>
      <c r="AG7138" t="s">
        <v>81</v>
      </c>
    </row>
    <row r="7139" spans="1:33" x14ac:dyDescent="0.25">
      <c r="A7139" t="str">
        <f>"1508266099"</f>
        <v>1508266099</v>
      </c>
      <c r="C7139" t="s">
        <v>32380</v>
      </c>
      <c r="G7139" t="s">
        <v>32379</v>
      </c>
      <c r="H7139" t="s">
        <v>183</v>
      </c>
      <c r="J7139" t="s">
        <v>184</v>
      </c>
      <c r="K7139" t="s">
        <v>2011</v>
      </c>
      <c r="L7139" t="s">
        <v>74</v>
      </c>
      <c r="M7139" t="s">
        <v>75</v>
      </c>
      <c r="R7139" t="s">
        <v>3795</v>
      </c>
      <c r="S7139" t="s">
        <v>3796</v>
      </c>
      <c r="T7139" t="s">
        <v>87</v>
      </c>
      <c r="U7139" t="s">
        <v>77</v>
      </c>
      <c r="V7139" t="str">
        <f>"112355660"</f>
        <v>112355660</v>
      </c>
      <c r="AC7139" t="s">
        <v>79</v>
      </c>
      <c r="AD7139" t="s">
        <v>75</v>
      </c>
      <c r="AE7139" t="s">
        <v>103</v>
      </c>
      <c r="AG7139" t="s">
        <v>81</v>
      </c>
    </row>
    <row r="7140" spans="1:33" x14ac:dyDescent="0.25">
      <c r="A7140" t="str">
        <f>"1669743423"</f>
        <v>1669743423</v>
      </c>
      <c r="C7140" t="s">
        <v>32381</v>
      </c>
      <c r="G7140" t="s">
        <v>32379</v>
      </c>
      <c r="H7140" t="s">
        <v>183</v>
      </c>
      <c r="J7140" t="s">
        <v>184</v>
      </c>
      <c r="K7140" t="s">
        <v>2011</v>
      </c>
      <c r="L7140" t="s">
        <v>102</v>
      </c>
      <c r="M7140" t="s">
        <v>75</v>
      </c>
      <c r="R7140" t="s">
        <v>3797</v>
      </c>
      <c r="S7140" t="s">
        <v>3798</v>
      </c>
      <c r="T7140" t="s">
        <v>155</v>
      </c>
      <c r="U7140" t="s">
        <v>77</v>
      </c>
      <c r="V7140" t="str">
        <f>"10302"</f>
        <v>10302</v>
      </c>
      <c r="AC7140" t="s">
        <v>79</v>
      </c>
      <c r="AD7140" t="s">
        <v>75</v>
      </c>
      <c r="AE7140" t="s">
        <v>103</v>
      </c>
      <c r="AG7140" t="s">
        <v>81</v>
      </c>
    </row>
    <row r="7141" spans="1:33" x14ac:dyDescent="0.25">
      <c r="A7141" t="str">
        <f>"1447553227"</f>
        <v>1447553227</v>
      </c>
      <c r="C7141" t="s">
        <v>32382</v>
      </c>
      <c r="G7141" t="s">
        <v>32379</v>
      </c>
      <c r="H7141" t="s">
        <v>183</v>
      </c>
      <c r="J7141" t="s">
        <v>184</v>
      </c>
      <c r="K7141" t="s">
        <v>2011</v>
      </c>
      <c r="L7141" t="s">
        <v>74</v>
      </c>
      <c r="M7141" t="s">
        <v>75</v>
      </c>
      <c r="R7141" t="s">
        <v>3799</v>
      </c>
      <c r="S7141" t="s">
        <v>3800</v>
      </c>
      <c r="T7141" t="s">
        <v>3801</v>
      </c>
      <c r="U7141" t="s">
        <v>123</v>
      </c>
      <c r="V7141" t="str">
        <f>"021901138"</f>
        <v>021901138</v>
      </c>
      <c r="AC7141" t="s">
        <v>79</v>
      </c>
      <c r="AD7141" t="s">
        <v>75</v>
      </c>
      <c r="AE7141" t="s">
        <v>103</v>
      </c>
      <c r="AG7141" t="s">
        <v>81</v>
      </c>
    </row>
    <row r="7142" spans="1:33" x14ac:dyDescent="0.25">
      <c r="A7142" t="str">
        <f>"1437472354"</f>
        <v>1437472354</v>
      </c>
      <c r="B7142" t="str">
        <f>"04209927"</f>
        <v>04209927</v>
      </c>
      <c r="C7142" t="s">
        <v>13436</v>
      </c>
      <c r="D7142" t="s">
        <v>32383</v>
      </c>
      <c r="E7142" t="s">
        <v>32384</v>
      </c>
      <c r="G7142" t="s">
        <v>32385</v>
      </c>
      <c r="L7142" t="s">
        <v>74</v>
      </c>
      <c r="M7142" t="s">
        <v>75</v>
      </c>
      <c r="R7142" t="s">
        <v>32386</v>
      </c>
      <c r="W7142" t="s">
        <v>32384</v>
      </c>
      <c r="X7142" t="s">
        <v>329</v>
      </c>
      <c r="Y7142" t="s">
        <v>97</v>
      </c>
      <c r="Z7142" t="s">
        <v>77</v>
      </c>
      <c r="AA7142" t="str">
        <f>"10029-6504"</f>
        <v>10029-6504</v>
      </c>
      <c r="AB7142" t="s">
        <v>78</v>
      </c>
      <c r="AC7142" t="s">
        <v>79</v>
      </c>
      <c r="AD7142" t="s">
        <v>75</v>
      </c>
      <c r="AE7142" t="s">
        <v>80</v>
      </c>
      <c r="AG7142" t="s">
        <v>81</v>
      </c>
    </row>
    <row r="7143" spans="1:33" x14ac:dyDescent="0.25">
      <c r="A7143" t="str">
        <f>"1124073820"</f>
        <v>1124073820</v>
      </c>
      <c r="B7143" t="str">
        <f>"00976398"</f>
        <v>00976398</v>
      </c>
      <c r="C7143" t="s">
        <v>13436</v>
      </c>
      <c r="D7143" t="s">
        <v>32387</v>
      </c>
      <c r="E7143" t="s">
        <v>32388</v>
      </c>
      <c r="G7143" t="s">
        <v>32389</v>
      </c>
      <c r="L7143" t="s">
        <v>74</v>
      </c>
      <c r="M7143" t="s">
        <v>75</v>
      </c>
      <c r="R7143" t="s">
        <v>32390</v>
      </c>
      <c r="W7143" t="s">
        <v>32388</v>
      </c>
      <c r="X7143" t="s">
        <v>228</v>
      </c>
      <c r="Y7143" t="s">
        <v>91</v>
      </c>
      <c r="Z7143" t="s">
        <v>77</v>
      </c>
      <c r="AA7143" t="str">
        <f>"11373-1329"</f>
        <v>11373-1329</v>
      </c>
      <c r="AB7143" t="s">
        <v>78</v>
      </c>
      <c r="AC7143" t="s">
        <v>79</v>
      </c>
      <c r="AD7143" t="s">
        <v>75</v>
      </c>
      <c r="AE7143" t="s">
        <v>80</v>
      </c>
      <c r="AG7143" t="s">
        <v>81</v>
      </c>
    </row>
    <row r="7144" spans="1:33" x14ac:dyDescent="0.25">
      <c r="A7144" t="str">
        <f>"1083657241"</f>
        <v>1083657241</v>
      </c>
      <c r="B7144" t="str">
        <f>"01271338"</f>
        <v>01271338</v>
      </c>
      <c r="C7144" t="s">
        <v>13436</v>
      </c>
      <c r="D7144" t="s">
        <v>32391</v>
      </c>
      <c r="E7144" t="s">
        <v>32392</v>
      </c>
      <c r="G7144" t="s">
        <v>32393</v>
      </c>
      <c r="L7144" t="s">
        <v>74</v>
      </c>
      <c r="M7144" t="s">
        <v>75</v>
      </c>
      <c r="R7144" t="s">
        <v>32394</v>
      </c>
      <c r="W7144" t="s">
        <v>32392</v>
      </c>
      <c r="X7144" t="s">
        <v>3067</v>
      </c>
      <c r="Y7144" t="s">
        <v>91</v>
      </c>
      <c r="Z7144" t="s">
        <v>77</v>
      </c>
      <c r="AA7144" t="str">
        <f>"11373-1329"</f>
        <v>11373-1329</v>
      </c>
      <c r="AB7144" t="s">
        <v>78</v>
      </c>
      <c r="AC7144" t="s">
        <v>79</v>
      </c>
      <c r="AD7144" t="s">
        <v>75</v>
      </c>
      <c r="AE7144" t="s">
        <v>80</v>
      </c>
      <c r="AG7144" t="s">
        <v>81</v>
      </c>
    </row>
    <row r="7145" spans="1:33" x14ac:dyDescent="0.25">
      <c r="A7145" t="str">
        <f>"1528001583"</f>
        <v>1528001583</v>
      </c>
      <c r="B7145" t="str">
        <f>"03100387"</f>
        <v>03100387</v>
      </c>
      <c r="C7145" t="s">
        <v>13436</v>
      </c>
      <c r="D7145" t="s">
        <v>32395</v>
      </c>
      <c r="E7145" t="s">
        <v>32396</v>
      </c>
      <c r="G7145" t="s">
        <v>32397</v>
      </c>
      <c r="L7145" t="s">
        <v>83</v>
      </c>
      <c r="M7145" t="s">
        <v>75</v>
      </c>
      <c r="R7145" t="s">
        <v>32398</v>
      </c>
      <c r="W7145" t="s">
        <v>32396</v>
      </c>
      <c r="X7145" t="s">
        <v>329</v>
      </c>
      <c r="Y7145" t="s">
        <v>97</v>
      </c>
      <c r="Z7145" t="s">
        <v>77</v>
      </c>
      <c r="AA7145" t="str">
        <f>"10029-6500"</f>
        <v>10029-6500</v>
      </c>
      <c r="AB7145" t="s">
        <v>78</v>
      </c>
      <c r="AC7145" t="s">
        <v>79</v>
      </c>
      <c r="AD7145" t="s">
        <v>75</v>
      </c>
      <c r="AE7145" t="s">
        <v>80</v>
      </c>
      <c r="AG7145" t="s">
        <v>81</v>
      </c>
    </row>
    <row r="7146" spans="1:33" x14ac:dyDescent="0.25">
      <c r="A7146" t="str">
        <f>"1548695281"</f>
        <v>1548695281</v>
      </c>
      <c r="C7146" t="s">
        <v>13436</v>
      </c>
      <c r="G7146" t="s">
        <v>32399</v>
      </c>
      <c r="K7146" t="s">
        <v>99</v>
      </c>
      <c r="L7146" t="s">
        <v>102</v>
      </c>
      <c r="M7146" t="s">
        <v>75</v>
      </c>
      <c r="R7146" t="s">
        <v>32400</v>
      </c>
      <c r="S7146" t="s">
        <v>5050</v>
      </c>
      <c r="T7146" t="s">
        <v>97</v>
      </c>
      <c r="U7146" t="s">
        <v>77</v>
      </c>
      <c r="V7146" t="str">
        <f>"100296504"</f>
        <v>100296504</v>
      </c>
      <c r="AC7146" t="s">
        <v>79</v>
      </c>
      <c r="AD7146" t="s">
        <v>75</v>
      </c>
      <c r="AE7146" t="s">
        <v>103</v>
      </c>
      <c r="AG7146" t="s">
        <v>81</v>
      </c>
    </row>
    <row r="7147" spans="1:33" x14ac:dyDescent="0.25">
      <c r="A7147" t="str">
        <f>"1134172810"</f>
        <v>1134172810</v>
      </c>
      <c r="B7147" t="str">
        <f>"00246800"</f>
        <v>00246800</v>
      </c>
      <c r="C7147" t="s">
        <v>13436</v>
      </c>
      <c r="D7147" t="s">
        <v>32401</v>
      </c>
      <c r="E7147" t="s">
        <v>32402</v>
      </c>
      <c r="G7147" t="s">
        <v>32403</v>
      </c>
      <c r="L7147" t="s">
        <v>74</v>
      </c>
      <c r="M7147" t="s">
        <v>75</v>
      </c>
      <c r="R7147" t="s">
        <v>32404</v>
      </c>
      <c r="W7147" t="s">
        <v>32402</v>
      </c>
      <c r="X7147" t="s">
        <v>29392</v>
      </c>
      <c r="Y7147" t="s">
        <v>87</v>
      </c>
      <c r="Z7147" t="s">
        <v>77</v>
      </c>
      <c r="AA7147" t="str">
        <f>"11203-2098"</f>
        <v>11203-2098</v>
      </c>
      <c r="AB7147" t="s">
        <v>78</v>
      </c>
      <c r="AC7147" t="s">
        <v>79</v>
      </c>
      <c r="AD7147" t="s">
        <v>75</v>
      </c>
      <c r="AE7147" t="s">
        <v>80</v>
      </c>
      <c r="AG7147" t="s">
        <v>81</v>
      </c>
    </row>
    <row r="7148" spans="1:33" x14ac:dyDescent="0.25">
      <c r="A7148" t="str">
        <f>"1710901368"</f>
        <v>1710901368</v>
      </c>
      <c r="B7148" t="str">
        <f>"01027307"</f>
        <v>01027307</v>
      </c>
      <c r="C7148" t="s">
        <v>13436</v>
      </c>
      <c r="D7148" t="s">
        <v>5789</v>
      </c>
      <c r="E7148" t="s">
        <v>5790</v>
      </c>
      <c r="G7148" t="s">
        <v>32405</v>
      </c>
      <c r="L7148" t="s">
        <v>83</v>
      </c>
      <c r="M7148" t="s">
        <v>75</v>
      </c>
      <c r="R7148" t="s">
        <v>5791</v>
      </c>
      <c r="W7148" t="s">
        <v>5790</v>
      </c>
      <c r="X7148" t="s">
        <v>228</v>
      </c>
      <c r="Y7148" t="s">
        <v>91</v>
      </c>
      <c r="Z7148" t="s">
        <v>77</v>
      </c>
      <c r="AA7148" t="str">
        <f>"11373-1329"</f>
        <v>11373-1329</v>
      </c>
      <c r="AB7148" t="s">
        <v>78</v>
      </c>
      <c r="AC7148" t="s">
        <v>79</v>
      </c>
      <c r="AD7148" t="s">
        <v>75</v>
      </c>
      <c r="AE7148" t="s">
        <v>80</v>
      </c>
      <c r="AG7148" t="s">
        <v>81</v>
      </c>
    </row>
    <row r="7149" spans="1:33" x14ac:dyDescent="0.25">
      <c r="A7149" t="str">
        <f>"1255670790"</f>
        <v>1255670790</v>
      </c>
      <c r="B7149" t="str">
        <f>"04065812"</f>
        <v>04065812</v>
      </c>
      <c r="C7149" t="s">
        <v>13436</v>
      </c>
      <c r="D7149" t="s">
        <v>32406</v>
      </c>
      <c r="E7149" t="s">
        <v>32407</v>
      </c>
      <c r="G7149" t="s">
        <v>32408</v>
      </c>
      <c r="L7149" t="s">
        <v>74</v>
      </c>
      <c r="M7149" t="s">
        <v>75</v>
      </c>
      <c r="R7149" t="s">
        <v>32409</v>
      </c>
      <c r="W7149" t="s">
        <v>32410</v>
      </c>
      <c r="X7149" t="s">
        <v>32411</v>
      </c>
      <c r="Y7149" t="s">
        <v>97</v>
      </c>
      <c r="Z7149" t="s">
        <v>77</v>
      </c>
      <c r="AA7149" t="str">
        <f>"10029-6504"</f>
        <v>10029-6504</v>
      </c>
      <c r="AB7149" t="s">
        <v>78</v>
      </c>
      <c r="AC7149" t="s">
        <v>79</v>
      </c>
      <c r="AD7149" t="s">
        <v>75</v>
      </c>
      <c r="AE7149" t="s">
        <v>80</v>
      </c>
      <c r="AG7149" t="s">
        <v>81</v>
      </c>
    </row>
    <row r="7150" spans="1:33" x14ac:dyDescent="0.25">
      <c r="A7150" t="str">
        <f>"1891954376"</f>
        <v>1891954376</v>
      </c>
      <c r="B7150" t="str">
        <f>"03051723"</f>
        <v>03051723</v>
      </c>
      <c r="C7150" t="s">
        <v>13436</v>
      </c>
      <c r="D7150" t="s">
        <v>32412</v>
      </c>
      <c r="E7150" t="s">
        <v>32413</v>
      </c>
      <c r="L7150" t="s">
        <v>74</v>
      </c>
      <c r="M7150" t="s">
        <v>75</v>
      </c>
      <c r="R7150" t="s">
        <v>32414</v>
      </c>
      <c r="W7150" t="s">
        <v>32415</v>
      </c>
      <c r="X7150" t="s">
        <v>225</v>
      </c>
      <c r="Y7150" t="s">
        <v>131</v>
      </c>
      <c r="Z7150" t="s">
        <v>77</v>
      </c>
      <c r="AA7150" t="str">
        <f>"10457-2545"</f>
        <v>10457-2545</v>
      </c>
      <c r="AB7150" t="s">
        <v>78</v>
      </c>
      <c r="AC7150" t="s">
        <v>79</v>
      </c>
      <c r="AD7150" t="s">
        <v>75</v>
      </c>
      <c r="AE7150" t="s">
        <v>80</v>
      </c>
      <c r="AG7150" t="s">
        <v>81</v>
      </c>
    </row>
    <row r="7151" spans="1:33" x14ac:dyDescent="0.25">
      <c r="A7151" t="str">
        <f>"1891955746"</f>
        <v>1891955746</v>
      </c>
      <c r="B7151" t="str">
        <f>"03721368"</f>
        <v>03721368</v>
      </c>
      <c r="C7151" t="s">
        <v>13436</v>
      </c>
      <c r="D7151" t="s">
        <v>32416</v>
      </c>
      <c r="E7151" t="s">
        <v>32417</v>
      </c>
      <c r="G7151" t="s">
        <v>32418</v>
      </c>
      <c r="L7151" t="s">
        <v>105</v>
      </c>
      <c r="M7151" t="s">
        <v>85</v>
      </c>
      <c r="R7151" t="s">
        <v>32419</v>
      </c>
      <c r="W7151" t="s">
        <v>32417</v>
      </c>
      <c r="X7151" t="s">
        <v>225</v>
      </c>
      <c r="Y7151" t="s">
        <v>131</v>
      </c>
      <c r="Z7151" t="s">
        <v>77</v>
      </c>
      <c r="AA7151" t="str">
        <f>"10457-2545"</f>
        <v>10457-2545</v>
      </c>
      <c r="AB7151" t="s">
        <v>78</v>
      </c>
      <c r="AC7151" t="s">
        <v>79</v>
      </c>
      <c r="AD7151" t="s">
        <v>75</v>
      </c>
      <c r="AE7151" t="s">
        <v>80</v>
      </c>
      <c r="AG7151" t="s">
        <v>81</v>
      </c>
    </row>
    <row r="7152" spans="1:33" x14ac:dyDescent="0.25">
      <c r="A7152" t="str">
        <f>"1891981981"</f>
        <v>1891981981</v>
      </c>
      <c r="B7152" t="str">
        <f>"03603972"</f>
        <v>03603972</v>
      </c>
      <c r="C7152" t="s">
        <v>13436</v>
      </c>
      <c r="D7152" t="s">
        <v>32420</v>
      </c>
      <c r="E7152" t="s">
        <v>32421</v>
      </c>
      <c r="L7152" t="s">
        <v>74</v>
      </c>
      <c r="M7152" t="s">
        <v>85</v>
      </c>
      <c r="R7152" t="s">
        <v>32421</v>
      </c>
      <c r="W7152" t="s">
        <v>32421</v>
      </c>
      <c r="X7152" t="s">
        <v>329</v>
      </c>
      <c r="Y7152" t="s">
        <v>97</v>
      </c>
      <c r="Z7152" t="s">
        <v>77</v>
      </c>
      <c r="AA7152" t="str">
        <f>"10029-6504"</f>
        <v>10029-6504</v>
      </c>
      <c r="AB7152" t="s">
        <v>78</v>
      </c>
      <c r="AC7152" t="s">
        <v>79</v>
      </c>
      <c r="AD7152" t="s">
        <v>75</v>
      </c>
      <c r="AE7152" t="s">
        <v>80</v>
      </c>
      <c r="AG7152" t="s">
        <v>81</v>
      </c>
    </row>
    <row r="7153" spans="1:33" x14ac:dyDescent="0.25">
      <c r="A7153" t="str">
        <f>"1336580323"</f>
        <v>1336580323</v>
      </c>
      <c r="C7153" t="s">
        <v>13436</v>
      </c>
      <c r="K7153" t="s">
        <v>99</v>
      </c>
      <c r="L7153" t="s">
        <v>102</v>
      </c>
      <c r="M7153" t="s">
        <v>75</v>
      </c>
      <c r="R7153" t="s">
        <v>32422</v>
      </c>
      <c r="S7153" t="s">
        <v>32423</v>
      </c>
      <c r="T7153" t="s">
        <v>97</v>
      </c>
      <c r="U7153" t="s">
        <v>77</v>
      </c>
      <c r="V7153" t="str">
        <f>"100237464"</f>
        <v>100237464</v>
      </c>
      <c r="AC7153" t="s">
        <v>79</v>
      </c>
      <c r="AD7153" t="s">
        <v>75</v>
      </c>
      <c r="AE7153" t="s">
        <v>103</v>
      </c>
      <c r="AG7153" t="s">
        <v>81</v>
      </c>
    </row>
    <row r="7154" spans="1:33" x14ac:dyDescent="0.25">
      <c r="A7154" t="str">
        <f>"1336584135"</f>
        <v>1336584135</v>
      </c>
      <c r="B7154" t="str">
        <f>"04540938"</f>
        <v>04540938</v>
      </c>
      <c r="C7154" t="s">
        <v>13436</v>
      </c>
      <c r="D7154" t="s">
        <v>32424</v>
      </c>
      <c r="E7154" t="s">
        <v>32425</v>
      </c>
      <c r="L7154" t="s">
        <v>102</v>
      </c>
      <c r="M7154" t="s">
        <v>75</v>
      </c>
      <c r="R7154" t="s">
        <v>32425</v>
      </c>
      <c r="W7154" t="s">
        <v>32425</v>
      </c>
      <c r="AB7154" t="s">
        <v>78</v>
      </c>
      <c r="AC7154" t="s">
        <v>79</v>
      </c>
      <c r="AD7154" t="s">
        <v>75</v>
      </c>
      <c r="AE7154" t="s">
        <v>80</v>
      </c>
      <c r="AG7154" t="s">
        <v>81</v>
      </c>
    </row>
    <row r="7155" spans="1:33" x14ac:dyDescent="0.25">
      <c r="A7155" t="str">
        <f>"1346215126"</f>
        <v>1346215126</v>
      </c>
      <c r="B7155" t="str">
        <f>"01590596"</f>
        <v>01590596</v>
      </c>
      <c r="C7155" t="s">
        <v>13436</v>
      </c>
      <c r="D7155" t="s">
        <v>32426</v>
      </c>
      <c r="E7155" t="s">
        <v>32427</v>
      </c>
      <c r="L7155" t="s">
        <v>83</v>
      </c>
      <c r="M7155" t="s">
        <v>75</v>
      </c>
      <c r="R7155" t="s">
        <v>32428</v>
      </c>
      <c r="W7155" t="s">
        <v>32429</v>
      </c>
      <c r="X7155" t="s">
        <v>11436</v>
      </c>
      <c r="Y7155" t="s">
        <v>97</v>
      </c>
      <c r="Z7155" t="s">
        <v>77</v>
      </c>
      <c r="AA7155" t="str">
        <f>"10029-6503"</f>
        <v>10029-6503</v>
      </c>
      <c r="AB7155" t="s">
        <v>78</v>
      </c>
      <c r="AC7155" t="s">
        <v>79</v>
      </c>
      <c r="AD7155" t="s">
        <v>75</v>
      </c>
      <c r="AE7155" t="s">
        <v>80</v>
      </c>
      <c r="AG7155" t="s">
        <v>81</v>
      </c>
    </row>
    <row r="7156" spans="1:33" x14ac:dyDescent="0.25">
      <c r="A7156" t="str">
        <f>"1457650962"</f>
        <v>1457650962</v>
      </c>
      <c r="B7156" t="str">
        <f>"04231403"</f>
        <v>04231403</v>
      </c>
      <c r="C7156" t="s">
        <v>13436</v>
      </c>
      <c r="D7156" t="s">
        <v>6213</v>
      </c>
      <c r="E7156" t="s">
        <v>6214</v>
      </c>
      <c r="L7156" t="s">
        <v>74</v>
      </c>
      <c r="M7156" t="s">
        <v>75</v>
      </c>
      <c r="R7156" t="s">
        <v>6215</v>
      </c>
      <c r="W7156" t="s">
        <v>6216</v>
      </c>
      <c r="X7156" t="s">
        <v>258</v>
      </c>
      <c r="Y7156" t="s">
        <v>131</v>
      </c>
      <c r="Z7156" t="s">
        <v>77</v>
      </c>
      <c r="AA7156" t="str">
        <f>"10467-2401"</f>
        <v>10467-2401</v>
      </c>
      <c r="AB7156" t="s">
        <v>78</v>
      </c>
      <c r="AC7156" t="s">
        <v>79</v>
      </c>
      <c r="AD7156" t="s">
        <v>75</v>
      </c>
      <c r="AE7156" t="s">
        <v>80</v>
      </c>
      <c r="AG7156" t="s">
        <v>81</v>
      </c>
    </row>
    <row r="7157" spans="1:33" x14ac:dyDescent="0.25">
      <c r="A7157" t="str">
        <f>"1457676355"</f>
        <v>1457676355</v>
      </c>
      <c r="B7157" t="str">
        <f>"03679701"</f>
        <v>03679701</v>
      </c>
      <c r="C7157" t="s">
        <v>13436</v>
      </c>
      <c r="D7157" t="s">
        <v>32430</v>
      </c>
      <c r="E7157" t="s">
        <v>32431</v>
      </c>
      <c r="L7157" t="s">
        <v>84</v>
      </c>
      <c r="M7157" t="s">
        <v>75</v>
      </c>
      <c r="R7157" t="s">
        <v>32432</v>
      </c>
      <c r="W7157" t="s">
        <v>32433</v>
      </c>
      <c r="X7157" t="s">
        <v>32434</v>
      </c>
      <c r="Y7157" t="s">
        <v>97</v>
      </c>
      <c r="Z7157" t="s">
        <v>77</v>
      </c>
      <c r="AA7157" t="str">
        <f>"10003-3804"</f>
        <v>10003-3804</v>
      </c>
      <c r="AB7157" t="s">
        <v>78</v>
      </c>
      <c r="AC7157" t="s">
        <v>79</v>
      </c>
      <c r="AD7157" t="s">
        <v>75</v>
      </c>
      <c r="AE7157" t="s">
        <v>80</v>
      </c>
      <c r="AG7157" t="s">
        <v>81</v>
      </c>
    </row>
    <row r="7158" spans="1:33" x14ac:dyDescent="0.25">
      <c r="A7158" t="str">
        <f>"1457678492"</f>
        <v>1457678492</v>
      </c>
      <c r="C7158" t="s">
        <v>13436</v>
      </c>
      <c r="K7158" t="s">
        <v>99</v>
      </c>
      <c r="L7158" t="s">
        <v>102</v>
      </c>
      <c r="M7158" t="s">
        <v>75</v>
      </c>
      <c r="R7158" t="s">
        <v>32435</v>
      </c>
      <c r="S7158" t="s">
        <v>32436</v>
      </c>
      <c r="T7158" t="s">
        <v>97</v>
      </c>
      <c r="U7158" t="s">
        <v>77</v>
      </c>
      <c r="V7158" t="str">
        <f>"100214872"</f>
        <v>100214872</v>
      </c>
      <c r="AC7158" t="s">
        <v>79</v>
      </c>
      <c r="AD7158" t="s">
        <v>75</v>
      </c>
      <c r="AE7158" t="s">
        <v>103</v>
      </c>
      <c r="AG7158" t="s">
        <v>81</v>
      </c>
    </row>
    <row r="7159" spans="1:33" x14ac:dyDescent="0.25">
      <c r="A7159" t="str">
        <f>"1457689010"</f>
        <v>1457689010</v>
      </c>
      <c r="B7159" t="str">
        <f>"03173911"</f>
        <v>03173911</v>
      </c>
      <c r="C7159" t="s">
        <v>13436</v>
      </c>
      <c r="D7159" t="s">
        <v>32437</v>
      </c>
      <c r="E7159" t="s">
        <v>32438</v>
      </c>
      <c r="G7159" t="s">
        <v>32439</v>
      </c>
      <c r="L7159" t="s">
        <v>74</v>
      </c>
      <c r="M7159" t="s">
        <v>85</v>
      </c>
      <c r="R7159" t="s">
        <v>32438</v>
      </c>
      <c r="W7159" t="s">
        <v>32440</v>
      </c>
      <c r="X7159" t="s">
        <v>32441</v>
      </c>
      <c r="Y7159" t="s">
        <v>97</v>
      </c>
      <c r="Z7159" t="s">
        <v>77</v>
      </c>
      <c r="AA7159" t="str">
        <f>"10029-6503"</f>
        <v>10029-6503</v>
      </c>
      <c r="AB7159" t="s">
        <v>114</v>
      </c>
      <c r="AC7159" t="s">
        <v>79</v>
      </c>
      <c r="AD7159" t="s">
        <v>75</v>
      </c>
      <c r="AE7159" t="s">
        <v>80</v>
      </c>
      <c r="AG7159" t="s">
        <v>81</v>
      </c>
    </row>
    <row r="7160" spans="1:33" x14ac:dyDescent="0.25">
      <c r="A7160" t="str">
        <f>"1457766248"</f>
        <v>1457766248</v>
      </c>
      <c r="C7160" t="s">
        <v>13436</v>
      </c>
      <c r="G7160" t="s">
        <v>32442</v>
      </c>
      <c r="K7160" t="s">
        <v>99</v>
      </c>
      <c r="L7160" t="s">
        <v>102</v>
      </c>
      <c r="M7160" t="s">
        <v>75</v>
      </c>
      <c r="R7160" t="s">
        <v>32443</v>
      </c>
      <c r="S7160" t="s">
        <v>12769</v>
      </c>
      <c r="T7160" t="s">
        <v>4861</v>
      </c>
      <c r="U7160" t="s">
        <v>156</v>
      </c>
      <c r="V7160" t="str">
        <f>"076311808"</f>
        <v>076311808</v>
      </c>
      <c r="AC7160" t="s">
        <v>79</v>
      </c>
      <c r="AD7160" t="s">
        <v>75</v>
      </c>
      <c r="AE7160" t="s">
        <v>103</v>
      </c>
      <c r="AG7160" t="s">
        <v>81</v>
      </c>
    </row>
    <row r="7161" spans="1:33" x14ac:dyDescent="0.25">
      <c r="A7161" t="str">
        <f>"1225128408"</f>
        <v>1225128408</v>
      </c>
      <c r="B7161" t="str">
        <f>"02662100"</f>
        <v>02662100</v>
      </c>
      <c r="C7161" t="s">
        <v>13436</v>
      </c>
      <c r="D7161" t="s">
        <v>32444</v>
      </c>
      <c r="E7161" t="s">
        <v>32445</v>
      </c>
      <c r="L7161" t="s">
        <v>102</v>
      </c>
      <c r="M7161" t="s">
        <v>85</v>
      </c>
      <c r="R7161" t="s">
        <v>32446</v>
      </c>
      <c r="W7161" t="s">
        <v>32445</v>
      </c>
      <c r="X7161" t="s">
        <v>15908</v>
      </c>
      <c r="Y7161" t="s">
        <v>97</v>
      </c>
      <c r="Z7161" t="s">
        <v>77</v>
      </c>
      <c r="AA7161" t="str">
        <f>"10021-9800"</f>
        <v>10021-9800</v>
      </c>
      <c r="AB7161" t="s">
        <v>78</v>
      </c>
      <c r="AC7161" t="s">
        <v>79</v>
      </c>
      <c r="AD7161" t="s">
        <v>75</v>
      </c>
      <c r="AE7161" t="s">
        <v>80</v>
      </c>
      <c r="AG7161" t="s">
        <v>81</v>
      </c>
    </row>
    <row r="7162" spans="1:33" x14ac:dyDescent="0.25">
      <c r="A7162" t="str">
        <f>"1407839962"</f>
        <v>1407839962</v>
      </c>
      <c r="B7162" t="str">
        <f>"02543933"</f>
        <v>02543933</v>
      </c>
      <c r="C7162" t="s">
        <v>13436</v>
      </c>
      <c r="D7162" t="s">
        <v>32447</v>
      </c>
      <c r="E7162" t="s">
        <v>32448</v>
      </c>
      <c r="L7162" t="s">
        <v>74</v>
      </c>
      <c r="M7162" t="s">
        <v>75</v>
      </c>
      <c r="R7162" t="s">
        <v>32448</v>
      </c>
      <c r="W7162" t="s">
        <v>32449</v>
      </c>
      <c r="X7162" t="s">
        <v>941</v>
      </c>
      <c r="Y7162" t="s">
        <v>146</v>
      </c>
      <c r="Z7162" t="s">
        <v>77</v>
      </c>
      <c r="AA7162" t="str">
        <f>"10595-1652"</f>
        <v>10595-1652</v>
      </c>
      <c r="AB7162" t="s">
        <v>78</v>
      </c>
      <c r="AC7162" t="s">
        <v>79</v>
      </c>
      <c r="AD7162" t="s">
        <v>75</v>
      </c>
      <c r="AE7162" t="s">
        <v>80</v>
      </c>
      <c r="AG7162" t="s">
        <v>81</v>
      </c>
    </row>
    <row r="7163" spans="1:33" x14ac:dyDescent="0.25">
      <c r="A7163" t="str">
        <f>"1487790846"</f>
        <v>1487790846</v>
      </c>
      <c r="B7163" t="str">
        <f>"02175771"</f>
        <v>02175771</v>
      </c>
      <c r="C7163" t="s">
        <v>13436</v>
      </c>
      <c r="D7163" t="s">
        <v>32450</v>
      </c>
      <c r="E7163" t="s">
        <v>32451</v>
      </c>
      <c r="G7163" t="s">
        <v>32452</v>
      </c>
      <c r="L7163" t="s">
        <v>84</v>
      </c>
      <c r="M7163" t="s">
        <v>85</v>
      </c>
      <c r="R7163" t="s">
        <v>32453</v>
      </c>
      <c r="W7163" t="s">
        <v>32451</v>
      </c>
      <c r="X7163" t="s">
        <v>130</v>
      </c>
      <c r="Y7163" t="s">
        <v>131</v>
      </c>
      <c r="Z7163" t="s">
        <v>77</v>
      </c>
      <c r="AA7163" t="str">
        <f>"10461-1138"</f>
        <v>10461-1138</v>
      </c>
      <c r="AB7163" t="s">
        <v>78</v>
      </c>
      <c r="AC7163" t="s">
        <v>79</v>
      </c>
      <c r="AD7163" t="s">
        <v>75</v>
      </c>
      <c r="AE7163" t="s">
        <v>80</v>
      </c>
      <c r="AG7163" t="s">
        <v>81</v>
      </c>
    </row>
    <row r="7164" spans="1:33" x14ac:dyDescent="0.25">
      <c r="A7164" t="str">
        <f>"1447593181"</f>
        <v>1447593181</v>
      </c>
      <c r="C7164" t="s">
        <v>13436</v>
      </c>
      <c r="K7164" t="s">
        <v>99</v>
      </c>
      <c r="L7164" t="s">
        <v>102</v>
      </c>
      <c r="M7164" t="s">
        <v>75</v>
      </c>
      <c r="R7164" t="s">
        <v>32454</v>
      </c>
      <c r="S7164" t="s">
        <v>32455</v>
      </c>
      <c r="T7164" t="s">
        <v>97</v>
      </c>
      <c r="U7164" t="s">
        <v>77</v>
      </c>
      <c r="V7164" t="str">
        <f>"10003"</f>
        <v>10003</v>
      </c>
      <c r="AC7164" t="s">
        <v>79</v>
      </c>
      <c r="AD7164" t="s">
        <v>75</v>
      </c>
      <c r="AE7164" t="s">
        <v>103</v>
      </c>
      <c r="AG7164" t="s">
        <v>81</v>
      </c>
    </row>
    <row r="7165" spans="1:33" x14ac:dyDescent="0.25">
      <c r="A7165" t="str">
        <f>"1447593645"</f>
        <v>1447593645</v>
      </c>
      <c r="C7165" t="s">
        <v>13436</v>
      </c>
      <c r="K7165" t="s">
        <v>99</v>
      </c>
      <c r="L7165" t="s">
        <v>102</v>
      </c>
      <c r="M7165" t="s">
        <v>75</v>
      </c>
      <c r="R7165" t="s">
        <v>32456</v>
      </c>
      <c r="S7165" t="s">
        <v>329</v>
      </c>
      <c r="T7165" t="s">
        <v>97</v>
      </c>
      <c r="U7165" t="s">
        <v>77</v>
      </c>
      <c r="V7165" t="str">
        <f>"100296500"</f>
        <v>100296500</v>
      </c>
      <c r="AC7165" t="s">
        <v>79</v>
      </c>
      <c r="AD7165" t="s">
        <v>75</v>
      </c>
      <c r="AE7165" t="s">
        <v>103</v>
      </c>
      <c r="AG7165" t="s">
        <v>81</v>
      </c>
    </row>
    <row r="7166" spans="1:33" x14ac:dyDescent="0.25">
      <c r="A7166" t="str">
        <f>"1447660352"</f>
        <v>1447660352</v>
      </c>
      <c r="C7166" t="s">
        <v>13436</v>
      </c>
      <c r="K7166" t="s">
        <v>99</v>
      </c>
      <c r="L7166" t="s">
        <v>102</v>
      </c>
      <c r="M7166" t="s">
        <v>75</v>
      </c>
      <c r="R7166" t="s">
        <v>32457</v>
      </c>
      <c r="S7166" t="s">
        <v>2838</v>
      </c>
      <c r="T7166" t="s">
        <v>97</v>
      </c>
      <c r="U7166" t="s">
        <v>77</v>
      </c>
      <c r="V7166" t="str">
        <f>"100033105"</f>
        <v>100033105</v>
      </c>
      <c r="AC7166" t="s">
        <v>79</v>
      </c>
      <c r="AD7166" t="s">
        <v>75</v>
      </c>
      <c r="AE7166" t="s">
        <v>103</v>
      </c>
      <c r="AG7166" t="s">
        <v>81</v>
      </c>
    </row>
    <row r="7167" spans="1:33" x14ac:dyDescent="0.25">
      <c r="A7167" t="str">
        <f>"1447665369"</f>
        <v>1447665369</v>
      </c>
      <c r="C7167" t="s">
        <v>13436</v>
      </c>
      <c r="G7167" t="s">
        <v>32458</v>
      </c>
      <c r="K7167" t="s">
        <v>99</v>
      </c>
      <c r="L7167" t="s">
        <v>102</v>
      </c>
      <c r="M7167" t="s">
        <v>75</v>
      </c>
      <c r="R7167" t="s">
        <v>32459</v>
      </c>
      <c r="S7167" t="s">
        <v>12769</v>
      </c>
      <c r="T7167" t="s">
        <v>4861</v>
      </c>
      <c r="U7167" t="s">
        <v>156</v>
      </c>
      <c r="V7167" t="str">
        <f>"076311808"</f>
        <v>076311808</v>
      </c>
      <c r="AC7167" t="s">
        <v>79</v>
      </c>
      <c r="AD7167" t="s">
        <v>75</v>
      </c>
      <c r="AE7167" t="s">
        <v>103</v>
      </c>
      <c r="AG7167" t="s">
        <v>81</v>
      </c>
    </row>
    <row r="7168" spans="1:33" x14ac:dyDescent="0.25">
      <c r="A7168" t="str">
        <f>"1134413867"</f>
        <v>1134413867</v>
      </c>
      <c r="B7168" t="str">
        <f>"04504481"</f>
        <v>04504481</v>
      </c>
      <c r="C7168" t="s">
        <v>13436</v>
      </c>
      <c r="D7168" t="s">
        <v>32460</v>
      </c>
      <c r="E7168" t="s">
        <v>32461</v>
      </c>
      <c r="L7168" t="s">
        <v>102</v>
      </c>
      <c r="M7168" t="s">
        <v>75</v>
      </c>
      <c r="R7168" t="s">
        <v>32462</v>
      </c>
      <c r="W7168" t="s">
        <v>32461</v>
      </c>
      <c r="AB7168" t="s">
        <v>78</v>
      </c>
      <c r="AC7168" t="s">
        <v>79</v>
      </c>
      <c r="AD7168" t="s">
        <v>75</v>
      </c>
      <c r="AE7168" t="s">
        <v>80</v>
      </c>
      <c r="AG7168" t="s">
        <v>81</v>
      </c>
    </row>
    <row r="7169" spans="1:33" x14ac:dyDescent="0.25">
      <c r="A7169" t="str">
        <f>"1225060080"</f>
        <v>1225060080</v>
      </c>
      <c r="B7169" t="str">
        <f>"02269510"</f>
        <v>02269510</v>
      </c>
      <c r="C7169" t="s">
        <v>13436</v>
      </c>
      <c r="D7169" t="s">
        <v>32463</v>
      </c>
      <c r="E7169" t="s">
        <v>32464</v>
      </c>
      <c r="G7169" t="s">
        <v>32465</v>
      </c>
      <c r="L7169" t="s">
        <v>83</v>
      </c>
      <c r="M7169" t="s">
        <v>85</v>
      </c>
      <c r="R7169" t="s">
        <v>32466</v>
      </c>
      <c r="W7169" t="s">
        <v>32464</v>
      </c>
      <c r="X7169" t="s">
        <v>32467</v>
      </c>
      <c r="Y7169" t="s">
        <v>97</v>
      </c>
      <c r="Z7169" t="s">
        <v>77</v>
      </c>
      <c r="AA7169" t="str">
        <f>"10021-9800"</f>
        <v>10021-9800</v>
      </c>
      <c r="AB7169" t="s">
        <v>78</v>
      </c>
      <c r="AC7169" t="s">
        <v>79</v>
      </c>
      <c r="AD7169" t="s">
        <v>75</v>
      </c>
      <c r="AE7169" t="s">
        <v>80</v>
      </c>
      <c r="AG7169" t="s">
        <v>81</v>
      </c>
    </row>
    <row r="7170" spans="1:33" x14ac:dyDescent="0.25">
      <c r="A7170" t="str">
        <f>"1225079239"</f>
        <v>1225079239</v>
      </c>
      <c r="B7170" t="str">
        <f>"02577484"</f>
        <v>02577484</v>
      </c>
      <c r="C7170" t="s">
        <v>13436</v>
      </c>
      <c r="D7170" t="s">
        <v>32468</v>
      </c>
      <c r="E7170" t="s">
        <v>32469</v>
      </c>
      <c r="G7170" t="s">
        <v>32470</v>
      </c>
      <c r="L7170" t="s">
        <v>83</v>
      </c>
      <c r="M7170" t="s">
        <v>85</v>
      </c>
      <c r="R7170" t="s">
        <v>32471</v>
      </c>
      <c r="W7170" t="s">
        <v>32469</v>
      </c>
      <c r="X7170" t="s">
        <v>1909</v>
      </c>
      <c r="Y7170" t="s">
        <v>190</v>
      </c>
      <c r="Z7170" t="s">
        <v>77</v>
      </c>
      <c r="AA7170" t="str">
        <f>"11102-2445"</f>
        <v>11102-2445</v>
      </c>
      <c r="AB7170" t="s">
        <v>78</v>
      </c>
      <c r="AC7170" t="s">
        <v>79</v>
      </c>
      <c r="AD7170" t="s">
        <v>75</v>
      </c>
      <c r="AE7170" t="s">
        <v>80</v>
      </c>
      <c r="AG7170" t="s">
        <v>81</v>
      </c>
    </row>
    <row r="7171" spans="1:33" x14ac:dyDescent="0.25">
      <c r="A7171" t="str">
        <f>"1225084494"</f>
        <v>1225084494</v>
      </c>
      <c r="B7171" t="str">
        <f>"01015109"</f>
        <v>01015109</v>
      </c>
      <c r="C7171" t="s">
        <v>13436</v>
      </c>
      <c r="D7171" t="s">
        <v>32472</v>
      </c>
      <c r="E7171" t="s">
        <v>32473</v>
      </c>
      <c r="G7171" t="s">
        <v>32474</v>
      </c>
      <c r="L7171" t="s">
        <v>83</v>
      </c>
      <c r="M7171" t="s">
        <v>75</v>
      </c>
      <c r="R7171" t="s">
        <v>32475</v>
      </c>
      <c r="W7171" t="s">
        <v>32473</v>
      </c>
      <c r="X7171" t="s">
        <v>32476</v>
      </c>
      <c r="Y7171" t="s">
        <v>97</v>
      </c>
      <c r="Z7171" t="s">
        <v>77</v>
      </c>
      <c r="AA7171" t="str">
        <f>"10029-6503"</f>
        <v>10029-6503</v>
      </c>
      <c r="AB7171" t="s">
        <v>78</v>
      </c>
      <c r="AC7171" t="s">
        <v>79</v>
      </c>
      <c r="AD7171" t="s">
        <v>75</v>
      </c>
      <c r="AE7171" t="s">
        <v>80</v>
      </c>
      <c r="AG7171" t="s">
        <v>81</v>
      </c>
    </row>
    <row r="7172" spans="1:33" x14ac:dyDescent="0.25">
      <c r="A7172" t="str">
        <f>"1225090640"</f>
        <v>1225090640</v>
      </c>
      <c r="B7172" t="str">
        <f>"01834784"</f>
        <v>01834784</v>
      </c>
      <c r="C7172" t="s">
        <v>13436</v>
      </c>
      <c r="D7172" t="s">
        <v>32477</v>
      </c>
      <c r="E7172" t="s">
        <v>32478</v>
      </c>
      <c r="G7172" t="s">
        <v>32479</v>
      </c>
      <c r="L7172" t="s">
        <v>84</v>
      </c>
      <c r="M7172" t="s">
        <v>85</v>
      </c>
      <c r="R7172" t="s">
        <v>32478</v>
      </c>
      <c r="W7172" t="s">
        <v>32478</v>
      </c>
      <c r="X7172" t="s">
        <v>32480</v>
      </c>
      <c r="Y7172" t="s">
        <v>97</v>
      </c>
      <c r="Z7172" t="s">
        <v>77</v>
      </c>
      <c r="AA7172" t="str">
        <f>"10028-0318"</f>
        <v>10028-0318</v>
      </c>
      <c r="AB7172" t="s">
        <v>78</v>
      </c>
      <c r="AC7172" t="s">
        <v>79</v>
      </c>
      <c r="AD7172" t="s">
        <v>75</v>
      </c>
      <c r="AE7172" t="s">
        <v>80</v>
      </c>
      <c r="AG7172" t="s">
        <v>81</v>
      </c>
    </row>
    <row r="7173" spans="1:33" x14ac:dyDescent="0.25">
      <c r="A7173" t="str">
        <f>"1376572933"</f>
        <v>1376572933</v>
      </c>
      <c r="B7173" t="str">
        <f>"00987242"</f>
        <v>00987242</v>
      </c>
      <c r="C7173" t="s">
        <v>13436</v>
      </c>
      <c r="D7173" t="s">
        <v>32481</v>
      </c>
      <c r="E7173" t="s">
        <v>32482</v>
      </c>
      <c r="G7173" t="s">
        <v>32483</v>
      </c>
      <c r="L7173" t="s">
        <v>83</v>
      </c>
      <c r="M7173" t="s">
        <v>85</v>
      </c>
      <c r="R7173" t="s">
        <v>32484</v>
      </c>
      <c r="W7173" t="s">
        <v>32482</v>
      </c>
      <c r="X7173" t="s">
        <v>32485</v>
      </c>
      <c r="Y7173" t="s">
        <v>139</v>
      </c>
      <c r="Z7173" t="s">
        <v>77</v>
      </c>
      <c r="AA7173" t="str">
        <f>"11355"</f>
        <v>11355</v>
      </c>
      <c r="AB7173" t="s">
        <v>78</v>
      </c>
      <c r="AC7173" t="s">
        <v>79</v>
      </c>
      <c r="AD7173" t="s">
        <v>75</v>
      </c>
      <c r="AE7173" t="s">
        <v>80</v>
      </c>
      <c r="AG7173" t="s">
        <v>81</v>
      </c>
    </row>
    <row r="7174" spans="1:33" x14ac:dyDescent="0.25">
      <c r="A7174" t="str">
        <f>"1376586370"</f>
        <v>1376586370</v>
      </c>
      <c r="B7174" t="str">
        <f>"00920347"</f>
        <v>00920347</v>
      </c>
      <c r="C7174" t="s">
        <v>13436</v>
      </c>
      <c r="D7174" t="s">
        <v>32486</v>
      </c>
      <c r="E7174" t="s">
        <v>32487</v>
      </c>
      <c r="G7174" t="s">
        <v>32488</v>
      </c>
      <c r="L7174" t="s">
        <v>74</v>
      </c>
      <c r="M7174" t="s">
        <v>85</v>
      </c>
      <c r="R7174" t="s">
        <v>32489</v>
      </c>
      <c r="W7174" t="s">
        <v>32487</v>
      </c>
      <c r="X7174" t="s">
        <v>5531</v>
      </c>
      <c r="Y7174" t="s">
        <v>190</v>
      </c>
      <c r="Z7174" t="s">
        <v>77</v>
      </c>
      <c r="AA7174" t="str">
        <f>"11102-2418"</f>
        <v>11102-2418</v>
      </c>
      <c r="AB7174" t="s">
        <v>78</v>
      </c>
      <c r="AC7174" t="s">
        <v>79</v>
      </c>
      <c r="AD7174" t="s">
        <v>75</v>
      </c>
      <c r="AE7174" t="s">
        <v>80</v>
      </c>
      <c r="AG7174" t="s">
        <v>81</v>
      </c>
    </row>
    <row r="7175" spans="1:33" x14ac:dyDescent="0.25">
      <c r="A7175" t="str">
        <f>"1376622183"</f>
        <v>1376622183</v>
      </c>
      <c r="B7175" t="str">
        <f>"00843196"</f>
        <v>00843196</v>
      </c>
      <c r="C7175" t="s">
        <v>13436</v>
      </c>
      <c r="D7175" t="s">
        <v>32490</v>
      </c>
      <c r="E7175" t="s">
        <v>32491</v>
      </c>
      <c r="L7175" t="s">
        <v>84</v>
      </c>
      <c r="M7175" t="s">
        <v>85</v>
      </c>
      <c r="R7175" t="s">
        <v>32492</v>
      </c>
      <c r="W7175" t="s">
        <v>32491</v>
      </c>
      <c r="X7175" t="s">
        <v>32493</v>
      </c>
      <c r="Y7175" t="s">
        <v>97</v>
      </c>
      <c r="Z7175" t="s">
        <v>77</v>
      </c>
      <c r="AA7175" t="str">
        <f>"10065-6238"</f>
        <v>10065-6238</v>
      </c>
      <c r="AB7175" t="s">
        <v>78</v>
      </c>
      <c r="AC7175" t="s">
        <v>79</v>
      </c>
      <c r="AD7175" t="s">
        <v>75</v>
      </c>
      <c r="AE7175" t="s">
        <v>80</v>
      </c>
      <c r="AG7175" t="s">
        <v>81</v>
      </c>
    </row>
    <row r="7176" spans="1:33" x14ac:dyDescent="0.25">
      <c r="A7176" t="str">
        <f>"1376631085"</f>
        <v>1376631085</v>
      </c>
      <c r="B7176" t="str">
        <f>"02424711"</f>
        <v>02424711</v>
      </c>
      <c r="C7176" t="s">
        <v>13436</v>
      </c>
      <c r="D7176" t="s">
        <v>32494</v>
      </c>
      <c r="E7176" t="s">
        <v>32495</v>
      </c>
      <c r="G7176" t="s">
        <v>32496</v>
      </c>
      <c r="L7176" t="s">
        <v>83</v>
      </c>
      <c r="M7176" t="s">
        <v>85</v>
      </c>
      <c r="R7176" t="s">
        <v>32497</v>
      </c>
      <c r="W7176" t="s">
        <v>32495</v>
      </c>
      <c r="X7176" t="s">
        <v>191</v>
      </c>
      <c r="Y7176" t="s">
        <v>97</v>
      </c>
      <c r="Z7176" t="s">
        <v>77</v>
      </c>
      <c r="AA7176" t="str">
        <f>"10019-1147"</f>
        <v>10019-1147</v>
      </c>
      <c r="AB7176" t="s">
        <v>78</v>
      </c>
      <c r="AC7176" t="s">
        <v>79</v>
      </c>
      <c r="AD7176" t="s">
        <v>75</v>
      </c>
      <c r="AE7176" t="s">
        <v>80</v>
      </c>
      <c r="AG7176" t="s">
        <v>81</v>
      </c>
    </row>
    <row r="7177" spans="1:33" x14ac:dyDescent="0.25">
      <c r="A7177" t="str">
        <f>"1558620369"</f>
        <v>1558620369</v>
      </c>
      <c r="C7177" t="s">
        <v>13436</v>
      </c>
      <c r="K7177" t="s">
        <v>99</v>
      </c>
      <c r="L7177" t="s">
        <v>102</v>
      </c>
      <c r="M7177" t="s">
        <v>75</v>
      </c>
      <c r="R7177" t="s">
        <v>32498</v>
      </c>
      <c r="S7177" t="s">
        <v>32499</v>
      </c>
      <c r="T7177" t="s">
        <v>97</v>
      </c>
      <c r="U7177" t="s">
        <v>77</v>
      </c>
      <c r="V7177" t="str">
        <f>"100381529"</f>
        <v>100381529</v>
      </c>
      <c r="AC7177" t="s">
        <v>79</v>
      </c>
      <c r="AD7177" t="s">
        <v>75</v>
      </c>
      <c r="AE7177" t="s">
        <v>103</v>
      </c>
      <c r="AG7177" t="s">
        <v>81</v>
      </c>
    </row>
    <row r="7178" spans="1:33" x14ac:dyDescent="0.25">
      <c r="A7178" t="str">
        <f>"1558627612"</f>
        <v>1558627612</v>
      </c>
      <c r="C7178" t="s">
        <v>13436</v>
      </c>
      <c r="K7178" t="s">
        <v>99</v>
      </c>
      <c r="L7178" t="s">
        <v>102</v>
      </c>
      <c r="M7178" t="s">
        <v>75</v>
      </c>
      <c r="R7178" t="s">
        <v>32500</v>
      </c>
      <c r="S7178" t="s">
        <v>32501</v>
      </c>
      <c r="T7178" t="s">
        <v>97</v>
      </c>
      <c r="U7178" t="s">
        <v>77</v>
      </c>
      <c r="V7178" t="str">
        <f>"100296504"</f>
        <v>100296504</v>
      </c>
      <c r="AC7178" t="s">
        <v>79</v>
      </c>
      <c r="AD7178" t="s">
        <v>75</v>
      </c>
      <c r="AE7178" t="s">
        <v>103</v>
      </c>
      <c r="AG7178" t="s">
        <v>81</v>
      </c>
    </row>
    <row r="7179" spans="1:33" x14ac:dyDescent="0.25">
      <c r="A7179" t="str">
        <f>"1558628156"</f>
        <v>1558628156</v>
      </c>
      <c r="B7179" t="str">
        <f>"03821592"</f>
        <v>03821592</v>
      </c>
      <c r="C7179" t="s">
        <v>13436</v>
      </c>
      <c r="D7179" t="s">
        <v>32502</v>
      </c>
      <c r="E7179" t="s">
        <v>32503</v>
      </c>
      <c r="L7179" t="s">
        <v>74</v>
      </c>
      <c r="M7179" t="s">
        <v>75</v>
      </c>
      <c r="R7179" t="s">
        <v>32503</v>
      </c>
      <c r="W7179" t="s">
        <v>32503</v>
      </c>
      <c r="X7179" t="s">
        <v>306</v>
      </c>
      <c r="Y7179" t="s">
        <v>97</v>
      </c>
      <c r="Z7179" t="s">
        <v>77</v>
      </c>
      <c r="AA7179" t="str">
        <f>"10003-4201"</f>
        <v>10003-4201</v>
      </c>
      <c r="AB7179" t="s">
        <v>78</v>
      </c>
      <c r="AC7179" t="s">
        <v>79</v>
      </c>
      <c r="AD7179" t="s">
        <v>75</v>
      </c>
      <c r="AE7179" t="s">
        <v>80</v>
      </c>
      <c r="AG7179" t="s">
        <v>81</v>
      </c>
    </row>
    <row r="7180" spans="1:33" x14ac:dyDescent="0.25">
      <c r="A7180" t="str">
        <f>"1558636878"</f>
        <v>1558636878</v>
      </c>
      <c r="B7180" t="str">
        <f>"04358325"</f>
        <v>04358325</v>
      </c>
      <c r="C7180" t="s">
        <v>13436</v>
      </c>
      <c r="D7180" t="s">
        <v>32504</v>
      </c>
      <c r="E7180" t="s">
        <v>32505</v>
      </c>
      <c r="L7180" t="s">
        <v>74</v>
      </c>
      <c r="M7180" t="s">
        <v>75</v>
      </c>
      <c r="R7180" t="s">
        <v>32506</v>
      </c>
      <c r="W7180" t="s">
        <v>32505</v>
      </c>
      <c r="X7180" t="s">
        <v>32507</v>
      </c>
      <c r="Y7180" t="s">
        <v>97</v>
      </c>
      <c r="Z7180" t="s">
        <v>77</v>
      </c>
      <c r="AA7180" t="str">
        <f>"10003-3804"</f>
        <v>10003-3804</v>
      </c>
      <c r="AB7180" t="s">
        <v>78</v>
      </c>
      <c r="AC7180" t="s">
        <v>79</v>
      </c>
      <c r="AD7180" t="s">
        <v>75</v>
      </c>
      <c r="AE7180" t="s">
        <v>80</v>
      </c>
      <c r="AG7180" t="s">
        <v>81</v>
      </c>
    </row>
    <row r="7181" spans="1:33" x14ac:dyDescent="0.25">
      <c r="A7181" t="str">
        <f>"1558650002"</f>
        <v>1558650002</v>
      </c>
      <c r="C7181" t="s">
        <v>13436</v>
      </c>
      <c r="K7181" t="s">
        <v>99</v>
      </c>
      <c r="L7181" t="s">
        <v>102</v>
      </c>
      <c r="M7181" t="s">
        <v>75</v>
      </c>
      <c r="R7181" t="s">
        <v>32508</v>
      </c>
      <c r="S7181" t="s">
        <v>32509</v>
      </c>
      <c r="T7181" t="s">
        <v>97</v>
      </c>
      <c r="U7181" t="s">
        <v>77</v>
      </c>
      <c r="V7181" t="str">
        <f>"100033314"</f>
        <v>100033314</v>
      </c>
      <c r="AC7181" t="s">
        <v>79</v>
      </c>
      <c r="AD7181" t="s">
        <v>75</v>
      </c>
      <c r="AE7181" t="s">
        <v>103</v>
      </c>
      <c r="AG7181" t="s">
        <v>81</v>
      </c>
    </row>
    <row r="7182" spans="1:33" x14ac:dyDescent="0.25">
      <c r="A7182" t="str">
        <f>"1265789184"</f>
        <v>1265789184</v>
      </c>
      <c r="B7182" t="str">
        <f>"03741559"</f>
        <v>03741559</v>
      </c>
      <c r="C7182" t="s">
        <v>13436</v>
      </c>
      <c r="D7182" t="s">
        <v>32510</v>
      </c>
      <c r="E7182" t="s">
        <v>32511</v>
      </c>
      <c r="G7182" t="s">
        <v>32512</v>
      </c>
      <c r="L7182" t="s">
        <v>74</v>
      </c>
      <c r="M7182" t="s">
        <v>75</v>
      </c>
      <c r="R7182" t="s">
        <v>32513</v>
      </c>
      <c r="W7182" t="s">
        <v>32511</v>
      </c>
      <c r="X7182" t="s">
        <v>32514</v>
      </c>
      <c r="Y7182" t="s">
        <v>97</v>
      </c>
      <c r="Z7182" t="s">
        <v>77</v>
      </c>
      <c r="AA7182" t="str">
        <f>"10029-6501"</f>
        <v>10029-6501</v>
      </c>
      <c r="AB7182" t="s">
        <v>78</v>
      </c>
      <c r="AC7182" t="s">
        <v>79</v>
      </c>
      <c r="AD7182" t="s">
        <v>75</v>
      </c>
      <c r="AE7182" t="s">
        <v>80</v>
      </c>
      <c r="AG7182" t="s">
        <v>81</v>
      </c>
    </row>
    <row r="7183" spans="1:33" x14ac:dyDescent="0.25">
      <c r="A7183" t="str">
        <f>"1265798896"</f>
        <v>1265798896</v>
      </c>
      <c r="C7183" t="s">
        <v>13436</v>
      </c>
      <c r="K7183" t="s">
        <v>99</v>
      </c>
      <c r="L7183" t="s">
        <v>102</v>
      </c>
      <c r="M7183" t="s">
        <v>75</v>
      </c>
      <c r="R7183" t="s">
        <v>32515</v>
      </c>
      <c r="S7183" t="s">
        <v>191</v>
      </c>
      <c r="T7183" t="s">
        <v>97</v>
      </c>
      <c r="U7183" t="s">
        <v>77</v>
      </c>
      <c r="V7183" t="str">
        <f>"100191147"</f>
        <v>100191147</v>
      </c>
      <c r="AC7183" t="s">
        <v>79</v>
      </c>
      <c r="AD7183" t="s">
        <v>75</v>
      </c>
      <c r="AE7183" t="s">
        <v>103</v>
      </c>
      <c r="AG7183" t="s">
        <v>81</v>
      </c>
    </row>
    <row r="7184" spans="1:33" x14ac:dyDescent="0.25">
      <c r="A7184" t="str">
        <f>"1265850689"</f>
        <v>1265850689</v>
      </c>
      <c r="C7184" t="s">
        <v>13436</v>
      </c>
      <c r="K7184" t="s">
        <v>99</v>
      </c>
      <c r="L7184" t="s">
        <v>102</v>
      </c>
      <c r="M7184" t="s">
        <v>75</v>
      </c>
      <c r="R7184" t="s">
        <v>32516</v>
      </c>
      <c r="S7184" t="s">
        <v>191</v>
      </c>
      <c r="T7184" t="s">
        <v>97</v>
      </c>
      <c r="U7184" t="s">
        <v>77</v>
      </c>
      <c r="V7184" t="str">
        <f>"100191147"</f>
        <v>100191147</v>
      </c>
      <c r="AC7184" t="s">
        <v>79</v>
      </c>
      <c r="AD7184" t="s">
        <v>75</v>
      </c>
      <c r="AE7184" t="s">
        <v>103</v>
      </c>
      <c r="AG7184" t="s">
        <v>81</v>
      </c>
    </row>
    <row r="7185" spans="1:33" x14ac:dyDescent="0.25">
      <c r="A7185" t="str">
        <f>"1265851638"</f>
        <v>1265851638</v>
      </c>
      <c r="C7185" t="s">
        <v>13436</v>
      </c>
      <c r="K7185" t="s">
        <v>99</v>
      </c>
      <c r="L7185" t="s">
        <v>102</v>
      </c>
      <c r="M7185" t="s">
        <v>75</v>
      </c>
      <c r="R7185" t="s">
        <v>32517</v>
      </c>
      <c r="S7185" t="s">
        <v>32518</v>
      </c>
      <c r="T7185" t="s">
        <v>97</v>
      </c>
      <c r="U7185" t="s">
        <v>77</v>
      </c>
      <c r="V7185" t="str">
        <f>"100191147"</f>
        <v>100191147</v>
      </c>
      <c r="AC7185" t="s">
        <v>79</v>
      </c>
      <c r="AD7185" t="s">
        <v>75</v>
      </c>
      <c r="AE7185" t="s">
        <v>103</v>
      </c>
      <c r="AG7185" t="s">
        <v>81</v>
      </c>
    </row>
    <row r="7186" spans="1:33" x14ac:dyDescent="0.25">
      <c r="A7186" t="str">
        <f>"1457614141"</f>
        <v>1457614141</v>
      </c>
      <c r="C7186" t="s">
        <v>13436</v>
      </c>
      <c r="K7186" t="s">
        <v>99</v>
      </c>
      <c r="L7186" t="s">
        <v>102</v>
      </c>
      <c r="M7186" t="s">
        <v>75</v>
      </c>
      <c r="R7186" t="s">
        <v>32519</v>
      </c>
      <c r="S7186" t="s">
        <v>32520</v>
      </c>
      <c r="T7186" t="s">
        <v>32521</v>
      </c>
      <c r="U7186" t="s">
        <v>1784</v>
      </c>
      <c r="V7186" t="str">
        <f>"180151000"</f>
        <v>180151000</v>
      </c>
      <c r="AC7186" t="s">
        <v>79</v>
      </c>
      <c r="AD7186" t="s">
        <v>75</v>
      </c>
      <c r="AE7186" t="s">
        <v>103</v>
      </c>
      <c r="AG7186" t="s">
        <v>81</v>
      </c>
    </row>
    <row r="7187" spans="1:33" x14ac:dyDescent="0.25">
      <c r="A7187" t="str">
        <f>"1457614968"</f>
        <v>1457614968</v>
      </c>
      <c r="B7187" t="str">
        <f>"03821547"</f>
        <v>03821547</v>
      </c>
      <c r="C7187" t="s">
        <v>13436</v>
      </c>
      <c r="D7187" t="s">
        <v>32522</v>
      </c>
      <c r="E7187" t="s">
        <v>32523</v>
      </c>
      <c r="L7187" t="s">
        <v>74</v>
      </c>
      <c r="M7187" t="s">
        <v>75</v>
      </c>
      <c r="R7187" t="s">
        <v>32523</v>
      </c>
      <c r="W7187" t="s">
        <v>32523</v>
      </c>
      <c r="X7187" t="s">
        <v>306</v>
      </c>
      <c r="Y7187" t="s">
        <v>97</v>
      </c>
      <c r="Z7187" t="s">
        <v>77</v>
      </c>
      <c r="AA7187" t="str">
        <f>"10003-4201"</f>
        <v>10003-4201</v>
      </c>
      <c r="AB7187" t="s">
        <v>78</v>
      </c>
      <c r="AC7187" t="s">
        <v>79</v>
      </c>
      <c r="AD7187" t="s">
        <v>75</v>
      </c>
      <c r="AE7187" t="s">
        <v>80</v>
      </c>
      <c r="AG7187" t="s">
        <v>81</v>
      </c>
    </row>
    <row r="7188" spans="1:33" x14ac:dyDescent="0.25">
      <c r="A7188" t="str">
        <f>"1457617771"</f>
        <v>1457617771</v>
      </c>
      <c r="C7188" t="s">
        <v>13436</v>
      </c>
      <c r="K7188" t="s">
        <v>99</v>
      </c>
      <c r="L7188" t="s">
        <v>102</v>
      </c>
      <c r="M7188" t="s">
        <v>75</v>
      </c>
      <c r="R7188" t="s">
        <v>32524</v>
      </c>
      <c r="S7188" t="s">
        <v>191</v>
      </c>
      <c r="T7188" t="s">
        <v>97</v>
      </c>
      <c r="U7188" t="s">
        <v>77</v>
      </c>
      <c r="V7188" t="str">
        <f>"100191147"</f>
        <v>100191147</v>
      </c>
      <c r="AC7188" t="s">
        <v>79</v>
      </c>
      <c r="AD7188" t="s">
        <v>75</v>
      </c>
      <c r="AE7188" t="s">
        <v>103</v>
      </c>
      <c r="AG7188" t="s">
        <v>81</v>
      </c>
    </row>
    <row r="7189" spans="1:33" x14ac:dyDescent="0.25">
      <c r="A7189" t="str">
        <f>"1457626632"</f>
        <v>1457626632</v>
      </c>
      <c r="C7189" t="s">
        <v>13436</v>
      </c>
      <c r="K7189" t="s">
        <v>99</v>
      </c>
      <c r="L7189" t="s">
        <v>102</v>
      </c>
      <c r="M7189" t="s">
        <v>75</v>
      </c>
      <c r="R7189" t="s">
        <v>32525</v>
      </c>
      <c r="S7189" t="s">
        <v>32526</v>
      </c>
      <c r="T7189" t="s">
        <v>32527</v>
      </c>
      <c r="U7189" t="s">
        <v>1784</v>
      </c>
      <c r="V7189" t="str">
        <f>"175541671"</f>
        <v>175541671</v>
      </c>
      <c r="AC7189" t="s">
        <v>79</v>
      </c>
      <c r="AD7189" t="s">
        <v>75</v>
      </c>
      <c r="AE7189" t="s">
        <v>103</v>
      </c>
      <c r="AG7189" t="s">
        <v>81</v>
      </c>
    </row>
    <row r="7190" spans="1:33" x14ac:dyDescent="0.25">
      <c r="A7190" t="str">
        <f>"1467524702"</f>
        <v>1467524702</v>
      </c>
      <c r="B7190" t="str">
        <f>"01814768"</f>
        <v>01814768</v>
      </c>
      <c r="C7190" t="s">
        <v>13436</v>
      </c>
      <c r="D7190" t="s">
        <v>32528</v>
      </c>
      <c r="E7190" t="s">
        <v>32529</v>
      </c>
      <c r="L7190" t="s">
        <v>83</v>
      </c>
      <c r="M7190" t="s">
        <v>75</v>
      </c>
      <c r="R7190" t="s">
        <v>32530</v>
      </c>
      <c r="W7190" t="s">
        <v>32531</v>
      </c>
      <c r="X7190" t="s">
        <v>32532</v>
      </c>
      <c r="Y7190" t="s">
        <v>20366</v>
      </c>
      <c r="Z7190" t="s">
        <v>77</v>
      </c>
      <c r="AA7190" t="str">
        <f>"11753-1441"</f>
        <v>11753-1441</v>
      </c>
      <c r="AB7190" t="s">
        <v>128</v>
      </c>
      <c r="AC7190" t="s">
        <v>79</v>
      </c>
      <c r="AD7190" t="s">
        <v>75</v>
      </c>
      <c r="AE7190" t="s">
        <v>80</v>
      </c>
      <c r="AG7190" t="s">
        <v>81</v>
      </c>
    </row>
    <row r="7191" spans="1:33" x14ac:dyDescent="0.25">
      <c r="A7191" t="str">
        <f>"1275842452"</f>
        <v>1275842452</v>
      </c>
      <c r="B7191" t="str">
        <f>"04269687"</f>
        <v>04269687</v>
      </c>
      <c r="C7191" t="s">
        <v>13436</v>
      </c>
      <c r="D7191" t="s">
        <v>32533</v>
      </c>
      <c r="E7191" t="s">
        <v>32534</v>
      </c>
      <c r="G7191" t="s">
        <v>32535</v>
      </c>
      <c r="L7191" t="s">
        <v>94</v>
      </c>
      <c r="M7191" t="s">
        <v>75</v>
      </c>
      <c r="R7191" t="s">
        <v>32536</v>
      </c>
      <c r="W7191" t="s">
        <v>32534</v>
      </c>
      <c r="X7191" t="s">
        <v>16165</v>
      </c>
      <c r="Y7191" t="s">
        <v>87</v>
      </c>
      <c r="Z7191" t="s">
        <v>77</v>
      </c>
      <c r="AA7191" t="str">
        <f>"11249-2927"</f>
        <v>11249-2927</v>
      </c>
      <c r="AB7191" t="s">
        <v>78</v>
      </c>
      <c r="AC7191" t="s">
        <v>79</v>
      </c>
      <c r="AD7191" t="s">
        <v>75</v>
      </c>
      <c r="AE7191" t="s">
        <v>80</v>
      </c>
      <c r="AG7191" t="s">
        <v>81</v>
      </c>
    </row>
    <row r="7192" spans="1:33" x14ac:dyDescent="0.25">
      <c r="A7192" t="str">
        <f>"1285631101"</f>
        <v>1285631101</v>
      </c>
      <c r="B7192" t="str">
        <f>"02359704"</f>
        <v>02359704</v>
      </c>
      <c r="C7192" t="s">
        <v>13436</v>
      </c>
      <c r="D7192" t="s">
        <v>32537</v>
      </c>
      <c r="E7192" t="s">
        <v>32538</v>
      </c>
      <c r="G7192" t="s">
        <v>32539</v>
      </c>
      <c r="L7192" t="s">
        <v>84</v>
      </c>
      <c r="M7192" t="s">
        <v>75</v>
      </c>
      <c r="R7192" t="s">
        <v>32540</v>
      </c>
      <c r="W7192" t="s">
        <v>32538</v>
      </c>
      <c r="X7192" t="s">
        <v>32541</v>
      </c>
      <c r="Y7192" t="s">
        <v>87</v>
      </c>
      <c r="Z7192" t="s">
        <v>77</v>
      </c>
      <c r="AA7192" t="str">
        <f>"11224-4901"</f>
        <v>11224-4901</v>
      </c>
      <c r="AB7192" t="s">
        <v>78</v>
      </c>
      <c r="AC7192" t="s">
        <v>79</v>
      </c>
      <c r="AD7192" t="s">
        <v>75</v>
      </c>
      <c r="AE7192" t="s">
        <v>80</v>
      </c>
      <c r="AG7192" t="s">
        <v>81</v>
      </c>
    </row>
    <row r="7193" spans="1:33" x14ac:dyDescent="0.25">
      <c r="A7193" t="str">
        <f>"1285737064"</f>
        <v>1285737064</v>
      </c>
      <c r="B7193" t="str">
        <f>"00175948"</f>
        <v>00175948</v>
      </c>
      <c r="C7193" t="s">
        <v>13436</v>
      </c>
      <c r="D7193" t="s">
        <v>32542</v>
      </c>
      <c r="E7193" t="s">
        <v>32543</v>
      </c>
      <c r="G7193" t="s">
        <v>32544</v>
      </c>
      <c r="L7193" t="s">
        <v>83</v>
      </c>
      <c r="M7193" t="s">
        <v>75</v>
      </c>
      <c r="R7193" t="s">
        <v>32545</v>
      </c>
      <c r="W7193" t="s">
        <v>32543</v>
      </c>
      <c r="X7193" t="s">
        <v>306</v>
      </c>
      <c r="Y7193" t="s">
        <v>97</v>
      </c>
      <c r="Z7193" t="s">
        <v>77</v>
      </c>
      <c r="AA7193" t="str">
        <f>"10003-4201"</f>
        <v>10003-4201</v>
      </c>
      <c r="AB7193" t="s">
        <v>78</v>
      </c>
      <c r="AC7193" t="s">
        <v>79</v>
      </c>
      <c r="AD7193" t="s">
        <v>75</v>
      </c>
      <c r="AE7193" t="s">
        <v>80</v>
      </c>
      <c r="AG7193" t="s">
        <v>81</v>
      </c>
    </row>
    <row r="7194" spans="1:33" x14ac:dyDescent="0.25">
      <c r="A7194" t="str">
        <f>"1306997176"</f>
        <v>1306997176</v>
      </c>
      <c r="B7194" t="str">
        <f>"00174694"</f>
        <v>00174694</v>
      </c>
      <c r="C7194" t="s">
        <v>13436</v>
      </c>
      <c r="D7194" t="s">
        <v>32546</v>
      </c>
      <c r="E7194" t="s">
        <v>32547</v>
      </c>
      <c r="G7194" t="s">
        <v>32548</v>
      </c>
      <c r="L7194" t="s">
        <v>83</v>
      </c>
      <c r="M7194" t="s">
        <v>85</v>
      </c>
      <c r="R7194" t="s">
        <v>32549</v>
      </c>
      <c r="W7194" t="s">
        <v>32547</v>
      </c>
      <c r="X7194" t="s">
        <v>32550</v>
      </c>
      <c r="Y7194" t="s">
        <v>97</v>
      </c>
      <c r="Z7194" t="s">
        <v>77</v>
      </c>
      <c r="AA7194" t="str">
        <f>"10001-7901"</f>
        <v>10001-7901</v>
      </c>
      <c r="AB7194" t="s">
        <v>78</v>
      </c>
      <c r="AC7194" t="s">
        <v>79</v>
      </c>
      <c r="AD7194" t="s">
        <v>75</v>
      </c>
      <c r="AE7194" t="s">
        <v>80</v>
      </c>
      <c r="AG7194" t="s">
        <v>81</v>
      </c>
    </row>
    <row r="7195" spans="1:33" x14ac:dyDescent="0.25">
      <c r="A7195" t="str">
        <f>"1326198631"</f>
        <v>1326198631</v>
      </c>
      <c r="B7195" t="str">
        <f>"01953671"</f>
        <v>01953671</v>
      </c>
      <c r="C7195" t="s">
        <v>13436</v>
      </c>
      <c r="D7195" t="s">
        <v>32551</v>
      </c>
      <c r="E7195" t="s">
        <v>32552</v>
      </c>
      <c r="G7195" t="s">
        <v>32553</v>
      </c>
      <c r="L7195" t="s">
        <v>84</v>
      </c>
      <c r="M7195" t="s">
        <v>85</v>
      </c>
      <c r="R7195" t="s">
        <v>32554</v>
      </c>
      <c r="W7195" t="s">
        <v>32552</v>
      </c>
      <c r="X7195" t="s">
        <v>7672</v>
      </c>
      <c r="Y7195" t="s">
        <v>87</v>
      </c>
      <c r="Z7195" t="s">
        <v>77</v>
      </c>
      <c r="AA7195" t="str">
        <f>"11211-7823"</f>
        <v>11211-7823</v>
      </c>
      <c r="AB7195" t="s">
        <v>78</v>
      </c>
      <c r="AC7195" t="s">
        <v>79</v>
      </c>
      <c r="AD7195" t="s">
        <v>75</v>
      </c>
      <c r="AE7195" t="s">
        <v>80</v>
      </c>
      <c r="AG7195" t="s">
        <v>81</v>
      </c>
    </row>
    <row r="7196" spans="1:33" x14ac:dyDescent="0.25">
      <c r="A7196" t="str">
        <f>"1578866992"</f>
        <v>1578866992</v>
      </c>
      <c r="B7196" t="str">
        <f>"03439118"</f>
        <v>03439118</v>
      </c>
      <c r="C7196" t="s">
        <v>13436</v>
      </c>
      <c r="D7196" t="s">
        <v>32555</v>
      </c>
      <c r="E7196" t="s">
        <v>32556</v>
      </c>
      <c r="G7196" t="s">
        <v>32557</v>
      </c>
      <c r="L7196" t="s">
        <v>83</v>
      </c>
      <c r="M7196" t="s">
        <v>85</v>
      </c>
      <c r="R7196" t="s">
        <v>32558</v>
      </c>
      <c r="W7196" t="s">
        <v>32556</v>
      </c>
      <c r="X7196" t="s">
        <v>942</v>
      </c>
      <c r="Y7196" t="s">
        <v>97</v>
      </c>
      <c r="Z7196" t="s">
        <v>77</v>
      </c>
      <c r="AA7196" t="str">
        <f>"10029-6508"</f>
        <v>10029-6508</v>
      </c>
      <c r="AB7196" t="s">
        <v>78</v>
      </c>
      <c r="AC7196" t="s">
        <v>79</v>
      </c>
      <c r="AD7196" t="s">
        <v>75</v>
      </c>
      <c r="AE7196" t="s">
        <v>80</v>
      </c>
      <c r="AG7196" t="s">
        <v>81</v>
      </c>
    </row>
    <row r="7197" spans="1:33" x14ac:dyDescent="0.25">
      <c r="A7197" t="str">
        <f>"1578879755"</f>
        <v>1578879755</v>
      </c>
      <c r="C7197" t="s">
        <v>13436</v>
      </c>
      <c r="K7197" t="s">
        <v>99</v>
      </c>
      <c r="L7197" t="s">
        <v>102</v>
      </c>
      <c r="M7197" t="s">
        <v>75</v>
      </c>
      <c r="R7197" t="s">
        <v>32559</v>
      </c>
      <c r="S7197" t="s">
        <v>32560</v>
      </c>
      <c r="T7197" t="s">
        <v>32561</v>
      </c>
      <c r="U7197" t="s">
        <v>2595</v>
      </c>
      <c r="V7197" t="str">
        <f>"906063007"</f>
        <v>906063007</v>
      </c>
      <c r="AC7197" t="s">
        <v>79</v>
      </c>
      <c r="AD7197" t="s">
        <v>75</v>
      </c>
      <c r="AE7197" t="s">
        <v>103</v>
      </c>
      <c r="AG7197" t="s">
        <v>81</v>
      </c>
    </row>
    <row r="7198" spans="1:33" x14ac:dyDescent="0.25">
      <c r="A7198" t="str">
        <f>"1275730939"</f>
        <v>1275730939</v>
      </c>
      <c r="B7198" t="str">
        <f>"03937111"</f>
        <v>03937111</v>
      </c>
      <c r="C7198" t="s">
        <v>13436</v>
      </c>
      <c r="D7198" t="s">
        <v>32562</v>
      </c>
      <c r="E7198" t="s">
        <v>32563</v>
      </c>
      <c r="L7198" t="s">
        <v>74</v>
      </c>
      <c r="M7198" t="s">
        <v>75</v>
      </c>
      <c r="R7198" t="s">
        <v>32564</v>
      </c>
      <c r="W7198" t="s">
        <v>32565</v>
      </c>
      <c r="X7198" t="s">
        <v>181</v>
      </c>
      <c r="Y7198" t="s">
        <v>97</v>
      </c>
      <c r="Z7198" t="s">
        <v>77</v>
      </c>
      <c r="AA7198" t="str">
        <f>"10025-1716"</f>
        <v>10025-1716</v>
      </c>
      <c r="AB7198" t="s">
        <v>78</v>
      </c>
      <c r="AC7198" t="s">
        <v>79</v>
      </c>
      <c r="AD7198" t="s">
        <v>75</v>
      </c>
      <c r="AE7198" t="s">
        <v>80</v>
      </c>
      <c r="AG7198" t="s">
        <v>81</v>
      </c>
    </row>
    <row r="7199" spans="1:33" x14ac:dyDescent="0.25">
      <c r="A7199" t="str">
        <f>"1316289788"</f>
        <v>1316289788</v>
      </c>
      <c r="C7199" t="s">
        <v>13436</v>
      </c>
      <c r="K7199" t="s">
        <v>99</v>
      </c>
      <c r="L7199" t="s">
        <v>102</v>
      </c>
      <c r="M7199" t="s">
        <v>75</v>
      </c>
      <c r="R7199" t="s">
        <v>32566</v>
      </c>
      <c r="S7199" t="s">
        <v>32567</v>
      </c>
      <c r="T7199" t="s">
        <v>213</v>
      </c>
      <c r="U7199" t="s">
        <v>77</v>
      </c>
      <c r="V7199" t="str">
        <f>"117582435"</f>
        <v>117582435</v>
      </c>
      <c r="AC7199" t="s">
        <v>79</v>
      </c>
      <c r="AD7199" t="s">
        <v>75</v>
      </c>
      <c r="AE7199" t="s">
        <v>103</v>
      </c>
      <c r="AG7199" t="s">
        <v>81</v>
      </c>
    </row>
    <row r="7200" spans="1:33" x14ac:dyDescent="0.25">
      <c r="A7200" t="str">
        <f>"1316357221"</f>
        <v>1316357221</v>
      </c>
      <c r="C7200" t="s">
        <v>13436</v>
      </c>
      <c r="K7200" t="s">
        <v>99</v>
      </c>
      <c r="L7200" t="s">
        <v>102</v>
      </c>
      <c r="M7200" t="s">
        <v>75</v>
      </c>
      <c r="R7200" t="s">
        <v>32568</v>
      </c>
      <c r="S7200" t="s">
        <v>32569</v>
      </c>
      <c r="T7200" t="s">
        <v>32570</v>
      </c>
      <c r="U7200" t="s">
        <v>2595</v>
      </c>
      <c r="V7200" t="str">
        <f>"916071903"</f>
        <v>916071903</v>
      </c>
      <c r="AC7200" t="s">
        <v>79</v>
      </c>
      <c r="AD7200" t="s">
        <v>75</v>
      </c>
      <c r="AE7200" t="s">
        <v>103</v>
      </c>
      <c r="AG7200" t="s">
        <v>81</v>
      </c>
    </row>
    <row r="7201" spans="1:33" x14ac:dyDescent="0.25">
      <c r="A7201" t="str">
        <f>"1316358427"</f>
        <v>1316358427</v>
      </c>
      <c r="C7201" t="s">
        <v>13436</v>
      </c>
      <c r="K7201" t="s">
        <v>99</v>
      </c>
      <c r="L7201" t="s">
        <v>102</v>
      </c>
      <c r="M7201" t="s">
        <v>75</v>
      </c>
      <c r="R7201" t="s">
        <v>32571</v>
      </c>
      <c r="S7201" t="s">
        <v>191</v>
      </c>
      <c r="T7201" t="s">
        <v>97</v>
      </c>
      <c r="U7201" t="s">
        <v>77</v>
      </c>
      <c r="V7201" t="str">
        <f>"100191147"</f>
        <v>100191147</v>
      </c>
      <c r="AC7201" t="s">
        <v>79</v>
      </c>
      <c r="AD7201" t="s">
        <v>75</v>
      </c>
      <c r="AE7201" t="s">
        <v>103</v>
      </c>
      <c r="AG7201" t="s">
        <v>81</v>
      </c>
    </row>
    <row r="7202" spans="1:33" x14ac:dyDescent="0.25">
      <c r="A7202" t="str">
        <f>"1316365612"</f>
        <v>1316365612</v>
      </c>
      <c r="C7202" t="s">
        <v>13436</v>
      </c>
      <c r="K7202" t="s">
        <v>99</v>
      </c>
      <c r="L7202" t="s">
        <v>102</v>
      </c>
      <c r="M7202" t="s">
        <v>75</v>
      </c>
      <c r="R7202" t="s">
        <v>32572</v>
      </c>
      <c r="S7202" t="s">
        <v>11736</v>
      </c>
      <c r="T7202" t="s">
        <v>97</v>
      </c>
      <c r="U7202" t="s">
        <v>77</v>
      </c>
      <c r="V7202" t="str">
        <f>"100296574"</f>
        <v>100296574</v>
      </c>
      <c r="AC7202" t="s">
        <v>79</v>
      </c>
      <c r="AD7202" t="s">
        <v>75</v>
      </c>
      <c r="AE7202" t="s">
        <v>103</v>
      </c>
      <c r="AG7202" t="s">
        <v>81</v>
      </c>
    </row>
    <row r="7203" spans="1:33" x14ac:dyDescent="0.25">
      <c r="A7203" t="str">
        <f>"1316366297"</f>
        <v>1316366297</v>
      </c>
      <c r="C7203" t="s">
        <v>13436</v>
      </c>
      <c r="K7203" t="s">
        <v>99</v>
      </c>
      <c r="L7203" t="s">
        <v>102</v>
      </c>
      <c r="M7203" t="s">
        <v>75</v>
      </c>
      <c r="R7203" t="s">
        <v>32573</v>
      </c>
      <c r="S7203" t="s">
        <v>191</v>
      </c>
      <c r="T7203" t="s">
        <v>97</v>
      </c>
      <c r="U7203" t="s">
        <v>77</v>
      </c>
      <c r="V7203" t="str">
        <f>"100191147"</f>
        <v>100191147</v>
      </c>
      <c r="AC7203" t="s">
        <v>79</v>
      </c>
      <c r="AD7203" t="s">
        <v>75</v>
      </c>
      <c r="AE7203" t="s">
        <v>103</v>
      </c>
      <c r="AG7203" t="s">
        <v>81</v>
      </c>
    </row>
    <row r="7204" spans="1:33" x14ac:dyDescent="0.25">
      <c r="A7204" t="str">
        <f>"1316366651"</f>
        <v>1316366651</v>
      </c>
      <c r="C7204" t="s">
        <v>13436</v>
      </c>
      <c r="G7204" t="s">
        <v>32574</v>
      </c>
      <c r="K7204" t="s">
        <v>99</v>
      </c>
      <c r="L7204" t="s">
        <v>102</v>
      </c>
      <c r="M7204" t="s">
        <v>75</v>
      </c>
      <c r="R7204" t="s">
        <v>32575</v>
      </c>
      <c r="S7204" t="s">
        <v>12769</v>
      </c>
      <c r="T7204" t="s">
        <v>4861</v>
      </c>
      <c r="U7204" t="s">
        <v>156</v>
      </c>
      <c r="V7204" t="str">
        <f>"076311808"</f>
        <v>076311808</v>
      </c>
      <c r="AC7204" t="s">
        <v>79</v>
      </c>
      <c r="AD7204" t="s">
        <v>75</v>
      </c>
      <c r="AE7204" t="s">
        <v>103</v>
      </c>
      <c r="AG7204" t="s">
        <v>81</v>
      </c>
    </row>
    <row r="7205" spans="1:33" x14ac:dyDescent="0.25">
      <c r="A7205" t="str">
        <f>"1467776559"</f>
        <v>1467776559</v>
      </c>
      <c r="B7205" t="str">
        <f>"03220431"</f>
        <v>03220431</v>
      </c>
      <c r="C7205" t="s">
        <v>13436</v>
      </c>
      <c r="D7205" t="s">
        <v>32576</v>
      </c>
      <c r="E7205" t="s">
        <v>32577</v>
      </c>
      <c r="L7205" t="s">
        <v>74</v>
      </c>
      <c r="M7205" t="s">
        <v>75</v>
      </c>
      <c r="R7205" t="s">
        <v>32578</v>
      </c>
      <c r="W7205" t="s">
        <v>32578</v>
      </c>
      <c r="X7205" t="s">
        <v>235</v>
      </c>
      <c r="Y7205" t="s">
        <v>236</v>
      </c>
      <c r="Z7205" t="s">
        <v>77</v>
      </c>
      <c r="AA7205" t="str">
        <f>"11102-2448"</f>
        <v>11102-2448</v>
      </c>
      <c r="AB7205" t="s">
        <v>78</v>
      </c>
      <c r="AC7205" t="s">
        <v>79</v>
      </c>
      <c r="AD7205" t="s">
        <v>75</v>
      </c>
      <c r="AE7205" t="s">
        <v>80</v>
      </c>
      <c r="AG7205" t="s">
        <v>81</v>
      </c>
    </row>
    <row r="7206" spans="1:33" x14ac:dyDescent="0.25">
      <c r="A7206" t="str">
        <f>"1467779231"</f>
        <v>1467779231</v>
      </c>
      <c r="B7206" t="str">
        <f>"00718947"</f>
        <v>00718947</v>
      </c>
      <c r="C7206" t="s">
        <v>13436</v>
      </c>
      <c r="D7206" t="s">
        <v>32579</v>
      </c>
      <c r="E7206" t="s">
        <v>32580</v>
      </c>
      <c r="G7206" t="s">
        <v>32581</v>
      </c>
      <c r="L7206" t="s">
        <v>102</v>
      </c>
      <c r="M7206" t="s">
        <v>75</v>
      </c>
      <c r="R7206" t="s">
        <v>32582</v>
      </c>
      <c r="W7206" t="s">
        <v>32580</v>
      </c>
      <c r="X7206" t="s">
        <v>4477</v>
      </c>
      <c r="Y7206" t="s">
        <v>209</v>
      </c>
      <c r="Z7206" t="s">
        <v>77</v>
      </c>
      <c r="AA7206" t="str">
        <f>"11794-0001"</f>
        <v>11794-0001</v>
      </c>
      <c r="AB7206" t="s">
        <v>78</v>
      </c>
      <c r="AC7206" t="s">
        <v>79</v>
      </c>
      <c r="AD7206" t="s">
        <v>75</v>
      </c>
      <c r="AE7206" t="s">
        <v>80</v>
      </c>
      <c r="AG7206" t="s">
        <v>81</v>
      </c>
    </row>
    <row r="7207" spans="1:33" x14ac:dyDescent="0.25">
      <c r="A7207" t="str">
        <f>"1467789057"</f>
        <v>1467789057</v>
      </c>
      <c r="B7207" t="str">
        <f>"03731555"</f>
        <v>03731555</v>
      </c>
      <c r="C7207" t="s">
        <v>13436</v>
      </c>
      <c r="D7207" t="s">
        <v>32583</v>
      </c>
      <c r="E7207" t="s">
        <v>32584</v>
      </c>
      <c r="G7207" t="s">
        <v>32585</v>
      </c>
      <c r="L7207" t="s">
        <v>102</v>
      </c>
      <c r="M7207" t="s">
        <v>75</v>
      </c>
      <c r="R7207" t="s">
        <v>32586</v>
      </c>
      <c r="W7207" t="s">
        <v>32584</v>
      </c>
      <c r="X7207" t="s">
        <v>329</v>
      </c>
      <c r="Y7207" t="s">
        <v>97</v>
      </c>
      <c r="Z7207" t="s">
        <v>77</v>
      </c>
      <c r="AA7207" t="str">
        <f>"10029-6504"</f>
        <v>10029-6504</v>
      </c>
      <c r="AB7207" t="s">
        <v>78</v>
      </c>
      <c r="AC7207" t="s">
        <v>79</v>
      </c>
      <c r="AD7207" t="s">
        <v>75</v>
      </c>
      <c r="AE7207" t="s">
        <v>80</v>
      </c>
      <c r="AG7207" t="s">
        <v>81</v>
      </c>
    </row>
    <row r="7208" spans="1:33" x14ac:dyDescent="0.25">
      <c r="A7208" t="str">
        <f>"1467789354"</f>
        <v>1467789354</v>
      </c>
      <c r="B7208" t="str">
        <f>"03216162"</f>
        <v>03216162</v>
      </c>
      <c r="C7208" t="s">
        <v>13436</v>
      </c>
      <c r="D7208" t="s">
        <v>32587</v>
      </c>
      <c r="E7208" t="s">
        <v>32588</v>
      </c>
      <c r="G7208" t="s">
        <v>32589</v>
      </c>
      <c r="L7208" t="s">
        <v>74</v>
      </c>
      <c r="M7208" t="s">
        <v>75</v>
      </c>
      <c r="R7208" t="s">
        <v>32590</v>
      </c>
      <c r="W7208" t="s">
        <v>32588</v>
      </c>
      <c r="X7208" t="s">
        <v>329</v>
      </c>
      <c r="Y7208" t="s">
        <v>97</v>
      </c>
      <c r="Z7208" t="s">
        <v>77</v>
      </c>
      <c r="AA7208" t="str">
        <f>"10029-6500"</f>
        <v>10029-6500</v>
      </c>
      <c r="AB7208" t="s">
        <v>78</v>
      </c>
      <c r="AC7208" t="s">
        <v>79</v>
      </c>
      <c r="AD7208" t="s">
        <v>75</v>
      </c>
      <c r="AE7208" t="s">
        <v>80</v>
      </c>
      <c r="AG7208" t="s">
        <v>81</v>
      </c>
    </row>
    <row r="7209" spans="1:33" x14ac:dyDescent="0.25">
      <c r="A7209" t="str">
        <f>"1639177538"</f>
        <v>1639177538</v>
      </c>
      <c r="B7209" t="str">
        <f>"01769240"</f>
        <v>01769240</v>
      </c>
      <c r="C7209" t="s">
        <v>13436</v>
      </c>
      <c r="D7209" t="s">
        <v>32591</v>
      </c>
      <c r="E7209" t="s">
        <v>32592</v>
      </c>
      <c r="G7209" t="s">
        <v>32593</v>
      </c>
      <c r="L7209" t="s">
        <v>83</v>
      </c>
      <c r="M7209" t="s">
        <v>75</v>
      </c>
      <c r="R7209" t="s">
        <v>32594</v>
      </c>
      <c r="W7209" t="s">
        <v>32595</v>
      </c>
      <c r="X7209" t="s">
        <v>32596</v>
      </c>
      <c r="Y7209" t="s">
        <v>87</v>
      </c>
      <c r="Z7209" t="s">
        <v>77</v>
      </c>
      <c r="AA7209" t="str">
        <f>"11234-2644"</f>
        <v>11234-2644</v>
      </c>
      <c r="AB7209" t="s">
        <v>78</v>
      </c>
      <c r="AC7209" t="s">
        <v>79</v>
      </c>
      <c r="AD7209" t="s">
        <v>75</v>
      </c>
      <c r="AE7209" t="s">
        <v>80</v>
      </c>
      <c r="AG7209" t="s">
        <v>81</v>
      </c>
    </row>
    <row r="7210" spans="1:33" x14ac:dyDescent="0.25">
      <c r="A7210" t="str">
        <f>"1164840385"</f>
        <v>1164840385</v>
      </c>
      <c r="C7210" t="s">
        <v>13436</v>
      </c>
      <c r="K7210" t="s">
        <v>99</v>
      </c>
      <c r="L7210" t="s">
        <v>102</v>
      </c>
      <c r="M7210" t="s">
        <v>75</v>
      </c>
      <c r="R7210" t="s">
        <v>32597</v>
      </c>
      <c r="S7210" t="s">
        <v>24381</v>
      </c>
      <c r="T7210" t="s">
        <v>97</v>
      </c>
      <c r="U7210" t="s">
        <v>77</v>
      </c>
      <c r="V7210" t="str">
        <f>"100296503"</f>
        <v>100296503</v>
      </c>
      <c r="AC7210" t="s">
        <v>79</v>
      </c>
      <c r="AD7210" t="s">
        <v>75</v>
      </c>
      <c r="AE7210" t="s">
        <v>103</v>
      </c>
      <c r="AG7210" t="s">
        <v>81</v>
      </c>
    </row>
    <row r="7211" spans="1:33" x14ac:dyDescent="0.25">
      <c r="A7211" t="str">
        <f>"1164840518"</f>
        <v>1164840518</v>
      </c>
      <c r="C7211" t="s">
        <v>13436</v>
      </c>
      <c r="K7211" t="s">
        <v>99</v>
      </c>
      <c r="L7211" t="s">
        <v>102</v>
      </c>
      <c r="M7211" t="s">
        <v>75</v>
      </c>
      <c r="R7211" t="s">
        <v>32598</v>
      </c>
      <c r="S7211" t="s">
        <v>32599</v>
      </c>
      <c r="T7211" t="s">
        <v>32600</v>
      </c>
      <c r="U7211" t="s">
        <v>156</v>
      </c>
      <c r="V7211" t="str">
        <f>"070697425"</f>
        <v>070697425</v>
      </c>
      <c r="AC7211" t="s">
        <v>79</v>
      </c>
      <c r="AD7211" t="s">
        <v>75</v>
      </c>
      <c r="AE7211" t="s">
        <v>103</v>
      </c>
      <c r="AG7211" t="s">
        <v>81</v>
      </c>
    </row>
    <row r="7212" spans="1:33" x14ac:dyDescent="0.25">
      <c r="A7212" t="str">
        <f>"1164841854"</f>
        <v>1164841854</v>
      </c>
      <c r="C7212" t="s">
        <v>13436</v>
      </c>
      <c r="K7212" t="s">
        <v>99</v>
      </c>
      <c r="L7212" t="s">
        <v>102</v>
      </c>
      <c r="M7212" t="s">
        <v>75</v>
      </c>
      <c r="R7212" t="s">
        <v>32601</v>
      </c>
      <c r="S7212" t="s">
        <v>32602</v>
      </c>
      <c r="T7212" t="s">
        <v>1846</v>
      </c>
      <c r="U7212" t="s">
        <v>1784</v>
      </c>
      <c r="V7212" t="str">
        <f>"152381843"</f>
        <v>152381843</v>
      </c>
      <c r="AC7212" t="s">
        <v>79</v>
      </c>
      <c r="AD7212" t="s">
        <v>75</v>
      </c>
      <c r="AE7212" t="s">
        <v>103</v>
      </c>
      <c r="AG7212" t="s">
        <v>81</v>
      </c>
    </row>
    <row r="7213" spans="1:33" x14ac:dyDescent="0.25">
      <c r="A7213" t="str">
        <f>"1417375742"</f>
        <v>1417375742</v>
      </c>
      <c r="C7213" t="s">
        <v>13436</v>
      </c>
      <c r="K7213" t="s">
        <v>99</v>
      </c>
      <c r="L7213" t="s">
        <v>102</v>
      </c>
      <c r="M7213" t="s">
        <v>75</v>
      </c>
      <c r="R7213" t="s">
        <v>32603</v>
      </c>
      <c r="S7213" t="s">
        <v>329</v>
      </c>
      <c r="T7213" t="s">
        <v>97</v>
      </c>
      <c r="U7213" t="s">
        <v>77</v>
      </c>
      <c r="V7213" t="str">
        <f>"100296504"</f>
        <v>100296504</v>
      </c>
      <c r="AC7213" t="s">
        <v>79</v>
      </c>
      <c r="AD7213" t="s">
        <v>75</v>
      </c>
      <c r="AE7213" t="s">
        <v>103</v>
      </c>
      <c r="AG7213" t="s">
        <v>81</v>
      </c>
    </row>
    <row r="7214" spans="1:33" x14ac:dyDescent="0.25">
      <c r="A7214" t="str">
        <f>"1417376427"</f>
        <v>1417376427</v>
      </c>
      <c r="C7214" t="s">
        <v>13436</v>
      </c>
      <c r="K7214" t="s">
        <v>99</v>
      </c>
      <c r="L7214" t="s">
        <v>102</v>
      </c>
      <c r="M7214" t="s">
        <v>75</v>
      </c>
      <c r="R7214" t="s">
        <v>32604</v>
      </c>
      <c r="S7214" t="s">
        <v>191</v>
      </c>
      <c r="T7214" t="s">
        <v>97</v>
      </c>
      <c r="U7214" t="s">
        <v>77</v>
      </c>
      <c r="V7214" t="str">
        <f>"100191147"</f>
        <v>100191147</v>
      </c>
      <c r="AC7214" t="s">
        <v>79</v>
      </c>
      <c r="AD7214" t="s">
        <v>75</v>
      </c>
      <c r="AE7214" t="s">
        <v>103</v>
      </c>
      <c r="AG7214" t="s">
        <v>81</v>
      </c>
    </row>
    <row r="7215" spans="1:33" x14ac:dyDescent="0.25">
      <c r="A7215" t="str">
        <f>"1417379165"</f>
        <v>1417379165</v>
      </c>
      <c r="B7215" t="str">
        <f>"03855176"</f>
        <v>03855176</v>
      </c>
      <c r="C7215" t="s">
        <v>13436</v>
      </c>
      <c r="D7215" t="s">
        <v>32605</v>
      </c>
      <c r="E7215" t="s">
        <v>32606</v>
      </c>
      <c r="L7215" t="s">
        <v>74</v>
      </c>
      <c r="M7215" t="s">
        <v>75</v>
      </c>
      <c r="R7215" t="s">
        <v>32607</v>
      </c>
      <c r="W7215" t="s">
        <v>32606</v>
      </c>
      <c r="X7215" t="s">
        <v>1010</v>
      </c>
      <c r="Y7215" t="s">
        <v>97</v>
      </c>
      <c r="Z7215" t="s">
        <v>77</v>
      </c>
      <c r="AA7215" t="str">
        <f>"10035-3832"</f>
        <v>10035-3832</v>
      </c>
      <c r="AB7215" t="s">
        <v>82</v>
      </c>
      <c r="AC7215" t="s">
        <v>79</v>
      </c>
      <c r="AD7215" t="s">
        <v>75</v>
      </c>
      <c r="AE7215" t="s">
        <v>80</v>
      </c>
      <c r="AG7215" t="s">
        <v>81</v>
      </c>
    </row>
    <row r="7216" spans="1:33" x14ac:dyDescent="0.25">
      <c r="A7216" t="str">
        <f>"1417380304"</f>
        <v>1417380304</v>
      </c>
      <c r="C7216" t="s">
        <v>13436</v>
      </c>
      <c r="K7216" t="s">
        <v>99</v>
      </c>
      <c r="L7216" t="s">
        <v>102</v>
      </c>
      <c r="M7216" t="s">
        <v>75</v>
      </c>
      <c r="R7216" t="s">
        <v>32608</v>
      </c>
      <c r="S7216" t="s">
        <v>191</v>
      </c>
      <c r="T7216" t="s">
        <v>97</v>
      </c>
      <c r="U7216" t="s">
        <v>77</v>
      </c>
      <c r="V7216" t="str">
        <f>"100191147"</f>
        <v>100191147</v>
      </c>
      <c r="AC7216" t="s">
        <v>79</v>
      </c>
      <c r="AD7216" t="s">
        <v>75</v>
      </c>
      <c r="AE7216" t="s">
        <v>103</v>
      </c>
      <c r="AG7216" t="s">
        <v>81</v>
      </c>
    </row>
    <row r="7217" spans="1:33" x14ac:dyDescent="0.25">
      <c r="A7217" t="str">
        <f>"1548362759"</f>
        <v>1548362759</v>
      </c>
      <c r="B7217" t="str">
        <f>"02811205"</f>
        <v>02811205</v>
      </c>
      <c r="C7217" t="s">
        <v>13436</v>
      </c>
      <c r="D7217" t="s">
        <v>32609</v>
      </c>
      <c r="E7217" t="s">
        <v>32610</v>
      </c>
      <c r="G7217" t="s">
        <v>32611</v>
      </c>
      <c r="L7217" t="s">
        <v>83</v>
      </c>
      <c r="M7217" t="s">
        <v>85</v>
      </c>
      <c r="R7217" t="s">
        <v>32612</v>
      </c>
      <c r="W7217" t="s">
        <v>32613</v>
      </c>
      <c r="X7217" t="s">
        <v>329</v>
      </c>
      <c r="Y7217" t="s">
        <v>97</v>
      </c>
      <c r="Z7217" t="s">
        <v>77</v>
      </c>
      <c r="AA7217" t="str">
        <f>"10029-6500"</f>
        <v>10029-6500</v>
      </c>
      <c r="AB7217" t="s">
        <v>78</v>
      </c>
      <c r="AC7217" t="s">
        <v>79</v>
      </c>
      <c r="AD7217" t="s">
        <v>75</v>
      </c>
      <c r="AE7217" t="s">
        <v>80</v>
      </c>
      <c r="AG7217" t="s">
        <v>81</v>
      </c>
    </row>
    <row r="7218" spans="1:33" x14ac:dyDescent="0.25">
      <c r="A7218" t="str">
        <f>"1548391683"</f>
        <v>1548391683</v>
      </c>
      <c r="B7218" t="str">
        <f>"02965924"</f>
        <v>02965924</v>
      </c>
      <c r="C7218" t="s">
        <v>13436</v>
      </c>
      <c r="D7218" t="s">
        <v>32614</v>
      </c>
      <c r="E7218" t="s">
        <v>32615</v>
      </c>
      <c r="L7218" t="s">
        <v>84</v>
      </c>
      <c r="M7218" t="s">
        <v>75</v>
      </c>
      <c r="R7218" t="s">
        <v>32616</v>
      </c>
      <c r="W7218" t="s">
        <v>32615</v>
      </c>
      <c r="X7218" t="s">
        <v>1691</v>
      </c>
      <c r="Y7218" t="s">
        <v>97</v>
      </c>
      <c r="Z7218" t="s">
        <v>77</v>
      </c>
      <c r="AA7218" t="str">
        <f>"10013-4223"</f>
        <v>10013-4223</v>
      </c>
      <c r="AB7218" t="s">
        <v>78</v>
      </c>
      <c r="AC7218" t="s">
        <v>79</v>
      </c>
      <c r="AD7218" t="s">
        <v>75</v>
      </c>
      <c r="AE7218" t="s">
        <v>80</v>
      </c>
      <c r="AG7218" t="s">
        <v>81</v>
      </c>
    </row>
    <row r="7219" spans="1:33" x14ac:dyDescent="0.25">
      <c r="A7219" t="str">
        <f>"1548401870"</f>
        <v>1548401870</v>
      </c>
      <c r="C7219" t="s">
        <v>13436</v>
      </c>
      <c r="G7219" t="s">
        <v>32617</v>
      </c>
      <c r="K7219" t="s">
        <v>99</v>
      </c>
      <c r="L7219" t="s">
        <v>102</v>
      </c>
      <c r="M7219" t="s">
        <v>75</v>
      </c>
      <c r="R7219" t="s">
        <v>32618</v>
      </c>
      <c r="S7219" t="s">
        <v>6041</v>
      </c>
      <c r="T7219" t="s">
        <v>894</v>
      </c>
      <c r="U7219" t="s">
        <v>77</v>
      </c>
      <c r="V7219" t="str">
        <f>"100296574"</f>
        <v>100296574</v>
      </c>
      <c r="AC7219" t="s">
        <v>79</v>
      </c>
      <c r="AD7219" t="s">
        <v>75</v>
      </c>
      <c r="AE7219" t="s">
        <v>103</v>
      </c>
      <c r="AG7219" t="s">
        <v>81</v>
      </c>
    </row>
    <row r="7220" spans="1:33" x14ac:dyDescent="0.25">
      <c r="A7220" t="str">
        <f>"1427357672"</f>
        <v>1427357672</v>
      </c>
      <c r="B7220" t="str">
        <f>"04199657"</f>
        <v>04199657</v>
      </c>
      <c r="C7220" t="s">
        <v>13436</v>
      </c>
      <c r="D7220" t="s">
        <v>32619</v>
      </c>
      <c r="E7220" t="s">
        <v>32620</v>
      </c>
      <c r="L7220" t="s">
        <v>74</v>
      </c>
      <c r="M7220" t="s">
        <v>75</v>
      </c>
      <c r="R7220" t="s">
        <v>32621</v>
      </c>
      <c r="W7220" t="s">
        <v>32622</v>
      </c>
      <c r="X7220" t="s">
        <v>30770</v>
      </c>
      <c r="Y7220" t="s">
        <v>97</v>
      </c>
      <c r="Z7220" t="s">
        <v>77</v>
      </c>
      <c r="AA7220" t="str">
        <f>"10029-6504"</f>
        <v>10029-6504</v>
      </c>
      <c r="AB7220" t="s">
        <v>78</v>
      </c>
      <c r="AC7220" t="s">
        <v>79</v>
      </c>
      <c r="AD7220" t="s">
        <v>75</v>
      </c>
      <c r="AE7220" t="s">
        <v>80</v>
      </c>
      <c r="AG7220" t="s">
        <v>81</v>
      </c>
    </row>
    <row r="7221" spans="1:33" x14ac:dyDescent="0.25">
      <c r="A7221" t="str">
        <f>"1427358563"</f>
        <v>1427358563</v>
      </c>
      <c r="B7221" t="str">
        <f>"03787780"</f>
        <v>03787780</v>
      </c>
      <c r="C7221" t="s">
        <v>13436</v>
      </c>
      <c r="D7221" t="s">
        <v>32623</v>
      </c>
      <c r="E7221" t="s">
        <v>32624</v>
      </c>
      <c r="G7221" t="s">
        <v>32625</v>
      </c>
      <c r="L7221" t="s">
        <v>74</v>
      </c>
      <c r="M7221" t="s">
        <v>75</v>
      </c>
      <c r="R7221" t="s">
        <v>32626</v>
      </c>
      <c r="W7221" t="s">
        <v>32624</v>
      </c>
      <c r="X7221" t="s">
        <v>329</v>
      </c>
      <c r="Y7221" t="s">
        <v>97</v>
      </c>
      <c r="Z7221" t="s">
        <v>77</v>
      </c>
      <c r="AA7221" t="str">
        <f>"10029-6504"</f>
        <v>10029-6504</v>
      </c>
      <c r="AB7221" t="s">
        <v>78</v>
      </c>
      <c r="AC7221" t="s">
        <v>79</v>
      </c>
      <c r="AD7221" t="s">
        <v>75</v>
      </c>
      <c r="AE7221" t="s">
        <v>80</v>
      </c>
      <c r="AG7221" t="s">
        <v>81</v>
      </c>
    </row>
    <row r="7222" spans="1:33" x14ac:dyDescent="0.25">
      <c r="A7222" t="str">
        <f>"1427374743"</f>
        <v>1427374743</v>
      </c>
      <c r="B7222" t="str">
        <f>"03921515"</f>
        <v>03921515</v>
      </c>
      <c r="C7222" t="s">
        <v>13436</v>
      </c>
      <c r="D7222" t="s">
        <v>32627</v>
      </c>
      <c r="E7222" t="s">
        <v>32628</v>
      </c>
      <c r="G7222" t="s">
        <v>32629</v>
      </c>
      <c r="L7222" t="s">
        <v>74</v>
      </c>
      <c r="M7222" t="s">
        <v>75</v>
      </c>
      <c r="R7222" t="s">
        <v>32628</v>
      </c>
      <c r="W7222" t="s">
        <v>32630</v>
      </c>
      <c r="X7222" t="s">
        <v>12851</v>
      </c>
      <c r="Y7222" t="s">
        <v>97</v>
      </c>
      <c r="Z7222" t="s">
        <v>77</v>
      </c>
      <c r="AA7222" t="str">
        <f>"10025-1716"</f>
        <v>10025-1716</v>
      </c>
      <c r="AB7222" t="s">
        <v>78</v>
      </c>
      <c r="AC7222" t="s">
        <v>79</v>
      </c>
      <c r="AD7222" t="s">
        <v>75</v>
      </c>
      <c r="AE7222" t="s">
        <v>80</v>
      </c>
      <c r="AG7222" t="s">
        <v>81</v>
      </c>
    </row>
    <row r="7223" spans="1:33" x14ac:dyDescent="0.25">
      <c r="A7223" t="str">
        <f>"1427375955"</f>
        <v>1427375955</v>
      </c>
      <c r="B7223" t="str">
        <f>"03233007"</f>
        <v>03233007</v>
      </c>
      <c r="C7223" t="s">
        <v>13436</v>
      </c>
      <c r="D7223" t="s">
        <v>32631</v>
      </c>
      <c r="E7223" t="s">
        <v>32632</v>
      </c>
      <c r="G7223" t="s">
        <v>32633</v>
      </c>
      <c r="L7223" t="s">
        <v>83</v>
      </c>
      <c r="M7223" t="s">
        <v>85</v>
      </c>
      <c r="R7223" t="s">
        <v>32634</v>
      </c>
      <c r="W7223" t="s">
        <v>32632</v>
      </c>
      <c r="X7223" t="s">
        <v>258</v>
      </c>
      <c r="Y7223" t="s">
        <v>131</v>
      </c>
      <c r="Z7223" t="s">
        <v>77</v>
      </c>
      <c r="AA7223" t="str">
        <f>"10467-2401"</f>
        <v>10467-2401</v>
      </c>
      <c r="AB7223" t="s">
        <v>78</v>
      </c>
      <c r="AC7223" t="s">
        <v>79</v>
      </c>
      <c r="AD7223" t="s">
        <v>75</v>
      </c>
      <c r="AE7223" t="s">
        <v>80</v>
      </c>
      <c r="AG7223" t="s">
        <v>81</v>
      </c>
    </row>
    <row r="7224" spans="1:33" x14ac:dyDescent="0.25">
      <c r="A7224" t="str">
        <f>"1427468826"</f>
        <v>1427468826</v>
      </c>
      <c r="C7224" t="s">
        <v>13436</v>
      </c>
      <c r="K7224" t="s">
        <v>99</v>
      </c>
      <c r="L7224" t="s">
        <v>102</v>
      </c>
      <c r="M7224" t="s">
        <v>75</v>
      </c>
      <c r="R7224" t="s">
        <v>32635</v>
      </c>
      <c r="S7224" t="s">
        <v>32636</v>
      </c>
      <c r="T7224" t="s">
        <v>2667</v>
      </c>
      <c r="U7224" t="s">
        <v>2658</v>
      </c>
      <c r="V7224" t="str">
        <f>"462025149"</f>
        <v>462025149</v>
      </c>
      <c r="AC7224" t="s">
        <v>79</v>
      </c>
      <c r="AD7224" t="s">
        <v>75</v>
      </c>
      <c r="AE7224" t="s">
        <v>103</v>
      </c>
      <c r="AG7224" t="s">
        <v>81</v>
      </c>
    </row>
    <row r="7225" spans="1:33" x14ac:dyDescent="0.25">
      <c r="A7225" t="str">
        <f>"1427473586"</f>
        <v>1427473586</v>
      </c>
      <c r="C7225" t="s">
        <v>13436</v>
      </c>
      <c r="K7225" t="s">
        <v>99</v>
      </c>
      <c r="L7225" t="s">
        <v>102</v>
      </c>
      <c r="M7225" t="s">
        <v>75</v>
      </c>
      <c r="R7225" t="s">
        <v>32637</v>
      </c>
      <c r="S7225" t="s">
        <v>5249</v>
      </c>
      <c r="T7225" t="s">
        <v>97</v>
      </c>
      <c r="U7225" t="s">
        <v>77</v>
      </c>
      <c r="V7225" t="str">
        <f>"100033805"</f>
        <v>100033805</v>
      </c>
      <c r="AC7225" t="s">
        <v>79</v>
      </c>
      <c r="AD7225" t="s">
        <v>75</v>
      </c>
      <c r="AE7225" t="s">
        <v>103</v>
      </c>
      <c r="AG7225" t="s">
        <v>81</v>
      </c>
    </row>
    <row r="7226" spans="1:33" x14ac:dyDescent="0.25">
      <c r="A7226" t="str">
        <f>"1427475771"</f>
        <v>1427475771</v>
      </c>
      <c r="C7226" t="s">
        <v>13436</v>
      </c>
      <c r="K7226" t="s">
        <v>99</v>
      </c>
      <c r="L7226" t="s">
        <v>102</v>
      </c>
      <c r="M7226" t="s">
        <v>75</v>
      </c>
      <c r="R7226" t="s">
        <v>32638</v>
      </c>
      <c r="S7226" t="s">
        <v>32639</v>
      </c>
      <c r="T7226" t="s">
        <v>155</v>
      </c>
      <c r="U7226" t="s">
        <v>77</v>
      </c>
      <c r="V7226" t="str">
        <f>"103123714"</f>
        <v>103123714</v>
      </c>
      <c r="AC7226" t="s">
        <v>79</v>
      </c>
      <c r="AD7226" t="s">
        <v>75</v>
      </c>
      <c r="AE7226" t="s">
        <v>103</v>
      </c>
      <c r="AG7226" t="s">
        <v>81</v>
      </c>
    </row>
    <row r="7227" spans="1:33" x14ac:dyDescent="0.25">
      <c r="A7227" t="str">
        <f>"1427476290"</f>
        <v>1427476290</v>
      </c>
      <c r="C7227" t="s">
        <v>13436</v>
      </c>
      <c r="K7227" t="s">
        <v>99</v>
      </c>
      <c r="L7227" t="s">
        <v>102</v>
      </c>
      <c r="M7227" t="s">
        <v>75</v>
      </c>
      <c r="R7227" t="s">
        <v>32640</v>
      </c>
      <c r="S7227" t="s">
        <v>32641</v>
      </c>
      <c r="T7227" t="s">
        <v>32642</v>
      </c>
      <c r="U7227" t="s">
        <v>2632</v>
      </c>
      <c r="V7227" t="str">
        <f>"221821490"</f>
        <v>221821490</v>
      </c>
      <c r="AC7227" t="s">
        <v>79</v>
      </c>
      <c r="AD7227" t="s">
        <v>75</v>
      </c>
      <c r="AE7227" t="s">
        <v>103</v>
      </c>
      <c r="AG7227" t="s">
        <v>81</v>
      </c>
    </row>
    <row r="7228" spans="1:33" x14ac:dyDescent="0.25">
      <c r="A7228" t="str">
        <f>"1427477256"</f>
        <v>1427477256</v>
      </c>
      <c r="C7228" t="s">
        <v>13436</v>
      </c>
      <c r="K7228" t="s">
        <v>99</v>
      </c>
      <c r="L7228" t="s">
        <v>102</v>
      </c>
      <c r="M7228" t="s">
        <v>75</v>
      </c>
      <c r="R7228" t="s">
        <v>32643</v>
      </c>
      <c r="S7228" t="s">
        <v>32644</v>
      </c>
      <c r="T7228" t="s">
        <v>97</v>
      </c>
      <c r="U7228" t="s">
        <v>77</v>
      </c>
      <c r="V7228" t="str">
        <f>"100296514"</f>
        <v>100296514</v>
      </c>
      <c r="AC7228" t="s">
        <v>79</v>
      </c>
      <c r="AD7228" t="s">
        <v>75</v>
      </c>
      <c r="AE7228" t="s">
        <v>103</v>
      </c>
      <c r="AG7228" t="s">
        <v>81</v>
      </c>
    </row>
    <row r="7229" spans="1:33" x14ac:dyDescent="0.25">
      <c r="A7229" t="str">
        <f>"1427478635"</f>
        <v>1427478635</v>
      </c>
      <c r="C7229" t="s">
        <v>13436</v>
      </c>
      <c r="K7229" t="s">
        <v>99</v>
      </c>
      <c r="L7229" t="s">
        <v>102</v>
      </c>
      <c r="M7229" t="s">
        <v>75</v>
      </c>
      <c r="R7229" t="s">
        <v>32645</v>
      </c>
      <c r="S7229" t="s">
        <v>32646</v>
      </c>
      <c r="T7229" t="s">
        <v>87</v>
      </c>
      <c r="U7229" t="s">
        <v>77</v>
      </c>
      <c r="V7229" t="str">
        <f>"112112780"</f>
        <v>112112780</v>
      </c>
      <c r="AC7229" t="s">
        <v>79</v>
      </c>
      <c r="AD7229" t="s">
        <v>75</v>
      </c>
      <c r="AE7229" t="s">
        <v>103</v>
      </c>
      <c r="AG7229" t="s">
        <v>81</v>
      </c>
    </row>
    <row r="7230" spans="1:33" x14ac:dyDescent="0.25">
      <c r="A7230" t="str">
        <f>"1427491786"</f>
        <v>1427491786</v>
      </c>
      <c r="C7230" t="s">
        <v>13436</v>
      </c>
      <c r="K7230" t="s">
        <v>99</v>
      </c>
      <c r="L7230" t="s">
        <v>102</v>
      </c>
      <c r="M7230" t="s">
        <v>75</v>
      </c>
      <c r="R7230" t="s">
        <v>32647</v>
      </c>
      <c r="S7230" t="s">
        <v>32648</v>
      </c>
      <c r="T7230" t="s">
        <v>12525</v>
      </c>
      <c r="U7230" t="s">
        <v>12526</v>
      </c>
      <c r="V7230" t="str">
        <f>"006801437"</f>
        <v>006801437</v>
      </c>
      <c r="AC7230" t="s">
        <v>79</v>
      </c>
      <c r="AD7230" t="s">
        <v>75</v>
      </c>
      <c r="AE7230" t="s">
        <v>103</v>
      </c>
      <c r="AG7230" t="s">
        <v>81</v>
      </c>
    </row>
    <row r="7231" spans="1:33" x14ac:dyDescent="0.25">
      <c r="A7231" t="str">
        <f>"1255759825"</f>
        <v>1255759825</v>
      </c>
      <c r="C7231" t="s">
        <v>13436</v>
      </c>
      <c r="K7231" t="s">
        <v>99</v>
      </c>
      <c r="L7231" t="s">
        <v>102</v>
      </c>
      <c r="M7231" t="s">
        <v>75</v>
      </c>
      <c r="R7231" t="s">
        <v>32649</v>
      </c>
      <c r="S7231" t="s">
        <v>11602</v>
      </c>
      <c r="T7231" t="s">
        <v>97</v>
      </c>
      <c r="U7231" t="s">
        <v>77</v>
      </c>
      <c r="V7231" t="str">
        <f>"100295204"</f>
        <v>100295204</v>
      </c>
      <c r="AC7231" t="s">
        <v>79</v>
      </c>
      <c r="AD7231" t="s">
        <v>75</v>
      </c>
      <c r="AE7231" t="s">
        <v>103</v>
      </c>
      <c r="AG7231" t="s">
        <v>81</v>
      </c>
    </row>
    <row r="7232" spans="1:33" x14ac:dyDescent="0.25">
      <c r="A7232" t="str">
        <f>"1407089832"</f>
        <v>1407089832</v>
      </c>
      <c r="C7232" t="s">
        <v>13436</v>
      </c>
      <c r="G7232" t="s">
        <v>32650</v>
      </c>
      <c r="K7232" t="s">
        <v>99</v>
      </c>
      <c r="L7232" t="s">
        <v>102</v>
      </c>
      <c r="M7232" t="s">
        <v>75</v>
      </c>
      <c r="R7232" t="s">
        <v>32651</v>
      </c>
      <c r="S7232" t="s">
        <v>32652</v>
      </c>
      <c r="T7232" t="s">
        <v>97</v>
      </c>
      <c r="U7232" t="s">
        <v>77</v>
      </c>
      <c r="V7232" t="str">
        <f>"100296574"</f>
        <v>100296574</v>
      </c>
      <c r="AC7232" t="s">
        <v>79</v>
      </c>
      <c r="AD7232" t="s">
        <v>75</v>
      </c>
      <c r="AE7232" t="s">
        <v>103</v>
      </c>
      <c r="AG7232" t="s">
        <v>81</v>
      </c>
    </row>
    <row r="7233" spans="1:33" x14ac:dyDescent="0.25">
      <c r="A7233" t="str">
        <f>"1013046648"</f>
        <v>1013046648</v>
      </c>
      <c r="B7233" t="str">
        <f>"02698557"</f>
        <v>02698557</v>
      </c>
      <c r="C7233" t="s">
        <v>13436</v>
      </c>
      <c r="D7233" t="s">
        <v>32653</v>
      </c>
      <c r="E7233" t="s">
        <v>32654</v>
      </c>
      <c r="G7233" t="s">
        <v>32655</v>
      </c>
      <c r="L7233" t="s">
        <v>102</v>
      </c>
      <c r="M7233" t="s">
        <v>75</v>
      </c>
      <c r="R7233" t="s">
        <v>32656</v>
      </c>
      <c r="W7233" t="s">
        <v>32654</v>
      </c>
      <c r="X7233" t="s">
        <v>269</v>
      </c>
      <c r="Y7233" t="s">
        <v>165</v>
      </c>
      <c r="Z7233" t="s">
        <v>77</v>
      </c>
      <c r="AA7233" t="str">
        <f>"11004-1150"</f>
        <v>11004-1150</v>
      </c>
      <c r="AB7233" t="s">
        <v>125</v>
      </c>
      <c r="AC7233" t="s">
        <v>79</v>
      </c>
      <c r="AD7233" t="s">
        <v>75</v>
      </c>
      <c r="AE7233" t="s">
        <v>80</v>
      </c>
      <c r="AG7233" t="s">
        <v>81</v>
      </c>
    </row>
    <row r="7234" spans="1:33" x14ac:dyDescent="0.25">
      <c r="A7234" t="str">
        <f>"1306882378"</f>
        <v>1306882378</v>
      </c>
      <c r="B7234" t="str">
        <f>"04504349"</f>
        <v>04504349</v>
      </c>
      <c r="C7234" t="s">
        <v>13436</v>
      </c>
      <c r="D7234" t="s">
        <v>32657</v>
      </c>
      <c r="E7234" t="s">
        <v>32658</v>
      </c>
      <c r="G7234" t="s">
        <v>32659</v>
      </c>
      <c r="L7234" t="s">
        <v>74</v>
      </c>
      <c r="M7234" t="s">
        <v>85</v>
      </c>
      <c r="R7234" t="s">
        <v>32660</v>
      </c>
      <c r="W7234" t="s">
        <v>32658</v>
      </c>
      <c r="AB7234" t="s">
        <v>78</v>
      </c>
      <c r="AC7234" t="s">
        <v>79</v>
      </c>
      <c r="AD7234" t="s">
        <v>75</v>
      </c>
      <c r="AE7234" t="s">
        <v>80</v>
      </c>
      <c r="AG7234" t="s">
        <v>81</v>
      </c>
    </row>
    <row r="7235" spans="1:33" x14ac:dyDescent="0.25">
      <c r="A7235" t="str">
        <f>"1306938576"</f>
        <v>1306938576</v>
      </c>
      <c r="B7235" t="str">
        <f>"02822571"</f>
        <v>02822571</v>
      </c>
      <c r="C7235" t="s">
        <v>13436</v>
      </c>
      <c r="D7235" t="s">
        <v>32661</v>
      </c>
      <c r="E7235" t="s">
        <v>32662</v>
      </c>
      <c r="G7235" t="s">
        <v>32663</v>
      </c>
      <c r="L7235" t="s">
        <v>74</v>
      </c>
      <c r="M7235" t="s">
        <v>85</v>
      </c>
      <c r="R7235" t="s">
        <v>32664</v>
      </c>
      <c r="W7235" t="s">
        <v>32662</v>
      </c>
      <c r="X7235" t="s">
        <v>32665</v>
      </c>
      <c r="Y7235" t="s">
        <v>178</v>
      </c>
      <c r="Z7235" t="s">
        <v>77</v>
      </c>
      <c r="AA7235" t="str">
        <f>"11021-5501"</f>
        <v>11021-5501</v>
      </c>
      <c r="AB7235" t="s">
        <v>78</v>
      </c>
      <c r="AC7235" t="s">
        <v>79</v>
      </c>
      <c r="AD7235" t="s">
        <v>75</v>
      </c>
      <c r="AE7235" t="s">
        <v>80</v>
      </c>
      <c r="AG7235" t="s">
        <v>81</v>
      </c>
    </row>
    <row r="7236" spans="1:33" x14ac:dyDescent="0.25">
      <c r="A7236" t="str">
        <f>"1316023062"</f>
        <v>1316023062</v>
      </c>
      <c r="B7236" t="str">
        <f>"03755373"</f>
        <v>03755373</v>
      </c>
      <c r="C7236" t="s">
        <v>13436</v>
      </c>
      <c r="D7236" t="s">
        <v>32666</v>
      </c>
      <c r="E7236" t="s">
        <v>32667</v>
      </c>
      <c r="G7236" t="s">
        <v>32668</v>
      </c>
      <c r="L7236" t="s">
        <v>102</v>
      </c>
      <c r="M7236" t="s">
        <v>75</v>
      </c>
      <c r="R7236" t="s">
        <v>32669</v>
      </c>
      <c r="W7236" t="s">
        <v>32667</v>
      </c>
      <c r="X7236" t="s">
        <v>32354</v>
      </c>
      <c r="Y7236" t="s">
        <v>97</v>
      </c>
      <c r="Z7236" t="s">
        <v>77</v>
      </c>
      <c r="AA7236" t="str">
        <f>"10029-6501"</f>
        <v>10029-6501</v>
      </c>
      <c r="AB7236" t="s">
        <v>78</v>
      </c>
      <c r="AC7236" t="s">
        <v>79</v>
      </c>
      <c r="AD7236" t="s">
        <v>75</v>
      </c>
      <c r="AE7236" t="s">
        <v>80</v>
      </c>
      <c r="AG7236" t="s">
        <v>81</v>
      </c>
    </row>
    <row r="7237" spans="1:33" x14ac:dyDescent="0.25">
      <c r="A7237" t="str">
        <f>"1316038946"</f>
        <v>1316038946</v>
      </c>
      <c r="B7237" t="str">
        <f>"02810557"</f>
        <v>02810557</v>
      </c>
      <c r="C7237" t="s">
        <v>13436</v>
      </c>
      <c r="D7237" t="s">
        <v>32670</v>
      </c>
      <c r="E7237" t="s">
        <v>32671</v>
      </c>
      <c r="G7237" t="s">
        <v>32672</v>
      </c>
      <c r="L7237" t="s">
        <v>83</v>
      </c>
      <c r="M7237" t="s">
        <v>85</v>
      </c>
      <c r="R7237" t="s">
        <v>32673</v>
      </c>
      <c r="W7237" t="s">
        <v>32674</v>
      </c>
      <c r="X7237" t="s">
        <v>835</v>
      </c>
      <c r="Y7237" t="s">
        <v>97</v>
      </c>
      <c r="Z7237" t="s">
        <v>77</v>
      </c>
      <c r="AA7237" t="str">
        <f>"10029-6501"</f>
        <v>10029-6501</v>
      </c>
      <c r="AB7237" t="s">
        <v>78</v>
      </c>
      <c r="AC7237" t="s">
        <v>79</v>
      </c>
      <c r="AD7237" t="s">
        <v>75</v>
      </c>
      <c r="AE7237" t="s">
        <v>80</v>
      </c>
      <c r="AG7237" t="s">
        <v>81</v>
      </c>
    </row>
    <row r="7238" spans="1:33" x14ac:dyDescent="0.25">
      <c r="A7238" t="str">
        <f>"1316076045"</f>
        <v>1316076045</v>
      </c>
      <c r="B7238" t="str">
        <f>"03237730"</f>
        <v>03237730</v>
      </c>
      <c r="C7238" t="s">
        <v>13436</v>
      </c>
      <c r="D7238" t="s">
        <v>32675</v>
      </c>
      <c r="E7238" t="s">
        <v>32676</v>
      </c>
      <c r="G7238" t="s">
        <v>32677</v>
      </c>
      <c r="L7238" t="s">
        <v>74</v>
      </c>
      <c r="M7238" t="s">
        <v>75</v>
      </c>
      <c r="R7238" t="s">
        <v>32678</v>
      </c>
      <c r="W7238" t="s">
        <v>32676</v>
      </c>
      <c r="X7238" t="s">
        <v>329</v>
      </c>
      <c r="Y7238" t="s">
        <v>97</v>
      </c>
      <c r="Z7238" t="s">
        <v>77</v>
      </c>
      <c r="AA7238" t="str">
        <f>"10029-6504"</f>
        <v>10029-6504</v>
      </c>
      <c r="AB7238" t="s">
        <v>78</v>
      </c>
      <c r="AC7238" t="s">
        <v>79</v>
      </c>
      <c r="AD7238" t="s">
        <v>75</v>
      </c>
      <c r="AE7238" t="s">
        <v>80</v>
      </c>
      <c r="AG7238" t="s">
        <v>81</v>
      </c>
    </row>
    <row r="7239" spans="1:33" x14ac:dyDescent="0.25">
      <c r="A7239" t="str">
        <f>"1316104631"</f>
        <v>1316104631</v>
      </c>
      <c r="B7239" t="str">
        <f>"03107504"</f>
        <v>03107504</v>
      </c>
      <c r="C7239" t="s">
        <v>13436</v>
      </c>
      <c r="D7239" t="s">
        <v>32679</v>
      </c>
      <c r="E7239" t="s">
        <v>32680</v>
      </c>
      <c r="G7239" t="s">
        <v>32681</v>
      </c>
      <c r="L7239" t="s">
        <v>74</v>
      </c>
      <c r="M7239" t="s">
        <v>85</v>
      </c>
      <c r="R7239" t="s">
        <v>32682</v>
      </c>
      <c r="W7239" t="s">
        <v>32683</v>
      </c>
      <c r="X7239" t="s">
        <v>185</v>
      </c>
      <c r="Y7239" t="s">
        <v>97</v>
      </c>
      <c r="Z7239" t="s">
        <v>77</v>
      </c>
      <c r="AA7239" t="str">
        <f>"10035-2709"</f>
        <v>10035-2709</v>
      </c>
      <c r="AB7239" t="s">
        <v>78</v>
      </c>
      <c r="AC7239" t="s">
        <v>79</v>
      </c>
      <c r="AD7239" t="s">
        <v>75</v>
      </c>
      <c r="AE7239" t="s">
        <v>80</v>
      </c>
      <c r="AG7239" t="s">
        <v>81</v>
      </c>
    </row>
    <row r="7240" spans="1:33" x14ac:dyDescent="0.25">
      <c r="A7240" t="str">
        <f>"1316110281"</f>
        <v>1316110281</v>
      </c>
      <c r="B7240" t="str">
        <f>"03984769"</f>
        <v>03984769</v>
      </c>
      <c r="C7240" t="s">
        <v>13436</v>
      </c>
      <c r="D7240" t="s">
        <v>32684</v>
      </c>
      <c r="E7240" t="s">
        <v>32685</v>
      </c>
      <c r="G7240" t="s">
        <v>32686</v>
      </c>
      <c r="L7240" t="s">
        <v>83</v>
      </c>
      <c r="M7240" t="s">
        <v>75</v>
      </c>
      <c r="R7240" t="s">
        <v>32687</v>
      </c>
      <c r="W7240" t="s">
        <v>32685</v>
      </c>
      <c r="X7240" t="s">
        <v>329</v>
      </c>
      <c r="Y7240" t="s">
        <v>97</v>
      </c>
      <c r="Z7240" t="s">
        <v>77</v>
      </c>
      <c r="AA7240" t="str">
        <f>"10029-6504"</f>
        <v>10029-6504</v>
      </c>
      <c r="AB7240" t="s">
        <v>78</v>
      </c>
      <c r="AC7240" t="s">
        <v>79</v>
      </c>
      <c r="AD7240" t="s">
        <v>75</v>
      </c>
      <c r="AE7240" t="s">
        <v>80</v>
      </c>
      <c r="AG7240" t="s">
        <v>81</v>
      </c>
    </row>
    <row r="7241" spans="1:33" x14ac:dyDescent="0.25">
      <c r="A7241" t="str">
        <f>"1316112717"</f>
        <v>1316112717</v>
      </c>
      <c r="B7241" t="str">
        <f>"02983879"</f>
        <v>02983879</v>
      </c>
      <c r="C7241" t="s">
        <v>13436</v>
      </c>
      <c r="D7241" t="s">
        <v>32688</v>
      </c>
      <c r="E7241" t="s">
        <v>32689</v>
      </c>
      <c r="G7241" t="s">
        <v>32690</v>
      </c>
      <c r="L7241" t="s">
        <v>83</v>
      </c>
      <c r="M7241" t="s">
        <v>85</v>
      </c>
      <c r="R7241" t="s">
        <v>32691</v>
      </c>
      <c r="W7241" t="s">
        <v>32689</v>
      </c>
      <c r="X7241" t="s">
        <v>11436</v>
      </c>
      <c r="Y7241" t="s">
        <v>97</v>
      </c>
      <c r="Z7241" t="s">
        <v>77</v>
      </c>
      <c r="AA7241" t="str">
        <f>"10029"</f>
        <v>10029</v>
      </c>
      <c r="AB7241" t="s">
        <v>78</v>
      </c>
      <c r="AC7241" t="s">
        <v>79</v>
      </c>
      <c r="AD7241" t="s">
        <v>75</v>
      </c>
      <c r="AE7241" t="s">
        <v>80</v>
      </c>
      <c r="AG7241" t="s">
        <v>81</v>
      </c>
    </row>
    <row r="7242" spans="1:33" x14ac:dyDescent="0.25">
      <c r="A7242" t="str">
        <f>"1609287846"</f>
        <v>1609287846</v>
      </c>
      <c r="C7242" t="s">
        <v>13436</v>
      </c>
      <c r="K7242" t="s">
        <v>99</v>
      </c>
      <c r="L7242" t="s">
        <v>102</v>
      </c>
      <c r="M7242" t="s">
        <v>75</v>
      </c>
      <c r="R7242" t="s">
        <v>32692</v>
      </c>
      <c r="S7242" t="s">
        <v>2838</v>
      </c>
      <c r="T7242" t="s">
        <v>97</v>
      </c>
      <c r="U7242" t="s">
        <v>77</v>
      </c>
      <c r="V7242" t="str">
        <f>"100033105"</f>
        <v>100033105</v>
      </c>
      <c r="AC7242" t="s">
        <v>79</v>
      </c>
      <c r="AD7242" t="s">
        <v>75</v>
      </c>
      <c r="AE7242" t="s">
        <v>103</v>
      </c>
      <c r="AG7242" t="s">
        <v>81</v>
      </c>
    </row>
    <row r="7243" spans="1:33" x14ac:dyDescent="0.25">
      <c r="A7243" t="str">
        <f>"1609293562"</f>
        <v>1609293562</v>
      </c>
      <c r="C7243" t="s">
        <v>13436</v>
      </c>
      <c r="K7243" t="s">
        <v>99</v>
      </c>
      <c r="L7243" t="s">
        <v>102</v>
      </c>
      <c r="M7243" t="s">
        <v>75</v>
      </c>
      <c r="R7243" t="s">
        <v>32693</v>
      </c>
      <c r="S7243" t="s">
        <v>32694</v>
      </c>
      <c r="T7243" t="s">
        <v>97</v>
      </c>
      <c r="U7243" t="s">
        <v>77</v>
      </c>
      <c r="V7243" t="str">
        <f>"100033821"</f>
        <v>100033821</v>
      </c>
      <c r="AC7243" t="s">
        <v>79</v>
      </c>
      <c r="AD7243" t="s">
        <v>75</v>
      </c>
      <c r="AE7243" t="s">
        <v>103</v>
      </c>
      <c r="AG7243" t="s">
        <v>81</v>
      </c>
    </row>
    <row r="7244" spans="1:33" x14ac:dyDescent="0.25">
      <c r="A7244" t="str">
        <f>"1609293760"</f>
        <v>1609293760</v>
      </c>
      <c r="C7244" t="s">
        <v>13436</v>
      </c>
      <c r="K7244" t="s">
        <v>99</v>
      </c>
      <c r="L7244" t="s">
        <v>102</v>
      </c>
      <c r="M7244" t="s">
        <v>75</v>
      </c>
      <c r="R7244" t="s">
        <v>32695</v>
      </c>
      <c r="S7244" t="s">
        <v>32696</v>
      </c>
      <c r="T7244" t="s">
        <v>87</v>
      </c>
      <c r="U7244" t="s">
        <v>77</v>
      </c>
      <c r="V7244" t="str">
        <f>"112032012"</f>
        <v>112032012</v>
      </c>
      <c r="AC7244" t="s">
        <v>79</v>
      </c>
      <c r="AD7244" t="s">
        <v>75</v>
      </c>
      <c r="AE7244" t="s">
        <v>103</v>
      </c>
      <c r="AG7244" t="s">
        <v>81</v>
      </c>
    </row>
    <row r="7245" spans="1:33" x14ac:dyDescent="0.25">
      <c r="A7245" t="str">
        <f>"1609293851"</f>
        <v>1609293851</v>
      </c>
      <c r="C7245" t="s">
        <v>13436</v>
      </c>
      <c r="K7245" t="s">
        <v>99</v>
      </c>
      <c r="L7245" t="s">
        <v>102</v>
      </c>
      <c r="M7245" t="s">
        <v>75</v>
      </c>
      <c r="R7245" t="s">
        <v>32697</v>
      </c>
      <c r="S7245" t="s">
        <v>329</v>
      </c>
      <c r="T7245" t="s">
        <v>97</v>
      </c>
      <c r="U7245" t="s">
        <v>77</v>
      </c>
      <c r="V7245" t="str">
        <f>"100296504"</f>
        <v>100296504</v>
      </c>
      <c r="AC7245" t="s">
        <v>79</v>
      </c>
      <c r="AD7245" t="s">
        <v>75</v>
      </c>
      <c r="AE7245" t="s">
        <v>103</v>
      </c>
      <c r="AG7245" t="s">
        <v>81</v>
      </c>
    </row>
    <row r="7246" spans="1:33" x14ac:dyDescent="0.25">
      <c r="A7246" t="str">
        <f>"1245499805"</f>
        <v>1245499805</v>
      </c>
      <c r="B7246" t="str">
        <f>"03367700"</f>
        <v>03367700</v>
      </c>
      <c r="C7246" t="s">
        <v>13436</v>
      </c>
      <c r="D7246" t="s">
        <v>32698</v>
      </c>
      <c r="E7246" t="s">
        <v>32699</v>
      </c>
      <c r="G7246" t="s">
        <v>32700</v>
      </c>
      <c r="L7246" t="s">
        <v>94</v>
      </c>
      <c r="M7246" t="s">
        <v>85</v>
      </c>
      <c r="R7246" t="s">
        <v>32701</v>
      </c>
      <c r="W7246" t="s">
        <v>32699</v>
      </c>
      <c r="X7246" t="s">
        <v>24842</v>
      </c>
      <c r="Y7246" t="s">
        <v>97</v>
      </c>
      <c r="Z7246" t="s">
        <v>77</v>
      </c>
      <c r="AA7246" t="str">
        <f>"10029-6500"</f>
        <v>10029-6500</v>
      </c>
      <c r="AB7246" t="s">
        <v>78</v>
      </c>
      <c r="AC7246" t="s">
        <v>79</v>
      </c>
      <c r="AD7246" t="s">
        <v>75</v>
      </c>
      <c r="AE7246" t="s">
        <v>80</v>
      </c>
      <c r="AG7246" t="s">
        <v>81</v>
      </c>
    </row>
    <row r="7247" spans="1:33" x14ac:dyDescent="0.25">
      <c r="A7247" t="str">
        <f>"1245505411"</f>
        <v>1245505411</v>
      </c>
      <c r="B7247" t="str">
        <f>"04553917"</f>
        <v>04553917</v>
      </c>
      <c r="C7247" t="s">
        <v>13436</v>
      </c>
      <c r="D7247" t="s">
        <v>32702</v>
      </c>
      <c r="E7247" t="s">
        <v>32703</v>
      </c>
      <c r="L7247" t="s">
        <v>102</v>
      </c>
      <c r="M7247" t="s">
        <v>75</v>
      </c>
      <c r="R7247" t="s">
        <v>32704</v>
      </c>
      <c r="W7247" t="s">
        <v>32703</v>
      </c>
      <c r="AB7247" t="s">
        <v>78</v>
      </c>
      <c r="AC7247" t="s">
        <v>79</v>
      </c>
      <c r="AD7247" t="s">
        <v>75</v>
      </c>
      <c r="AE7247" t="s">
        <v>80</v>
      </c>
      <c r="AG7247" t="s">
        <v>81</v>
      </c>
    </row>
    <row r="7248" spans="1:33" x14ac:dyDescent="0.25">
      <c r="A7248" t="str">
        <f>"1245506245"</f>
        <v>1245506245</v>
      </c>
      <c r="C7248" t="s">
        <v>13436</v>
      </c>
      <c r="K7248" t="s">
        <v>99</v>
      </c>
      <c r="L7248" t="s">
        <v>102</v>
      </c>
      <c r="M7248" t="s">
        <v>75</v>
      </c>
      <c r="R7248" t="s">
        <v>32705</v>
      </c>
      <c r="S7248" t="s">
        <v>32706</v>
      </c>
      <c r="T7248" t="s">
        <v>97</v>
      </c>
      <c r="U7248" t="s">
        <v>77</v>
      </c>
      <c r="V7248" t="str">
        <f>"100191147"</f>
        <v>100191147</v>
      </c>
      <c r="AC7248" t="s">
        <v>79</v>
      </c>
      <c r="AD7248" t="s">
        <v>75</v>
      </c>
      <c r="AE7248" t="s">
        <v>103</v>
      </c>
      <c r="AG7248" t="s">
        <v>81</v>
      </c>
    </row>
    <row r="7249" spans="1:33" x14ac:dyDescent="0.25">
      <c r="A7249" t="str">
        <f>"1063688778"</f>
        <v>1063688778</v>
      </c>
      <c r="B7249" t="str">
        <f>"03019990"</f>
        <v>03019990</v>
      </c>
      <c r="C7249" t="s">
        <v>13436</v>
      </c>
      <c r="D7249" t="s">
        <v>32707</v>
      </c>
      <c r="E7249" t="s">
        <v>32708</v>
      </c>
      <c r="G7249" t="s">
        <v>32709</v>
      </c>
      <c r="L7249" t="s">
        <v>83</v>
      </c>
      <c r="M7249" t="s">
        <v>85</v>
      </c>
      <c r="R7249" t="s">
        <v>32708</v>
      </c>
      <c r="W7249" t="s">
        <v>32710</v>
      </c>
      <c r="X7249" t="s">
        <v>942</v>
      </c>
      <c r="Y7249" t="s">
        <v>97</v>
      </c>
      <c r="Z7249" t="s">
        <v>77</v>
      </c>
      <c r="AA7249" t="str">
        <f>"10029-6508"</f>
        <v>10029-6508</v>
      </c>
      <c r="AB7249" t="s">
        <v>78</v>
      </c>
      <c r="AC7249" t="s">
        <v>79</v>
      </c>
      <c r="AD7249" t="s">
        <v>75</v>
      </c>
      <c r="AE7249" t="s">
        <v>80</v>
      </c>
      <c r="AG7249" t="s">
        <v>81</v>
      </c>
    </row>
    <row r="7250" spans="1:33" x14ac:dyDescent="0.25">
      <c r="A7250" t="str">
        <f>"1063695971"</f>
        <v>1063695971</v>
      </c>
      <c r="B7250" t="str">
        <f>"01986194"</f>
        <v>01986194</v>
      </c>
      <c r="C7250" t="s">
        <v>13436</v>
      </c>
      <c r="D7250" t="s">
        <v>32711</v>
      </c>
      <c r="E7250" t="s">
        <v>32712</v>
      </c>
      <c r="L7250" t="s">
        <v>83</v>
      </c>
      <c r="M7250" t="s">
        <v>85</v>
      </c>
      <c r="R7250" t="s">
        <v>32713</v>
      </c>
      <c r="W7250" t="s">
        <v>32714</v>
      </c>
      <c r="X7250" t="s">
        <v>267</v>
      </c>
      <c r="Y7250" t="s">
        <v>91</v>
      </c>
      <c r="Z7250" t="s">
        <v>77</v>
      </c>
      <c r="AA7250" t="str">
        <f>"11373-1329"</f>
        <v>11373-1329</v>
      </c>
      <c r="AB7250" t="s">
        <v>78</v>
      </c>
      <c r="AC7250" t="s">
        <v>79</v>
      </c>
      <c r="AD7250" t="s">
        <v>75</v>
      </c>
      <c r="AE7250" t="s">
        <v>80</v>
      </c>
      <c r="AG7250" t="s">
        <v>81</v>
      </c>
    </row>
    <row r="7251" spans="1:33" x14ac:dyDescent="0.25">
      <c r="A7251" t="str">
        <f>"1063700417"</f>
        <v>1063700417</v>
      </c>
      <c r="C7251" t="s">
        <v>13436</v>
      </c>
      <c r="K7251" t="s">
        <v>99</v>
      </c>
      <c r="L7251" t="s">
        <v>102</v>
      </c>
      <c r="M7251" t="s">
        <v>75</v>
      </c>
      <c r="R7251" t="s">
        <v>32715</v>
      </c>
      <c r="S7251" t="s">
        <v>32716</v>
      </c>
      <c r="T7251" t="s">
        <v>97</v>
      </c>
      <c r="U7251" t="s">
        <v>77</v>
      </c>
      <c r="V7251" t="str">
        <f>"100164942"</f>
        <v>100164942</v>
      </c>
      <c r="AC7251" t="s">
        <v>79</v>
      </c>
      <c r="AD7251" t="s">
        <v>75</v>
      </c>
      <c r="AE7251" t="s">
        <v>103</v>
      </c>
      <c r="AG7251" t="s">
        <v>81</v>
      </c>
    </row>
    <row r="7252" spans="1:33" x14ac:dyDescent="0.25">
      <c r="A7252" t="str">
        <f>"1063700490"</f>
        <v>1063700490</v>
      </c>
      <c r="B7252" t="str">
        <f>"04501424"</f>
        <v>04501424</v>
      </c>
      <c r="C7252" t="s">
        <v>13436</v>
      </c>
      <c r="D7252" t="s">
        <v>32717</v>
      </c>
      <c r="E7252" t="s">
        <v>32718</v>
      </c>
      <c r="L7252" t="s">
        <v>102</v>
      </c>
      <c r="M7252" t="s">
        <v>75</v>
      </c>
      <c r="R7252" t="s">
        <v>32719</v>
      </c>
      <c r="W7252" t="s">
        <v>32718</v>
      </c>
      <c r="AB7252" t="s">
        <v>78</v>
      </c>
      <c r="AC7252" t="s">
        <v>79</v>
      </c>
      <c r="AD7252" t="s">
        <v>75</v>
      </c>
      <c r="AE7252" t="s">
        <v>80</v>
      </c>
      <c r="AG7252" t="s">
        <v>81</v>
      </c>
    </row>
    <row r="7253" spans="1:33" x14ac:dyDescent="0.25">
      <c r="A7253" t="str">
        <f>"1437417599"</f>
        <v>1437417599</v>
      </c>
      <c r="B7253" t="str">
        <f>"03795122"</f>
        <v>03795122</v>
      </c>
      <c r="C7253" t="s">
        <v>13436</v>
      </c>
      <c r="D7253" t="s">
        <v>32720</v>
      </c>
      <c r="E7253" t="s">
        <v>32721</v>
      </c>
      <c r="L7253" t="s">
        <v>74</v>
      </c>
      <c r="M7253" t="s">
        <v>75</v>
      </c>
      <c r="R7253" t="s">
        <v>32722</v>
      </c>
      <c r="W7253" t="s">
        <v>32721</v>
      </c>
      <c r="X7253" t="s">
        <v>12304</v>
      </c>
      <c r="Y7253" t="s">
        <v>97</v>
      </c>
      <c r="Z7253" t="s">
        <v>77</v>
      </c>
      <c r="AA7253" t="str">
        <f>"10003-4201"</f>
        <v>10003-4201</v>
      </c>
      <c r="AB7253" t="s">
        <v>78</v>
      </c>
      <c r="AC7253" t="s">
        <v>79</v>
      </c>
      <c r="AD7253" t="s">
        <v>75</v>
      </c>
      <c r="AE7253" t="s">
        <v>80</v>
      </c>
      <c r="AG7253" t="s">
        <v>81</v>
      </c>
    </row>
    <row r="7254" spans="1:33" x14ac:dyDescent="0.25">
      <c r="A7254" t="str">
        <f>"1457417255"</f>
        <v>1457417255</v>
      </c>
      <c r="B7254" t="str">
        <f>"01420906"</f>
        <v>01420906</v>
      </c>
      <c r="C7254" t="s">
        <v>13436</v>
      </c>
      <c r="D7254" t="s">
        <v>32723</v>
      </c>
      <c r="E7254" t="s">
        <v>32724</v>
      </c>
      <c r="L7254" t="s">
        <v>74</v>
      </c>
      <c r="M7254" t="s">
        <v>75</v>
      </c>
      <c r="R7254" t="s">
        <v>32725</v>
      </c>
      <c r="W7254" t="s">
        <v>32726</v>
      </c>
      <c r="X7254" t="s">
        <v>3084</v>
      </c>
      <c r="Y7254" t="s">
        <v>97</v>
      </c>
      <c r="Z7254" t="s">
        <v>77</v>
      </c>
      <c r="AA7254" t="str">
        <f>"10029-6501"</f>
        <v>10029-6501</v>
      </c>
      <c r="AB7254" t="s">
        <v>78</v>
      </c>
      <c r="AC7254" t="s">
        <v>79</v>
      </c>
      <c r="AD7254" t="s">
        <v>75</v>
      </c>
      <c r="AE7254" t="s">
        <v>80</v>
      </c>
      <c r="AG7254" t="s">
        <v>81</v>
      </c>
    </row>
    <row r="7255" spans="1:33" x14ac:dyDescent="0.25">
      <c r="A7255" t="str">
        <f>"1467553057"</f>
        <v>1467553057</v>
      </c>
      <c r="B7255" t="str">
        <f>"02421492"</f>
        <v>02421492</v>
      </c>
      <c r="C7255" t="s">
        <v>13436</v>
      </c>
      <c r="D7255" t="s">
        <v>32727</v>
      </c>
      <c r="E7255" t="s">
        <v>32728</v>
      </c>
      <c r="L7255" t="s">
        <v>74</v>
      </c>
      <c r="M7255" t="s">
        <v>75</v>
      </c>
      <c r="R7255" t="s">
        <v>32729</v>
      </c>
      <c r="W7255" t="s">
        <v>32728</v>
      </c>
      <c r="X7255" t="s">
        <v>5627</v>
      </c>
      <c r="Y7255" t="s">
        <v>794</v>
      </c>
      <c r="Z7255" t="s">
        <v>77</v>
      </c>
      <c r="AA7255" t="str">
        <f>"10960-2407"</f>
        <v>10960-2407</v>
      </c>
      <c r="AB7255" t="s">
        <v>114</v>
      </c>
      <c r="AC7255" t="s">
        <v>79</v>
      </c>
      <c r="AD7255" t="s">
        <v>75</v>
      </c>
      <c r="AE7255" t="s">
        <v>80</v>
      </c>
      <c r="AG7255" t="s">
        <v>81</v>
      </c>
    </row>
    <row r="7256" spans="1:33" x14ac:dyDescent="0.25">
      <c r="A7256" t="str">
        <f>"1467558932"</f>
        <v>1467558932</v>
      </c>
      <c r="B7256" t="str">
        <f>"02891481"</f>
        <v>02891481</v>
      </c>
      <c r="C7256" t="s">
        <v>13436</v>
      </c>
      <c r="D7256" t="s">
        <v>32730</v>
      </c>
      <c r="E7256" t="s">
        <v>32731</v>
      </c>
      <c r="G7256" t="s">
        <v>27411</v>
      </c>
      <c r="L7256" t="s">
        <v>74</v>
      </c>
      <c r="M7256" t="s">
        <v>85</v>
      </c>
      <c r="R7256" t="s">
        <v>32732</v>
      </c>
      <c r="W7256" t="s">
        <v>32731</v>
      </c>
      <c r="X7256" t="s">
        <v>4029</v>
      </c>
      <c r="Y7256" t="s">
        <v>97</v>
      </c>
      <c r="Z7256" t="s">
        <v>77</v>
      </c>
      <c r="AA7256" t="str">
        <f>"10029-6503"</f>
        <v>10029-6503</v>
      </c>
      <c r="AB7256" t="s">
        <v>78</v>
      </c>
      <c r="AC7256" t="s">
        <v>79</v>
      </c>
      <c r="AD7256" t="s">
        <v>75</v>
      </c>
      <c r="AE7256" t="s">
        <v>80</v>
      </c>
      <c r="AG7256" t="s">
        <v>81</v>
      </c>
    </row>
    <row r="7257" spans="1:33" x14ac:dyDescent="0.25">
      <c r="A7257" t="str">
        <f>"1386777001"</f>
        <v>1386777001</v>
      </c>
      <c r="B7257" t="str">
        <f>"03736812"</f>
        <v>03736812</v>
      </c>
      <c r="C7257" t="s">
        <v>13436</v>
      </c>
      <c r="D7257" t="s">
        <v>32733</v>
      </c>
      <c r="E7257" t="s">
        <v>32734</v>
      </c>
      <c r="G7257" t="s">
        <v>32735</v>
      </c>
      <c r="L7257" t="s">
        <v>102</v>
      </c>
      <c r="M7257" t="s">
        <v>75</v>
      </c>
      <c r="R7257" t="s">
        <v>32736</v>
      </c>
      <c r="W7257" t="s">
        <v>32736</v>
      </c>
      <c r="X7257" t="s">
        <v>329</v>
      </c>
      <c r="Y7257" t="s">
        <v>97</v>
      </c>
      <c r="Z7257" t="s">
        <v>77</v>
      </c>
      <c r="AA7257" t="str">
        <f>"10029-6574"</f>
        <v>10029-6574</v>
      </c>
      <c r="AB7257" t="s">
        <v>78</v>
      </c>
      <c r="AC7257" t="s">
        <v>79</v>
      </c>
      <c r="AD7257" t="s">
        <v>75</v>
      </c>
      <c r="AE7257" t="s">
        <v>80</v>
      </c>
      <c r="AG7257" t="s">
        <v>81</v>
      </c>
    </row>
    <row r="7258" spans="1:33" x14ac:dyDescent="0.25">
      <c r="A7258" t="str">
        <f>"1457617920"</f>
        <v>1457617920</v>
      </c>
      <c r="C7258" t="s">
        <v>32737</v>
      </c>
      <c r="G7258" t="s">
        <v>32379</v>
      </c>
      <c r="H7258" t="s">
        <v>183</v>
      </c>
      <c r="J7258" t="s">
        <v>184</v>
      </c>
      <c r="K7258" t="s">
        <v>2011</v>
      </c>
      <c r="L7258" t="s">
        <v>74</v>
      </c>
      <c r="M7258" t="s">
        <v>75</v>
      </c>
      <c r="R7258" t="s">
        <v>3893</v>
      </c>
      <c r="S7258" t="s">
        <v>3738</v>
      </c>
      <c r="T7258" t="s">
        <v>97</v>
      </c>
      <c r="U7258" t="s">
        <v>77</v>
      </c>
      <c r="V7258" t="str">
        <f>"100033304"</f>
        <v>100033304</v>
      </c>
      <c r="AC7258" t="s">
        <v>79</v>
      </c>
      <c r="AD7258" t="s">
        <v>75</v>
      </c>
      <c r="AE7258" t="s">
        <v>103</v>
      </c>
      <c r="AG7258" t="s">
        <v>81</v>
      </c>
    </row>
    <row r="7259" spans="1:33" x14ac:dyDescent="0.25">
      <c r="A7259" t="str">
        <f>"1194132175"</f>
        <v>1194132175</v>
      </c>
      <c r="C7259" t="s">
        <v>32738</v>
      </c>
      <c r="G7259" t="s">
        <v>32379</v>
      </c>
      <c r="H7259" t="s">
        <v>183</v>
      </c>
      <c r="J7259" t="s">
        <v>184</v>
      </c>
      <c r="K7259" t="s">
        <v>2011</v>
      </c>
      <c r="L7259" t="s">
        <v>102</v>
      </c>
      <c r="M7259" t="s">
        <v>75</v>
      </c>
      <c r="R7259" t="s">
        <v>3894</v>
      </c>
      <c r="S7259" t="s">
        <v>3868</v>
      </c>
      <c r="T7259" t="s">
        <v>3818</v>
      </c>
      <c r="U7259" t="s">
        <v>77</v>
      </c>
      <c r="V7259" t="str">
        <f>"117145708"</f>
        <v>117145708</v>
      </c>
      <c r="AC7259" t="s">
        <v>79</v>
      </c>
      <c r="AD7259" t="s">
        <v>75</v>
      </c>
      <c r="AE7259" t="s">
        <v>103</v>
      </c>
      <c r="AG7259" t="s">
        <v>81</v>
      </c>
    </row>
    <row r="7260" spans="1:33" x14ac:dyDescent="0.25">
      <c r="A7260" t="str">
        <f>"1649357468"</f>
        <v>1649357468</v>
      </c>
      <c r="C7260" t="s">
        <v>32379</v>
      </c>
      <c r="G7260" t="s">
        <v>32379</v>
      </c>
      <c r="H7260" t="s">
        <v>183</v>
      </c>
      <c r="J7260" t="s">
        <v>184</v>
      </c>
      <c r="K7260" t="s">
        <v>2011</v>
      </c>
      <c r="L7260" t="s">
        <v>74</v>
      </c>
      <c r="M7260" t="s">
        <v>75</v>
      </c>
      <c r="R7260" t="s">
        <v>3895</v>
      </c>
      <c r="S7260" t="s">
        <v>3896</v>
      </c>
      <c r="T7260" t="s">
        <v>97</v>
      </c>
      <c r="U7260" t="s">
        <v>77</v>
      </c>
      <c r="V7260" t="str">
        <f>"100176308"</f>
        <v>100176308</v>
      </c>
      <c r="AC7260" t="s">
        <v>79</v>
      </c>
      <c r="AD7260" t="s">
        <v>75</v>
      </c>
      <c r="AE7260" t="s">
        <v>103</v>
      </c>
      <c r="AG7260" t="s">
        <v>81</v>
      </c>
    </row>
    <row r="7261" spans="1:33" x14ac:dyDescent="0.25">
      <c r="A7261" t="str">
        <f>"1336183177"</f>
        <v>1336183177</v>
      </c>
      <c r="B7261" t="str">
        <f>"01867830"</f>
        <v>01867830</v>
      </c>
      <c r="C7261" t="s">
        <v>13436</v>
      </c>
      <c r="D7261" t="s">
        <v>32739</v>
      </c>
      <c r="E7261" t="s">
        <v>32740</v>
      </c>
      <c r="G7261" t="s">
        <v>32741</v>
      </c>
      <c r="L7261" t="s">
        <v>74</v>
      </c>
      <c r="M7261" t="s">
        <v>75</v>
      </c>
      <c r="R7261" t="s">
        <v>32742</v>
      </c>
      <c r="W7261" t="s">
        <v>32740</v>
      </c>
      <c r="X7261" t="s">
        <v>32743</v>
      </c>
      <c r="Y7261" t="s">
        <v>87</v>
      </c>
      <c r="Z7261" t="s">
        <v>77</v>
      </c>
      <c r="AA7261" t="str">
        <f>"11203-1809"</f>
        <v>11203-1809</v>
      </c>
      <c r="AB7261" t="s">
        <v>78</v>
      </c>
      <c r="AC7261" t="s">
        <v>79</v>
      </c>
      <c r="AD7261" t="s">
        <v>75</v>
      </c>
      <c r="AE7261" t="s">
        <v>80</v>
      </c>
      <c r="AG7261" t="s">
        <v>81</v>
      </c>
    </row>
    <row r="7262" spans="1:33" x14ac:dyDescent="0.25">
      <c r="A7262" t="str">
        <f>"1356495550"</f>
        <v>1356495550</v>
      </c>
      <c r="B7262" t="str">
        <f>"00827803"</f>
        <v>00827803</v>
      </c>
      <c r="C7262" t="s">
        <v>13436</v>
      </c>
      <c r="D7262" t="s">
        <v>577</v>
      </c>
      <c r="E7262" t="s">
        <v>578</v>
      </c>
      <c r="G7262" t="s">
        <v>32744</v>
      </c>
      <c r="L7262" t="s">
        <v>83</v>
      </c>
      <c r="M7262" t="s">
        <v>85</v>
      </c>
      <c r="R7262" t="s">
        <v>579</v>
      </c>
      <c r="W7262" t="s">
        <v>578</v>
      </c>
      <c r="X7262" t="s">
        <v>580</v>
      </c>
      <c r="Y7262" t="s">
        <v>97</v>
      </c>
      <c r="Z7262" t="s">
        <v>77</v>
      </c>
      <c r="AA7262" t="str">
        <f>"10028-0975"</f>
        <v>10028-0975</v>
      </c>
      <c r="AB7262" t="s">
        <v>78</v>
      </c>
      <c r="AC7262" t="s">
        <v>79</v>
      </c>
      <c r="AD7262" t="s">
        <v>75</v>
      </c>
      <c r="AE7262" t="s">
        <v>80</v>
      </c>
      <c r="AG7262" t="s">
        <v>81</v>
      </c>
    </row>
    <row r="7263" spans="1:33" x14ac:dyDescent="0.25">
      <c r="A7263" t="str">
        <f>"1366596132"</f>
        <v>1366596132</v>
      </c>
      <c r="B7263" t="str">
        <f>"02126492"</f>
        <v>02126492</v>
      </c>
      <c r="C7263" t="s">
        <v>13436</v>
      </c>
      <c r="D7263" t="s">
        <v>32745</v>
      </c>
      <c r="E7263" t="s">
        <v>32746</v>
      </c>
      <c r="G7263" t="s">
        <v>32747</v>
      </c>
      <c r="L7263" t="s">
        <v>84</v>
      </c>
      <c r="M7263" t="s">
        <v>85</v>
      </c>
      <c r="R7263" t="s">
        <v>32748</v>
      </c>
      <c r="W7263" t="s">
        <v>32746</v>
      </c>
      <c r="X7263" t="s">
        <v>32749</v>
      </c>
      <c r="Y7263" t="s">
        <v>87</v>
      </c>
      <c r="Z7263" t="s">
        <v>77</v>
      </c>
      <c r="AA7263" t="str">
        <f>"11205-1631"</f>
        <v>11205-1631</v>
      </c>
      <c r="AB7263" t="s">
        <v>78</v>
      </c>
      <c r="AC7263" t="s">
        <v>79</v>
      </c>
      <c r="AD7263" t="s">
        <v>75</v>
      </c>
      <c r="AE7263" t="s">
        <v>80</v>
      </c>
      <c r="AG7263" t="s">
        <v>81</v>
      </c>
    </row>
    <row r="7264" spans="1:33" x14ac:dyDescent="0.25">
      <c r="A7264" t="str">
        <f>"1932113636"</f>
        <v>1932113636</v>
      </c>
      <c r="B7264" t="str">
        <f>"02884600"</f>
        <v>02884600</v>
      </c>
      <c r="C7264" t="s">
        <v>13436</v>
      </c>
      <c r="D7264" t="s">
        <v>32750</v>
      </c>
      <c r="E7264" t="s">
        <v>32751</v>
      </c>
      <c r="L7264" t="s">
        <v>83</v>
      </c>
      <c r="M7264" t="s">
        <v>85</v>
      </c>
      <c r="R7264" t="s">
        <v>32752</v>
      </c>
      <c r="W7264" t="s">
        <v>32753</v>
      </c>
      <c r="X7264" t="s">
        <v>32754</v>
      </c>
      <c r="Y7264" t="s">
        <v>97</v>
      </c>
      <c r="Z7264" t="s">
        <v>77</v>
      </c>
      <c r="AA7264" t="str">
        <f>"10128-2226"</f>
        <v>10128-2226</v>
      </c>
      <c r="AB7264" t="s">
        <v>78</v>
      </c>
      <c r="AC7264" t="s">
        <v>79</v>
      </c>
      <c r="AD7264" t="s">
        <v>75</v>
      </c>
      <c r="AE7264" t="s">
        <v>80</v>
      </c>
      <c r="AG7264" t="s">
        <v>81</v>
      </c>
    </row>
    <row r="7265" spans="1:33" x14ac:dyDescent="0.25">
      <c r="A7265" t="str">
        <f>"1932131133"</f>
        <v>1932131133</v>
      </c>
      <c r="B7265" t="str">
        <f>"00846566"</f>
        <v>00846566</v>
      </c>
      <c r="C7265" t="s">
        <v>13436</v>
      </c>
      <c r="D7265" t="s">
        <v>32755</v>
      </c>
      <c r="E7265" t="s">
        <v>32756</v>
      </c>
      <c r="L7265" t="s">
        <v>83</v>
      </c>
      <c r="M7265" t="s">
        <v>85</v>
      </c>
      <c r="R7265" t="s">
        <v>32757</v>
      </c>
      <c r="W7265" t="s">
        <v>32756</v>
      </c>
      <c r="X7265" t="s">
        <v>32758</v>
      </c>
      <c r="Y7265" t="s">
        <v>97</v>
      </c>
      <c r="Z7265" t="s">
        <v>77</v>
      </c>
      <c r="AA7265" t="str">
        <f>"10029-6504"</f>
        <v>10029-6504</v>
      </c>
      <c r="AB7265" t="s">
        <v>78</v>
      </c>
      <c r="AC7265" t="s">
        <v>79</v>
      </c>
      <c r="AD7265" t="s">
        <v>75</v>
      </c>
      <c r="AE7265" t="s">
        <v>80</v>
      </c>
      <c r="AG7265" t="s">
        <v>81</v>
      </c>
    </row>
    <row r="7266" spans="1:33" x14ac:dyDescent="0.25">
      <c r="A7266" t="str">
        <f>"1932131166"</f>
        <v>1932131166</v>
      </c>
      <c r="B7266" t="str">
        <f>"00766216"</f>
        <v>00766216</v>
      </c>
      <c r="C7266" t="s">
        <v>13436</v>
      </c>
      <c r="D7266" t="s">
        <v>32759</v>
      </c>
      <c r="E7266" t="s">
        <v>32760</v>
      </c>
      <c r="L7266" t="s">
        <v>74</v>
      </c>
      <c r="M7266" t="s">
        <v>85</v>
      </c>
      <c r="R7266" t="s">
        <v>32761</v>
      </c>
      <c r="W7266" t="s">
        <v>32760</v>
      </c>
      <c r="X7266" t="s">
        <v>1909</v>
      </c>
      <c r="Y7266" t="s">
        <v>97</v>
      </c>
      <c r="Z7266" t="s">
        <v>77</v>
      </c>
      <c r="AA7266" t="str">
        <f>"10029-6503"</f>
        <v>10029-6503</v>
      </c>
      <c r="AB7266" t="s">
        <v>78</v>
      </c>
      <c r="AC7266" t="s">
        <v>79</v>
      </c>
      <c r="AD7266" t="s">
        <v>75</v>
      </c>
      <c r="AE7266" t="s">
        <v>80</v>
      </c>
      <c r="AG7266" t="s">
        <v>81</v>
      </c>
    </row>
    <row r="7267" spans="1:33" x14ac:dyDescent="0.25">
      <c r="A7267" t="str">
        <f>"1932146677"</f>
        <v>1932146677</v>
      </c>
      <c r="B7267" t="str">
        <f>"03319519"</f>
        <v>03319519</v>
      </c>
      <c r="C7267" t="s">
        <v>13436</v>
      </c>
      <c r="D7267" t="s">
        <v>32762</v>
      </c>
      <c r="E7267" t="s">
        <v>32763</v>
      </c>
      <c r="L7267" t="s">
        <v>74</v>
      </c>
      <c r="M7267" t="s">
        <v>85</v>
      </c>
      <c r="R7267" t="s">
        <v>32764</v>
      </c>
      <c r="W7267" t="s">
        <v>32763</v>
      </c>
      <c r="X7267" t="s">
        <v>4029</v>
      </c>
      <c r="Y7267" t="s">
        <v>97</v>
      </c>
      <c r="Z7267" t="s">
        <v>77</v>
      </c>
      <c r="AA7267" t="str">
        <f>"10029-6503"</f>
        <v>10029-6503</v>
      </c>
      <c r="AB7267" t="s">
        <v>78</v>
      </c>
      <c r="AC7267" t="s">
        <v>79</v>
      </c>
      <c r="AD7267" t="s">
        <v>75</v>
      </c>
      <c r="AE7267" t="s">
        <v>80</v>
      </c>
      <c r="AG7267" t="s">
        <v>81</v>
      </c>
    </row>
    <row r="7268" spans="1:33" x14ac:dyDescent="0.25">
      <c r="A7268" t="str">
        <f>"1932153566"</f>
        <v>1932153566</v>
      </c>
      <c r="B7268" t="str">
        <f>"02752734"</f>
        <v>02752734</v>
      </c>
      <c r="C7268" t="s">
        <v>13436</v>
      </c>
      <c r="D7268" t="s">
        <v>32765</v>
      </c>
      <c r="E7268" t="s">
        <v>32766</v>
      </c>
      <c r="G7268" t="s">
        <v>32767</v>
      </c>
      <c r="L7268" t="s">
        <v>74</v>
      </c>
      <c r="M7268" t="s">
        <v>85</v>
      </c>
      <c r="R7268" t="s">
        <v>32768</v>
      </c>
      <c r="W7268" t="s">
        <v>32766</v>
      </c>
      <c r="X7268" t="s">
        <v>11176</v>
      </c>
      <c r="Y7268" t="s">
        <v>97</v>
      </c>
      <c r="Z7268" t="s">
        <v>77</v>
      </c>
      <c r="AA7268" t="str">
        <f>"10029-6542"</f>
        <v>10029-6542</v>
      </c>
      <c r="AB7268" t="s">
        <v>78</v>
      </c>
      <c r="AC7268" t="s">
        <v>79</v>
      </c>
      <c r="AD7268" t="s">
        <v>75</v>
      </c>
      <c r="AE7268" t="s">
        <v>80</v>
      </c>
      <c r="AG7268" t="s">
        <v>81</v>
      </c>
    </row>
    <row r="7269" spans="1:33" x14ac:dyDescent="0.25">
      <c r="A7269" t="str">
        <f>"1932162666"</f>
        <v>1932162666</v>
      </c>
      <c r="B7269" t="str">
        <f>"01606413"</f>
        <v>01606413</v>
      </c>
      <c r="C7269" t="s">
        <v>13436</v>
      </c>
      <c r="D7269" t="s">
        <v>32769</v>
      </c>
      <c r="E7269" t="s">
        <v>32770</v>
      </c>
      <c r="G7269" t="s">
        <v>32771</v>
      </c>
      <c r="L7269" t="s">
        <v>83</v>
      </c>
      <c r="M7269" t="s">
        <v>85</v>
      </c>
      <c r="R7269" t="s">
        <v>32772</v>
      </c>
      <c r="W7269" t="s">
        <v>32773</v>
      </c>
      <c r="X7269" t="s">
        <v>181</v>
      </c>
      <c r="Y7269" t="s">
        <v>97</v>
      </c>
      <c r="Z7269" t="s">
        <v>77</v>
      </c>
      <c r="AA7269" t="str">
        <f>"10025-1716"</f>
        <v>10025-1716</v>
      </c>
      <c r="AB7269" t="s">
        <v>78</v>
      </c>
      <c r="AC7269" t="s">
        <v>79</v>
      </c>
      <c r="AD7269" t="s">
        <v>75</v>
      </c>
      <c r="AE7269" t="s">
        <v>80</v>
      </c>
      <c r="AG7269" t="s">
        <v>81</v>
      </c>
    </row>
    <row r="7270" spans="1:33" x14ac:dyDescent="0.25">
      <c r="A7270" t="str">
        <f>"1932170156"</f>
        <v>1932170156</v>
      </c>
      <c r="B7270" t="str">
        <f>"01033141"</f>
        <v>01033141</v>
      </c>
      <c r="C7270" t="s">
        <v>13436</v>
      </c>
      <c r="D7270" t="s">
        <v>32774</v>
      </c>
      <c r="E7270" t="s">
        <v>32775</v>
      </c>
      <c r="G7270" t="s">
        <v>32776</v>
      </c>
      <c r="L7270" t="s">
        <v>83</v>
      </c>
      <c r="M7270" t="s">
        <v>85</v>
      </c>
      <c r="R7270" t="s">
        <v>32777</v>
      </c>
      <c r="W7270" t="s">
        <v>32775</v>
      </c>
      <c r="X7270" t="s">
        <v>272</v>
      </c>
      <c r="Y7270" t="s">
        <v>97</v>
      </c>
      <c r="Z7270" t="s">
        <v>77</v>
      </c>
      <c r="AA7270" t="str">
        <f>"10029-6501"</f>
        <v>10029-6501</v>
      </c>
      <c r="AB7270" t="s">
        <v>78</v>
      </c>
      <c r="AC7270" t="s">
        <v>79</v>
      </c>
      <c r="AD7270" t="s">
        <v>75</v>
      </c>
      <c r="AE7270" t="s">
        <v>80</v>
      </c>
      <c r="AG7270" t="s">
        <v>81</v>
      </c>
    </row>
    <row r="7271" spans="1:33" x14ac:dyDescent="0.25">
      <c r="A7271" t="str">
        <f>"1295729408"</f>
        <v>1295729408</v>
      </c>
      <c r="B7271" t="str">
        <f>"00903700"</f>
        <v>00903700</v>
      </c>
      <c r="C7271" t="s">
        <v>32778</v>
      </c>
      <c r="D7271" t="s">
        <v>32779</v>
      </c>
      <c r="E7271" t="s">
        <v>32780</v>
      </c>
      <c r="L7271" t="s">
        <v>32781</v>
      </c>
      <c r="M7271" t="s">
        <v>85</v>
      </c>
      <c r="R7271" t="s">
        <v>32782</v>
      </c>
      <c r="W7271" t="s">
        <v>32780</v>
      </c>
      <c r="X7271" t="s">
        <v>2838</v>
      </c>
      <c r="Y7271" t="s">
        <v>97</v>
      </c>
      <c r="Z7271" t="s">
        <v>77</v>
      </c>
      <c r="AA7271" t="str">
        <f>"10003-3105"</f>
        <v>10003-3105</v>
      </c>
      <c r="AB7271" t="s">
        <v>93</v>
      </c>
      <c r="AC7271" t="s">
        <v>79</v>
      </c>
      <c r="AD7271" t="s">
        <v>75</v>
      </c>
      <c r="AE7271" t="s">
        <v>80</v>
      </c>
      <c r="AG7271" t="s">
        <v>81</v>
      </c>
    </row>
    <row r="7272" spans="1:33" x14ac:dyDescent="0.25">
      <c r="A7272" t="str">
        <f>"1972877017"</f>
        <v>1972877017</v>
      </c>
      <c r="B7272" t="str">
        <f>"03595553"</f>
        <v>03595553</v>
      </c>
      <c r="C7272" t="s">
        <v>32778</v>
      </c>
      <c r="D7272" t="s">
        <v>32779</v>
      </c>
      <c r="E7272" t="s">
        <v>32780</v>
      </c>
      <c r="L7272" t="s">
        <v>1790</v>
      </c>
      <c r="M7272" t="s">
        <v>85</v>
      </c>
      <c r="R7272" t="s">
        <v>32782</v>
      </c>
      <c r="W7272" t="s">
        <v>32782</v>
      </c>
      <c r="X7272" t="s">
        <v>1010</v>
      </c>
      <c r="Y7272" t="s">
        <v>97</v>
      </c>
      <c r="Z7272" t="s">
        <v>77</v>
      </c>
      <c r="AA7272" t="str">
        <f>"10035-3832"</f>
        <v>10035-3832</v>
      </c>
      <c r="AB7272" t="s">
        <v>122</v>
      </c>
      <c r="AC7272" t="s">
        <v>79</v>
      </c>
      <c r="AD7272" t="s">
        <v>75</v>
      </c>
      <c r="AE7272" t="s">
        <v>80</v>
      </c>
      <c r="AG7272" t="s">
        <v>81</v>
      </c>
    </row>
    <row r="7273" spans="1:33" x14ac:dyDescent="0.25">
      <c r="A7273" t="str">
        <f>"1346509460"</f>
        <v>1346509460</v>
      </c>
      <c r="C7273" t="s">
        <v>13436</v>
      </c>
      <c r="K7273" t="s">
        <v>99</v>
      </c>
      <c r="L7273" t="s">
        <v>102</v>
      </c>
      <c r="M7273" t="s">
        <v>75</v>
      </c>
      <c r="R7273" t="s">
        <v>32783</v>
      </c>
      <c r="S7273" t="s">
        <v>181</v>
      </c>
      <c r="T7273" t="s">
        <v>97</v>
      </c>
      <c r="U7273" t="s">
        <v>77</v>
      </c>
      <c r="V7273" t="str">
        <f>"100251716"</f>
        <v>100251716</v>
      </c>
      <c r="AC7273" t="s">
        <v>79</v>
      </c>
      <c r="AD7273" t="s">
        <v>75</v>
      </c>
      <c r="AE7273" t="s">
        <v>103</v>
      </c>
      <c r="AG7273" t="s">
        <v>81</v>
      </c>
    </row>
    <row r="7274" spans="1:33" x14ac:dyDescent="0.25">
      <c r="A7274" t="str">
        <f>"1346515442"</f>
        <v>1346515442</v>
      </c>
      <c r="C7274" t="s">
        <v>13436</v>
      </c>
      <c r="K7274" t="s">
        <v>99</v>
      </c>
      <c r="L7274" t="s">
        <v>102</v>
      </c>
      <c r="M7274" t="s">
        <v>75</v>
      </c>
      <c r="R7274" t="s">
        <v>32784</v>
      </c>
      <c r="S7274" t="s">
        <v>32785</v>
      </c>
      <c r="T7274" t="s">
        <v>97</v>
      </c>
      <c r="U7274" t="s">
        <v>77</v>
      </c>
      <c r="V7274" t="str">
        <f>"100294502"</f>
        <v>100294502</v>
      </c>
      <c r="AC7274" t="s">
        <v>79</v>
      </c>
      <c r="AD7274" t="s">
        <v>75</v>
      </c>
      <c r="AE7274" t="s">
        <v>103</v>
      </c>
      <c r="AG7274" t="s">
        <v>81</v>
      </c>
    </row>
    <row r="7275" spans="1:33" x14ac:dyDescent="0.25">
      <c r="A7275" t="str">
        <f>"1346518057"</f>
        <v>1346518057</v>
      </c>
      <c r="B7275" t="str">
        <f>"03429614"</f>
        <v>03429614</v>
      </c>
      <c r="C7275" t="s">
        <v>13436</v>
      </c>
      <c r="D7275" t="s">
        <v>3430</v>
      </c>
      <c r="E7275" t="s">
        <v>3431</v>
      </c>
      <c r="G7275" t="s">
        <v>32786</v>
      </c>
      <c r="L7275" t="s">
        <v>83</v>
      </c>
      <c r="M7275" t="s">
        <v>75</v>
      </c>
      <c r="R7275" t="s">
        <v>3431</v>
      </c>
      <c r="W7275" t="s">
        <v>3431</v>
      </c>
      <c r="X7275" t="s">
        <v>3432</v>
      </c>
      <c r="Y7275" t="s">
        <v>131</v>
      </c>
      <c r="Z7275" t="s">
        <v>77</v>
      </c>
      <c r="AA7275" t="str">
        <f>"10452-1503"</f>
        <v>10452-1503</v>
      </c>
      <c r="AB7275" t="s">
        <v>114</v>
      </c>
      <c r="AC7275" t="s">
        <v>79</v>
      </c>
      <c r="AD7275" t="s">
        <v>75</v>
      </c>
      <c r="AE7275" t="s">
        <v>80</v>
      </c>
      <c r="AG7275" t="s">
        <v>81</v>
      </c>
    </row>
    <row r="7276" spans="1:33" x14ac:dyDescent="0.25">
      <c r="A7276" t="str">
        <f>"1346530532"</f>
        <v>1346530532</v>
      </c>
      <c r="C7276" t="s">
        <v>13436</v>
      </c>
      <c r="K7276" t="s">
        <v>99</v>
      </c>
      <c r="L7276" t="s">
        <v>102</v>
      </c>
      <c r="M7276" t="s">
        <v>75</v>
      </c>
      <c r="R7276" t="s">
        <v>4511</v>
      </c>
      <c r="S7276" t="s">
        <v>32787</v>
      </c>
      <c r="T7276" t="s">
        <v>97</v>
      </c>
      <c r="U7276" t="s">
        <v>77</v>
      </c>
      <c r="V7276" t="str">
        <f>"100212421"</f>
        <v>100212421</v>
      </c>
      <c r="AC7276" t="s">
        <v>79</v>
      </c>
      <c r="AD7276" t="s">
        <v>75</v>
      </c>
      <c r="AE7276" t="s">
        <v>103</v>
      </c>
      <c r="AG7276" t="s">
        <v>81</v>
      </c>
    </row>
    <row r="7277" spans="1:33" x14ac:dyDescent="0.25">
      <c r="A7277" t="str">
        <f>"1346532850"</f>
        <v>1346532850</v>
      </c>
      <c r="C7277" t="s">
        <v>13436</v>
      </c>
      <c r="K7277" t="s">
        <v>99</v>
      </c>
      <c r="L7277" t="s">
        <v>102</v>
      </c>
      <c r="M7277" t="s">
        <v>75</v>
      </c>
      <c r="R7277" t="s">
        <v>32788</v>
      </c>
      <c r="S7277" t="s">
        <v>32789</v>
      </c>
      <c r="T7277" t="s">
        <v>4549</v>
      </c>
      <c r="U7277" t="s">
        <v>1800</v>
      </c>
      <c r="V7277" t="str">
        <f>"802044505"</f>
        <v>802044505</v>
      </c>
      <c r="AC7277" t="s">
        <v>79</v>
      </c>
      <c r="AD7277" t="s">
        <v>75</v>
      </c>
      <c r="AE7277" t="s">
        <v>103</v>
      </c>
      <c r="AG7277" t="s">
        <v>81</v>
      </c>
    </row>
    <row r="7278" spans="1:33" x14ac:dyDescent="0.25">
      <c r="A7278" t="str">
        <f>"1346534948"</f>
        <v>1346534948</v>
      </c>
      <c r="C7278" t="s">
        <v>13436</v>
      </c>
      <c r="K7278" t="s">
        <v>99</v>
      </c>
      <c r="L7278" t="s">
        <v>102</v>
      </c>
      <c r="M7278" t="s">
        <v>75</v>
      </c>
      <c r="R7278" t="s">
        <v>32790</v>
      </c>
      <c r="S7278" t="s">
        <v>32791</v>
      </c>
      <c r="T7278" t="s">
        <v>97</v>
      </c>
      <c r="U7278" t="s">
        <v>77</v>
      </c>
      <c r="V7278" t="str">
        <f>"100191147"</f>
        <v>100191147</v>
      </c>
      <c r="AC7278" t="s">
        <v>79</v>
      </c>
      <c r="AD7278" t="s">
        <v>75</v>
      </c>
      <c r="AE7278" t="s">
        <v>103</v>
      </c>
      <c r="AG7278" t="s">
        <v>81</v>
      </c>
    </row>
    <row r="7279" spans="1:33" x14ac:dyDescent="0.25">
      <c r="A7279" t="str">
        <f>"1346536455"</f>
        <v>1346536455</v>
      </c>
      <c r="B7279" t="str">
        <f>"04382858"</f>
        <v>04382858</v>
      </c>
      <c r="C7279" t="s">
        <v>13436</v>
      </c>
      <c r="D7279" t="s">
        <v>32792</v>
      </c>
      <c r="E7279" t="s">
        <v>32793</v>
      </c>
      <c r="L7279" t="s">
        <v>102</v>
      </c>
      <c r="M7279" t="s">
        <v>75</v>
      </c>
      <c r="R7279" t="s">
        <v>32794</v>
      </c>
      <c r="W7279" t="s">
        <v>32795</v>
      </c>
      <c r="X7279" t="s">
        <v>3067</v>
      </c>
      <c r="Y7279" t="s">
        <v>91</v>
      </c>
      <c r="Z7279" t="s">
        <v>77</v>
      </c>
      <c r="AA7279" t="str">
        <f>"11373-1329"</f>
        <v>11373-1329</v>
      </c>
      <c r="AB7279" t="s">
        <v>78</v>
      </c>
      <c r="AC7279" t="s">
        <v>79</v>
      </c>
      <c r="AD7279" t="s">
        <v>75</v>
      </c>
      <c r="AE7279" t="s">
        <v>80</v>
      </c>
      <c r="AG7279" t="s">
        <v>81</v>
      </c>
    </row>
    <row r="7280" spans="1:33" x14ac:dyDescent="0.25">
      <c r="A7280" t="str">
        <f>"1346549029"</f>
        <v>1346549029</v>
      </c>
      <c r="B7280" t="str">
        <f>"03349933"</f>
        <v>03349933</v>
      </c>
      <c r="C7280" t="s">
        <v>13436</v>
      </c>
      <c r="D7280" t="s">
        <v>32796</v>
      </c>
      <c r="E7280" t="s">
        <v>32797</v>
      </c>
      <c r="G7280" t="s">
        <v>32798</v>
      </c>
      <c r="L7280" t="s">
        <v>74</v>
      </c>
      <c r="M7280" t="s">
        <v>75</v>
      </c>
      <c r="R7280" t="s">
        <v>32799</v>
      </c>
      <c r="W7280" t="s">
        <v>32797</v>
      </c>
      <c r="X7280" t="s">
        <v>235</v>
      </c>
      <c r="Y7280" t="s">
        <v>190</v>
      </c>
      <c r="Z7280" t="s">
        <v>77</v>
      </c>
      <c r="AA7280" t="str">
        <f>"11102-2448"</f>
        <v>11102-2448</v>
      </c>
      <c r="AB7280" t="s">
        <v>78</v>
      </c>
      <c r="AC7280" t="s">
        <v>79</v>
      </c>
      <c r="AD7280" t="s">
        <v>75</v>
      </c>
      <c r="AE7280" t="s">
        <v>80</v>
      </c>
      <c r="AG7280" t="s">
        <v>81</v>
      </c>
    </row>
    <row r="7281" spans="1:33" x14ac:dyDescent="0.25">
      <c r="A7281" t="str">
        <f>"1346559440"</f>
        <v>1346559440</v>
      </c>
      <c r="C7281" t="s">
        <v>13436</v>
      </c>
      <c r="K7281" t="s">
        <v>99</v>
      </c>
      <c r="L7281" t="s">
        <v>74</v>
      </c>
      <c r="M7281" t="s">
        <v>75</v>
      </c>
      <c r="R7281" t="s">
        <v>32800</v>
      </c>
      <c r="S7281" t="s">
        <v>32801</v>
      </c>
      <c r="T7281" t="s">
        <v>1077</v>
      </c>
      <c r="U7281" t="s">
        <v>2595</v>
      </c>
      <c r="V7281" t="str">
        <f>"902506668"</f>
        <v>902506668</v>
      </c>
      <c r="AC7281" t="s">
        <v>79</v>
      </c>
      <c r="AD7281" t="s">
        <v>75</v>
      </c>
      <c r="AE7281" t="s">
        <v>103</v>
      </c>
      <c r="AG7281" t="s">
        <v>81</v>
      </c>
    </row>
    <row r="7282" spans="1:33" x14ac:dyDescent="0.25">
      <c r="A7282" t="str">
        <f>"1073872875"</f>
        <v>1073872875</v>
      </c>
      <c r="C7282" t="s">
        <v>13436</v>
      </c>
      <c r="K7282" t="s">
        <v>99</v>
      </c>
      <c r="L7282" t="s">
        <v>102</v>
      </c>
      <c r="M7282" t="s">
        <v>75</v>
      </c>
      <c r="R7282" t="s">
        <v>32802</v>
      </c>
      <c r="S7282" t="s">
        <v>329</v>
      </c>
      <c r="T7282" t="s">
        <v>97</v>
      </c>
      <c r="U7282" t="s">
        <v>77</v>
      </c>
      <c r="V7282" t="str">
        <f>"100296574"</f>
        <v>100296574</v>
      </c>
      <c r="AC7282" t="s">
        <v>79</v>
      </c>
      <c r="AD7282" t="s">
        <v>75</v>
      </c>
      <c r="AE7282" t="s">
        <v>103</v>
      </c>
      <c r="AG7282" t="s">
        <v>81</v>
      </c>
    </row>
    <row r="7283" spans="1:33" x14ac:dyDescent="0.25">
      <c r="A7283" t="str">
        <f>"1073873956"</f>
        <v>1073873956</v>
      </c>
      <c r="C7283" t="s">
        <v>13436</v>
      </c>
      <c r="K7283" t="s">
        <v>99</v>
      </c>
      <c r="L7283" t="s">
        <v>102</v>
      </c>
      <c r="M7283" t="s">
        <v>75</v>
      </c>
      <c r="R7283" t="s">
        <v>32803</v>
      </c>
      <c r="S7283" t="s">
        <v>32804</v>
      </c>
      <c r="T7283" t="s">
        <v>32805</v>
      </c>
      <c r="U7283" t="s">
        <v>156</v>
      </c>
      <c r="V7283" t="str">
        <f>"079014055"</f>
        <v>079014055</v>
      </c>
      <c r="AC7283" t="s">
        <v>79</v>
      </c>
      <c r="AD7283" t="s">
        <v>75</v>
      </c>
      <c r="AE7283" t="s">
        <v>103</v>
      </c>
      <c r="AG7283" t="s">
        <v>81</v>
      </c>
    </row>
    <row r="7284" spans="1:33" x14ac:dyDescent="0.25">
      <c r="A7284" t="str">
        <f>"1073879904"</f>
        <v>1073879904</v>
      </c>
      <c r="C7284" t="s">
        <v>13436</v>
      </c>
      <c r="K7284" t="s">
        <v>99</v>
      </c>
      <c r="L7284" t="s">
        <v>102</v>
      </c>
      <c r="M7284" t="s">
        <v>75</v>
      </c>
      <c r="R7284" t="s">
        <v>32806</v>
      </c>
      <c r="S7284" t="s">
        <v>32807</v>
      </c>
      <c r="T7284" t="s">
        <v>97</v>
      </c>
      <c r="U7284" t="s">
        <v>77</v>
      </c>
      <c r="V7284" t="str">
        <f>"100191147"</f>
        <v>100191147</v>
      </c>
      <c r="AC7284" t="s">
        <v>79</v>
      </c>
      <c r="AD7284" t="s">
        <v>75</v>
      </c>
      <c r="AE7284" t="s">
        <v>103</v>
      </c>
      <c r="AG7284" t="s">
        <v>81</v>
      </c>
    </row>
    <row r="7285" spans="1:33" x14ac:dyDescent="0.25">
      <c r="A7285" t="str">
        <f>"1235163544"</f>
        <v>1235163544</v>
      </c>
      <c r="B7285" t="str">
        <f>"02921617"</f>
        <v>02921617</v>
      </c>
      <c r="C7285" t="s">
        <v>13436</v>
      </c>
      <c r="D7285" t="s">
        <v>32808</v>
      </c>
      <c r="E7285" t="s">
        <v>32809</v>
      </c>
      <c r="G7285" t="s">
        <v>32810</v>
      </c>
      <c r="L7285" t="s">
        <v>83</v>
      </c>
      <c r="M7285" t="s">
        <v>75</v>
      </c>
      <c r="R7285" t="s">
        <v>32811</v>
      </c>
      <c r="W7285" t="s">
        <v>32809</v>
      </c>
      <c r="X7285" t="s">
        <v>537</v>
      </c>
      <c r="Y7285" t="s">
        <v>97</v>
      </c>
      <c r="Z7285" t="s">
        <v>77</v>
      </c>
      <c r="AA7285" t="str">
        <f>"10011-8305"</f>
        <v>10011-8305</v>
      </c>
      <c r="AB7285" t="s">
        <v>78</v>
      </c>
      <c r="AC7285" t="s">
        <v>79</v>
      </c>
      <c r="AD7285" t="s">
        <v>75</v>
      </c>
      <c r="AE7285" t="s">
        <v>80</v>
      </c>
      <c r="AG7285" t="s">
        <v>81</v>
      </c>
    </row>
    <row r="7286" spans="1:33" x14ac:dyDescent="0.25">
      <c r="A7286" t="str">
        <f>"1194017129"</f>
        <v>1194017129</v>
      </c>
      <c r="C7286" t="s">
        <v>13436</v>
      </c>
      <c r="K7286" t="s">
        <v>99</v>
      </c>
      <c r="L7286" t="s">
        <v>102</v>
      </c>
      <c r="M7286" t="s">
        <v>75</v>
      </c>
      <c r="R7286" t="s">
        <v>32812</v>
      </c>
      <c r="S7286" t="s">
        <v>32813</v>
      </c>
      <c r="T7286" t="s">
        <v>846</v>
      </c>
      <c r="U7286" t="s">
        <v>156</v>
      </c>
      <c r="V7286" t="str">
        <f>"076017015"</f>
        <v>076017015</v>
      </c>
      <c r="AC7286" t="s">
        <v>79</v>
      </c>
      <c r="AD7286" t="s">
        <v>75</v>
      </c>
      <c r="AE7286" t="s">
        <v>103</v>
      </c>
      <c r="AG7286" t="s">
        <v>81</v>
      </c>
    </row>
    <row r="7287" spans="1:33" x14ac:dyDescent="0.25">
      <c r="A7287" t="str">
        <f>"1417381674"</f>
        <v>1417381674</v>
      </c>
      <c r="C7287" t="s">
        <v>13436</v>
      </c>
      <c r="G7287" t="s">
        <v>32814</v>
      </c>
      <c r="K7287" t="s">
        <v>99</v>
      </c>
      <c r="L7287" t="s">
        <v>102</v>
      </c>
      <c r="M7287" t="s">
        <v>75</v>
      </c>
      <c r="R7287" t="s">
        <v>32815</v>
      </c>
      <c r="S7287" t="s">
        <v>181</v>
      </c>
      <c r="T7287" t="s">
        <v>97</v>
      </c>
      <c r="U7287" t="s">
        <v>77</v>
      </c>
      <c r="V7287" t="str">
        <f>"100251716"</f>
        <v>100251716</v>
      </c>
      <c r="AC7287" t="s">
        <v>79</v>
      </c>
      <c r="AD7287" t="s">
        <v>75</v>
      </c>
      <c r="AE7287" t="s">
        <v>103</v>
      </c>
      <c r="AG7287" t="s">
        <v>81</v>
      </c>
    </row>
    <row r="7288" spans="1:33" x14ac:dyDescent="0.25">
      <c r="A7288" t="str">
        <f>"1053566786"</f>
        <v>1053566786</v>
      </c>
      <c r="B7288" t="str">
        <f>"02296404"</f>
        <v>02296404</v>
      </c>
      <c r="C7288" t="s">
        <v>13436</v>
      </c>
      <c r="D7288" t="s">
        <v>32816</v>
      </c>
      <c r="E7288" t="s">
        <v>32817</v>
      </c>
      <c r="G7288" t="s">
        <v>32818</v>
      </c>
      <c r="L7288" t="s">
        <v>94</v>
      </c>
      <c r="M7288" t="s">
        <v>75</v>
      </c>
      <c r="R7288" t="s">
        <v>32819</v>
      </c>
      <c r="W7288" t="s">
        <v>32817</v>
      </c>
      <c r="X7288" t="s">
        <v>11156</v>
      </c>
      <c r="Y7288" t="s">
        <v>97</v>
      </c>
      <c r="Z7288" t="s">
        <v>77</v>
      </c>
      <c r="AA7288" t="str">
        <f>"10029-6504"</f>
        <v>10029-6504</v>
      </c>
      <c r="AB7288" t="s">
        <v>78</v>
      </c>
      <c r="AC7288" t="s">
        <v>79</v>
      </c>
      <c r="AD7288" t="s">
        <v>75</v>
      </c>
      <c r="AE7288" t="s">
        <v>80</v>
      </c>
      <c r="AG7288" t="s">
        <v>81</v>
      </c>
    </row>
    <row r="7289" spans="1:33" x14ac:dyDescent="0.25">
      <c r="A7289" t="str">
        <f>"1053571133"</f>
        <v>1053571133</v>
      </c>
      <c r="B7289" t="str">
        <f>"03276804"</f>
        <v>03276804</v>
      </c>
      <c r="C7289" t="s">
        <v>13436</v>
      </c>
      <c r="D7289" t="s">
        <v>32820</v>
      </c>
      <c r="E7289" t="s">
        <v>32821</v>
      </c>
      <c r="G7289" t="s">
        <v>32822</v>
      </c>
      <c r="L7289" t="s">
        <v>83</v>
      </c>
      <c r="M7289" t="s">
        <v>75</v>
      </c>
      <c r="R7289" t="s">
        <v>32823</v>
      </c>
      <c r="W7289" t="s">
        <v>32821</v>
      </c>
      <c r="X7289" t="s">
        <v>32824</v>
      </c>
      <c r="Y7289" t="s">
        <v>87</v>
      </c>
      <c r="Z7289" t="s">
        <v>77</v>
      </c>
      <c r="AA7289" t="str">
        <f>"11226-1307"</f>
        <v>11226-1307</v>
      </c>
      <c r="AB7289" t="s">
        <v>78</v>
      </c>
      <c r="AC7289" t="s">
        <v>79</v>
      </c>
      <c r="AD7289" t="s">
        <v>75</v>
      </c>
      <c r="AE7289" t="s">
        <v>80</v>
      </c>
      <c r="AG7289" t="s">
        <v>81</v>
      </c>
    </row>
    <row r="7290" spans="1:33" x14ac:dyDescent="0.25">
      <c r="A7290" t="str">
        <f>"1053572859"</f>
        <v>1053572859</v>
      </c>
      <c r="B7290" t="str">
        <f>"03882620"</f>
        <v>03882620</v>
      </c>
      <c r="C7290" t="s">
        <v>13436</v>
      </c>
      <c r="D7290" t="s">
        <v>32825</v>
      </c>
      <c r="E7290" t="s">
        <v>32826</v>
      </c>
      <c r="G7290" t="s">
        <v>32827</v>
      </c>
      <c r="L7290" t="s">
        <v>74</v>
      </c>
      <c r="M7290" t="s">
        <v>75</v>
      </c>
      <c r="R7290" t="s">
        <v>32826</v>
      </c>
      <c r="W7290" t="s">
        <v>32826</v>
      </c>
      <c r="X7290" t="s">
        <v>11460</v>
      </c>
      <c r="Y7290" t="s">
        <v>97</v>
      </c>
      <c r="Z7290" t="s">
        <v>77</v>
      </c>
      <c r="AA7290" t="str">
        <f>"10029-6501"</f>
        <v>10029-6501</v>
      </c>
      <c r="AB7290" t="s">
        <v>78</v>
      </c>
      <c r="AC7290" t="s">
        <v>79</v>
      </c>
      <c r="AD7290" t="s">
        <v>75</v>
      </c>
      <c r="AE7290" t="s">
        <v>80</v>
      </c>
      <c r="AG7290" t="s">
        <v>81</v>
      </c>
    </row>
    <row r="7291" spans="1:33" x14ac:dyDescent="0.25">
      <c r="A7291" t="str">
        <f>"1053579995"</f>
        <v>1053579995</v>
      </c>
      <c r="B7291" t="str">
        <f>"03113375"</f>
        <v>03113375</v>
      </c>
      <c r="C7291" t="s">
        <v>13436</v>
      </c>
      <c r="D7291" t="s">
        <v>32828</v>
      </c>
      <c r="E7291" t="s">
        <v>32829</v>
      </c>
      <c r="G7291" t="s">
        <v>32830</v>
      </c>
      <c r="L7291" t="s">
        <v>83</v>
      </c>
      <c r="M7291" t="s">
        <v>85</v>
      </c>
      <c r="R7291" t="s">
        <v>32831</v>
      </c>
      <c r="W7291" t="s">
        <v>32832</v>
      </c>
      <c r="X7291" t="s">
        <v>30869</v>
      </c>
      <c r="Y7291" t="s">
        <v>97</v>
      </c>
      <c r="Z7291" t="s">
        <v>77</v>
      </c>
      <c r="AA7291" t="str">
        <f>"10029-0000"</f>
        <v>10029-0000</v>
      </c>
      <c r="AB7291" t="s">
        <v>78</v>
      </c>
      <c r="AC7291" t="s">
        <v>79</v>
      </c>
      <c r="AD7291" t="s">
        <v>75</v>
      </c>
      <c r="AE7291" t="s">
        <v>80</v>
      </c>
      <c r="AG7291" t="s">
        <v>81</v>
      </c>
    </row>
    <row r="7292" spans="1:33" x14ac:dyDescent="0.25">
      <c r="A7292" t="str">
        <f>"1053602623"</f>
        <v>1053602623</v>
      </c>
      <c r="B7292" t="str">
        <f>"03995131"</f>
        <v>03995131</v>
      </c>
      <c r="C7292" t="s">
        <v>13436</v>
      </c>
      <c r="D7292" t="s">
        <v>32833</v>
      </c>
      <c r="E7292" t="s">
        <v>32834</v>
      </c>
      <c r="G7292" t="s">
        <v>32835</v>
      </c>
      <c r="L7292" t="s">
        <v>84</v>
      </c>
      <c r="M7292" t="s">
        <v>75</v>
      </c>
      <c r="R7292" t="s">
        <v>32836</v>
      </c>
      <c r="W7292" t="s">
        <v>32834</v>
      </c>
      <c r="X7292" t="s">
        <v>2838</v>
      </c>
      <c r="Y7292" t="s">
        <v>97</v>
      </c>
      <c r="Z7292" t="s">
        <v>77</v>
      </c>
      <c r="AA7292" t="str">
        <f>"10003-3105"</f>
        <v>10003-3105</v>
      </c>
      <c r="AB7292" t="s">
        <v>78</v>
      </c>
      <c r="AC7292" t="s">
        <v>79</v>
      </c>
      <c r="AD7292" t="s">
        <v>75</v>
      </c>
      <c r="AE7292" t="s">
        <v>80</v>
      </c>
      <c r="AG7292" t="s">
        <v>81</v>
      </c>
    </row>
    <row r="7293" spans="1:33" x14ac:dyDescent="0.25">
      <c r="A7293" t="str">
        <f>"1053603100"</f>
        <v>1053603100</v>
      </c>
      <c r="C7293" t="s">
        <v>13436</v>
      </c>
      <c r="K7293" t="s">
        <v>99</v>
      </c>
      <c r="L7293" t="s">
        <v>102</v>
      </c>
      <c r="M7293" t="s">
        <v>75</v>
      </c>
      <c r="R7293" t="s">
        <v>32837</v>
      </c>
      <c r="S7293" t="s">
        <v>329</v>
      </c>
      <c r="T7293" t="s">
        <v>97</v>
      </c>
      <c r="U7293" t="s">
        <v>77</v>
      </c>
      <c r="V7293" t="str">
        <f>"100296574"</f>
        <v>100296574</v>
      </c>
      <c r="AC7293" t="s">
        <v>79</v>
      </c>
      <c r="AD7293" t="s">
        <v>75</v>
      </c>
      <c r="AE7293" t="s">
        <v>103</v>
      </c>
      <c r="AG7293" t="s">
        <v>81</v>
      </c>
    </row>
    <row r="7294" spans="1:33" x14ac:dyDescent="0.25">
      <c r="A7294" t="str">
        <f>"1053605022"</f>
        <v>1053605022</v>
      </c>
      <c r="C7294" t="s">
        <v>13436</v>
      </c>
      <c r="K7294" t="s">
        <v>99</v>
      </c>
      <c r="L7294" t="s">
        <v>102</v>
      </c>
      <c r="M7294" t="s">
        <v>75</v>
      </c>
      <c r="R7294" t="s">
        <v>32838</v>
      </c>
      <c r="S7294" t="s">
        <v>32839</v>
      </c>
      <c r="T7294" t="s">
        <v>24241</v>
      </c>
      <c r="U7294" t="s">
        <v>351</v>
      </c>
      <c r="V7294" t="str">
        <f>"326103003"</f>
        <v>326103003</v>
      </c>
      <c r="AC7294" t="s">
        <v>79</v>
      </c>
      <c r="AD7294" t="s">
        <v>75</v>
      </c>
      <c r="AE7294" t="s">
        <v>103</v>
      </c>
      <c r="AG7294" t="s">
        <v>81</v>
      </c>
    </row>
    <row r="7295" spans="1:33" x14ac:dyDescent="0.25">
      <c r="A7295" t="str">
        <f>"1053605451"</f>
        <v>1053605451</v>
      </c>
      <c r="B7295" t="str">
        <f>"04254582"</f>
        <v>04254582</v>
      </c>
      <c r="C7295" t="s">
        <v>13436</v>
      </c>
      <c r="D7295" t="s">
        <v>32840</v>
      </c>
      <c r="E7295" t="s">
        <v>32841</v>
      </c>
      <c r="L7295" t="s">
        <v>74</v>
      </c>
      <c r="M7295" t="s">
        <v>75</v>
      </c>
      <c r="R7295" t="s">
        <v>32842</v>
      </c>
      <c r="W7295" t="s">
        <v>32841</v>
      </c>
      <c r="X7295" t="s">
        <v>4453</v>
      </c>
      <c r="Y7295" t="s">
        <v>1837</v>
      </c>
      <c r="Z7295" t="s">
        <v>77</v>
      </c>
      <c r="AA7295" t="str">
        <f>"13601-4034"</f>
        <v>13601-4034</v>
      </c>
      <c r="AB7295" t="s">
        <v>78</v>
      </c>
      <c r="AC7295" t="s">
        <v>79</v>
      </c>
      <c r="AD7295" t="s">
        <v>75</v>
      </c>
      <c r="AE7295" t="s">
        <v>80</v>
      </c>
      <c r="AG7295" t="s">
        <v>81</v>
      </c>
    </row>
    <row r="7296" spans="1:33" x14ac:dyDescent="0.25">
      <c r="A7296" t="str">
        <f>"1053607853"</f>
        <v>1053607853</v>
      </c>
      <c r="B7296" t="str">
        <f>"03859309"</f>
        <v>03859309</v>
      </c>
      <c r="C7296" t="s">
        <v>13436</v>
      </c>
      <c r="D7296" t="s">
        <v>32843</v>
      </c>
      <c r="E7296" t="s">
        <v>32844</v>
      </c>
      <c r="L7296" t="s">
        <v>74</v>
      </c>
      <c r="M7296" t="s">
        <v>75</v>
      </c>
      <c r="R7296" t="s">
        <v>32845</v>
      </c>
      <c r="W7296" t="s">
        <v>32844</v>
      </c>
      <c r="X7296" t="s">
        <v>12415</v>
      </c>
      <c r="Y7296" t="s">
        <v>97</v>
      </c>
      <c r="Z7296" t="s">
        <v>77</v>
      </c>
      <c r="AA7296" t="str">
        <f>"10003-0000"</f>
        <v>10003-0000</v>
      </c>
      <c r="AB7296" t="s">
        <v>78</v>
      </c>
      <c r="AC7296" t="s">
        <v>79</v>
      </c>
      <c r="AD7296" t="s">
        <v>75</v>
      </c>
      <c r="AE7296" t="s">
        <v>80</v>
      </c>
      <c r="AG7296" t="s">
        <v>81</v>
      </c>
    </row>
    <row r="7297" spans="1:33" x14ac:dyDescent="0.25">
      <c r="A7297" t="str">
        <f>"1053610774"</f>
        <v>1053610774</v>
      </c>
      <c r="B7297" t="str">
        <f>"03994552"</f>
        <v>03994552</v>
      </c>
      <c r="C7297" t="s">
        <v>13436</v>
      </c>
      <c r="D7297" t="s">
        <v>32846</v>
      </c>
      <c r="E7297" t="s">
        <v>32847</v>
      </c>
      <c r="G7297" t="s">
        <v>32848</v>
      </c>
      <c r="L7297" t="s">
        <v>74</v>
      </c>
      <c r="M7297" t="s">
        <v>75</v>
      </c>
      <c r="R7297" t="s">
        <v>32849</v>
      </c>
      <c r="W7297" t="s">
        <v>32847</v>
      </c>
      <c r="X7297" t="s">
        <v>32850</v>
      </c>
      <c r="Y7297" t="s">
        <v>97</v>
      </c>
      <c r="Z7297" t="s">
        <v>77</v>
      </c>
      <c r="AA7297" t="str">
        <f>"10029-5204"</f>
        <v>10029-5204</v>
      </c>
      <c r="AB7297" t="s">
        <v>78</v>
      </c>
      <c r="AC7297" t="s">
        <v>79</v>
      </c>
      <c r="AD7297" t="s">
        <v>75</v>
      </c>
      <c r="AE7297" t="s">
        <v>80</v>
      </c>
      <c r="AG7297" t="s">
        <v>81</v>
      </c>
    </row>
    <row r="7298" spans="1:33" x14ac:dyDescent="0.25">
      <c r="A7298" t="str">
        <f>"1053623876"</f>
        <v>1053623876</v>
      </c>
      <c r="C7298" t="s">
        <v>13436</v>
      </c>
      <c r="G7298" t="s">
        <v>32851</v>
      </c>
      <c r="K7298" t="s">
        <v>99</v>
      </c>
      <c r="L7298" t="s">
        <v>102</v>
      </c>
      <c r="M7298" t="s">
        <v>75</v>
      </c>
      <c r="R7298" t="s">
        <v>32852</v>
      </c>
      <c r="S7298" t="s">
        <v>32853</v>
      </c>
      <c r="T7298" t="s">
        <v>32854</v>
      </c>
      <c r="U7298" t="s">
        <v>1784</v>
      </c>
      <c r="V7298" t="str">
        <f>"170332360"</f>
        <v>170332360</v>
      </c>
      <c r="AC7298" t="s">
        <v>79</v>
      </c>
      <c r="AD7298" t="s">
        <v>75</v>
      </c>
      <c r="AE7298" t="s">
        <v>103</v>
      </c>
      <c r="AG7298" t="s">
        <v>81</v>
      </c>
    </row>
    <row r="7299" spans="1:33" x14ac:dyDescent="0.25">
      <c r="A7299" t="str">
        <f>"1225441389"</f>
        <v>1225441389</v>
      </c>
      <c r="C7299" t="s">
        <v>13436</v>
      </c>
      <c r="G7299" t="s">
        <v>32855</v>
      </c>
      <c r="K7299" t="s">
        <v>99</v>
      </c>
      <c r="L7299" t="s">
        <v>102</v>
      </c>
      <c r="M7299" t="s">
        <v>75</v>
      </c>
      <c r="R7299" t="s">
        <v>32856</v>
      </c>
      <c r="S7299" t="s">
        <v>32857</v>
      </c>
      <c r="T7299" t="s">
        <v>32858</v>
      </c>
      <c r="U7299" t="s">
        <v>4546</v>
      </c>
      <c r="V7299" t="str">
        <f>"852124116"</f>
        <v>852124116</v>
      </c>
      <c r="AC7299" t="s">
        <v>79</v>
      </c>
      <c r="AD7299" t="s">
        <v>75</v>
      </c>
      <c r="AE7299" t="s">
        <v>103</v>
      </c>
      <c r="AG7299" t="s">
        <v>81</v>
      </c>
    </row>
    <row r="7300" spans="1:33" x14ac:dyDescent="0.25">
      <c r="A7300" t="str">
        <f>"1225457872"</f>
        <v>1225457872</v>
      </c>
      <c r="C7300" t="s">
        <v>13436</v>
      </c>
      <c r="K7300" t="s">
        <v>99</v>
      </c>
      <c r="L7300" t="s">
        <v>102</v>
      </c>
      <c r="M7300" t="s">
        <v>75</v>
      </c>
      <c r="R7300" t="s">
        <v>32859</v>
      </c>
      <c r="S7300" t="s">
        <v>32860</v>
      </c>
      <c r="T7300" t="s">
        <v>1794</v>
      </c>
      <c r="U7300" t="s">
        <v>77</v>
      </c>
      <c r="V7300" t="str">
        <f>"120204706"</f>
        <v>120204706</v>
      </c>
      <c r="AC7300" t="s">
        <v>79</v>
      </c>
      <c r="AD7300" t="s">
        <v>75</v>
      </c>
      <c r="AE7300" t="s">
        <v>103</v>
      </c>
      <c r="AG7300" t="s">
        <v>81</v>
      </c>
    </row>
    <row r="7301" spans="1:33" x14ac:dyDescent="0.25">
      <c r="A7301" t="str">
        <f>"1467682773"</f>
        <v>1467682773</v>
      </c>
      <c r="C7301" t="s">
        <v>13436</v>
      </c>
      <c r="K7301" t="s">
        <v>99</v>
      </c>
      <c r="L7301" t="s">
        <v>74</v>
      </c>
      <c r="M7301" t="s">
        <v>75</v>
      </c>
      <c r="R7301" t="s">
        <v>32861</v>
      </c>
      <c r="S7301" t="s">
        <v>32862</v>
      </c>
      <c r="T7301" t="s">
        <v>97</v>
      </c>
      <c r="U7301" t="s">
        <v>77</v>
      </c>
      <c r="V7301" t="str">
        <f>"100296514"</f>
        <v>100296514</v>
      </c>
      <c r="AC7301" t="s">
        <v>79</v>
      </c>
      <c r="AD7301" t="s">
        <v>75</v>
      </c>
      <c r="AE7301" t="s">
        <v>103</v>
      </c>
      <c r="AG7301" t="s">
        <v>81</v>
      </c>
    </row>
    <row r="7302" spans="1:33" x14ac:dyDescent="0.25">
      <c r="A7302" t="str">
        <f>"1467694083"</f>
        <v>1467694083</v>
      </c>
      <c r="C7302" t="s">
        <v>13436</v>
      </c>
      <c r="G7302" t="s">
        <v>32863</v>
      </c>
      <c r="K7302" t="s">
        <v>99</v>
      </c>
      <c r="L7302" t="s">
        <v>74</v>
      </c>
      <c r="M7302" t="s">
        <v>75</v>
      </c>
      <c r="R7302" t="s">
        <v>32864</v>
      </c>
      <c r="S7302" t="s">
        <v>32865</v>
      </c>
      <c r="T7302" t="s">
        <v>4487</v>
      </c>
      <c r="U7302" t="s">
        <v>351</v>
      </c>
      <c r="V7302" t="str">
        <f>"331361101"</f>
        <v>331361101</v>
      </c>
      <c r="AC7302" t="s">
        <v>79</v>
      </c>
      <c r="AD7302" t="s">
        <v>75</v>
      </c>
      <c r="AE7302" t="s">
        <v>103</v>
      </c>
      <c r="AG7302" t="s">
        <v>81</v>
      </c>
    </row>
    <row r="7303" spans="1:33" x14ac:dyDescent="0.25">
      <c r="A7303" t="str">
        <f>"1467700856"</f>
        <v>1467700856</v>
      </c>
      <c r="B7303" t="str">
        <f>"04208577"</f>
        <v>04208577</v>
      </c>
      <c r="C7303" t="s">
        <v>13436</v>
      </c>
      <c r="D7303" t="s">
        <v>6217</v>
      </c>
      <c r="E7303" t="s">
        <v>6218</v>
      </c>
      <c r="L7303" t="s">
        <v>74</v>
      </c>
      <c r="M7303" t="s">
        <v>75</v>
      </c>
      <c r="R7303" t="s">
        <v>6219</v>
      </c>
      <c r="W7303" t="s">
        <v>6220</v>
      </c>
      <c r="X7303" t="s">
        <v>223</v>
      </c>
      <c r="Y7303" t="s">
        <v>131</v>
      </c>
      <c r="Z7303" t="s">
        <v>77</v>
      </c>
      <c r="AA7303" t="str">
        <f>"10467-2403"</f>
        <v>10467-2403</v>
      </c>
      <c r="AB7303" t="s">
        <v>78</v>
      </c>
      <c r="AC7303" t="s">
        <v>79</v>
      </c>
      <c r="AD7303" t="s">
        <v>75</v>
      </c>
      <c r="AE7303" t="s">
        <v>80</v>
      </c>
      <c r="AG7303" t="s">
        <v>81</v>
      </c>
    </row>
    <row r="7304" spans="1:33" x14ac:dyDescent="0.25">
      <c r="A7304" t="str">
        <f>"1063475069"</f>
        <v>1063475069</v>
      </c>
      <c r="B7304" t="str">
        <f>"00969186"</f>
        <v>00969186</v>
      </c>
      <c r="C7304" t="s">
        <v>13436</v>
      </c>
      <c r="D7304" t="s">
        <v>32866</v>
      </c>
      <c r="E7304" t="s">
        <v>32867</v>
      </c>
      <c r="G7304" t="s">
        <v>32868</v>
      </c>
      <c r="L7304" t="s">
        <v>83</v>
      </c>
      <c r="M7304" t="s">
        <v>85</v>
      </c>
      <c r="R7304" t="s">
        <v>32869</v>
      </c>
      <c r="W7304" t="s">
        <v>32867</v>
      </c>
      <c r="X7304" t="s">
        <v>32870</v>
      </c>
      <c r="Y7304" t="s">
        <v>97</v>
      </c>
      <c r="Z7304" t="s">
        <v>77</v>
      </c>
      <c r="AA7304" t="str">
        <f>"10029"</f>
        <v>10029</v>
      </c>
      <c r="AB7304" t="s">
        <v>78</v>
      </c>
      <c r="AC7304" t="s">
        <v>79</v>
      </c>
      <c r="AD7304" t="s">
        <v>75</v>
      </c>
      <c r="AE7304" t="s">
        <v>80</v>
      </c>
      <c r="AG7304" t="s">
        <v>81</v>
      </c>
    </row>
    <row r="7305" spans="1:33" x14ac:dyDescent="0.25">
      <c r="A7305" t="str">
        <f>"1063482271"</f>
        <v>1063482271</v>
      </c>
      <c r="B7305" t="str">
        <f>"03241641"</f>
        <v>03241641</v>
      </c>
      <c r="C7305" t="s">
        <v>13436</v>
      </c>
      <c r="D7305" t="s">
        <v>32871</v>
      </c>
      <c r="E7305" t="s">
        <v>32872</v>
      </c>
      <c r="G7305" t="s">
        <v>32873</v>
      </c>
      <c r="L7305" t="s">
        <v>83</v>
      </c>
      <c r="M7305" t="s">
        <v>85</v>
      </c>
      <c r="R7305" t="s">
        <v>32874</v>
      </c>
      <c r="W7305" t="s">
        <v>32872</v>
      </c>
      <c r="X7305" t="s">
        <v>14992</v>
      </c>
      <c r="Y7305" t="s">
        <v>97</v>
      </c>
      <c r="Z7305" t="s">
        <v>77</v>
      </c>
      <c r="AA7305" t="str">
        <f>"10029-6503"</f>
        <v>10029-6503</v>
      </c>
      <c r="AB7305" t="s">
        <v>78</v>
      </c>
      <c r="AC7305" t="s">
        <v>79</v>
      </c>
      <c r="AD7305" t="s">
        <v>75</v>
      </c>
      <c r="AE7305" t="s">
        <v>80</v>
      </c>
      <c r="AG7305" t="s">
        <v>81</v>
      </c>
    </row>
    <row r="7306" spans="1:33" x14ac:dyDescent="0.25">
      <c r="A7306" t="str">
        <f>"1558700757"</f>
        <v>1558700757</v>
      </c>
      <c r="C7306" t="s">
        <v>13436</v>
      </c>
      <c r="G7306" t="s">
        <v>32875</v>
      </c>
      <c r="K7306" t="s">
        <v>99</v>
      </c>
      <c r="L7306" t="s">
        <v>102</v>
      </c>
      <c r="M7306" t="s">
        <v>75</v>
      </c>
      <c r="R7306" t="s">
        <v>32876</v>
      </c>
      <c r="S7306" t="s">
        <v>13901</v>
      </c>
      <c r="T7306" t="s">
        <v>97</v>
      </c>
      <c r="U7306" t="s">
        <v>77</v>
      </c>
      <c r="V7306" t="str">
        <f>"100353832"</f>
        <v>100353832</v>
      </c>
      <c r="AC7306" t="s">
        <v>79</v>
      </c>
      <c r="AD7306" t="s">
        <v>75</v>
      </c>
      <c r="AE7306" t="s">
        <v>103</v>
      </c>
      <c r="AG7306" t="s">
        <v>81</v>
      </c>
    </row>
    <row r="7307" spans="1:33" x14ac:dyDescent="0.25">
      <c r="A7307" t="str">
        <f>"1558701508"</f>
        <v>1558701508</v>
      </c>
      <c r="C7307" t="s">
        <v>13436</v>
      </c>
      <c r="K7307" t="s">
        <v>99</v>
      </c>
      <c r="L7307" t="s">
        <v>102</v>
      </c>
      <c r="M7307" t="s">
        <v>75</v>
      </c>
      <c r="R7307" t="s">
        <v>32877</v>
      </c>
      <c r="S7307" t="s">
        <v>191</v>
      </c>
      <c r="T7307" t="s">
        <v>97</v>
      </c>
      <c r="U7307" t="s">
        <v>77</v>
      </c>
      <c r="V7307" t="str">
        <f>"100191147"</f>
        <v>100191147</v>
      </c>
      <c r="AC7307" t="s">
        <v>79</v>
      </c>
      <c r="AD7307" t="s">
        <v>75</v>
      </c>
      <c r="AE7307" t="s">
        <v>103</v>
      </c>
      <c r="AG7307" t="s">
        <v>81</v>
      </c>
    </row>
    <row r="7308" spans="1:33" x14ac:dyDescent="0.25">
      <c r="A7308" t="str">
        <f>"1558704148"</f>
        <v>1558704148</v>
      </c>
      <c r="C7308" t="s">
        <v>13436</v>
      </c>
      <c r="K7308" t="s">
        <v>99</v>
      </c>
      <c r="L7308" t="s">
        <v>102</v>
      </c>
      <c r="M7308" t="s">
        <v>75</v>
      </c>
      <c r="R7308" t="s">
        <v>32878</v>
      </c>
      <c r="S7308" t="s">
        <v>24381</v>
      </c>
      <c r="T7308" t="s">
        <v>97</v>
      </c>
      <c r="U7308" t="s">
        <v>77</v>
      </c>
      <c r="V7308" t="str">
        <f>"100296503"</f>
        <v>100296503</v>
      </c>
      <c r="AC7308" t="s">
        <v>79</v>
      </c>
      <c r="AD7308" t="s">
        <v>75</v>
      </c>
      <c r="AE7308" t="s">
        <v>103</v>
      </c>
      <c r="AG7308" t="s">
        <v>81</v>
      </c>
    </row>
    <row r="7309" spans="1:33" x14ac:dyDescent="0.25">
      <c r="A7309" t="str">
        <f>"1558704726"</f>
        <v>1558704726</v>
      </c>
      <c r="C7309" t="s">
        <v>13436</v>
      </c>
      <c r="K7309" t="s">
        <v>99</v>
      </c>
      <c r="L7309" t="s">
        <v>102</v>
      </c>
      <c r="M7309" t="s">
        <v>75</v>
      </c>
      <c r="R7309" t="s">
        <v>32879</v>
      </c>
      <c r="S7309" t="s">
        <v>32880</v>
      </c>
      <c r="T7309" t="s">
        <v>32881</v>
      </c>
      <c r="U7309" t="s">
        <v>123</v>
      </c>
      <c r="V7309" t="str">
        <f>"024467132"</f>
        <v>024467132</v>
      </c>
      <c r="AC7309" t="s">
        <v>79</v>
      </c>
      <c r="AD7309" t="s">
        <v>75</v>
      </c>
      <c r="AE7309" t="s">
        <v>103</v>
      </c>
      <c r="AG7309" t="s">
        <v>81</v>
      </c>
    </row>
    <row r="7310" spans="1:33" x14ac:dyDescent="0.25">
      <c r="A7310" t="str">
        <f>"1558777847"</f>
        <v>1558777847</v>
      </c>
      <c r="C7310" t="s">
        <v>13436</v>
      </c>
      <c r="K7310" t="s">
        <v>99</v>
      </c>
      <c r="L7310" t="s">
        <v>102</v>
      </c>
      <c r="M7310" t="s">
        <v>75</v>
      </c>
      <c r="R7310" t="s">
        <v>32882</v>
      </c>
      <c r="S7310" t="s">
        <v>32883</v>
      </c>
      <c r="T7310" t="s">
        <v>97</v>
      </c>
      <c r="U7310" t="s">
        <v>77</v>
      </c>
      <c r="V7310" t="str">
        <f>"100191294"</f>
        <v>100191294</v>
      </c>
      <c r="AC7310" t="s">
        <v>79</v>
      </c>
      <c r="AD7310" t="s">
        <v>75</v>
      </c>
      <c r="AE7310" t="s">
        <v>103</v>
      </c>
      <c r="AG7310" t="s">
        <v>81</v>
      </c>
    </row>
    <row r="7311" spans="1:33" x14ac:dyDescent="0.25">
      <c r="A7311" t="str">
        <f>"1427320308"</f>
        <v>1427320308</v>
      </c>
      <c r="B7311" t="str">
        <f>"03441650"</f>
        <v>03441650</v>
      </c>
      <c r="C7311" t="s">
        <v>13436</v>
      </c>
      <c r="D7311" t="s">
        <v>32884</v>
      </c>
      <c r="E7311" t="s">
        <v>32885</v>
      </c>
      <c r="L7311" t="s">
        <v>74</v>
      </c>
      <c r="M7311" t="s">
        <v>75</v>
      </c>
      <c r="R7311" t="s">
        <v>32885</v>
      </c>
      <c r="W7311" t="s">
        <v>32885</v>
      </c>
      <c r="X7311" t="s">
        <v>32886</v>
      </c>
      <c r="Y7311" t="s">
        <v>190</v>
      </c>
      <c r="Z7311" t="s">
        <v>77</v>
      </c>
      <c r="AA7311" t="str">
        <f>"11102-2601"</f>
        <v>11102-2601</v>
      </c>
      <c r="AB7311" t="s">
        <v>78</v>
      </c>
      <c r="AC7311" t="s">
        <v>79</v>
      </c>
      <c r="AD7311" t="s">
        <v>75</v>
      </c>
      <c r="AE7311" t="s">
        <v>80</v>
      </c>
      <c r="AG7311" t="s">
        <v>81</v>
      </c>
    </row>
    <row r="7312" spans="1:33" x14ac:dyDescent="0.25">
      <c r="A7312" t="str">
        <f>"1457550915"</f>
        <v>1457550915</v>
      </c>
      <c r="B7312" t="str">
        <f>"03355951"</f>
        <v>03355951</v>
      </c>
      <c r="C7312" t="s">
        <v>13436</v>
      </c>
      <c r="D7312" t="s">
        <v>32887</v>
      </c>
      <c r="E7312" t="s">
        <v>32888</v>
      </c>
      <c r="G7312" t="s">
        <v>32889</v>
      </c>
      <c r="L7312" t="s">
        <v>74</v>
      </c>
      <c r="M7312" t="s">
        <v>75</v>
      </c>
      <c r="R7312" t="s">
        <v>32890</v>
      </c>
      <c r="W7312" t="s">
        <v>32891</v>
      </c>
      <c r="X7312" t="s">
        <v>32892</v>
      </c>
      <c r="Y7312" t="s">
        <v>97</v>
      </c>
      <c r="Z7312" t="s">
        <v>77</v>
      </c>
      <c r="AA7312" t="str">
        <f>"10029-6501"</f>
        <v>10029-6501</v>
      </c>
      <c r="AB7312" t="s">
        <v>78</v>
      </c>
      <c r="AC7312" t="s">
        <v>79</v>
      </c>
      <c r="AD7312" t="s">
        <v>75</v>
      </c>
      <c r="AE7312" t="s">
        <v>80</v>
      </c>
      <c r="AG7312" t="s">
        <v>81</v>
      </c>
    </row>
    <row r="7313" spans="1:33" x14ac:dyDescent="0.25">
      <c r="A7313" t="str">
        <f>"1780833343"</f>
        <v>1780833343</v>
      </c>
      <c r="B7313" t="str">
        <f>"04252360"</f>
        <v>04252360</v>
      </c>
      <c r="C7313" t="s">
        <v>13436</v>
      </c>
      <c r="D7313" t="s">
        <v>32893</v>
      </c>
      <c r="E7313" t="s">
        <v>32894</v>
      </c>
      <c r="G7313" t="s">
        <v>32895</v>
      </c>
      <c r="L7313" t="s">
        <v>74</v>
      </c>
      <c r="M7313" t="s">
        <v>75</v>
      </c>
      <c r="R7313" t="s">
        <v>32896</v>
      </c>
      <c r="W7313" t="s">
        <v>32894</v>
      </c>
      <c r="X7313" t="s">
        <v>2587</v>
      </c>
      <c r="Y7313" t="s">
        <v>97</v>
      </c>
      <c r="Z7313" t="s">
        <v>77</v>
      </c>
      <c r="AA7313" t="str">
        <f>"10003-3314"</f>
        <v>10003-3314</v>
      </c>
      <c r="AB7313" t="s">
        <v>78</v>
      </c>
      <c r="AC7313" t="s">
        <v>79</v>
      </c>
      <c r="AD7313" t="s">
        <v>75</v>
      </c>
      <c r="AE7313" t="s">
        <v>80</v>
      </c>
      <c r="AG7313" t="s">
        <v>81</v>
      </c>
    </row>
    <row r="7314" spans="1:33" x14ac:dyDescent="0.25">
      <c r="A7314" t="str">
        <f>"1780842351"</f>
        <v>1780842351</v>
      </c>
      <c r="B7314" t="str">
        <f>"03025087"</f>
        <v>03025087</v>
      </c>
      <c r="C7314" t="s">
        <v>13436</v>
      </c>
      <c r="D7314" t="s">
        <v>32897</v>
      </c>
      <c r="E7314" t="s">
        <v>32898</v>
      </c>
      <c r="G7314" t="s">
        <v>32899</v>
      </c>
      <c r="L7314" t="s">
        <v>84</v>
      </c>
      <c r="M7314" t="s">
        <v>85</v>
      </c>
      <c r="R7314" t="s">
        <v>32900</v>
      </c>
      <c r="W7314" t="s">
        <v>32898</v>
      </c>
      <c r="X7314" t="s">
        <v>191</v>
      </c>
      <c r="Y7314" t="s">
        <v>97</v>
      </c>
      <c r="Z7314" t="s">
        <v>77</v>
      </c>
      <c r="AA7314" t="str">
        <f>"10019-1147"</f>
        <v>10019-1147</v>
      </c>
      <c r="AB7314" t="s">
        <v>78</v>
      </c>
      <c r="AC7314" t="s">
        <v>79</v>
      </c>
      <c r="AD7314" t="s">
        <v>75</v>
      </c>
      <c r="AE7314" t="s">
        <v>80</v>
      </c>
      <c r="AG7314" t="s">
        <v>81</v>
      </c>
    </row>
    <row r="7315" spans="1:33" x14ac:dyDescent="0.25">
      <c r="A7315" t="str">
        <f>"1780843128"</f>
        <v>1780843128</v>
      </c>
      <c r="B7315" t="str">
        <f>"03380747"</f>
        <v>03380747</v>
      </c>
      <c r="C7315" t="s">
        <v>13436</v>
      </c>
      <c r="D7315" t="s">
        <v>32901</v>
      </c>
      <c r="E7315" t="s">
        <v>32902</v>
      </c>
      <c r="G7315" t="s">
        <v>32903</v>
      </c>
      <c r="L7315" t="s">
        <v>105</v>
      </c>
      <c r="M7315" t="s">
        <v>85</v>
      </c>
      <c r="R7315" t="s">
        <v>32904</v>
      </c>
      <c r="W7315" t="s">
        <v>32902</v>
      </c>
      <c r="X7315" t="s">
        <v>11379</v>
      </c>
      <c r="Y7315" t="s">
        <v>32905</v>
      </c>
      <c r="Z7315" t="s">
        <v>77</v>
      </c>
      <c r="AA7315" t="str">
        <f>"10029-6574"</f>
        <v>10029-6574</v>
      </c>
      <c r="AB7315" t="s">
        <v>78</v>
      </c>
      <c r="AC7315" t="s">
        <v>79</v>
      </c>
      <c r="AD7315" t="s">
        <v>75</v>
      </c>
      <c r="AE7315" t="s">
        <v>80</v>
      </c>
      <c r="AG7315" t="s">
        <v>81</v>
      </c>
    </row>
    <row r="7316" spans="1:33" x14ac:dyDescent="0.25">
      <c r="A7316" t="str">
        <f>"1780843227"</f>
        <v>1780843227</v>
      </c>
      <c r="B7316" t="str">
        <f>"03208353"</f>
        <v>03208353</v>
      </c>
      <c r="C7316" t="s">
        <v>13436</v>
      </c>
      <c r="D7316" t="s">
        <v>32906</v>
      </c>
      <c r="E7316" t="s">
        <v>32907</v>
      </c>
      <c r="G7316" t="s">
        <v>32908</v>
      </c>
      <c r="L7316" t="s">
        <v>83</v>
      </c>
      <c r="M7316" t="s">
        <v>85</v>
      </c>
      <c r="R7316" t="s">
        <v>32909</v>
      </c>
      <c r="W7316" t="s">
        <v>32910</v>
      </c>
      <c r="X7316" t="s">
        <v>329</v>
      </c>
      <c r="Y7316" t="s">
        <v>97</v>
      </c>
      <c r="Z7316" t="s">
        <v>77</v>
      </c>
      <c r="AA7316" t="str">
        <f>"10029-6500"</f>
        <v>10029-6500</v>
      </c>
      <c r="AB7316" t="s">
        <v>78</v>
      </c>
      <c r="AC7316" t="s">
        <v>79</v>
      </c>
      <c r="AD7316" t="s">
        <v>75</v>
      </c>
      <c r="AE7316" t="s">
        <v>80</v>
      </c>
      <c r="AG7316" t="s">
        <v>81</v>
      </c>
    </row>
    <row r="7317" spans="1:33" x14ac:dyDescent="0.25">
      <c r="A7317" t="str">
        <f>"1780843722"</f>
        <v>1780843722</v>
      </c>
      <c r="B7317" t="str">
        <f>"03603867"</f>
        <v>03603867</v>
      </c>
      <c r="C7317" t="s">
        <v>13436</v>
      </c>
      <c r="D7317" t="s">
        <v>32911</v>
      </c>
      <c r="E7317" t="s">
        <v>32912</v>
      </c>
      <c r="L7317" t="s">
        <v>74</v>
      </c>
      <c r="M7317" t="s">
        <v>85</v>
      </c>
      <c r="R7317" t="s">
        <v>32913</v>
      </c>
      <c r="W7317" t="s">
        <v>32912</v>
      </c>
      <c r="X7317" t="s">
        <v>11460</v>
      </c>
      <c r="Y7317" t="s">
        <v>97</v>
      </c>
      <c r="Z7317" t="s">
        <v>77</v>
      </c>
      <c r="AA7317" t="str">
        <f>"10029-6501"</f>
        <v>10029-6501</v>
      </c>
      <c r="AB7317" t="s">
        <v>78</v>
      </c>
      <c r="AC7317" t="s">
        <v>79</v>
      </c>
      <c r="AD7317" t="s">
        <v>75</v>
      </c>
      <c r="AE7317" t="s">
        <v>80</v>
      </c>
      <c r="AG7317" t="s">
        <v>81</v>
      </c>
    </row>
    <row r="7318" spans="1:33" x14ac:dyDescent="0.25">
      <c r="A7318" t="str">
        <f>"1780864355"</f>
        <v>1780864355</v>
      </c>
      <c r="C7318" t="s">
        <v>13436</v>
      </c>
      <c r="G7318" t="s">
        <v>32914</v>
      </c>
      <c r="K7318" t="s">
        <v>99</v>
      </c>
      <c r="L7318" t="s">
        <v>74</v>
      </c>
      <c r="M7318" t="s">
        <v>75</v>
      </c>
      <c r="R7318" t="s">
        <v>32915</v>
      </c>
      <c r="S7318" t="s">
        <v>333</v>
      </c>
      <c r="T7318" t="s">
        <v>97</v>
      </c>
      <c r="U7318" t="s">
        <v>77</v>
      </c>
      <c r="V7318" t="str">
        <f>"100169196"</f>
        <v>100169196</v>
      </c>
      <c r="AC7318" t="s">
        <v>79</v>
      </c>
      <c r="AD7318" t="s">
        <v>75</v>
      </c>
      <c r="AE7318" t="s">
        <v>103</v>
      </c>
      <c r="AG7318" t="s">
        <v>81</v>
      </c>
    </row>
    <row r="7319" spans="1:33" x14ac:dyDescent="0.25">
      <c r="A7319" t="str">
        <f>"1780888610"</f>
        <v>1780888610</v>
      </c>
      <c r="B7319" t="str">
        <f>"03962952"</f>
        <v>03962952</v>
      </c>
      <c r="C7319" t="s">
        <v>13436</v>
      </c>
      <c r="D7319" t="s">
        <v>32916</v>
      </c>
      <c r="E7319" t="s">
        <v>32917</v>
      </c>
      <c r="G7319" t="s">
        <v>32918</v>
      </c>
      <c r="L7319" t="s">
        <v>83</v>
      </c>
      <c r="M7319" t="s">
        <v>85</v>
      </c>
      <c r="R7319" t="s">
        <v>32919</v>
      </c>
      <c r="W7319" t="s">
        <v>32917</v>
      </c>
      <c r="X7319" t="s">
        <v>32920</v>
      </c>
      <c r="Y7319" t="s">
        <v>97</v>
      </c>
      <c r="Z7319" t="s">
        <v>77</v>
      </c>
      <c r="AA7319" t="str">
        <f>"10019-3211"</f>
        <v>10019-3211</v>
      </c>
      <c r="AB7319" t="s">
        <v>78</v>
      </c>
      <c r="AC7319" t="s">
        <v>79</v>
      </c>
      <c r="AD7319" t="s">
        <v>75</v>
      </c>
      <c r="AE7319" t="s">
        <v>80</v>
      </c>
      <c r="AG7319" t="s">
        <v>81</v>
      </c>
    </row>
    <row r="7320" spans="1:33" x14ac:dyDescent="0.25">
      <c r="A7320" t="str">
        <f>"1780892679"</f>
        <v>1780892679</v>
      </c>
      <c r="B7320" t="str">
        <f>"02890279"</f>
        <v>02890279</v>
      </c>
      <c r="C7320" t="s">
        <v>13436</v>
      </c>
      <c r="D7320" t="s">
        <v>32921</v>
      </c>
      <c r="E7320" t="s">
        <v>32922</v>
      </c>
      <c r="L7320" t="s">
        <v>83</v>
      </c>
      <c r="M7320" t="s">
        <v>85</v>
      </c>
      <c r="R7320" t="s">
        <v>32923</v>
      </c>
      <c r="W7320" t="s">
        <v>32922</v>
      </c>
      <c r="X7320" t="s">
        <v>191</v>
      </c>
      <c r="Y7320" t="s">
        <v>97</v>
      </c>
      <c r="Z7320" t="s">
        <v>77</v>
      </c>
      <c r="AA7320" t="str">
        <f>"10019-1147"</f>
        <v>10019-1147</v>
      </c>
      <c r="AB7320" t="s">
        <v>78</v>
      </c>
      <c r="AC7320" t="s">
        <v>79</v>
      </c>
      <c r="AD7320" t="s">
        <v>75</v>
      </c>
      <c r="AE7320" t="s">
        <v>80</v>
      </c>
      <c r="AG7320" t="s">
        <v>81</v>
      </c>
    </row>
    <row r="7321" spans="1:33" x14ac:dyDescent="0.25">
      <c r="A7321" t="str">
        <f>"1780900027"</f>
        <v>1780900027</v>
      </c>
      <c r="C7321" t="s">
        <v>13436</v>
      </c>
      <c r="K7321" t="s">
        <v>99</v>
      </c>
      <c r="L7321" t="s">
        <v>74</v>
      </c>
      <c r="M7321" t="s">
        <v>75</v>
      </c>
      <c r="R7321" t="s">
        <v>32924</v>
      </c>
      <c r="S7321" t="s">
        <v>32925</v>
      </c>
      <c r="T7321" t="s">
        <v>97</v>
      </c>
      <c r="U7321" t="s">
        <v>77</v>
      </c>
      <c r="V7321" t="str">
        <f>"100381127"</f>
        <v>100381127</v>
      </c>
      <c r="AC7321" t="s">
        <v>79</v>
      </c>
      <c r="AD7321" t="s">
        <v>75</v>
      </c>
      <c r="AE7321" t="s">
        <v>103</v>
      </c>
      <c r="AG7321" t="s">
        <v>81</v>
      </c>
    </row>
    <row r="7322" spans="1:33" x14ac:dyDescent="0.25">
      <c r="A7322" t="str">
        <f>"1871788851"</f>
        <v>1871788851</v>
      </c>
      <c r="C7322" t="s">
        <v>13436</v>
      </c>
      <c r="G7322" t="s">
        <v>32926</v>
      </c>
      <c r="K7322" t="s">
        <v>99</v>
      </c>
      <c r="L7322" t="s">
        <v>74</v>
      </c>
      <c r="M7322" t="s">
        <v>75</v>
      </c>
      <c r="R7322" t="s">
        <v>32927</v>
      </c>
      <c r="S7322" t="s">
        <v>191</v>
      </c>
      <c r="T7322" t="s">
        <v>97</v>
      </c>
      <c r="U7322" t="s">
        <v>77</v>
      </c>
      <c r="V7322" t="str">
        <f>"100191147"</f>
        <v>100191147</v>
      </c>
      <c r="AC7322" t="s">
        <v>79</v>
      </c>
      <c r="AD7322" t="s">
        <v>75</v>
      </c>
      <c r="AE7322" t="s">
        <v>103</v>
      </c>
      <c r="AG7322" t="s">
        <v>81</v>
      </c>
    </row>
    <row r="7323" spans="1:33" x14ac:dyDescent="0.25">
      <c r="A7323" t="str">
        <f>"1083659239"</f>
        <v>1083659239</v>
      </c>
      <c r="B7323" t="str">
        <f>"01566976"</f>
        <v>01566976</v>
      </c>
      <c r="C7323" t="s">
        <v>32928</v>
      </c>
      <c r="D7323" t="s">
        <v>32929</v>
      </c>
      <c r="E7323" t="s">
        <v>32930</v>
      </c>
      <c r="G7323" t="s">
        <v>24003</v>
      </c>
      <c r="J7323" t="s">
        <v>24004</v>
      </c>
      <c r="L7323" t="s">
        <v>84</v>
      </c>
      <c r="M7323" t="s">
        <v>75</v>
      </c>
      <c r="R7323" t="s">
        <v>32931</v>
      </c>
      <c r="W7323" t="s">
        <v>32930</v>
      </c>
      <c r="Y7323" t="s">
        <v>87</v>
      </c>
      <c r="Z7323" t="s">
        <v>77</v>
      </c>
      <c r="AA7323" t="str">
        <f>"11212-3198"</f>
        <v>11212-3198</v>
      </c>
      <c r="AB7323" t="s">
        <v>78</v>
      </c>
      <c r="AC7323" t="s">
        <v>79</v>
      </c>
      <c r="AD7323" t="s">
        <v>75</v>
      </c>
      <c r="AE7323" t="s">
        <v>80</v>
      </c>
      <c r="AG7323" t="s">
        <v>81</v>
      </c>
    </row>
    <row r="7324" spans="1:33" x14ac:dyDescent="0.25">
      <c r="C7324" t="s">
        <v>32932</v>
      </c>
      <c r="G7324" t="s">
        <v>32933</v>
      </c>
      <c r="H7324" t="s">
        <v>32934</v>
      </c>
      <c r="J7324" t="s">
        <v>32935</v>
      </c>
      <c r="K7324" t="s">
        <v>99</v>
      </c>
      <c r="L7324" t="s">
        <v>100</v>
      </c>
      <c r="M7324" t="s">
        <v>75</v>
      </c>
      <c r="N7324" t="s">
        <v>32936</v>
      </c>
      <c r="O7324" t="s">
        <v>431</v>
      </c>
      <c r="P7324" t="s">
        <v>6410</v>
      </c>
      <c r="AC7324" t="s">
        <v>79</v>
      </c>
      <c r="AD7324" t="s">
        <v>75</v>
      </c>
      <c r="AE7324" t="s">
        <v>101</v>
      </c>
      <c r="AG7324" t="s">
        <v>81</v>
      </c>
    </row>
    <row r="7325" spans="1:33" x14ac:dyDescent="0.25">
      <c r="A7325" t="str">
        <f>"1619260791"</f>
        <v>1619260791</v>
      </c>
      <c r="C7325" t="s">
        <v>13436</v>
      </c>
      <c r="K7325" t="s">
        <v>99</v>
      </c>
      <c r="L7325" t="s">
        <v>102</v>
      </c>
      <c r="M7325" t="s">
        <v>75</v>
      </c>
      <c r="R7325" t="s">
        <v>32937</v>
      </c>
      <c r="S7325" t="s">
        <v>32938</v>
      </c>
      <c r="T7325" t="s">
        <v>2589</v>
      </c>
      <c r="U7325" t="s">
        <v>156</v>
      </c>
      <c r="V7325" t="str">
        <f>"073023848"</f>
        <v>073023848</v>
      </c>
      <c r="AC7325" t="s">
        <v>79</v>
      </c>
      <c r="AD7325" t="s">
        <v>75</v>
      </c>
      <c r="AE7325" t="s">
        <v>103</v>
      </c>
      <c r="AG7325" t="s">
        <v>81</v>
      </c>
    </row>
    <row r="7326" spans="1:33" x14ac:dyDescent="0.25">
      <c r="A7326" t="str">
        <f>"1720423486"</f>
        <v>1720423486</v>
      </c>
      <c r="B7326" t="str">
        <f>"03925711"</f>
        <v>03925711</v>
      </c>
      <c r="C7326" t="s">
        <v>13436</v>
      </c>
      <c r="D7326" t="s">
        <v>32939</v>
      </c>
      <c r="E7326" t="s">
        <v>32940</v>
      </c>
      <c r="L7326" t="s">
        <v>74</v>
      </c>
      <c r="M7326" t="s">
        <v>75</v>
      </c>
      <c r="R7326" t="s">
        <v>32940</v>
      </c>
      <c r="W7326" t="s">
        <v>32940</v>
      </c>
      <c r="X7326" t="s">
        <v>272</v>
      </c>
      <c r="Y7326" t="s">
        <v>97</v>
      </c>
      <c r="Z7326" t="s">
        <v>77</v>
      </c>
      <c r="AA7326" t="str">
        <f>"10029-6501"</f>
        <v>10029-6501</v>
      </c>
      <c r="AB7326" t="s">
        <v>78</v>
      </c>
      <c r="AC7326" t="s">
        <v>79</v>
      </c>
      <c r="AD7326" t="s">
        <v>75</v>
      </c>
      <c r="AE7326" t="s">
        <v>80</v>
      </c>
      <c r="AG7326" t="s">
        <v>81</v>
      </c>
    </row>
    <row r="7327" spans="1:33" x14ac:dyDescent="0.25">
      <c r="A7327" t="str">
        <f>"1720427008"</f>
        <v>1720427008</v>
      </c>
      <c r="C7327" t="s">
        <v>13436</v>
      </c>
      <c r="K7327" t="s">
        <v>99</v>
      </c>
      <c r="L7327" t="s">
        <v>102</v>
      </c>
      <c r="M7327" t="s">
        <v>75</v>
      </c>
      <c r="R7327" t="s">
        <v>32941</v>
      </c>
      <c r="S7327" t="s">
        <v>32942</v>
      </c>
      <c r="T7327" t="s">
        <v>142</v>
      </c>
      <c r="U7327" t="s">
        <v>77</v>
      </c>
      <c r="V7327" t="str">
        <f>"132031807"</f>
        <v>132031807</v>
      </c>
      <c r="AC7327" t="s">
        <v>79</v>
      </c>
      <c r="AD7327" t="s">
        <v>75</v>
      </c>
      <c r="AE7327" t="s">
        <v>103</v>
      </c>
      <c r="AG7327" t="s">
        <v>81</v>
      </c>
    </row>
    <row r="7328" spans="1:33" x14ac:dyDescent="0.25">
      <c r="A7328" t="str">
        <f>"1790916567"</f>
        <v>1790916567</v>
      </c>
      <c r="B7328" t="str">
        <f>"03567291"</f>
        <v>03567291</v>
      </c>
      <c r="C7328" t="s">
        <v>13436</v>
      </c>
      <c r="D7328" t="s">
        <v>32943</v>
      </c>
      <c r="E7328" t="s">
        <v>32944</v>
      </c>
      <c r="G7328" t="s">
        <v>32945</v>
      </c>
      <c r="L7328" t="s">
        <v>102</v>
      </c>
      <c r="M7328" t="s">
        <v>75</v>
      </c>
      <c r="R7328" t="s">
        <v>32946</v>
      </c>
      <c r="W7328" t="s">
        <v>32944</v>
      </c>
      <c r="X7328" t="s">
        <v>181</v>
      </c>
      <c r="Y7328" t="s">
        <v>97</v>
      </c>
      <c r="Z7328" t="s">
        <v>77</v>
      </c>
      <c r="AA7328" t="str">
        <f>"10025-1716"</f>
        <v>10025-1716</v>
      </c>
      <c r="AB7328" t="s">
        <v>125</v>
      </c>
      <c r="AC7328" t="s">
        <v>79</v>
      </c>
      <c r="AD7328" t="s">
        <v>75</v>
      </c>
      <c r="AE7328" t="s">
        <v>80</v>
      </c>
      <c r="AG7328" t="s">
        <v>81</v>
      </c>
    </row>
    <row r="7329" spans="1:33" x14ac:dyDescent="0.25">
      <c r="A7329" t="str">
        <f>"1790928224"</f>
        <v>1790928224</v>
      </c>
      <c r="B7329" t="str">
        <f>"03511575"</f>
        <v>03511575</v>
      </c>
      <c r="C7329" t="s">
        <v>13436</v>
      </c>
      <c r="D7329" t="s">
        <v>32947</v>
      </c>
      <c r="E7329" t="s">
        <v>32948</v>
      </c>
      <c r="G7329" t="s">
        <v>32949</v>
      </c>
      <c r="L7329" t="s">
        <v>94</v>
      </c>
      <c r="M7329" t="s">
        <v>85</v>
      </c>
      <c r="R7329" t="s">
        <v>32950</v>
      </c>
      <c r="W7329" t="s">
        <v>32948</v>
      </c>
      <c r="X7329" t="s">
        <v>329</v>
      </c>
      <c r="Y7329" t="s">
        <v>97</v>
      </c>
      <c r="Z7329" t="s">
        <v>77</v>
      </c>
      <c r="AA7329" t="str">
        <f>"10029-6500"</f>
        <v>10029-6500</v>
      </c>
      <c r="AB7329" t="s">
        <v>78</v>
      </c>
      <c r="AC7329" t="s">
        <v>79</v>
      </c>
      <c r="AD7329" t="s">
        <v>75</v>
      </c>
      <c r="AE7329" t="s">
        <v>80</v>
      </c>
      <c r="AG7329" t="s">
        <v>81</v>
      </c>
    </row>
    <row r="7330" spans="1:33" x14ac:dyDescent="0.25">
      <c r="A7330" t="str">
        <f>"1790942001"</f>
        <v>1790942001</v>
      </c>
      <c r="B7330" t="str">
        <f>"03323746"</f>
        <v>03323746</v>
      </c>
      <c r="C7330" t="s">
        <v>13436</v>
      </c>
      <c r="D7330" t="s">
        <v>32951</v>
      </c>
      <c r="E7330" t="s">
        <v>32952</v>
      </c>
      <c r="G7330" t="s">
        <v>32953</v>
      </c>
      <c r="L7330" t="s">
        <v>94</v>
      </c>
      <c r="M7330" t="s">
        <v>85</v>
      </c>
      <c r="R7330" t="s">
        <v>32954</v>
      </c>
      <c r="W7330" t="s">
        <v>32955</v>
      </c>
      <c r="X7330" t="s">
        <v>10363</v>
      </c>
      <c r="Y7330" t="s">
        <v>97</v>
      </c>
      <c r="Z7330" t="s">
        <v>77</v>
      </c>
      <c r="AA7330" t="str">
        <f>"10029-6508"</f>
        <v>10029-6508</v>
      </c>
      <c r="AB7330" t="s">
        <v>78</v>
      </c>
      <c r="AC7330" t="s">
        <v>79</v>
      </c>
      <c r="AD7330" t="s">
        <v>75</v>
      </c>
      <c r="AE7330" t="s">
        <v>80</v>
      </c>
      <c r="AG7330" t="s">
        <v>81</v>
      </c>
    </row>
    <row r="7331" spans="1:33" x14ac:dyDescent="0.25">
      <c r="A7331" t="str">
        <f>"1790945046"</f>
        <v>1790945046</v>
      </c>
      <c r="B7331" t="str">
        <f>"03404515"</f>
        <v>03404515</v>
      </c>
      <c r="C7331" t="s">
        <v>13436</v>
      </c>
      <c r="D7331" t="s">
        <v>32956</v>
      </c>
      <c r="E7331" t="s">
        <v>32957</v>
      </c>
      <c r="L7331" t="s">
        <v>83</v>
      </c>
      <c r="M7331" t="s">
        <v>85</v>
      </c>
      <c r="R7331" t="s">
        <v>32958</v>
      </c>
      <c r="W7331" t="s">
        <v>32959</v>
      </c>
      <c r="X7331" t="s">
        <v>6074</v>
      </c>
      <c r="Y7331" t="s">
        <v>91</v>
      </c>
      <c r="Z7331" t="s">
        <v>77</v>
      </c>
      <c r="AA7331" t="str">
        <f>"11373-1329"</f>
        <v>11373-1329</v>
      </c>
      <c r="AB7331" t="s">
        <v>78</v>
      </c>
      <c r="AC7331" t="s">
        <v>79</v>
      </c>
      <c r="AD7331" t="s">
        <v>75</v>
      </c>
      <c r="AE7331" t="s">
        <v>80</v>
      </c>
      <c r="AG7331" t="s">
        <v>81</v>
      </c>
    </row>
    <row r="7332" spans="1:33" x14ac:dyDescent="0.25">
      <c r="A7332" t="str">
        <f>"1790956480"</f>
        <v>1790956480</v>
      </c>
      <c r="B7332" t="str">
        <f>"03373324"</f>
        <v>03373324</v>
      </c>
      <c r="C7332" t="s">
        <v>13436</v>
      </c>
      <c r="D7332" t="s">
        <v>32960</v>
      </c>
      <c r="E7332" t="s">
        <v>32961</v>
      </c>
      <c r="L7332" t="s">
        <v>83</v>
      </c>
      <c r="M7332" t="s">
        <v>85</v>
      </c>
      <c r="R7332" t="s">
        <v>32962</v>
      </c>
      <c r="W7332" t="s">
        <v>32961</v>
      </c>
      <c r="X7332" t="s">
        <v>225</v>
      </c>
      <c r="Y7332" t="s">
        <v>131</v>
      </c>
      <c r="Z7332" t="s">
        <v>77</v>
      </c>
      <c r="AA7332" t="str">
        <f>"10457-2545"</f>
        <v>10457-2545</v>
      </c>
      <c r="AB7332" t="s">
        <v>78</v>
      </c>
      <c r="AC7332" t="s">
        <v>79</v>
      </c>
      <c r="AD7332" t="s">
        <v>75</v>
      </c>
      <c r="AE7332" t="s">
        <v>80</v>
      </c>
      <c r="AG7332" t="s">
        <v>81</v>
      </c>
    </row>
    <row r="7333" spans="1:33" x14ac:dyDescent="0.25">
      <c r="A7333" t="str">
        <f>"1790976819"</f>
        <v>1790976819</v>
      </c>
      <c r="B7333" t="str">
        <f>"03735935"</f>
        <v>03735935</v>
      </c>
      <c r="C7333" t="s">
        <v>13436</v>
      </c>
      <c r="D7333" t="s">
        <v>32963</v>
      </c>
      <c r="E7333" t="s">
        <v>32964</v>
      </c>
      <c r="G7333" t="s">
        <v>32965</v>
      </c>
      <c r="L7333" t="s">
        <v>83</v>
      </c>
      <c r="M7333" t="s">
        <v>85</v>
      </c>
      <c r="R7333" t="s">
        <v>32964</v>
      </c>
      <c r="W7333" t="s">
        <v>32966</v>
      </c>
      <c r="X7333" t="s">
        <v>32967</v>
      </c>
      <c r="Y7333" t="s">
        <v>97</v>
      </c>
      <c r="Z7333" t="s">
        <v>77</v>
      </c>
      <c r="AA7333" t="str">
        <f>"10003-0000"</f>
        <v>10003-0000</v>
      </c>
      <c r="AB7333" t="s">
        <v>78</v>
      </c>
      <c r="AC7333" t="s">
        <v>79</v>
      </c>
      <c r="AD7333" t="s">
        <v>75</v>
      </c>
      <c r="AE7333" t="s">
        <v>80</v>
      </c>
      <c r="AG7333" t="s">
        <v>81</v>
      </c>
    </row>
    <row r="7334" spans="1:33" x14ac:dyDescent="0.25">
      <c r="A7334" t="str">
        <f>"1417136490"</f>
        <v>1417136490</v>
      </c>
      <c r="C7334" t="s">
        <v>13436</v>
      </c>
      <c r="G7334" t="s">
        <v>32968</v>
      </c>
      <c r="K7334" t="s">
        <v>99</v>
      </c>
      <c r="L7334" t="s">
        <v>74</v>
      </c>
      <c r="M7334" t="s">
        <v>75</v>
      </c>
      <c r="R7334" t="s">
        <v>32969</v>
      </c>
      <c r="S7334" t="s">
        <v>5324</v>
      </c>
      <c r="T7334" t="s">
        <v>97</v>
      </c>
      <c r="U7334" t="s">
        <v>77</v>
      </c>
      <c r="V7334" t="str">
        <f>"100296500"</f>
        <v>100296500</v>
      </c>
      <c r="AC7334" t="s">
        <v>79</v>
      </c>
      <c r="AD7334" t="s">
        <v>75</v>
      </c>
      <c r="AE7334" t="s">
        <v>103</v>
      </c>
      <c r="AG7334" t="s">
        <v>81</v>
      </c>
    </row>
    <row r="7335" spans="1:33" x14ac:dyDescent="0.25">
      <c r="A7335" t="str">
        <f>"1073928529"</f>
        <v>1073928529</v>
      </c>
      <c r="C7335" t="s">
        <v>13436</v>
      </c>
      <c r="G7335" t="s">
        <v>32970</v>
      </c>
      <c r="K7335" t="s">
        <v>99</v>
      </c>
      <c r="L7335" t="s">
        <v>102</v>
      </c>
      <c r="M7335" t="s">
        <v>75</v>
      </c>
      <c r="R7335" t="s">
        <v>32971</v>
      </c>
      <c r="S7335" t="s">
        <v>32972</v>
      </c>
      <c r="T7335" t="s">
        <v>131</v>
      </c>
      <c r="U7335" t="s">
        <v>77</v>
      </c>
      <c r="V7335" t="str">
        <f>"104634819"</f>
        <v>104634819</v>
      </c>
      <c r="AC7335" t="s">
        <v>79</v>
      </c>
      <c r="AD7335" t="s">
        <v>75</v>
      </c>
      <c r="AE7335" t="s">
        <v>103</v>
      </c>
      <c r="AG7335" t="s">
        <v>81</v>
      </c>
    </row>
    <row r="7336" spans="1:33" x14ac:dyDescent="0.25">
      <c r="A7336" t="str">
        <f>"1073931317"</f>
        <v>1073931317</v>
      </c>
      <c r="C7336" t="s">
        <v>13436</v>
      </c>
      <c r="K7336" t="s">
        <v>99</v>
      </c>
      <c r="L7336" t="s">
        <v>102</v>
      </c>
      <c r="M7336" t="s">
        <v>75</v>
      </c>
      <c r="R7336" t="s">
        <v>32973</v>
      </c>
      <c r="S7336" t="s">
        <v>32974</v>
      </c>
      <c r="T7336" t="s">
        <v>97</v>
      </c>
      <c r="U7336" t="s">
        <v>77</v>
      </c>
      <c r="V7336" t="str">
        <f>"100033804"</f>
        <v>100033804</v>
      </c>
      <c r="AC7336" t="s">
        <v>79</v>
      </c>
      <c r="AD7336" t="s">
        <v>75</v>
      </c>
      <c r="AE7336" t="s">
        <v>103</v>
      </c>
      <c r="AG7336" t="s">
        <v>81</v>
      </c>
    </row>
    <row r="7337" spans="1:33" x14ac:dyDescent="0.25">
      <c r="A7337" t="str">
        <f>"1073932695"</f>
        <v>1073932695</v>
      </c>
      <c r="C7337" t="s">
        <v>13436</v>
      </c>
      <c r="K7337" t="s">
        <v>99</v>
      </c>
      <c r="L7337" t="s">
        <v>102</v>
      </c>
      <c r="M7337" t="s">
        <v>75</v>
      </c>
      <c r="R7337" t="s">
        <v>32975</v>
      </c>
      <c r="S7337" t="s">
        <v>181</v>
      </c>
      <c r="T7337" t="s">
        <v>97</v>
      </c>
      <c r="U7337" t="s">
        <v>77</v>
      </c>
      <c r="V7337" t="str">
        <f>"100251716"</f>
        <v>100251716</v>
      </c>
      <c r="AC7337" t="s">
        <v>79</v>
      </c>
      <c r="AD7337" t="s">
        <v>75</v>
      </c>
      <c r="AE7337" t="s">
        <v>103</v>
      </c>
      <c r="AG7337" t="s">
        <v>81</v>
      </c>
    </row>
    <row r="7338" spans="1:33" x14ac:dyDescent="0.25">
      <c r="A7338" t="str">
        <f>"1073936274"</f>
        <v>1073936274</v>
      </c>
      <c r="C7338" t="s">
        <v>13436</v>
      </c>
      <c r="G7338" t="s">
        <v>32976</v>
      </c>
      <c r="K7338" t="s">
        <v>99</v>
      </c>
      <c r="L7338" t="s">
        <v>102</v>
      </c>
      <c r="M7338" t="s">
        <v>75</v>
      </c>
      <c r="R7338" t="s">
        <v>32977</v>
      </c>
      <c r="S7338" t="s">
        <v>32978</v>
      </c>
      <c r="T7338" t="s">
        <v>32979</v>
      </c>
      <c r="U7338" t="s">
        <v>4645</v>
      </c>
      <c r="V7338" t="str">
        <f>"532175758"</f>
        <v>532175758</v>
      </c>
      <c r="AC7338" t="s">
        <v>79</v>
      </c>
      <c r="AD7338" t="s">
        <v>75</v>
      </c>
      <c r="AE7338" t="s">
        <v>103</v>
      </c>
      <c r="AG7338" t="s">
        <v>81</v>
      </c>
    </row>
    <row r="7339" spans="1:33" x14ac:dyDescent="0.25">
      <c r="A7339" t="str">
        <f>"1609214816"</f>
        <v>1609214816</v>
      </c>
      <c r="C7339" t="s">
        <v>32980</v>
      </c>
      <c r="G7339" t="s">
        <v>32379</v>
      </c>
      <c r="H7339" t="s">
        <v>183</v>
      </c>
      <c r="J7339" t="s">
        <v>184</v>
      </c>
      <c r="K7339" t="s">
        <v>2011</v>
      </c>
      <c r="L7339" t="s">
        <v>74</v>
      </c>
      <c r="M7339" t="s">
        <v>75</v>
      </c>
      <c r="R7339" t="s">
        <v>3897</v>
      </c>
      <c r="S7339" t="s">
        <v>3738</v>
      </c>
      <c r="T7339" t="s">
        <v>97</v>
      </c>
      <c r="U7339" t="s">
        <v>77</v>
      </c>
      <c r="V7339" t="str">
        <f>"100033304"</f>
        <v>100033304</v>
      </c>
      <c r="AC7339" t="s">
        <v>79</v>
      </c>
      <c r="AD7339" t="s">
        <v>75</v>
      </c>
      <c r="AE7339" t="s">
        <v>103</v>
      </c>
      <c r="AG7339" t="s">
        <v>81</v>
      </c>
    </row>
    <row r="7340" spans="1:33" x14ac:dyDescent="0.25">
      <c r="A7340" t="str">
        <f>"1033345772"</f>
        <v>1033345772</v>
      </c>
      <c r="B7340" t="str">
        <f>"04347926"</f>
        <v>04347926</v>
      </c>
      <c r="C7340" t="s">
        <v>32981</v>
      </c>
      <c r="D7340" t="s">
        <v>3898</v>
      </c>
      <c r="E7340" t="s">
        <v>3899</v>
      </c>
      <c r="G7340" t="s">
        <v>32379</v>
      </c>
      <c r="H7340" t="s">
        <v>183</v>
      </c>
      <c r="J7340" t="s">
        <v>184</v>
      </c>
      <c r="L7340" t="s">
        <v>102</v>
      </c>
      <c r="M7340" t="s">
        <v>75</v>
      </c>
      <c r="R7340" t="s">
        <v>3900</v>
      </c>
      <c r="W7340" t="s">
        <v>3899</v>
      </c>
      <c r="X7340" t="s">
        <v>3901</v>
      </c>
      <c r="Y7340" t="s">
        <v>218</v>
      </c>
      <c r="Z7340" t="s">
        <v>77</v>
      </c>
      <c r="AA7340" t="str">
        <f>"11570-4267"</f>
        <v>11570-4267</v>
      </c>
      <c r="AB7340" t="s">
        <v>113</v>
      </c>
      <c r="AC7340" t="s">
        <v>79</v>
      </c>
      <c r="AD7340" t="s">
        <v>75</v>
      </c>
      <c r="AE7340" t="s">
        <v>80</v>
      </c>
      <c r="AG7340" t="s">
        <v>81</v>
      </c>
    </row>
    <row r="7341" spans="1:33" x14ac:dyDescent="0.25">
      <c r="A7341" t="str">
        <f>"1396827549"</f>
        <v>1396827549</v>
      </c>
      <c r="B7341" t="str">
        <f>"03718834"</f>
        <v>03718834</v>
      </c>
      <c r="C7341" t="s">
        <v>32982</v>
      </c>
      <c r="D7341" t="s">
        <v>3902</v>
      </c>
      <c r="E7341" t="s">
        <v>3903</v>
      </c>
      <c r="G7341" t="s">
        <v>32379</v>
      </c>
      <c r="H7341" t="s">
        <v>183</v>
      </c>
      <c r="J7341" t="s">
        <v>184</v>
      </c>
      <c r="L7341" t="s">
        <v>74</v>
      </c>
      <c r="M7341" t="s">
        <v>75</v>
      </c>
      <c r="R7341" t="s">
        <v>3904</v>
      </c>
      <c r="W7341" t="s">
        <v>3903</v>
      </c>
      <c r="X7341" t="s">
        <v>3905</v>
      </c>
      <c r="Y7341" t="s">
        <v>155</v>
      </c>
      <c r="Z7341" t="s">
        <v>77</v>
      </c>
      <c r="AA7341" t="str">
        <f>"10314-3547"</f>
        <v>10314-3547</v>
      </c>
      <c r="AB7341" t="s">
        <v>114</v>
      </c>
      <c r="AC7341" t="s">
        <v>79</v>
      </c>
      <c r="AD7341" t="s">
        <v>75</v>
      </c>
      <c r="AE7341" t="s">
        <v>80</v>
      </c>
      <c r="AG7341" t="s">
        <v>81</v>
      </c>
    </row>
    <row r="7342" spans="1:33" x14ac:dyDescent="0.25">
      <c r="A7342" t="str">
        <f>"1356309603"</f>
        <v>1356309603</v>
      </c>
      <c r="B7342" t="str">
        <f>"01837470"</f>
        <v>01837470</v>
      </c>
      <c r="C7342" t="s">
        <v>32983</v>
      </c>
      <c r="D7342" t="s">
        <v>32984</v>
      </c>
      <c r="E7342" t="s">
        <v>32985</v>
      </c>
      <c r="G7342" t="s">
        <v>32379</v>
      </c>
      <c r="H7342" t="s">
        <v>183</v>
      </c>
      <c r="J7342" t="s">
        <v>184</v>
      </c>
      <c r="L7342" t="s">
        <v>84</v>
      </c>
      <c r="M7342" t="s">
        <v>75</v>
      </c>
      <c r="R7342" t="s">
        <v>32986</v>
      </c>
      <c r="W7342" t="s">
        <v>32985</v>
      </c>
      <c r="X7342" t="s">
        <v>32987</v>
      </c>
      <c r="Y7342" t="s">
        <v>4629</v>
      </c>
      <c r="Z7342" t="s">
        <v>77</v>
      </c>
      <c r="AA7342" t="str">
        <f>"11741-1704"</f>
        <v>11741-1704</v>
      </c>
      <c r="AB7342" t="s">
        <v>78</v>
      </c>
      <c r="AC7342" t="s">
        <v>79</v>
      </c>
      <c r="AD7342" t="s">
        <v>75</v>
      </c>
      <c r="AE7342" t="s">
        <v>80</v>
      </c>
      <c r="AG7342" t="s">
        <v>81</v>
      </c>
    </row>
    <row r="7343" spans="1:33" x14ac:dyDescent="0.25">
      <c r="A7343" t="str">
        <f>"1114082575"</f>
        <v>1114082575</v>
      </c>
      <c r="B7343" t="str">
        <f>"02726983"</f>
        <v>02726983</v>
      </c>
      <c r="C7343" t="s">
        <v>32988</v>
      </c>
      <c r="D7343" t="s">
        <v>4393</v>
      </c>
      <c r="E7343" t="s">
        <v>4394</v>
      </c>
      <c r="G7343" t="s">
        <v>32379</v>
      </c>
      <c r="H7343" t="s">
        <v>183</v>
      </c>
      <c r="J7343" t="s">
        <v>184</v>
      </c>
      <c r="L7343" t="s">
        <v>105</v>
      </c>
      <c r="M7343" t="s">
        <v>75</v>
      </c>
      <c r="R7343" t="s">
        <v>4395</v>
      </c>
      <c r="W7343" t="s">
        <v>4396</v>
      </c>
      <c r="X7343" t="s">
        <v>4397</v>
      </c>
      <c r="Y7343" t="s">
        <v>4398</v>
      </c>
      <c r="Z7343" t="s">
        <v>77</v>
      </c>
      <c r="AA7343" t="str">
        <f>"11423-0000"</f>
        <v>11423-0000</v>
      </c>
      <c r="AB7343" t="s">
        <v>125</v>
      </c>
      <c r="AC7343" t="s">
        <v>79</v>
      </c>
      <c r="AD7343" t="s">
        <v>75</v>
      </c>
      <c r="AE7343" t="s">
        <v>80</v>
      </c>
      <c r="AG7343" t="s">
        <v>81</v>
      </c>
    </row>
    <row r="7344" spans="1:33" x14ac:dyDescent="0.25">
      <c r="A7344" t="str">
        <f>"1629158696"</f>
        <v>1629158696</v>
      </c>
      <c r="B7344" t="str">
        <f>"03020344"</f>
        <v>03020344</v>
      </c>
      <c r="C7344" t="s">
        <v>32989</v>
      </c>
      <c r="D7344" t="s">
        <v>3785</v>
      </c>
      <c r="E7344" t="s">
        <v>3786</v>
      </c>
      <c r="G7344" t="s">
        <v>32379</v>
      </c>
      <c r="H7344" t="s">
        <v>183</v>
      </c>
      <c r="J7344" t="s">
        <v>184</v>
      </c>
      <c r="L7344" t="s">
        <v>74</v>
      </c>
      <c r="M7344" t="s">
        <v>75</v>
      </c>
      <c r="R7344" t="s">
        <v>3786</v>
      </c>
      <c r="W7344" t="s">
        <v>3786</v>
      </c>
      <c r="X7344" t="s">
        <v>3787</v>
      </c>
      <c r="Y7344" t="s">
        <v>97</v>
      </c>
      <c r="Z7344" t="s">
        <v>77</v>
      </c>
      <c r="AA7344" t="str">
        <f>"10017-6308"</f>
        <v>10017-6308</v>
      </c>
      <c r="AB7344" t="s">
        <v>113</v>
      </c>
      <c r="AC7344" t="s">
        <v>79</v>
      </c>
      <c r="AD7344" t="s">
        <v>75</v>
      </c>
      <c r="AE7344" t="s">
        <v>80</v>
      </c>
      <c r="AG7344" t="s">
        <v>81</v>
      </c>
    </row>
    <row r="7345" spans="1:33" x14ac:dyDescent="0.25">
      <c r="A7345" t="str">
        <f>"1336566579"</f>
        <v>1336566579</v>
      </c>
      <c r="C7345" t="s">
        <v>13436</v>
      </c>
      <c r="K7345" t="s">
        <v>99</v>
      </c>
      <c r="L7345" t="s">
        <v>102</v>
      </c>
      <c r="M7345" t="s">
        <v>75</v>
      </c>
      <c r="R7345" t="s">
        <v>32990</v>
      </c>
      <c r="S7345" t="s">
        <v>3553</v>
      </c>
      <c r="T7345" t="s">
        <v>97</v>
      </c>
      <c r="U7345" t="s">
        <v>77</v>
      </c>
      <c r="V7345" t="str">
        <f>"100033851"</f>
        <v>100033851</v>
      </c>
      <c r="AC7345" t="s">
        <v>79</v>
      </c>
      <c r="AD7345" t="s">
        <v>75</v>
      </c>
      <c r="AE7345" t="s">
        <v>103</v>
      </c>
      <c r="AG7345" t="s">
        <v>81</v>
      </c>
    </row>
    <row r="7346" spans="1:33" x14ac:dyDescent="0.25">
      <c r="A7346" t="str">
        <f>"1336566710"</f>
        <v>1336566710</v>
      </c>
      <c r="C7346" t="s">
        <v>13436</v>
      </c>
      <c r="K7346" t="s">
        <v>99</v>
      </c>
      <c r="L7346" t="s">
        <v>102</v>
      </c>
      <c r="M7346" t="s">
        <v>75</v>
      </c>
      <c r="R7346" t="s">
        <v>32991</v>
      </c>
      <c r="S7346" t="s">
        <v>3553</v>
      </c>
      <c r="T7346" t="s">
        <v>97</v>
      </c>
      <c r="U7346" t="s">
        <v>77</v>
      </c>
      <c r="V7346" t="str">
        <f>"100033851"</f>
        <v>100033851</v>
      </c>
      <c r="AC7346" t="s">
        <v>79</v>
      </c>
      <c r="AD7346" t="s">
        <v>75</v>
      </c>
      <c r="AE7346" t="s">
        <v>103</v>
      </c>
      <c r="AG7346" t="s">
        <v>81</v>
      </c>
    </row>
    <row r="7347" spans="1:33" x14ac:dyDescent="0.25">
      <c r="A7347" t="str">
        <f>"1336567460"</f>
        <v>1336567460</v>
      </c>
      <c r="C7347" t="s">
        <v>13436</v>
      </c>
      <c r="K7347" t="s">
        <v>99</v>
      </c>
      <c r="L7347" t="s">
        <v>102</v>
      </c>
      <c r="M7347" t="s">
        <v>75</v>
      </c>
      <c r="R7347" t="s">
        <v>32992</v>
      </c>
      <c r="S7347" t="s">
        <v>14299</v>
      </c>
      <c r="T7347" t="s">
        <v>97</v>
      </c>
      <c r="U7347" t="s">
        <v>77</v>
      </c>
      <c r="V7347" t="str">
        <f>"100033821"</f>
        <v>100033821</v>
      </c>
      <c r="AC7347" t="s">
        <v>79</v>
      </c>
      <c r="AD7347" t="s">
        <v>75</v>
      </c>
      <c r="AE7347" t="s">
        <v>103</v>
      </c>
      <c r="AG7347" t="s">
        <v>81</v>
      </c>
    </row>
    <row r="7348" spans="1:33" x14ac:dyDescent="0.25">
      <c r="A7348" t="str">
        <f>"1396187472"</f>
        <v>1396187472</v>
      </c>
      <c r="C7348" t="s">
        <v>13436</v>
      </c>
      <c r="K7348" t="s">
        <v>99</v>
      </c>
      <c r="L7348" t="s">
        <v>102</v>
      </c>
      <c r="M7348" t="s">
        <v>75</v>
      </c>
      <c r="R7348" t="s">
        <v>32993</v>
      </c>
      <c r="S7348" t="s">
        <v>191</v>
      </c>
      <c r="T7348" t="s">
        <v>97</v>
      </c>
      <c r="U7348" t="s">
        <v>77</v>
      </c>
      <c r="V7348" t="str">
        <f>"100191147"</f>
        <v>100191147</v>
      </c>
      <c r="AC7348" t="s">
        <v>79</v>
      </c>
      <c r="AD7348" t="s">
        <v>75</v>
      </c>
      <c r="AE7348" t="s">
        <v>103</v>
      </c>
      <c r="AG7348" t="s">
        <v>81</v>
      </c>
    </row>
    <row r="7349" spans="1:33" x14ac:dyDescent="0.25">
      <c r="A7349" t="str">
        <f>"1396704631"</f>
        <v>1396704631</v>
      </c>
      <c r="B7349" t="str">
        <f>"01925891"</f>
        <v>01925891</v>
      </c>
      <c r="C7349" t="s">
        <v>13436</v>
      </c>
      <c r="D7349" t="s">
        <v>32994</v>
      </c>
      <c r="E7349" t="s">
        <v>32995</v>
      </c>
      <c r="G7349" t="s">
        <v>32996</v>
      </c>
      <c r="L7349" t="s">
        <v>84</v>
      </c>
      <c r="M7349" t="s">
        <v>75</v>
      </c>
      <c r="R7349" t="s">
        <v>32997</v>
      </c>
      <c r="W7349" t="s">
        <v>32997</v>
      </c>
      <c r="X7349" t="s">
        <v>8196</v>
      </c>
      <c r="Y7349" t="s">
        <v>87</v>
      </c>
      <c r="Z7349" t="s">
        <v>77</v>
      </c>
      <c r="AA7349" t="str">
        <f>"11201-5551"</f>
        <v>11201-5551</v>
      </c>
      <c r="AB7349" t="s">
        <v>78</v>
      </c>
      <c r="AC7349" t="s">
        <v>79</v>
      </c>
      <c r="AD7349" t="s">
        <v>75</v>
      </c>
      <c r="AE7349" t="s">
        <v>80</v>
      </c>
      <c r="AG7349" t="s">
        <v>81</v>
      </c>
    </row>
    <row r="7350" spans="1:33" x14ac:dyDescent="0.25">
      <c r="A7350" t="str">
        <f>"1396706057"</f>
        <v>1396706057</v>
      </c>
      <c r="B7350" t="str">
        <f>"01863863"</f>
        <v>01863863</v>
      </c>
      <c r="C7350" t="s">
        <v>13436</v>
      </c>
      <c r="D7350" t="s">
        <v>32998</v>
      </c>
      <c r="E7350" t="s">
        <v>32999</v>
      </c>
      <c r="G7350" t="s">
        <v>33000</v>
      </c>
      <c r="L7350" t="s">
        <v>84</v>
      </c>
      <c r="M7350" t="s">
        <v>75</v>
      </c>
      <c r="R7350" t="s">
        <v>33001</v>
      </c>
      <c r="W7350" t="s">
        <v>32999</v>
      </c>
      <c r="X7350" t="s">
        <v>4762</v>
      </c>
      <c r="Y7350" t="s">
        <v>87</v>
      </c>
      <c r="Z7350" t="s">
        <v>77</v>
      </c>
      <c r="AA7350" t="str">
        <f>"11201-5551"</f>
        <v>11201-5551</v>
      </c>
      <c r="AB7350" t="s">
        <v>78</v>
      </c>
      <c r="AC7350" t="s">
        <v>79</v>
      </c>
      <c r="AD7350" t="s">
        <v>75</v>
      </c>
      <c r="AE7350" t="s">
        <v>80</v>
      </c>
      <c r="AG7350" t="s">
        <v>81</v>
      </c>
    </row>
    <row r="7351" spans="1:33" x14ac:dyDescent="0.25">
      <c r="A7351" t="str">
        <f>"1548590003"</f>
        <v>1548590003</v>
      </c>
      <c r="B7351" t="str">
        <f>"03746807"</f>
        <v>03746807</v>
      </c>
      <c r="C7351" t="s">
        <v>13436</v>
      </c>
      <c r="D7351" t="s">
        <v>33002</v>
      </c>
      <c r="E7351" t="s">
        <v>33003</v>
      </c>
      <c r="G7351" t="s">
        <v>33004</v>
      </c>
      <c r="L7351" t="s">
        <v>102</v>
      </c>
      <c r="M7351" t="s">
        <v>75</v>
      </c>
      <c r="R7351" t="s">
        <v>33005</v>
      </c>
      <c r="W7351" t="s">
        <v>33003</v>
      </c>
      <c r="X7351" t="s">
        <v>329</v>
      </c>
      <c r="Y7351" t="s">
        <v>97</v>
      </c>
      <c r="Z7351" t="s">
        <v>77</v>
      </c>
      <c r="AA7351" t="str">
        <f>"10029-6504"</f>
        <v>10029-6504</v>
      </c>
      <c r="AB7351" t="s">
        <v>78</v>
      </c>
      <c r="AC7351" t="s">
        <v>79</v>
      </c>
      <c r="AD7351" t="s">
        <v>75</v>
      </c>
      <c r="AE7351" t="s">
        <v>80</v>
      </c>
      <c r="AG7351" t="s">
        <v>81</v>
      </c>
    </row>
    <row r="7352" spans="1:33" x14ac:dyDescent="0.25">
      <c r="A7352" t="str">
        <f>"1548602725"</f>
        <v>1548602725</v>
      </c>
      <c r="C7352" t="s">
        <v>13436</v>
      </c>
      <c r="K7352" t="s">
        <v>99</v>
      </c>
      <c r="L7352" t="s">
        <v>102</v>
      </c>
      <c r="M7352" t="s">
        <v>75</v>
      </c>
      <c r="R7352" t="s">
        <v>33006</v>
      </c>
      <c r="S7352" t="s">
        <v>33007</v>
      </c>
      <c r="T7352" t="s">
        <v>27139</v>
      </c>
      <c r="U7352" t="s">
        <v>2595</v>
      </c>
      <c r="V7352" t="str">
        <f>"943052200"</f>
        <v>943052200</v>
      </c>
      <c r="AC7352" t="s">
        <v>79</v>
      </c>
      <c r="AD7352" t="s">
        <v>75</v>
      </c>
      <c r="AE7352" t="s">
        <v>103</v>
      </c>
      <c r="AG7352" t="s">
        <v>81</v>
      </c>
    </row>
    <row r="7353" spans="1:33" x14ac:dyDescent="0.25">
      <c r="A7353" t="str">
        <f>"1548603400"</f>
        <v>1548603400</v>
      </c>
      <c r="C7353" t="s">
        <v>13436</v>
      </c>
      <c r="K7353" t="s">
        <v>99</v>
      </c>
      <c r="L7353" t="s">
        <v>102</v>
      </c>
      <c r="M7353" t="s">
        <v>75</v>
      </c>
      <c r="R7353" t="s">
        <v>33008</v>
      </c>
      <c r="S7353" t="s">
        <v>329</v>
      </c>
      <c r="T7353" t="s">
        <v>97</v>
      </c>
      <c r="U7353" t="s">
        <v>77</v>
      </c>
      <c r="V7353" t="str">
        <f>"100296574"</f>
        <v>100296574</v>
      </c>
      <c r="AC7353" t="s">
        <v>79</v>
      </c>
      <c r="AD7353" t="s">
        <v>75</v>
      </c>
      <c r="AE7353" t="s">
        <v>103</v>
      </c>
      <c r="AG7353" t="s">
        <v>81</v>
      </c>
    </row>
    <row r="7354" spans="1:33" x14ac:dyDescent="0.25">
      <c r="A7354" t="str">
        <f>"1447368543"</f>
        <v>1447368543</v>
      </c>
      <c r="B7354" t="str">
        <f>"01997828"</f>
        <v>01997828</v>
      </c>
      <c r="C7354" t="s">
        <v>13436</v>
      </c>
      <c r="D7354" t="s">
        <v>33009</v>
      </c>
      <c r="E7354" t="s">
        <v>33010</v>
      </c>
      <c r="G7354" t="s">
        <v>33011</v>
      </c>
      <c r="L7354" t="s">
        <v>83</v>
      </c>
      <c r="M7354" t="s">
        <v>85</v>
      </c>
      <c r="R7354" t="s">
        <v>33012</v>
      </c>
      <c r="W7354" t="s">
        <v>33010</v>
      </c>
      <c r="X7354" t="s">
        <v>33013</v>
      </c>
      <c r="Y7354" t="s">
        <v>87</v>
      </c>
      <c r="Z7354" t="s">
        <v>77</v>
      </c>
      <c r="AA7354" t="str">
        <f>"11235-7412"</f>
        <v>11235-7412</v>
      </c>
      <c r="AB7354" t="s">
        <v>78</v>
      </c>
      <c r="AC7354" t="s">
        <v>79</v>
      </c>
      <c r="AD7354" t="s">
        <v>75</v>
      </c>
      <c r="AE7354" t="s">
        <v>80</v>
      </c>
      <c r="AG7354" t="s">
        <v>81</v>
      </c>
    </row>
    <row r="7355" spans="1:33" x14ac:dyDescent="0.25">
      <c r="A7355" t="str">
        <f>"1457466864"</f>
        <v>1457466864</v>
      </c>
      <c r="B7355" t="str">
        <f>"02075510"</f>
        <v>02075510</v>
      </c>
      <c r="C7355" t="s">
        <v>13436</v>
      </c>
      <c r="D7355" t="s">
        <v>33014</v>
      </c>
      <c r="E7355" t="s">
        <v>33015</v>
      </c>
      <c r="G7355" t="s">
        <v>33016</v>
      </c>
      <c r="L7355" t="s">
        <v>83</v>
      </c>
      <c r="M7355" t="s">
        <v>85</v>
      </c>
      <c r="R7355" t="s">
        <v>33017</v>
      </c>
      <c r="W7355" t="s">
        <v>33015</v>
      </c>
      <c r="X7355" t="s">
        <v>130</v>
      </c>
      <c r="Y7355" t="s">
        <v>131</v>
      </c>
      <c r="Z7355" t="s">
        <v>77</v>
      </c>
      <c r="AA7355" t="str">
        <f>"10461-1138"</f>
        <v>10461-1138</v>
      </c>
      <c r="AB7355" t="s">
        <v>78</v>
      </c>
      <c r="AC7355" t="s">
        <v>79</v>
      </c>
      <c r="AD7355" t="s">
        <v>75</v>
      </c>
      <c r="AE7355" t="s">
        <v>80</v>
      </c>
      <c r="AG7355" t="s">
        <v>81</v>
      </c>
    </row>
    <row r="7356" spans="1:33" x14ac:dyDescent="0.25">
      <c r="A7356" t="str">
        <f>"1457580052"</f>
        <v>1457580052</v>
      </c>
      <c r="B7356" t="str">
        <f>"03312549"</f>
        <v>03312549</v>
      </c>
      <c r="C7356" t="s">
        <v>13436</v>
      </c>
      <c r="D7356" t="s">
        <v>6210</v>
      </c>
      <c r="E7356" t="s">
        <v>6211</v>
      </c>
      <c r="G7356" t="s">
        <v>33018</v>
      </c>
      <c r="L7356" t="s">
        <v>74</v>
      </c>
      <c r="M7356" t="s">
        <v>85</v>
      </c>
      <c r="R7356" t="s">
        <v>6212</v>
      </c>
      <c r="W7356" t="s">
        <v>6211</v>
      </c>
      <c r="X7356" t="s">
        <v>215</v>
      </c>
      <c r="Y7356" t="s">
        <v>216</v>
      </c>
      <c r="Z7356" t="s">
        <v>77</v>
      </c>
      <c r="AA7356" t="str">
        <f>"11691-4423"</f>
        <v>11691-4423</v>
      </c>
      <c r="AB7356" t="s">
        <v>78</v>
      </c>
      <c r="AC7356" t="s">
        <v>79</v>
      </c>
      <c r="AD7356" t="s">
        <v>75</v>
      </c>
      <c r="AE7356" t="s">
        <v>80</v>
      </c>
      <c r="AG7356" t="s">
        <v>81</v>
      </c>
    </row>
    <row r="7357" spans="1:33" x14ac:dyDescent="0.25">
      <c r="A7357" t="str">
        <f>"1457682940"</f>
        <v>1457682940</v>
      </c>
      <c r="B7357" t="str">
        <f>"03214091"</f>
        <v>03214091</v>
      </c>
      <c r="C7357" t="s">
        <v>13436</v>
      </c>
      <c r="D7357" t="s">
        <v>33019</v>
      </c>
      <c r="E7357" t="s">
        <v>33020</v>
      </c>
      <c r="G7357" t="s">
        <v>33021</v>
      </c>
      <c r="L7357" t="s">
        <v>83</v>
      </c>
      <c r="M7357" t="s">
        <v>85</v>
      </c>
      <c r="R7357" t="s">
        <v>33022</v>
      </c>
      <c r="W7357" t="s">
        <v>33022</v>
      </c>
      <c r="X7357" t="s">
        <v>3773</v>
      </c>
      <c r="Y7357" t="s">
        <v>87</v>
      </c>
      <c r="Z7357" t="s">
        <v>77</v>
      </c>
      <c r="AA7357" t="str">
        <f>"11221-4501"</f>
        <v>11221-4501</v>
      </c>
      <c r="AB7357" t="s">
        <v>114</v>
      </c>
      <c r="AC7357" t="s">
        <v>79</v>
      </c>
      <c r="AD7357" t="s">
        <v>75</v>
      </c>
      <c r="AE7357" t="s">
        <v>80</v>
      </c>
      <c r="AG7357" t="s">
        <v>81</v>
      </c>
    </row>
    <row r="7358" spans="1:33" x14ac:dyDescent="0.25">
      <c r="A7358" t="str">
        <f>"1023202918"</f>
        <v>1023202918</v>
      </c>
      <c r="B7358" t="str">
        <f>"03248533"</f>
        <v>03248533</v>
      </c>
      <c r="C7358" t="s">
        <v>13436</v>
      </c>
      <c r="D7358" t="s">
        <v>33023</v>
      </c>
      <c r="E7358" t="s">
        <v>33024</v>
      </c>
      <c r="G7358" t="s">
        <v>33025</v>
      </c>
      <c r="L7358" t="s">
        <v>83</v>
      </c>
      <c r="M7358" t="s">
        <v>85</v>
      </c>
      <c r="R7358" t="s">
        <v>33026</v>
      </c>
      <c r="W7358" t="s">
        <v>33024</v>
      </c>
      <c r="X7358" t="s">
        <v>6014</v>
      </c>
      <c r="Y7358" t="s">
        <v>180</v>
      </c>
      <c r="Z7358" t="s">
        <v>77</v>
      </c>
      <c r="AA7358" t="str">
        <f>"10701-1303"</f>
        <v>10701-1303</v>
      </c>
      <c r="AB7358" t="s">
        <v>78</v>
      </c>
      <c r="AC7358" t="s">
        <v>79</v>
      </c>
      <c r="AD7358" t="s">
        <v>75</v>
      </c>
      <c r="AE7358" t="s">
        <v>80</v>
      </c>
      <c r="AG7358" t="s">
        <v>81</v>
      </c>
    </row>
    <row r="7359" spans="1:33" x14ac:dyDescent="0.25">
      <c r="A7359" t="str">
        <f>"1568624534"</f>
        <v>1568624534</v>
      </c>
      <c r="B7359" t="str">
        <f>"03261089"</f>
        <v>03261089</v>
      </c>
      <c r="C7359" t="s">
        <v>13436</v>
      </c>
      <c r="D7359" t="s">
        <v>33027</v>
      </c>
      <c r="E7359" t="s">
        <v>33028</v>
      </c>
      <c r="G7359" t="s">
        <v>33029</v>
      </c>
      <c r="L7359" t="s">
        <v>83</v>
      </c>
      <c r="M7359" t="s">
        <v>85</v>
      </c>
      <c r="R7359" t="s">
        <v>33028</v>
      </c>
      <c r="W7359" t="s">
        <v>33028</v>
      </c>
      <c r="X7359" t="s">
        <v>4777</v>
      </c>
      <c r="Y7359" t="s">
        <v>146</v>
      </c>
      <c r="Z7359" t="s">
        <v>77</v>
      </c>
      <c r="AA7359" t="str">
        <f>"10595-1530"</f>
        <v>10595-1530</v>
      </c>
      <c r="AB7359" t="s">
        <v>78</v>
      </c>
      <c r="AC7359" t="s">
        <v>79</v>
      </c>
      <c r="AD7359" t="s">
        <v>75</v>
      </c>
      <c r="AE7359" t="s">
        <v>80</v>
      </c>
      <c r="AG7359" t="s">
        <v>81</v>
      </c>
    </row>
    <row r="7360" spans="1:33" x14ac:dyDescent="0.25">
      <c r="A7360" t="str">
        <f>"1194018820"</f>
        <v>1194018820</v>
      </c>
      <c r="C7360" t="s">
        <v>13436</v>
      </c>
      <c r="G7360" t="s">
        <v>33030</v>
      </c>
      <c r="K7360" t="s">
        <v>99</v>
      </c>
      <c r="L7360" t="s">
        <v>102</v>
      </c>
      <c r="M7360" t="s">
        <v>75</v>
      </c>
      <c r="R7360" t="s">
        <v>33031</v>
      </c>
      <c r="S7360" t="s">
        <v>610</v>
      </c>
      <c r="T7360" t="s">
        <v>87</v>
      </c>
      <c r="U7360" t="s">
        <v>77</v>
      </c>
      <c r="V7360" t="str">
        <f>"112032012"</f>
        <v>112032012</v>
      </c>
      <c r="AC7360" t="s">
        <v>79</v>
      </c>
      <c r="AD7360" t="s">
        <v>75</v>
      </c>
      <c r="AE7360" t="s">
        <v>103</v>
      </c>
      <c r="AG7360" t="s">
        <v>81</v>
      </c>
    </row>
    <row r="7361" spans="1:33" x14ac:dyDescent="0.25">
      <c r="A7361" t="str">
        <f>"1194036145"</f>
        <v>1194036145</v>
      </c>
      <c r="C7361" t="s">
        <v>13436</v>
      </c>
      <c r="K7361" t="s">
        <v>99</v>
      </c>
      <c r="L7361" t="s">
        <v>102</v>
      </c>
      <c r="M7361" t="s">
        <v>75</v>
      </c>
      <c r="R7361" t="s">
        <v>33032</v>
      </c>
      <c r="S7361" t="s">
        <v>33033</v>
      </c>
      <c r="T7361" t="s">
        <v>11906</v>
      </c>
      <c r="U7361" t="s">
        <v>31496</v>
      </c>
      <c r="V7361" t="str">
        <f>"253011652"</f>
        <v>253011652</v>
      </c>
      <c r="AC7361" t="s">
        <v>79</v>
      </c>
      <c r="AD7361" t="s">
        <v>75</v>
      </c>
      <c r="AE7361" t="s">
        <v>103</v>
      </c>
      <c r="AG7361" t="s">
        <v>81</v>
      </c>
    </row>
    <row r="7362" spans="1:33" x14ac:dyDescent="0.25">
      <c r="A7362" t="str">
        <f>"1457627556"</f>
        <v>1457627556</v>
      </c>
      <c r="C7362" t="s">
        <v>13436</v>
      </c>
      <c r="K7362" t="s">
        <v>99</v>
      </c>
      <c r="L7362" t="s">
        <v>102</v>
      </c>
      <c r="M7362" t="s">
        <v>75</v>
      </c>
      <c r="R7362" t="s">
        <v>33034</v>
      </c>
      <c r="S7362" t="s">
        <v>32043</v>
      </c>
      <c r="T7362" t="s">
        <v>97</v>
      </c>
      <c r="U7362" t="s">
        <v>77</v>
      </c>
      <c r="V7362" t="str">
        <f>"100296500"</f>
        <v>100296500</v>
      </c>
      <c r="AC7362" t="s">
        <v>79</v>
      </c>
      <c r="AD7362" t="s">
        <v>75</v>
      </c>
      <c r="AE7362" t="s">
        <v>103</v>
      </c>
      <c r="AG7362" t="s">
        <v>81</v>
      </c>
    </row>
    <row r="7363" spans="1:33" x14ac:dyDescent="0.25">
      <c r="A7363" t="str">
        <f>"1457641086"</f>
        <v>1457641086</v>
      </c>
      <c r="C7363" t="s">
        <v>13436</v>
      </c>
      <c r="K7363" t="s">
        <v>99</v>
      </c>
      <c r="L7363" t="s">
        <v>102</v>
      </c>
      <c r="M7363" t="s">
        <v>75</v>
      </c>
      <c r="R7363" t="s">
        <v>33035</v>
      </c>
      <c r="S7363" t="s">
        <v>33036</v>
      </c>
      <c r="T7363" t="s">
        <v>97</v>
      </c>
      <c r="U7363" t="s">
        <v>77</v>
      </c>
      <c r="V7363" t="str">
        <f>"100215505"</f>
        <v>100215505</v>
      </c>
      <c r="AC7363" t="s">
        <v>79</v>
      </c>
      <c r="AD7363" t="s">
        <v>75</v>
      </c>
      <c r="AE7363" t="s">
        <v>103</v>
      </c>
      <c r="AG7363" t="s">
        <v>81</v>
      </c>
    </row>
    <row r="7364" spans="1:33" x14ac:dyDescent="0.25">
      <c r="A7364" t="str">
        <f>"1457643124"</f>
        <v>1457643124</v>
      </c>
      <c r="C7364" t="s">
        <v>13436</v>
      </c>
      <c r="K7364" t="s">
        <v>99</v>
      </c>
      <c r="L7364" t="s">
        <v>102</v>
      </c>
      <c r="M7364" t="s">
        <v>75</v>
      </c>
      <c r="R7364" t="s">
        <v>33037</v>
      </c>
      <c r="S7364" t="s">
        <v>27138</v>
      </c>
      <c r="T7364" t="s">
        <v>27139</v>
      </c>
      <c r="U7364" t="s">
        <v>2595</v>
      </c>
      <c r="V7364" t="str">
        <f>"943052200"</f>
        <v>943052200</v>
      </c>
      <c r="AC7364" t="s">
        <v>79</v>
      </c>
      <c r="AD7364" t="s">
        <v>75</v>
      </c>
      <c r="AE7364" t="s">
        <v>103</v>
      </c>
      <c r="AG7364" t="s">
        <v>81</v>
      </c>
    </row>
    <row r="7365" spans="1:33" x14ac:dyDescent="0.25">
      <c r="A7365" t="str">
        <f>"1073740361"</f>
        <v>1073740361</v>
      </c>
      <c r="B7365" t="str">
        <f>"03368229"</f>
        <v>03368229</v>
      </c>
      <c r="C7365" t="s">
        <v>13436</v>
      </c>
      <c r="D7365" t="s">
        <v>33038</v>
      </c>
      <c r="E7365" t="s">
        <v>33039</v>
      </c>
      <c r="L7365" t="s">
        <v>74</v>
      </c>
      <c r="M7365" t="s">
        <v>75</v>
      </c>
      <c r="R7365" t="s">
        <v>33040</v>
      </c>
      <c r="W7365" t="s">
        <v>33041</v>
      </c>
      <c r="X7365" t="s">
        <v>33042</v>
      </c>
      <c r="Y7365" t="s">
        <v>240</v>
      </c>
      <c r="Z7365" t="s">
        <v>77</v>
      </c>
      <c r="AA7365" t="str">
        <f>"11530-0001"</f>
        <v>11530-0001</v>
      </c>
      <c r="AB7365" t="s">
        <v>82</v>
      </c>
      <c r="AC7365" t="s">
        <v>79</v>
      </c>
      <c r="AD7365" t="s">
        <v>75</v>
      </c>
      <c r="AE7365" t="s">
        <v>80</v>
      </c>
      <c r="AG7365" t="s">
        <v>81</v>
      </c>
    </row>
    <row r="7366" spans="1:33" x14ac:dyDescent="0.25">
      <c r="A7366" t="str">
        <f>"1073741450"</f>
        <v>1073741450</v>
      </c>
      <c r="B7366" t="str">
        <f>"03718650"</f>
        <v>03718650</v>
      </c>
      <c r="C7366" t="s">
        <v>13436</v>
      </c>
      <c r="D7366" t="s">
        <v>33043</v>
      </c>
      <c r="E7366" t="s">
        <v>33044</v>
      </c>
      <c r="G7366" t="s">
        <v>33045</v>
      </c>
      <c r="L7366" t="s">
        <v>74</v>
      </c>
      <c r="M7366" t="s">
        <v>75</v>
      </c>
      <c r="R7366" t="s">
        <v>33046</v>
      </c>
      <c r="W7366" t="s">
        <v>33044</v>
      </c>
      <c r="X7366" t="s">
        <v>204</v>
      </c>
      <c r="Y7366" t="s">
        <v>97</v>
      </c>
      <c r="Z7366" t="s">
        <v>77</v>
      </c>
      <c r="AA7366" t="str">
        <f>"10065-4870"</f>
        <v>10065-4870</v>
      </c>
      <c r="AB7366" t="s">
        <v>78</v>
      </c>
      <c r="AC7366" t="s">
        <v>79</v>
      </c>
      <c r="AD7366" t="s">
        <v>75</v>
      </c>
      <c r="AE7366" t="s">
        <v>80</v>
      </c>
      <c r="AG7366" t="s">
        <v>81</v>
      </c>
    </row>
    <row r="7367" spans="1:33" x14ac:dyDescent="0.25">
      <c r="A7367" t="str">
        <f>"1073752986"</f>
        <v>1073752986</v>
      </c>
      <c r="C7367" t="s">
        <v>13436</v>
      </c>
      <c r="K7367" t="s">
        <v>99</v>
      </c>
      <c r="L7367" t="s">
        <v>102</v>
      </c>
      <c r="M7367" t="s">
        <v>75</v>
      </c>
      <c r="R7367" t="s">
        <v>33047</v>
      </c>
      <c r="S7367" t="s">
        <v>4799</v>
      </c>
      <c r="T7367" t="s">
        <v>87</v>
      </c>
      <c r="U7367" t="s">
        <v>77</v>
      </c>
      <c r="V7367" t="str">
        <f>"112342625"</f>
        <v>112342625</v>
      </c>
      <c r="AC7367" t="s">
        <v>79</v>
      </c>
      <c r="AD7367" t="s">
        <v>75</v>
      </c>
      <c r="AE7367" t="s">
        <v>103</v>
      </c>
      <c r="AG7367" t="s">
        <v>81</v>
      </c>
    </row>
    <row r="7368" spans="1:33" x14ac:dyDescent="0.25">
      <c r="A7368" t="str">
        <f>"1588717177"</f>
        <v>1588717177</v>
      </c>
      <c r="B7368" t="str">
        <f>"03318756"</f>
        <v>03318756</v>
      </c>
      <c r="C7368" t="s">
        <v>13436</v>
      </c>
      <c r="D7368" t="s">
        <v>33048</v>
      </c>
      <c r="E7368" t="s">
        <v>33049</v>
      </c>
      <c r="L7368" t="s">
        <v>84</v>
      </c>
      <c r="M7368" t="s">
        <v>85</v>
      </c>
      <c r="R7368" t="s">
        <v>33050</v>
      </c>
      <c r="W7368" t="s">
        <v>33051</v>
      </c>
      <c r="X7368" t="s">
        <v>330</v>
      </c>
      <c r="Y7368" t="s">
        <v>97</v>
      </c>
      <c r="Z7368" t="s">
        <v>77</v>
      </c>
      <c r="AA7368" t="str">
        <f>"10029-5204"</f>
        <v>10029-5204</v>
      </c>
      <c r="AB7368" t="s">
        <v>78</v>
      </c>
      <c r="AC7368" t="s">
        <v>79</v>
      </c>
      <c r="AD7368" t="s">
        <v>75</v>
      </c>
      <c r="AE7368" t="s">
        <v>80</v>
      </c>
      <c r="AG7368" t="s">
        <v>81</v>
      </c>
    </row>
    <row r="7369" spans="1:33" x14ac:dyDescent="0.25">
      <c r="A7369" t="str">
        <f>"1588759021"</f>
        <v>1588759021</v>
      </c>
      <c r="B7369" t="str">
        <f>"02947455"</f>
        <v>02947455</v>
      </c>
      <c r="C7369" t="s">
        <v>13436</v>
      </c>
      <c r="D7369" t="s">
        <v>33052</v>
      </c>
      <c r="E7369" t="s">
        <v>33053</v>
      </c>
      <c r="G7369" t="s">
        <v>33054</v>
      </c>
      <c r="L7369" t="s">
        <v>84</v>
      </c>
      <c r="M7369" t="s">
        <v>75</v>
      </c>
      <c r="R7369" t="s">
        <v>33053</v>
      </c>
      <c r="W7369" t="s">
        <v>33053</v>
      </c>
      <c r="X7369" t="s">
        <v>330</v>
      </c>
      <c r="Y7369" t="s">
        <v>97</v>
      </c>
      <c r="Z7369" t="s">
        <v>77</v>
      </c>
      <c r="AA7369" t="str">
        <f>"10029-5204"</f>
        <v>10029-5204</v>
      </c>
      <c r="AB7369" t="s">
        <v>78</v>
      </c>
      <c r="AC7369" t="s">
        <v>79</v>
      </c>
      <c r="AD7369" t="s">
        <v>75</v>
      </c>
      <c r="AE7369" t="s">
        <v>80</v>
      </c>
      <c r="AG7369" t="s">
        <v>81</v>
      </c>
    </row>
    <row r="7370" spans="1:33" x14ac:dyDescent="0.25">
      <c r="A7370" t="str">
        <f>"1588813729"</f>
        <v>1588813729</v>
      </c>
      <c r="B7370" t="str">
        <f>"04089983"</f>
        <v>04089983</v>
      </c>
      <c r="C7370" t="s">
        <v>13436</v>
      </c>
      <c r="D7370" t="s">
        <v>33055</v>
      </c>
      <c r="E7370" t="s">
        <v>33056</v>
      </c>
      <c r="G7370" t="s">
        <v>33057</v>
      </c>
      <c r="L7370" t="s">
        <v>74</v>
      </c>
      <c r="M7370" t="s">
        <v>75</v>
      </c>
      <c r="R7370" t="s">
        <v>33058</v>
      </c>
      <c r="W7370" t="s">
        <v>33059</v>
      </c>
      <c r="X7370" t="s">
        <v>33060</v>
      </c>
      <c r="Y7370" t="s">
        <v>139</v>
      </c>
      <c r="Z7370" t="s">
        <v>77</v>
      </c>
      <c r="AA7370" t="str">
        <f>"11355-5045"</f>
        <v>11355-5045</v>
      </c>
      <c r="AB7370" t="s">
        <v>78</v>
      </c>
      <c r="AC7370" t="s">
        <v>79</v>
      </c>
      <c r="AD7370" t="s">
        <v>75</v>
      </c>
      <c r="AE7370" t="s">
        <v>80</v>
      </c>
      <c r="AG7370" t="s">
        <v>81</v>
      </c>
    </row>
    <row r="7371" spans="1:33" x14ac:dyDescent="0.25">
      <c r="A7371" t="str">
        <f>"1033435334"</f>
        <v>1033435334</v>
      </c>
      <c r="C7371" t="s">
        <v>13436</v>
      </c>
      <c r="K7371" t="s">
        <v>99</v>
      </c>
      <c r="L7371" t="s">
        <v>102</v>
      </c>
      <c r="M7371" t="s">
        <v>75</v>
      </c>
      <c r="R7371" t="s">
        <v>33061</v>
      </c>
      <c r="S7371" t="s">
        <v>33062</v>
      </c>
      <c r="T7371" t="s">
        <v>97</v>
      </c>
      <c r="U7371" t="s">
        <v>77</v>
      </c>
      <c r="V7371" t="str">
        <f>"100296500"</f>
        <v>100296500</v>
      </c>
      <c r="AC7371" t="s">
        <v>79</v>
      </c>
      <c r="AD7371" t="s">
        <v>75</v>
      </c>
      <c r="AE7371" t="s">
        <v>103</v>
      </c>
      <c r="AG7371" t="s">
        <v>81</v>
      </c>
    </row>
    <row r="7372" spans="1:33" x14ac:dyDescent="0.25">
      <c r="A7372" t="str">
        <f>"1033436019"</f>
        <v>1033436019</v>
      </c>
      <c r="C7372" t="s">
        <v>13436</v>
      </c>
      <c r="K7372" t="s">
        <v>99</v>
      </c>
      <c r="L7372" t="s">
        <v>102</v>
      </c>
      <c r="M7372" t="s">
        <v>75</v>
      </c>
      <c r="R7372" t="s">
        <v>33063</v>
      </c>
      <c r="S7372" t="s">
        <v>33064</v>
      </c>
      <c r="T7372" t="s">
        <v>97</v>
      </c>
      <c r="U7372" t="s">
        <v>77</v>
      </c>
      <c r="V7372" t="str">
        <f>"10025"</f>
        <v>10025</v>
      </c>
      <c r="AC7372" t="s">
        <v>79</v>
      </c>
      <c r="AD7372" t="s">
        <v>75</v>
      </c>
      <c r="AE7372" t="s">
        <v>103</v>
      </c>
      <c r="AG7372" t="s">
        <v>81</v>
      </c>
    </row>
    <row r="7373" spans="1:33" x14ac:dyDescent="0.25">
      <c r="A7373" t="str">
        <f>"1316289226"</f>
        <v>1316289226</v>
      </c>
      <c r="B7373" t="str">
        <f>"04524416"</f>
        <v>04524416</v>
      </c>
      <c r="C7373" t="s">
        <v>13436</v>
      </c>
      <c r="D7373" t="s">
        <v>33065</v>
      </c>
      <c r="E7373" t="s">
        <v>33066</v>
      </c>
      <c r="L7373" t="s">
        <v>102</v>
      </c>
      <c r="M7373" t="s">
        <v>75</v>
      </c>
      <c r="R7373" t="s">
        <v>33067</v>
      </c>
      <c r="W7373" t="s">
        <v>33066</v>
      </c>
      <c r="AB7373" t="s">
        <v>78</v>
      </c>
      <c r="AC7373" t="s">
        <v>79</v>
      </c>
      <c r="AD7373" t="s">
        <v>75</v>
      </c>
      <c r="AE7373" t="s">
        <v>80</v>
      </c>
      <c r="AG7373" t="s">
        <v>81</v>
      </c>
    </row>
    <row r="7374" spans="1:33" x14ac:dyDescent="0.25">
      <c r="A7374" t="str">
        <f>"1033119920"</f>
        <v>1033119920</v>
      </c>
      <c r="B7374" t="str">
        <f>"02611741"</f>
        <v>02611741</v>
      </c>
      <c r="C7374" t="s">
        <v>13436</v>
      </c>
      <c r="D7374" t="s">
        <v>33068</v>
      </c>
      <c r="E7374" t="s">
        <v>33069</v>
      </c>
      <c r="G7374" t="s">
        <v>33070</v>
      </c>
      <c r="L7374" t="s">
        <v>83</v>
      </c>
      <c r="M7374" t="s">
        <v>85</v>
      </c>
      <c r="R7374" t="s">
        <v>33071</v>
      </c>
      <c r="W7374" t="s">
        <v>33072</v>
      </c>
      <c r="X7374" t="s">
        <v>33073</v>
      </c>
      <c r="Y7374" t="s">
        <v>97</v>
      </c>
      <c r="Z7374" t="s">
        <v>77</v>
      </c>
      <c r="AA7374" t="str">
        <f>"10128"</f>
        <v>10128</v>
      </c>
      <c r="AB7374" t="s">
        <v>78</v>
      </c>
      <c r="AC7374" t="s">
        <v>79</v>
      </c>
      <c r="AD7374" t="s">
        <v>75</v>
      </c>
      <c r="AE7374" t="s">
        <v>80</v>
      </c>
      <c r="AG7374" t="s">
        <v>81</v>
      </c>
    </row>
    <row r="7375" spans="1:33" x14ac:dyDescent="0.25">
      <c r="A7375" t="str">
        <f>"1033123252"</f>
        <v>1033123252</v>
      </c>
      <c r="B7375" t="str">
        <f>"01513762"</f>
        <v>01513762</v>
      </c>
      <c r="C7375" t="s">
        <v>13436</v>
      </c>
      <c r="D7375" t="s">
        <v>33074</v>
      </c>
      <c r="E7375" t="s">
        <v>33075</v>
      </c>
      <c r="G7375" t="s">
        <v>33076</v>
      </c>
      <c r="L7375" t="s">
        <v>83</v>
      </c>
      <c r="M7375" t="s">
        <v>85</v>
      </c>
      <c r="R7375" t="s">
        <v>33077</v>
      </c>
      <c r="W7375" t="s">
        <v>33075</v>
      </c>
      <c r="X7375" t="s">
        <v>329</v>
      </c>
      <c r="Y7375" t="s">
        <v>97</v>
      </c>
      <c r="Z7375" t="s">
        <v>77</v>
      </c>
      <c r="AA7375" t="str">
        <f>"10029-6500"</f>
        <v>10029-6500</v>
      </c>
      <c r="AB7375" t="s">
        <v>78</v>
      </c>
      <c r="AC7375" t="s">
        <v>79</v>
      </c>
      <c r="AD7375" t="s">
        <v>75</v>
      </c>
      <c r="AE7375" t="s">
        <v>80</v>
      </c>
      <c r="AG7375" t="s">
        <v>81</v>
      </c>
    </row>
    <row r="7376" spans="1:33" x14ac:dyDescent="0.25">
      <c r="A7376" t="str">
        <f>"1033137864"</f>
        <v>1033137864</v>
      </c>
      <c r="B7376" t="str">
        <f>"01120061"</f>
        <v>01120061</v>
      </c>
      <c r="C7376" t="s">
        <v>13436</v>
      </c>
      <c r="D7376" t="s">
        <v>33078</v>
      </c>
      <c r="E7376" t="s">
        <v>33079</v>
      </c>
      <c r="G7376" t="s">
        <v>33080</v>
      </c>
      <c r="L7376" t="s">
        <v>83</v>
      </c>
      <c r="M7376" t="s">
        <v>85</v>
      </c>
      <c r="R7376" t="s">
        <v>33081</v>
      </c>
      <c r="W7376" t="s">
        <v>33079</v>
      </c>
      <c r="X7376" t="s">
        <v>33082</v>
      </c>
      <c r="Y7376" t="s">
        <v>97</v>
      </c>
      <c r="Z7376" t="s">
        <v>77</v>
      </c>
      <c r="AA7376" t="str">
        <f>"10029-6501"</f>
        <v>10029-6501</v>
      </c>
      <c r="AB7376" t="s">
        <v>78</v>
      </c>
      <c r="AC7376" t="s">
        <v>79</v>
      </c>
      <c r="AD7376" t="s">
        <v>75</v>
      </c>
      <c r="AE7376" t="s">
        <v>80</v>
      </c>
      <c r="AG7376" t="s">
        <v>81</v>
      </c>
    </row>
    <row r="7377" spans="1:33" x14ac:dyDescent="0.25">
      <c r="A7377" t="str">
        <f>"1578556676"</f>
        <v>1578556676</v>
      </c>
      <c r="B7377" t="str">
        <f>"01894499"</f>
        <v>01894499</v>
      </c>
      <c r="C7377" t="s">
        <v>13436</v>
      </c>
      <c r="D7377" t="s">
        <v>33083</v>
      </c>
      <c r="E7377" t="s">
        <v>33084</v>
      </c>
      <c r="G7377" t="s">
        <v>33085</v>
      </c>
      <c r="L7377" t="s">
        <v>83</v>
      </c>
      <c r="M7377" t="s">
        <v>85</v>
      </c>
      <c r="R7377" t="s">
        <v>33086</v>
      </c>
      <c r="W7377" t="s">
        <v>33084</v>
      </c>
      <c r="X7377" t="s">
        <v>33087</v>
      </c>
      <c r="Y7377" t="s">
        <v>233</v>
      </c>
      <c r="Z7377" t="s">
        <v>77</v>
      </c>
      <c r="AA7377" t="str">
        <f>"12401-4692"</f>
        <v>12401-4692</v>
      </c>
      <c r="AB7377" t="s">
        <v>78</v>
      </c>
      <c r="AC7377" t="s">
        <v>79</v>
      </c>
      <c r="AD7377" t="s">
        <v>75</v>
      </c>
      <c r="AE7377" t="s">
        <v>80</v>
      </c>
      <c r="AG7377" t="s">
        <v>81</v>
      </c>
    </row>
    <row r="7378" spans="1:33" x14ac:dyDescent="0.25">
      <c r="A7378" t="str">
        <f>"1457583387"</f>
        <v>1457583387</v>
      </c>
      <c r="B7378" t="str">
        <f>"03682313"</f>
        <v>03682313</v>
      </c>
      <c r="C7378" t="s">
        <v>13436</v>
      </c>
      <c r="D7378" t="s">
        <v>33088</v>
      </c>
      <c r="E7378" t="s">
        <v>33089</v>
      </c>
      <c r="L7378" t="s">
        <v>102</v>
      </c>
      <c r="M7378" t="s">
        <v>75</v>
      </c>
      <c r="R7378" t="s">
        <v>33090</v>
      </c>
      <c r="W7378" t="s">
        <v>33089</v>
      </c>
      <c r="X7378" t="s">
        <v>2587</v>
      </c>
      <c r="Y7378" t="s">
        <v>97</v>
      </c>
      <c r="Z7378" t="s">
        <v>77</v>
      </c>
      <c r="AA7378" t="str">
        <f>"10003-3314"</f>
        <v>10003-3314</v>
      </c>
      <c r="AB7378" t="s">
        <v>78</v>
      </c>
      <c r="AC7378" t="s">
        <v>79</v>
      </c>
      <c r="AD7378" t="s">
        <v>75</v>
      </c>
      <c r="AE7378" t="s">
        <v>80</v>
      </c>
      <c r="AG7378" t="s">
        <v>81</v>
      </c>
    </row>
    <row r="7379" spans="1:33" x14ac:dyDescent="0.25">
      <c r="A7379" t="str">
        <f>"1457598708"</f>
        <v>1457598708</v>
      </c>
      <c r="C7379" t="s">
        <v>13436</v>
      </c>
      <c r="G7379" t="s">
        <v>33091</v>
      </c>
      <c r="K7379" t="s">
        <v>99</v>
      </c>
      <c r="L7379" t="s">
        <v>102</v>
      </c>
      <c r="M7379" t="s">
        <v>75</v>
      </c>
      <c r="R7379" t="s">
        <v>33092</v>
      </c>
      <c r="S7379" t="s">
        <v>22773</v>
      </c>
      <c r="T7379" t="s">
        <v>97</v>
      </c>
      <c r="U7379" t="s">
        <v>77</v>
      </c>
      <c r="V7379" t="str">
        <f>"100165421"</f>
        <v>100165421</v>
      </c>
      <c r="AC7379" t="s">
        <v>79</v>
      </c>
      <c r="AD7379" t="s">
        <v>75</v>
      </c>
      <c r="AE7379" t="s">
        <v>103</v>
      </c>
      <c r="AG7379" t="s">
        <v>81</v>
      </c>
    </row>
    <row r="7380" spans="1:33" x14ac:dyDescent="0.25">
      <c r="A7380" t="str">
        <f>"1457601403"</f>
        <v>1457601403</v>
      </c>
      <c r="B7380" t="str">
        <f>"04001901"</f>
        <v>04001901</v>
      </c>
      <c r="C7380" t="s">
        <v>13436</v>
      </c>
      <c r="D7380" t="s">
        <v>33093</v>
      </c>
      <c r="E7380" t="s">
        <v>33094</v>
      </c>
      <c r="G7380" t="s">
        <v>33095</v>
      </c>
      <c r="L7380" t="s">
        <v>102</v>
      </c>
      <c r="M7380" t="s">
        <v>75</v>
      </c>
      <c r="R7380" t="s">
        <v>33096</v>
      </c>
      <c r="W7380" t="s">
        <v>33094</v>
      </c>
      <c r="X7380" t="s">
        <v>33097</v>
      </c>
      <c r="Y7380" t="s">
        <v>160</v>
      </c>
      <c r="Z7380" t="s">
        <v>77</v>
      </c>
      <c r="AA7380" t="str">
        <f>"11030-3033"</f>
        <v>11030-3033</v>
      </c>
      <c r="AB7380" t="s">
        <v>78</v>
      </c>
      <c r="AC7380" t="s">
        <v>79</v>
      </c>
      <c r="AD7380" t="s">
        <v>75</v>
      </c>
      <c r="AE7380" t="s">
        <v>80</v>
      </c>
      <c r="AG7380" t="s">
        <v>81</v>
      </c>
    </row>
    <row r="7381" spans="1:33" x14ac:dyDescent="0.25">
      <c r="A7381" t="str">
        <f>"1205102092"</f>
        <v>1205102092</v>
      </c>
      <c r="B7381" t="str">
        <f>"04496782"</f>
        <v>04496782</v>
      </c>
      <c r="C7381" t="s">
        <v>13436</v>
      </c>
      <c r="D7381" t="s">
        <v>33098</v>
      </c>
      <c r="E7381" t="s">
        <v>33099</v>
      </c>
      <c r="L7381" t="s">
        <v>74</v>
      </c>
      <c r="M7381" t="s">
        <v>75</v>
      </c>
      <c r="R7381" t="s">
        <v>33100</v>
      </c>
      <c r="W7381" t="s">
        <v>33099</v>
      </c>
      <c r="AB7381" t="s">
        <v>78</v>
      </c>
      <c r="AC7381" t="s">
        <v>79</v>
      </c>
      <c r="AD7381" t="s">
        <v>75</v>
      </c>
      <c r="AE7381" t="s">
        <v>80</v>
      </c>
      <c r="AG7381" t="s">
        <v>81</v>
      </c>
    </row>
    <row r="7382" spans="1:33" x14ac:dyDescent="0.25">
      <c r="A7382" t="str">
        <f>"1205102753"</f>
        <v>1205102753</v>
      </c>
      <c r="C7382" t="s">
        <v>13436</v>
      </c>
      <c r="K7382" t="s">
        <v>99</v>
      </c>
      <c r="L7382" t="s">
        <v>74</v>
      </c>
      <c r="M7382" t="s">
        <v>75</v>
      </c>
      <c r="R7382" t="s">
        <v>33101</v>
      </c>
      <c r="S7382" t="s">
        <v>191</v>
      </c>
      <c r="T7382" t="s">
        <v>97</v>
      </c>
      <c r="U7382" t="s">
        <v>77</v>
      </c>
      <c r="V7382" t="str">
        <f>"100191147"</f>
        <v>100191147</v>
      </c>
      <c r="AC7382" t="s">
        <v>79</v>
      </c>
      <c r="AD7382" t="s">
        <v>75</v>
      </c>
      <c r="AE7382" t="s">
        <v>103</v>
      </c>
      <c r="AG7382" t="s">
        <v>81</v>
      </c>
    </row>
    <row r="7383" spans="1:33" x14ac:dyDescent="0.25">
      <c r="A7383" t="str">
        <f>"1083025027"</f>
        <v>1083025027</v>
      </c>
      <c r="B7383" t="str">
        <f>"03861709"</f>
        <v>03861709</v>
      </c>
      <c r="C7383" t="s">
        <v>13436</v>
      </c>
      <c r="D7383" t="s">
        <v>33102</v>
      </c>
      <c r="E7383" t="s">
        <v>33103</v>
      </c>
      <c r="G7383" t="s">
        <v>33104</v>
      </c>
      <c r="L7383" t="s">
        <v>102</v>
      </c>
      <c r="M7383" t="s">
        <v>75</v>
      </c>
      <c r="R7383" t="s">
        <v>33105</v>
      </c>
      <c r="W7383" t="s">
        <v>33103</v>
      </c>
      <c r="X7383" t="s">
        <v>329</v>
      </c>
      <c r="Y7383" t="s">
        <v>97</v>
      </c>
      <c r="Z7383" t="s">
        <v>77</v>
      </c>
      <c r="AA7383" t="str">
        <f>"10029-6504"</f>
        <v>10029-6504</v>
      </c>
      <c r="AB7383" t="s">
        <v>78</v>
      </c>
      <c r="AC7383" t="s">
        <v>79</v>
      </c>
      <c r="AD7383" t="s">
        <v>75</v>
      </c>
      <c r="AE7383" t="s">
        <v>80</v>
      </c>
      <c r="AG7383" t="s">
        <v>81</v>
      </c>
    </row>
    <row r="7384" spans="1:33" x14ac:dyDescent="0.25">
      <c r="A7384" t="str">
        <f>"1083031124"</f>
        <v>1083031124</v>
      </c>
      <c r="C7384" t="s">
        <v>13436</v>
      </c>
      <c r="K7384" t="s">
        <v>99</v>
      </c>
      <c r="L7384" t="s">
        <v>102</v>
      </c>
      <c r="M7384" t="s">
        <v>75</v>
      </c>
      <c r="R7384" t="s">
        <v>33106</v>
      </c>
      <c r="S7384" t="s">
        <v>12270</v>
      </c>
      <c r="T7384" t="s">
        <v>97</v>
      </c>
      <c r="U7384" t="s">
        <v>77</v>
      </c>
      <c r="V7384" t="str">
        <f>"100295204"</f>
        <v>100295204</v>
      </c>
      <c r="AC7384" t="s">
        <v>79</v>
      </c>
      <c r="AD7384" t="s">
        <v>75</v>
      </c>
      <c r="AE7384" t="s">
        <v>103</v>
      </c>
      <c r="AG7384" t="s">
        <v>81</v>
      </c>
    </row>
    <row r="7385" spans="1:33" x14ac:dyDescent="0.25">
      <c r="A7385" t="str">
        <f>"1083032221"</f>
        <v>1083032221</v>
      </c>
      <c r="C7385" t="s">
        <v>13436</v>
      </c>
      <c r="K7385" t="s">
        <v>99</v>
      </c>
      <c r="L7385" t="s">
        <v>102</v>
      </c>
      <c r="M7385" t="s">
        <v>75</v>
      </c>
      <c r="R7385" t="s">
        <v>33107</v>
      </c>
      <c r="S7385" t="s">
        <v>33108</v>
      </c>
      <c r="T7385" t="s">
        <v>97</v>
      </c>
      <c r="U7385" t="s">
        <v>77</v>
      </c>
      <c r="V7385" t="str">
        <f>"100191147"</f>
        <v>100191147</v>
      </c>
      <c r="AC7385" t="s">
        <v>79</v>
      </c>
      <c r="AD7385" t="s">
        <v>75</v>
      </c>
      <c r="AE7385" t="s">
        <v>103</v>
      </c>
      <c r="AG7385" t="s">
        <v>81</v>
      </c>
    </row>
    <row r="7386" spans="1:33" x14ac:dyDescent="0.25">
      <c r="A7386" t="str">
        <f>"1083032544"</f>
        <v>1083032544</v>
      </c>
      <c r="C7386" t="s">
        <v>13436</v>
      </c>
      <c r="K7386" t="s">
        <v>99</v>
      </c>
      <c r="L7386" t="s">
        <v>102</v>
      </c>
      <c r="M7386" t="s">
        <v>75</v>
      </c>
      <c r="R7386" t="s">
        <v>33109</v>
      </c>
      <c r="S7386" t="s">
        <v>33110</v>
      </c>
      <c r="T7386" t="s">
        <v>33111</v>
      </c>
      <c r="U7386" t="s">
        <v>285</v>
      </c>
      <c r="V7386" t="str">
        <f>"600771141"</f>
        <v>600771141</v>
      </c>
      <c r="AC7386" t="s">
        <v>79</v>
      </c>
      <c r="AD7386" t="s">
        <v>75</v>
      </c>
      <c r="AE7386" t="s">
        <v>103</v>
      </c>
      <c r="AG7386" t="s">
        <v>81</v>
      </c>
    </row>
    <row r="7387" spans="1:33" x14ac:dyDescent="0.25">
      <c r="A7387" t="str">
        <f>"1083033989"</f>
        <v>1083033989</v>
      </c>
      <c r="C7387" t="s">
        <v>13436</v>
      </c>
      <c r="K7387" t="s">
        <v>99</v>
      </c>
      <c r="L7387" t="s">
        <v>102</v>
      </c>
      <c r="M7387" t="s">
        <v>75</v>
      </c>
      <c r="R7387" t="s">
        <v>33112</v>
      </c>
      <c r="S7387" t="s">
        <v>23343</v>
      </c>
      <c r="T7387" t="s">
        <v>97</v>
      </c>
      <c r="U7387" t="s">
        <v>77</v>
      </c>
      <c r="V7387" t="str">
        <f>"10016"</f>
        <v>10016</v>
      </c>
      <c r="AC7387" t="s">
        <v>79</v>
      </c>
      <c r="AD7387" t="s">
        <v>75</v>
      </c>
      <c r="AE7387" t="s">
        <v>103</v>
      </c>
      <c r="AG7387" t="s">
        <v>81</v>
      </c>
    </row>
    <row r="7388" spans="1:33" x14ac:dyDescent="0.25">
      <c r="A7388" t="str">
        <f>"1083037915"</f>
        <v>1083037915</v>
      </c>
      <c r="C7388" t="s">
        <v>13436</v>
      </c>
      <c r="G7388" t="s">
        <v>33113</v>
      </c>
      <c r="K7388" t="s">
        <v>99</v>
      </c>
      <c r="L7388" t="s">
        <v>102</v>
      </c>
      <c r="M7388" t="s">
        <v>75</v>
      </c>
      <c r="R7388" t="s">
        <v>33114</v>
      </c>
      <c r="S7388" t="s">
        <v>33115</v>
      </c>
      <c r="T7388" t="s">
        <v>6444</v>
      </c>
      <c r="U7388" t="s">
        <v>156</v>
      </c>
      <c r="V7388" t="str">
        <f>"070944456"</f>
        <v>070944456</v>
      </c>
      <c r="AC7388" t="s">
        <v>79</v>
      </c>
      <c r="AD7388" t="s">
        <v>75</v>
      </c>
      <c r="AE7388" t="s">
        <v>103</v>
      </c>
      <c r="AG7388" t="s">
        <v>81</v>
      </c>
    </row>
    <row r="7389" spans="1:33" x14ac:dyDescent="0.25">
      <c r="A7389" t="str">
        <f>"1477796506"</f>
        <v>1477796506</v>
      </c>
      <c r="B7389" t="str">
        <f>"03153564"</f>
        <v>03153564</v>
      </c>
      <c r="C7389" t="s">
        <v>13436</v>
      </c>
      <c r="D7389" t="s">
        <v>33116</v>
      </c>
      <c r="E7389" t="s">
        <v>33117</v>
      </c>
      <c r="G7389" t="s">
        <v>33118</v>
      </c>
      <c r="L7389" t="s">
        <v>83</v>
      </c>
      <c r="M7389" t="s">
        <v>85</v>
      </c>
      <c r="R7389" t="s">
        <v>33119</v>
      </c>
      <c r="W7389" t="s">
        <v>33120</v>
      </c>
      <c r="X7389" t="s">
        <v>11597</v>
      </c>
      <c r="Y7389" t="s">
        <v>2128</v>
      </c>
      <c r="Z7389" t="s">
        <v>77</v>
      </c>
      <c r="AA7389" t="str">
        <f>"11743-2743"</f>
        <v>11743-2743</v>
      </c>
      <c r="AB7389" t="s">
        <v>78</v>
      </c>
      <c r="AC7389" t="s">
        <v>79</v>
      </c>
      <c r="AD7389" t="s">
        <v>75</v>
      </c>
      <c r="AE7389" t="s">
        <v>80</v>
      </c>
      <c r="AG7389" t="s">
        <v>81</v>
      </c>
    </row>
    <row r="7390" spans="1:33" x14ac:dyDescent="0.25">
      <c r="A7390" t="str">
        <f>"1477814739"</f>
        <v>1477814739</v>
      </c>
      <c r="B7390" t="str">
        <f>"03821607"</f>
        <v>03821607</v>
      </c>
      <c r="C7390" t="s">
        <v>13436</v>
      </c>
      <c r="D7390" t="s">
        <v>33121</v>
      </c>
      <c r="E7390" t="s">
        <v>33122</v>
      </c>
      <c r="L7390" t="s">
        <v>74</v>
      </c>
      <c r="M7390" t="s">
        <v>75</v>
      </c>
      <c r="R7390" t="s">
        <v>33123</v>
      </c>
      <c r="W7390" t="s">
        <v>33122</v>
      </c>
      <c r="X7390" t="s">
        <v>306</v>
      </c>
      <c r="Y7390" t="s">
        <v>97</v>
      </c>
      <c r="Z7390" t="s">
        <v>77</v>
      </c>
      <c r="AA7390" t="str">
        <f>"10003-4201"</f>
        <v>10003-4201</v>
      </c>
      <c r="AB7390" t="s">
        <v>78</v>
      </c>
      <c r="AC7390" t="s">
        <v>79</v>
      </c>
      <c r="AD7390" t="s">
        <v>75</v>
      </c>
      <c r="AE7390" t="s">
        <v>80</v>
      </c>
      <c r="AG7390" t="s">
        <v>81</v>
      </c>
    </row>
    <row r="7391" spans="1:33" x14ac:dyDescent="0.25">
      <c r="A7391" t="str">
        <f>"1164797551"</f>
        <v>1164797551</v>
      </c>
      <c r="C7391" t="s">
        <v>13436</v>
      </c>
      <c r="K7391" t="s">
        <v>99</v>
      </c>
      <c r="L7391" t="s">
        <v>102</v>
      </c>
      <c r="M7391" t="s">
        <v>75</v>
      </c>
      <c r="R7391" t="s">
        <v>33124</v>
      </c>
      <c r="S7391" t="s">
        <v>33125</v>
      </c>
      <c r="T7391" t="s">
        <v>97</v>
      </c>
      <c r="U7391" t="s">
        <v>77</v>
      </c>
      <c r="V7391" t="str">
        <f>"100091834"</f>
        <v>100091834</v>
      </c>
      <c r="AC7391" t="s">
        <v>79</v>
      </c>
      <c r="AD7391" t="s">
        <v>75</v>
      </c>
      <c r="AE7391" t="s">
        <v>103</v>
      </c>
      <c r="AG7391" t="s">
        <v>81</v>
      </c>
    </row>
    <row r="7392" spans="1:33" x14ac:dyDescent="0.25">
      <c r="A7392" t="str">
        <f>"1164798146"</f>
        <v>1164798146</v>
      </c>
      <c r="C7392" t="s">
        <v>13436</v>
      </c>
      <c r="K7392" t="s">
        <v>99</v>
      </c>
      <c r="L7392" t="s">
        <v>102</v>
      </c>
      <c r="M7392" t="s">
        <v>75</v>
      </c>
      <c r="R7392" t="s">
        <v>33126</v>
      </c>
      <c r="S7392" t="s">
        <v>329</v>
      </c>
      <c r="T7392" t="s">
        <v>97</v>
      </c>
      <c r="U7392" t="s">
        <v>77</v>
      </c>
      <c r="V7392" t="str">
        <f>"100296500"</f>
        <v>100296500</v>
      </c>
      <c r="AC7392" t="s">
        <v>79</v>
      </c>
      <c r="AD7392" t="s">
        <v>75</v>
      </c>
      <c r="AE7392" t="s">
        <v>103</v>
      </c>
      <c r="AG7392" t="s">
        <v>81</v>
      </c>
    </row>
    <row r="7393" spans="1:33" x14ac:dyDescent="0.25">
      <c r="A7393" t="str">
        <f>"1164830352"</f>
        <v>1164830352</v>
      </c>
      <c r="C7393" t="s">
        <v>13436</v>
      </c>
      <c r="G7393" t="s">
        <v>33127</v>
      </c>
      <c r="K7393" t="s">
        <v>99</v>
      </c>
      <c r="L7393" t="s">
        <v>102</v>
      </c>
      <c r="M7393" t="s">
        <v>75</v>
      </c>
      <c r="R7393" t="s">
        <v>33128</v>
      </c>
      <c r="S7393" t="s">
        <v>33129</v>
      </c>
      <c r="T7393" t="s">
        <v>33130</v>
      </c>
      <c r="U7393" t="s">
        <v>156</v>
      </c>
      <c r="V7393" t="str">
        <f>"077536337"</f>
        <v>077536337</v>
      </c>
      <c r="AC7393" t="s">
        <v>79</v>
      </c>
      <c r="AD7393" t="s">
        <v>75</v>
      </c>
      <c r="AE7393" t="s">
        <v>103</v>
      </c>
      <c r="AG7393" t="s">
        <v>81</v>
      </c>
    </row>
    <row r="7394" spans="1:33" x14ac:dyDescent="0.25">
      <c r="A7394" t="str">
        <f>"1043274939"</f>
        <v>1043274939</v>
      </c>
      <c r="B7394" t="str">
        <f>"01166412"</f>
        <v>01166412</v>
      </c>
      <c r="C7394" t="s">
        <v>13436</v>
      </c>
      <c r="D7394" t="s">
        <v>33131</v>
      </c>
      <c r="E7394" t="s">
        <v>33132</v>
      </c>
      <c r="G7394" t="s">
        <v>33133</v>
      </c>
      <c r="L7394" t="s">
        <v>83</v>
      </c>
      <c r="M7394" t="s">
        <v>85</v>
      </c>
      <c r="R7394" t="s">
        <v>33134</v>
      </c>
      <c r="W7394" t="s">
        <v>33132</v>
      </c>
      <c r="X7394" t="s">
        <v>33135</v>
      </c>
      <c r="Y7394" t="s">
        <v>97</v>
      </c>
      <c r="Z7394" t="s">
        <v>77</v>
      </c>
      <c r="AA7394" t="str">
        <f>"10029"</f>
        <v>10029</v>
      </c>
      <c r="AB7394" t="s">
        <v>78</v>
      </c>
      <c r="AC7394" t="s">
        <v>79</v>
      </c>
      <c r="AD7394" t="s">
        <v>75</v>
      </c>
      <c r="AE7394" t="s">
        <v>80</v>
      </c>
      <c r="AG7394" t="s">
        <v>81</v>
      </c>
    </row>
    <row r="7395" spans="1:33" x14ac:dyDescent="0.25">
      <c r="A7395" t="str">
        <f>"1043275092"</f>
        <v>1043275092</v>
      </c>
      <c r="B7395" t="str">
        <f>"02671492"</f>
        <v>02671492</v>
      </c>
      <c r="C7395" t="s">
        <v>13436</v>
      </c>
      <c r="D7395" t="s">
        <v>33136</v>
      </c>
      <c r="E7395" t="s">
        <v>33137</v>
      </c>
      <c r="L7395" t="s">
        <v>83</v>
      </c>
      <c r="M7395" t="s">
        <v>85</v>
      </c>
      <c r="R7395" t="s">
        <v>33138</v>
      </c>
      <c r="W7395" t="s">
        <v>33137</v>
      </c>
      <c r="X7395" t="s">
        <v>33139</v>
      </c>
      <c r="Y7395" t="s">
        <v>87</v>
      </c>
      <c r="Z7395" t="s">
        <v>77</v>
      </c>
      <c r="AA7395" t="str">
        <f>"11235-6612"</f>
        <v>11235-6612</v>
      </c>
      <c r="AB7395" t="s">
        <v>78</v>
      </c>
      <c r="AC7395" t="s">
        <v>79</v>
      </c>
      <c r="AD7395" t="s">
        <v>75</v>
      </c>
      <c r="AE7395" t="s">
        <v>80</v>
      </c>
      <c r="AG7395" t="s">
        <v>81</v>
      </c>
    </row>
    <row r="7396" spans="1:33" x14ac:dyDescent="0.25">
      <c r="A7396" t="str">
        <f>"1043280787"</f>
        <v>1043280787</v>
      </c>
      <c r="B7396" t="str">
        <f>"03712549"</f>
        <v>03712549</v>
      </c>
      <c r="C7396" t="s">
        <v>13436</v>
      </c>
      <c r="D7396" t="s">
        <v>33140</v>
      </c>
      <c r="E7396" t="s">
        <v>33141</v>
      </c>
      <c r="G7396" t="s">
        <v>33142</v>
      </c>
      <c r="L7396" t="s">
        <v>83</v>
      </c>
      <c r="M7396" t="s">
        <v>85</v>
      </c>
      <c r="R7396" t="s">
        <v>33143</v>
      </c>
      <c r="W7396" t="s">
        <v>33141</v>
      </c>
      <c r="X7396" t="s">
        <v>329</v>
      </c>
      <c r="Y7396" t="s">
        <v>97</v>
      </c>
      <c r="Z7396" t="s">
        <v>77</v>
      </c>
      <c r="AA7396" t="str">
        <f>"10029-6504"</f>
        <v>10029-6504</v>
      </c>
      <c r="AB7396" t="s">
        <v>78</v>
      </c>
      <c r="AC7396" t="s">
        <v>79</v>
      </c>
      <c r="AD7396" t="s">
        <v>75</v>
      </c>
      <c r="AE7396" t="s">
        <v>80</v>
      </c>
      <c r="AG7396" t="s">
        <v>81</v>
      </c>
    </row>
    <row r="7397" spans="1:33" x14ac:dyDescent="0.25">
      <c r="A7397" t="str">
        <f>"1811070311"</f>
        <v>1811070311</v>
      </c>
      <c r="B7397" t="str">
        <f>"00429992"</f>
        <v>00429992</v>
      </c>
      <c r="C7397" t="s">
        <v>13436</v>
      </c>
      <c r="D7397" t="s">
        <v>33144</v>
      </c>
      <c r="E7397" t="s">
        <v>33145</v>
      </c>
      <c r="G7397" t="s">
        <v>33146</v>
      </c>
      <c r="L7397" t="s">
        <v>83</v>
      </c>
      <c r="M7397" t="s">
        <v>85</v>
      </c>
      <c r="R7397" t="s">
        <v>33147</v>
      </c>
      <c r="W7397" t="s">
        <v>33145</v>
      </c>
      <c r="X7397" t="s">
        <v>537</v>
      </c>
      <c r="Y7397" t="s">
        <v>97</v>
      </c>
      <c r="Z7397" t="s">
        <v>77</v>
      </c>
      <c r="AA7397" t="str">
        <f>"10011-8305"</f>
        <v>10011-8305</v>
      </c>
      <c r="AB7397" t="s">
        <v>78</v>
      </c>
      <c r="AC7397" t="s">
        <v>79</v>
      </c>
      <c r="AD7397" t="s">
        <v>75</v>
      </c>
      <c r="AE7397" t="s">
        <v>80</v>
      </c>
      <c r="AG7397" t="s">
        <v>81</v>
      </c>
    </row>
    <row r="7398" spans="1:33" x14ac:dyDescent="0.25">
      <c r="A7398" t="str">
        <f>"1811084841"</f>
        <v>1811084841</v>
      </c>
      <c r="B7398" t="str">
        <f>"00134010"</f>
        <v>00134010</v>
      </c>
      <c r="C7398" t="s">
        <v>13436</v>
      </c>
      <c r="D7398" t="s">
        <v>33148</v>
      </c>
      <c r="E7398" t="s">
        <v>33149</v>
      </c>
      <c r="G7398" t="s">
        <v>33150</v>
      </c>
      <c r="L7398" t="s">
        <v>83</v>
      </c>
      <c r="M7398" t="s">
        <v>85</v>
      </c>
      <c r="W7398" t="s">
        <v>33149</v>
      </c>
      <c r="X7398" t="s">
        <v>33151</v>
      </c>
      <c r="Y7398" t="s">
        <v>97</v>
      </c>
      <c r="Z7398" t="s">
        <v>77</v>
      </c>
      <c r="AA7398" t="str">
        <f>"10128-1244"</f>
        <v>10128-1244</v>
      </c>
      <c r="AB7398" t="s">
        <v>78</v>
      </c>
      <c r="AC7398" t="s">
        <v>79</v>
      </c>
      <c r="AD7398" t="s">
        <v>75</v>
      </c>
      <c r="AE7398" t="s">
        <v>80</v>
      </c>
      <c r="AG7398" t="s">
        <v>81</v>
      </c>
    </row>
    <row r="7399" spans="1:33" x14ac:dyDescent="0.25">
      <c r="A7399" t="str">
        <f>"1811088479"</f>
        <v>1811088479</v>
      </c>
      <c r="B7399" t="str">
        <f>"01888953"</f>
        <v>01888953</v>
      </c>
      <c r="C7399" t="s">
        <v>13436</v>
      </c>
      <c r="D7399" t="s">
        <v>33152</v>
      </c>
      <c r="E7399" t="s">
        <v>33153</v>
      </c>
      <c r="G7399" t="s">
        <v>33154</v>
      </c>
      <c r="L7399" t="s">
        <v>83</v>
      </c>
      <c r="M7399" t="s">
        <v>85</v>
      </c>
      <c r="R7399" t="s">
        <v>33155</v>
      </c>
      <c r="W7399" t="s">
        <v>33156</v>
      </c>
      <c r="X7399" t="s">
        <v>181</v>
      </c>
      <c r="Y7399" t="s">
        <v>97</v>
      </c>
      <c r="Z7399" t="s">
        <v>77</v>
      </c>
      <c r="AA7399" t="str">
        <f>"10025-1716"</f>
        <v>10025-1716</v>
      </c>
      <c r="AB7399" t="s">
        <v>78</v>
      </c>
      <c r="AC7399" t="s">
        <v>79</v>
      </c>
      <c r="AD7399" t="s">
        <v>75</v>
      </c>
      <c r="AE7399" t="s">
        <v>80</v>
      </c>
      <c r="AG7399" t="s">
        <v>81</v>
      </c>
    </row>
    <row r="7400" spans="1:33" x14ac:dyDescent="0.25">
      <c r="A7400" t="str">
        <f>"1811095375"</f>
        <v>1811095375</v>
      </c>
      <c r="B7400" t="str">
        <f>"02203583"</f>
        <v>02203583</v>
      </c>
      <c r="C7400" t="s">
        <v>13436</v>
      </c>
      <c r="D7400" t="s">
        <v>33157</v>
      </c>
      <c r="E7400" t="s">
        <v>33158</v>
      </c>
      <c r="G7400" t="s">
        <v>33159</v>
      </c>
      <c r="L7400" t="s">
        <v>84</v>
      </c>
      <c r="M7400" t="s">
        <v>85</v>
      </c>
      <c r="R7400" t="s">
        <v>33160</v>
      </c>
      <c r="W7400" t="s">
        <v>33158</v>
      </c>
      <c r="X7400" t="s">
        <v>5440</v>
      </c>
      <c r="Y7400" t="s">
        <v>97</v>
      </c>
      <c r="Z7400" t="s">
        <v>77</v>
      </c>
      <c r="AA7400" t="str">
        <f>"10032-3720"</f>
        <v>10032-3720</v>
      </c>
      <c r="AB7400" t="s">
        <v>78</v>
      </c>
      <c r="AC7400" t="s">
        <v>79</v>
      </c>
      <c r="AD7400" t="s">
        <v>75</v>
      </c>
      <c r="AE7400" t="s">
        <v>80</v>
      </c>
      <c r="AG7400" t="s">
        <v>81</v>
      </c>
    </row>
    <row r="7401" spans="1:33" x14ac:dyDescent="0.25">
      <c r="A7401" t="str">
        <f>"1811976921"</f>
        <v>1811976921</v>
      </c>
      <c r="B7401" t="str">
        <f>"00242879"</f>
        <v>00242879</v>
      </c>
      <c r="C7401" t="s">
        <v>13436</v>
      </c>
      <c r="D7401" t="s">
        <v>33161</v>
      </c>
      <c r="E7401" t="s">
        <v>33162</v>
      </c>
      <c r="G7401" t="s">
        <v>33163</v>
      </c>
      <c r="L7401" t="s">
        <v>74</v>
      </c>
      <c r="M7401" t="s">
        <v>85</v>
      </c>
      <c r="R7401" t="s">
        <v>33164</v>
      </c>
      <c r="W7401" t="s">
        <v>33165</v>
      </c>
      <c r="X7401" t="s">
        <v>2694</v>
      </c>
      <c r="Y7401" t="s">
        <v>97</v>
      </c>
      <c r="Z7401" t="s">
        <v>77</v>
      </c>
      <c r="AA7401" t="str">
        <f>"10016-6402"</f>
        <v>10016-6402</v>
      </c>
      <c r="AB7401" t="s">
        <v>78</v>
      </c>
      <c r="AC7401" t="s">
        <v>79</v>
      </c>
      <c r="AD7401" t="s">
        <v>75</v>
      </c>
      <c r="AE7401" t="s">
        <v>80</v>
      </c>
      <c r="AG7401" t="s">
        <v>81</v>
      </c>
    </row>
    <row r="7402" spans="1:33" x14ac:dyDescent="0.25">
      <c r="A7402" t="str">
        <f>"1811998388"</f>
        <v>1811998388</v>
      </c>
      <c r="B7402" t="str">
        <f>"00480713"</f>
        <v>00480713</v>
      </c>
      <c r="C7402" t="s">
        <v>13436</v>
      </c>
      <c r="D7402" t="s">
        <v>33166</v>
      </c>
      <c r="E7402" t="s">
        <v>33167</v>
      </c>
      <c r="G7402" t="s">
        <v>33168</v>
      </c>
      <c r="L7402" t="s">
        <v>74</v>
      </c>
      <c r="M7402" t="s">
        <v>85</v>
      </c>
      <c r="R7402" t="s">
        <v>33169</v>
      </c>
      <c r="W7402" t="s">
        <v>33167</v>
      </c>
      <c r="X7402" t="s">
        <v>33170</v>
      </c>
      <c r="Y7402" t="s">
        <v>97</v>
      </c>
      <c r="Z7402" t="s">
        <v>77</v>
      </c>
      <c r="AA7402" t="str">
        <f>"10016"</f>
        <v>10016</v>
      </c>
      <c r="AB7402" t="s">
        <v>78</v>
      </c>
      <c r="AC7402" t="s">
        <v>79</v>
      </c>
      <c r="AD7402" t="s">
        <v>75</v>
      </c>
      <c r="AE7402" t="s">
        <v>80</v>
      </c>
      <c r="AG7402" t="s">
        <v>81</v>
      </c>
    </row>
    <row r="7403" spans="1:33" x14ac:dyDescent="0.25">
      <c r="A7403" t="str">
        <f>"1073940847"</f>
        <v>1073940847</v>
      </c>
      <c r="B7403" t="str">
        <f>"03999680"</f>
        <v>03999680</v>
      </c>
      <c r="C7403" t="s">
        <v>13436</v>
      </c>
      <c r="D7403" t="s">
        <v>33171</v>
      </c>
      <c r="E7403" t="s">
        <v>33172</v>
      </c>
      <c r="L7403" t="s">
        <v>102</v>
      </c>
      <c r="M7403" t="s">
        <v>75</v>
      </c>
      <c r="R7403" t="s">
        <v>33172</v>
      </c>
      <c r="W7403" t="s">
        <v>33172</v>
      </c>
      <c r="X7403" t="s">
        <v>176</v>
      </c>
      <c r="Y7403" t="s">
        <v>171</v>
      </c>
      <c r="Z7403" t="s">
        <v>77</v>
      </c>
      <c r="AA7403" t="str">
        <f>"11432-1121"</f>
        <v>11432-1121</v>
      </c>
      <c r="AB7403" t="s">
        <v>78</v>
      </c>
      <c r="AC7403" t="s">
        <v>79</v>
      </c>
      <c r="AD7403" t="s">
        <v>75</v>
      </c>
      <c r="AE7403" t="s">
        <v>80</v>
      </c>
      <c r="AG7403" t="s">
        <v>81</v>
      </c>
    </row>
    <row r="7404" spans="1:33" x14ac:dyDescent="0.25">
      <c r="A7404" t="str">
        <f>"1073951695"</f>
        <v>1073951695</v>
      </c>
      <c r="C7404" t="s">
        <v>13436</v>
      </c>
      <c r="K7404" t="s">
        <v>99</v>
      </c>
      <c r="L7404" t="s">
        <v>102</v>
      </c>
      <c r="M7404" t="s">
        <v>75</v>
      </c>
      <c r="R7404" t="s">
        <v>33173</v>
      </c>
      <c r="S7404" t="s">
        <v>33174</v>
      </c>
      <c r="T7404" t="s">
        <v>2660</v>
      </c>
      <c r="U7404" t="s">
        <v>2661</v>
      </c>
      <c r="V7404" t="str">
        <f>"212011544"</f>
        <v>212011544</v>
      </c>
      <c r="AC7404" t="s">
        <v>79</v>
      </c>
      <c r="AD7404" t="s">
        <v>75</v>
      </c>
      <c r="AE7404" t="s">
        <v>103</v>
      </c>
      <c r="AG7404" t="s">
        <v>81</v>
      </c>
    </row>
    <row r="7405" spans="1:33" x14ac:dyDescent="0.25">
      <c r="C7405" t="s">
        <v>13436</v>
      </c>
      <c r="G7405" t="s">
        <v>33175</v>
      </c>
      <c r="K7405" t="s">
        <v>99</v>
      </c>
      <c r="L7405" t="s">
        <v>100</v>
      </c>
      <c r="M7405" t="s">
        <v>75</v>
      </c>
      <c r="AC7405" t="s">
        <v>79</v>
      </c>
      <c r="AD7405" t="s">
        <v>75</v>
      </c>
      <c r="AE7405" t="s">
        <v>101</v>
      </c>
      <c r="AG7405" t="s">
        <v>81</v>
      </c>
    </row>
    <row r="7406" spans="1:33" x14ac:dyDescent="0.25">
      <c r="A7406" t="str">
        <f>"1467891622"</f>
        <v>1467891622</v>
      </c>
      <c r="C7406" t="s">
        <v>13436</v>
      </c>
      <c r="K7406" t="s">
        <v>99</v>
      </c>
      <c r="L7406" t="s">
        <v>102</v>
      </c>
      <c r="M7406" t="s">
        <v>75</v>
      </c>
      <c r="R7406" t="s">
        <v>33176</v>
      </c>
      <c r="S7406" t="s">
        <v>28006</v>
      </c>
      <c r="T7406" t="s">
        <v>5537</v>
      </c>
      <c r="U7406" t="s">
        <v>156</v>
      </c>
      <c r="V7406" t="str">
        <f>"079606136"</f>
        <v>079606136</v>
      </c>
      <c r="AC7406" t="s">
        <v>79</v>
      </c>
      <c r="AD7406" t="s">
        <v>75</v>
      </c>
      <c r="AE7406" t="s">
        <v>103</v>
      </c>
      <c r="AG7406" t="s">
        <v>81</v>
      </c>
    </row>
    <row r="7407" spans="1:33" x14ac:dyDescent="0.25">
      <c r="A7407" t="str">
        <f>"1467892414"</f>
        <v>1467892414</v>
      </c>
      <c r="C7407" t="s">
        <v>13436</v>
      </c>
      <c r="K7407" t="s">
        <v>99</v>
      </c>
      <c r="L7407" t="s">
        <v>102</v>
      </c>
      <c r="M7407" t="s">
        <v>75</v>
      </c>
      <c r="R7407" t="s">
        <v>33177</v>
      </c>
      <c r="S7407" t="s">
        <v>191</v>
      </c>
      <c r="T7407" t="s">
        <v>97</v>
      </c>
      <c r="U7407" t="s">
        <v>77</v>
      </c>
      <c r="V7407" t="str">
        <f>"100191147"</f>
        <v>100191147</v>
      </c>
      <c r="AC7407" t="s">
        <v>79</v>
      </c>
      <c r="AD7407" t="s">
        <v>75</v>
      </c>
      <c r="AE7407" t="s">
        <v>103</v>
      </c>
      <c r="AG7407" t="s">
        <v>81</v>
      </c>
    </row>
    <row r="7408" spans="1:33" x14ac:dyDescent="0.25">
      <c r="A7408" t="str">
        <f>"1477506657"</f>
        <v>1477506657</v>
      </c>
      <c r="B7408" t="str">
        <f>"01349691"</f>
        <v>01349691</v>
      </c>
      <c r="C7408" t="s">
        <v>13436</v>
      </c>
      <c r="D7408" t="s">
        <v>33178</v>
      </c>
      <c r="E7408" t="s">
        <v>33179</v>
      </c>
      <c r="G7408" t="s">
        <v>33180</v>
      </c>
      <c r="L7408" t="s">
        <v>83</v>
      </c>
      <c r="M7408" t="s">
        <v>85</v>
      </c>
      <c r="R7408" t="s">
        <v>2229</v>
      </c>
      <c r="W7408" t="s">
        <v>33181</v>
      </c>
      <c r="Y7408" t="s">
        <v>2262</v>
      </c>
      <c r="Z7408" t="s">
        <v>123</v>
      </c>
      <c r="AA7408" t="str">
        <f>"02115-6106"</f>
        <v>02115-6106</v>
      </c>
      <c r="AB7408" t="s">
        <v>78</v>
      </c>
      <c r="AC7408" t="s">
        <v>79</v>
      </c>
      <c r="AD7408" t="s">
        <v>75</v>
      </c>
      <c r="AE7408" t="s">
        <v>80</v>
      </c>
      <c r="AG7408" t="s">
        <v>81</v>
      </c>
    </row>
    <row r="7409" spans="1:33" x14ac:dyDescent="0.25">
      <c r="A7409" t="str">
        <f>"1477510196"</f>
        <v>1477510196</v>
      </c>
      <c r="B7409" t="str">
        <f>"02408886"</f>
        <v>02408886</v>
      </c>
      <c r="C7409" t="s">
        <v>13436</v>
      </c>
      <c r="D7409" t="s">
        <v>33182</v>
      </c>
      <c r="E7409" t="s">
        <v>33183</v>
      </c>
      <c r="G7409" t="s">
        <v>33184</v>
      </c>
      <c r="L7409" t="s">
        <v>83</v>
      </c>
      <c r="M7409" t="s">
        <v>85</v>
      </c>
      <c r="R7409" t="s">
        <v>33185</v>
      </c>
      <c r="W7409" t="s">
        <v>33183</v>
      </c>
      <c r="X7409" t="s">
        <v>392</v>
      </c>
      <c r="Y7409" t="s">
        <v>97</v>
      </c>
      <c r="Z7409" t="s">
        <v>77</v>
      </c>
      <c r="AA7409" t="str">
        <f>"10029-6501"</f>
        <v>10029-6501</v>
      </c>
      <c r="AB7409" t="s">
        <v>78</v>
      </c>
      <c r="AC7409" t="s">
        <v>79</v>
      </c>
      <c r="AD7409" t="s">
        <v>75</v>
      </c>
      <c r="AE7409" t="s">
        <v>80</v>
      </c>
      <c r="AG7409" t="s">
        <v>81</v>
      </c>
    </row>
    <row r="7410" spans="1:33" x14ac:dyDescent="0.25">
      <c r="A7410" t="str">
        <f>"1477520294"</f>
        <v>1477520294</v>
      </c>
      <c r="B7410" t="str">
        <f>"01495596"</f>
        <v>01495596</v>
      </c>
      <c r="C7410" t="s">
        <v>13436</v>
      </c>
      <c r="D7410" t="s">
        <v>33186</v>
      </c>
      <c r="E7410" t="s">
        <v>33187</v>
      </c>
      <c r="G7410" t="s">
        <v>33188</v>
      </c>
      <c r="L7410" t="s">
        <v>83</v>
      </c>
      <c r="M7410" t="s">
        <v>85</v>
      </c>
      <c r="R7410" t="s">
        <v>33189</v>
      </c>
      <c r="W7410" t="s">
        <v>33187</v>
      </c>
      <c r="X7410" t="s">
        <v>33190</v>
      </c>
      <c r="Y7410" t="s">
        <v>97</v>
      </c>
      <c r="Z7410" t="s">
        <v>77</v>
      </c>
      <c r="AA7410" t="str">
        <f>"10029-6501"</f>
        <v>10029-6501</v>
      </c>
      <c r="AB7410" t="s">
        <v>78</v>
      </c>
      <c r="AC7410" t="s">
        <v>79</v>
      </c>
      <c r="AD7410" t="s">
        <v>75</v>
      </c>
      <c r="AE7410" t="s">
        <v>80</v>
      </c>
      <c r="AG7410" t="s">
        <v>81</v>
      </c>
    </row>
    <row r="7411" spans="1:33" x14ac:dyDescent="0.25">
      <c r="A7411" t="str">
        <f>"1477522621"</f>
        <v>1477522621</v>
      </c>
      <c r="B7411" t="str">
        <f>"02137497"</f>
        <v>02137497</v>
      </c>
      <c r="C7411" t="s">
        <v>13436</v>
      </c>
      <c r="D7411" t="s">
        <v>33191</v>
      </c>
      <c r="E7411" t="s">
        <v>33192</v>
      </c>
      <c r="G7411" t="s">
        <v>33193</v>
      </c>
      <c r="L7411" t="s">
        <v>94</v>
      </c>
      <c r="M7411" t="s">
        <v>85</v>
      </c>
      <c r="R7411" t="s">
        <v>33194</v>
      </c>
      <c r="W7411" t="s">
        <v>33192</v>
      </c>
      <c r="X7411" t="s">
        <v>272</v>
      </c>
      <c r="Y7411" t="s">
        <v>97</v>
      </c>
      <c r="Z7411" t="s">
        <v>77</v>
      </c>
      <c r="AA7411" t="str">
        <f>"10029-6501"</f>
        <v>10029-6501</v>
      </c>
      <c r="AB7411" t="s">
        <v>78</v>
      </c>
      <c r="AC7411" t="s">
        <v>79</v>
      </c>
      <c r="AD7411" t="s">
        <v>75</v>
      </c>
      <c r="AE7411" t="s">
        <v>80</v>
      </c>
      <c r="AG7411" t="s">
        <v>81</v>
      </c>
    </row>
    <row r="7412" spans="1:33" x14ac:dyDescent="0.25">
      <c r="A7412" t="str">
        <f>"1477532331"</f>
        <v>1477532331</v>
      </c>
      <c r="C7412" t="s">
        <v>13436</v>
      </c>
      <c r="G7412" t="s">
        <v>33195</v>
      </c>
      <c r="K7412" t="s">
        <v>99</v>
      </c>
      <c r="L7412" t="s">
        <v>74</v>
      </c>
      <c r="M7412" t="s">
        <v>75</v>
      </c>
      <c r="R7412" t="s">
        <v>33196</v>
      </c>
      <c r="S7412" t="s">
        <v>5324</v>
      </c>
      <c r="T7412" t="s">
        <v>97</v>
      </c>
      <c r="U7412" t="s">
        <v>77</v>
      </c>
      <c r="V7412" t="str">
        <f>"100296500"</f>
        <v>100296500</v>
      </c>
      <c r="AC7412" t="s">
        <v>79</v>
      </c>
      <c r="AD7412" t="s">
        <v>75</v>
      </c>
      <c r="AE7412" t="s">
        <v>103</v>
      </c>
      <c r="AG7412" t="s">
        <v>81</v>
      </c>
    </row>
    <row r="7413" spans="1:33" x14ac:dyDescent="0.25">
      <c r="A7413" t="str">
        <f>"1891868501"</f>
        <v>1891868501</v>
      </c>
      <c r="B7413" t="str">
        <f>"02291418"</f>
        <v>02291418</v>
      </c>
      <c r="C7413" t="s">
        <v>13436</v>
      </c>
      <c r="D7413" t="s">
        <v>33197</v>
      </c>
      <c r="E7413" t="s">
        <v>33198</v>
      </c>
      <c r="G7413" t="s">
        <v>33199</v>
      </c>
      <c r="L7413" t="s">
        <v>83</v>
      </c>
      <c r="M7413" t="s">
        <v>85</v>
      </c>
      <c r="R7413" t="s">
        <v>33200</v>
      </c>
      <c r="W7413" t="s">
        <v>33198</v>
      </c>
      <c r="X7413" t="s">
        <v>191</v>
      </c>
      <c r="Y7413" t="s">
        <v>97</v>
      </c>
      <c r="Z7413" t="s">
        <v>77</v>
      </c>
      <c r="AA7413" t="str">
        <f>"10019-1192"</f>
        <v>10019-1192</v>
      </c>
      <c r="AB7413" t="s">
        <v>78</v>
      </c>
      <c r="AC7413" t="s">
        <v>79</v>
      </c>
      <c r="AD7413" t="s">
        <v>75</v>
      </c>
      <c r="AE7413" t="s">
        <v>80</v>
      </c>
      <c r="AG7413" t="s">
        <v>81</v>
      </c>
    </row>
    <row r="7414" spans="1:33" x14ac:dyDescent="0.25">
      <c r="A7414" t="str">
        <f>"1083923205"</f>
        <v>1083923205</v>
      </c>
      <c r="C7414" t="s">
        <v>13436</v>
      </c>
      <c r="K7414" t="s">
        <v>99</v>
      </c>
      <c r="L7414" t="s">
        <v>74</v>
      </c>
      <c r="M7414" t="s">
        <v>75</v>
      </c>
      <c r="R7414" t="s">
        <v>33201</v>
      </c>
      <c r="S7414" t="s">
        <v>33202</v>
      </c>
      <c r="T7414" t="s">
        <v>97</v>
      </c>
      <c r="U7414" t="s">
        <v>77</v>
      </c>
      <c r="V7414" t="str">
        <f>"100243613"</f>
        <v>100243613</v>
      </c>
      <c r="AC7414" t="s">
        <v>79</v>
      </c>
      <c r="AD7414" t="s">
        <v>75</v>
      </c>
      <c r="AE7414" t="s">
        <v>103</v>
      </c>
      <c r="AG7414" t="s">
        <v>81</v>
      </c>
    </row>
    <row r="7415" spans="1:33" x14ac:dyDescent="0.25">
      <c r="A7415" t="str">
        <f>"1083923346"</f>
        <v>1083923346</v>
      </c>
      <c r="B7415" t="str">
        <f>"03285081"</f>
        <v>03285081</v>
      </c>
      <c r="C7415" t="s">
        <v>13436</v>
      </c>
      <c r="D7415" t="s">
        <v>33203</v>
      </c>
      <c r="E7415" t="s">
        <v>33204</v>
      </c>
      <c r="G7415" t="s">
        <v>33205</v>
      </c>
      <c r="L7415" t="s">
        <v>74</v>
      </c>
      <c r="M7415" t="s">
        <v>85</v>
      </c>
      <c r="R7415" t="s">
        <v>33206</v>
      </c>
      <c r="W7415" t="s">
        <v>33207</v>
      </c>
      <c r="X7415" t="s">
        <v>2926</v>
      </c>
      <c r="Y7415" t="s">
        <v>97</v>
      </c>
      <c r="Z7415" t="s">
        <v>77</v>
      </c>
      <c r="AA7415" t="str">
        <f>"10029-6503"</f>
        <v>10029-6503</v>
      </c>
      <c r="AB7415" t="s">
        <v>114</v>
      </c>
      <c r="AC7415" t="s">
        <v>79</v>
      </c>
      <c r="AD7415" t="s">
        <v>75</v>
      </c>
      <c r="AE7415" t="s">
        <v>80</v>
      </c>
      <c r="AG7415" t="s">
        <v>81</v>
      </c>
    </row>
    <row r="7416" spans="1:33" x14ac:dyDescent="0.25">
      <c r="A7416" t="str">
        <f>"1093798142"</f>
        <v>1093798142</v>
      </c>
      <c r="B7416" t="str">
        <f>"01125460"</f>
        <v>01125460</v>
      </c>
      <c r="C7416" t="s">
        <v>13436</v>
      </c>
      <c r="D7416" t="s">
        <v>33208</v>
      </c>
      <c r="E7416" t="s">
        <v>33209</v>
      </c>
      <c r="L7416" t="s">
        <v>74</v>
      </c>
      <c r="M7416" t="s">
        <v>75</v>
      </c>
      <c r="R7416" t="s">
        <v>33210</v>
      </c>
      <c r="W7416" t="s">
        <v>33209</v>
      </c>
      <c r="X7416" t="s">
        <v>14871</v>
      </c>
      <c r="Y7416" t="s">
        <v>97</v>
      </c>
      <c r="Z7416" t="s">
        <v>77</v>
      </c>
      <c r="AA7416" t="str">
        <f>"10003"</f>
        <v>10003</v>
      </c>
      <c r="AB7416" t="s">
        <v>78</v>
      </c>
      <c r="AC7416" t="s">
        <v>79</v>
      </c>
      <c r="AD7416" t="s">
        <v>75</v>
      </c>
      <c r="AE7416" t="s">
        <v>80</v>
      </c>
      <c r="AG7416" t="s">
        <v>81</v>
      </c>
    </row>
    <row r="7417" spans="1:33" x14ac:dyDescent="0.25">
      <c r="A7417" t="str">
        <f>"1144563842"</f>
        <v>1144563842</v>
      </c>
      <c r="C7417" t="s">
        <v>13436</v>
      </c>
      <c r="K7417" t="s">
        <v>99</v>
      </c>
      <c r="L7417" t="s">
        <v>102</v>
      </c>
      <c r="M7417" t="s">
        <v>75</v>
      </c>
      <c r="R7417" t="s">
        <v>33211</v>
      </c>
      <c r="S7417" t="s">
        <v>2838</v>
      </c>
      <c r="T7417" t="s">
        <v>97</v>
      </c>
      <c r="U7417" t="s">
        <v>77</v>
      </c>
      <c r="V7417" t="str">
        <f>"100033105"</f>
        <v>100033105</v>
      </c>
      <c r="AC7417" t="s">
        <v>79</v>
      </c>
      <c r="AD7417" t="s">
        <v>75</v>
      </c>
      <c r="AE7417" t="s">
        <v>103</v>
      </c>
      <c r="AG7417" t="s">
        <v>81</v>
      </c>
    </row>
    <row r="7418" spans="1:33" x14ac:dyDescent="0.25">
      <c r="A7418" t="str">
        <f>"1144595406"</f>
        <v>1144595406</v>
      </c>
      <c r="C7418" t="s">
        <v>13436</v>
      </c>
      <c r="K7418" t="s">
        <v>99</v>
      </c>
      <c r="L7418" t="s">
        <v>102</v>
      </c>
      <c r="M7418" t="s">
        <v>75</v>
      </c>
      <c r="R7418" t="s">
        <v>33212</v>
      </c>
      <c r="S7418" t="s">
        <v>33213</v>
      </c>
      <c r="T7418" t="s">
        <v>97</v>
      </c>
      <c r="U7418" t="s">
        <v>77</v>
      </c>
      <c r="V7418" t="str">
        <f>"100030303"</f>
        <v>100030303</v>
      </c>
      <c r="AC7418" t="s">
        <v>79</v>
      </c>
      <c r="AD7418" t="s">
        <v>75</v>
      </c>
      <c r="AE7418" t="s">
        <v>103</v>
      </c>
      <c r="AG7418" t="s">
        <v>81</v>
      </c>
    </row>
    <row r="7419" spans="1:33" x14ac:dyDescent="0.25">
      <c r="A7419" t="str">
        <f>"1144595539"</f>
        <v>1144595539</v>
      </c>
      <c r="C7419" t="s">
        <v>13436</v>
      </c>
      <c r="K7419" t="s">
        <v>99</v>
      </c>
      <c r="L7419" t="s">
        <v>102</v>
      </c>
      <c r="M7419" t="s">
        <v>75</v>
      </c>
      <c r="R7419" t="s">
        <v>33214</v>
      </c>
      <c r="S7419" t="s">
        <v>33215</v>
      </c>
      <c r="T7419" t="s">
        <v>33216</v>
      </c>
      <c r="U7419" t="s">
        <v>351</v>
      </c>
      <c r="V7419" t="str">
        <f>"334115806"</f>
        <v>334115806</v>
      </c>
      <c r="AC7419" t="s">
        <v>79</v>
      </c>
      <c r="AD7419" t="s">
        <v>75</v>
      </c>
      <c r="AE7419" t="s">
        <v>103</v>
      </c>
      <c r="AG7419" t="s">
        <v>81</v>
      </c>
    </row>
    <row r="7420" spans="1:33" x14ac:dyDescent="0.25">
      <c r="A7420" t="str">
        <f>"1013985852"</f>
        <v>1013985852</v>
      </c>
      <c r="B7420" t="str">
        <f>"01590587"</f>
        <v>01590587</v>
      </c>
      <c r="C7420" t="s">
        <v>13436</v>
      </c>
      <c r="D7420" t="s">
        <v>33217</v>
      </c>
      <c r="E7420" t="s">
        <v>33218</v>
      </c>
      <c r="G7420" t="s">
        <v>33219</v>
      </c>
      <c r="L7420" t="s">
        <v>83</v>
      </c>
      <c r="M7420" t="s">
        <v>85</v>
      </c>
      <c r="R7420" t="s">
        <v>33220</v>
      </c>
      <c r="W7420" t="s">
        <v>33218</v>
      </c>
      <c r="X7420" t="s">
        <v>5309</v>
      </c>
      <c r="Y7420" t="s">
        <v>97</v>
      </c>
      <c r="Z7420" t="s">
        <v>77</v>
      </c>
      <c r="AA7420" t="str">
        <f>"10029"</f>
        <v>10029</v>
      </c>
      <c r="AB7420" t="s">
        <v>78</v>
      </c>
      <c r="AC7420" t="s">
        <v>79</v>
      </c>
      <c r="AD7420" t="s">
        <v>75</v>
      </c>
      <c r="AE7420" t="s">
        <v>80</v>
      </c>
      <c r="AG7420" t="s">
        <v>81</v>
      </c>
    </row>
    <row r="7421" spans="1:33" x14ac:dyDescent="0.25">
      <c r="A7421" t="str">
        <f>"1184990293"</f>
        <v>1184990293</v>
      </c>
      <c r="B7421" t="str">
        <f>"04503348"</f>
        <v>04503348</v>
      </c>
      <c r="C7421" t="s">
        <v>13436</v>
      </c>
      <c r="D7421" t="s">
        <v>33221</v>
      </c>
      <c r="E7421" t="s">
        <v>33222</v>
      </c>
      <c r="L7421" t="s">
        <v>74</v>
      </c>
      <c r="M7421" t="s">
        <v>75</v>
      </c>
      <c r="R7421" t="s">
        <v>33223</v>
      </c>
      <c r="W7421" t="s">
        <v>33222</v>
      </c>
      <c r="AB7421" t="s">
        <v>78</v>
      </c>
      <c r="AC7421" t="s">
        <v>79</v>
      </c>
      <c r="AD7421" t="s">
        <v>75</v>
      </c>
      <c r="AE7421" t="s">
        <v>80</v>
      </c>
      <c r="AG7421" t="s">
        <v>81</v>
      </c>
    </row>
    <row r="7422" spans="1:33" x14ac:dyDescent="0.25">
      <c r="A7422" t="str">
        <f>"1194003475"</f>
        <v>1194003475</v>
      </c>
      <c r="B7422" t="str">
        <f>"03721437"</f>
        <v>03721437</v>
      </c>
      <c r="C7422" t="s">
        <v>13436</v>
      </c>
      <c r="D7422" t="s">
        <v>33224</v>
      </c>
      <c r="E7422" t="s">
        <v>33225</v>
      </c>
      <c r="G7422" t="s">
        <v>33226</v>
      </c>
      <c r="L7422" t="s">
        <v>74</v>
      </c>
      <c r="M7422" t="s">
        <v>75</v>
      </c>
      <c r="R7422" t="s">
        <v>33227</v>
      </c>
      <c r="W7422" t="s">
        <v>33225</v>
      </c>
      <c r="X7422" t="s">
        <v>329</v>
      </c>
      <c r="Y7422" t="s">
        <v>97</v>
      </c>
      <c r="Z7422" t="s">
        <v>77</v>
      </c>
      <c r="AA7422" t="str">
        <f>"10029-6504"</f>
        <v>10029-6504</v>
      </c>
      <c r="AB7422" t="s">
        <v>78</v>
      </c>
      <c r="AC7422" t="s">
        <v>79</v>
      </c>
      <c r="AD7422" t="s">
        <v>75</v>
      </c>
      <c r="AE7422" t="s">
        <v>80</v>
      </c>
      <c r="AG7422" t="s">
        <v>81</v>
      </c>
    </row>
    <row r="7423" spans="1:33" x14ac:dyDescent="0.25">
      <c r="A7423" t="str">
        <f>"1053625459"</f>
        <v>1053625459</v>
      </c>
      <c r="C7423" t="s">
        <v>13436</v>
      </c>
      <c r="K7423" t="s">
        <v>99</v>
      </c>
      <c r="L7423" t="s">
        <v>102</v>
      </c>
      <c r="M7423" t="s">
        <v>75</v>
      </c>
      <c r="R7423" t="s">
        <v>4525</v>
      </c>
      <c r="S7423" t="s">
        <v>33228</v>
      </c>
      <c r="T7423" t="s">
        <v>2633</v>
      </c>
      <c r="U7423" t="s">
        <v>1842</v>
      </c>
      <c r="V7423" t="str">
        <f>"069023661"</f>
        <v>069023661</v>
      </c>
      <c r="AC7423" t="s">
        <v>79</v>
      </c>
      <c r="AD7423" t="s">
        <v>75</v>
      </c>
      <c r="AE7423" t="s">
        <v>103</v>
      </c>
      <c r="AG7423" t="s">
        <v>81</v>
      </c>
    </row>
    <row r="7424" spans="1:33" x14ac:dyDescent="0.25">
      <c r="A7424" t="str">
        <f>"1053632588"</f>
        <v>1053632588</v>
      </c>
      <c r="B7424" t="str">
        <f>"04350143"</f>
        <v>04350143</v>
      </c>
      <c r="C7424" t="s">
        <v>13436</v>
      </c>
      <c r="D7424" t="s">
        <v>33229</v>
      </c>
      <c r="E7424" t="s">
        <v>33230</v>
      </c>
      <c r="L7424" t="s">
        <v>74</v>
      </c>
      <c r="M7424" t="s">
        <v>75</v>
      </c>
      <c r="R7424" t="s">
        <v>33231</v>
      </c>
      <c r="W7424" t="s">
        <v>33230</v>
      </c>
      <c r="X7424" t="s">
        <v>33232</v>
      </c>
      <c r="Y7424" t="s">
        <v>97</v>
      </c>
      <c r="Z7424" t="s">
        <v>77</v>
      </c>
      <c r="AA7424" t="str">
        <f>"10065-8183"</f>
        <v>10065-8183</v>
      </c>
      <c r="AB7424" t="s">
        <v>78</v>
      </c>
      <c r="AC7424" t="s">
        <v>79</v>
      </c>
      <c r="AD7424" t="s">
        <v>75</v>
      </c>
      <c r="AE7424" t="s">
        <v>80</v>
      </c>
      <c r="AG7424" t="s">
        <v>81</v>
      </c>
    </row>
    <row r="7425" spans="1:33" x14ac:dyDescent="0.25">
      <c r="A7425" t="str">
        <f>"1053638734"</f>
        <v>1053638734</v>
      </c>
      <c r="C7425" t="s">
        <v>13436</v>
      </c>
      <c r="K7425" t="s">
        <v>99</v>
      </c>
      <c r="L7425" t="s">
        <v>102</v>
      </c>
      <c r="M7425" t="s">
        <v>75</v>
      </c>
      <c r="R7425" t="s">
        <v>33233</v>
      </c>
      <c r="S7425" t="s">
        <v>12648</v>
      </c>
      <c r="T7425" t="s">
        <v>97</v>
      </c>
      <c r="U7425" t="s">
        <v>77</v>
      </c>
      <c r="V7425" t="str">
        <f>"10003"</f>
        <v>10003</v>
      </c>
      <c r="AC7425" t="s">
        <v>79</v>
      </c>
      <c r="AD7425" t="s">
        <v>75</v>
      </c>
      <c r="AE7425" t="s">
        <v>103</v>
      </c>
      <c r="AG7425" t="s">
        <v>81</v>
      </c>
    </row>
    <row r="7426" spans="1:33" x14ac:dyDescent="0.25">
      <c r="A7426" t="str">
        <f>"1053649418"</f>
        <v>1053649418</v>
      </c>
      <c r="B7426" t="str">
        <f>"03625289"</f>
        <v>03625289</v>
      </c>
      <c r="C7426" t="s">
        <v>13436</v>
      </c>
      <c r="D7426" t="s">
        <v>33234</v>
      </c>
      <c r="E7426" t="s">
        <v>33235</v>
      </c>
      <c r="G7426" t="s">
        <v>33236</v>
      </c>
      <c r="L7426" t="s">
        <v>94</v>
      </c>
      <c r="M7426" t="s">
        <v>85</v>
      </c>
      <c r="R7426" t="s">
        <v>33237</v>
      </c>
      <c r="W7426" t="s">
        <v>33238</v>
      </c>
      <c r="X7426" t="s">
        <v>330</v>
      </c>
      <c r="Y7426" t="s">
        <v>97</v>
      </c>
      <c r="Z7426" t="s">
        <v>77</v>
      </c>
      <c r="AA7426" t="str">
        <f>"10029-5204"</f>
        <v>10029-5204</v>
      </c>
      <c r="AB7426" t="s">
        <v>78</v>
      </c>
      <c r="AC7426" t="s">
        <v>79</v>
      </c>
      <c r="AD7426" t="s">
        <v>75</v>
      </c>
      <c r="AE7426" t="s">
        <v>80</v>
      </c>
      <c r="AG7426" t="s">
        <v>81</v>
      </c>
    </row>
    <row r="7427" spans="1:33" x14ac:dyDescent="0.25">
      <c r="A7427" t="str">
        <f>"1053653832"</f>
        <v>1053653832</v>
      </c>
      <c r="C7427" t="s">
        <v>13436</v>
      </c>
      <c r="K7427" t="s">
        <v>99</v>
      </c>
      <c r="L7427" t="s">
        <v>102</v>
      </c>
      <c r="M7427" t="s">
        <v>75</v>
      </c>
      <c r="R7427" t="s">
        <v>33239</v>
      </c>
      <c r="S7427" t="s">
        <v>130</v>
      </c>
      <c r="T7427" t="s">
        <v>131</v>
      </c>
      <c r="U7427" t="s">
        <v>77</v>
      </c>
      <c r="V7427" t="str">
        <f>"104611138"</f>
        <v>104611138</v>
      </c>
      <c r="AC7427" t="s">
        <v>79</v>
      </c>
      <c r="AD7427" t="s">
        <v>75</v>
      </c>
      <c r="AE7427" t="s">
        <v>103</v>
      </c>
      <c r="AG7427" t="s">
        <v>81</v>
      </c>
    </row>
    <row r="7428" spans="1:33" x14ac:dyDescent="0.25">
      <c r="A7428" t="str">
        <f>"1053654764"</f>
        <v>1053654764</v>
      </c>
      <c r="B7428" t="str">
        <f>"04582532"</f>
        <v>04582532</v>
      </c>
      <c r="C7428" t="s">
        <v>13436</v>
      </c>
      <c r="D7428" t="s">
        <v>33240</v>
      </c>
      <c r="E7428" t="s">
        <v>33241</v>
      </c>
      <c r="L7428" t="s">
        <v>102</v>
      </c>
      <c r="M7428" t="s">
        <v>75</v>
      </c>
      <c r="R7428" t="s">
        <v>33242</v>
      </c>
      <c r="W7428" t="s">
        <v>33241</v>
      </c>
      <c r="AB7428" t="s">
        <v>78</v>
      </c>
      <c r="AC7428" t="s">
        <v>79</v>
      </c>
      <c r="AD7428" t="s">
        <v>75</v>
      </c>
      <c r="AE7428" t="s">
        <v>80</v>
      </c>
      <c r="AG7428" t="s">
        <v>81</v>
      </c>
    </row>
    <row r="7429" spans="1:33" x14ac:dyDescent="0.25">
      <c r="A7429" t="str">
        <f>"1104141415"</f>
        <v>1104141415</v>
      </c>
      <c r="C7429" t="s">
        <v>13436</v>
      </c>
      <c r="K7429" t="s">
        <v>99</v>
      </c>
      <c r="L7429" t="s">
        <v>102</v>
      </c>
      <c r="M7429" t="s">
        <v>75</v>
      </c>
      <c r="R7429" t="s">
        <v>33243</v>
      </c>
      <c r="S7429" t="s">
        <v>33244</v>
      </c>
      <c r="T7429" t="s">
        <v>32881</v>
      </c>
      <c r="U7429" t="s">
        <v>123</v>
      </c>
      <c r="V7429" t="str">
        <f>"024464456"</f>
        <v>024464456</v>
      </c>
      <c r="AC7429" t="s">
        <v>79</v>
      </c>
      <c r="AD7429" t="s">
        <v>75</v>
      </c>
      <c r="AE7429" t="s">
        <v>103</v>
      </c>
      <c r="AG7429" t="s">
        <v>81</v>
      </c>
    </row>
    <row r="7430" spans="1:33" x14ac:dyDescent="0.25">
      <c r="A7430" t="str">
        <f>"1477953578"</f>
        <v>1477953578</v>
      </c>
      <c r="C7430" t="s">
        <v>13436</v>
      </c>
      <c r="K7430" t="s">
        <v>99</v>
      </c>
      <c r="L7430" t="s">
        <v>102</v>
      </c>
      <c r="M7430" t="s">
        <v>75</v>
      </c>
      <c r="R7430" t="s">
        <v>33245</v>
      </c>
      <c r="S7430" t="s">
        <v>33246</v>
      </c>
      <c r="T7430" t="s">
        <v>97</v>
      </c>
      <c r="U7430" t="s">
        <v>77</v>
      </c>
      <c r="V7430" t="str">
        <f>"100296508"</f>
        <v>100296508</v>
      </c>
      <c r="AC7430" t="s">
        <v>79</v>
      </c>
      <c r="AD7430" t="s">
        <v>75</v>
      </c>
      <c r="AE7430" t="s">
        <v>103</v>
      </c>
      <c r="AG7430" t="s">
        <v>81</v>
      </c>
    </row>
    <row r="7431" spans="1:33" x14ac:dyDescent="0.25">
      <c r="A7431" t="str">
        <f>"1477960417"</f>
        <v>1477960417</v>
      </c>
      <c r="C7431" t="s">
        <v>13436</v>
      </c>
      <c r="G7431" t="s">
        <v>33247</v>
      </c>
      <c r="K7431" t="s">
        <v>99</v>
      </c>
      <c r="L7431" t="s">
        <v>74</v>
      </c>
      <c r="M7431" t="s">
        <v>75</v>
      </c>
      <c r="R7431" t="s">
        <v>33248</v>
      </c>
      <c r="S7431" t="s">
        <v>329</v>
      </c>
      <c r="T7431" t="s">
        <v>97</v>
      </c>
      <c r="U7431" t="s">
        <v>77</v>
      </c>
      <c r="V7431" t="str">
        <f>"100296504"</f>
        <v>100296504</v>
      </c>
      <c r="AC7431" t="s">
        <v>79</v>
      </c>
      <c r="AD7431" t="s">
        <v>75</v>
      </c>
      <c r="AE7431" t="s">
        <v>103</v>
      </c>
      <c r="AG7431" t="s">
        <v>81</v>
      </c>
    </row>
    <row r="7432" spans="1:33" x14ac:dyDescent="0.25">
      <c r="A7432" t="str">
        <f>"1144456484"</f>
        <v>1144456484</v>
      </c>
      <c r="B7432" t="str">
        <f>"04492435"</f>
        <v>04492435</v>
      </c>
      <c r="C7432" t="s">
        <v>13436</v>
      </c>
      <c r="D7432" t="s">
        <v>33249</v>
      </c>
      <c r="E7432" t="s">
        <v>33250</v>
      </c>
      <c r="L7432" t="s">
        <v>102</v>
      </c>
      <c r="M7432" t="s">
        <v>75</v>
      </c>
      <c r="R7432" t="s">
        <v>33251</v>
      </c>
      <c r="W7432" t="s">
        <v>33250</v>
      </c>
      <c r="AB7432" t="s">
        <v>78</v>
      </c>
      <c r="AC7432" t="s">
        <v>79</v>
      </c>
      <c r="AD7432" t="s">
        <v>75</v>
      </c>
      <c r="AE7432" t="s">
        <v>80</v>
      </c>
      <c r="AG7432" t="s">
        <v>81</v>
      </c>
    </row>
    <row r="7433" spans="1:33" x14ac:dyDescent="0.25">
      <c r="A7433" t="str">
        <f>"1144476540"</f>
        <v>1144476540</v>
      </c>
      <c r="B7433" t="str">
        <f>"03285485"</f>
        <v>03285485</v>
      </c>
      <c r="C7433" t="s">
        <v>13436</v>
      </c>
      <c r="D7433" t="s">
        <v>33252</v>
      </c>
      <c r="E7433" t="s">
        <v>33253</v>
      </c>
      <c r="L7433" t="s">
        <v>83</v>
      </c>
      <c r="M7433" t="s">
        <v>85</v>
      </c>
      <c r="R7433" t="s">
        <v>33254</v>
      </c>
      <c r="W7433" t="s">
        <v>33253</v>
      </c>
      <c r="X7433" t="s">
        <v>138</v>
      </c>
      <c r="Y7433" t="s">
        <v>139</v>
      </c>
      <c r="Z7433" t="s">
        <v>77</v>
      </c>
      <c r="AA7433" t="str">
        <f>"11355-5045"</f>
        <v>11355-5045</v>
      </c>
      <c r="AB7433" t="s">
        <v>78</v>
      </c>
      <c r="AC7433" t="s">
        <v>79</v>
      </c>
      <c r="AD7433" t="s">
        <v>75</v>
      </c>
      <c r="AE7433" t="s">
        <v>80</v>
      </c>
      <c r="AG7433" t="s">
        <v>81</v>
      </c>
    </row>
    <row r="7434" spans="1:33" x14ac:dyDescent="0.25">
      <c r="A7434" t="str">
        <f>"1144480385"</f>
        <v>1144480385</v>
      </c>
      <c r="B7434" t="str">
        <f>"03522016"</f>
        <v>03522016</v>
      </c>
      <c r="C7434" t="s">
        <v>13436</v>
      </c>
      <c r="D7434" t="s">
        <v>33255</v>
      </c>
      <c r="E7434" t="s">
        <v>33256</v>
      </c>
      <c r="G7434" t="s">
        <v>33257</v>
      </c>
      <c r="L7434" t="s">
        <v>74</v>
      </c>
      <c r="M7434" t="s">
        <v>85</v>
      </c>
      <c r="R7434" t="s">
        <v>33258</v>
      </c>
      <c r="W7434" t="s">
        <v>33256</v>
      </c>
      <c r="X7434" t="s">
        <v>329</v>
      </c>
      <c r="Y7434" t="s">
        <v>97</v>
      </c>
      <c r="Z7434" t="s">
        <v>77</v>
      </c>
      <c r="AA7434" t="str">
        <f>"10029-6500"</f>
        <v>10029-6500</v>
      </c>
      <c r="AB7434" t="s">
        <v>128</v>
      </c>
      <c r="AC7434" t="s">
        <v>79</v>
      </c>
      <c r="AD7434" t="s">
        <v>75</v>
      </c>
      <c r="AE7434" t="s">
        <v>80</v>
      </c>
      <c r="AG7434" t="s">
        <v>81</v>
      </c>
    </row>
    <row r="7435" spans="1:33" x14ac:dyDescent="0.25">
      <c r="A7435" t="str">
        <f>"1144485111"</f>
        <v>1144485111</v>
      </c>
      <c r="B7435" t="str">
        <f>"03750387"</f>
        <v>03750387</v>
      </c>
      <c r="C7435" t="s">
        <v>13436</v>
      </c>
      <c r="D7435" t="s">
        <v>33259</v>
      </c>
      <c r="E7435" t="s">
        <v>33260</v>
      </c>
      <c r="G7435" t="s">
        <v>33261</v>
      </c>
      <c r="L7435" t="s">
        <v>102</v>
      </c>
      <c r="M7435" t="s">
        <v>75</v>
      </c>
      <c r="R7435" t="s">
        <v>33260</v>
      </c>
      <c r="W7435" t="s">
        <v>33260</v>
      </c>
      <c r="X7435" t="s">
        <v>329</v>
      </c>
      <c r="Y7435" t="s">
        <v>97</v>
      </c>
      <c r="Z7435" t="s">
        <v>77</v>
      </c>
      <c r="AA7435" t="str">
        <f>"10029-6504"</f>
        <v>10029-6504</v>
      </c>
      <c r="AB7435" t="s">
        <v>78</v>
      </c>
      <c r="AC7435" t="s">
        <v>79</v>
      </c>
      <c r="AD7435" t="s">
        <v>75</v>
      </c>
      <c r="AE7435" t="s">
        <v>80</v>
      </c>
      <c r="AG7435" t="s">
        <v>81</v>
      </c>
    </row>
    <row r="7436" spans="1:33" x14ac:dyDescent="0.25">
      <c r="A7436" t="str">
        <f>"1811089972"</f>
        <v>1811089972</v>
      </c>
      <c r="B7436" t="str">
        <f>"02173600"</f>
        <v>02173600</v>
      </c>
      <c r="C7436" t="s">
        <v>13436</v>
      </c>
      <c r="D7436" t="s">
        <v>33262</v>
      </c>
      <c r="E7436" t="s">
        <v>33263</v>
      </c>
      <c r="G7436" t="s">
        <v>33264</v>
      </c>
      <c r="L7436" t="s">
        <v>84</v>
      </c>
      <c r="M7436" t="s">
        <v>85</v>
      </c>
      <c r="R7436" t="s">
        <v>33265</v>
      </c>
      <c r="W7436" t="s">
        <v>33263</v>
      </c>
      <c r="X7436" t="s">
        <v>3391</v>
      </c>
      <c r="Y7436" t="s">
        <v>97</v>
      </c>
      <c r="Z7436" t="s">
        <v>77</v>
      </c>
      <c r="AA7436" t="str">
        <f>"10037-1802"</f>
        <v>10037-1802</v>
      </c>
      <c r="AB7436" t="s">
        <v>78</v>
      </c>
      <c r="AC7436" t="s">
        <v>79</v>
      </c>
      <c r="AD7436" t="s">
        <v>75</v>
      </c>
      <c r="AE7436" t="s">
        <v>80</v>
      </c>
      <c r="AG7436" t="s">
        <v>81</v>
      </c>
    </row>
    <row r="7437" spans="1:33" x14ac:dyDescent="0.25">
      <c r="A7437" t="str">
        <f>"1558609289"</f>
        <v>1558609289</v>
      </c>
      <c r="B7437" t="str">
        <f>"03719197"</f>
        <v>03719197</v>
      </c>
      <c r="C7437" t="s">
        <v>13436</v>
      </c>
      <c r="D7437" t="s">
        <v>33266</v>
      </c>
      <c r="E7437" t="s">
        <v>33267</v>
      </c>
      <c r="L7437" t="s">
        <v>74</v>
      </c>
      <c r="M7437" t="s">
        <v>75</v>
      </c>
      <c r="R7437" t="s">
        <v>33268</v>
      </c>
      <c r="W7437" t="s">
        <v>33269</v>
      </c>
      <c r="X7437" t="s">
        <v>3021</v>
      </c>
      <c r="Y7437" t="s">
        <v>182</v>
      </c>
      <c r="Z7437" t="s">
        <v>77</v>
      </c>
      <c r="AA7437" t="str">
        <f>"11501-3957"</f>
        <v>11501-3957</v>
      </c>
      <c r="AB7437" t="s">
        <v>78</v>
      </c>
      <c r="AC7437" t="s">
        <v>79</v>
      </c>
      <c r="AD7437" t="s">
        <v>75</v>
      </c>
      <c r="AE7437" t="s">
        <v>80</v>
      </c>
      <c r="AG7437" t="s">
        <v>81</v>
      </c>
    </row>
    <row r="7438" spans="1:33" x14ac:dyDescent="0.25">
      <c r="A7438" t="str">
        <f>"1568629129"</f>
        <v>1568629129</v>
      </c>
      <c r="B7438" t="str">
        <f>"03187744"</f>
        <v>03187744</v>
      </c>
      <c r="C7438" t="s">
        <v>13436</v>
      </c>
      <c r="D7438" t="s">
        <v>33270</v>
      </c>
      <c r="E7438" t="s">
        <v>33271</v>
      </c>
      <c r="L7438" t="s">
        <v>83</v>
      </c>
      <c r="M7438" t="s">
        <v>75</v>
      </c>
      <c r="R7438" t="s">
        <v>33272</v>
      </c>
      <c r="W7438" t="s">
        <v>33271</v>
      </c>
      <c r="X7438" t="s">
        <v>581</v>
      </c>
      <c r="Y7438" t="s">
        <v>87</v>
      </c>
      <c r="Z7438" t="s">
        <v>77</v>
      </c>
      <c r="AA7438" t="str">
        <f>"11221-5336"</f>
        <v>11221-5336</v>
      </c>
      <c r="AB7438" t="s">
        <v>78</v>
      </c>
      <c r="AC7438" t="s">
        <v>79</v>
      </c>
      <c r="AD7438" t="s">
        <v>75</v>
      </c>
      <c r="AE7438" t="s">
        <v>80</v>
      </c>
      <c r="AG7438" t="s">
        <v>81</v>
      </c>
    </row>
    <row r="7439" spans="1:33" x14ac:dyDescent="0.25">
      <c r="A7439" t="str">
        <f>"1568747533"</f>
        <v>1568747533</v>
      </c>
      <c r="C7439" t="s">
        <v>13436</v>
      </c>
      <c r="K7439" t="s">
        <v>99</v>
      </c>
      <c r="L7439" t="s">
        <v>102</v>
      </c>
      <c r="M7439" t="s">
        <v>75</v>
      </c>
      <c r="R7439" t="s">
        <v>33273</v>
      </c>
      <c r="S7439" t="s">
        <v>33274</v>
      </c>
      <c r="T7439" t="s">
        <v>894</v>
      </c>
      <c r="U7439" t="s">
        <v>77</v>
      </c>
      <c r="V7439" t="str">
        <f>"10003"</f>
        <v>10003</v>
      </c>
      <c r="AC7439" t="s">
        <v>79</v>
      </c>
      <c r="AD7439" t="s">
        <v>75</v>
      </c>
      <c r="AE7439" t="s">
        <v>103</v>
      </c>
      <c r="AG7439" t="s">
        <v>81</v>
      </c>
    </row>
    <row r="7440" spans="1:33" x14ac:dyDescent="0.25">
      <c r="A7440" t="str">
        <f>"1609991835"</f>
        <v>1609991835</v>
      </c>
      <c r="B7440" t="str">
        <f>"02384701"</f>
        <v>02384701</v>
      </c>
      <c r="C7440" t="s">
        <v>13436</v>
      </c>
      <c r="D7440" t="s">
        <v>33275</v>
      </c>
      <c r="E7440" t="s">
        <v>33276</v>
      </c>
      <c r="L7440" t="s">
        <v>74</v>
      </c>
      <c r="M7440" t="s">
        <v>75</v>
      </c>
      <c r="R7440" t="s">
        <v>33277</v>
      </c>
      <c r="W7440" t="s">
        <v>33276</v>
      </c>
      <c r="X7440" t="s">
        <v>3553</v>
      </c>
      <c r="Y7440" t="s">
        <v>97</v>
      </c>
      <c r="Z7440" t="s">
        <v>77</v>
      </c>
      <c r="AA7440" t="str">
        <f>"10003-3851"</f>
        <v>10003-3851</v>
      </c>
      <c r="AB7440" t="s">
        <v>78</v>
      </c>
      <c r="AC7440" t="s">
        <v>79</v>
      </c>
      <c r="AD7440" t="s">
        <v>75</v>
      </c>
      <c r="AE7440" t="s">
        <v>80</v>
      </c>
      <c r="AG7440" t="s">
        <v>81</v>
      </c>
    </row>
    <row r="7441" spans="1:33" x14ac:dyDescent="0.25">
      <c r="A7441" t="str">
        <f>"1104088350"</f>
        <v>1104088350</v>
      </c>
      <c r="B7441" t="str">
        <f>"03416933"</f>
        <v>03416933</v>
      </c>
      <c r="C7441" t="s">
        <v>13436</v>
      </c>
      <c r="D7441" t="s">
        <v>33278</v>
      </c>
      <c r="E7441" t="s">
        <v>33279</v>
      </c>
      <c r="L7441" t="s">
        <v>84</v>
      </c>
      <c r="M7441" t="s">
        <v>85</v>
      </c>
      <c r="R7441" t="s">
        <v>33280</v>
      </c>
      <c r="W7441" t="s">
        <v>33279</v>
      </c>
      <c r="X7441" t="s">
        <v>1010</v>
      </c>
      <c r="Y7441" t="s">
        <v>97</v>
      </c>
      <c r="Z7441" t="s">
        <v>77</v>
      </c>
      <c r="AA7441" t="str">
        <f>"10035-3832"</f>
        <v>10035-3832</v>
      </c>
      <c r="AB7441" t="s">
        <v>78</v>
      </c>
      <c r="AC7441" t="s">
        <v>79</v>
      </c>
      <c r="AD7441" t="s">
        <v>75</v>
      </c>
      <c r="AE7441" t="s">
        <v>80</v>
      </c>
      <c r="AG7441" t="s">
        <v>81</v>
      </c>
    </row>
    <row r="7442" spans="1:33" x14ac:dyDescent="0.25">
      <c r="A7442" t="str">
        <f>"1104110089"</f>
        <v>1104110089</v>
      </c>
      <c r="C7442" t="s">
        <v>13436</v>
      </c>
      <c r="K7442" t="s">
        <v>99</v>
      </c>
      <c r="L7442" t="s">
        <v>102</v>
      </c>
      <c r="M7442" t="s">
        <v>75</v>
      </c>
      <c r="R7442" t="s">
        <v>33281</v>
      </c>
      <c r="S7442" t="s">
        <v>33282</v>
      </c>
      <c r="T7442" t="s">
        <v>97</v>
      </c>
      <c r="U7442" t="s">
        <v>77</v>
      </c>
      <c r="V7442" t="str">
        <f>"10003"</f>
        <v>10003</v>
      </c>
      <c r="AC7442" t="s">
        <v>79</v>
      </c>
      <c r="AD7442" t="s">
        <v>75</v>
      </c>
      <c r="AE7442" t="s">
        <v>103</v>
      </c>
      <c r="AG7442" t="s">
        <v>81</v>
      </c>
    </row>
    <row r="7443" spans="1:33" x14ac:dyDescent="0.25">
      <c r="A7443" t="str">
        <f>"1104115260"</f>
        <v>1104115260</v>
      </c>
      <c r="B7443" t="str">
        <f>"03414000"</f>
        <v>03414000</v>
      </c>
      <c r="C7443" t="s">
        <v>13436</v>
      </c>
      <c r="D7443" t="s">
        <v>33283</v>
      </c>
      <c r="E7443" t="s">
        <v>33284</v>
      </c>
      <c r="G7443" t="s">
        <v>33285</v>
      </c>
      <c r="L7443" t="s">
        <v>74</v>
      </c>
      <c r="M7443" t="s">
        <v>75</v>
      </c>
      <c r="R7443" t="s">
        <v>33284</v>
      </c>
      <c r="W7443" t="s">
        <v>33284</v>
      </c>
      <c r="X7443" t="s">
        <v>7108</v>
      </c>
      <c r="Y7443" t="s">
        <v>1838</v>
      </c>
      <c r="Z7443" t="s">
        <v>77</v>
      </c>
      <c r="AA7443" t="str">
        <f>"12524-2295"</f>
        <v>12524-2295</v>
      </c>
      <c r="AB7443" t="s">
        <v>78</v>
      </c>
      <c r="AC7443" t="s">
        <v>79</v>
      </c>
      <c r="AD7443" t="s">
        <v>75</v>
      </c>
      <c r="AE7443" t="s">
        <v>80</v>
      </c>
      <c r="AG7443" t="s">
        <v>81</v>
      </c>
    </row>
    <row r="7444" spans="1:33" x14ac:dyDescent="0.25">
      <c r="A7444" t="str">
        <f>"1104117233"</f>
        <v>1104117233</v>
      </c>
      <c r="B7444" t="str">
        <f>"03861227"</f>
        <v>03861227</v>
      </c>
      <c r="C7444" t="s">
        <v>13436</v>
      </c>
      <c r="D7444" t="s">
        <v>4877</v>
      </c>
      <c r="E7444" t="s">
        <v>4878</v>
      </c>
      <c r="L7444" t="s">
        <v>74</v>
      </c>
      <c r="M7444" t="s">
        <v>75</v>
      </c>
      <c r="R7444" t="s">
        <v>4879</v>
      </c>
      <c r="W7444" t="s">
        <v>4878</v>
      </c>
      <c r="X7444" t="s">
        <v>258</v>
      </c>
      <c r="Y7444" t="s">
        <v>131</v>
      </c>
      <c r="Z7444" t="s">
        <v>77</v>
      </c>
      <c r="AA7444" t="str">
        <f>"10467-2401"</f>
        <v>10467-2401</v>
      </c>
      <c r="AB7444" t="s">
        <v>78</v>
      </c>
      <c r="AC7444" t="s">
        <v>79</v>
      </c>
      <c r="AD7444" t="s">
        <v>75</v>
      </c>
      <c r="AE7444" t="s">
        <v>80</v>
      </c>
      <c r="AG7444" t="s">
        <v>81</v>
      </c>
    </row>
    <row r="7445" spans="1:33" x14ac:dyDescent="0.25">
      <c r="A7445" t="str">
        <f>"1861410599"</f>
        <v>1861410599</v>
      </c>
      <c r="B7445" t="str">
        <f>"00836668"</f>
        <v>00836668</v>
      </c>
      <c r="C7445" t="s">
        <v>13436</v>
      </c>
      <c r="D7445" t="s">
        <v>3656</v>
      </c>
      <c r="E7445" t="s">
        <v>3657</v>
      </c>
      <c r="L7445" t="s">
        <v>83</v>
      </c>
      <c r="M7445" t="s">
        <v>85</v>
      </c>
      <c r="R7445" t="s">
        <v>3658</v>
      </c>
      <c r="W7445" t="s">
        <v>3657</v>
      </c>
      <c r="X7445" t="s">
        <v>329</v>
      </c>
      <c r="Y7445" t="s">
        <v>97</v>
      </c>
      <c r="Z7445" t="s">
        <v>77</v>
      </c>
      <c r="AA7445" t="str">
        <f>"10029-6504"</f>
        <v>10029-6504</v>
      </c>
      <c r="AB7445" t="s">
        <v>78</v>
      </c>
      <c r="AC7445" t="s">
        <v>79</v>
      </c>
      <c r="AD7445" t="s">
        <v>75</v>
      </c>
      <c r="AE7445" t="s">
        <v>80</v>
      </c>
      <c r="AG7445" t="s">
        <v>81</v>
      </c>
    </row>
    <row r="7446" spans="1:33" x14ac:dyDescent="0.25">
      <c r="A7446" t="str">
        <f>"1861411365"</f>
        <v>1861411365</v>
      </c>
      <c r="B7446" t="str">
        <f>"03760083"</f>
        <v>03760083</v>
      </c>
      <c r="C7446" t="s">
        <v>13436</v>
      </c>
      <c r="D7446" t="s">
        <v>33286</v>
      </c>
      <c r="E7446" t="s">
        <v>33287</v>
      </c>
      <c r="L7446" t="s">
        <v>74</v>
      </c>
      <c r="M7446" t="s">
        <v>85</v>
      </c>
      <c r="R7446" t="s">
        <v>33288</v>
      </c>
      <c r="W7446" t="s">
        <v>33287</v>
      </c>
      <c r="X7446" t="s">
        <v>33289</v>
      </c>
      <c r="Y7446" t="s">
        <v>97</v>
      </c>
      <c r="Z7446" t="s">
        <v>77</v>
      </c>
      <c r="AA7446" t="str">
        <f>"10028-0000"</f>
        <v>10028-0000</v>
      </c>
      <c r="AB7446" t="s">
        <v>78</v>
      </c>
      <c r="AC7446" t="s">
        <v>79</v>
      </c>
      <c r="AD7446" t="s">
        <v>75</v>
      </c>
      <c r="AE7446" t="s">
        <v>80</v>
      </c>
      <c r="AG7446" t="s">
        <v>81</v>
      </c>
    </row>
    <row r="7447" spans="1:33" x14ac:dyDescent="0.25">
      <c r="A7447" t="str">
        <f>"1861414096"</f>
        <v>1861414096</v>
      </c>
      <c r="B7447" t="str">
        <f>"02460222"</f>
        <v>02460222</v>
      </c>
      <c r="C7447" t="s">
        <v>13436</v>
      </c>
      <c r="D7447" t="s">
        <v>33290</v>
      </c>
      <c r="E7447" t="s">
        <v>33291</v>
      </c>
      <c r="L7447" t="s">
        <v>83</v>
      </c>
      <c r="M7447" t="s">
        <v>85</v>
      </c>
      <c r="R7447" t="s">
        <v>33292</v>
      </c>
      <c r="W7447" t="s">
        <v>33291</v>
      </c>
      <c r="X7447" t="s">
        <v>329</v>
      </c>
      <c r="Y7447" t="s">
        <v>97</v>
      </c>
      <c r="Z7447" t="s">
        <v>77</v>
      </c>
      <c r="AA7447" t="str">
        <f>"10029-6504"</f>
        <v>10029-6504</v>
      </c>
      <c r="AB7447" t="s">
        <v>78</v>
      </c>
      <c r="AC7447" t="s">
        <v>79</v>
      </c>
      <c r="AD7447" t="s">
        <v>75</v>
      </c>
      <c r="AE7447" t="s">
        <v>80</v>
      </c>
      <c r="AG7447" t="s">
        <v>81</v>
      </c>
    </row>
    <row r="7448" spans="1:33" x14ac:dyDescent="0.25">
      <c r="A7448" t="str">
        <f>"1861417008"</f>
        <v>1861417008</v>
      </c>
      <c r="B7448" t="str">
        <f>"02850306"</f>
        <v>02850306</v>
      </c>
      <c r="C7448" t="s">
        <v>13436</v>
      </c>
      <c r="D7448" t="s">
        <v>33293</v>
      </c>
      <c r="E7448" t="s">
        <v>33294</v>
      </c>
      <c r="G7448" t="s">
        <v>33295</v>
      </c>
      <c r="L7448" t="s">
        <v>105</v>
      </c>
      <c r="M7448" t="s">
        <v>85</v>
      </c>
      <c r="R7448" t="s">
        <v>33296</v>
      </c>
      <c r="W7448" t="s">
        <v>33294</v>
      </c>
      <c r="X7448" t="s">
        <v>329</v>
      </c>
      <c r="Y7448" t="s">
        <v>97</v>
      </c>
      <c r="Z7448" t="s">
        <v>77</v>
      </c>
      <c r="AA7448" t="str">
        <f>"10029-6500"</f>
        <v>10029-6500</v>
      </c>
      <c r="AB7448" t="s">
        <v>78</v>
      </c>
      <c r="AC7448" t="s">
        <v>79</v>
      </c>
      <c r="AD7448" t="s">
        <v>75</v>
      </c>
      <c r="AE7448" t="s">
        <v>80</v>
      </c>
      <c r="AG7448" t="s">
        <v>81</v>
      </c>
    </row>
    <row r="7449" spans="1:33" x14ac:dyDescent="0.25">
      <c r="C7449" t="s">
        <v>33297</v>
      </c>
      <c r="G7449" t="s">
        <v>24003</v>
      </c>
      <c r="J7449" t="s">
        <v>24004</v>
      </c>
      <c r="K7449" t="s">
        <v>206</v>
      </c>
      <c r="L7449" t="s">
        <v>100</v>
      </c>
      <c r="M7449" t="s">
        <v>75</v>
      </c>
      <c r="N7449" t="s">
        <v>33298</v>
      </c>
      <c r="O7449" t="s">
        <v>431</v>
      </c>
      <c r="P7449" t="s">
        <v>77</v>
      </c>
      <c r="AC7449" t="s">
        <v>79</v>
      </c>
      <c r="AD7449" t="s">
        <v>75</v>
      </c>
      <c r="AE7449" t="s">
        <v>101</v>
      </c>
      <c r="AG7449" t="s">
        <v>81</v>
      </c>
    </row>
    <row r="7450" spans="1:33" x14ac:dyDescent="0.25">
      <c r="A7450" t="str">
        <f>"1942259205"</f>
        <v>1942259205</v>
      </c>
      <c r="B7450" t="str">
        <f>"02690471"</f>
        <v>02690471</v>
      </c>
      <c r="C7450" t="s">
        <v>33299</v>
      </c>
      <c r="D7450" t="s">
        <v>33300</v>
      </c>
      <c r="E7450" t="s">
        <v>33301</v>
      </c>
      <c r="G7450" t="s">
        <v>24003</v>
      </c>
      <c r="J7450" t="s">
        <v>24004</v>
      </c>
      <c r="L7450" t="s">
        <v>74</v>
      </c>
      <c r="M7450" t="s">
        <v>85</v>
      </c>
      <c r="R7450" t="s">
        <v>33302</v>
      </c>
      <c r="W7450" t="s">
        <v>33301</v>
      </c>
      <c r="X7450" t="s">
        <v>1834</v>
      </c>
      <c r="Y7450" t="s">
        <v>194</v>
      </c>
      <c r="Z7450" t="s">
        <v>77</v>
      </c>
      <c r="AA7450" t="str">
        <f>"11378-1825"</f>
        <v>11378-1825</v>
      </c>
      <c r="AB7450" t="s">
        <v>78</v>
      </c>
      <c r="AC7450" t="s">
        <v>79</v>
      </c>
      <c r="AD7450" t="s">
        <v>75</v>
      </c>
      <c r="AE7450" t="s">
        <v>80</v>
      </c>
      <c r="AG7450" t="s">
        <v>81</v>
      </c>
    </row>
    <row r="7451" spans="1:33" x14ac:dyDescent="0.25">
      <c r="A7451" t="str">
        <f>"1164498515"</f>
        <v>1164498515</v>
      </c>
      <c r="B7451" t="str">
        <f>"02778054"</f>
        <v>02778054</v>
      </c>
      <c r="C7451" t="s">
        <v>33303</v>
      </c>
      <c r="D7451" t="s">
        <v>1725</v>
      </c>
      <c r="E7451" t="s">
        <v>1726</v>
      </c>
      <c r="G7451" t="s">
        <v>33303</v>
      </c>
      <c r="H7451" t="s">
        <v>33304</v>
      </c>
      <c r="J7451" t="s">
        <v>33305</v>
      </c>
      <c r="L7451" t="s">
        <v>84</v>
      </c>
      <c r="M7451" t="s">
        <v>85</v>
      </c>
      <c r="R7451" t="s">
        <v>1724</v>
      </c>
      <c r="W7451" t="s">
        <v>1727</v>
      </c>
      <c r="X7451" t="s">
        <v>756</v>
      </c>
      <c r="Y7451" t="s">
        <v>87</v>
      </c>
      <c r="Z7451" t="s">
        <v>77</v>
      </c>
      <c r="AA7451" t="str">
        <f>"11216-2093"</f>
        <v>11216-2093</v>
      </c>
      <c r="AB7451" t="s">
        <v>78</v>
      </c>
      <c r="AC7451" t="s">
        <v>79</v>
      </c>
      <c r="AD7451" t="s">
        <v>75</v>
      </c>
      <c r="AE7451" t="s">
        <v>80</v>
      </c>
      <c r="AG7451" t="s">
        <v>81</v>
      </c>
    </row>
    <row r="7452" spans="1:33" x14ac:dyDescent="0.25">
      <c r="A7452" t="str">
        <f>"1790850998"</f>
        <v>1790850998</v>
      </c>
      <c r="B7452" t="str">
        <f>"02748396"</f>
        <v>02748396</v>
      </c>
      <c r="C7452" t="s">
        <v>33306</v>
      </c>
      <c r="D7452" t="s">
        <v>33307</v>
      </c>
      <c r="E7452" t="s">
        <v>33308</v>
      </c>
      <c r="G7452" t="s">
        <v>33306</v>
      </c>
      <c r="H7452" t="s">
        <v>33309</v>
      </c>
      <c r="J7452" t="s">
        <v>33310</v>
      </c>
      <c r="L7452" t="s">
        <v>84</v>
      </c>
      <c r="M7452" t="s">
        <v>75</v>
      </c>
      <c r="R7452" t="s">
        <v>33311</v>
      </c>
      <c r="W7452" t="s">
        <v>33308</v>
      </c>
      <c r="X7452" t="s">
        <v>819</v>
      </c>
      <c r="Y7452" t="s">
        <v>171</v>
      </c>
      <c r="Z7452" t="s">
        <v>77</v>
      </c>
      <c r="AA7452" t="str">
        <f>"11418-2619"</f>
        <v>11418-2619</v>
      </c>
      <c r="AB7452" t="s">
        <v>78</v>
      </c>
      <c r="AC7452" t="s">
        <v>79</v>
      </c>
      <c r="AD7452" t="s">
        <v>75</v>
      </c>
      <c r="AE7452" t="s">
        <v>80</v>
      </c>
      <c r="AG7452" t="s">
        <v>81</v>
      </c>
    </row>
    <row r="7453" spans="1:33" x14ac:dyDescent="0.25">
      <c r="A7453" t="str">
        <f>"1467560656"</f>
        <v>1467560656</v>
      </c>
      <c r="B7453" t="str">
        <f>"01807496"</f>
        <v>01807496</v>
      </c>
      <c r="C7453" t="s">
        <v>33312</v>
      </c>
      <c r="D7453" t="s">
        <v>571</v>
      </c>
      <c r="E7453" t="s">
        <v>572</v>
      </c>
      <c r="G7453" t="s">
        <v>33312</v>
      </c>
      <c r="H7453" t="s">
        <v>33313</v>
      </c>
      <c r="J7453" t="s">
        <v>33314</v>
      </c>
      <c r="L7453" t="s">
        <v>84</v>
      </c>
      <c r="M7453" t="s">
        <v>75</v>
      </c>
      <c r="R7453" t="s">
        <v>573</v>
      </c>
      <c r="W7453" t="s">
        <v>572</v>
      </c>
      <c r="X7453" t="s">
        <v>574</v>
      </c>
      <c r="Y7453" t="s">
        <v>129</v>
      </c>
      <c r="Z7453" t="s">
        <v>77</v>
      </c>
      <c r="AA7453" t="str">
        <f>"11372-3054"</f>
        <v>11372-3054</v>
      </c>
      <c r="AB7453" t="s">
        <v>78</v>
      </c>
      <c r="AC7453" t="s">
        <v>79</v>
      </c>
      <c r="AD7453" t="s">
        <v>75</v>
      </c>
      <c r="AE7453" t="s">
        <v>80</v>
      </c>
      <c r="AG7453" t="s">
        <v>81</v>
      </c>
    </row>
    <row r="7454" spans="1:33" x14ac:dyDescent="0.25">
      <c r="A7454" t="str">
        <f>"1578599494"</f>
        <v>1578599494</v>
      </c>
      <c r="B7454" t="str">
        <f>"01935840"</f>
        <v>01935840</v>
      </c>
      <c r="C7454" t="s">
        <v>13436</v>
      </c>
      <c r="D7454" t="s">
        <v>33315</v>
      </c>
      <c r="E7454" t="s">
        <v>33316</v>
      </c>
      <c r="G7454" t="s">
        <v>33317</v>
      </c>
      <c r="L7454" t="s">
        <v>83</v>
      </c>
      <c r="M7454" t="s">
        <v>85</v>
      </c>
      <c r="R7454" t="s">
        <v>33318</v>
      </c>
      <c r="W7454" t="s">
        <v>33316</v>
      </c>
      <c r="X7454" t="s">
        <v>33319</v>
      </c>
      <c r="Y7454" t="s">
        <v>97</v>
      </c>
      <c r="Z7454" t="s">
        <v>77</v>
      </c>
      <c r="AA7454" t="str">
        <f>"10075-1850"</f>
        <v>10075-1850</v>
      </c>
      <c r="AB7454" t="s">
        <v>78</v>
      </c>
      <c r="AC7454" t="s">
        <v>79</v>
      </c>
      <c r="AD7454" t="s">
        <v>75</v>
      </c>
      <c r="AE7454" t="s">
        <v>80</v>
      </c>
      <c r="AG7454" t="s">
        <v>81</v>
      </c>
    </row>
    <row r="7455" spans="1:33" x14ac:dyDescent="0.25">
      <c r="A7455" t="str">
        <f>"1417192360"</f>
        <v>1417192360</v>
      </c>
      <c r="B7455" t="str">
        <f>"03469312"</f>
        <v>03469312</v>
      </c>
      <c r="C7455" t="s">
        <v>13436</v>
      </c>
      <c r="D7455" t="s">
        <v>33320</v>
      </c>
      <c r="E7455" t="s">
        <v>33321</v>
      </c>
      <c r="G7455" t="s">
        <v>33322</v>
      </c>
      <c r="L7455" t="s">
        <v>105</v>
      </c>
      <c r="M7455" t="s">
        <v>85</v>
      </c>
      <c r="R7455" t="s">
        <v>33323</v>
      </c>
      <c r="W7455" t="s">
        <v>33321</v>
      </c>
      <c r="X7455" t="s">
        <v>329</v>
      </c>
      <c r="Y7455" t="s">
        <v>97</v>
      </c>
      <c r="Z7455" t="s">
        <v>77</v>
      </c>
      <c r="AA7455" t="str">
        <f>"10029-6500"</f>
        <v>10029-6500</v>
      </c>
      <c r="AB7455" t="s">
        <v>78</v>
      </c>
      <c r="AC7455" t="s">
        <v>79</v>
      </c>
      <c r="AD7455" t="s">
        <v>75</v>
      </c>
      <c r="AE7455" t="s">
        <v>80</v>
      </c>
      <c r="AG7455" t="s">
        <v>81</v>
      </c>
    </row>
    <row r="7456" spans="1:33" x14ac:dyDescent="0.25">
      <c r="A7456" t="str">
        <f>"1417994922"</f>
        <v>1417994922</v>
      </c>
      <c r="B7456" t="str">
        <f>"01027256"</f>
        <v>01027256</v>
      </c>
      <c r="C7456" t="s">
        <v>13436</v>
      </c>
      <c r="D7456" t="s">
        <v>33324</v>
      </c>
      <c r="E7456" t="s">
        <v>33325</v>
      </c>
      <c r="G7456" t="s">
        <v>33326</v>
      </c>
      <c r="L7456" t="s">
        <v>84</v>
      </c>
      <c r="M7456" t="s">
        <v>75</v>
      </c>
      <c r="R7456" t="s">
        <v>33327</v>
      </c>
      <c r="W7456" t="s">
        <v>33328</v>
      </c>
      <c r="X7456" t="s">
        <v>228</v>
      </c>
      <c r="Y7456" t="s">
        <v>91</v>
      </c>
      <c r="Z7456" t="s">
        <v>77</v>
      </c>
      <c r="AA7456" t="str">
        <f>"11373-1329"</f>
        <v>11373-1329</v>
      </c>
      <c r="AB7456" t="s">
        <v>78</v>
      </c>
      <c r="AC7456" t="s">
        <v>79</v>
      </c>
      <c r="AD7456" t="s">
        <v>75</v>
      </c>
      <c r="AE7456" t="s">
        <v>80</v>
      </c>
      <c r="AG7456" t="s">
        <v>81</v>
      </c>
    </row>
    <row r="7457" spans="1:33" x14ac:dyDescent="0.25">
      <c r="A7457" t="str">
        <f>"1003972472"</f>
        <v>1003972472</v>
      </c>
      <c r="B7457" t="str">
        <f>"00866853"</f>
        <v>00866853</v>
      </c>
      <c r="C7457" t="s">
        <v>13436</v>
      </c>
      <c r="D7457" t="s">
        <v>5135</v>
      </c>
      <c r="E7457" t="s">
        <v>5136</v>
      </c>
      <c r="G7457" t="s">
        <v>33329</v>
      </c>
      <c r="L7457" t="s">
        <v>83</v>
      </c>
      <c r="M7457" t="s">
        <v>75</v>
      </c>
      <c r="R7457" t="s">
        <v>5137</v>
      </c>
      <c r="W7457" t="s">
        <v>5136</v>
      </c>
      <c r="X7457" t="s">
        <v>3553</v>
      </c>
      <c r="Y7457" t="s">
        <v>97</v>
      </c>
      <c r="Z7457" t="s">
        <v>77</v>
      </c>
      <c r="AA7457" t="str">
        <f>"10003-3851"</f>
        <v>10003-3851</v>
      </c>
      <c r="AB7457" t="s">
        <v>78</v>
      </c>
      <c r="AC7457" t="s">
        <v>79</v>
      </c>
      <c r="AD7457" t="s">
        <v>75</v>
      </c>
      <c r="AE7457" t="s">
        <v>80</v>
      </c>
      <c r="AG7457" t="s">
        <v>81</v>
      </c>
    </row>
    <row r="7458" spans="1:33" x14ac:dyDescent="0.25">
      <c r="A7458" t="str">
        <f>"1013091362"</f>
        <v>1013091362</v>
      </c>
      <c r="B7458" t="str">
        <f>"00491772"</f>
        <v>00491772</v>
      </c>
      <c r="C7458" t="s">
        <v>13436</v>
      </c>
      <c r="D7458" t="s">
        <v>33330</v>
      </c>
      <c r="E7458" t="s">
        <v>33331</v>
      </c>
      <c r="G7458" t="s">
        <v>33332</v>
      </c>
      <c r="L7458" t="s">
        <v>83</v>
      </c>
      <c r="M7458" t="s">
        <v>75</v>
      </c>
      <c r="R7458" t="s">
        <v>33333</v>
      </c>
      <c r="W7458" t="s">
        <v>33331</v>
      </c>
      <c r="X7458" t="s">
        <v>33334</v>
      </c>
      <c r="Y7458" t="s">
        <v>97</v>
      </c>
      <c r="Z7458" t="s">
        <v>77</v>
      </c>
      <c r="AA7458" t="str">
        <f>"10002-5601"</f>
        <v>10002-5601</v>
      </c>
      <c r="AB7458" t="s">
        <v>78</v>
      </c>
      <c r="AC7458" t="s">
        <v>79</v>
      </c>
      <c r="AD7458" t="s">
        <v>75</v>
      </c>
      <c r="AE7458" t="s">
        <v>80</v>
      </c>
      <c r="AG7458" t="s">
        <v>81</v>
      </c>
    </row>
    <row r="7459" spans="1:33" x14ac:dyDescent="0.25">
      <c r="A7459" t="str">
        <f>"1750541645"</f>
        <v>1750541645</v>
      </c>
      <c r="B7459" t="str">
        <f>"03236817"</f>
        <v>03236817</v>
      </c>
      <c r="C7459" t="s">
        <v>13436</v>
      </c>
      <c r="D7459" t="s">
        <v>33335</v>
      </c>
      <c r="E7459" t="s">
        <v>33336</v>
      </c>
      <c r="G7459" t="s">
        <v>33337</v>
      </c>
      <c r="L7459" t="s">
        <v>84</v>
      </c>
      <c r="M7459" t="s">
        <v>85</v>
      </c>
      <c r="R7459" t="s">
        <v>33338</v>
      </c>
      <c r="W7459" t="s">
        <v>33336</v>
      </c>
      <c r="X7459" t="s">
        <v>1771</v>
      </c>
      <c r="Y7459" t="s">
        <v>1772</v>
      </c>
      <c r="Z7459" t="s">
        <v>77</v>
      </c>
      <c r="AA7459" t="str">
        <f>"12010-1054"</f>
        <v>12010-1054</v>
      </c>
      <c r="AB7459" t="s">
        <v>78</v>
      </c>
      <c r="AC7459" t="s">
        <v>79</v>
      </c>
      <c r="AD7459" t="s">
        <v>75</v>
      </c>
      <c r="AE7459" t="s">
        <v>80</v>
      </c>
      <c r="AG7459" t="s">
        <v>81</v>
      </c>
    </row>
    <row r="7460" spans="1:33" x14ac:dyDescent="0.25">
      <c r="A7460" t="str">
        <f>"1750589446"</f>
        <v>1750589446</v>
      </c>
      <c r="B7460" t="str">
        <f>"03787377"</f>
        <v>03787377</v>
      </c>
      <c r="C7460" t="s">
        <v>13436</v>
      </c>
      <c r="D7460" t="s">
        <v>33339</v>
      </c>
      <c r="E7460" t="s">
        <v>33340</v>
      </c>
      <c r="G7460" t="s">
        <v>33341</v>
      </c>
      <c r="L7460" t="s">
        <v>83</v>
      </c>
      <c r="M7460" t="s">
        <v>85</v>
      </c>
      <c r="R7460" t="s">
        <v>33342</v>
      </c>
      <c r="W7460" t="s">
        <v>33340</v>
      </c>
      <c r="X7460" t="s">
        <v>19359</v>
      </c>
      <c r="Y7460" t="s">
        <v>97</v>
      </c>
      <c r="Z7460" t="s">
        <v>77</v>
      </c>
      <c r="AA7460" t="str">
        <f>"10019-8022"</f>
        <v>10019-8022</v>
      </c>
      <c r="AB7460" t="s">
        <v>78</v>
      </c>
      <c r="AC7460" t="s">
        <v>79</v>
      </c>
      <c r="AD7460" t="s">
        <v>75</v>
      </c>
      <c r="AE7460" t="s">
        <v>80</v>
      </c>
      <c r="AG7460" t="s">
        <v>81</v>
      </c>
    </row>
    <row r="7461" spans="1:33" x14ac:dyDescent="0.25">
      <c r="A7461" t="str">
        <f>"1750667663"</f>
        <v>1750667663</v>
      </c>
      <c r="C7461" t="s">
        <v>13436</v>
      </c>
      <c r="G7461" t="s">
        <v>33343</v>
      </c>
      <c r="K7461" t="s">
        <v>99</v>
      </c>
      <c r="L7461" t="s">
        <v>102</v>
      </c>
      <c r="M7461" t="s">
        <v>85</v>
      </c>
      <c r="R7461" t="s">
        <v>33344</v>
      </c>
      <c r="S7461" t="s">
        <v>33345</v>
      </c>
      <c r="T7461" t="s">
        <v>97</v>
      </c>
      <c r="U7461" t="s">
        <v>77</v>
      </c>
      <c r="V7461" t="str">
        <f>"100033314"</f>
        <v>100033314</v>
      </c>
      <c r="AC7461" t="s">
        <v>79</v>
      </c>
      <c r="AD7461" t="s">
        <v>75</v>
      </c>
      <c r="AE7461" t="s">
        <v>103</v>
      </c>
      <c r="AG7461" t="s">
        <v>81</v>
      </c>
    </row>
    <row r="7462" spans="1:33" x14ac:dyDescent="0.25">
      <c r="A7462" t="str">
        <f>"1760463137"</f>
        <v>1760463137</v>
      </c>
      <c r="B7462" t="str">
        <f>"02338705"</f>
        <v>02338705</v>
      </c>
      <c r="C7462" t="s">
        <v>13436</v>
      </c>
      <c r="D7462" t="s">
        <v>33346</v>
      </c>
      <c r="E7462" t="s">
        <v>33347</v>
      </c>
      <c r="G7462" t="s">
        <v>33348</v>
      </c>
      <c r="L7462" t="s">
        <v>83</v>
      </c>
      <c r="M7462" t="s">
        <v>85</v>
      </c>
      <c r="R7462" t="s">
        <v>33349</v>
      </c>
      <c r="W7462" t="s">
        <v>33347</v>
      </c>
      <c r="X7462" t="s">
        <v>2692</v>
      </c>
      <c r="Y7462" t="s">
        <v>97</v>
      </c>
      <c r="Z7462" t="s">
        <v>77</v>
      </c>
      <c r="AA7462" t="str">
        <f>"10007-3001"</f>
        <v>10007-3001</v>
      </c>
      <c r="AB7462" t="s">
        <v>93</v>
      </c>
      <c r="AC7462" t="s">
        <v>79</v>
      </c>
      <c r="AD7462" t="s">
        <v>75</v>
      </c>
      <c r="AE7462" t="s">
        <v>80</v>
      </c>
      <c r="AG7462" t="s">
        <v>81</v>
      </c>
    </row>
    <row r="7463" spans="1:33" x14ac:dyDescent="0.25">
      <c r="A7463" t="str">
        <f>"1760612840"</f>
        <v>1760612840</v>
      </c>
      <c r="B7463" t="str">
        <f>"03465643"</f>
        <v>03465643</v>
      </c>
      <c r="C7463" t="s">
        <v>13436</v>
      </c>
      <c r="D7463" t="s">
        <v>33350</v>
      </c>
      <c r="E7463" t="s">
        <v>33351</v>
      </c>
      <c r="G7463" t="s">
        <v>33352</v>
      </c>
      <c r="L7463" t="s">
        <v>83</v>
      </c>
      <c r="M7463" t="s">
        <v>85</v>
      </c>
      <c r="R7463" t="s">
        <v>33353</v>
      </c>
      <c r="W7463" t="s">
        <v>33351</v>
      </c>
      <c r="X7463" t="s">
        <v>181</v>
      </c>
      <c r="Y7463" t="s">
        <v>97</v>
      </c>
      <c r="Z7463" t="s">
        <v>77</v>
      </c>
      <c r="AA7463" t="str">
        <f>"10025-1716"</f>
        <v>10025-1716</v>
      </c>
      <c r="AB7463" t="s">
        <v>78</v>
      </c>
      <c r="AC7463" t="s">
        <v>79</v>
      </c>
      <c r="AD7463" t="s">
        <v>75</v>
      </c>
      <c r="AE7463" t="s">
        <v>80</v>
      </c>
      <c r="AG7463" t="s">
        <v>81</v>
      </c>
    </row>
    <row r="7464" spans="1:33" x14ac:dyDescent="0.25">
      <c r="A7464" t="str">
        <f>"1760629034"</f>
        <v>1760629034</v>
      </c>
      <c r="B7464" t="str">
        <f>"03937895"</f>
        <v>03937895</v>
      </c>
      <c r="C7464" t="s">
        <v>13436</v>
      </c>
      <c r="D7464" t="s">
        <v>33354</v>
      </c>
      <c r="E7464" t="s">
        <v>33355</v>
      </c>
      <c r="G7464" t="s">
        <v>33356</v>
      </c>
      <c r="L7464" t="s">
        <v>83</v>
      </c>
      <c r="M7464" t="s">
        <v>85</v>
      </c>
      <c r="R7464" t="s">
        <v>33357</v>
      </c>
      <c r="W7464" t="s">
        <v>33355</v>
      </c>
      <c r="X7464" t="s">
        <v>191</v>
      </c>
      <c r="Y7464" t="s">
        <v>97</v>
      </c>
      <c r="Z7464" t="s">
        <v>77</v>
      </c>
      <c r="AA7464" t="str">
        <f>"10019-1147"</f>
        <v>10019-1147</v>
      </c>
      <c r="AB7464" t="s">
        <v>78</v>
      </c>
      <c r="AC7464" t="s">
        <v>79</v>
      </c>
      <c r="AD7464" t="s">
        <v>75</v>
      </c>
      <c r="AE7464" t="s">
        <v>80</v>
      </c>
      <c r="AG7464" t="s">
        <v>81</v>
      </c>
    </row>
    <row r="7465" spans="1:33" x14ac:dyDescent="0.25">
      <c r="A7465" t="str">
        <f>"1760709265"</f>
        <v>1760709265</v>
      </c>
      <c r="B7465" t="str">
        <f>"03600126"</f>
        <v>03600126</v>
      </c>
      <c r="C7465" t="s">
        <v>13436</v>
      </c>
      <c r="D7465" t="s">
        <v>33358</v>
      </c>
      <c r="E7465" t="s">
        <v>33359</v>
      </c>
      <c r="G7465" t="s">
        <v>33360</v>
      </c>
      <c r="L7465" t="s">
        <v>84</v>
      </c>
      <c r="M7465" t="s">
        <v>85</v>
      </c>
      <c r="R7465" t="s">
        <v>33361</v>
      </c>
      <c r="W7465" t="s">
        <v>33359</v>
      </c>
      <c r="X7465" t="s">
        <v>181</v>
      </c>
      <c r="Y7465" t="s">
        <v>97</v>
      </c>
      <c r="Z7465" t="s">
        <v>77</v>
      </c>
      <c r="AA7465" t="str">
        <f>"10025-1716"</f>
        <v>10025-1716</v>
      </c>
      <c r="AB7465" t="s">
        <v>78</v>
      </c>
      <c r="AC7465" t="s">
        <v>79</v>
      </c>
      <c r="AD7465" t="s">
        <v>75</v>
      </c>
      <c r="AE7465" t="s">
        <v>80</v>
      </c>
      <c r="AG7465" t="s">
        <v>81</v>
      </c>
    </row>
    <row r="7466" spans="1:33" x14ac:dyDescent="0.25">
      <c r="A7466" t="str">
        <f>"1760789515"</f>
        <v>1760789515</v>
      </c>
      <c r="B7466" t="str">
        <f>"03423892"</f>
        <v>03423892</v>
      </c>
      <c r="C7466" t="s">
        <v>13436</v>
      </c>
      <c r="D7466" t="s">
        <v>5849</v>
      </c>
      <c r="E7466" t="s">
        <v>5850</v>
      </c>
      <c r="G7466" t="s">
        <v>33362</v>
      </c>
      <c r="L7466" t="s">
        <v>74</v>
      </c>
      <c r="M7466" t="s">
        <v>85</v>
      </c>
      <c r="R7466" t="s">
        <v>5851</v>
      </c>
      <c r="W7466" t="s">
        <v>5850</v>
      </c>
      <c r="X7466" t="s">
        <v>5852</v>
      </c>
      <c r="Y7466" t="s">
        <v>97</v>
      </c>
      <c r="Z7466" t="s">
        <v>77</v>
      </c>
      <c r="AA7466" t="str">
        <f>"10025-1716"</f>
        <v>10025-1716</v>
      </c>
      <c r="AB7466" t="s">
        <v>78</v>
      </c>
      <c r="AC7466" t="s">
        <v>79</v>
      </c>
      <c r="AD7466" t="s">
        <v>75</v>
      </c>
      <c r="AE7466" t="s">
        <v>80</v>
      </c>
      <c r="AG7466" t="s">
        <v>81</v>
      </c>
    </row>
    <row r="7467" spans="1:33" x14ac:dyDescent="0.25">
      <c r="A7467" t="str">
        <f>"1063671634"</f>
        <v>1063671634</v>
      </c>
      <c r="B7467" t="str">
        <f>"03102976"</f>
        <v>03102976</v>
      </c>
      <c r="C7467" t="s">
        <v>13436</v>
      </c>
      <c r="D7467" t="s">
        <v>33363</v>
      </c>
      <c r="E7467" t="s">
        <v>33364</v>
      </c>
      <c r="G7467" t="s">
        <v>33365</v>
      </c>
      <c r="L7467" t="s">
        <v>83</v>
      </c>
      <c r="M7467" t="s">
        <v>85</v>
      </c>
      <c r="R7467" t="s">
        <v>33366</v>
      </c>
      <c r="W7467" t="s">
        <v>33367</v>
      </c>
      <c r="X7467" t="s">
        <v>30869</v>
      </c>
      <c r="Y7467" t="s">
        <v>97</v>
      </c>
      <c r="Z7467" t="s">
        <v>77</v>
      </c>
      <c r="AA7467" t="str">
        <f>"10029-0000"</f>
        <v>10029-0000</v>
      </c>
      <c r="AB7467" t="s">
        <v>78</v>
      </c>
      <c r="AC7467" t="s">
        <v>79</v>
      </c>
      <c r="AD7467" t="s">
        <v>75</v>
      </c>
      <c r="AE7467" t="s">
        <v>80</v>
      </c>
      <c r="AG7467" t="s">
        <v>81</v>
      </c>
    </row>
    <row r="7468" spans="1:33" x14ac:dyDescent="0.25">
      <c r="A7468" t="str">
        <f>"1063677482"</f>
        <v>1063677482</v>
      </c>
      <c r="B7468" t="str">
        <f>"03916130"</f>
        <v>03916130</v>
      </c>
      <c r="C7468" t="s">
        <v>13436</v>
      </c>
      <c r="D7468" t="s">
        <v>33368</v>
      </c>
      <c r="E7468" t="s">
        <v>33369</v>
      </c>
      <c r="G7468" t="s">
        <v>33370</v>
      </c>
      <c r="L7468" t="s">
        <v>74</v>
      </c>
      <c r="M7468" t="s">
        <v>75</v>
      </c>
      <c r="R7468" t="s">
        <v>33371</v>
      </c>
      <c r="W7468" t="s">
        <v>33372</v>
      </c>
      <c r="X7468" t="s">
        <v>2608</v>
      </c>
      <c r="Y7468" t="s">
        <v>97</v>
      </c>
      <c r="Z7468" t="s">
        <v>77</v>
      </c>
      <c r="AA7468" t="str">
        <f>"10003-4201"</f>
        <v>10003-4201</v>
      </c>
      <c r="AB7468" t="s">
        <v>78</v>
      </c>
      <c r="AC7468" t="s">
        <v>79</v>
      </c>
      <c r="AD7468" t="s">
        <v>75</v>
      </c>
      <c r="AE7468" t="s">
        <v>80</v>
      </c>
      <c r="AG7468" t="s">
        <v>81</v>
      </c>
    </row>
    <row r="7469" spans="1:33" x14ac:dyDescent="0.25">
      <c r="A7469" t="str">
        <f>"1235368945"</f>
        <v>1235368945</v>
      </c>
      <c r="B7469" t="str">
        <f>"04286999"</f>
        <v>04286999</v>
      </c>
      <c r="C7469" t="s">
        <v>13436</v>
      </c>
      <c r="D7469" t="s">
        <v>33373</v>
      </c>
      <c r="E7469" t="s">
        <v>33374</v>
      </c>
      <c r="L7469" t="s">
        <v>74</v>
      </c>
      <c r="M7469" t="s">
        <v>75</v>
      </c>
      <c r="R7469" t="s">
        <v>33375</v>
      </c>
      <c r="W7469" t="s">
        <v>33374</v>
      </c>
      <c r="X7469" t="s">
        <v>6256</v>
      </c>
      <c r="Y7469" t="s">
        <v>97</v>
      </c>
      <c r="Z7469" t="s">
        <v>77</v>
      </c>
      <c r="AA7469" t="str">
        <f>"10128-5604"</f>
        <v>10128-5604</v>
      </c>
      <c r="AB7469" t="s">
        <v>78</v>
      </c>
      <c r="AC7469" t="s">
        <v>79</v>
      </c>
      <c r="AD7469" t="s">
        <v>75</v>
      </c>
      <c r="AE7469" t="s">
        <v>80</v>
      </c>
      <c r="AG7469" t="s">
        <v>81</v>
      </c>
    </row>
    <row r="7470" spans="1:33" x14ac:dyDescent="0.25">
      <c r="A7470" t="str">
        <f>"1235371881"</f>
        <v>1235371881</v>
      </c>
      <c r="B7470" t="str">
        <f>"04154303"</f>
        <v>04154303</v>
      </c>
      <c r="C7470" t="s">
        <v>13436</v>
      </c>
      <c r="D7470" t="s">
        <v>33376</v>
      </c>
      <c r="E7470" t="s">
        <v>33377</v>
      </c>
      <c r="L7470" t="s">
        <v>83</v>
      </c>
      <c r="M7470" t="s">
        <v>75</v>
      </c>
      <c r="R7470" t="s">
        <v>33377</v>
      </c>
      <c r="W7470" t="s">
        <v>33378</v>
      </c>
      <c r="X7470" t="s">
        <v>202</v>
      </c>
      <c r="Y7470" t="s">
        <v>87</v>
      </c>
      <c r="Z7470" t="s">
        <v>77</v>
      </c>
      <c r="AA7470" t="str">
        <f>"11201-5425"</f>
        <v>11201-5425</v>
      </c>
      <c r="AB7470" t="s">
        <v>78</v>
      </c>
      <c r="AC7470" t="s">
        <v>79</v>
      </c>
      <c r="AD7470" t="s">
        <v>75</v>
      </c>
      <c r="AE7470" t="s">
        <v>80</v>
      </c>
      <c r="AG7470" t="s">
        <v>81</v>
      </c>
    </row>
    <row r="7471" spans="1:33" x14ac:dyDescent="0.25">
      <c r="A7471" t="str">
        <f>"1235372293"</f>
        <v>1235372293</v>
      </c>
      <c r="C7471" t="s">
        <v>13436</v>
      </c>
      <c r="G7471" t="s">
        <v>33379</v>
      </c>
      <c r="K7471" t="s">
        <v>99</v>
      </c>
      <c r="L7471" t="s">
        <v>102</v>
      </c>
      <c r="M7471" t="s">
        <v>75</v>
      </c>
      <c r="R7471" t="s">
        <v>33380</v>
      </c>
      <c r="S7471" t="s">
        <v>33381</v>
      </c>
      <c r="T7471" t="s">
        <v>97</v>
      </c>
      <c r="U7471" t="s">
        <v>77</v>
      </c>
      <c r="V7471" t="str">
        <f>"100296500"</f>
        <v>100296500</v>
      </c>
      <c r="AC7471" t="s">
        <v>79</v>
      </c>
      <c r="AD7471" t="s">
        <v>75</v>
      </c>
      <c r="AE7471" t="s">
        <v>103</v>
      </c>
      <c r="AG7471" t="s">
        <v>81</v>
      </c>
    </row>
    <row r="7472" spans="1:33" x14ac:dyDescent="0.25">
      <c r="A7472" t="str">
        <f>"1528386158"</f>
        <v>1528386158</v>
      </c>
      <c r="B7472" t="str">
        <f>"04511455"</f>
        <v>04511455</v>
      </c>
      <c r="C7472" t="s">
        <v>13436</v>
      </c>
      <c r="D7472" t="s">
        <v>33382</v>
      </c>
      <c r="E7472" t="s">
        <v>33383</v>
      </c>
      <c r="L7472" t="s">
        <v>102</v>
      </c>
      <c r="M7472" t="s">
        <v>75</v>
      </c>
      <c r="R7472" t="s">
        <v>33384</v>
      </c>
      <c r="W7472" t="s">
        <v>33383</v>
      </c>
      <c r="AB7472" t="s">
        <v>78</v>
      </c>
      <c r="AC7472" t="s">
        <v>79</v>
      </c>
      <c r="AD7472" t="s">
        <v>75</v>
      </c>
      <c r="AE7472" t="s">
        <v>80</v>
      </c>
      <c r="AG7472" t="s">
        <v>81</v>
      </c>
    </row>
    <row r="7473" spans="1:33" x14ac:dyDescent="0.25">
      <c r="A7473" t="str">
        <f>"1528386380"</f>
        <v>1528386380</v>
      </c>
      <c r="B7473" t="str">
        <f>"03589168"</f>
        <v>03589168</v>
      </c>
      <c r="C7473" t="s">
        <v>13436</v>
      </c>
      <c r="D7473" t="s">
        <v>33385</v>
      </c>
      <c r="E7473" t="s">
        <v>33386</v>
      </c>
      <c r="L7473" t="s">
        <v>74</v>
      </c>
      <c r="M7473" t="s">
        <v>75</v>
      </c>
      <c r="R7473" t="s">
        <v>33386</v>
      </c>
      <c r="W7473" t="s">
        <v>33386</v>
      </c>
      <c r="X7473" t="s">
        <v>33387</v>
      </c>
      <c r="Y7473" t="s">
        <v>97</v>
      </c>
      <c r="Z7473" t="s">
        <v>77</v>
      </c>
      <c r="AA7473" t="str">
        <f>"10065-4870"</f>
        <v>10065-4870</v>
      </c>
      <c r="AB7473" t="s">
        <v>78</v>
      </c>
      <c r="AC7473" t="s">
        <v>79</v>
      </c>
      <c r="AD7473" t="s">
        <v>75</v>
      </c>
      <c r="AE7473" t="s">
        <v>80</v>
      </c>
      <c r="AG7473" t="s">
        <v>81</v>
      </c>
    </row>
    <row r="7474" spans="1:33" x14ac:dyDescent="0.25">
      <c r="A7474" t="str">
        <f>"1528387875"</f>
        <v>1528387875</v>
      </c>
      <c r="C7474" t="s">
        <v>13436</v>
      </c>
      <c r="K7474" t="s">
        <v>99</v>
      </c>
      <c r="L7474" t="s">
        <v>102</v>
      </c>
      <c r="M7474" t="s">
        <v>75</v>
      </c>
      <c r="R7474" t="s">
        <v>33388</v>
      </c>
      <c r="S7474" t="s">
        <v>33389</v>
      </c>
      <c r="T7474" t="s">
        <v>2578</v>
      </c>
      <c r="U7474" t="s">
        <v>123</v>
      </c>
      <c r="V7474" t="str">
        <f>"021391047"</f>
        <v>021391047</v>
      </c>
      <c r="AC7474" t="s">
        <v>79</v>
      </c>
      <c r="AD7474" t="s">
        <v>75</v>
      </c>
      <c r="AE7474" t="s">
        <v>103</v>
      </c>
      <c r="AG7474" t="s">
        <v>81</v>
      </c>
    </row>
    <row r="7475" spans="1:33" x14ac:dyDescent="0.25">
      <c r="A7475" t="str">
        <f>"1063711554"</f>
        <v>1063711554</v>
      </c>
      <c r="C7475" t="s">
        <v>13436</v>
      </c>
      <c r="K7475" t="s">
        <v>99</v>
      </c>
      <c r="L7475" t="s">
        <v>74</v>
      </c>
      <c r="M7475" t="s">
        <v>75</v>
      </c>
      <c r="R7475" t="s">
        <v>33390</v>
      </c>
      <c r="S7475" t="s">
        <v>33391</v>
      </c>
      <c r="T7475" t="s">
        <v>2633</v>
      </c>
      <c r="U7475" t="s">
        <v>1842</v>
      </c>
      <c r="V7475" t="str">
        <f>"069021627"</f>
        <v>069021627</v>
      </c>
      <c r="AC7475" t="s">
        <v>79</v>
      </c>
      <c r="AD7475" t="s">
        <v>75</v>
      </c>
      <c r="AE7475" t="s">
        <v>103</v>
      </c>
      <c r="AG7475" t="s">
        <v>81</v>
      </c>
    </row>
    <row r="7476" spans="1:33" x14ac:dyDescent="0.25">
      <c r="A7476" t="str">
        <f>"1235421801"</f>
        <v>1235421801</v>
      </c>
      <c r="C7476" t="s">
        <v>13436</v>
      </c>
      <c r="K7476" t="s">
        <v>99</v>
      </c>
      <c r="L7476" t="s">
        <v>102</v>
      </c>
      <c r="M7476" t="s">
        <v>75</v>
      </c>
      <c r="R7476" t="s">
        <v>33392</v>
      </c>
      <c r="S7476" t="s">
        <v>33393</v>
      </c>
      <c r="T7476" t="s">
        <v>4606</v>
      </c>
      <c r="U7476" t="s">
        <v>3878</v>
      </c>
      <c r="V7476" t="str">
        <f>"752357708"</f>
        <v>752357708</v>
      </c>
      <c r="AC7476" t="s">
        <v>79</v>
      </c>
      <c r="AD7476" t="s">
        <v>75</v>
      </c>
      <c r="AE7476" t="s">
        <v>103</v>
      </c>
      <c r="AG7476" t="s">
        <v>81</v>
      </c>
    </row>
    <row r="7477" spans="1:33" x14ac:dyDescent="0.25">
      <c r="A7477" t="str">
        <f>"1235423195"</f>
        <v>1235423195</v>
      </c>
      <c r="B7477" t="str">
        <f>"04047054"</f>
        <v>04047054</v>
      </c>
      <c r="C7477" t="s">
        <v>13436</v>
      </c>
      <c r="D7477" t="s">
        <v>33394</v>
      </c>
      <c r="E7477" t="s">
        <v>33395</v>
      </c>
      <c r="L7477" t="s">
        <v>74</v>
      </c>
      <c r="M7477" t="s">
        <v>75</v>
      </c>
      <c r="R7477" t="s">
        <v>33396</v>
      </c>
      <c r="W7477" t="s">
        <v>33395</v>
      </c>
      <c r="X7477" t="s">
        <v>6696</v>
      </c>
      <c r="Y7477" t="s">
        <v>97</v>
      </c>
      <c r="Z7477" t="s">
        <v>77</v>
      </c>
      <c r="AA7477" t="str">
        <f>"10003-0000"</f>
        <v>10003-0000</v>
      </c>
      <c r="AB7477" t="s">
        <v>78</v>
      </c>
      <c r="AC7477" t="s">
        <v>79</v>
      </c>
      <c r="AD7477" t="s">
        <v>75</v>
      </c>
      <c r="AE7477" t="s">
        <v>80</v>
      </c>
      <c r="AG7477" t="s">
        <v>81</v>
      </c>
    </row>
    <row r="7478" spans="1:33" x14ac:dyDescent="0.25">
      <c r="A7478" t="str">
        <f>"1235423757"</f>
        <v>1235423757</v>
      </c>
      <c r="B7478" t="str">
        <f>"03765313"</f>
        <v>03765313</v>
      </c>
      <c r="C7478" t="s">
        <v>13436</v>
      </c>
      <c r="D7478" t="s">
        <v>33397</v>
      </c>
      <c r="E7478" t="s">
        <v>33398</v>
      </c>
      <c r="G7478" t="s">
        <v>33399</v>
      </c>
      <c r="L7478" t="s">
        <v>102</v>
      </c>
      <c r="M7478" t="s">
        <v>75</v>
      </c>
      <c r="R7478" t="s">
        <v>33398</v>
      </c>
      <c r="W7478" t="s">
        <v>33398</v>
      </c>
      <c r="X7478" t="s">
        <v>329</v>
      </c>
      <c r="Y7478" t="s">
        <v>97</v>
      </c>
      <c r="Z7478" t="s">
        <v>77</v>
      </c>
      <c r="AA7478" t="str">
        <f>"10029-6504"</f>
        <v>10029-6504</v>
      </c>
      <c r="AB7478" t="s">
        <v>78</v>
      </c>
      <c r="AC7478" t="s">
        <v>79</v>
      </c>
      <c r="AD7478" t="s">
        <v>75</v>
      </c>
      <c r="AE7478" t="s">
        <v>80</v>
      </c>
      <c r="AG7478" t="s">
        <v>81</v>
      </c>
    </row>
    <row r="7479" spans="1:33" x14ac:dyDescent="0.25">
      <c r="A7479" t="str">
        <f>"1235428129"</f>
        <v>1235428129</v>
      </c>
      <c r="B7479" t="str">
        <f>"04157397"</f>
        <v>04157397</v>
      </c>
      <c r="C7479" t="s">
        <v>13436</v>
      </c>
      <c r="D7479" t="s">
        <v>6095</v>
      </c>
      <c r="E7479" t="s">
        <v>6096</v>
      </c>
      <c r="L7479" t="s">
        <v>83</v>
      </c>
      <c r="M7479" t="s">
        <v>75</v>
      </c>
      <c r="R7479" t="s">
        <v>6096</v>
      </c>
      <c r="W7479" t="s">
        <v>6097</v>
      </c>
      <c r="X7479" t="s">
        <v>174</v>
      </c>
      <c r="Y7479" t="s">
        <v>131</v>
      </c>
      <c r="Z7479" t="s">
        <v>77</v>
      </c>
      <c r="AA7479" t="str">
        <f>"10461-2301"</f>
        <v>10461-2301</v>
      </c>
      <c r="AB7479" t="s">
        <v>78</v>
      </c>
      <c r="AC7479" t="s">
        <v>79</v>
      </c>
      <c r="AD7479" t="s">
        <v>75</v>
      </c>
      <c r="AE7479" t="s">
        <v>80</v>
      </c>
      <c r="AG7479" t="s">
        <v>81</v>
      </c>
    </row>
    <row r="7480" spans="1:33" x14ac:dyDescent="0.25">
      <c r="A7480" t="str">
        <f>"1114292489"</f>
        <v>1114292489</v>
      </c>
      <c r="C7480" t="s">
        <v>13436</v>
      </c>
      <c r="K7480" t="s">
        <v>99</v>
      </c>
      <c r="L7480" t="s">
        <v>102</v>
      </c>
      <c r="M7480" t="s">
        <v>75</v>
      </c>
      <c r="R7480" t="s">
        <v>33400</v>
      </c>
      <c r="S7480" t="s">
        <v>33401</v>
      </c>
      <c r="T7480" t="s">
        <v>97</v>
      </c>
      <c r="U7480" t="s">
        <v>77</v>
      </c>
      <c r="V7480" t="str">
        <f>"100164842"</f>
        <v>100164842</v>
      </c>
      <c r="AC7480" t="s">
        <v>79</v>
      </c>
      <c r="AD7480" t="s">
        <v>75</v>
      </c>
      <c r="AE7480" t="s">
        <v>103</v>
      </c>
      <c r="AG7480" t="s">
        <v>81</v>
      </c>
    </row>
    <row r="7481" spans="1:33" x14ac:dyDescent="0.25">
      <c r="A7481" t="str">
        <f>"1821001728"</f>
        <v>1821001728</v>
      </c>
      <c r="B7481" t="str">
        <f>"02089921"</f>
        <v>02089921</v>
      </c>
      <c r="C7481" t="s">
        <v>13436</v>
      </c>
      <c r="D7481" t="s">
        <v>33402</v>
      </c>
      <c r="E7481" t="s">
        <v>33403</v>
      </c>
      <c r="G7481" t="s">
        <v>33404</v>
      </c>
      <c r="L7481" t="s">
        <v>83</v>
      </c>
      <c r="M7481" t="s">
        <v>85</v>
      </c>
      <c r="R7481" t="s">
        <v>33405</v>
      </c>
      <c r="W7481" t="s">
        <v>33403</v>
      </c>
      <c r="X7481" t="s">
        <v>33406</v>
      </c>
      <c r="Y7481" t="s">
        <v>97</v>
      </c>
      <c r="Z7481" t="s">
        <v>77</v>
      </c>
      <c r="AA7481" t="str">
        <f>"10034-1159"</f>
        <v>10034-1159</v>
      </c>
      <c r="AB7481" t="s">
        <v>78</v>
      </c>
      <c r="AC7481" t="s">
        <v>79</v>
      </c>
      <c r="AD7481" t="s">
        <v>75</v>
      </c>
      <c r="AE7481" t="s">
        <v>80</v>
      </c>
      <c r="AG7481" t="s">
        <v>81</v>
      </c>
    </row>
    <row r="7482" spans="1:33" x14ac:dyDescent="0.25">
      <c r="A7482" t="str">
        <f>"1275509820"</f>
        <v>1275509820</v>
      </c>
      <c r="B7482" t="str">
        <f>"02168578"</f>
        <v>02168578</v>
      </c>
      <c r="C7482" t="s">
        <v>13436</v>
      </c>
      <c r="D7482" t="s">
        <v>33407</v>
      </c>
      <c r="E7482" t="s">
        <v>33408</v>
      </c>
      <c r="G7482" t="s">
        <v>33409</v>
      </c>
      <c r="L7482" t="s">
        <v>74</v>
      </c>
      <c r="M7482" t="s">
        <v>85</v>
      </c>
      <c r="R7482" t="s">
        <v>33410</v>
      </c>
      <c r="W7482" t="s">
        <v>33411</v>
      </c>
      <c r="X7482" t="s">
        <v>272</v>
      </c>
      <c r="Y7482" t="s">
        <v>97</v>
      </c>
      <c r="Z7482" t="s">
        <v>77</v>
      </c>
      <c r="AA7482" t="str">
        <f>"10029-6501"</f>
        <v>10029-6501</v>
      </c>
      <c r="AB7482" t="s">
        <v>78</v>
      </c>
      <c r="AC7482" t="s">
        <v>79</v>
      </c>
      <c r="AD7482" t="s">
        <v>75</v>
      </c>
      <c r="AE7482" t="s">
        <v>80</v>
      </c>
      <c r="AG7482" t="s">
        <v>81</v>
      </c>
    </row>
    <row r="7483" spans="1:33" x14ac:dyDescent="0.25">
      <c r="A7483" t="str">
        <f>"1275516338"</f>
        <v>1275516338</v>
      </c>
      <c r="B7483" t="str">
        <f>"03134892"</f>
        <v>03134892</v>
      </c>
      <c r="C7483" t="s">
        <v>13436</v>
      </c>
      <c r="D7483" t="s">
        <v>33412</v>
      </c>
      <c r="E7483" t="s">
        <v>33413</v>
      </c>
      <c r="G7483" t="s">
        <v>33414</v>
      </c>
      <c r="L7483" t="s">
        <v>83</v>
      </c>
      <c r="M7483" t="s">
        <v>85</v>
      </c>
      <c r="R7483" t="s">
        <v>33413</v>
      </c>
      <c r="W7483" t="s">
        <v>33413</v>
      </c>
      <c r="X7483" t="s">
        <v>14992</v>
      </c>
      <c r="Y7483" t="s">
        <v>97</v>
      </c>
      <c r="Z7483" t="s">
        <v>77</v>
      </c>
      <c r="AA7483" t="str">
        <f>"10029-6503"</f>
        <v>10029-6503</v>
      </c>
      <c r="AB7483" t="s">
        <v>78</v>
      </c>
      <c r="AC7483" t="s">
        <v>79</v>
      </c>
      <c r="AD7483" t="s">
        <v>75</v>
      </c>
      <c r="AE7483" t="s">
        <v>80</v>
      </c>
      <c r="AG7483" t="s">
        <v>81</v>
      </c>
    </row>
    <row r="7484" spans="1:33" x14ac:dyDescent="0.25">
      <c r="A7484" t="str">
        <f>"1275531931"</f>
        <v>1275531931</v>
      </c>
      <c r="B7484" t="str">
        <f>"02719419"</f>
        <v>02719419</v>
      </c>
      <c r="C7484" t="s">
        <v>13436</v>
      </c>
      <c r="D7484" t="s">
        <v>3745</v>
      </c>
      <c r="E7484" t="s">
        <v>3746</v>
      </c>
      <c r="G7484" t="s">
        <v>33415</v>
      </c>
      <c r="L7484" t="s">
        <v>83</v>
      </c>
      <c r="M7484" t="s">
        <v>75</v>
      </c>
      <c r="R7484" t="s">
        <v>3747</v>
      </c>
      <c r="W7484" t="s">
        <v>3748</v>
      </c>
      <c r="X7484" t="s">
        <v>2865</v>
      </c>
      <c r="Y7484" t="s">
        <v>131</v>
      </c>
      <c r="Z7484" t="s">
        <v>77</v>
      </c>
      <c r="AA7484" t="str">
        <f>"10457-5524"</f>
        <v>10457-5524</v>
      </c>
      <c r="AB7484" t="s">
        <v>78</v>
      </c>
      <c r="AC7484" t="s">
        <v>79</v>
      </c>
      <c r="AD7484" t="s">
        <v>75</v>
      </c>
      <c r="AE7484" t="s">
        <v>80</v>
      </c>
      <c r="AG7484" t="s">
        <v>81</v>
      </c>
    </row>
    <row r="7485" spans="1:33" x14ac:dyDescent="0.25">
      <c r="A7485" t="str">
        <f>"1275547648"</f>
        <v>1275547648</v>
      </c>
      <c r="B7485" t="str">
        <f>"02737539"</f>
        <v>02737539</v>
      </c>
      <c r="C7485" t="s">
        <v>13436</v>
      </c>
      <c r="D7485" t="s">
        <v>33416</v>
      </c>
      <c r="E7485" t="s">
        <v>33417</v>
      </c>
      <c r="G7485" t="s">
        <v>33418</v>
      </c>
      <c r="L7485" t="s">
        <v>83</v>
      </c>
      <c r="M7485" t="s">
        <v>85</v>
      </c>
      <c r="R7485" t="s">
        <v>33419</v>
      </c>
      <c r="W7485" t="s">
        <v>33417</v>
      </c>
      <c r="X7485" t="s">
        <v>204</v>
      </c>
      <c r="Y7485" t="s">
        <v>97</v>
      </c>
      <c r="Z7485" t="s">
        <v>77</v>
      </c>
      <c r="AA7485" t="str">
        <f>"10065-4870"</f>
        <v>10065-4870</v>
      </c>
      <c r="AB7485" t="s">
        <v>78</v>
      </c>
      <c r="AC7485" t="s">
        <v>79</v>
      </c>
      <c r="AD7485" t="s">
        <v>75</v>
      </c>
      <c r="AE7485" t="s">
        <v>80</v>
      </c>
      <c r="AG7485" t="s">
        <v>81</v>
      </c>
    </row>
    <row r="7486" spans="1:33" x14ac:dyDescent="0.25">
      <c r="A7486" t="str">
        <f>"1275621500"</f>
        <v>1275621500</v>
      </c>
      <c r="B7486" t="str">
        <f>"02801701"</f>
        <v>02801701</v>
      </c>
      <c r="C7486" t="s">
        <v>13436</v>
      </c>
      <c r="D7486" t="s">
        <v>5640</v>
      </c>
      <c r="E7486" t="s">
        <v>5641</v>
      </c>
      <c r="G7486" t="s">
        <v>33420</v>
      </c>
      <c r="L7486" t="s">
        <v>74</v>
      </c>
      <c r="M7486" t="s">
        <v>75</v>
      </c>
      <c r="R7486" t="s">
        <v>5642</v>
      </c>
      <c r="W7486" t="s">
        <v>5641</v>
      </c>
      <c r="X7486" t="s">
        <v>181</v>
      </c>
      <c r="Y7486" t="s">
        <v>97</v>
      </c>
      <c r="Z7486" t="s">
        <v>77</v>
      </c>
      <c r="AA7486" t="str">
        <f>"10025-1716"</f>
        <v>10025-1716</v>
      </c>
      <c r="AB7486" t="s">
        <v>78</v>
      </c>
      <c r="AC7486" t="s">
        <v>79</v>
      </c>
      <c r="AD7486" t="s">
        <v>75</v>
      </c>
      <c r="AE7486" t="s">
        <v>80</v>
      </c>
      <c r="AG7486" t="s">
        <v>81</v>
      </c>
    </row>
    <row r="7487" spans="1:33" x14ac:dyDescent="0.25">
      <c r="A7487" t="str">
        <f>"1275704819"</f>
        <v>1275704819</v>
      </c>
      <c r="B7487" t="str">
        <f>"03736830"</f>
        <v>03736830</v>
      </c>
      <c r="C7487" t="s">
        <v>13436</v>
      </c>
      <c r="D7487" t="s">
        <v>33421</v>
      </c>
      <c r="E7487" t="s">
        <v>33422</v>
      </c>
      <c r="G7487" t="s">
        <v>33423</v>
      </c>
      <c r="L7487" t="s">
        <v>102</v>
      </c>
      <c r="M7487" t="s">
        <v>75</v>
      </c>
      <c r="R7487" t="s">
        <v>33424</v>
      </c>
      <c r="W7487" t="s">
        <v>33422</v>
      </c>
      <c r="X7487" t="s">
        <v>33425</v>
      </c>
      <c r="Y7487" t="s">
        <v>97</v>
      </c>
      <c r="Z7487" t="s">
        <v>77</v>
      </c>
      <c r="AA7487" t="str">
        <f>"10029-6574"</f>
        <v>10029-6574</v>
      </c>
      <c r="AB7487" t="s">
        <v>78</v>
      </c>
      <c r="AC7487" t="s">
        <v>79</v>
      </c>
      <c r="AD7487" t="s">
        <v>75</v>
      </c>
      <c r="AE7487" t="s">
        <v>80</v>
      </c>
      <c r="AG7487" t="s">
        <v>81</v>
      </c>
    </row>
    <row r="7488" spans="1:33" x14ac:dyDescent="0.25">
      <c r="A7488" t="str">
        <f>"1275708588"</f>
        <v>1275708588</v>
      </c>
      <c r="B7488" t="str">
        <f>"03023663"</f>
        <v>03023663</v>
      </c>
      <c r="C7488" t="s">
        <v>13436</v>
      </c>
      <c r="D7488" t="s">
        <v>33426</v>
      </c>
      <c r="E7488" t="s">
        <v>33427</v>
      </c>
      <c r="G7488" t="s">
        <v>33428</v>
      </c>
      <c r="L7488" t="s">
        <v>83</v>
      </c>
      <c r="M7488" t="s">
        <v>85</v>
      </c>
      <c r="R7488" t="s">
        <v>33429</v>
      </c>
      <c r="W7488" t="s">
        <v>33430</v>
      </c>
      <c r="X7488" t="s">
        <v>30869</v>
      </c>
      <c r="Y7488" t="s">
        <v>97</v>
      </c>
      <c r="Z7488" t="s">
        <v>77</v>
      </c>
      <c r="AA7488" t="str">
        <f>"10029-0000"</f>
        <v>10029-0000</v>
      </c>
      <c r="AB7488" t="s">
        <v>78</v>
      </c>
      <c r="AC7488" t="s">
        <v>79</v>
      </c>
      <c r="AD7488" t="s">
        <v>75</v>
      </c>
      <c r="AE7488" t="s">
        <v>80</v>
      </c>
      <c r="AG7488" t="s">
        <v>81</v>
      </c>
    </row>
    <row r="7489" spans="1:33" x14ac:dyDescent="0.25">
      <c r="A7489" t="str">
        <f>"1275712275"</f>
        <v>1275712275</v>
      </c>
      <c r="C7489" t="s">
        <v>13436</v>
      </c>
      <c r="G7489" t="s">
        <v>33431</v>
      </c>
      <c r="K7489" t="s">
        <v>99</v>
      </c>
      <c r="L7489" t="s">
        <v>74</v>
      </c>
      <c r="M7489" t="s">
        <v>75</v>
      </c>
      <c r="R7489" t="s">
        <v>33432</v>
      </c>
      <c r="S7489" t="s">
        <v>5324</v>
      </c>
      <c r="T7489" t="s">
        <v>97</v>
      </c>
      <c r="U7489" t="s">
        <v>77</v>
      </c>
      <c r="V7489" t="str">
        <f>"100296500"</f>
        <v>100296500</v>
      </c>
      <c r="AC7489" t="s">
        <v>79</v>
      </c>
      <c r="AD7489" t="s">
        <v>75</v>
      </c>
      <c r="AE7489" t="s">
        <v>103</v>
      </c>
      <c r="AG7489" t="s">
        <v>81</v>
      </c>
    </row>
    <row r="7490" spans="1:33" x14ac:dyDescent="0.25">
      <c r="A7490" t="str">
        <f>"1275765133"</f>
        <v>1275765133</v>
      </c>
      <c r="C7490" t="s">
        <v>13436</v>
      </c>
      <c r="G7490" t="s">
        <v>33433</v>
      </c>
      <c r="K7490" t="s">
        <v>99</v>
      </c>
      <c r="L7490" t="s">
        <v>102</v>
      </c>
      <c r="M7490" t="s">
        <v>75</v>
      </c>
      <c r="R7490" t="s">
        <v>5600</v>
      </c>
      <c r="S7490" t="s">
        <v>5601</v>
      </c>
      <c r="T7490" t="s">
        <v>97</v>
      </c>
      <c r="U7490" t="s">
        <v>77</v>
      </c>
      <c r="V7490" t="str">
        <f>"100296501"</f>
        <v>100296501</v>
      </c>
      <c r="AC7490" t="s">
        <v>79</v>
      </c>
      <c r="AD7490" t="s">
        <v>75</v>
      </c>
      <c r="AE7490" t="s">
        <v>103</v>
      </c>
      <c r="AG7490" t="s">
        <v>81</v>
      </c>
    </row>
    <row r="7491" spans="1:33" x14ac:dyDescent="0.25">
      <c r="A7491" t="str">
        <f>"1568714145"</f>
        <v>1568714145</v>
      </c>
      <c r="C7491" t="s">
        <v>13436</v>
      </c>
      <c r="K7491" t="s">
        <v>99</v>
      </c>
      <c r="L7491" t="s">
        <v>102</v>
      </c>
      <c r="M7491" t="s">
        <v>75</v>
      </c>
      <c r="R7491" t="s">
        <v>33434</v>
      </c>
      <c r="S7491" t="s">
        <v>272</v>
      </c>
      <c r="T7491" t="s">
        <v>97</v>
      </c>
      <c r="U7491" t="s">
        <v>77</v>
      </c>
      <c r="V7491" t="str">
        <f>"100296501"</f>
        <v>100296501</v>
      </c>
      <c r="AC7491" t="s">
        <v>79</v>
      </c>
      <c r="AD7491" t="s">
        <v>75</v>
      </c>
      <c r="AE7491" t="s">
        <v>103</v>
      </c>
      <c r="AG7491" t="s">
        <v>81</v>
      </c>
    </row>
    <row r="7492" spans="1:33" x14ac:dyDescent="0.25">
      <c r="A7492" t="str">
        <f>"1568728806"</f>
        <v>1568728806</v>
      </c>
      <c r="C7492" t="s">
        <v>13436</v>
      </c>
      <c r="K7492" t="s">
        <v>99</v>
      </c>
      <c r="L7492" t="s">
        <v>102</v>
      </c>
      <c r="M7492" t="s">
        <v>75</v>
      </c>
      <c r="R7492" t="s">
        <v>33435</v>
      </c>
      <c r="S7492" t="s">
        <v>33436</v>
      </c>
      <c r="T7492" t="s">
        <v>97</v>
      </c>
      <c r="U7492" t="s">
        <v>77</v>
      </c>
      <c r="V7492" t="str">
        <f>"100191147"</f>
        <v>100191147</v>
      </c>
      <c r="AC7492" t="s">
        <v>79</v>
      </c>
      <c r="AD7492" t="s">
        <v>75</v>
      </c>
      <c r="AE7492" t="s">
        <v>103</v>
      </c>
      <c r="AG7492" t="s">
        <v>81</v>
      </c>
    </row>
    <row r="7493" spans="1:33" x14ac:dyDescent="0.25">
      <c r="A7493" t="str">
        <f>"1013172105"</f>
        <v>1013172105</v>
      </c>
      <c r="B7493" t="str">
        <f>"03820940"</f>
        <v>03820940</v>
      </c>
      <c r="C7493" t="s">
        <v>13436</v>
      </c>
      <c r="D7493" t="s">
        <v>33437</v>
      </c>
      <c r="E7493" t="s">
        <v>33438</v>
      </c>
      <c r="L7493" t="s">
        <v>102</v>
      </c>
      <c r="M7493" t="s">
        <v>75</v>
      </c>
      <c r="R7493" t="s">
        <v>33439</v>
      </c>
      <c r="W7493" t="s">
        <v>33438</v>
      </c>
      <c r="X7493" t="s">
        <v>306</v>
      </c>
      <c r="Y7493" t="s">
        <v>97</v>
      </c>
      <c r="Z7493" t="s">
        <v>77</v>
      </c>
      <c r="AA7493" t="str">
        <f>"10003-4201"</f>
        <v>10003-4201</v>
      </c>
      <c r="AB7493" t="s">
        <v>78</v>
      </c>
      <c r="AC7493" t="s">
        <v>79</v>
      </c>
      <c r="AD7493" t="s">
        <v>75</v>
      </c>
      <c r="AE7493" t="s">
        <v>80</v>
      </c>
      <c r="AG7493" t="s">
        <v>81</v>
      </c>
    </row>
    <row r="7494" spans="1:33" x14ac:dyDescent="0.25">
      <c r="A7494" t="str">
        <f>"1013176932"</f>
        <v>1013176932</v>
      </c>
      <c r="B7494" t="str">
        <f>"03346196"</f>
        <v>03346196</v>
      </c>
      <c r="C7494" t="s">
        <v>13436</v>
      </c>
      <c r="D7494" t="s">
        <v>33440</v>
      </c>
      <c r="E7494" t="s">
        <v>33441</v>
      </c>
      <c r="G7494" t="s">
        <v>33442</v>
      </c>
      <c r="L7494" t="s">
        <v>84</v>
      </c>
      <c r="M7494" t="s">
        <v>85</v>
      </c>
      <c r="R7494" t="s">
        <v>33441</v>
      </c>
      <c r="W7494" t="s">
        <v>33441</v>
      </c>
      <c r="X7494" t="s">
        <v>330</v>
      </c>
      <c r="Y7494" t="s">
        <v>97</v>
      </c>
      <c r="Z7494" t="s">
        <v>77</v>
      </c>
      <c r="AA7494" t="str">
        <f>"10029-5204"</f>
        <v>10029-5204</v>
      </c>
      <c r="AB7494" t="s">
        <v>78</v>
      </c>
      <c r="AC7494" t="s">
        <v>79</v>
      </c>
      <c r="AD7494" t="s">
        <v>75</v>
      </c>
      <c r="AE7494" t="s">
        <v>80</v>
      </c>
      <c r="AG7494" t="s">
        <v>81</v>
      </c>
    </row>
    <row r="7495" spans="1:33" x14ac:dyDescent="0.25">
      <c r="A7495" t="str">
        <f>"1013177674"</f>
        <v>1013177674</v>
      </c>
      <c r="B7495" t="str">
        <f>"03449429"</f>
        <v>03449429</v>
      </c>
      <c r="C7495" t="s">
        <v>13436</v>
      </c>
      <c r="D7495" t="s">
        <v>33443</v>
      </c>
      <c r="E7495" t="s">
        <v>33444</v>
      </c>
      <c r="G7495" t="s">
        <v>33445</v>
      </c>
      <c r="L7495" t="s">
        <v>74</v>
      </c>
      <c r="M7495" t="s">
        <v>85</v>
      </c>
      <c r="R7495" t="s">
        <v>33446</v>
      </c>
      <c r="W7495" t="s">
        <v>33444</v>
      </c>
      <c r="X7495" t="s">
        <v>23444</v>
      </c>
      <c r="Y7495" t="s">
        <v>97</v>
      </c>
      <c r="Z7495" t="s">
        <v>77</v>
      </c>
      <c r="AA7495" t="str">
        <f>"10016-2708"</f>
        <v>10016-2708</v>
      </c>
      <c r="AB7495" t="s">
        <v>78</v>
      </c>
      <c r="AC7495" t="s">
        <v>79</v>
      </c>
      <c r="AD7495" t="s">
        <v>75</v>
      </c>
      <c r="AE7495" t="s">
        <v>80</v>
      </c>
      <c r="AG7495" t="s">
        <v>81</v>
      </c>
    </row>
    <row r="7496" spans="1:33" x14ac:dyDescent="0.25">
      <c r="A7496" t="str">
        <f>"1013204080"</f>
        <v>1013204080</v>
      </c>
      <c r="C7496" t="s">
        <v>13436</v>
      </c>
      <c r="K7496" t="s">
        <v>99</v>
      </c>
      <c r="L7496" t="s">
        <v>102</v>
      </c>
      <c r="M7496" t="s">
        <v>75</v>
      </c>
      <c r="R7496" t="s">
        <v>33447</v>
      </c>
      <c r="S7496" t="s">
        <v>33448</v>
      </c>
      <c r="T7496" t="s">
        <v>97</v>
      </c>
      <c r="U7496" t="s">
        <v>77</v>
      </c>
      <c r="V7496" t="str">
        <f>"100191147"</f>
        <v>100191147</v>
      </c>
      <c r="AC7496" t="s">
        <v>79</v>
      </c>
      <c r="AD7496" t="s">
        <v>75</v>
      </c>
      <c r="AE7496" t="s">
        <v>103</v>
      </c>
      <c r="AG7496" t="s">
        <v>81</v>
      </c>
    </row>
    <row r="7497" spans="1:33" x14ac:dyDescent="0.25">
      <c r="A7497" t="str">
        <f>"1265408991"</f>
        <v>1265408991</v>
      </c>
      <c r="B7497" t="str">
        <f>"02066306"</f>
        <v>02066306</v>
      </c>
      <c r="C7497" t="s">
        <v>13436</v>
      </c>
      <c r="D7497" t="s">
        <v>33449</v>
      </c>
      <c r="E7497" t="s">
        <v>33450</v>
      </c>
      <c r="G7497" t="s">
        <v>33451</v>
      </c>
      <c r="L7497" t="s">
        <v>74</v>
      </c>
      <c r="M7497" t="s">
        <v>85</v>
      </c>
      <c r="R7497" t="s">
        <v>33452</v>
      </c>
      <c r="W7497" t="s">
        <v>33450</v>
      </c>
      <c r="X7497" t="s">
        <v>329</v>
      </c>
      <c r="Y7497" t="s">
        <v>97</v>
      </c>
      <c r="Z7497" t="s">
        <v>77</v>
      </c>
      <c r="AA7497" t="str">
        <f>"10029-6504"</f>
        <v>10029-6504</v>
      </c>
      <c r="AB7497" t="s">
        <v>78</v>
      </c>
      <c r="AC7497" t="s">
        <v>79</v>
      </c>
      <c r="AD7497" t="s">
        <v>75</v>
      </c>
      <c r="AE7497" t="s">
        <v>80</v>
      </c>
      <c r="AG7497" t="s">
        <v>81</v>
      </c>
    </row>
    <row r="7498" spans="1:33" x14ac:dyDescent="0.25">
      <c r="A7498" t="str">
        <f>"1275500886"</f>
        <v>1275500886</v>
      </c>
      <c r="B7498" t="str">
        <f>"01035932"</f>
        <v>01035932</v>
      </c>
      <c r="C7498" t="s">
        <v>13436</v>
      </c>
      <c r="D7498" t="s">
        <v>33453</v>
      </c>
      <c r="E7498" t="s">
        <v>33454</v>
      </c>
      <c r="G7498" t="s">
        <v>33455</v>
      </c>
      <c r="L7498" t="s">
        <v>83</v>
      </c>
      <c r="M7498" t="s">
        <v>85</v>
      </c>
      <c r="R7498" t="s">
        <v>33456</v>
      </c>
      <c r="W7498" t="s">
        <v>33454</v>
      </c>
      <c r="X7498" t="s">
        <v>33457</v>
      </c>
      <c r="Y7498" t="s">
        <v>97</v>
      </c>
      <c r="Z7498" t="s">
        <v>77</v>
      </c>
      <c r="AA7498" t="str">
        <f>"10029-6500"</f>
        <v>10029-6500</v>
      </c>
      <c r="AB7498" t="s">
        <v>78</v>
      </c>
      <c r="AC7498" t="s">
        <v>79</v>
      </c>
      <c r="AD7498" t="s">
        <v>75</v>
      </c>
      <c r="AE7498" t="s">
        <v>80</v>
      </c>
      <c r="AG7498" t="s">
        <v>81</v>
      </c>
    </row>
    <row r="7499" spans="1:33" x14ac:dyDescent="0.25">
      <c r="A7499" t="str">
        <f>"1689735839"</f>
        <v>1689735839</v>
      </c>
      <c r="B7499" t="str">
        <f>"03086239"</f>
        <v>03086239</v>
      </c>
      <c r="C7499" t="s">
        <v>13436</v>
      </c>
      <c r="D7499" t="s">
        <v>33458</v>
      </c>
      <c r="E7499" t="s">
        <v>33459</v>
      </c>
      <c r="G7499" t="s">
        <v>33460</v>
      </c>
      <c r="L7499" t="s">
        <v>83</v>
      </c>
      <c r="M7499" t="s">
        <v>75</v>
      </c>
      <c r="R7499" t="s">
        <v>33459</v>
      </c>
      <c r="W7499" t="s">
        <v>33459</v>
      </c>
      <c r="X7499" t="s">
        <v>33461</v>
      </c>
      <c r="Y7499" t="s">
        <v>97</v>
      </c>
      <c r="Z7499" t="s">
        <v>77</v>
      </c>
      <c r="AA7499" t="str">
        <f>"10024-4118"</f>
        <v>10024-4118</v>
      </c>
      <c r="AB7499" t="s">
        <v>128</v>
      </c>
      <c r="AC7499" t="s">
        <v>79</v>
      </c>
      <c r="AD7499" t="s">
        <v>75</v>
      </c>
      <c r="AE7499" t="s">
        <v>80</v>
      </c>
      <c r="AG7499" t="s">
        <v>81</v>
      </c>
    </row>
    <row r="7500" spans="1:33" x14ac:dyDescent="0.25">
      <c r="A7500" t="str">
        <f>"1689750259"</f>
        <v>1689750259</v>
      </c>
      <c r="B7500" t="str">
        <f>"01100283"</f>
        <v>01100283</v>
      </c>
      <c r="C7500" t="s">
        <v>13436</v>
      </c>
      <c r="D7500" t="s">
        <v>33462</v>
      </c>
      <c r="E7500" t="s">
        <v>33463</v>
      </c>
      <c r="G7500" t="s">
        <v>33464</v>
      </c>
      <c r="L7500" t="s">
        <v>83</v>
      </c>
      <c r="M7500" t="s">
        <v>75</v>
      </c>
      <c r="R7500" t="s">
        <v>33465</v>
      </c>
      <c r="W7500" t="s">
        <v>33463</v>
      </c>
      <c r="X7500" t="s">
        <v>17108</v>
      </c>
      <c r="Y7500" t="s">
        <v>97</v>
      </c>
      <c r="Z7500" t="s">
        <v>77</v>
      </c>
      <c r="AA7500" t="str">
        <f>"10003-0001"</f>
        <v>10003-0001</v>
      </c>
      <c r="AB7500" t="s">
        <v>128</v>
      </c>
      <c r="AC7500" t="s">
        <v>79</v>
      </c>
      <c r="AD7500" t="s">
        <v>75</v>
      </c>
      <c r="AE7500" t="s">
        <v>80</v>
      </c>
      <c r="AG7500" t="s">
        <v>81</v>
      </c>
    </row>
    <row r="7501" spans="1:33" x14ac:dyDescent="0.25">
      <c r="A7501" t="str">
        <f>"1598041162"</f>
        <v>1598041162</v>
      </c>
      <c r="C7501" t="s">
        <v>13436</v>
      </c>
      <c r="K7501" t="s">
        <v>99</v>
      </c>
      <c r="L7501" t="s">
        <v>102</v>
      </c>
      <c r="M7501" t="s">
        <v>75</v>
      </c>
      <c r="R7501" t="s">
        <v>33466</v>
      </c>
      <c r="S7501" t="s">
        <v>12643</v>
      </c>
      <c r="T7501" t="s">
        <v>97</v>
      </c>
      <c r="U7501" t="s">
        <v>77</v>
      </c>
      <c r="V7501" t="str">
        <f>"100033821"</f>
        <v>100033821</v>
      </c>
      <c r="AC7501" t="s">
        <v>79</v>
      </c>
      <c r="AD7501" t="s">
        <v>75</v>
      </c>
      <c r="AE7501" t="s">
        <v>103</v>
      </c>
      <c r="AG7501" t="s">
        <v>81</v>
      </c>
    </row>
    <row r="7502" spans="1:33" x14ac:dyDescent="0.25">
      <c r="A7502" t="str">
        <f>"1598045726"</f>
        <v>1598045726</v>
      </c>
      <c r="B7502" t="str">
        <f>"04017965"</f>
        <v>04017965</v>
      </c>
      <c r="C7502" t="s">
        <v>13436</v>
      </c>
      <c r="D7502" t="s">
        <v>4593</v>
      </c>
      <c r="E7502" t="s">
        <v>4594</v>
      </c>
      <c r="G7502" t="s">
        <v>33467</v>
      </c>
      <c r="L7502" t="s">
        <v>74</v>
      </c>
      <c r="M7502" t="s">
        <v>75</v>
      </c>
      <c r="R7502" t="s">
        <v>4592</v>
      </c>
      <c r="W7502" t="s">
        <v>4594</v>
      </c>
      <c r="AB7502" t="s">
        <v>78</v>
      </c>
      <c r="AC7502" t="s">
        <v>79</v>
      </c>
      <c r="AD7502" t="s">
        <v>75</v>
      </c>
      <c r="AE7502" t="s">
        <v>80</v>
      </c>
      <c r="AG7502" t="s">
        <v>81</v>
      </c>
    </row>
    <row r="7503" spans="1:33" x14ac:dyDescent="0.25">
      <c r="A7503" t="str">
        <f>"1598054298"</f>
        <v>1598054298</v>
      </c>
      <c r="B7503" t="str">
        <f>"03714541"</f>
        <v>03714541</v>
      </c>
      <c r="C7503" t="s">
        <v>13436</v>
      </c>
      <c r="D7503" t="s">
        <v>33468</v>
      </c>
      <c r="E7503" t="s">
        <v>33469</v>
      </c>
      <c r="L7503" t="s">
        <v>74</v>
      </c>
      <c r="M7503" t="s">
        <v>75</v>
      </c>
      <c r="R7503" t="s">
        <v>33470</v>
      </c>
      <c r="W7503" t="s">
        <v>33469</v>
      </c>
      <c r="X7503" t="s">
        <v>329</v>
      </c>
      <c r="Y7503" t="s">
        <v>97</v>
      </c>
      <c r="Z7503" t="s">
        <v>77</v>
      </c>
      <c r="AA7503" t="str">
        <f>"10029-6504"</f>
        <v>10029-6504</v>
      </c>
      <c r="AB7503" t="s">
        <v>78</v>
      </c>
      <c r="AC7503" t="s">
        <v>79</v>
      </c>
      <c r="AD7503" t="s">
        <v>75</v>
      </c>
      <c r="AE7503" t="s">
        <v>80</v>
      </c>
      <c r="AG7503" t="s">
        <v>81</v>
      </c>
    </row>
    <row r="7504" spans="1:33" x14ac:dyDescent="0.25">
      <c r="A7504" t="str">
        <f>"1598055873"</f>
        <v>1598055873</v>
      </c>
      <c r="B7504" t="str">
        <f>"03892817"</f>
        <v>03892817</v>
      </c>
      <c r="C7504" t="s">
        <v>13436</v>
      </c>
      <c r="D7504" t="s">
        <v>33471</v>
      </c>
      <c r="E7504" t="s">
        <v>33472</v>
      </c>
      <c r="G7504" t="s">
        <v>33473</v>
      </c>
      <c r="L7504" t="s">
        <v>83</v>
      </c>
      <c r="M7504" t="s">
        <v>85</v>
      </c>
      <c r="R7504" t="s">
        <v>33474</v>
      </c>
      <c r="W7504" t="s">
        <v>33472</v>
      </c>
      <c r="X7504" t="s">
        <v>329</v>
      </c>
      <c r="Y7504" t="s">
        <v>97</v>
      </c>
      <c r="Z7504" t="s">
        <v>77</v>
      </c>
      <c r="AA7504" t="str">
        <f>"10029-6504"</f>
        <v>10029-6504</v>
      </c>
      <c r="AB7504" t="s">
        <v>78</v>
      </c>
      <c r="AC7504" t="s">
        <v>79</v>
      </c>
      <c r="AD7504" t="s">
        <v>75</v>
      </c>
      <c r="AE7504" t="s">
        <v>80</v>
      </c>
      <c r="AG7504" t="s">
        <v>81</v>
      </c>
    </row>
    <row r="7505" spans="1:33" x14ac:dyDescent="0.25">
      <c r="A7505" t="str">
        <f>"1477971992"</f>
        <v>1477971992</v>
      </c>
      <c r="C7505" t="s">
        <v>13436</v>
      </c>
      <c r="K7505" t="s">
        <v>99</v>
      </c>
      <c r="L7505" t="s">
        <v>102</v>
      </c>
      <c r="M7505" t="s">
        <v>75</v>
      </c>
      <c r="R7505" t="s">
        <v>33475</v>
      </c>
      <c r="S7505" t="s">
        <v>33476</v>
      </c>
      <c r="T7505" t="s">
        <v>13682</v>
      </c>
      <c r="U7505" t="s">
        <v>12526</v>
      </c>
      <c r="V7505" t="str">
        <f>"009693286"</f>
        <v>009693286</v>
      </c>
      <c r="AC7505" t="s">
        <v>79</v>
      </c>
      <c r="AD7505" t="s">
        <v>75</v>
      </c>
      <c r="AE7505" t="s">
        <v>103</v>
      </c>
      <c r="AG7505" t="s">
        <v>81</v>
      </c>
    </row>
    <row r="7506" spans="1:33" x14ac:dyDescent="0.25">
      <c r="A7506" t="str">
        <f>"1477973212"</f>
        <v>1477973212</v>
      </c>
      <c r="C7506" t="s">
        <v>13436</v>
      </c>
      <c r="K7506" t="s">
        <v>99</v>
      </c>
      <c r="L7506" t="s">
        <v>102</v>
      </c>
      <c r="M7506" t="s">
        <v>75</v>
      </c>
      <c r="R7506" t="s">
        <v>33477</v>
      </c>
      <c r="S7506" t="s">
        <v>33478</v>
      </c>
      <c r="T7506" t="s">
        <v>97</v>
      </c>
      <c r="U7506" t="s">
        <v>77</v>
      </c>
      <c r="V7506" t="str">
        <f>"100251737"</f>
        <v>100251737</v>
      </c>
      <c r="AC7506" t="s">
        <v>79</v>
      </c>
      <c r="AD7506" t="s">
        <v>75</v>
      </c>
      <c r="AE7506" t="s">
        <v>103</v>
      </c>
      <c r="AG7506" t="s">
        <v>81</v>
      </c>
    </row>
    <row r="7507" spans="1:33" x14ac:dyDescent="0.25">
      <c r="A7507" t="str">
        <f>"1477984631"</f>
        <v>1477984631</v>
      </c>
      <c r="B7507" t="str">
        <f>"04497114"</f>
        <v>04497114</v>
      </c>
      <c r="C7507" t="s">
        <v>13436</v>
      </c>
      <c r="D7507" t="s">
        <v>33479</v>
      </c>
      <c r="E7507" t="s">
        <v>33480</v>
      </c>
      <c r="L7507" t="s">
        <v>102</v>
      </c>
      <c r="M7507" t="s">
        <v>75</v>
      </c>
      <c r="R7507" t="s">
        <v>33481</v>
      </c>
      <c r="W7507" t="s">
        <v>33480</v>
      </c>
      <c r="AB7507" t="s">
        <v>78</v>
      </c>
      <c r="AC7507" t="s">
        <v>79</v>
      </c>
      <c r="AD7507" t="s">
        <v>75</v>
      </c>
      <c r="AE7507" t="s">
        <v>80</v>
      </c>
      <c r="AG7507" t="s">
        <v>81</v>
      </c>
    </row>
    <row r="7508" spans="1:33" x14ac:dyDescent="0.25">
      <c r="A7508" t="str">
        <f>"1477988285"</f>
        <v>1477988285</v>
      </c>
      <c r="B7508" t="str">
        <f>"03758610"</f>
        <v>03758610</v>
      </c>
      <c r="C7508" t="s">
        <v>13436</v>
      </c>
      <c r="D7508" t="s">
        <v>33482</v>
      </c>
      <c r="E7508" t="s">
        <v>33483</v>
      </c>
      <c r="G7508" t="s">
        <v>33484</v>
      </c>
      <c r="L7508" t="s">
        <v>74</v>
      </c>
      <c r="M7508" t="s">
        <v>75</v>
      </c>
      <c r="R7508" t="s">
        <v>33485</v>
      </c>
      <c r="W7508" t="s">
        <v>33483</v>
      </c>
      <c r="X7508" t="s">
        <v>329</v>
      </c>
      <c r="Y7508" t="s">
        <v>97</v>
      </c>
      <c r="Z7508" t="s">
        <v>77</v>
      </c>
      <c r="AA7508" t="str">
        <f>"10029-6504"</f>
        <v>10029-6504</v>
      </c>
      <c r="AB7508" t="s">
        <v>78</v>
      </c>
      <c r="AC7508" t="s">
        <v>79</v>
      </c>
      <c r="AD7508" t="s">
        <v>75</v>
      </c>
      <c r="AE7508" t="s">
        <v>80</v>
      </c>
      <c r="AG7508" t="s">
        <v>81</v>
      </c>
    </row>
    <row r="7509" spans="1:33" x14ac:dyDescent="0.25">
      <c r="A7509" t="str">
        <f>"1144488107"</f>
        <v>1144488107</v>
      </c>
      <c r="B7509" t="str">
        <f>"03602944"</f>
        <v>03602944</v>
      </c>
      <c r="C7509" t="s">
        <v>13436</v>
      </c>
      <c r="D7509" t="s">
        <v>33486</v>
      </c>
      <c r="E7509" t="s">
        <v>33487</v>
      </c>
      <c r="G7509" t="s">
        <v>33488</v>
      </c>
      <c r="L7509" t="s">
        <v>83</v>
      </c>
      <c r="M7509" t="s">
        <v>85</v>
      </c>
      <c r="R7509" t="s">
        <v>33489</v>
      </c>
      <c r="W7509" t="s">
        <v>33487</v>
      </c>
      <c r="X7509" t="s">
        <v>272</v>
      </c>
      <c r="Y7509" t="s">
        <v>97</v>
      </c>
      <c r="Z7509" t="s">
        <v>77</v>
      </c>
      <c r="AA7509" t="str">
        <f>"10029-6501"</f>
        <v>10029-6501</v>
      </c>
      <c r="AB7509" t="s">
        <v>78</v>
      </c>
      <c r="AC7509" t="s">
        <v>79</v>
      </c>
      <c r="AD7509" t="s">
        <v>75</v>
      </c>
      <c r="AE7509" t="s">
        <v>80</v>
      </c>
      <c r="AG7509" t="s">
        <v>81</v>
      </c>
    </row>
    <row r="7510" spans="1:33" x14ac:dyDescent="0.25">
      <c r="A7510" t="str">
        <f>"1144489105"</f>
        <v>1144489105</v>
      </c>
      <c r="B7510" t="str">
        <f>"03913215"</f>
        <v>03913215</v>
      </c>
      <c r="C7510" t="s">
        <v>13436</v>
      </c>
      <c r="D7510" t="s">
        <v>33490</v>
      </c>
      <c r="E7510" t="s">
        <v>33491</v>
      </c>
      <c r="G7510" t="s">
        <v>33492</v>
      </c>
      <c r="L7510" t="s">
        <v>83</v>
      </c>
      <c r="M7510" t="s">
        <v>75</v>
      </c>
      <c r="R7510" t="s">
        <v>33493</v>
      </c>
      <c r="W7510" t="s">
        <v>33491</v>
      </c>
      <c r="X7510" t="s">
        <v>272</v>
      </c>
      <c r="Y7510" t="s">
        <v>97</v>
      </c>
      <c r="Z7510" t="s">
        <v>77</v>
      </c>
      <c r="AA7510" t="str">
        <f>"10029-6501"</f>
        <v>10029-6501</v>
      </c>
      <c r="AB7510" t="s">
        <v>78</v>
      </c>
      <c r="AC7510" t="s">
        <v>79</v>
      </c>
      <c r="AD7510" t="s">
        <v>75</v>
      </c>
      <c r="AE7510" t="s">
        <v>80</v>
      </c>
      <c r="AG7510" t="s">
        <v>81</v>
      </c>
    </row>
    <row r="7511" spans="1:33" x14ac:dyDescent="0.25">
      <c r="A7511" t="str">
        <f>"1144492091"</f>
        <v>1144492091</v>
      </c>
      <c r="B7511" t="str">
        <f>"03240580"</f>
        <v>03240580</v>
      </c>
      <c r="C7511" t="s">
        <v>13436</v>
      </c>
      <c r="D7511" t="s">
        <v>33494</v>
      </c>
      <c r="E7511" t="s">
        <v>33495</v>
      </c>
      <c r="L7511" t="s">
        <v>83</v>
      </c>
      <c r="M7511" t="s">
        <v>75</v>
      </c>
      <c r="R7511" t="s">
        <v>33496</v>
      </c>
      <c r="W7511" t="s">
        <v>33497</v>
      </c>
      <c r="X7511" t="s">
        <v>33498</v>
      </c>
      <c r="Y7511" t="s">
        <v>161</v>
      </c>
      <c r="Z7511" t="s">
        <v>77</v>
      </c>
      <c r="AA7511" t="str">
        <f>"11042-2057"</f>
        <v>11042-2057</v>
      </c>
      <c r="AB7511" t="s">
        <v>78</v>
      </c>
      <c r="AC7511" t="s">
        <v>79</v>
      </c>
      <c r="AD7511" t="s">
        <v>75</v>
      </c>
      <c r="AE7511" t="s">
        <v>80</v>
      </c>
      <c r="AG7511" t="s">
        <v>81</v>
      </c>
    </row>
    <row r="7512" spans="1:33" x14ac:dyDescent="0.25">
      <c r="A7512" t="str">
        <f>"1144495904"</f>
        <v>1144495904</v>
      </c>
      <c r="B7512" t="str">
        <f>"02975900"</f>
        <v>02975900</v>
      </c>
      <c r="C7512" t="s">
        <v>13436</v>
      </c>
      <c r="D7512" t="s">
        <v>33499</v>
      </c>
      <c r="E7512" t="s">
        <v>33500</v>
      </c>
      <c r="L7512" t="s">
        <v>105</v>
      </c>
      <c r="M7512" t="s">
        <v>75</v>
      </c>
      <c r="R7512" t="s">
        <v>33501</v>
      </c>
      <c r="W7512" t="s">
        <v>33502</v>
      </c>
      <c r="X7512" t="s">
        <v>258</v>
      </c>
      <c r="Y7512" t="s">
        <v>131</v>
      </c>
      <c r="Z7512" t="s">
        <v>77</v>
      </c>
      <c r="AA7512" t="str">
        <f>"10467-2401"</f>
        <v>10467-2401</v>
      </c>
      <c r="AB7512" t="s">
        <v>125</v>
      </c>
      <c r="AC7512" t="s">
        <v>79</v>
      </c>
      <c r="AD7512" t="s">
        <v>75</v>
      </c>
      <c r="AE7512" t="s">
        <v>80</v>
      </c>
      <c r="AG7512" t="s">
        <v>81</v>
      </c>
    </row>
    <row r="7513" spans="1:33" x14ac:dyDescent="0.25">
      <c r="A7513" t="str">
        <f>"1144508557"</f>
        <v>1144508557</v>
      </c>
      <c r="C7513" t="s">
        <v>13436</v>
      </c>
      <c r="K7513" t="s">
        <v>99</v>
      </c>
      <c r="L7513" t="s">
        <v>102</v>
      </c>
      <c r="M7513" t="s">
        <v>75</v>
      </c>
      <c r="R7513" t="s">
        <v>33503</v>
      </c>
      <c r="S7513" t="s">
        <v>159</v>
      </c>
      <c r="T7513" t="s">
        <v>160</v>
      </c>
      <c r="U7513" t="s">
        <v>77</v>
      </c>
      <c r="V7513" t="str">
        <f>"110303816"</f>
        <v>110303816</v>
      </c>
      <c r="AC7513" t="s">
        <v>79</v>
      </c>
      <c r="AD7513" t="s">
        <v>75</v>
      </c>
      <c r="AE7513" t="s">
        <v>103</v>
      </c>
      <c r="AG7513" t="s">
        <v>81</v>
      </c>
    </row>
    <row r="7514" spans="1:33" x14ac:dyDescent="0.25">
      <c r="A7514" t="str">
        <f>"1144511791"</f>
        <v>1144511791</v>
      </c>
      <c r="B7514" t="str">
        <f>"03941577"</f>
        <v>03941577</v>
      </c>
      <c r="C7514" t="s">
        <v>13436</v>
      </c>
      <c r="D7514" t="s">
        <v>33504</v>
      </c>
      <c r="E7514" t="s">
        <v>33505</v>
      </c>
      <c r="L7514" t="s">
        <v>83</v>
      </c>
      <c r="M7514" t="s">
        <v>75</v>
      </c>
      <c r="R7514" t="s">
        <v>33506</v>
      </c>
      <c r="W7514" t="s">
        <v>33505</v>
      </c>
      <c r="X7514" t="s">
        <v>6262</v>
      </c>
      <c r="Y7514" t="s">
        <v>97</v>
      </c>
      <c r="Z7514" t="s">
        <v>77</v>
      </c>
      <c r="AA7514" t="str">
        <f>"10016-6022"</f>
        <v>10016-6022</v>
      </c>
      <c r="AB7514" t="s">
        <v>78</v>
      </c>
      <c r="AC7514" t="s">
        <v>79</v>
      </c>
      <c r="AD7514" t="s">
        <v>75</v>
      </c>
      <c r="AE7514" t="s">
        <v>80</v>
      </c>
      <c r="AG7514" t="s">
        <v>81</v>
      </c>
    </row>
    <row r="7515" spans="1:33" x14ac:dyDescent="0.25">
      <c r="A7515" t="str">
        <f>"1740222868"</f>
        <v>1740222868</v>
      </c>
      <c r="B7515" t="str">
        <f>"01484037"</f>
        <v>01484037</v>
      </c>
      <c r="C7515" t="s">
        <v>13436</v>
      </c>
      <c r="D7515" t="s">
        <v>33507</v>
      </c>
      <c r="E7515" t="s">
        <v>33508</v>
      </c>
      <c r="L7515" t="s">
        <v>84</v>
      </c>
      <c r="M7515" t="s">
        <v>85</v>
      </c>
      <c r="R7515" t="s">
        <v>33509</v>
      </c>
      <c r="W7515" t="s">
        <v>33508</v>
      </c>
      <c r="X7515" t="s">
        <v>33510</v>
      </c>
      <c r="Y7515" t="s">
        <v>131</v>
      </c>
      <c r="Z7515" t="s">
        <v>77</v>
      </c>
      <c r="AA7515" t="str">
        <f>"10451-3412"</f>
        <v>10451-3412</v>
      </c>
      <c r="AB7515" t="s">
        <v>78</v>
      </c>
      <c r="AC7515" t="s">
        <v>79</v>
      </c>
      <c r="AD7515" t="s">
        <v>75</v>
      </c>
      <c r="AE7515" t="s">
        <v>80</v>
      </c>
      <c r="AG7515" t="s">
        <v>81</v>
      </c>
    </row>
    <row r="7516" spans="1:33" x14ac:dyDescent="0.25">
      <c r="A7516" t="str">
        <f>"1184807398"</f>
        <v>1184807398</v>
      </c>
      <c r="C7516" t="s">
        <v>13436</v>
      </c>
      <c r="G7516" t="s">
        <v>33511</v>
      </c>
      <c r="K7516" t="s">
        <v>99</v>
      </c>
      <c r="L7516" t="s">
        <v>102</v>
      </c>
      <c r="M7516" t="s">
        <v>75</v>
      </c>
      <c r="R7516" t="s">
        <v>33512</v>
      </c>
      <c r="S7516" t="s">
        <v>33513</v>
      </c>
      <c r="T7516" t="s">
        <v>142</v>
      </c>
      <c r="U7516" t="s">
        <v>77</v>
      </c>
      <c r="V7516" t="str">
        <f>"132031807"</f>
        <v>132031807</v>
      </c>
      <c r="AC7516" t="s">
        <v>79</v>
      </c>
      <c r="AD7516" t="s">
        <v>75</v>
      </c>
      <c r="AE7516" t="s">
        <v>103</v>
      </c>
      <c r="AG7516" t="s">
        <v>81</v>
      </c>
    </row>
    <row r="7517" spans="1:33" x14ac:dyDescent="0.25">
      <c r="A7517" t="str">
        <f>"1053624080"</f>
        <v>1053624080</v>
      </c>
      <c r="C7517" t="s">
        <v>13436</v>
      </c>
      <c r="K7517" t="s">
        <v>99</v>
      </c>
      <c r="L7517" t="s">
        <v>102</v>
      </c>
      <c r="M7517" t="s">
        <v>75</v>
      </c>
      <c r="R7517" t="s">
        <v>33514</v>
      </c>
      <c r="S7517" t="s">
        <v>33515</v>
      </c>
      <c r="T7517" t="s">
        <v>6267</v>
      </c>
      <c r="U7517" t="s">
        <v>4645</v>
      </c>
      <c r="V7517" t="str">
        <f>"537920001"</f>
        <v>537920001</v>
      </c>
      <c r="AC7517" t="s">
        <v>79</v>
      </c>
      <c r="AD7517" t="s">
        <v>75</v>
      </c>
      <c r="AE7517" t="s">
        <v>103</v>
      </c>
      <c r="AG7517" t="s">
        <v>81</v>
      </c>
    </row>
    <row r="7518" spans="1:33" x14ac:dyDescent="0.25">
      <c r="A7518" t="str">
        <f>"1255522926"</f>
        <v>1255522926</v>
      </c>
      <c r="B7518" t="str">
        <f>"03067714"</f>
        <v>03067714</v>
      </c>
      <c r="C7518" t="s">
        <v>13436</v>
      </c>
      <c r="D7518" t="s">
        <v>33516</v>
      </c>
      <c r="E7518" t="s">
        <v>33517</v>
      </c>
      <c r="G7518" t="s">
        <v>33518</v>
      </c>
      <c r="L7518" t="s">
        <v>83</v>
      </c>
      <c r="M7518" t="s">
        <v>85</v>
      </c>
      <c r="R7518" t="s">
        <v>33519</v>
      </c>
      <c r="W7518" t="s">
        <v>33520</v>
      </c>
      <c r="X7518" t="s">
        <v>258</v>
      </c>
      <c r="Y7518" t="s">
        <v>131</v>
      </c>
      <c r="Z7518" t="s">
        <v>77</v>
      </c>
      <c r="AA7518" t="str">
        <f>"10467-2401"</f>
        <v>10467-2401</v>
      </c>
      <c r="AB7518" t="s">
        <v>78</v>
      </c>
      <c r="AC7518" t="s">
        <v>79</v>
      </c>
      <c r="AD7518" t="s">
        <v>75</v>
      </c>
      <c r="AE7518" t="s">
        <v>80</v>
      </c>
      <c r="AG7518" t="s">
        <v>81</v>
      </c>
    </row>
    <row r="7519" spans="1:33" x14ac:dyDescent="0.25">
      <c r="A7519" t="str">
        <f>"1255533089"</f>
        <v>1255533089</v>
      </c>
      <c r="B7519" t="str">
        <f>"03777713"</f>
        <v>03777713</v>
      </c>
      <c r="C7519" t="s">
        <v>13436</v>
      </c>
      <c r="D7519" t="s">
        <v>33521</v>
      </c>
      <c r="E7519" t="s">
        <v>33522</v>
      </c>
      <c r="G7519" t="s">
        <v>33523</v>
      </c>
      <c r="L7519" t="s">
        <v>102</v>
      </c>
      <c r="M7519" t="s">
        <v>75</v>
      </c>
      <c r="R7519" t="s">
        <v>33524</v>
      </c>
      <c r="W7519" t="s">
        <v>33522</v>
      </c>
      <c r="X7519" t="s">
        <v>329</v>
      </c>
      <c r="Y7519" t="s">
        <v>97</v>
      </c>
      <c r="Z7519" t="s">
        <v>77</v>
      </c>
      <c r="AA7519" t="str">
        <f>"10029-6504"</f>
        <v>10029-6504</v>
      </c>
      <c r="AB7519" t="s">
        <v>78</v>
      </c>
      <c r="AC7519" t="s">
        <v>79</v>
      </c>
      <c r="AD7519" t="s">
        <v>75</v>
      </c>
      <c r="AE7519" t="s">
        <v>80</v>
      </c>
      <c r="AG7519" t="s">
        <v>81</v>
      </c>
    </row>
    <row r="7520" spans="1:33" x14ac:dyDescent="0.25">
      <c r="A7520" t="str">
        <f>"1255560181"</f>
        <v>1255560181</v>
      </c>
      <c r="B7520" t="str">
        <f>"04052273"</f>
        <v>04052273</v>
      </c>
      <c r="C7520" t="s">
        <v>13436</v>
      </c>
      <c r="D7520" t="s">
        <v>33525</v>
      </c>
      <c r="E7520" t="s">
        <v>33526</v>
      </c>
      <c r="G7520" t="s">
        <v>33527</v>
      </c>
      <c r="L7520" t="s">
        <v>83</v>
      </c>
      <c r="M7520" t="s">
        <v>75</v>
      </c>
      <c r="R7520" t="s">
        <v>33528</v>
      </c>
      <c r="W7520" t="s">
        <v>33526</v>
      </c>
      <c r="X7520" t="s">
        <v>181</v>
      </c>
      <c r="Y7520" t="s">
        <v>97</v>
      </c>
      <c r="Z7520" t="s">
        <v>77</v>
      </c>
      <c r="AA7520" t="str">
        <f>"10025-1716"</f>
        <v>10025-1716</v>
      </c>
      <c r="AB7520" t="s">
        <v>78</v>
      </c>
      <c r="AC7520" t="s">
        <v>79</v>
      </c>
      <c r="AD7520" t="s">
        <v>75</v>
      </c>
      <c r="AE7520" t="s">
        <v>80</v>
      </c>
      <c r="AG7520" t="s">
        <v>81</v>
      </c>
    </row>
    <row r="7521" spans="1:33" x14ac:dyDescent="0.25">
      <c r="A7521" t="str">
        <f>"1255570826"</f>
        <v>1255570826</v>
      </c>
      <c r="B7521" t="str">
        <f>"03787464"</f>
        <v>03787464</v>
      </c>
      <c r="C7521" t="s">
        <v>13436</v>
      </c>
      <c r="D7521" t="s">
        <v>33529</v>
      </c>
      <c r="E7521" t="s">
        <v>33530</v>
      </c>
      <c r="G7521" t="s">
        <v>33531</v>
      </c>
      <c r="L7521" t="s">
        <v>102</v>
      </c>
      <c r="M7521" t="s">
        <v>75</v>
      </c>
      <c r="R7521" t="s">
        <v>33532</v>
      </c>
      <c r="W7521" t="s">
        <v>33530</v>
      </c>
      <c r="X7521" t="s">
        <v>86</v>
      </c>
      <c r="Y7521" t="s">
        <v>87</v>
      </c>
      <c r="Z7521" t="s">
        <v>77</v>
      </c>
      <c r="AA7521" t="str">
        <f>"11220-2508"</f>
        <v>11220-2508</v>
      </c>
      <c r="AB7521" t="s">
        <v>78</v>
      </c>
      <c r="AC7521" t="s">
        <v>79</v>
      </c>
      <c r="AD7521" t="s">
        <v>75</v>
      </c>
      <c r="AE7521" t="s">
        <v>80</v>
      </c>
      <c r="AG7521" t="s">
        <v>81</v>
      </c>
    </row>
    <row r="7522" spans="1:33" x14ac:dyDescent="0.25">
      <c r="A7522" t="str">
        <f>"1255573721"</f>
        <v>1255573721</v>
      </c>
      <c r="C7522" t="s">
        <v>13436</v>
      </c>
      <c r="K7522" t="s">
        <v>99</v>
      </c>
      <c r="L7522" t="s">
        <v>102</v>
      </c>
      <c r="M7522" t="s">
        <v>75</v>
      </c>
      <c r="R7522" t="s">
        <v>33533</v>
      </c>
      <c r="S7522" t="s">
        <v>33534</v>
      </c>
      <c r="T7522" t="s">
        <v>1752</v>
      </c>
      <c r="U7522" t="s">
        <v>156</v>
      </c>
      <c r="V7522" t="str">
        <f>"070392935"</f>
        <v>070392935</v>
      </c>
      <c r="AC7522" t="s">
        <v>79</v>
      </c>
      <c r="AD7522" t="s">
        <v>75</v>
      </c>
      <c r="AE7522" t="s">
        <v>103</v>
      </c>
      <c r="AG7522" t="s">
        <v>81</v>
      </c>
    </row>
    <row r="7523" spans="1:33" x14ac:dyDescent="0.25">
      <c r="A7523" t="str">
        <f>"1255591624"</f>
        <v>1255591624</v>
      </c>
      <c r="C7523" t="s">
        <v>13436</v>
      </c>
      <c r="K7523" t="s">
        <v>99</v>
      </c>
      <c r="L7523" t="s">
        <v>102</v>
      </c>
      <c r="M7523" t="s">
        <v>75</v>
      </c>
      <c r="R7523" t="s">
        <v>33535</v>
      </c>
      <c r="S7523" t="s">
        <v>32853</v>
      </c>
      <c r="T7523" t="s">
        <v>32854</v>
      </c>
      <c r="U7523" t="s">
        <v>1784</v>
      </c>
      <c r="V7523" t="str">
        <f>"170332360"</f>
        <v>170332360</v>
      </c>
      <c r="AC7523" t="s">
        <v>79</v>
      </c>
      <c r="AD7523" t="s">
        <v>75</v>
      </c>
      <c r="AE7523" t="s">
        <v>103</v>
      </c>
      <c r="AG7523" t="s">
        <v>81</v>
      </c>
    </row>
    <row r="7524" spans="1:33" x14ac:dyDescent="0.25">
      <c r="A7524" t="str">
        <f>"1053684696"</f>
        <v>1053684696</v>
      </c>
      <c r="C7524" t="s">
        <v>13436</v>
      </c>
      <c r="G7524" t="s">
        <v>33536</v>
      </c>
      <c r="K7524" t="s">
        <v>99</v>
      </c>
      <c r="L7524" t="s">
        <v>102</v>
      </c>
      <c r="M7524" t="s">
        <v>75</v>
      </c>
      <c r="R7524" t="s">
        <v>33537</v>
      </c>
      <c r="S7524" t="s">
        <v>33538</v>
      </c>
      <c r="T7524" t="s">
        <v>4615</v>
      </c>
      <c r="U7524" t="s">
        <v>3878</v>
      </c>
      <c r="V7524" t="str">
        <f>"770301501"</f>
        <v>770301501</v>
      </c>
      <c r="AC7524" t="s">
        <v>79</v>
      </c>
      <c r="AD7524" t="s">
        <v>75</v>
      </c>
      <c r="AE7524" t="s">
        <v>103</v>
      </c>
      <c r="AG7524" t="s">
        <v>81</v>
      </c>
    </row>
    <row r="7525" spans="1:33" x14ac:dyDescent="0.25">
      <c r="A7525" t="str">
        <f>"1104168343"</f>
        <v>1104168343</v>
      </c>
      <c r="B7525" t="str">
        <f>"04602397"</f>
        <v>04602397</v>
      </c>
      <c r="C7525" t="s">
        <v>13436</v>
      </c>
      <c r="D7525" t="s">
        <v>33539</v>
      </c>
      <c r="E7525" t="s">
        <v>33540</v>
      </c>
      <c r="L7525" t="s">
        <v>102</v>
      </c>
      <c r="M7525" t="s">
        <v>75</v>
      </c>
      <c r="R7525" t="s">
        <v>33541</v>
      </c>
      <c r="W7525" t="s">
        <v>33540</v>
      </c>
      <c r="AB7525" t="s">
        <v>78</v>
      </c>
      <c r="AC7525" t="s">
        <v>79</v>
      </c>
      <c r="AD7525" t="s">
        <v>75</v>
      </c>
      <c r="AE7525" t="s">
        <v>80</v>
      </c>
      <c r="AG7525" t="s">
        <v>81</v>
      </c>
    </row>
    <row r="7526" spans="1:33" x14ac:dyDescent="0.25">
      <c r="A7526" t="str">
        <f>"1104168962"</f>
        <v>1104168962</v>
      </c>
      <c r="C7526" t="s">
        <v>13436</v>
      </c>
      <c r="K7526" t="s">
        <v>99</v>
      </c>
      <c r="L7526" t="s">
        <v>74</v>
      </c>
      <c r="M7526" t="s">
        <v>75</v>
      </c>
      <c r="R7526" t="s">
        <v>33542</v>
      </c>
      <c r="S7526" t="s">
        <v>329</v>
      </c>
      <c r="T7526" t="s">
        <v>97</v>
      </c>
      <c r="U7526" t="s">
        <v>77</v>
      </c>
      <c r="V7526" t="str">
        <f>"100296574"</f>
        <v>100296574</v>
      </c>
      <c r="AC7526" t="s">
        <v>79</v>
      </c>
      <c r="AD7526" t="s">
        <v>75</v>
      </c>
      <c r="AE7526" t="s">
        <v>103</v>
      </c>
      <c r="AG7526" t="s">
        <v>81</v>
      </c>
    </row>
    <row r="7527" spans="1:33" x14ac:dyDescent="0.25">
      <c r="A7527" t="str">
        <f>"1104169820"</f>
        <v>1104169820</v>
      </c>
      <c r="C7527" t="s">
        <v>13436</v>
      </c>
      <c r="K7527" t="s">
        <v>99</v>
      </c>
      <c r="L7527" t="s">
        <v>102</v>
      </c>
      <c r="M7527" t="s">
        <v>75</v>
      </c>
      <c r="R7527" t="s">
        <v>33543</v>
      </c>
      <c r="S7527" t="s">
        <v>33544</v>
      </c>
      <c r="T7527" t="s">
        <v>33545</v>
      </c>
      <c r="U7527" t="s">
        <v>156</v>
      </c>
      <c r="V7527" t="str">
        <f>"076481705"</f>
        <v>076481705</v>
      </c>
      <c r="AC7527" t="s">
        <v>79</v>
      </c>
      <c r="AD7527" t="s">
        <v>75</v>
      </c>
      <c r="AE7527" t="s">
        <v>103</v>
      </c>
      <c r="AG7527" t="s">
        <v>81</v>
      </c>
    </row>
    <row r="7528" spans="1:33" x14ac:dyDescent="0.25">
      <c r="A7528" t="str">
        <f>"1104172014"</f>
        <v>1104172014</v>
      </c>
      <c r="B7528" t="str">
        <f>"03736821"</f>
        <v>03736821</v>
      </c>
      <c r="C7528" t="s">
        <v>13436</v>
      </c>
      <c r="D7528" t="s">
        <v>33546</v>
      </c>
      <c r="E7528" t="s">
        <v>33547</v>
      </c>
      <c r="G7528" t="s">
        <v>33548</v>
      </c>
      <c r="L7528" t="s">
        <v>102</v>
      </c>
      <c r="M7528" t="s">
        <v>75</v>
      </c>
      <c r="R7528" t="s">
        <v>33549</v>
      </c>
      <c r="W7528" t="s">
        <v>33547</v>
      </c>
      <c r="X7528" t="s">
        <v>329</v>
      </c>
      <c r="Y7528" t="s">
        <v>97</v>
      </c>
      <c r="Z7528" t="s">
        <v>77</v>
      </c>
      <c r="AA7528" t="str">
        <f>"10029-6504"</f>
        <v>10029-6504</v>
      </c>
      <c r="AB7528" t="s">
        <v>78</v>
      </c>
      <c r="AC7528" t="s">
        <v>79</v>
      </c>
      <c r="AD7528" t="s">
        <v>75</v>
      </c>
      <c r="AE7528" t="s">
        <v>80</v>
      </c>
      <c r="AG7528" t="s">
        <v>81</v>
      </c>
    </row>
    <row r="7529" spans="1:33" x14ac:dyDescent="0.25">
      <c r="A7529" t="str">
        <f>"1104183086"</f>
        <v>1104183086</v>
      </c>
      <c r="C7529" t="s">
        <v>13436</v>
      </c>
      <c r="K7529" t="s">
        <v>99</v>
      </c>
      <c r="L7529" t="s">
        <v>102</v>
      </c>
      <c r="M7529" t="s">
        <v>75</v>
      </c>
      <c r="R7529" t="s">
        <v>33550</v>
      </c>
      <c r="S7529" t="s">
        <v>33551</v>
      </c>
      <c r="T7529" t="s">
        <v>2667</v>
      </c>
      <c r="U7529" t="s">
        <v>2658</v>
      </c>
      <c r="V7529" t="str">
        <f>"462241742"</f>
        <v>462241742</v>
      </c>
      <c r="AC7529" t="s">
        <v>79</v>
      </c>
      <c r="AD7529" t="s">
        <v>75</v>
      </c>
      <c r="AE7529" t="s">
        <v>103</v>
      </c>
      <c r="AG7529" t="s">
        <v>81</v>
      </c>
    </row>
    <row r="7530" spans="1:33" x14ac:dyDescent="0.25">
      <c r="A7530" t="str">
        <f>"1104232156"</f>
        <v>1104232156</v>
      </c>
      <c r="C7530" t="s">
        <v>13436</v>
      </c>
      <c r="G7530" t="s">
        <v>33552</v>
      </c>
      <c r="K7530" t="s">
        <v>99</v>
      </c>
      <c r="L7530" t="s">
        <v>102</v>
      </c>
      <c r="M7530" t="s">
        <v>75</v>
      </c>
      <c r="R7530" t="s">
        <v>33553</v>
      </c>
      <c r="S7530" t="s">
        <v>15625</v>
      </c>
      <c r="T7530" t="s">
        <v>97</v>
      </c>
      <c r="U7530" t="s">
        <v>77</v>
      </c>
      <c r="V7530" t="str">
        <f>"100251710"</f>
        <v>100251710</v>
      </c>
      <c r="AC7530" t="s">
        <v>79</v>
      </c>
      <c r="AD7530" t="s">
        <v>75</v>
      </c>
      <c r="AE7530" t="s">
        <v>103</v>
      </c>
      <c r="AG7530" t="s">
        <v>81</v>
      </c>
    </row>
    <row r="7531" spans="1:33" x14ac:dyDescent="0.25">
      <c r="A7531" t="str">
        <f>"1295177459"</f>
        <v>1295177459</v>
      </c>
      <c r="C7531" t="s">
        <v>13436</v>
      </c>
      <c r="G7531" t="s">
        <v>33554</v>
      </c>
      <c r="K7531" t="s">
        <v>99</v>
      </c>
      <c r="L7531" t="s">
        <v>102</v>
      </c>
      <c r="M7531" t="s">
        <v>75</v>
      </c>
      <c r="R7531" t="s">
        <v>33555</v>
      </c>
      <c r="S7531" t="s">
        <v>33556</v>
      </c>
      <c r="T7531" t="s">
        <v>131</v>
      </c>
      <c r="U7531" t="s">
        <v>77</v>
      </c>
      <c r="V7531" t="str">
        <f>"104683904"</f>
        <v>104683904</v>
      </c>
      <c r="AC7531" t="s">
        <v>79</v>
      </c>
      <c r="AD7531" t="s">
        <v>75</v>
      </c>
      <c r="AE7531" t="s">
        <v>103</v>
      </c>
      <c r="AG7531" t="s">
        <v>81</v>
      </c>
    </row>
    <row r="7532" spans="1:33" x14ac:dyDescent="0.25">
      <c r="A7532" t="str">
        <f>"1295178507"</f>
        <v>1295178507</v>
      </c>
      <c r="B7532" t="str">
        <f>"04548321"</f>
        <v>04548321</v>
      </c>
      <c r="C7532" t="s">
        <v>13436</v>
      </c>
      <c r="D7532" t="s">
        <v>33557</v>
      </c>
      <c r="E7532" t="s">
        <v>33558</v>
      </c>
      <c r="G7532" t="s">
        <v>33559</v>
      </c>
      <c r="L7532" t="s">
        <v>102</v>
      </c>
      <c r="M7532" t="s">
        <v>75</v>
      </c>
      <c r="R7532" t="s">
        <v>33558</v>
      </c>
      <c r="W7532" t="s">
        <v>33558</v>
      </c>
      <c r="AB7532" t="s">
        <v>78</v>
      </c>
      <c r="AC7532" t="s">
        <v>79</v>
      </c>
      <c r="AD7532" t="s">
        <v>75</v>
      </c>
      <c r="AE7532" t="s">
        <v>80</v>
      </c>
      <c r="AG7532" t="s">
        <v>81</v>
      </c>
    </row>
    <row r="7533" spans="1:33" x14ac:dyDescent="0.25">
      <c r="A7533" t="str">
        <f>"1609294974"</f>
        <v>1609294974</v>
      </c>
      <c r="C7533" t="s">
        <v>13436</v>
      </c>
      <c r="K7533" t="s">
        <v>99</v>
      </c>
      <c r="L7533" t="s">
        <v>102</v>
      </c>
      <c r="M7533" t="s">
        <v>75</v>
      </c>
      <c r="R7533" t="s">
        <v>33560</v>
      </c>
      <c r="S7533" t="s">
        <v>191</v>
      </c>
      <c r="T7533" t="s">
        <v>97</v>
      </c>
      <c r="U7533" t="s">
        <v>77</v>
      </c>
      <c r="V7533" t="str">
        <f>"100191147"</f>
        <v>100191147</v>
      </c>
      <c r="AC7533" t="s">
        <v>79</v>
      </c>
      <c r="AD7533" t="s">
        <v>75</v>
      </c>
      <c r="AE7533" t="s">
        <v>103</v>
      </c>
      <c r="AG7533" t="s">
        <v>81</v>
      </c>
    </row>
    <row r="7534" spans="1:33" x14ac:dyDescent="0.25">
      <c r="A7534" t="str">
        <f>"1609805068"</f>
        <v>1609805068</v>
      </c>
      <c r="B7534" t="str">
        <f>"00991460"</f>
        <v>00991460</v>
      </c>
      <c r="C7534" t="s">
        <v>13436</v>
      </c>
      <c r="D7534" t="s">
        <v>33561</v>
      </c>
      <c r="E7534" t="s">
        <v>33562</v>
      </c>
      <c r="G7534" t="s">
        <v>33563</v>
      </c>
      <c r="L7534" t="s">
        <v>74</v>
      </c>
      <c r="M7534" t="s">
        <v>75</v>
      </c>
      <c r="R7534" t="s">
        <v>33564</v>
      </c>
      <c r="W7534" t="s">
        <v>33562</v>
      </c>
      <c r="X7534" t="s">
        <v>31503</v>
      </c>
      <c r="Y7534" t="s">
        <v>209</v>
      </c>
      <c r="Z7534" t="s">
        <v>77</v>
      </c>
      <c r="AA7534" t="str">
        <f>"11794-0001"</f>
        <v>11794-0001</v>
      </c>
      <c r="AB7534" t="s">
        <v>78</v>
      </c>
      <c r="AC7534" t="s">
        <v>79</v>
      </c>
      <c r="AD7534" t="s">
        <v>75</v>
      </c>
      <c r="AE7534" t="s">
        <v>80</v>
      </c>
      <c r="AG7534" t="s">
        <v>81</v>
      </c>
    </row>
    <row r="7535" spans="1:33" x14ac:dyDescent="0.25">
      <c r="A7535" t="str">
        <f>"1609842343"</f>
        <v>1609842343</v>
      </c>
      <c r="B7535" t="str">
        <f>"01468060"</f>
        <v>01468060</v>
      </c>
      <c r="C7535" t="s">
        <v>13436</v>
      </c>
      <c r="D7535" t="s">
        <v>33565</v>
      </c>
      <c r="E7535" t="s">
        <v>33566</v>
      </c>
      <c r="G7535" t="s">
        <v>33567</v>
      </c>
      <c r="L7535" t="s">
        <v>84</v>
      </c>
      <c r="M7535" t="s">
        <v>85</v>
      </c>
      <c r="R7535" t="s">
        <v>33568</v>
      </c>
      <c r="W7535" t="s">
        <v>33566</v>
      </c>
      <c r="X7535" t="s">
        <v>33569</v>
      </c>
      <c r="Y7535" t="s">
        <v>97</v>
      </c>
      <c r="Z7535" t="s">
        <v>77</v>
      </c>
      <c r="AA7535" t="str">
        <f>"10029-6501"</f>
        <v>10029-6501</v>
      </c>
      <c r="AB7535" t="s">
        <v>78</v>
      </c>
      <c r="AC7535" t="s">
        <v>79</v>
      </c>
      <c r="AD7535" t="s">
        <v>75</v>
      </c>
      <c r="AE7535" t="s">
        <v>80</v>
      </c>
      <c r="AG7535" t="s">
        <v>81</v>
      </c>
    </row>
    <row r="7536" spans="1:33" x14ac:dyDescent="0.25">
      <c r="A7536" t="str">
        <f>"1609842731"</f>
        <v>1609842731</v>
      </c>
      <c r="B7536" t="str">
        <f>"02407936"</f>
        <v>02407936</v>
      </c>
      <c r="C7536" t="s">
        <v>13436</v>
      </c>
      <c r="D7536" t="s">
        <v>33570</v>
      </c>
      <c r="E7536" t="s">
        <v>33571</v>
      </c>
      <c r="G7536" t="s">
        <v>33572</v>
      </c>
      <c r="L7536" t="s">
        <v>74</v>
      </c>
      <c r="M7536" t="s">
        <v>75</v>
      </c>
      <c r="R7536" t="s">
        <v>33573</v>
      </c>
      <c r="W7536" t="s">
        <v>33571</v>
      </c>
      <c r="X7536" t="s">
        <v>329</v>
      </c>
      <c r="Y7536" t="s">
        <v>97</v>
      </c>
      <c r="Z7536" t="s">
        <v>77</v>
      </c>
      <c r="AA7536" t="str">
        <f>"10029-6500"</f>
        <v>10029-6500</v>
      </c>
      <c r="AB7536" t="s">
        <v>78</v>
      </c>
      <c r="AC7536" t="s">
        <v>79</v>
      </c>
      <c r="AD7536" t="s">
        <v>75</v>
      </c>
      <c r="AE7536" t="s">
        <v>80</v>
      </c>
      <c r="AG7536" t="s">
        <v>81</v>
      </c>
    </row>
    <row r="7537" spans="1:33" x14ac:dyDescent="0.25">
      <c r="A7537" t="str">
        <f>"1023397627"</f>
        <v>1023397627</v>
      </c>
      <c r="B7537" t="str">
        <f>"04121211"</f>
        <v>04121211</v>
      </c>
      <c r="C7537" t="s">
        <v>13436</v>
      </c>
      <c r="D7537" t="s">
        <v>33574</v>
      </c>
      <c r="E7537" t="s">
        <v>33575</v>
      </c>
      <c r="L7537" t="s">
        <v>74</v>
      </c>
      <c r="M7537" t="s">
        <v>75</v>
      </c>
      <c r="R7537" t="s">
        <v>33576</v>
      </c>
      <c r="W7537" t="s">
        <v>33575</v>
      </c>
      <c r="X7537" t="s">
        <v>33577</v>
      </c>
      <c r="Y7537" t="s">
        <v>97</v>
      </c>
      <c r="Z7537" t="s">
        <v>77</v>
      </c>
      <c r="AA7537" t="str">
        <f>"10032-1559"</f>
        <v>10032-1559</v>
      </c>
      <c r="AB7537" t="s">
        <v>78</v>
      </c>
      <c r="AC7537" t="s">
        <v>79</v>
      </c>
      <c r="AD7537" t="s">
        <v>75</v>
      </c>
      <c r="AE7537" t="s">
        <v>80</v>
      </c>
      <c r="AG7537" t="s">
        <v>81</v>
      </c>
    </row>
    <row r="7538" spans="1:33" x14ac:dyDescent="0.25">
      <c r="A7538" t="str">
        <f>"1023435476"</f>
        <v>1023435476</v>
      </c>
      <c r="C7538" t="s">
        <v>13436</v>
      </c>
      <c r="K7538" t="s">
        <v>99</v>
      </c>
      <c r="L7538" t="s">
        <v>102</v>
      </c>
      <c r="M7538" t="s">
        <v>75</v>
      </c>
      <c r="R7538" t="s">
        <v>33578</v>
      </c>
      <c r="S7538" t="s">
        <v>33579</v>
      </c>
      <c r="T7538" t="s">
        <v>226</v>
      </c>
      <c r="U7538" t="s">
        <v>77</v>
      </c>
      <c r="V7538" t="str">
        <f>"115681126"</f>
        <v>115681126</v>
      </c>
      <c r="AC7538" t="s">
        <v>79</v>
      </c>
      <c r="AD7538" t="s">
        <v>75</v>
      </c>
      <c r="AE7538" t="s">
        <v>103</v>
      </c>
      <c r="AG7538" t="s">
        <v>81</v>
      </c>
    </row>
    <row r="7539" spans="1:33" x14ac:dyDescent="0.25">
      <c r="A7539" t="str">
        <f>"1023436011"</f>
        <v>1023436011</v>
      </c>
      <c r="C7539" t="s">
        <v>13436</v>
      </c>
      <c r="K7539" t="s">
        <v>99</v>
      </c>
      <c r="L7539" t="s">
        <v>102</v>
      </c>
      <c r="M7539" t="s">
        <v>75</v>
      </c>
      <c r="R7539" t="s">
        <v>28356</v>
      </c>
      <c r="S7539" t="s">
        <v>1076</v>
      </c>
      <c r="T7539" t="s">
        <v>97</v>
      </c>
      <c r="U7539" t="s">
        <v>77</v>
      </c>
      <c r="V7539" t="str">
        <f>"100251737"</f>
        <v>100251737</v>
      </c>
      <c r="AC7539" t="s">
        <v>79</v>
      </c>
      <c r="AD7539" t="s">
        <v>75</v>
      </c>
      <c r="AE7539" t="s">
        <v>103</v>
      </c>
      <c r="AG7539" t="s">
        <v>81</v>
      </c>
    </row>
    <row r="7540" spans="1:33" x14ac:dyDescent="0.25">
      <c r="A7540" t="str">
        <f>"1447416433"</f>
        <v>1447416433</v>
      </c>
      <c r="B7540" t="str">
        <f>"03741655"</f>
        <v>03741655</v>
      </c>
      <c r="C7540" t="s">
        <v>13436</v>
      </c>
      <c r="D7540" t="s">
        <v>33580</v>
      </c>
      <c r="E7540" t="s">
        <v>33581</v>
      </c>
      <c r="G7540" t="s">
        <v>33582</v>
      </c>
      <c r="L7540" t="s">
        <v>102</v>
      </c>
      <c r="M7540" t="s">
        <v>75</v>
      </c>
      <c r="R7540" t="s">
        <v>33583</v>
      </c>
      <c r="W7540" t="s">
        <v>33581</v>
      </c>
      <c r="X7540" t="s">
        <v>329</v>
      </c>
      <c r="Y7540" t="s">
        <v>97</v>
      </c>
      <c r="Z7540" t="s">
        <v>77</v>
      </c>
      <c r="AA7540" t="str">
        <f>"10029-6504"</f>
        <v>10029-6504</v>
      </c>
      <c r="AB7540" t="s">
        <v>78</v>
      </c>
      <c r="AC7540" t="s">
        <v>79</v>
      </c>
      <c r="AD7540" t="s">
        <v>75</v>
      </c>
      <c r="AE7540" t="s">
        <v>80</v>
      </c>
      <c r="AG7540" t="s">
        <v>81</v>
      </c>
    </row>
    <row r="7541" spans="1:33" x14ac:dyDescent="0.25">
      <c r="A7541" t="str">
        <f>"1306147475"</f>
        <v>1306147475</v>
      </c>
      <c r="C7541" t="s">
        <v>13436</v>
      </c>
      <c r="K7541" t="s">
        <v>99</v>
      </c>
      <c r="L7541" t="s">
        <v>102</v>
      </c>
      <c r="M7541" t="s">
        <v>75</v>
      </c>
      <c r="R7541" t="s">
        <v>33584</v>
      </c>
      <c r="S7541" t="s">
        <v>181</v>
      </c>
      <c r="T7541" t="s">
        <v>97</v>
      </c>
      <c r="U7541" t="s">
        <v>77</v>
      </c>
      <c r="V7541" t="str">
        <f>"100251716"</f>
        <v>100251716</v>
      </c>
      <c r="AC7541" t="s">
        <v>79</v>
      </c>
      <c r="AD7541" t="s">
        <v>75</v>
      </c>
      <c r="AE7541" t="s">
        <v>103</v>
      </c>
      <c r="AG7541" t="s">
        <v>81</v>
      </c>
    </row>
    <row r="7542" spans="1:33" x14ac:dyDescent="0.25">
      <c r="A7542" t="str">
        <f>"1023437399"</f>
        <v>1023437399</v>
      </c>
      <c r="C7542" t="s">
        <v>13436</v>
      </c>
      <c r="K7542" t="s">
        <v>99</v>
      </c>
      <c r="L7542" t="s">
        <v>102</v>
      </c>
      <c r="M7542" t="s">
        <v>75</v>
      </c>
      <c r="R7542" t="s">
        <v>33585</v>
      </c>
      <c r="S7542" t="s">
        <v>33586</v>
      </c>
      <c r="T7542" t="s">
        <v>97</v>
      </c>
      <c r="U7542" t="s">
        <v>77</v>
      </c>
      <c r="V7542" t="str">
        <f>"100657772"</f>
        <v>100657772</v>
      </c>
      <c r="AC7542" t="s">
        <v>79</v>
      </c>
      <c r="AD7542" t="s">
        <v>75</v>
      </c>
      <c r="AE7542" t="s">
        <v>103</v>
      </c>
      <c r="AG7542" t="s">
        <v>81</v>
      </c>
    </row>
    <row r="7543" spans="1:33" x14ac:dyDescent="0.25">
      <c r="A7543" t="str">
        <f>"1023437514"</f>
        <v>1023437514</v>
      </c>
      <c r="C7543" t="s">
        <v>13436</v>
      </c>
      <c r="K7543" t="s">
        <v>99</v>
      </c>
      <c r="L7543" t="s">
        <v>102</v>
      </c>
      <c r="M7543" t="s">
        <v>75</v>
      </c>
      <c r="R7543" t="s">
        <v>33587</v>
      </c>
      <c r="S7543" t="s">
        <v>191</v>
      </c>
      <c r="T7543" t="s">
        <v>97</v>
      </c>
      <c r="U7543" t="s">
        <v>77</v>
      </c>
      <c r="V7543" t="str">
        <f>"100191147"</f>
        <v>100191147</v>
      </c>
      <c r="AC7543" t="s">
        <v>79</v>
      </c>
      <c r="AD7543" t="s">
        <v>75</v>
      </c>
      <c r="AE7543" t="s">
        <v>103</v>
      </c>
      <c r="AG7543" t="s">
        <v>81</v>
      </c>
    </row>
    <row r="7544" spans="1:33" x14ac:dyDescent="0.25">
      <c r="A7544" t="str">
        <f>"1023437597"</f>
        <v>1023437597</v>
      </c>
      <c r="C7544" t="s">
        <v>13436</v>
      </c>
      <c r="G7544" t="s">
        <v>33588</v>
      </c>
      <c r="K7544" t="s">
        <v>99</v>
      </c>
      <c r="L7544" t="s">
        <v>102</v>
      </c>
      <c r="M7544" t="s">
        <v>75</v>
      </c>
      <c r="R7544" t="s">
        <v>33589</v>
      </c>
      <c r="S7544" t="s">
        <v>13217</v>
      </c>
      <c r="T7544" t="s">
        <v>469</v>
      </c>
      <c r="U7544" t="s">
        <v>123</v>
      </c>
      <c r="V7544" t="str">
        <f>"016550002"</f>
        <v>016550002</v>
      </c>
      <c r="AC7544" t="s">
        <v>79</v>
      </c>
      <c r="AD7544" t="s">
        <v>75</v>
      </c>
      <c r="AE7544" t="s">
        <v>103</v>
      </c>
      <c r="AG7544" t="s">
        <v>81</v>
      </c>
    </row>
    <row r="7545" spans="1:33" x14ac:dyDescent="0.25">
      <c r="A7545" t="str">
        <f>"1023452760"</f>
        <v>1023452760</v>
      </c>
      <c r="C7545" t="s">
        <v>13436</v>
      </c>
      <c r="K7545" t="s">
        <v>99</v>
      </c>
      <c r="L7545" t="s">
        <v>102</v>
      </c>
      <c r="M7545" t="s">
        <v>75</v>
      </c>
      <c r="R7545" t="s">
        <v>33590</v>
      </c>
      <c r="S7545" t="s">
        <v>329</v>
      </c>
      <c r="T7545" t="s">
        <v>97</v>
      </c>
      <c r="U7545" t="s">
        <v>77</v>
      </c>
      <c r="V7545" t="str">
        <f>"100296574"</f>
        <v>100296574</v>
      </c>
      <c r="AC7545" t="s">
        <v>79</v>
      </c>
      <c r="AD7545" t="s">
        <v>75</v>
      </c>
      <c r="AE7545" t="s">
        <v>103</v>
      </c>
      <c r="AG7545" t="s">
        <v>81</v>
      </c>
    </row>
    <row r="7546" spans="1:33" x14ac:dyDescent="0.25">
      <c r="A7546" t="str">
        <f>"1023453172"</f>
        <v>1023453172</v>
      </c>
      <c r="C7546" t="s">
        <v>13436</v>
      </c>
      <c r="K7546" t="s">
        <v>99</v>
      </c>
      <c r="L7546" t="s">
        <v>102</v>
      </c>
      <c r="M7546" t="s">
        <v>75</v>
      </c>
      <c r="R7546" t="s">
        <v>33591</v>
      </c>
      <c r="S7546" t="s">
        <v>191</v>
      </c>
      <c r="T7546" t="s">
        <v>97</v>
      </c>
      <c r="U7546" t="s">
        <v>77</v>
      </c>
      <c r="V7546" t="str">
        <f>"100191147"</f>
        <v>100191147</v>
      </c>
      <c r="AC7546" t="s">
        <v>79</v>
      </c>
      <c r="AD7546" t="s">
        <v>75</v>
      </c>
      <c r="AE7546" t="s">
        <v>103</v>
      </c>
      <c r="AG7546" t="s">
        <v>81</v>
      </c>
    </row>
    <row r="7547" spans="1:33" x14ac:dyDescent="0.25">
      <c r="A7547" t="str">
        <f>"1114293180"</f>
        <v>1114293180</v>
      </c>
      <c r="C7547" t="s">
        <v>13436</v>
      </c>
      <c r="K7547" t="s">
        <v>99</v>
      </c>
      <c r="L7547" t="s">
        <v>102</v>
      </c>
      <c r="M7547" t="s">
        <v>75</v>
      </c>
      <c r="R7547" t="s">
        <v>33592</v>
      </c>
      <c r="S7547" t="s">
        <v>33593</v>
      </c>
      <c r="T7547" t="s">
        <v>308</v>
      </c>
      <c r="U7547" t="s">
        <v>77</v>
      </c>
      <c r="V7547" t="str">
        <f>"113682951"</f>
        <v>113682951</v>
      </c>
      <c r="AC7547" t="s">
        <v>79</v>
      </c>
      <c r="AD7547" t="s">
        <v>75</v>
      </c>
      <c r="AE7547" t="s">
        <v>103</v>
      </c>
      <c r="AG7547" t="s">
        <v>81</v>
      </c>
    </row>
    <row r="7548" spans="1:33" x14ac:dyDescent="0.25">
      <c r="A7548" t="str">
        <f>"1114293321"</f>
        <v>1114293321</v>
      </c>
      <c r="C7548" t="s">
        <v>13436</v>
      </c>
      <c r="K7548" t="s">
        <v>99</v>
      </c>
      <c r="L7548" t="s">
        <v>102</v>
      </c>
      <c r="M7548" t="s">
        <v>75</v>
      </c>
      <c r="R7548" t="s">
        <v>33594</v>
      </c>
      <c r="S7548" t="s">
        <v>33595</v>
      </c>
      <c r="T7548" t="s">
        <v>1783</v>
      </c>
      <c r="U7548" t="s">
        <v>1784</v>
      </c>
      <c r="V7548" t="str">
        <f>"191044238"</f>
        <v>191044238</v>
      </c>
      <c r="AC7548" t="s">
        <v>79</v>
      </c>
      <c r="AD7548" t="s">
        <v>75</v>
      </c>
      <c r="AE7548" t="s">
        <v>103</v>
      </c>
      <c r="AG7548" t="s">
        <v>81</v>
      </c>
    </row>
    <row r="7549" spans="1:33" x14ac:dyDescent="0.25">
      <c r="A7549" t="str">
        <f>"1114293990"</f>
        <v>1114293990</v>
      </c>
      <c r="C7549" t="s">
        <v>13436</v>
      </c>
      <c r="K7549" t="s">
        <v>99</v>
      </c>
      <c r="L7549" t="s">
        <v>102</v>
      </c>
      <c r="M7549" t="s">
        <v>75</v>
      </c>
      <c r="R7549" t="s">
        <v>33596</v>
      </c>
      <c r="S7549" t="s">
        <v>14063</v>
      </c>
      <c r="T7549" t="s">
        <v>97</v>
      </c>
      <c r="U7549" t="s">
        <v>77</v>
      </c>
      <c r="V7549" t="str">
        <f>"10029"</f>
        <v>10029</v>
      </c>
      <c r="AC7549" t="s">
        <v>79</v>
      </c>
      <c r="AD7549" t="s">
        <v>75</v>
      </c>
      <c r="AE7549" t="s">
        <v>103</v>
      </c>
      <c r="AG7549" t="s">
        <v>81</v>
      </c>
    </row>
    <row r="7550" spans="1:33" x14ac:dyDescent="0.25">
      <c r="A7550" t="str">
        <f>"1114345196"</f>
        <v>1114345196</v>
      </c>
      <c r="C7550" t="s">
        <v>13436</v>
      </c>
      <c r="K7550" t="s">
        <v>99</v>
      </c>
      <c r="L7550" t="s">
        <v>102</v>
      </c>
      <c r="M7550" t="s">
        <v>75</v>
      </c>
      <c r="R7550" t="s">
        <v>33597</v>
      </c>
      <c r="S7550" t="s">
        <v>14477</v>
      </c>
      <c r="T7550" t="s">
        <v>97</v>
      </c>
      <c r="U7550" t="s">
        <v>77</v>
      </c>
      <c r="V7550" t="str">
        <f>"100033804"</f>
        <v>100033804</v>
      </c>
      <c r="AC7550" t="s">
        <v>79</v>
      </c>
      <c r="AD7550" t="s">
        <v>75</v>
      </c>
      <c r="AE7550" t="s">
        <v>103</v>
      </c>
      <c r="AG7550" t="s">
        <v>81</v>
      </c>
    </row>
    <row r="7551" spans="1:33" x14ac:dyDescent="0.25">
      <c r="A7551" t="str">
        <f>"1114345253"</f>
        <v>1114345253</v>
      </c>
      <c r="C7551" t="s">
        <v>13436</v>
      </c>
      <c r="K7551" t="s">
        <v>99</v>
      </c>
      <c r="L7551" t="s">
        <v>102</v>
      </c>
      <c r="M7551" t="s">
        <v>75</v>
      </c>
      <c r="R7551" t="s">
        <v>33598</v>
      </c>
      <c r="S7551" t="s">
        <v>14299</v>
      </c>
      <c r="T7551" t="s">
        <v>97</v>
      </c>
      <c r="U7551" t="s">
        <v>77</v>
      </c>
      <c r="V7551" t="str">
        <f>"100033821"</f>
        <v>100033821</v>
      </c>
      <c r="AC7551" t="s">
        <v>79</v>
      </c>
      <c r="AD7551" t="s">
        <v>75</v>
      </c>
      <c r="AE7551" t="s">
        <v>103</v>
      </c>
      <c r="AG7551" t="s">
        <v>81</v>
      </c>
    </row>
    <row r="7552" spans="1:33" x14ac:dyDescent="0.25">
      <c r="A7552" t="str">
        <f>"1316203722"</f>
        <v>1316203722</v>
      </c>
      <c r="C7552" t="s">
        <v>13436</v>
      </c>
      <c r="K7552" t="s">
        <v>99</v>
      </c>
      <c r="L7552" t="s">
        <v>102</v>
      </c>
      <c r="M7552" t="s">
        <v>75</v>
      </c>
      <c r="R7552" t="s">
        <v>33599</v>
      </c>
      <c r="S7552" t="s">
        <v>33600</v>
      </c>
      <c r="T7552" t="s">
        <v>97</v>
      </c>
      <c r="U7552" t="s">
        <v>77</v>
      </c>
      <c r="V7552" t="str">
        <f>"100296500"</f>
        <v>100296500</v>
      </c>
      <c r="AC7552" t="s">
        <v>79</v>
      </c>
      <c r="AD7552" t="s">
        <v>75</v>
      </c>
      <c r="AE7552" t="s">
        <v>103</v>
      </c>
      <c r="AG7552" t="s">
        <v>81</v>
      </c>
    </row>
    <row r="7553" spans="1:33" x14ac:dyDescent="0.25">
      <c r="A7553" t="str">
        <f>"1316207962"</f>
        <v>1316207962</v>
      </c>
      <c r="C7553" t="s">
        <v>13436</v>
      </c>
      <c r="K7553" t="s">
        <v>99</v>
      </c>
      <c r="L7553" t="s">
        <v>102</v>
      </c>
      <c r="M7553" t="s">
        <v>75</v>
      </c>
      <c r="R7553" t="s">
        <v>33601</v>
      </c>
      <c r="S7553" t="s">
        <v>191</v>
      </c>
      <c r="T7553" t="s">
        <v>97</v>
      </c>
      <c r="U7553" t="s">
        <v>77</v>
      </c>
      <c r="V7553" t="str">
        <f>"100191147"</f>
        <v>100191147</v>
      </c>
      <c r="AC7553" t="s">
        <v>79</v>
      </c>
      <c r="AD7553" t="s">
        <v>75</v>
      </c>
      <c r="AE7553" t="s">
        <v>103</v>
      </c>
      <c r="AG7553" t="s">
        <v>81</v>
      </c>
    </row>
    <row r="7554" spans="1:33" x14ac:dyDescent="0.25">
      <c r="A7554" t="str">
        <f>"1316212780"</f>
        <v>1316212780</v>
      </c>
      <c r="C7554" t="s">
        <v>13436</v>
      </c>
      <c r="K7554" t="s">
        <v>99</v>
      </c>
      <c r="L7554" t="s">
        <v>102</v>
      </c>
      <c r="M7554" t="s">
        <v>75</v>
      </c>
      <c r="R7554" t="s">
        <v>33602</v>
      </c>
      <c r="S7554" t="s">
        <v>33603</v>
      </c>
      <c r="T7554" t="s">
        <v>33604</v>
      </c>
      <c r="U7554" t="s">
        <v>123</v>
      </c>
      <c r="V7554" t="str">
        <f>"013012613"</f>
        <v>013012613</v>
      </c>
      <c r="AC7554" t="s">
        <v>79</v>
      </c>
      <c r="AD7554" t="s">
        <v>75</v>
      </c>
      <c r="AE7554" t="s">
        <v>103</v>
      </c>
      <c r="AG7554" t="s">
        <v>81</v>
      </c>
    </row>
    <row r="7555" spans="1:33" x14ac:dyDescent="0.25">
      <c r="A7555" t="str">
        <f>"1316230790"</f>
        <v>1316230790</v>
      </c>
      <c r="C7555" t="s">
        <v>13436</v>
      </c>
      <c r="K7555" t="s">
        <v>99</v>
      </c>
      <c r="L7555" t="s">
        <v>102</v>
      </c>
      <c r="M7555" t="s">
        <v>75</v>
      </c>
      <c r="R7555" t="s">
        <v>33605</v>
      </c>
      <c r="S7555" t="s">
        <v>33606</v>
      </c>
      <c r="T7555" t="s">
        <v>33607</v>
      </c>
      <c r="U7555" t="s">
        <v>2661</v>
      </c>
      <c r="V7555" t="str">
        <f>"208784120"</f>
        <v>208784120</v>
      </c>
      <c r="AC7555" t="s">
        <v>79</v>
      </c>
      <c r="AD7555" t="s">
        <v>75</v>
      </c>
      <c r="AE7555" t="s">
        <v>103</v>
      </c>
      <c r="AG7555" t="s">
        <v>81</v>
      </c>
    </row>
    <row r="7556" spans="1:33" x14ac:dyDescent="0.25">
      <c r="A7556" t="str">
        <f>"1316231061"</f>
        <v>1316231061</v>
      </c>
      <c r="C7556" t="s">
        <v>13436</v>
      </c>
      <c r="K7556" t="s">
        <v>99</v>
      </c>
      <c r="L7556" t="s">
        <v>102</v>
      </c>
      <c r="M7556" t="s">
        <v>75</v>
      </c>
      <c r="R7556" t="s">
        <v>33608</v>
      </c>
      <c r="S7556" t="s">
        <v>329</v>
      </c>
      <c r="T7556" t="s">
        <v>97</v>
      </c>
      <c r="U7556" t="s">
        <v>77</v>
      </c>
      <c r="V7556" t="str">
        <f>"100296500"</f>
        <v>100296500</v>
      </c>
      <c r="AC7556" t="s">
        <v>79</v>
      </c>
      <c r="AD7556" t="s">
        <v>75</v>
      </c>
      <c r="AE7556" t="s">
        <v>103</v>
      </c>
      <c r="AG7556" t="s">
        <v>81</v>
      </c>
    </row>
    <row r="7557" spans="1:33" x14ac:dyDescent="0.25">
      <c r="A7557" t="str">
        <f>"1316233141"</f>
        <v>1316233141</v>
      </c>
      <c r="C7557" t="s">
        <v>13436</v>
      </c>
      <c r="K7557" t="s">
        <v>99</v>
      </c>
      <c r="L7557" t="s">
        <v>102</v>
      </c>
      <c r="M7557" t="s">
        <v>75</v>
      </c>
      <c r="R7557" t="s">
        <v>19182</v>
      </c>
      <c r="S7557" t="s">
        <v>33609</v>
      </c>
      <c r="T7557" t="s">
        <v>1789</v>
      </c>
      <c r="U7557" t="s">
        <v>285</v>
      </c>
      <c r="V7557" t="str">
        <f>"606112914"</f>
        <v>606112914</v>
      </c>
      <c r="AC7557" t="s">
        <v>79</v>
      </c>
      <c r="AD7557" t="s">
        <v>75</v>
      </c>
      <c r="AE7557" t="s">
        <v>103</v>
      </c>
      <c r="AG7557" t="s">
        <v>81</v>
      </c>
    </row>
    <row r="7558" spans="1:33" x14ac:dyDescent="0.25">
      <c r="A7558" t="str">
        <f>"1316255797"</f>
        <v>1316255797</v>
      </c>
      <c r="B7558" t="str">
        <f>"03430215"</f>
        <v>03430215</v>
      </c>
      <c r="C7558" t="s">
        <v>13436</v>
      </c>
      <c r="D7558" t="s">
        <v>33610</v>
      </c>
      <c r="E7558" t="s">
        <v>33611</v>
      </c>
      <c r="G7558" t="s">
        <v>33612</v>
      </c>
      <c r="L7558" t="s">
        <v>74</v>
      </c>
      <c r="M7558" t="s">
        <v>75</v>
      </c>
      <c r="R7558" t="s">
        <v>33613</v>
      </c>
      <c r="W7558" t="s">
        <v>33611</v>
      </c>
      <c r="X7558" t="s">
        <v>191</v>
      </c>
      <c r="Y7558" t="s">
        <v>97</v>
      </c>
      <c r="Z7558" t="s">
        <v>77</v>
      </c>
      <c r="AA7558" t="str">
        <f>"10019-1147"</f>
        <v>10019-1147</v>
      </c>
      <c r="AB7558" t="s">
        <v>125</v>
      </c>
      <c r="AC7558" t="s">
        <v>79</v>
      </c>
      <c r="AD7558" t="s">
        <v>75</v>
      </c>
      <c r="AE7558" t="s">
        <v>80</v>
      </c>
      <c r="AG7558" t="s">
        <v>81</v>
      </c>
    </row>
    <row r="7559" spans="1:33" x14ac:dyDescent="0.25">
      <c r="A7559" t="str">
        <f>"1467726612"</f>
        <v>1467726612</v>
      </c>
      <c r="B7559" t="str">
        <f>"03595580"</f>
        <v>03595580</v>
      </c>
      <c r="C7559" t="s">
        <v>32778</v>
      </c>
      <c r="D7559" t="s">
        <v>32779</v>
      </c>
      <c r="E7559" t="s">
        <v>32780</v>
      </c>
      <c r="L7559" t="s">
        <v>1790</v>
      </c>
      <c r="M7559" t="s">
        <v>85</v>
      </c>
      <c r="R7559" t="s">
        <v>32782</v>
      </c>
      <c r="W7559" t="s">
        <v>32782</v>
      </c>
      <c r="AB7559" t="s">
        <v>122</v>
      </c>
      <c r="AC7559" t="s">
        <v>79</v>
      </c>
      <c r="AD7559" t="s">
        <v>75</v>
      </c>
      <c r="AE7559" t="s">
        <v>80</v>
      </c>
      <c r="AG7559" t="s">
        <v>81</v>
      </c>
    </row>
    <row r="7560" spans="1:33" x14ac:dyDescent="0.25">
      <c r="A7560" t="str">
        <f>"1992820930"</f>
        <v>1992820930</v>
      </c>
      <c r="B7560" t="str">
        <f>"01559017"</f>
        <v>01559017</v>
      </c>
      <c r="C7560" t="s">
        <v>13436</v>
      </c>
      <c r="D7560" t="s">
        <v>33614</v>
      </c>
      <c r="E7560" t="s">
        <v>33615</v>
      </c>
      <c r="L7560" t="s">
        <v>84</v>
      </c>
      <c r="M7560" t="s">
        <v>85</v>
      </c>
      <c r="R7560" t="s">
        <v>33616</v>
      </c>
      <c r="W7560" t="s">
        <v>33615</v>
      </c>
      <c r="X7560" t="s">
        <v>185</v>
      </c>
      <c r="Y7560" t="s">
        <v>97</v>
      </c>
      <c r="Z7560" t="s">
        <v>77</v>
      </c>
      <c r="AA7560" t="str">
        <f>"10035-2709"</f>
        <v>10035-2709</v>
      </c>
      <c r="AB7560" t="s">
        <v>78</v>
      </c>
      <c r="AC7560" t="s">
        <v>79</v>
      </c>
      <c r="AD7560" t="s">
        <v>75</v>
      </c>
      <c r="AE7560" t="s">
        <v>80</v>
      </c>
      <c r="AG7560" t="s">
        <v>81</v>
      </c>
    </row>
    <row r="7561" spans="1:33" x14ac:dyDescent="0.25">
      <c r="A7561" t="str">
        <f>"1386957215"</f>
        <v>1386957215</v>
      </c>
      <c r="B7561" t="str">
        <f>"03972763"</f>
        <v>03972763</v>
      </c>
      <c r="C7561" t="s">
        <v>13436</v>
      </c>
      <c r="D7561" t="s">
        <v>6242</v>
      </c>
      <c r="E7561" t="s">
        <v>6243</v>
      </c>
      <c r="L7561" t="s">
        <v>105</v>
      </c>
      <c r="M7561" t="s">
        <v>75</v>
      </c>
      <c r="R7561" t="s">
        <v>6244</v>
      </c>
      <c r="W7561" t="s">
        <v>6243</v>
      </c>
      <c r="X7561" t="s">
        <v>443</v>
      </c>
      <c r="Y7561" t="s">
        <v>97</v>
      </c>
      <c r="Z7561" t="s">
        <v>77</v>
      </c>
      <c r="AA7561" t="str">
        <f>"10075-1850"</f>
        <v>10075-1850</v>
      </c>
      <c r="AB7561" t="s">
        <v>78</v>
      </c>
      <c r="AC7561" t="s">
        <v>79</v>
      </c>
      <c r="AD7561" t="s">
        <v>75</v>
      </c>
      <c r="AE7561" t="s">
        <v>80</v>
      </c>
      <c r="AG7561" t="s">
        <v>81</v>
      </c>
    </row>
    <row r="7562" spans="1:33" x14ac:dyDescent="0.25">
      <c r="A7562" t="str">
        <f>"1386980506"</f>
        <v>1386980506</v>
      </c>
      <c r="C7562" t="s">
        <v>13436</v>
      </c>
      <c r="K7562" t="s">
        <v>99</v>
      </c>
      <c r="L7562" t="s">
        <v>102</v>
      </c>
      <c r="M7562" t="s">
        <v>75</v>
      </c>
      <c r="R7562" t="s">
        <v>33617</v>
      </c>
      <c r="S7562" t="s">
        <v>33618</v>
      </c>
      <c r="T7562" t="s">
        <v>97</v>
      </c>
      <c r="U7562" t="s">
        <v>77</v>
      </c>
      <c r="V7562" t="str">
        <f>"100191033"</f>
        <v>100191033</v>
      </c>
      <c r="AC7562" t="s">
        <v>79</v>
      </c>
      <c r="AD7562" t="s">
        <v>75</v>
      </c>
      <c r="AE7562" t="s">
        <v>103</v>
      </c>
      <c r="AG7562" t="s">
        <v>81</v>
      </c>
    </row>
    <row r="7563" spans="1:33" x14ac:dyDescent="0.25">
      <c r="A7563" t="str">
        <f>"1386985547"</f>
        <v>1386985547</v>
      </c>
      <c r="B7563" t="str">
        <f>"04039052"</f>
        <v>04039052</v>
      </c>
      <c r="C7563" t="s">
        <v>13436</v>
      </c>
      <c r="D7563" t="s">
        <v>33619</v>
      </c>
      <c r="E7563" t="s">
        <v>33620</v>
      </c>
      <c r="G7563" t="s">
        <v>33621</v>
      </c>
      <c r="L7563" t="s">
        <v>83</v>
      </c>
      <c r="M7563" t="s">
        <v>75</v>
      </c>
      <c r="R7563" t="s">
        <v>33620</v>
      </c>
      <c r="W7563" t="s">
        <v>33622</v>
      </c>
      <c r="X7563" t="s">
        <v>493</v>
      </c>
      <c r="Y7563" t="s">
        <v>97</v>
      </c>
      <c r="Z7563" t="s">
        <v>77</v>
      </c>
      <c r="AA7563" t="str">
        <f>"10013-3599"</f>
        <v>10013-3599</v>
      </c>
      <c r="AB7563" t="s">
        <v>78</v>
      </c>
      <c r="AC7563" t="s">
        <v>79</v>
      </c>
      <c r="AD7563" t="s">
        <v>75</v>
      </c>
      <c r="AE7563" t="s">
        <v>80</v>
      </c>
      <c r="AG7563" t="s">
        <v>81</v>
      </c>
    </row>
    <row r="7564" spans="1:33" x14ac:dyDescent="0.25">
      <c r="A7564" t="str">
        <f>"1386987006"</f>
        <v>1386987006</v>
      </c>
      <c r="C7564" t="s">
        <v>13436</v>
      </c>
      <c r="K7564" t="s">
        <v>99</v>
      </c>
      <c r="L7564" t="s">
        <v>102</v>
      </c>
      <c r="M7564" t="s">
        <v>75</v>
      </c>
      <c r="R7564" t="s">
        <v>33623</v>
      </c>
      <c r="S7564" t="s">
        <v>33624</v>
      </c>
      <c r="T7564" t="s">
        <v>97</v>
      </c>
      <c r="U7564" t="s">
        <v>77</v>
      </c>
      <c r="V7564" t="str">
        <f>"100251716"</f>
        <v>100251716</v>
      </c>
      <c r="AC7564" t="s">
        <v>79</v>
      </c>
      <c r="AD7564" t="s">
        <v>75</v>
      </c>
      <c r="AE7564" t="s">
        <v>103</v>
      </c>
      <c r="AG7564" t="s">
        <v>81</v>
      </c>
    </row>
    <row r="7565" spans="1:33" x14ac:dyDescent="0.25">
      <c r="A7565" t="str">
        <f>"1386990265"</f>
        <v>1386990265</v>
      </c>
      <c r="C7565" t="s">
        <v>13436</v>
      </c>
      <c r="K7565" t="s">
        <v>99</v>
      </c>
      <c r="L7565" t="s">
        <v>102</v>
      </c>
      <c r="M7565" t="s">
        <v>75</v>
      </c>
      <c r="R7565" t="s">
        <v>33625</v>
      </c>
      <c r="S7565" t="s">
        <v>33626</v>
      </c>
      <c r="T7565" t="s">
        <v>97</v>
      </c>
      <c r="U7565" t="s">
        <v>77</v>
      </c>
      <c r="V7565" t="str">
        <f>"100191147"</f>
        <v>100191147</v>
      </c>
      <c r="AC7565" t="s">
        <v>79</v>
      </c>
      <c r="AD7565" t="s">
        <v>75</v>
      </c>
      <c r="AE7565" t="s">
        <v>103</v>
      </c>
      <c r="AG7565" t="s">
        <v>81</v>
      </c>
    </row>
    <row r="7566" spans="1:33" x14ac:dyDescent="0.25">
      <c r="A7566" t="str">
        <f>"1386995256"</f>
        <v>1386995256</v>
      </c>
      <c r="C7566" t="s">
        <v>13436</v>
      </c>
      <c r="K7566" t="s">
        <v>99</v>
      </c>
      <c r="L7566" t="s">
        <v>102</v>
      </c>
      <c r="M7566" t="s">
        <v>75</v>
      </c>
      <c r="R7566" t="s">
        <v>33627</v>
      </c>
      <c r="S7566" t="s">
        <v>33628</v>
      </c>
      <c r="T7566" t="s">
        <v>4479</v>
      </c>
      <c r="U7566" t="s">
        <v>1214</v>
      </c>
      <c r="V7566" t="str">
        <f>"282071248"</f>
        <v>282071248</v>
      </c>
      <c r="AC7566" t="s">
        <v>79</v>
      </c>
      <c r="AD7566" t="s">
        <v>75</v>
      </c>
      <c r="AE7566" t="s">
        <v>103</v>
      </c>
      <c r="AG7566" t="s">
        <v>81</v>
      </c>
    </row>
    <row r="7567" spans="1:33" x14ac:dyDescent="0.25">
      <c r="A7567" t="str">
        <f>"1598068199"</f>
        <v>1598068199</v>
      </c>
      <c r="B7567" t="str">
        <f>"03922658"</f>
        <v>03922658</v>
      </c>
      <c r="C7567" t="s">
        <v>13436</v>
      </c>
      <c r="D7567" t="s">
        <v>33629</v>
      </c>
      <c r="E7567" t="s">
        <v>33630</v>
      </c>
      <c r="G7567" t="s">
        <v>33631</v>
      </c>
      <c r="L7567" t="s">
        <v>143</v>
      </c>
      <c r="M7567" t="s">
        <v>75</v>
      </c>
      <c r="R7567" t="s">
        <v>33630</v>
      </c>
      <c r="W7567" t="s">
        <v>33632</v>
      </c>
      <c r="X7567" t="s">
        <v>33633</v>
      </c>
      <c r="Y7567" t="s">
        <v>97</v>
      </c>
      <c r="Z7567" t="s">
        <v>77</v>
      </c>
      <c r="AA7567" t="str">
        <f>"10019-1147"</f>
        <v>10019-1147</v>
      </c>
      <c r="AB7567" t="s">
        <v>78</v>
      </c>
      <c r="AC7567" t="s">
        <v>79</v>
      </c>
      <c r="AD7567" t="s">
        <v>75</v>
      </c>
      <c r="AE7567" t="s">
        <v>80</v>
      </c>
      <c r="AG7567" t="s">
        <v>81</v>
      </c>
    </row>
    <row r="7568" spans="1:33" x14ac:dyDescent="0.25">
      <c r="A7568" t="str">
        <f>"1598077125"</f>
        <v>1598077125</v>
      </c>
      <c r="C7568" t="s">
        <v>13436</v>
      </c>
      <c r="K7568" t="s">
        <v>99</v>
      </c>
      <c r="L7568" t="s">
        <v>102</v>
      </c>
      <c r="M7568" t="s">
        <v>75</v>
      </c>
      <c r="R7568" t="s">
        <v>33634</v>
      </c>
      <c r="S7568" t="s">
        <v>33635</v>
      </c>
      <c r="T7568" t="s">
        <v>2660</v>
      </c>
      <c r="U7568" t="s">
        <v>2661</v>
      </c>
      <c r="V7568" t="str">
        <f>"212392905"</f>
        <v>212392905</v>
      </c>
      <c r="AC7568" t="s">
        <v>79</v>
      </c>
      <c r="AD7568" t="s">
        <v>75</v>
      </c>
      <c r="AE7568" t="s">
        <v>103</v>
      </c>
      <c r="AG7568" t="s">
        <v>81</v>
      </c>
    </row>
    <row r="7569" spans="1:33" x14ac:dyDescent="0.25">
      <c r="A7569" t="str">
        <f>"1598082919"</f>
        <v>1598082919</v>
      </c>
      <c r="C7569" t="s">
        <v>13436</v>
      </c>
      <c r="K7569" t="s">
        <v>99</v>
      </c>
      <c r="L7569" t="s">
        <v>102</v>
      </c>
      <c r="M7569" t="s">
        <v>75</v>
      </c>
      <c r="R7569" t="s">
        <v>33636</v>
      </c>
      <c r="S7569" t="s">
        <v>33637</v>
      </c>
      <c r="T7569" t="s">
        <v>2599</v>
      </c>
      <c r="U7569" t="s">
        <v>1842</v>
      </c>
      <c r="V7569" t="str">
        <f>"067621835"</f>
        <v>067621835</v>
      </c>
      <c r="AC7569" t="s">
        <v>79</v>
      </c>
      <c r="AD7569" t="s">
        <v>75</v>
      </c>
      <c r="AE7569" t="s">
        <v>103</v>
      </c>
      <c r="AG7569" t="s">
        <v>81</v>
      </c>
    </row>
    <row r="7570" spans="1:33" x14ac:dyDescent="0.25">
      <c r="A7570" t="str">
        <f>"1598084238"</f>
        <v>1598084238</v>
      </c>
      <c r="B7570" t="str">
        <f>"03987982"</f>
        <v>03987982</v>
      </c>
      <c r="C7570" t="s">
        <v>13436</v>
      </c>
      <c r="D7570" t="s">
        <v>33638</v>
      </c>
      <c r="E7570" t="s">
        <v>33639</v>
      </c>
      <c r="G7570" t="s">
        <v>33640</v>
      </c>
      <c r="L7570" t="s">
        <v>74</v>
      </c>
      <c r="M7570" t="s">
        <v>75</v>
      </c>
      <c r="R7570" t="s">
        <v>33641</v>
      </c>
      <c r="W7570" t="s">
        <v>33639</v>
      </c>
      <c r="X7570" t="s">
        <v>2926</v>
      </c>
      <c r="Y7570" t="s">
        <v>97</v>
      </c>
      <c r="Z7570" t="s">
        <v>77</v>
      </c>
      <c r="AA7570" t="str">
        <f>"10029-6503"</f>
        <v>10029-6503</v>
      </c>
      <c r="AB7570" t="s">
        <v>78</v>
      </c>
      <c r="AC7570" t="s">
        <v>79</v>
      </c>
      <c r="AD7570" t="s">
        <v>75</v>
      </c>
      <c r="AE7570" t="s">
        <v>80</v>
      </c>
      <c r="AG7570" t="s">
        <v>81</v>
      </c>
    </row>
    <row r="7571" spans="1:33" x14ac:dyDescent="0.25">
      <c r="A7571" t="str">
        <f>"1225478670"</f>
        <v>1225478670</v>
      </c>
      <c r="C7571" t="s">
        <v>13436</v>
      </c>
      <c r="K7571" t="s">
        <v>99</v>
      </c>
      <c r="L7571" t="s">
        <v>102</v>
      </c>
      <c r="M7571" t="s">
        <v>75</v>
      </c>
      <c r="R7571" t="s">
        <v>33642</v>
      </c>
      <c r="S7571" t="s">
        <v>33643</v>
      </c>
      <c r="T7571" t="s">
        <v>33644</v>
      </c>
      <c r="U7571" t="s">
        <v>351</v>
      </c>
      <c r="V7571" t="str">
        <f>"338033860"</f>
        <v>338033860</v>
      </c>
      <c r="AC7571" t="s">
        <v>79</v>
      </c>
      <c r="AD7571" t="s">
        <v>75</v>
      </c>
      <c r="AE7571" t="s">
        <v>103</v>
      </c>
      <c r="AG7571" t="s">
        <v>81</v>
      </c>
    </row>
    <row r="7572" spans="1:33" x14ac:dyDescent="0.25">
      <c r="A7572" t="str">
        <f>"1235101734"</f>
        <v>1235101734</v>
      </c>
      <c r="B7572" t="str">
        <f>"03131899"</f>
        <v>03131899</v>
      </c>
      <c r="C7572" t="s">
        <v>13436</v>
      </c>
      <c r="D7572" t="s">
        <v>33645</v>
      </c>
      <c r="E7572" t="s">
        <v>33646</v>
      </c>
      <c r="L7572" t="s">
        <v>83</v>
      </c>
      <c r="M7572" t="s">
        <v>85</v>
      </c>
      <c r="R7572" t="s">
        <v>33647</v>
      </c>
      <c r="W7572" t="s">
        <v>33646</v>
      </c>
      <c r="X7572" t="s">
        <v>3084</v>
      </c>
      <c r="Y7572" t="s">
        <v>97</v>
      </c>
      <c r="Z7572" t="s">
        <v>77</v>
      </c>
      <c r="AA7572" t="str">
        <f>"10029-6501"</f>
        <v>10029-6501</v>
      </c>
      <c r="AB7572" t="s">
        <v>78</v>
      </c>
      <c r="AC7572" t="s">
        <v>79</v>
      </c>
      <c r="AD7572" t="s">
        <v>75</v>
      </c>
      <c r="AE7572" t="s">
        <v>80</v>
      </c>
      <c r="AG7572" t="s">
        <v>81</v>
      </c>
    </row>
    <row r="7573" spans="1:33" x14ac:dyDescent="0.25">
      <c r="A7573" t="str">
        <f>"1235104076"</f>
        <v>1235104076</v>
      </c>
      <c r="B7573" t="str">
        <f>"02474275"</f>
        <v>02474275</v>
      </c>
      <c r="C7573" t="s">
        <v>13436</v>
      </c>
      <c r="D7573" t="s">
        <v>33648</v>
      </c>
      <c r="E7573" t="s">
        <v>33649</v>
      </c>
      <c r="G7573" t="s">
        <v>33650</v>
      </c>
      <c r="L7573" t="s">
        <v>74</v>
      </c>
      <c r="M7573" t="s">
        <v>75</v>
      </c>
      <c r="R7573" t="s">
        <v>33651</v>
      </c>
      <c r="W7573" t="s">
        <v>33649</v>
      </c>
      <c r="X7573" t="s">
        <v>33652</v>
      </c>
      <c r="Y7573" t="s">
        <v>97</v>
      </c>
      <c r="Z7573" t="s">
        <v>77</v>
      </c>
      <c r="AA7573" t="str">
        <f>"10016"</f>
        <v>10016</v>
      </c>
      <c r="AB7573" t="s">
        <v>78</v>
      </c>
      <c r="AC7573" t="s">
        <v>79</v>
      </c>
      <c r="AD7573" t="s">
        <v>75</v>
      </c>
      <c r="AE7573" t="s">
        <v>80</v>
      </c>
      <c r="AG7573" t="s">
        <v>81</v>
      </c>
    </row>
    <row r="7574" spans="1:33" x14ac:dyDescent="0.25">
      <c r="A7574" t="str">
        <f>"1235105024"</f>
        <v>1235105024</v>
      </c>
      <c r="B7574" t="str">
        <f>"01468708"</f>
        <v>01468708</v>
      </c>
      <c r="C7574" t="s">
        <v>13436</v>
      </c>
      <c r="D7574" t="s">
        <v>33653</v>
      </c>
      <c r="E7574" t="s">
        <v>33654</v>
      </c>
      <c r="G7574" t="s">
        <v>33655</v>
      </c>
      <c r="L7574" t="s">
        <v>74</v>
      </c>
      <c r="M7574" t="s">
        <v>85</v>
      </c>
      <c r="R7574" t="s">
        <v>33656</v>
      </c>
      <c r="W7574" t="s">
        <v>33654</v>
      </c>
      <c r="X7574" t="s">
        <v>33569</v>
      </c>
      <c r="Y7574" t="s">
        <v>97</v>
      </c>
      <c r="Z7574" t="s">
        <v>77</v>
      </c>
      <c r="AA7574" t="str">
        <f>"10029-6501"</f>
        <v>10029-6501</v>
      </c>
      <c r="AB7574" t="s">
        <v>78</v>
      </c>
      <c r="AC7574" t="s">
        <v>79</v>
      </c>
      <c r="AD7574" t="s">
        <v>75</v>
      </c>
      <c r="AE7574" t="s">
        <v>80</v>
      </c>
      <c r="AG7574" t="s">
        <v>81</v>
      </c>
    </row>
    <row r="7575" spans="1:33" x14ac:dyDescent="0.25">
      <c r="A7575" t="str">
        <f>"1235112434"</f>
        <v>1235112434</v>
      </c>
      <c r="B7575" t="str">
        <f>"00876164"</f>
        <v>00876164</v>
      </c>
      <c r="C7575" t="s">
        <v>13436</v>
      </c>
      <c r="D7575" t="s">
        <v>33657</v>
      </c>
      <c r="E7575" t="s">
        <v>33658</v>
      </c>
      <c r="G7575" t="s">
        <v>33659</v>
      </c>
      <c r="L7575" t="s">
        <v>83</v>
      </c>
      <c r="M7575" t="s">
        <v>85</v>
      </c>
      <c r="R7575" t="s">
        <v>33660</v>
      </c>
      <c r="W7575" t="s">
        <v>33660</v>
      </c>
      <c r="X7575" t="s">
        <v>329</v>
      </c>
      <c r="Y7575" t="s">
        <v>97</v>
      </c>
      <c r="Z7575" t="s">
        <v>77</v>
      </c>
      <c r="AA7575" t="str">
        <f>"10029-6500"</f>
        <v>10029-6500</v>
      </c>
      <c r="AB7575" t="s">
        <v>78</v>
      </c>
      <c r="AC7575" t="s">
        <v>79</v>
      </c>
      <c r="AD7575" t="s">
        <v>75</v>
      </c>
      <c r="AE7575" t="s">
        <v>80</v>
      </c>
      <c r="AG7575" t="s">
        <v>81</v>
      </c>
    </row>
    <row r="7576" spans="1:33" x14ac:dyDescent="0.25">
      <c r="A7576" t="str">
        <f>"1396085023"</f>
        <v>1396085023</v>
      </c>
      <c r="C7576" t="s">
        <v>13436</v>
      </c>
      <c r="G7576" t="s">
        <v>33661</v>
      </c>
      <c r="K7576" t="s">
        <v>99</v>
      </c>
      <c r="L7576" t="s">
        <v>102</v>
      </c>
      <c r="M7576" t="s">
        <v>75</v>
      </c>
      <c r="R7576" t="s">
        <v>33662</v>
      </c>
      <c r="S7576" t="s">
        <v>33663</v>
      </c>
      <c r="T7576" t="s">
        <v>33664</v>
      </c>
      <c r="U7576" t="s">
        <v>1842</v>
      </c>
      <c r="V7576" t="str">
        <f>"061094362"</f>
        <v>061094362</v>
      </c>
      <c r="AC7576" t="s">
        <v>79</v>
      </c>
      <c r="AD7576" t="s">
        <v>75</v>
      </c>
      <c r="AE7576" t="s">
        <v>103</v>
      </c>
      <c r="AG7576" t="s">
        <v>81</v>
      </c>
    </row>
    <row r="7577" spans="1:33" x14ac:dyDescent="0.25">
      <c r="A7577" t="str">
        <f>"1396087102"</f>
        <v>1396087102</v>
      </c>
      <c r="C7577" t="s">
        <v>13436</v>
      </c>
      <c r="K7577" t="s">
        <v>99</v>
      </c>
      <c r="L7577" t="s">
        <v>102</v>
      </c>
      <c r="M7577" t="s">
        <v>75</v>
      </c>
      <c r="R7577" t="s">
        <v>33665</v>
      </c>
      <c r="S7577" t="s">
        <v>33666</v>
      </c>
      <c r="T7577" t="s">
        <v>33667</v>
      </c>
      <c r="U7577" t="s">
        <v>3878</v>
      </c>
      <c r="V7577" t="str">
        <f>"775054049"</f>
        <v>775054049</v>
      </c>
      <c r="AC7577" t="s">
        <v>79</v>
      </c>
      <c r="AD7577" t="s">
        <v>75</v>
      </c>
      <c r="AE7577" t="s">
        <v>103</v>
      </c>
      <c r="AG7577" t="s">
        <v>81</v>
      </c>
    </row>
    <row r="7578" spans="1:33" x14ac:dyDescent="0.25">
      <c r="A7578" t="str">
        <f>"1396088233"</f>
        <v>1396088233</v>
      </c>
      <c r="C7578" t="s">
        <v>13436</v>
      </c>
      <c r="K7578" t="s">
        <v>99</v>
      </c>
      <c r="L7578" t="s">
        <v>102</v>
      </c>
      <c r="M7578" t="s">
        <v>75</v>
      </c>
      <c r="R7578" t="s">
        <v>33668</v>
      </c>
      <c r="S7578" t="s">
        <v>33669</v>
      </c>
      <c r="T7578" t="s">
        <v>97</v>
      </c>
      <c r="U7578" t="s">
        <v>77</v>
      </c>
      <c r="V7578" t="str">
        <f>"100097309"</f>
        <v>100097309</v>
      </c>
      <c r="AC7578" t="s">
        <v>79</v>
      </c>
      <c r="AD7578" t="s">
        <v>75</v>
      </c>
      <c r="AE7578" t="s">
        <v>103</v>
      </c>
      <c r="AG7578" t="s">
        <v>81</v>
      </c>
    </row>
    <row r="7579" spans="1:33" x14ac:dyDescent="0.25">
      <c r="A7579" t="str">
        <f>"1265725436"</f>
        <v>1265725436</v>
      </c>
      <c r="B7579" t="str">
        <f>"03765900"</f>
        <v>03765900</v>
      </c>
      <c r="C7579" t="s">
        <v>13436</v>
      </c>
      <c r="D7579" t="s">
        <v>33670</v>
      </c>
      <c r="E7579" t="s">
        <v>33671</v>
      </c>
      <c r="L7579" t="s">
        <v>102</v>
      </c>
      <c r="M7579" t="s">
        <v>75</v>
      </c>
      <c r="R7579" t="s">
        <v>33671</v>
      </c>
      <c r="W7579" t="s">
        <v>33671</v>
      </c>
      <c r="X7579" t="s">
        <v>272</v>
      </c>
      <c r="Y7579" t="s">
        <v>97</v>
      </c>
      <c r="Z7579" t="s">
        <v>77</v>
      </c>
      <c r="AA7579" t="str">
        <f>"10029-6501"</f>
        <v>10029-6501</v>
      </c>
      <c r="AB7579" t="s">
        <v>78</v>
      </c>
      <c r="AC7579" t="s">
        <v>79</v>
      </c>
      <c r="AD7579" t="s">
        <v>75</v>
      </c>
      <c r="AE7579" t="s">
        <v>80</v>
      </c>
      <c r="AG7579" t="s">
        <v>81</v>
      </c>
    </row>
    <row r="7580" spans="1:33" x14ac:dyDescent="0.25">
      <c r="A7580" t="str">
        <f>"1144413741"</f>
        <v>1144413741</v>
      </c>
      <c r="B7580" t="str">
        <f>"03105819"</f>
        <v>03105819</v>
      </c>
      <c r="C7580" t="s">
        <v>13436</v>
      </c>
      <c r="D7580" t="s">
        <v>33672</v>
      </c>
      <c r="E7580" t="s">
        <v>33673</v>
      </c>
      <c r="G7580" t="s">
        <v>33674</v>
      </c>
      <c r="L7580" t="s">
        <v>74</v>
      </c>
      <c r="M7580" t="s">
        <v>75</v>
      </c>
      <c r="R7580" t="s">
        <v>33675</v>
      </c>
      <c r="W7580" t="s">
        <v>33673</v>
      </c>
      <c r="X7580" t="s">
        <v>235</v>
      </c>
      <c r="Y7580" t="s">
        <v>236</v>
      </c>
      <c r="Z7580" t="s">
        <v>77</v>
      </c>
      <c r="AA7580" t="str">
        <f>"11102-2448"</f>
        <v>11102-2448</v>
      </c>
      <c r="AB7580" t="s">
        <v>78</v>
      </c>
      <c r="AC7580" t="s">
        <v>79</v>
      </c>
      <c r="AD7580" t="s">
        <v>75</v>
      </c>
      <c r="AE7580" t="s">
        <v>80</v>
      </c>
      <c r="AG7580" t="s">
        <v>81</v>
      </c>
    </row>
    <row r="7581" spans="1:33" x14ac:dyDescent="0.25">
      <c r="A7581" t="str">
        <f>"1144425679"</f>
        <v>1144425679</v>
      </c>
      <c r="B7581" t="str">
        <f>"03918563"</f>
        <v>03918563</v>
      </c>
      <c r="C7581" t="s">
        <v>13436</v>
      </c>
      <c r="D7581" t="s">
        <v>33676</v>
      </c>
      <c r="E7581" t="s">
        <v>33677</v>
      </c>
      <c r="G7581" t="s">
        <v>33678</v>
      </c>
      <c r="L7581" t="s">
        <v>74</v>
      </c>
      <c r="M7581" t="s">
        <v>75</v>
      </c>
      <c r="R7581" t="s">
        <v>33677</v>
      </c>
      <c r="W7581" t="s">
        <v>33679</v>
      </c>
      <c r="X7581" t="s">
        <v>272</v>
      </c>
      <c r="Y7581" t="s">
        <v>97</v>
      </c>
      <c r="Z7581" t="s">
        <v>77</v>
      </c>
      <c r="AA7581" t="str">
        <f>"10029-6501"</f>
        <v>10029-6501</v>
      </c>
      <c r="AB7581" t="s">
        <v>78</v>
      </c>
      <c r="AC7581" t="s">
        <v>79</v>
      </c>
      <c r="AD7581" t="s">
        <v>75</v>
      </c>
      <c r="AE7581" t="s">
        <v>80</v>
      </c>
      <c r="AG7581" t="s">
        <v>81</v>
      </c>
    </row>
    <row r="7582" spans="1:33" x14ac:dyDescent="0.25">
      <c r="A7582" t="str">
        <f>"1144431362"</f>
        <v>1144431362</v>
      </c>
      <c r="B7582" t="str">
        <f>"03232419"</f>
        <v>03232419</v>
      </c>
      <c r="C7582" t="s">
        <v>13436</v>
      </c>
      <c r="D7582" t="s">
        <v>33680</v>
      </c>
      <c r="E7582" t="s">
        <v>33681</v>
      </c>
      <c r="L7582" t="s">
        <v>83</v>
      </c>
      <c r="M7582" t="s">
        <v>85</v>
      </c>
      <c r="R7582" t="s">
        <v>33682</v>
      </c>
      <c r="W7582" t="s">
        <v>33681</v>
      </c>
      <c r="X7582" t="s">
        <v>1825</v>
      </c>
      <c r="Y7582" t="s">
        <v>155</v>
      </c>
      <c r="Z7582" t="s">
        <v>77</v>
      </c>
      <c r="AA7582" t="str">
        <f>"10305-3408"</f>
        <v>10305-3408</v>
      </c>
      <c r="AB7582" t="s">
        <v>78</v>
      </c>
      <c r="AC7582" t="s">
        <v>79</v>
      </c>
      <c r="AD7582" t="s">
        <v>75</v>
      </c>
      <c r="AE7582" t="s">
        <v>80</v>
      </c>
      <c r="AG7582" t="s">
        <v>81</v>
      </c>
    </row>
    <row r="7583" spans="1:33" x14ac:dyDescent="0.25">
      <c r="A7583" t="str">
        <f>"1295702611"</f>
        <v>1295702611</v>
      </c>
      <c r="B7583" t="str">
        <f>"02097285"</f>
        <v>02097285</v>
      </c>
      <c r="C7583" t="s">
        <v>13436</v>
      </c>
      <c r="D7583" t="s">
        <v>33683</v>
      </c>
      <c r="E7583" t="s">
        <v>33684</v>
      </c>
      <c r="G7583" t="s">
        <v>33685</v>
      </c>
      <c r="L7583" t="s">
        <v>83</v>
      </c>
      <c r="M7583" t="s">
        <v>85</v>
      </c>
      <c r="R7583" t="s">
        <v>33686</v>
      </c>
      <c r="W7583" t="s">
        <v>33686</v>
      </c>
      <c r="X7583" t="s">
        <v>26671</v>
      </c>
      <c r="Y7583" t="s">
        <v>97</v>
      </c>
      <c r="Z7583" t="s">
        <v>77</v>
      </c>
      <c r="AA7583" t="str">
        <f>"10029-6501"</f>
        <v>10029-6501</v>
      </c>
      <c r="AB7583" t="s">
        <v>78</v>
      </c>
      <c r="AC7583" t="s">
        <v>79</v>
      </c>
      <c r="AD7583" t="s">
        <v>75</v>
      </c>
      <c r="AE7583" t="s">
        <v>80</v>
      </c>
      <c r="AG7583" t="s">
        <v>81</v>
      </c>
    </row>
    <row r="7584" spans="1:33" x14ac:dyDescent="0.25">
      <c r="A7584" t="str">
        <f>"1295706711"</f>
        <v>1295706711</v>
      </c>
      <c r="B7584" t="str">
        <f>"00953755"</f>
        <v>00953755</v>
      </c>
      <c r="C7584" t="s">
        <v>13436</v>
      </c>
      <c r="D7584" t="s">
        <v>33687</v>
      </c>
      <c r="E7584" t="s">
        <v>33688</v>
      </c>
      <c r="G7584" t="s">
        <v>33689</v>
      </c>
      <c r="L7584" t="s">
        <v>83</v>
      </c>
      <c r="M7584" t="s">
        <v>85</v>
      </c>
      <c r="R7584" t="s">
        <v>33690</v>
      </c>
      <c r="W7584" t="s">
        <v>33688</v>
      </c>
      <c r="X7584" t="s">
        <v>2926</v>
      </c>
      <c r="Y7584" t="s">
        <v>97</v>
      </c>
      <c r="Z7584" t="s">
        <v>77</v>
      </c>
      <c r="AA7584" t="str">
        <f>"10029-6503"</f>
        <v>10029-6503</v>
      </c>
      <c r="AB7584" t="s">
        <v>78</v>
      </c>
      <c r="AC7584" t="s">
        <v>79</v>
      </c>
      <c r="AD7584" t="s">
        <v>75</v>
      </c>
      <c r="AE7584" t="s">
        <v>80</v>
      </c>
      <c r="AG7584" t="s">
        <v>81</v>
      </c>
    </row>
    <row r="7585" spans="1:33" x14ac:dyDescent="0.25">
      <c r="A7585" t="str">
        <f>"1295744902"</f>
        <v>1295744902</v>
      </c>
      <c r="B7585" t="str">
        <f>"01973775"</f>
        <v>01973775</v>
      </c>
      <c r="C7585" t="s">
        <v>13436</v>
      </c>
      <c r="D7585" t="s">
        <v>6011</v>
      </c>
      <c r="E7585" t="s">
        <v>6012</v>
      </c>
      <c r="G7585" t="s">
        <v>33691</v>
      </c>
      <c r="L7585" t="s">
        <v>83</v>
      </c>
      <c r="M7585" t="s">
        <v>85</v>
      </c>
      <c r="R7585" t="s">
        <v>6013</v>
      </c>
      <c r="W7585" t="s">
        <v>6012</v>
      </c>
      <c r="X7585" t="s">
        <v>6014</v>
      </c>
      <c r="Y7585" t="s">
        <v>180</v>
      </c>
      <c r="Z7585" t="s">
        <v>77</v>
      </c>
      <c r="AA7585" t="str">
        <f>"10701-1303"</f>
        <v>10701-1303</v>
      </c>
      <c r="AB7585" t="s">
        <v>78</v>
      </c>
      <c r="AC7585" t="s">
        <v>79</v>
      </c>
      <c r="AD7585" t="s">
        <v>75</v>
      </c>
      <c r="AE7585" t="s">
        <v>80</v>
      </c>
      <c r="AG7585" t="s">
        <v>81</v>
      </c>
    </row>
    <row r="7586" spans="1:33" x14ac:dyDescent="0.25">
      <c r="A7586" t="str">
        <f>"1295751808"</f>
        <v>1295751808</v>
      </c>
      <c r="B7586" t="str">
        <f>"00767060"</f>
        <v>00767060</v>
      </c>
      <c r="C7586" t="s">
        <v>13436</v>
      </c>
      <c r="D7586" t="s">
        <v>33692</v>
      </c>
      <c r="E7586" t="s">
        <v>33693</v>
      </c>
      <c r="L7586" t="s">
        <v>83</v>
      </c>
      <c r="M7586" t="s">
        <v>75</v>
      </c>
      <c r="W7586" t="s">
        <v>33694</v>
      </c>
      <c r="X7586" t="s">
        <v>33695</v>
      </c>
      <c r="Y7586" t="s">
        <v>97</v>
      </c>
      <c r="Z7586" t="s">
        <v>77</v>
      </c>
      <c r="AA7586" t="str">
        <f>"10128-6855"</f>
        <v>10128-6855</v>
      </c>
      <c r="AB7586" t="s">
        <v>78</v>
      </c>
      <c r="AC7586" t="s">
        <v>79</v>
      </c>
      <c r="AD7586" t="s">
        <v>75</v>
      </c>
      <c r="AE7586" t="s">
        <v>80</v>
      </c>
      <c r="AG7586" t="s">
        <v>81</v>
      </c>
    </row>
    <row r="7587" spans="1:33" x14ac:dyDescent="0.25">
      <c r="A7587" t="str">
        <f>"1295785947"</f>
        <v>1295785947</v>
      </c>
      <c r="B7587" t="str">
        <f>"04300785"</f>
        <v>04300785</v>
      </c>
      <c r="C7587" t="s">
        <v>13436</v>
      </c>
      <c r="D7587" t="s">
        <v>33696</v>
      </c>
      <c r="E7587" t="s">
        <v>33697</v>
      </c>
      <c r="G7587" t="s">
        <v>33698</v>
      </c>
      <c r="L7587" t="s">
        <v>74</v>
      </c>
      <c r="M7587" t="s">
        <v>75</v>
      </c>
      <c r="R7587" t="s">
        <v>33699</v>
      </c>
      <c r="W7587" t="s">
        <v>33700</v>
      </c>
      <c r="X7587" t="s">
        <v>33701</v>
      </c>
      <c r="Y7587" t="s">
        <v>87</v>
      </c>
      <c r="Z7587" t="s">
        <v>77</v>
      </c>
      <c r="AA7587" t="str">
        <f>"11215-8019"</f>
        <v>11215-8019</v>
      </c>
      <c r="AB7587" t="s">
        <v>78</v>
      </c>
      <c r="AC7587" t="s">
        <v>79</v>
      </c>
      <c r="AD7587" t="s">
        <v>75</v>
      </c>
      <c r="AE7587" t="s">
        <v>80</v>
      </c>
      <c r="AG7587" t="s">
        <v>81</v>
      </c>
    </row>
    <row r="7588" spans="1:33" x14ac:dyDescent="0.25">
      <c r="A7588" t="str">
        <f>"1053360719"</f>
        <v>1053360719</v>
      </c>
      <c r="B7588" t="str">
        <f>"02003914"</f>
        <v>02003914</v>
      </c>
      <c r="C7588" t="s">
        <v>13436</v>
      </c>
      <c r="D7588" t="s">
        <v>33702</v>
      </c>
      <c r="E7588" t="s">
        <v>33703</v>
      </c>
      <c r="G7588" t="s">
        <v>33704</v>
      </c>
      <c r="L7588" t="s">
        <v>74</v>
      </c>
      <c r="M7588" t="s">
        <v>85</v>
      </c>
      <c r="R7588" t="s">
        <v>33705</v>
      </c>
      <c r="W7588" t="s">
        <v>33703</v>
      </c>
      <c r="X7588" t="s">
        <v>33706</v>
      </c>
      <c r="Y7588" t="s">
        <v>97</v>
      </c>
      <c r="Z7588" t="s">
        <v>77</v>
      </c>
      <c r="AA7588" t="str">
        <f>"10128-3107"</f>
        <v>10128-3107</v>
      </c>
      <c r="AB7588" t="s">
        <v>78</v>
      </c>
      <c r="AC7588" t="s">
        <v>79</v>
      </c>
      <c r="AD7588" t="s">
        <v>75</v>
      </c>
      <c r="AE7588" t="s">
        <v>80</v>
      </c>
      <c r="AG7588" t="s">
        <v>81</v>
      </c>
    </row>
    <row r="7589" spans="1:33" x14ac:dyDescent="0.25">
      <c r="A7589" t="str">
        <f>"1053394833"</f>
        <v>1053394833</v>
      </c>
      <c r="B7589" t="str">
        <f>"01761191"</f>
        <v>01761191</v>
      </c>
      <c r="C7589" t="s">
        <v>13436</v>
      </c>
      <c r="D7589" t="s">
        <v>33707</v>
      </c>
      <c r="E7589" t="s">
        <v>33708</v>
      </c>
      <c r="G7589" t="s">
        <v>33709</v>
      </c>
      <c r="L7589" t="s">
        <v>83</v>
      </c>
      <c r="M7589" t="s">
        <v>85</v>
      </c>
      <c r="R7589" t="s">
        <v>33710</v>
      </c>
      <c r="W7589" t="s">
        <v>33708</v>
      </c>
      <c r="Y7589" t="s">
        <v>87</v>
      </c>
      <c r="Z7589" t="s">
        <v>77</v>
      </c>
      <c r="AA7589" t="str">
        <f>"11201-5493"</f>
        <v>11201-5493</v>
      </c>
      <c r="AB7589" t="s">
        <v>78</v>
      </c>
      <c r="AC7589" t="s">
        <v>79</v>
      </c>
      <c r="AD7589" t="s">
        <v>75</v>
      </c>
      <c r="AE7589" t="s">
        <v>80</v>
      </c>
      <c r="AG7589" t="s">
        <v>81</v>
      </c>
    </row>
    <row r="7590" spans="1:33" x14ac:dyDescent="0.25">
      <c r="A7590" t="str">
        <f>"1104232404"</f>
        <v>1104232404</v>
      </c>
      <c r="C7590" t="s">
        <v>13436</v>
      </c>
      <c r="G7590" t="s">
        <v>33711</v>
      </c>
      <c r="K7590" t="s">
        <v>99</v>
      </c>
      <c r="L7590" t="s">
        <v>102</v>
      </c>
      <c r="M7590" t="s">
        <v>75</v>
      </c>
      <c r="R7590" t="s">
        <v>33712</v>
      </c>
      <c r="S7590" t="s">
        <v>12769</v>
      </c>
      <c r="T7590" t="s">
        <v>4861</v>
      </c>
      <c r="U7590" t="s">
        <v>156</v>
      </c>
      <c r="V7590" t="str">
        <f>"076311808"</f>
        <v>076311808</v>
      </c>
      <c r="AC7590" t="s">
        <v>79</v>
      </c>
      <c r="AD7590" t="s">
        <v>75</v>
      </c>
      <c r="AE7590" t="s">
        <v>103</v>
      </c>
      <c r="AG7590" t="s">
        <v>81</v>
      </c>
    </row>
    <row r="7591" spans="1:33" x14ac:dyDescent="0.25">
      <c r="A7591" t="str">
        <f>"1104243930"</f>
        <v>1104243930</v>
      </c>
      <c r="B7591" t="str">
        <f>"03875798"</f>
        <v>03875798</v>
      </c>
      <c r="C7591" t="s">
        <v>13436</v>
      </c>
      <c r="D7591" t="s">
        <v>33713</v>
      </c>
      <c r="E7591" t="s">
        <v>33714</v>
      </c>
      <c r="G7591" t="s">
        <v>33715</v>
      </c>
      <c r="L7591" t="s">
        <v>83</v>
      </c>
      <c r="M7591" t="s">
        <v>75</v>
      </c>
      <c r="R7591" t="s">
        <v>33716</v>
      </c>
      <c r="W7591" t="s">
        <v>33714</v>
      </c>
      <c r="X7591" t="s">
        <v>11436</v>
      </c>
      <c r="Y7591" t="s">
        <v>97</v>
      </c>
      <c r="Z7591" t="s">
        <v>77</v>
      </c>
      <c r="AA7591" t="str">
        <f>"10029-6503"</f>
        <v>10029-6503</v>
      </c>
      <c r="AB7591" t="s">
        <v>78</v>
      </c>
      <c r="AC7591" t="s">
        <v>79</v>
      </c>
      <c r="AD7591" t="s">
        <v>75</v>
      </c>
      <c r="AE7591" t="s">
        <v>80</v>
      </c>
      <c r="AG7591" t="s">
        <v>81</v>
      </c>
    </row>
    <row r="7592" spans="1:33" x14ac:dyDescent="0.25">
      <c r="A7592" t="str">
        <f>"1659452241"</f>
        <v>1659452241</v>
      </c>
      <c r="B7592" t="str">
        <f>"02812788"</f>
        <v>02812788</v>
      </c>
      <c r="C7592" t="s">
        <v>33717</v>
      </c>
      <c r="D7592" t="s">
        <v>33718</v>
      </c>
      <c r="E7592" t="s">
        <v>33719</v>
      </c>
      <c r="G7592" t="s">
        <v>33717</v>
      </c>
      <c r="H7592" t="s">
        <v>33720</v>
      </c>
      <c r="L7592" t="s">
        <v>84</v>
      </c>
      <c r="M7592" t="s">
        <v>85</v>
      </c>
      <c r="R7592" t="s">
        <v>33721</v>
      </c>
      <c r="W7592" t="s">
        <v>33719</v>
      </c>
      <c r="X7592" t="s">
        <v>638</v>
      </c>
      <c r="Y7592" t="s">
        <v>131</v>
      </c>
      <c r="Z7592" t="s">
        <v>77</v>
      </c>
      <c r="AA7592" t="str">
        <f>"10453-4303"</f>
        <v>10453-4303</v>
      </c>
      <c r="AB7592" t="s">
        <v>78</v>
      </c>
      <c r="AC7592" t="s">
        <v>79</v>
      </c>
      <c r="AD7592" t="s">
        <v>75</v>
      </c>
      <c r="AE7592" t="s">
        <v>80</v>
      </c>
      <c r="AG7592" t="s">
        <v>81</v>
      </c>
    </row>
    <row r="7593" spans="1:33" x14ac:dyDescent="0.25">
      <c r="A7593" t="str">
        <f>"1124020235"</f>
        <v>1124020235</v>
      </c>
      <c r="B7593" t="str">
        <f>"02685610"</f>
        <v>02685610</v>
      </c>
      <c r="C7593" t="s">
        <v>33722</v>
      </c>
      <c r="D7593" t="s">
        <v>33723</v>
      </c>
      <c r="E7593" t="s">
        <v>33724</v>
      </c>
      <c r="H7593" t="s">
        <v>33725</v>
      </c>
      <c r="J7593" t="s">
        <v>33726</v>
      </c>
      <c r="L7593" t="s">
        <v>74</v>
      </c>
      <c r="M7593" t="s">
        <v>75</v>
      </c>
      <c r="R7593" t="s">
        <v>33727</v>
      </c>
      <c r="W7593" t="s">
        <v>33724</v>
      </c>
      <c r="X7593" t="s">
        <v>33728</v>
      </c>
      <c r="Y7593" t="s">
        <v>97</v>
      </c>
      <c r="Z7593" t="s">
        <v>77</v>
      </c>
      <c r="AA7593" t="str">
        <f>"10017-9285"</f>
        <v>10017-9285</v>
      </c>
      <c r="AB7593" t="s">
        <v>82</v>
      </c>
      <c r="AC7593" t="s">
        <v>79</v>
      </c>
      <c r="AD7593" t="s">
        <v>75</v>
      </c>
      <c r="AE7593" t="s">
        <v>80</v>
      </c>
      <c r="AG7593" t="s">
        <v>81</v>
      </c>
    </row>
    <row r="7594" spans="1:33" x14ac:dyDescent="0.25">
      <c r="A7594" t="str">
        <f>"1215968318"</f>
        <v>1215968318</v>
      </c>
      <c r="B7594" t="str">
        <f>"00778010"</f>
        <v>00778010</v>
      </c>
      <c r="C7594" t="s">
        <v>33729</v>
      </c>
      <c r="D7594" t="s">
        <v>3606</v>
      </c>
      <c r="E7594" t="s">
        <v>3607</v>
      </c>
      <c r="H7594" t="s">
        <v>33730</v>
      </c>
      <c r="J7594" t="s">
        <v>33731</v>
      </c>
      <c r="L7594" t="s">
        <v>84</v>
      </c>
      <c r="M7594" t="s">
        <v>75</v>
      </c>
      <c r="R7594" t="s">
        <v>3608</v>
      </c>
      <c r="W7594" t="s">
        <v>3607</v>
      </c>
      <c r="X7594" t="s">
        <v>3609</v>
      </c>
      <c r="Y7594" t="s">
        <v>152</v>
      </c>
      <c r="Z7594" t="s">
        <v>77</v>
      </c>
      <c r="AA7594" t="str">
        <f>"11375-5501"</f>
        <v>11375-5501</v>
      </c>
      <c r="AB7594" t="s">
        <v>78</v>
      </c>
      <c r="AC7594" t="s">
        <v>79</v>
      </c>
      <c r="AD7594" t="s">
        <v>75</v>
      </c>
      <c r="AE7594" t="s">
        <v>80</v>
      </c>
      <c r="AG7594" t="s">
        <v>81</v>
      </c>
    </row>
    <row r="7595" spans="1:33" x14ac:dyDescent="0.25">
      <c r="A7595" t="str">
        <f>"1144215559"</f>
        <v>1144215559</v>
      </c>
      <c r="B7595" t="str">
        <f>"01369906"</f>
        <v>01369906</v>
      </c>
      <c r="C7595" t="s">
        <v>33732</v>
      </c>
      <c r="D7595" t="s">
        <v>33733</v>
      </c>
      <c r="E7595" t="s">
        <v>33734</v>
      </c>
      <c r="H7595" t="s">
        <v>33735</v>
      </c>
      <c r="J7595" t="s">
        <v>33736</v>
      </c>
      <c r="L7595" t="s">
        <v>84</v>
      </c>
      <c r="M7595" t="s">
        <v>75</v>
      </c>
      <c r="R7595" t="s">
        <v>33737</v>
      </c>
      <c r="W7595" t="s">
        <v>33738</v>
      </c>
      <c r="Y7595" t="s">
        <v>87</v>
      </c>
      <c r="Z7595" t="s">
        <v>77</v>
      </c>
      <c r="AA7595" t="str">
        <f>"11213-2421"</f>
        <v>11213-2421</v>
      </c>
      <c r="AB7595" t="s">
        <v>78</v>
      </c>
      <c r="AC7595" t="s">
        <v>79</v>
      </c>
      <c r="AD7595" t="s">
        <v>75</v>
      </c>
      <c r="AE7595" t="s">
        <v>80</v>
      </c>
      <c r="AG7595" t="s">
        <v>81</v>
      </c>
    </row>
    <row r="7596" spans="1:33" x14ac:dyDescent="0.25">
      <c r="A7596" t="str">
        <f>"1598731812"</f>
        <v>1598731812</v>
      </c>
      <c r="B7596" t="str">
        <f>"01405921"</f>
        <v>01405921</v>
      </c>
      <c r="C7596" t="s">
        <v>33739</v>
      </c>
      <c r="D7596" t="s">
        <v>1682</v>
      </c>
      <c r="E7596" t="s">
        <v>1683</v>
      </c>
      <c r="G7596" t="s">
        <v>33740</v>
      </c>
      <c r="H7596" t="s">
        <v>33741</v>
      </c>
      <c r="J7596" t="s">
        <v>33742</v>
      </c>
      <c r="L7596" t="s">
        <v>84</v>
      </c>
      <c r="M7596" t="s">
        <v>85</v>
      </c>
      <c r="R7596" t="s">
        <v>1681</v>
      </c>
      <c r="W7596" t="s">
        <v>1684</v>
      </c>
      <c r="X7596" t="s">
        <v>1685</v>
      </c>
      <c r="Y7596" t="s">
        <v>87</v>
      </c>
      <c r="Z7596" t="s">
        <v>77</v>
      </c>
      <c r="AA7596" t="str">
        <f>"11229-2203"</f>
        <v>11229-2203</v>
      </c>
      <c r="AB7596" t="s">
        <v>78</v>
      </c>
      <c r="AC7596" t="s">
        <v>79</v>
      </c>
      <c r="AD7596" t="s">
        <v>75</v>
      </c>
      <c r="AE7596" t="s">
        <v>80</v>
      </c>
      <c r="AG7596" t="s">
        <v>81</v>
      </c>
    </row>
    <row r="7597" spans="1:33" x14ac:dyDescent="0.25">
      <c r="A7597" t="str">
        <f>"1124117999"</f>
        <v>1124117999</v>
      </c>
      <c r="B7597" t="str">
        <f>"02826415"</f>
        <v>02826415</v>
      </c>
      <c r="C7597" t="s">
        <v>33743</v>
      </c>
      <c r="D7597" t="s">
        <v>33744</v>
      </c>
      <c r="E7597" t="s">
        <v>33745</v>
      </c>
      <c r="G7597" t="s">
        <v>33740</v>
      </c>
      <c r="H7597" t="s">
        <v>33741</v>
      </c>
      <c r="L7597" t="s">
        <v>84</v>
      </c>
      <c r="M7597" t="s">
        <v>75</v>
      </c>
      <c r="R7597" t="s">
        <v>33746</v>
      </c>
      <c r="W7597" t="s">
        <v>33745</v>
      </c>
      <c r="X7597" t="s">
        <v>175</v>
      </c>
      <c r="Y7597" t="s">
        <v>87</v>
      </c>
      <c r="Z7597" t="s">
        <v>77</v>
      </c>
      <c r="AA7597" t="str">
        <f>"11235-7745"</f>
        <v>11235-7745</v>
      </c>
      <c r="AB7597" t="s">
        <v>78</v>
      </c>
      <c r="AC7597" t="s">
        <v>79</v>
      </c>
      <c r="AD7597" t="s">
        <v>75</v>
      </c>
      <c r="AE7597" t="s">
        <v>80</v>
      </c>
      <c r="AG7597" t="s">
        <v>81</v>
      </c>
    </row>
    <row r="7598" spans="1:33" x14ac:dyDescent="0.25">
      <c r="A7598" t="str">
        <f>"1538248349"</f>
        <v>1538248349</v>
      </c>
      <c r="C7598" t="s">
        <v>33747</v>
      </c>
      <c r="G7598" t="s">
        <v>32379</v>
      </c>
      <c r="H7598" t="s">
        <v>183</v>
      </c>
      <c r="J7598" t="s">
        <v>184</v>
      </c>
      <c r="K7598" t="s">
        <v>2011</v>
      </c>
      <c r="L7598" t="s">
        <v>102</v>
      </c>
      <c r="M7598" t="s">
        <v>75</v>
      </c>
      <c r="R7598" t="s">
        <v>3886</v>
      </c>
      <c r="S7598" t="s">
        <v>3887</v>
      </c>
      <c r="T7598" t="s">
        <v>87</v>
      </c>
      <c r="U7598" t="s">
        <v>77</v>
      </c>
      <c r="V7598" t="str">
        <f>"112206009"</f>
        <v>112206009</v>
      </c>
      <c r="AC7598" t="s">
        <v>79</v>
      </c>
      <c r="AD7598" t="s">
        <v>75</v>
      </c>
      <c r="AE7598" t="s">
        <v>103</v>
      </c>
      <c r="AG7598" t="s">
        <v>81</v>
      </c>
    </row>
    <row r="7599" spans="1:33" x14ac:dyDescent="0.25">
      <c r="A7599" t="str">
        <f>"1134331721"</f>
        <v>1134331721</v>
      </c>
      <c r="C7599" t="s">
        <v>33748</v>
      </c>
      <c r="G7599" t="s">
        <v>32379</v>
      </c>
      <c r="H7599" t="s">
        <v>183</v>
      </c>
      <c r="J7599" t="s">
        <v>184</v>
      </c>
      <c r="K7599" t="s">
        <v>2011</v>
      </c>
      <c r="L7599" t="s">
        <v>74</v>
      </c>
      <c r="M7599" t="s">
        <v>75</v>
      </c>
      <c r="R7599" t="s">
        <v>33749</v>
      </c>
      <c r="S7599" t="s">
        <v>33750</v>
      </c>
      <c r="T7599" t="s">
        <v>87</v>
      </c>
      <c r="U7599" t="s">
        <v>77</v>
      </c>
      <c r="V7599" t="str">
        <f>"112171706"</f>
        <v>112171706</v>
      </c>
      <c r="AC7599" t="s">
        <v>79</v>
      </c>
      <c r="AD7599" t="s">
        <v>75</v>
      </c>
      <c r="AE7599" t="s">
        <v>103</v>
      </c>
      <c r="AG7599" t="s">
        <v>81</v>
      </c>
    </row>
    <row r="7600" spans="1:33" x14ac:dyDescent="0.25">
      <c r="A7600" t="str">
        <f>"1649316019"</f>
        <v>1649316019</v>
      </c>
      <c r="B7600" t="str">
        <f>"03087712"</f>
        <v>03087712</v>
      </c>
      <c r="C7600" t="s">
        <v>33751</v>
      </c>
      <c r="D7600" t="s">
        <v>3888</v>
      </c>
      <c r="E7600" t="s">
        <v>3889</v>
      </c>
      <c r="G7600" t="s">
        <v>32379</v>
      </c>
      <c r="H7600" t="s">
        <v>183</v>
      </c>
      <c r="J7600" t="s">
        <v>184</v>
      </c>
      <c r="L7600" t="s">
        <v>105</v>
      </c>
      <c r="M7600" t="s">
        <v>75</v>
      </c>
      <c r="R7600" t="s">
        <v>3890</v>
      </c>
      <c r="W7600" t="s">
        <v>3889</v>
      </c>
      <c r="X7600" t="s">
        <v>3891</v>
      </c>
      <c r="Y7600" t="s">
        <v>254</v>
      </c>
      <c r="Z7600" t="s">
        <v>77</v>
      </c>
      <c r="AA7600" t="str">
        <f>"11374-2259"</f>
        <v>11374-2259</v>
      </c>
      <c r="AB7600" t="s">
        <v>78</v>
      </c>
      <c r="AC7600" t="s">
        <v>79</v>
      </c>
      <c r="AD7600" t="s">
        <v>75</v>
      </c>
      <c r="AE7600" t="s">
        <v>80</v>
      </c>
      <c r="AG7600" t="s">
        <v>81</v>
      </c>
    </row>
    <row r="7601" spans="1:33" x14ac:dyDescent="0.25">
      <c r="A7601" t="str">
        <f>"1306177555"</f>
        <v>1306177555</v>
      </c>
      <c r="C7601" t="s">
        <v>33752</v>
      </c>
      <c r="G7601" t="s">
        <v>32379</v>
      </c>
      <c r="H7601" t="s">
        <v>183</v>
      </c>
      <c r="J7601" t="s">
        <v>184</v>
      </c>
      <c r="K7601" t="s">
        <v>2011</v>
      </c>
      <c r="L7601" t="s">
        <v>102</v>
      </c>
      <c r="M7601" t="s">
        <v>75</v>
      </c>
      <c r="R7601" t="s">
        <v>3892</v>
      </c>
      <c r="S7601" t="s">
        <v>3813</v>
      </c>
      <c r="T7601" t="s">
        <v>97</v>
      </c>
      <c r="U7601" t="s">
        <v>77</v>
      </c>
      <c r="V7601" t="str">
        <f>"100184190"</f>
        <v>100184190</v>
      </c>
      <c r="AC7601" t="s">
        <v>79</v>
      </c>
      <c r="AD7601" t="s">
        <v>75</v>
      </c>
      <c r="AE7601" t="s">
        <v>103</v>
      </c>
      <c r="AG7601" t="s">
        <v>81</v>
      </c>
    </row>
    <row r="7602" spans="1:33" x14ac:dyDescent="0.25">
      <c r="A7602" t="str">
        <f>"1013986496"</f>
        <v>1013986496</v>
      </c>
      <c r="B7602" t="str">
        <f>"02932561"</f>
        <v>02932561</v>
      </c>
      <c r="C7602" t="s">
        <v>13436</v>
      </c>
      <c r="D7602" t="s">
        <v>33753</v>
      </c>
      <c r="E7602" t="s">
        <v>33754</v>
      </c>
      <c r="G7602" t="s">
        <v>33755</v>
      </c>
      <c r="L7602" t="s">
        <v>83</v>
      </c>
      <c r="M7602" t="s">
        <v>85</v>
      </c>
      <c r="R7602" t="s">
        <v>33756</v>
      </c>
      <c r="W7602" t="s">
        <v>33757</v>
      </c>
      <c r="X7602" t="s">
        <v>272</v>
      </c>
      <c r="Y7602" t="s">
        <v>97</v>
      </c>
      <c r="Z7602" t="s">
        <v>77</v>
      </c>
      <c r="AA7602" t="str">
        <f>"10029-6501"</f>
        <v>10029-6501</v>
      </c>
      <c r="AB7602" t="s">
        <v>78</v>
      </c>
      <c r="AC7602" t="s">
        <v>79</v>
      </c>
      <c r="AD7602" t="s">
        <v>75</v>
      </c>
      <c r="AE7602" t="s">
        <v>80</v>
      </c>
      <c r="AG7602" t="s">
        <v>81</v>
      </c>
    </row>
    <row r="7603" spans="1:33" x14ac:dyDescent="0.25">
      <c r="A7603" t="str">
        <f>"1427191618"</f>
        <v>1427191618</v>
      </c>
      <c r="B7603" t="str">
        <f>"02864455"</f>
        <v>02864455</v>
      </c>
      <c r="C7603" t="s">
        <v>15432</v>
      </c>
      <c r="D7603" t="s">
        <v>4047</v>
      </c>
      <c r="E7603" t="s">
        <v>4048</v>
      </c>
      <c r="G7603" t="s">
        <v>33758</v>
      </c>
      <c r="H7603" t="s">
        <v>473</v>
      </c>
      <c r="J7603" t="s">
        <v>474</v>
      </c>
      <c r="L7603" t="s">
        <v>83</v>
      </c>
      <c r="M7603" t="s">
        <v>85</v>
      </c>
      <c r="R7603" t="s">
        <v>4049</v>
      </c>
      <c r="W7603" t="s">
        <v>4048</v>
      </c>
      <c r="X7603" t="s">
        <v>4050</v>
      </c>
      <c r="Y7603" t="s">
        <v>87</v>
      </c>
      <c r="Z7603" t="s">
        <v>77</v>
      </c>
      <c r="AA7603" t="str">
        <f>"11223-5426"</f>
        <v>11223-5426</v>
      </c>
      <c r="AB7603" t="s">
        <v>78</v>
      </c>
      <c r="AC7603" t="s">
        <v>79</v>
      </c>
      <c r="AD7603" t="s">
        <v>75</v>
      </c>
      <c r="AE7603" t="s">
        <v>80</v>
      </c>
      <c r="AG7603" t="s">
        <v>81</v>
      </c>
    </row>
    <row r="7604" spans="1:33" x14ac:dyDescent="0.25">
      <c r="A7604" t="str">
        <f>"1043375728"</f>
        <v>1043375728</v>
      </c>
      <c r="B7604" t="str">
        <f>"01507042"</f>
        <v>01507042</v>
      </c>
      <c r="C7604" t="s">
        <v>33759</v>
      </c>
      <c r="D7604" t="s">
        <v>33760</v>
      </c>
      <c r="E7604" t="s">
        <v>33761</v>
      </c>
      <c r="G7604" t="s">
        <v>33762</v>
      </c>
      <c r="H7604" t="s">
        <v>33763</v>
      </c>
      <c r="J7604" t="s">
        <v>33764</v>
      </c>
      <c r="L7604" t="s">
        <v>84</v>
      </c>
      <c r="M7604" t="s">
        <v>85</v>
      </c>
      <c r="R7604" t="s">
        <v>33765</v>
      </c>
      <c r="W7604" t="s">
        <v>33761</v>
      </c>
      <c r="X7604" t="s">
        <v>33766</v>
      </c>
      <c r="Y7604" t="s">
        <v>216</v>
      </c>
      <c r="Z7604" t="s">
        <v>77</v>
      </c>
      <c r="AA7604" t="str">
        <f>"11691-5425"</f>
        <v>11691-5425</v>
      </c>
      <c r="AB7604" t="s">
        <v>78</v>
      </c>
      <c r="AC7604" t="s">
        <v>79</v>
      </c>
      <c r="AD7604" t="s">
        <v>75</v>
      </c>
      <c r="AE7604" t="s">
        <v>80</v>
      </c>
      <c r="AG7604" t="s">
        <v>81</v>
      </c>
    </row>
    <row r="7605" spans="1:33" x14ac:dyDescent="0.25">
      <c r="A7605" t="str">
        <f>"1790803831"</f>
        <v>1790803831</v>
      </c>
      <c r="B7605" t="str">
        <f>"00343320"</f>
        <v>00343320</v>
      </c>
      <c r="C7605" t="s">
        <v>33767</v>
      </c>
      <c r="D7605" t="s">
        <v>1409</v>
      </c>
      <c r="E7605" t="s">
        <v>1410</v>
      </c>
      <c r="G7605" t="s">
        <v>33768</v>
      </c>
      <c r="H7605" t="s">
        <v>917</v>
      </c>
      <c r="J7605" t="s">
        <v>33769</v>
      </c>
      <c r="L7605" t="s">
        <v>102</v>
      </c>
      <c r="M7605" t="s">
        <v>85</v>
      </c>
      <c r="R7605" t="s">
        <v>1408</v>
      </c>
      <c r="W7605" t="s">
        <v>1410</v>
      </c>
      <c r="X7605" t="s">
        <v>665</v>
      </c>
      <c r="Y7605" t="s">
        <v>152</v>
      </c>
      <c r="Z7605" t="s">
        <v>77</v>
      </c>
      <c r="AA7605" t="str">
        <f>"11375-7334"</f>
        <v>11375-7334</v>
      </c>
      <c r="AB7605" t="s">
        <v>93</v>
      </c>
      <c r="AC7605" t="s">
        <v>79</v>
      </c>
      <c r="AD7605" t="s">
        <v>75</v>
      </c>
      <c r="AE7605" t="s">
        <v>80</v>
      </c>
      <c r="AG7605" t="s">
        <v>81</v>
      </c>
    </row>
    <row r="7606" spans="1:33" x14ac:dyDescent="0.25">
      <c r="B7606" t="str">
        <f>"02495141"</f>
        <v>02495141</v>
      </c>
      <c r="C7606" t="s">
        <v>30523</v>
      </c>
      <c r="D7606" t="s">
        <v>33770</v>
      </c>
      <c r="E7606" t="s">
        <v>33771</v>
      </c>
      <c r="F7606">
        <v>131860451</v>
      </c>
      <c r="G7606" t="s">
        <v>30526</v>
      </c>
      <c r="H7606" t="s">
        <v>5086</v>
      </c>
      <c r="J7606" t="s">
        <v>5087</v>
      </c>
      <c r="L7606" t="s">
        <v>35</v>
      </c>
      <c r="M7606" t="s">
        <v>75</v>
      </c>
      <c r="W7606" t="s">
        <v>33772</v>
      </c>
      <c r="X7606" t="s">
        <v>5212</v>
      </c>
      <c r="Y7606" t="s">
        <v>180</v>
      </c>
      <c r="Z7606" t="s">
        <v>77</v>
      </c>
      <c r="AA7606" t="str">
        <f>"10705-3441"</f>
        <v>10705-3441</v>
      </c>
      <c r="AB7606" t="s">
        <v>98</v>
      </c>
      <c r="AC7606" t="s">
        <v>79</v>
      </c>
      <c r="AD7606" t="s">
        <v>75</v>
      </c>
      <c r="AE7606" t="s">
        <v>80</v>
      </c>
      <c r="AG7606" t="s">
        <v>81</v>
      </c>
    </row>
    <row r="7607" spans="1:33" x14ac:dyDescent="0.25">
      <c r="B7607" t="str">
        <f>"02601265"</f>
        <v>02601265</v>
      </c>
      <c r="C7607" t="s">
        <v>30523</v>
      </c>
      <c r="D7607" t="s">
        <v>33773</v>
      </c>
      <c r="E7607" t="s">
        <v>33774</v>
      </c>
      <c r="F7607">
        <v>131860451</v>
      </c>
      <c r="G7607" t="s">
        <v>30526</v>
      </c>
      <c r="H7607" t="s">
        <v>5086</v>
      </c>
      <c r="J7607" t="s">
        <v>5087</v>
      </c>
      <c r="L7607" t="s">
        <v>35</v>
      </c>
      <c r="M7607" t="s">
        <v>75</v>
      </c>
      <c r="W7607" t="s">
        <v>33774</v>
      </c>
      <c r="Y7607" t="s">
        <v>131</v>
      </c>
      <c r="Z7607" t="s">
        <v>77</v>
      </c>
      <c r="AA7607" t="str">
        <f>"10461-2502"</f>
        <v>10461-2502</v>
      </c>
      <c r="AB7607" t="s">
        <v>98</v>
      </c>
      <c r="AC7607" t="s">
        <v>79</v>
      </c>
      <c r="AD7607" t="s">
        <v>75</v>
      </c>
      <c r="AE7607" t="s">
        <v>80</v>
      </c>
      <c r="AG7607" t="s">
        <v>81</v>
      </c>
    </row>
    <row r="7608" spans="1:33" x14ac:dyDescent="0.25">
      <c r="A7608" t="str">
        <f>"1205843091"</f>
        <v>1205843091</v>
      </c>
      <c r="B7608" t="str">
        <f>"00748458"</f>
        <v>00748458</v>
      </c>
      <c r="C7608" t="s">
        <v>13436</v>
      </c>
      <c r="D7608" t="s">
        <v>33775</v>
      </c>
      <c r="E7608" t="s">
        <v>33776</v>
      </c>
      <c r="G7608" t="s">
        <v>33777</v>
      </c>
      <c r="L7608" t="s">
        <v>83</v>
      </c>
      <c r="M7608" t="s">
        <v>75</v>
      </c>
      <c r="R7608" t="s">
        <v>33778</v>
      </c>
      <c r="W7608" t="s">
        <v>33776</v>
      </c>
      <c r="X7608" t="s">
        <v>33779</v>
      </c>
      <c r="Y7608" t="s">
        <v>91</v>
      </c>
      <c r="Z7608" t="s">
        <v>77</v>
      </c>
      <c r="AA7608" t="str">
        <f>"11373-1329"</f>
        <v>11373-1329</v>
      </c>
      <c r="AB7608" t="s">
        <v>78</v>
      </c>
      <c r="AC7608" t="s">
        <v>79</v>
      </c>
      <c r="AD7608" t="s">
        <v>75</v>
      </c>
      <c r="AE7608" t="s">
        <v>80</v>
      </c>
      <c r="AG7608" t="s">
        <v>81</v>
      </c>
    </row>
    <row r="7609" spans="1:33" x14ac:dyDescent="0.25">
      <c r="A7609" t="str">
        <f>"1205869765"</f>
        <v>1205869765</v>
      </c>
      <c r="B7609" t="str">
        <f>"02826740"</f>
        <v>02826740</v>
      </c>
      <c r="C7609" t="s">
        <v>13436</v>
      </c>
      <c r="D7609" t="s">
        <v>33780</v>
      </c>
      <c r="E7609" t="s">
        <v>33781</v>
      </c>
      <c r="G7609" t="s">
        <v>33782</v>
      </c>
      <c r="L7609" t="s">
        <v>83</v>
      </c>
      <c r="M7609" t="s">
        <v>85</v>
      </c>
      <c r="R7609" t="s">
        <v>33783</v>
      </c>
      <c r="W7609" t="s">
        <v>33784</v>
      </c>
      <c r="X7609" t="s">
        <v>4029</v>
      </c>
      <c r="Y7609" t="s">
        <v>97</v>
      </c>
      <c r="Z7609" t="s">
        <v>77</v>
      </c>
      <c r="AA7609" t="str">
        <f>"10029-6503"</f>
        <v>10029-6503</v>
      </c>
      <c r="AB7609" t="s">
        <v>78</v>
      </c>
      <c r="AC7609" t="s">
        <v>79</v>
      </c>
      <c r="AD7609" t="s">
        <v>75</v>
      </c>
      <c r="AE7609" t="s">
        <v>80</v>
      </c>
      <c r="AG7609" t="s">
        <v>81</v>
      </c>
    </row>
    <row r="7610" spans="1:33" x14ac:dyDescent="0.25">
      <c r="A7610" t="str">
        <f>"1205871365"</f>
        <v>1205871365</v>
      </c>
      <c r="B7610" t="str">
        <f>"02793584"</f>
        <v>02793584</v>
      </c>
      <c r="C7610" t="s">
        <v>13436</v>
      </c>
      <c r="D7610" t="s">
        <v>33785</v>
      </c>
      <c r="E7610" t="s">
        <v>33786</v>
      </c>
      <c r="G7610" t="s">
        <v>33787</v>
      </c>
      <c r="L7610" t="s">
        <v>74</v>
      </c>
      <c r="M7610" t="s">
        <v>85</v>
      </c>
      <c r="R7610" t="s">
        <v>33788</v>
      </c>
      <c r="W7610" t="s">
        <v>33786</v>
      </c>
      <c r="X7610" t="s">
        <v>33789</v>
      </c>
      <c r="Y7610" t="s">
        <v>91</v>
      </c>
      <c r="Z7610" t="s">
        <v>77</v>
      </c>
      <c r="AA7610" t="str">
        <f>"11373-0000"</f>
        <v>11373-0000</v>
      </c>
      <c r="AB7610" t="s">
        <v>78</v>
      </c>
      <c r="AC7610" t="s">
        <v>79</v>
      </c>
      <c r="AD7610" t="s">
        <v>75</v>
      </c>
      <c r="AE7610" t="s">
        <v>80</v>
      </c>
      <c r="AG7610" t="s">
        <v>81</v>
      </c>
    </row>
    <row r="7611" spans="1:33" x14ac:dyDescent="0.25">
      <c r="A7611" t="str">
        <f>"1205889656"</f>
        <v>1205889656</v>
      </c>
      <c r="B7611" t="str">
        <f>"02318610"</f>
        <v>02318610</v>
      </c>
      <c r="C7611" t="s">
        <v>13436</v>
      </c>
      <c r="D7611" t="s">
        <v>33790</v>
      </c>
      <c r="E7611" t="s">
        <v>33791</v>
      </c>
      <c r="G7611" t="s">
        <v>33792</v>
      </c>
      <c r="L7611" t="s">
        <v>83</v>
      </c>
      <c r="M7611" t="s">
        <v>85</v>
      </c>
      <c r="R7611" t="s">
        <v>33793</v>
      </c>
      <c r="W7611" t="s">
        <v>33791</v>
      </c>
      <c r="X7611" t="s">
        <v>2926</v>
      </c>
      <c r="Y7611" t="s">
        <v>97</v>
      </c>
      <c r="Z7611" t="s">
        <v>77</v>
      </c>
      <c r="AA7611" t="str">
        <f>"10029-6503"</f>
        <v>10029-6503</v>
      </c>
      <c r="AB7611" t="s">
        <v>78</v>
      </c>
      <c r="AC7611" t="s">
        <v>79</v>
      </c>
      <c r="AD7611" t="s">
        <v>75</v>
      </c>
      <c r="AE7611" t="s">
        <v>80</v>
      </c>
      <c r="AG7611" t="s">
        <v>81</v>
      </c>
    </row>
    <row r="7612" spans="1:33" x14ac:dyDescent="0.25">
      <c r="A7612" t="str">
        <f>"1649545062"</f>
        <v>1649545062</v>
      </c>
      <c r="C7612" t="s">
        <v>13436</v>
      </c>
      <c r="K7612" t="s">
        <v>99</v>
      </c>
      <c r="L7612" t="s">
        <v>102</v>
      </c>
      <c r="M7612" t="s">
        <v>75</v>
      </c>
      <c r="R7612" t="s">
        <v>33794</v>
      </c>
      <c r="S7612" t="s">
        <v>33795</v>
      </c>
      <c r="T7612" t="s">
        <v>33796</v>
      </c>
      <c r="U7612" t="s">
        <v>2595</v>
      </c>
      <c r="V7612" t="str">
        <f>"94301"</f>
        <v>94301</v>
      </c>
      <c r="AC7612" t="s">
        <v>79</v>
      </c>
      <c r="AD7612" t="s">
        <v>75</v>
      </c>
      <c r="AE7612" t="s">
        <v>103</v>
      </c>
      <c r="AG7612" t="s">
        <v>81</v>
      </c>
    </row>
    <row r="7613" spans="1:33" x14ac:dyDescent="0.25">
      <c r="A7613" t="str">
        <f>"1023456225"</f>
        <v>1023456225</v>
      </c>
      <c r="C7613" t="s">
        <v>13436</v>
      </c>
      <c r="G7613" t="s">
        <v>33797</v>
      </c>
      <c r="K7613" t="s">
        <v>99</v>
      </c>
      <c r="L7613" t="s">
        <v>102</v>
      </c>
      <c r="M7613" t="s">
        <v>75</v>
      </c>
      <c r="R7613" t="s">
        <v>33798</v>
      </c>
      <c r="S7613" t="s">
        <v>33799</v>
      </c>
      <c r="T7613" t="s">
        <v>131</v>
      </c>
      <c r="U7613" t="s">
        <v>77</v>
      </c>
      <c r="V7613" t="str">
        <f>"10463"</f>
        <v>10463</v>
      </c>
      <c r="AC7613" t="s">
        <v>79</v>
      </c>
      <c r="AD7613" t="s">
        <v>75</v>
      </c>
      <c r="AE7613" t="s">
        <v>103</v>
      </c>
      <c r="AG7613" t="s">
        <v>81</v>
      </c>
    </row>
    <row r="7614" spans="1:33" x14ac:dyDescent="0.25">
      <c r="A7614" t="str">
        <f>"1023457942"</f>
        <v>1023457942</v>
      </c>
      <c r="C7614" t="s">
        <v>13436</v>
      </c>
      <c r="G7614" t="s">
        <v>33800</v>
      </c>
      <c r="K7614" t="s">
        <v>99</v>
      </c>
      <c r="L7614" t="s">
        <v>102</v>
      </c>
      <c r="M7614" t="s">
        <v>75</v>
      </c>
      <c r="R7614" t="s">
        <v>33801</v>
      </c>
      <c r="S7614" t="s">
        <v>13901</v>
      </c>
      <c r="T7614" t="s">
        <v>97</v>
      </c>
      <c r="U7614" t="s">
        <v>77</v>
      </c>
      <c r="V7614" t="str">
        <f>"100353832"</f>
        <v>100353832</v>
      </c>
      <c r="AC7614" t="s">
        <v>79</v>
      </c>
      <c r="AD7614" t="s">
        <v>75</v>
      </c>
      <c r="AE7614" t="s">
        <v>103</v>
      </c>
      <c r="AG7614" t="s">
        <v>81</v>
      </c>
    </row>
    <row r="7615" spans="1:33" x14ac:dyDescent="0.25">
      <c r="A7615" t="str">
        <f>"1023459633"</f>
        <v>1023459633</v>
      </c>
      <c r="B7615" t="str">
        <f>"04534185"</f>
        <v>04534185</v>
      </c>
      <c r="C7615" t="s">
        <v>13436</v>
      </c>
      <c r="D7615" t="s">
        <v>33802</v>
      </c>
      <c r="E7615" t="s">
        <v>33803</v>
      </c>
      <c r="L7615" t="s">
        <v>102</v>
      </c>
      <c r="M7615" t="s">
        <v>75</v>
      </c>
      <c r="R7615" t="s">
        <v>33804</v>
      </c>
      <c r="W7615" t="s">
        <v>33803</v>
      </c>
      <c r="AB7615" t="s">
        <v>78</v>
      </c>
      <c r="AC7615" t="s">
        <v>79</v>
      </c>
      <c r="AD7615" t="s">
        <v>75</v>
      </c>
      <c r="AE7615" t="s">
        <v>80</v>
      </c>
      <c r="AG7615" t="s">
        <v>81</v>
      </c>
    </row>
    <row r="7616" spans="1:33" x14ac:dyDescent="0.25">
      <c r="A7616" t="str">
        <f>"1558583153"</f>
        <v>1558583153</v>
      </c>
      <c r="B7616" t="str">
        <f>"02889063"</f>
        <v>02889063</v>
      </c>
      <c r="C7616" t="s">
        <v>13436</v>
      </c>
      <c r="D7616" t="s">
        <v>33805</v>
      </c>
      <c r="E7616" t="s">
        <v>33806</v>
      </c>
      <c r="G7616" t="s">
        <v>33807</v>
      </c>
      <c r="L7616" t="s">
        <v>84</v>
      </c>
      <c r="M7616" t="s">
        <v>85</v>
      </c>
      <c r="R7616" t="s">
        <v>33808</v>
      </c>
      <c r="W7616" t="s">
        <v>33806</v>
      </c>
      <c r="X7616" t="s">
        <v>11176</v>
      </c>
      <c r="Y7616" t="s">
        <v>97</v>
      </c>
      <c r="Z7616" t="s">
        <v>77</v>
      </c>
      <c r="AA7616" t="str">
        <f>"10029-6542"</f>
        <v>10029-6542</v>
      </c>
      <c r="AB7616" t="s">
        <v>78</v>
      </c>
      <c r="AC7616" t="s">
        <v>79</v>
      </c>
      <c r="AD7616" t="s">
        <v>75</v>
      </c>
      <c r="AE7616" t="s">
        <v>80</v>
      </c>
      <c r="AG7616" t="s">
        <v>81</v>
      </c>
    </row>
    <row r="7617" spans="1:33" x14ac:dyDescent="0.25">
      <c r="A7617" t="str">
        <f>"1558583245"</f>
        <v>1558583245</v>
      </c>
      <c r="B7617" t="str">
        <f>"03240017"</f>
        <v>03240017</v>
      </c>
      <c r="C7617" t="s">
        <v>13436</v>
      </c>
      <c r="D7617" t="s">
        <v>33809</v>
      </c>
      <c r="E7617" t="s">
        <v>33810</v>
      </c>
      <c r="G7617" t="s">
        <v>33811</v>
      </c>
      <c r="L7617" t="s">
        <v>74</v>
      </c>
      <c r="M7617" t="s">
        <v>85</v>
      </c>
      <c r="R7617" t="s">
        <v>33812</v>
      </c>
      <c r="W7617" t="s">
        <v>33810</v>
      </c>
      <c r="X7617" t="s">
        <v>329</v>
      </c>
      <c r="Y7617" t="s">
        <v>97</v>
      </c>
      <c r="Z7617" t="s">
        <v>77</v>
      </c>
      <c r="AA7617" t="str">
        <f>"10029-6500"</f>
        <v>10029-6500</v>
      </c>
      <c r="AB7617" t="s">
        <v>78</v>
      </c>
      <c r="AC7617" t="s">
        <v>79</v>
      </c>
      <c r="AD7617" t="s">
        <v>75</v>
      </c>
      <c r="AE7617" t="s">
        <v>80</v>
      </c>
      <c r="AG7617" t="s">
        <v>81</v>
      </c>
    </row>
    <row r="7618" spans="1:33" x14ac:dyDescent="0.25">
      <c r="A7618" t="str">
        <f>"1558588079"</f>
        <v>1558588079</v>
      </c>
      <c r="B7618" t="str">
        <f>"02889196"</f>
        <v>02889196</v>
      </c>
      <c r="C7618" t="s">
        <v>13436</v>
      </c>
      <c r="D7618" t="s">
        <v>33813</v>
      </c>
      <c r="E7618" t="s">
        <v>33814</v>
      </c>
      <c r="G7618" t="s">
        <v>33815</v>
      </c>
      <c r="L7618" t="s">
        <v>83</v>
      </c>
      <c r="M7618" t="s">
        <v>85</v>
      </c>
      <c r="R7618" t="s">
        <v>33816</v>
      </c>
      <c r="W7618" t="s">
        <v>33817</v>
      </c>
      <c r="X7618" t="s">
        <v>272</v>
      </c>
      <c r="Y7618" t="s">
        <v>97</v>
      </c>
      <c r="Z7618" t="s">
        <v>77</v>
      </c>
      <c r="AA7618" t="str">
        <f>"10029-6501"</f>
        <v>10029-6501</v>
      </c>
      <c r="AB7618" t="s">
        <v>78</v>
      </c>
      <c r="AC7618" t="s">
        <v>79</v>
      </c>
      <c r="AD7618" t="s">
        <v>75</v>
      </c>
      <c r="AE7618" t="s">
        <v>80</v>
      </c>
      <c r="AG7618" t="s">
        <v>81</v>
      </c>
    </row>
    <row r="7619" spans="1:33" x14ac:dyDescent="0.25">
      <c r="A7619" t="str">
        <f>"1558591164"</f>
        <v>1558591164</v>
      </c>
      <c r="B7619" t="str">
        <f>"03236853"</f>
        <v>03236853</v>
      </c>
      <c r="C7619" t="s">
        <v>13436</v>
      </c>
      <c r="D7619" t="s">
        <v>33818</v>
      </c>
      <c r="E7619" t="s">
        <v>33819</v>
      </c>
      <c r="G7619" t="s">
        <v>33820</v>
      </c>
      <c r="L7619" t="s">
        <v>84</v>
      </c>
      <c r="M7619" t="s">
        <v>75</v>
      </c>
      <c r="R7619" t="s">
        <v>33821</v>
      </c>
      <c r="W7619" t="s">
        <v>33822</v>
      </c>
      <c r="X7619" t="s">
        <v>11073</v>
      </c>
      <c r="Y7619" t="s">
        <v>97</v>
      </c>
      <c r="Z7619" t="s">
        <v>77</v>
      </c>
      <c r="AA7619" t="str">
        <f>"10029-6504"</f>
        <v>10029-6504</v>
      </c>
      <c r="AB7619" t="s">
        <v>78</v>
      </c>
      <c r="AC7619" t="s">
        <v>79</v>
      </c>
      <c r="AD7619" t="s">
        <v>75</v>
      </c>
      <c r="AE7619" t="s">
        <v>80</v>
      </c>
      <c r="AG7619" t="s">
        <v>81</v>
      </c>
    </row>
    <row r="7620" spans="1:33" x14ac:dyDescent="0.25">
      <c r="A7620" t="str">
        <f>"1558599035"</f>
        <v>1558599035</v>
      </c>
      <c r="B7620" t="str">
        <f>"03839154"</f>
        <v>03839154</v>
      </c>
      <c r="C7620" t="s">
        <v>13436</v>
      </c>
      <c r="D7620" t="s">
        <v>33823</v>
      </c>
      <c r="E7620" t="s">
        <v>33824</v>
      </c>
      <c r="L7620" t="s">
        <v>83</v>
      </c>
      <c r="M7620" t="s">
        <v>75</v>
      </c>
      <c r="R7620" t="s">
        <v>33825</v>
      </c>
      <c r="W7620" t="s">
        <v>33824</v>
      </c>
      <c r="X7620" t="s">
        <v>33826</v>
      </c>
      <c r="Y7620" t="s">
        <v>97</v>
      </c>
      <c r="Z7620" t="s">
        <v>77</v>
      </c>
      <c r="AA7620" t="str">
        <f>"10065-4870"</f>
        <v>10065-4870</v>
      </c>
      <c r="AB7620" t="s">
        <v>78</v>
      </c>
      <c r="AC7620" t="s">
        <v>79</v>
      </c>
      <c r="AD7620" t="s">
        <v>75</v>
      </c>
      <c r="AE7620" t="s">
        <v>80</v>
      </c>
      <c r="AG7620" t="s">
        <v>81</v>
      </c>
    </row>
    <row r="7621" spans="1:33" x14ac:dyDescent="0.25">
      <c r="A7621" t="str">
        <f>"1558603753"</f>
        <v>1558603753</v>
      </c>
      <c r="B7621" t="str">
        <f>"04635663"</f>
        <v>04635663</v>
      </c>
      <c r="C7621" t="s">
        <v>13436</v>
      </c>
      <c r="D7621" t="s">
        <v>33827</v>
      </c>
      <c r="E7621" t="s">
        <v>33828</v>
      </c>
      <c r="G7621" t="s">
        <v>33829</v>
      </c>
      <c r="L7621" t="s">
        <v>102</v>
      </c>
      <c r="M7621" t="s">
        <v>75</v>
      </c>
      <c r="R7621" t="s">
        <v>33828</v>
      </c>
      <c r="W7621" t="s">
        <v>33828</v>
      </c>
      <c r="AB7621" t="s">
        <v>78</v>
      </c>
      <c r="AC7621" t="s">
        <v>79</v>
      </c>
      <c r="AD7621" t="s">
        <v>75</v>
      </c>
      <c r="AE7621" t="s">
        <v>80</v>
      </c>
      <c r="AG7621" t="s">
        <v>81</v>
      </c>
    </row>
    <row r="7622" spans="1:33" x14ac:dyDescent="0.25">
      <c r="A7622" t="str">
        <f>"1558604710"</f>
        <v>1558604710</v>
      </c>
      <c r="C7622" t="s">
        <v>13436</v>
      </c>
      <c r="K7622" t="s">
        <v>99</v>
      </c>
      <c r="L7622" t="s">
        <v>102</v>
      </c>
      <c r="M7622" t="s">
        <v>75</v>
      </c>
      <c r="R7622" t="s">
        <v>33830</v>
      </c>
      <c r="S7622" t="s">
        <v>33831</v>
      </c>
      <c r="T7622" t="s">
        <v>97</v>
      </c>
      <c r="U7622" t="s">
        <v>77</v>
      </c>
      <c r="V7622" t="str">
        <f>"10003"</f>
        <v>10003</v>
      </c>
      <c r="AC7622" t="s">
        <v>79</v>
      </c>
      <c r="AD7622" t="s">
        <v>75</v>
      </c>
      <c r="AE7622" t="s">
        <v>103</v>
      </c>
      <c r="AG7622" t="s">
        <v>81</v>
      </c>
    </row>
    <row r="7623" spans="1:33" x14ac:dyDescent="0.25">
      <c r="A7623" t="str">
        <f>"1477847879"</f>
        <v>1477847879</v>
      </c>
      <c r="B7623" t="str">
        <f>"03789062"</f>
        <v>03789062</v>
      </c>
      <c r="C7623" t="s">
        <v>13436</v>
      </c>
      <c r="D7623" t="s">
        <v>33832</v>
      </c>
      <c r="E7623" t="s">
        <v>33833</v>
      </c>
      <c r="G7623" t="s">
        <v>33834</v>
      </c>
      <c r="L7623" t="s">
        <v>74</v>
      </c>
      <c r="M7623" t="s">
        <v>75</v>
      </c>
      <c r="R7623" t="s">
        <v>33835</v>
      </c>
      <c r="W7623" t="s">
        <v>33836</v>
      </c>
      <c r="X7623" t="s">
        <v>329</v>
      </c>
      <c r="Y7623" t="s">
        <v>97</v>
      </c>
      <c r="Z7623" t="s">
        <v>77</v>
      </c>
      <c r="AA7623" t="str">
        <f>"10029-6504"</f>
        <v>10029-6504</v>
      </c>
      <c r="AB7623" t="s">
        <v>78</v>
      </c>
      <c r="AC7623" t="s">
        <v>79</v>
      </c>
      <c r="AD7623" t="s">
        <v>75</v>
      </c>
      <c r="AE7623" t="s">
        <v>80</v>
      </c>
      <c r="AG7623" t="s">
        <v>81</v>
      </c>
    </row>
    <row r="7624" spans="1:33" x14ac:dyDescent="0.25">
      <c r="A7624" t="str">
        <f>"1477852937"</f>
        <v>1477852937</v>
      </c>
      <c r="C7624" t="s">
        <v>13436</v>
      </c>
      <c r="K7624" t="s">
        <v>99</v>
      </c>
      <c r="L7624" t="s">
        <v>102</v>
      </c>
      <c r="M7624" t="s">
        <v>75</v>
      </c>
      <c r="R7624" t="s">
        <v>33837</v>
      </c>
      <c r="S7624" t="s">
        <v>33838</v>
      </c>
      <c r="T7624" t="s">
        <v>33839</v>
      </c>
      <c r="U7624" t="s">
        <v>2595</v>
      </c>
      <c r="V7624" t="str">
        <f>"915051965"</f>
        <v>915051965</v>
      </c>
      <c r="AC7624" t="s">
        <v>79</v>
      </c>
      <c r="AD7624" t="s">
        <v>75</v>
      </c>
      <c r="AE7624" t="s">
        <v>103</v>
      </c>
      <c r="AG7624" t="s">
        <v>81</v>
      </c>
    </row>
    <row r="7625" spans="1:33" x14ac:dyDescent="0.25">
      <c r="A7625" t="str">
        <f>"1477879328"</f>
        <v>1477879328</v>
      </c>
      <c r="B7625" t="str">
        <f>"03765973"</f>
        <v>03765973</v>
      </c>
      <c r="C7625" t="s">
        <v>13436</v>
      </c>
      <c r="D7625" t="s">
        <v>33840</v>
      </c>
      <c r="E7625" t="s">
        <v>33841</v>
      </c>
      <c r="L7625" t="s">
        <v>102</v>
      </c>
      <c r="M7625" t="s">
        <v>75</v>
      </c>
      <c r="R7625" t="s">
        <v>33842</v>
      </c>
      <c r="W7625" t="s">
        <v>33843</v>
      </c>
      <c r="X7625" t="s">
        <v>272</v>
      </c>
      <c r="Y7625" t="s">
        <v>97</v>
      </c>
      <c r="Z7625" t="s">
        <v>77</v>
      </c>
      <c r="AA7625" t="str">
        <f>"10029-6501"</f>
        <v>10029-6501</v>
      </c>
      <c r="AB7625" t="s">
        <v>78</v>
      </c>
      <c r="AC7625" t="s">
        <v>79</v>
      </c>
      <c r="AD7625" t="s">
        <v>75</v>
      </c>
      <c r="AE7625" t="s">
        <v>80</v>
      </c>
      <c r="AG7625" t="s">
        <v>81</v>
      </c>
    </row>
    <row r="7626" spans="1:33" x14ac:dyDescent="0.25">
      <c r="A7626" t="str">
        <f>"1336568815"</f>
        <v>1336568815</v>
      </c>
      <c r="C7626" t="s">
        <v>13436</v>
      </c>
      <c r="K7626" t="s">
        <v>99</v>
      </c>
      <c r="L7626" t="s">
        <v>102</v>
      </c>
      <c r="M7626" t="s">
        <v>75</v>
      </c>
      <c r="R7626" t="s">
        <v>33844</v>
      </c>
      <c r="S7626" t="s">
        <v>33845</v>
      </c>
      <c r="T7626" t="s">
        <v>97</v>
      </c>
      <c r="U7626" t="s">
        <v>77</v>
      </c>
      <c r="V7626" t="str">
        <f>"100191147"</f>
        <v>100191147</v>
      </c>
      <c r="AC7626" t="s">
        <v>79</v>
      </c>
      <c r="AD7626" t="s">
        <v>75</v>
      </c>
      <c r="AE7626" t="s">
        <v>103</v>
      </c>
      <c r="AG7626" t="s">
        <v>81</v>
      </c>
    </row>
    <row r="7627" spans="1:33" x14ac:dyDescent="0.25">
      <c r="A7627" t="str">
        <f>"1336569599"</f>
        <v>1336569599</v>
      </c>
      <c r="C7627" t="s">
        <v>13436</v>
      </c>
      <c r="K7627" t="s">
        <v>99</v>
      </c>
      <c r="L7627" t="s">
        <v>102</v>
      </c>
      <c r="M7627" t="s">
        <v>75</v>
      </c>
      <c r="R7627" t="s">
        <v>33846</v>
      </c>
      <c r="S7627" t="s">
        <v>33847</v>
      </c>
      <c r="T7627" t="s">
        <v>97</v>
      </c>
      <c r="U7627" t="s">
        <v>77</v>
      </c>
      <c r="V7627" t="str">
        <f>"100296504"</f>
        <v>100296504</v>
      </c>
      <c r="AC7627" t="s">
        <v>79</v>
      </c>
      <c r="AD7627" t="s">
        <v>75</v>
      </c>
      <c r="AE7627" t="s">
        <v>103</v>
      </c>
      <c r="AG7627" t="s">
        <v>81</v>
      </c>
    </row>
    <row r="7628" spans="1:33" x14ac:dyDescent="0.25">
      <c r="A7628" t="str">
        <f>"1265725972"</f>
        <v>1265725972</v>
      </c>
      <c r="B7628" t="str">
        <f>"03497505"</f>
        <v>03497505</v>
      </c>
      <c r="C7628" t="s">
        <v>13436</v>
      </c>
      <c r="D7628" t="s">
        <v>33848</v>
      </c>
      <c r="E7628" t="s">
        <v>33849</v>
      </c>
      <c r="L7628" t="s">
        <v>74</v>
      </c>
      <c r="M7628" t="s">
        <v>75</v>
      </c>
      <c r="R7628" t="s">
        <v>33850</v>
      </c>
      <c r="W7628" t="s">
        <v>33849</v>
      </c>
      <c r="X7628" t="s">
        <v>235</v>
      </c>
      <c r="Y7628" t="s">
        <v>190</v>
      </c>
      <c r="Z7628" t="s">
        <v>77</v>
      </c>
      <c r="AA7628" t="str">
        <f>"11102-2448"</f>
        <v>11102-2448</v>
      </c>
      <c r="AB7628" t="s">
        <v>78</v>
      </c>
      <c r="AC7628" t="s">
        <v>79</v>
      </c>
      <c r="AD7628" t="s">
        <v>75</v>
      </c>
      <c r="AE7628" t="s">
        <v>80</v>
      </c>
      <c r="AG7628" t="s">
        <v>81</v>
      </c>
    </row>
    <row r="7629" spans="1:33" x14ac:dyDescent="0.25">
      <c r="A7629" t="str">
        <f>"1265726723"</f>
        <v>1265726723</v>
      </c>
      <c r="B7629" t="str">
        <f>"03809152"</f>
        <v>03809152</v>
      </c>
      <c r="C7629" t="s">
        <v>13436</v>
      </c>
      <c r="D7629" t="s">
        <v>33851</v>
      </c>
      <c r="E7629" t="s">
        <v>33852</v>
      </c>
      <c r="L7629" t="s">
        <v>74</v>
      </c>
      <c r="M7629" t="s">
        <v>75</v>
      </c>
      <c r="R7629" t="s">
        <v>33853</v>
      </c>
      <c r="W7629" t="s">
        <v>33852</v>
      </c>
      <c r="X7629" t="s">
        <v>13841</v>
      </c>
      <c r="Y7629" t="s">
        <v>97</v>
      </c>
      <c r="Z7629" t="s">
        <v>77</v>
      </c>
      <c r="AA7629" t="str">
        <f>"10003-3851"</f>
        <v>10003-3851</v>
      </c>
      <c r="AB7629" t="s">
        <v>78</v>
      </c>
      <c r="AC7629" t="s">
        <v>79</v>
      </c>
      <c r="AD7629" t="s">
        <v>75</v>
      </c>
      <c r="AE7629" t="s">
        <v>80</v>
      </c>
      <c r="AG7629" t="s">
        <v>81</v>
      </c>
    </row>
    <row r="7630" spans="1:33" x14ac:dyDescent="0.25">
      <c r="A7630" t="str">
        <f>"1265731145"</f>
        <v>1265731145</v>
      </c>
      <c r="C7630" t="s">
        <v>13436</v>
      </c>
      <c r="K7630" t="s">
        <v>99</v>
      </c>
      <c r="L7630" t="s">
        <v>102</v>
      </c>
      <c r="M7630" t="s">
        <v>75</v>
      </c>
      <c r="R7630" t="s">
        <v>33854</v>
      </c>
      <c r="S7630" t="s">
        <v>33855</v>
      </c>
      <c r="T7630" t="s">
        <v>4509</v>
      </c>
      <c r="U7630" t="s">
        <v>156</v>
      </c>
      <c r="V7630" t="str">
        <f>"070302242"</f>
        <v>070302242</v>
      </c>
      <c r="AC7630" t="s">
        <v>79</v>
      </c>
      <c r="AD7630" t="s">
        <v>75</v>
      </c>
      <c r="AE7630" t="s">
        <v>103</v>
      </c>
      <c r="AG7630" t="s">
        <v>81</v>
      </c>
    </row>
    <row r="7631" spans="1:33" x14ac:dyDescent="0.25">
      <c r="A7631" t="str">
        <f>"1265736268"</f>
        <v>1265736268</v>
      </c>
      <c r="B7631" t="str">
        <f>"03876762"</f>
        <v>03876762</v>
      </c>
      <c r="C7631" t="s">
        <v>13436</v>
      </c>
      <c r="D7631" t="s">
        <v>33856</v>
      </c>
      <c r="E7631" t="s">
        <v>33857</v>
      </c>
      <c r="G7631" t="s">
        <v>33858</v>
      </c>
      <c r="L7631" t="s">
        <v>74</v>
      </c>
      <c r="M7631" t="s">
        <v>75</v>
      </c>
      <c r="R7631" t="s">
        <v>33859</v>
      </c>
      <c r="W7631" t="s">
        <v>33857</v>
      </c>
      <c r="X7631" t="s">
        <v>1787</v>
      </c>
      <c r="Y7631" t="s">
        <v>97</v>
      </c>
      <c r="Z7631" t="s">
        <v>77</v>
      </c>
      <c r="AA7631" t="str">
        <f>"10029-6501"</f>
        <v>10029-6501</v>
      </c>
      <c r="AB7631" t="s">
        <v>78</v>
      </c>
      <c r="AC7631" t="s">
        <v>79</v>
      </c>
      <c r="AD7631" t="s">
        <v>75</v>
      </c>
      <c r="AE7631" t="s">
        <v>80</v>
      </c>
      <c r="AG7631" t="s">
        <v>81</v>
      </c>
    </row>
    <row r="7632" spans="1:33" x14ac:dyDescent="0.25">
      <c r="A7632" t="str">
        <f>"1265737894"</f>
        <v>1265737894</v>
      </c>
      <c r="B7632" t="str">
        <f>"03682111"</f>
        <v>03682111</v>
      </c>
      <c r="C7632" t="s">
        <v>13436</v>
      </c>
      <c r="D7632" t="s">
        <v>33860</v>
      </c>
      <c r="E7632" t="s">
        <v>33861</v>
      </c>
      <c r="L7632" t="s">
        <v>74</v>
      </c>
      <c r="M7632" t="s">
        <v>75</v>
      </c>
      <c r="R7632" t="s">
        <v>33861</v>
      </c>
      <c r="W7632" t="s">
        <v>33861</v>
      </c>
      <c r="X7632" t="s">
        <v>2629</v>
      </c>
      <c r="Y7632" t="s">
        <v>142</v>
      </c>
      <c r="Z7632" t="s">
        <v>77</v>
      </c>
      <c r="AA7632" t="str">
        <f>"13210-2342"</f>
        <v>13210-2342</v>
      </c>
      <c r="AB7632" t="s">
        <v>78</v>
      </c>
      <c r="AC7632" t="s">
        <v>79</v>
      </c>
      <c r="AD7632" t="s">
        <v>75</v>
      </c>
      <c r="AE7632" t="s">
        <v>80</v>
      </c>
      <c r="AG7632" t="s">
        <v>81</v>
      </c>
    </row>
    <row r="7633" spans="1:33" x14ac:dyDescent="0.25">
      <c r="A7633" t="str">
        <f>"1265743363"</f>
        <v>1265743363</v>
      </c>
      <c r="B7633" t="str">
        <f>"04130434"</f>
        <v>04130434</v>
      </c>
      <c r="C7633" t="s">
        <v>13436</v>
      </c>
      <c r="D7633" t="s">
        <v>33862</v>
      </c>
      <c r="E7633" t="s">
        <v>33863</v>
      </c>
      <c r="L7633" t="s">
        <v>74</v>
      </c>
      <c r="M7633" t="s">
        <v>75</v>
      </c>
      <c r="R7633" t="s">
        <v>33864</v>
      </c>
      <c r="W7633" t="s">
        <v>33863</v>
      </c>
      <c r="X7633" t="s">
        <v>1455</v>
      </c>
      <c r="Y7633" t="s">
        <v>91</v>
      </c>
      <c r="Z7633" t="s">
        <v>77</v>
      </c>
      <c r="AA7633" t="str">
        <f>"11373-1329"</f>
        <v>11373-1329</v>
      </c>
      <c r="AB7633" t="s">
        <v>78</v>
      </c>
      <c r="AC7633" t="s">
        <v>79</v>
      </c>
      <c r="AD7633" t="s">
        <v>75</v>
      </c>
      <c r="AE7633" t="s">
        <v>80</v>
      </c>
      <c r="AG7633" t="s">
        <v>81</v>
      </c>
    </row>
    <row r="7634" spans="1:33" x14ac:dyDescent="0.25">
      <c r="A7634" t="str">
        <f>"1124464011"</f>
        <v>1124464011</v>
      </c>
      <c r="C7634" t="s">
        <v>13436</v>
      </c>
      <c r="G7634" t="s">
        <v>33865</v>
      </c>
      <c r="K7634" t="s">
        <v>99</v>
      </c>
      <c r="L7634" t="s">
        <v>102</v>
      </c>
      <c r="M7634" t="s">
        <v>75</v>
      </c>
      <c r="R7634" t="s">
        <v>33866</v>
      </c>
      <c r="S7634" t="s">
        <v>33867</v>
      </c>
      <c r="T7634" t="s">
        <v>97</v>
      </c>
      <c r="U7634" t="s">
        <v>77</v>
      </c>
      <c r="V7634" t="str">
        <f>"100296574"</f>
        <v>100296574</v>
      </c>
      <c r="AC7634" t="s">
        <v>79</v>
      </c>
      <c r="AD7634" t="s">
        <v>75</v>
      </c>
      <c r="AE7634" t="s">
        <v>103</v>
      </c>
      <c r="AG7634" t="s">
        <v>81</v>
      </c>
    </row>
    <row r="7635" spans="1:33" x14ac:dyDescent="0.25">
      <c r="A7635" t="str">
        <f>"1124469069"</f>
        <v>1124469069</v>
      </c>
      <c r="C7635" t="s">
        <v>13436</v>
      </c>
      <c r="K7635" t="s">
        <v>99</v>
      </c>
      <c r="L7635" t="s">
        <v>102</v>
      </c>
      <c r="M7635" t="s">
        <v>75</v>
      </c>
      <c r="R7635" t="s">
        <v>33868</v>
      </c>
      <c r="S7635" t="s">
        <v>169</v>
      </c>
      <c r="T7635" t="s">
        <v>155</v>
      </c>
      <c r="U7635" t="s">
        <v>77</v>
      </c>
      <c r="V7635" t="str">
        <f>"103053436"</f>
        <v>103053436</v>
      </c>
      <c r="AC7635" t="s">
        <v>79</v>
      </c>
      <c r="AD7635" t="s">
        <v>75</v>
      </c>
      <c r="AE7635" t="s">
        <v>103</v>
      </c>
      <c r="AG7635" t="s">
        <v>81</v>
      </c>
    </row>
    <row r="7636" spans="1:33" x14ac:dyDescent="0.25">
      <c r="A7636" t="str">
        <f>"1134109879"</f>
        <v>1134109879</v>
      </c>
      <c r="B7636" t="str">
        <f>"02060199"</f>
        <v>02060199</v>
      </c>
      <c r="C7636" t="s">
        <v>13436</v>
      </c>
      <c r="D7636" t="s">
        <v>33869</v>
      </c>
      <c r="E7636" t="s">
        <v>33870</v>
      </c>
      <c r="G7636" t="s">
        <v>33871</v>
      </c>
      <c r="L7636" t="s">
        <v>83</v>
      </c>
      <c r="M7636" t="s">
        <v>85</v>
      </c>
      <c r="R7636" t="s">
        <v>33872</v>
      </c>
      <c r="W7636" t="s">
        <v>33873</v>
      </c>
      <c r="X7636" t="s">
        <v>33874</v>
      </c>
      <c r="Y7636" t="s">
        <v>161</v>
      </c>
      <c r="Z7636" t="s">
        <v>77</v>
      </c>
      <c r="AA7636" t="str">
        <f>"11042-1214"</f>
        <v>11042-1214</v>
      </c>
      <c r="AB7636" t="s">
        <v>78</v>
      </c>
      <c r="AC7636" t="s">
        <v>79</v>
      </c>
      <c r="AD7636" t="s">
        <v>75</v>
      </c>
      <c r="AE7636" t="s">
        <v>80</v>
      </c>
      <c r="AG7636" t="s">
        <v>81</v>
      </c>
    </row>
    <row r="7637" spans="1:33" x14ac:dyDescent="0.25">
      <c r="A7637" t="str">
        <f>"1134121098"</f>
        <v>1134121098</v>
      </c>
      <c r="B7637" t="str">
        <f>"00681907"</f>
        <v>00681907</v>
      </c>
      <c r="C7637" t="s">
        <v>13436</v>
      </c>
      <c r="D7637" t="s">
        <v>33875</v>
      </c>
      <c r="E7637" t="s">
        <v>33876</v>
      </c>
      <c r="L7637" t="s">
        <v>74</v>
      </c>
      <c r="M7637" t="s">
        <v>75</v>
      </c>
      <c r="R7637" t="s">
        <v>33877</v>
      </c>
      <c r="W7637" t="s">
        <v>33876</v>
      </c>
      <c r="X7637" t="s">
        <v>5902</v>
      </c>
      <c r="Y7637" t="s">
        <v>87</v>
      </c>
      <c r="Z7637" t="s">
        <v>77</v>
      </c>
      <c r="AA7637" t="str">
        <f>"11228-3619"</f>
        <v>11228-3619</v>
      </c>
      <c r="AB7637" t="s">
        <v>78</v>
      </c>
      <c r="AC7637" t="s">
        <v>79</v>
      </c>
      <c r="AD7637" t="s">
        <v>75</v>
      </c>
      <c r="AE7637" t="s">
        <v>80</v>
      </c>
      <c r="AG7637" t="s">
        <v>81</v>
      </c>
    </row>
    <row r="7638" spans="1:33" x14ac:dyDescent="0.25">
      <c r="A7638" t="str">
        <f>"1134128465"</f>
        <v>1134128465</v>
      </c>
      <c r="B7638" t="str">
        <f>"00851689"</f>
        <v>00851689</v>
      </c>
      <c r="C7638" t="s">
        <v>13436</v>
      </c>
      <c r="D7638" t="s">
        <v>33878</v>
      </c>
      <c r="E7638" t="s">
        <v>33879</v>
      </c>
      <c r="G7638" t="s">
        <v>33880</v>
      </c>
      <c r="L7638" t="s">
        <v>83</v>
      </c>
      <c r="M7638" t="s">
        <v>85</v>
      </c>
      <c r="R7638" t="s">
        <v>33881</v>
      </c>
      <c r="W7638" t="s">
        <v>33879</v>
      </c>
      <c r="X7638" t="s">
        <v>26466</v>
      </c>
      <c r="Y7638" t="s">
        <v>97</v>
      </c>
      <c r="Z7638" t="s">
        <v>77</v>
      </c>
      <c r="AA7638" t="str">
        <f>"10029-6501"</f>
        <v>10029-6501</v>
      </c>
      <c r="AB7638" t="s">
        <v>78</v>
      </c>
      <c r="AC7638" t="s">
        <v>79</v>
      </c>
      <c r="AD7638" t="s">
        <v>75</v>
      </c>
      <c r="AE7638" t="s">
        <v>80</v>
      </c>
      <c r="AG7638" t="s">
        <v>81</v>
      </c>
    </row>
    <row r="7639" spans="1:33" x14ac:dyDescent="0.25">
      <c r="A7639" t="str">
        <f>"1134147937"</f>
        <v>1134147937</v>
      </c>
      <c r="B7639" t="str">
        <f>"02187328"</f>
        <v>02187328</v>
      </c>
      <c r="C7639" t="s">
        <v>13436</v>
      </c>
      <c r="D7639" t="s">
        <v>33882</v>
      </c>
      <c r="E7639" t="s">
        <v>33883</v>
      </c>
      <c r="G7639" t="s">
        <v>33884</v>
      </c>
      <c r="L7639" t="s">
        <v>83</v>
      </c>
      <c r="M7639" t="s">
        <v>85</v>
      </c>
      <c r="R7639" t="s">
        <v>33885</v>
      </c>
      <c r="W7639" t="s">
        <v>33883</v>
      </c>
      <c r="X7639" t="s">
        <v>329</v>
      </c>
      <c r="Y7639" t="s">
        <v>97</v>
      </c>
      <c r="Z7639" t="s">
        <v>77</v>
      </c>
      <c r="AA7639" t="str">
        <f>"10029-6504"</f>
        <v>10029-6504</v>
      </c>
      <c r="AB7639" t="s">
        <v>78</v>
      </c>
      <c r="AC7639" t="s">
        <v>79</v>
      </c>
      <c r="AD7639" t="s">
        <v>75</v>
      </c>
      <c r="AE7639" t="s">
        <v>80</v>
      </c>
      <c r="AG7639" t="s">
        <v>81</v>
      </c>
    </row>
    <row r="7640" spans="1:33" x14ac:dyDescent="0.25">
      <c r="A7640" t="str">
        <f>"1578606166"</f>
        <v>1578606166</v>
      </c>
      <c r="B7640" t="str">
        <f>"02488246"</f>
        <v>02488246</v>
      </c>
      <c r="C7640" t="s">
        <v>13436</v>
      </c>
      <c r="D7640" t="s">
        <v>33886</v>
      </c>
      <c r="E7640" t="s">
        <v>33887</v>
      </c>
      <c r="G7640" t="s">
        <v>33888</v>
      </c>
      <c r="L7640" t="s">
        <v>102</v>
      </c>
      <c r="M7640" t="s">
        <v>75</v>
      </c>
      <c r="R7640" t="s">
        <v>33889</v>
      </c>
      <c r="W7640" t="s">
        <v>33887</v>
      </c>
      <c r="X7640" t="s">
        <v>33887</v>
      </c>
      <c r="Y7640" t="s">
        <v>97</v>
      </c>
      <c r="Z7640" t="s">
        <v>77</v>
      </c>
      <c r="AA7640" t="str">
        <f>"10003"</f>
        <v>10003</v>
      </c>
      <c r="AB7640" t="s">
        <v>125</v>
      </c>
      <c r="AC7640" t="s">
        <v>79</v>
      </c>
      <c r="AD7640" t="s">
        <v>75</v>
      </c>
      <c r="AE7640" t="s">
        <v>80</v>
      </c>
      <c r="AG7640" t="s">
        <v>81</v>
      </c>
    </row>
    <row r="7641" spans="1:33" x14ac:dyDescent="0.25">
      <c r="A7641" t="str">
        <f>"1578625935"</f>
        <v>1578625935</v>
      </c>
      <c r="B7641" t="str">
        <f>"01593122"</f>
        <v>01593122</v>
      </c>
      <c r="C7641" t="s">
        <v>13436</v>
      </c>
      <c r="D7641" t="s">
        <v>33890</v>
      </c>
      <c r="E7641" t="s">
        <v>33891</v>
      </c>
      <c r="G7641" t="s">
        <v>33892</v>
      </c>
      <c r="L7641" t="s">
        <v>84</v>
      </c>
      <c r="M7641" t="s">
        <v>85</v>
      </c>
      <c r="R7641" t="s">
        <v>33893</v>
      </c>
      <c r="W7641" t="s">
        <v>33891</v>
      </c>
      <c r="X7641" t="s">
        <v>33894</v>
      </c>
      <c r="Y7641" t="s">
        <v>180</v>
      </c>
      <c r="Z7641" t="s">
        <v>77</v>
      </c>
      <c r="AA7641" t="str">
        <f>"10701-1303"</f>
        <v>10701-1303</v>
      </c>
      <c r="AB7641" t="s">
        <v>78</v>
      </c>
      <c r="AC7641" t="s">
        <v>79</v>
      </c>
      <c r="AD7641" t="s">
        <v>75</v>
      </c>
      <c r="AE7641" t="s">
        <v>80</v>
      </c>
      <c r="AG7641" t="s">
        <v>81</v>
      </c>
    </row>
    <row r="7642" spans="1:33" x14ac:dyDescent="0.25">
      <c r="A7642" t="str">
        <f>"1578645909"</f>
        <v>1578645909</v>
      </c>
      <c r="B7642" t="str">
        <f>"02722296"</f>
        <v>02722296</v>
      </c>
      <c r="C7642" t="s">
        <v>13436</v>
      </c>
      <c r="D7642" t="s">
        <v>33895</v>
      </c>
      <c r="E7642" t="s">
        <v>33896</v>
      </c>
      <c r="G7642" t="s">
        <v>33897</v>
      </c>
      <c r="L7642" t="s">
        <v>74</v>
      </c>
      <c r="M7642" t="s">
        <v>75</v>
      </c>
      <c r="R7642" t="s">
        <v>33898</v>
      </c>
      <c r="W7642" t="s">
        <v>33896</v>
      </c>
      <c r="X7642" t="s">
        <v>162</v>
      </c>
      <c r="Y7642" t="s">
        <v>87</v>
      </c>
      <c r="Z7642" t="s">
        <v>77</v>
      </c>
      <c r="AA7642" t="str">
        <f>"11215-3609"</f>
        <v>11215-3609</v>
      </c>
      <c r="AB7642" t="s">
        <v>78</v>
      </c>
      <c r="AC7642" t="s">
        <v>79</v>
      </c>
      <c r="AD7642" t="s">
        <v>75</v>
      </c>
      <c r="AE7642" t="s">
        <v>80</v>
      </c>
      <c r="AG7642" t="s">
        <v>81</v>
      </c>
    </row>
    <row r="7643" spans="1:33" x14ac:dyDescent="0.25">
      <c r="A7643" t="str">
        <f>"1578649422"</f>
        <v>1578649422</v>
      </c>
      <c r="B7643" t="str">
        <f>"02106054"</f>
        <v>02106054</v>
      </c>
      <c r="C7643" t="s">
        <v>13436</v>
      </c>
      <c r="D7643" t="s">
        <v>33899</v>
      </c>
      <c r="E7643" t="s">
        <v>33900</v>
      </c>
      <c r="G7643" t="s">
        <v>33901</v>
      </c>
      <c r="L7643" t="s">
        <v>83</v>
      </c>
      <c r="M7643" t="s">
        <v>85</v>
      </c>
      <c r="R7643" t="s">
        <v>33902</v>
      </c>
      <c r="W7643" t="s">
        <v>33900</v>
      </c>
      <c r="X7643" t="s">
        <v>3086</v>
      </c>
      <c r="Y7643" t="s">
        <v>131</v>
      </c>
      <c r="Z7643" t="s">
        <v>77</v>
      </c>
      <c r="AA7643" t="str">
        <f>"10457-7697"</f>
        <v>10457-7697</v>
      </c>
      <c r="AB7643" t="s">
        <v>78</v>
      </c>
      <c r="AC7643" t="s">
        <v>79</v>
      </c>
      <c r="AD7643" t="s">
        <v>75</v>
      </c>
      <c r="AE7643" t="s">
        <v>80</v>
      </c>
      <c r="AG7643" t="s">
        <v>81</v>
      </c>
    </row>
    <row r="7644" spans="1:33" x14ac:dyDescent="0.25">
      <c r="A7644" t="str">
        <f>"1578669214"</f>
        <v>1578669214</v>
      </c>
      <c r="B7644" t="str">
        <f>"02891174"</f>
        <v>02891174</v>
      </c>
      <c r="C7644" t="s">
        <v>13436</v>
      </c>
      <c r="D7644" t="s">
        <v>33903</v>
      </c>
      <c r="E7644" t="s">
        <v>33904</v>
      </c>
      <c r="G7644" t="s">
        <v>33905</v>
      </c>
      <c r="L7644" t="s">
        <v>84</v>
      </c>
      <c r="M7644" t="s">
        <v>85</v>
      </c>
      <c r="R7644" t="s">
        <v>33906</v>
      </c>
      <c r="W7644" t="s">
        <v>33904</v>
      </c>
      <c r="X7644" t="s">
        <v>33907</v>
      </c>
      <c r="Y7644" t="s">
        <v>129</v>
      </c>
      <c r="Z7644" t="s">
        <v>77</v>
      </c>
      <c r="AA7644" t="str">
        <f>"11372-7011"</f>
        <v>11372-7011</v>
      </c>
      <c r="AB7644" t="s">
        <v>78</v>
      </c>
      <c r="AC7644" t="s">
        <v>79</v>
      </c>
      <c r="AD7644" t="s">
        <v>75</v>
      </c>
      <c r="AE7644" t="s">
        <v>80</v>
      </c>
      <c r="AG7644" t="s">
        <v>81</v>
      </c>
    </row>
    <row r="7645" spans="1:33" x14ac:dyDescent="0.25">
      <c r="A7645" t="str">
        <f>"1578669628"</f>
        <v>1578669628</v>
      </c>
      <c r="C7645" t="s">
        <v>13436</v>
      </c>
      <c r="G7645" t="s">
        <v>33908</v>
      </c>
      <c r="K7645" t="s">
        <v>99</v>
      </c>
      <c r="L7645" t="s">
        <v>102</v>
      </c>
      <c r="M7645" t="s">
        <v>75</v>
      </c>
      <c r="R7645" t="s">
        <v>33909</v>
      </c>
      <c r="S7645" t="s">
        <v>33910</v>
      </c>
      <c r="T7645" t="s">
        <v>97</v>
      </c>
      <c r="U7645" t="s">
        <v>77</v>
      </c>
      <c r="V7645" t="str">
        <f>"100296500"</f>
        <v>100296500</v>
      </c>
      <c r="AC7645" t="s">
        <v>79</v>
      </c>
      <c r="AD7645" t="s">
        <v>75</v>
      </c>
      <c r="AE7645" t="s">
        <v>103</v>
      </c>
      <c r="AG7645" t="s">
        <v>81</v>
      </c>
    </row>
    <row r="7646" spans="1:33" x14ac:dyDescent="0.25">
      <c r="A7646" t="str">
        <f>"1578672283"</f>
        <v>1578672283</v>
      </c>
      <c r="B7646" t="str">
        <f>"00817547"</f>
        <v>00817547</v>
      </c>
      <c r="C7646" t="s">
        <v>13436</v>
      </c>
      <c r="D7646" t="s">
        <v>33911</v>
      </c>
      <c r="E7646" t="s">
        <v>33912</v>
      </c>
      <c r="L7646" t="s">
        <v>83</v>
      </c>
      <c r="M7646" t="s">
        <v>85</v>
      </c>
      <c r="R7646" t="s">
        <v>33913</v>
      </c>
      <c r="W7646" t="s">
        <v>33912</v>
      </c>
      <c r="X7646" t="s">
        <v>2926</v>
      </c>
      <c r="Y7646" t="s">
        <v>97</v>
      </c>
      <c r="Z7646" t="s">
        <v>77</v>
      </c>
      <c r="AA7646" t="str">
        <f>"10029-6503"</f>
        <v>10029-6503</v>
      </c>
      <c r="AB7646" t="s">
        <v>78</v>
      </c>
      <c r="AC7646" t="s">
        <v>79</v>
      </c>
      <c r="AD7646" t="s">
        <v>75</v>
      </c>
      <c r="AE7646" t="s">
        <v>80</v>
      </c>
      <c r="AG7646" t="s">
        <v>81</v>
      </c>
    </row>
    <row r="7647" spans="1:33" x14ac:dyDescent="0.25">
      <c r="A7647" t="str">
        <f>"1447246533"</f>
        <v>1447246533</v>
      </c>
      <c r="B7647" t="str">
        <f>"00509788"</f>
        <v>00509788</v>
      </c>
      <c r="C7647" t="s">
        <v>13436</v>
      </c>
      <c r="D7647" t="s">
        <v>33914</v>
      </c>
      <c r="E7647" t="s">
        <v>33915</v>
      </c>
      <c r="G7647" t="s">
        <v>33916</v>
      </c>
      <c r="L7647" t="s">
        <v>83</v>
      </c>
      <c r="M7647" t="s">
        <v>85</v>
      </c>
      <c r="R7647" t="s">
        <v>33917</v>
      </c>
      <c r="W7647" t="s">
        <v>33918</v>
      </c>
      <c r="X7647" t="s">
        <v>33919</v>
      </c>
      <c r="Y7647" t="s">
        <v>97</v>
      </c>
      <c r="Z7647" t="s">
        <v>77</v>
      </c>
      <c r="AA7647" t="str">
        <f>"10029-6503"</f>
        <v>10029-6503</v>
      </c>
      <c r="AB7647" t="s">
        <v>78</v>
      </c>
      <c r="AC7647" t="s">
        <v>79</v>
      </c>
      <c r="AD7647" t="s">
        <v>75</v>
      </c>
      <c r="AE7647" t="s">
        <v>80</v>
      </c>
      <c r="AG7647" t="s">
        <v>81</v>
      </c>
    </row>
    <row r="7648" spans="1:33" x14ac:dyDescent="0.25">
      <c r="A7648" t="str">
        <f>"1447250899"</f>
        <v>1447250899</v>
      </c>
      <c r="B7648" t="str">
        <f>"01213625"</f>
        <v>01213625</v>
      </c>
      <c r="C7648" t="s">
        <v>13436</v>
      </c>
      <c r="D7648" t="s">
        <v>33920</v>
      </c>
      <c r="E7648" t="s">
        <v>33921</v>
      </c>
      <c r="L7648" t="s">
        <v>83</v>
      </c>
      <c r="M7648" t="s">
        <v>75</v>
      </c>
      <c r="R7648" t="s">
        <v>33922</v>
      </c>
      <c r="W7648" t="s">
        <v>33921</v>
      </c>
      <c r="X7648" t="s">
        <v>2597</v>
      </c>
      <c r="Y7648" t="s">
        <v>2598</v>
      </c>
      <c r="Z7648" t="s">
        <v>77</v>
      </c>
      <c r="AA7648" t="str">
        <f>"12771-2253"</f>
        <v>12771-2253</v>
      </c>
      <c r="AB7648" t="s">
        <v>78</v>
      </c>
      <c r="AC7648" t="s">
        <v>79</v>
      </c>
      <c r="AD7648" t="s">
        <v>75</v>
      </c>
      <c r="AE7648" t="s">
        <v>80</v>
      </c>
      <c r="AG7648" t="s">
        <v>81</v>
      </c>
    </row>
    <row r="7649" spans="1:33" x14ac:dyDescent="0.25">
      <c r="A7649" t="str">
        <f>"1447256508"</f>
        <v>1447256508</v>
      </c>
      <c r="B7649" t="str">
        <f>"02457358"</f>
        <v>02457358</v>
      </c>
      <c r="C7649" t="s">
        <v>13436</v>
      </c>
      <c r="D7649" t="s">
        <v>33923</v>
      </c>
      <c r="E7649" t="s">
        <v>33924</v>
      </c>
      <c r="G7649" t="s">
        <v>33925</v>
      </c>
      <c r="L7649" t="s">
        <v>83</v>
      </c>
      <c r="M7649" t="s">
        <v>85</v>
      </c>
      <c r="R7649" t="s">
        <v>33926</v>
      </c>
      <c r="W7649" t="s">
        <v>33924</v>
      </c>
      <c r="X7649" t="s">
        <v>33927</v>
      </c>
      <c r="Y7649" t="s">
        <v>236</v>
      </c>
      <c r="Z7649" t="s">
        <v>77</v>
      </c>
      <c r="AA7649" t="str">
        <f>"11105-2892"</f>
        <v>11105-2892</v>
      </c>
      <c r="AB7649" t="s">
        <v>78</v>
      </c>
      <c r="AC7649" t="s">
        <v>79</v>
      </c>
      <c r="AD7649" t="s">
        <v>75</v>
      </c>
      <c r="AE7649" t="s">
        <v>80</v>
      </c>
      <c r="AG7649" t="s">
        <v>81</v>
      </c>
    </row>
    <row r="7650" spans="1:33" x14ac:dyDescent="0.25">
      <c r="A7650" t="str">
        <f>"1447267653"</f>
        <v>1447267653</v>
      </c>
      <c r="B7650" t="str">
        <f>"02061681"</f>
        <v>02061681</v>
      </c>
      <c r="C7650" t="s">
        <v>13436</v>
      </c>
      <c r="D7650" t="s">
        <v>33928</v>
      </c>
      <c r="E7650" t="s">
        <v>33929</v>
      </c>
      <c r="G7650" t="s">
        <v>33930</v>
      </c>
      <c r="L7650" t="s">
        <v>74</v>
      </c>
      <c r="M7650" t="s">
        <v>85</v>
      </c>
      <c r="R7650" t="s">
        <v>33931</v>
      </c>
      <c r="W7650" t="s">
        <v>33932</v>
      </c>
      <c r="X7650" t="s">
        <v>537</v>
      </c>
      <c r="Y7650" t="s">
        <v>97</v>
      </c>
      <c r="Z7650" t="s">
        <v>77</v>
      </c>
      <c r="AA7650" t="str">
        <f>"10011-8305"</f>
        <v>10011-8305</v>
      </c>
      <c r="AB7650" t="s">
        <v>78</v>
      </c>
      <c r="AC7650" t="s">
        <v>79</v>
      </c>
      <c r="AD7650" t="s">
        <v>75</v>
      </c>
      <c r="AE7650" t="s">
        <v>80</v>
      </c>
      <c r="AG7650" t="s">
        <v>81</v>
      </c>
    </row>
    <row r="7651" spans="1:33" x14ac:dyDescent="0.25">
      <c r="A7651" t="str">
        <f>"1447281944"</f>
        <v>1447281944</v>
      </c>
      <c r="B7651" t="str">
        <f>"02060960"</f>
        <v>02060960</v>
      </c>
      <c r="C7651" t="s">
        <v>13436</v>
      </c>
      <c r="D7651" t="s">
        <v>33933</v>
      </c>
      <c r="E7651" t="s">
        <v>33934</v>
      </c>
      <c r="G7651" t="s">
        <v>33935</v>
      </c>
      <c r="L7651" t="s">
        <v>83</v>
      </c>
      <c r="M7651" t="s">
        <v>85</v>
      </c>
      <c r="R7651" t="s">
        <v>33936</v>
      </c>
      <c r="W7651" t="s">
        <v>33934</v>
      </c>
      <c r="X7651" t="s">
        <v>272</v>
      </c>
      <c r="Y7651" t="s">
        <v>97</v>
      </c>
      <c r="Z7651" t="s">
        <v>77</v>
      </c>
      <c r="AA7651" t="str">
        <f>"10029-6501"</f>
        <v>10029-6501</v>
      </c>
      <c r="AB7651" t="s">
        <v>78</v>
      </c>
      <c r="AC7651" t="s">
        <v>79</v>
      </c>
      <c r="AD7651" t="s">
        <v>75</v>
      </c>
      <c r="AE7651" t="s">
        <v>80</v>
      </c>
      <c r="AG7651" t="s">
        <v>81</v>
      </c>
    </row>
    <row r="7652" spans="1:33" x14ac:dyDescent="0.25">
      <c r="A7652" t="str">
        <f>"1770657447"</f>
        <v>1770657447</v>
      </c>
      <c r="B7652" t="str">
        <f>"01430886"</f>
        <v>01430886</v>
      </c>
      <c r="C7652" t="s">
        <v>13436</v>
      </c>
      <c r="D7652" t="s">
        <v>33937</v>
      </c>
      <c r="E7652" t="s">
        <v>33938</v>
      </c>
      <c r="G7652" t="s">
        <v>33939</v>
      </c>
      <c r="L7652" t="s">
        <v>102</v>
      </c>
      <c r="M7652" t="s">
        <v>75</v>
      </c>
      <c r="R7652" t="s">
        <v>33940</v>
      </c>
      <c r="W7652" t="s">
        <v>33941</v>
      </c>
      <c r="X7652" t="s">
        <v>6696</v>
      </c>
      <c r="Y7652" t="s">
        <v>97</v>
      </c>
      <c r="Z7652" t="s">
        <v>77</v>
      </c>
      <c r="AA7652" t="str">
        <f>"10003-0000"</f>
        <v>10003-0000</v>
      </c>
      <c r="AB7652" t="s">
        <v>125</v>
      </c>
      <c r="AC7652" t="s">
        <v>79</v>
      </c>
      <c r="AD7652" t="s">
        <v>75</v>
      </c>
      <c r="AE7652" t="s">
        <v>80</v>
      </c>
      <c r="AG7652" t="s">
        <v>81</v>
      </c>
    </row>
    <row r="7653" spans="1:33" x14ac:dyDescent="0.25">
      <c r="A7653" t="str">
        <f>"1588820708"</f>
        <v>1588820708</v>
      </c>
      <c r="B7653" t="str">
        <f>"03121175"</f>
        <v>03121175</v>
      </c>
      <c r="C7653" t="s">
        <v>13436</v>
      </c>
      <c r="D7653" t="s">
        <v>33942</v>
      </c>
      <c r="E7653" t="s">
        <v>33943</v>
      </c>
      <c r="G7653" t="s">
        <v>33944</v>
      </c>
      <c r="L7653" t="s">
        <v>74</v>
      </c>
      <c r="M7653" t="s">
        <v>75</v>
      </c>
      <c r="R7653" t="s">
        <v>33945</v>
      </c>
      <c r="W7653" t="s">
        <v>33946</v>
      </c>
      <c r="X7653" t="s">
        <v>1825</v>
      </c>
      <c r="Y7653" t="s">
        <v>155</v>
      </c>
      <c r="Z7653" t="s">
        <v>77</v>
      </c>
      <c r="AA7653" t="str">
        <f>"10305-3408"</f>
        <v>10305-3408</v>
      </c>
      <c r="AB7653" t="s">
        <v>78</v>
      </c>
      <c r="AC7653" t="s">
        <v>79</v>
      </c>
      <c r="AD7653" t="s">
        <v>75</v>
      </c>
      <c r="AE7653" t="s">
        <v>80</v>
      </c>
      <c r="AG7653" t="s">
        <v>81</v>
      </c>
    </row>
    <row r="7654" spans="1:33" x14ac:dyDescent="0.25">
      <c r="A7654" t="str">
        <f>"1588823744"</f>
        <v>1588823744</v>
      </c>
      <c r="B7654" t="str">
        <f>"03036106"</f>
        <v>03036106</v>
      </c>
      <c r="C7654" t="s">
        <v>13436</v>
      </c>
      <c r="D7654" t="s">
        <v>33947</v>
      </c>
      <c r="E7654" t="s">
        <v>33948</v>
      </c>
      <c r="G7654" t="s">
        <v>33949</v>
      </c>
      <c r="L7654" t="s">
        <v>83</v>
      </c>
      <c r="M7654" t="s">
        <v>85</v>
      </c>
      <c r="R7654" t="s">
        <v>33950</v>
      </c>
      <c r="W7654" t="s">
        <v>33951</v>
      </c>
      <c r="X7654" t="s">
        <v>187</v>
      </c>
      <c r="Y7654" t="s">
        <v>161</v>
      </c>
      <c r="Z7654" t="s">
        <v>77</v>
      </c>
      <c r="AA7654" t="str">
        <f>"11040-1402"</f>
        <v>11040-1402</v>
      </c>
      <c r="AB7654" t="s">
        <v>78</v>
      </c>
      <c r="AC7654" t="s">
        <v>79</v>
      </c>
      <c r="AD7654" t="s">
        <v>75</v>
      </c>
      <c r="AE7654" t="s">
        <v>80</v>
      </c>
      <c r="AG7654" t="s">
        <v>81</v>
      </c>
    </row>
    <row r="7655" spans="1:33" x14ac:dyDescent="0.25">
      <c r="A7655" t="str">
        <f>"1457500100"</f>
        <v>1457500100</v>
      </c>
      <c r="B7655" t="str">
        <f>"03397922"</f>
        <v>03397922</v>
      </c>
      <c r="C7655" t="s">
        <v>13436</v>
      </c>
      <c r="D7655" t="s">
        <v>33952</v>
      </c>
      <c r="E7655" t="s">
        <v>33953</v>
      </c>
      <c r="G7655" t="s">
        <v>33954</v>
      </c>
      <c r="L7655" t="s">
        <v>74</v>
      </c>
      <c r="M7655" t="s">
        <v>85</v>
      </c>
      <c r="R7655" t="s">
        <v>33955</v>
      </c>
      <c r="W7655" t="s">
        <v>33953</v>
      </c>
      <c r="X7655" t="s">
        <v>14029</v>
      </c>
      <c r="Y7655" t="s">
        <v>97</v>
      </c>
      <c r="Z7655" t="s">
        <v>77</v>
      </c>
      <c r="AA7655" t="str">
        <f>"10029-6501"</f>
        <v>10029-6501</v>
      </c>
      <c r="AB7655" t="s">
        <v>78</v>
      </c>
      <c r="AC7655" t="s">
        <v>79</v>
      </c>
      <c r="AD7655" t="s">
        <v>75</v>
      </c>
      <c r="AE7655" t="s">
        <v>80</v>
      </c>
      <c r="AG7655" t="s">
        <v>81</v>
      </c>
    </row>
    <row r="7656" spans="1:33" x14ac:dyDescent="0.25">
      <c r="A7656" t="str">
        <f>"1457510141"</f>
        <v>1457510141</v>
      </c>
      <c r="B7656" t="str">
        <f>"02218019"</f>
        <v>02218019</v>
      </c>
      <c r="C7656" t="s">
        <v>13436</v>
      </c>
      <c r="D7656" t="s">
        <v>33956</v>
      </c>
      <c r="E7656" t="s">
        <v>33957</v>
      </c>
      <c r="G7656" t="s">
        <v>33958</v>
      </c>
      <c r="L7656" t="s">
        <v>83</v>
      </c>
      <c r="M7656" t="s">
        <v>85</v>
      </c>
      <c r="R7656" t="s">
        <v>33959</v>
      </c>
      <c r="W7656" t="s">
        <v>33960</v>
      </c>
      <c r="X7656" t="s">
        <v>329</v>
      </c>
      <c r="Y7656" t="s">
        <v>97</v>
      </c>
      <c r="Z7656" t="s">
        <v>77</v>
      </c>
      <c r="AA7656" t="str">
        <f>"10029-6500"</f>
        <v>10029-6500</v>
      </c>
      <c r="AB7656" t="s">
        <v>78</v>
      </c>
      <c r="AC7656" t="s">
        <v>79</v>
      </c>
      <c r="AD7656" t="s">
        <v>75</v>
      </c>
      <c r="AE7656" t="s">
        <v>80</v>
      </c>
      <c r="AG7656" t="s">
        <v>81</v>
      </c>
    </row>
    <row r="7657" spans="1:33" x14ac:dyDescent="0.25">
      <c r="A7657" t="str">
        <f>"1457517948"</f>
        <v>1457517948</v>
      </c>
      <c r="C7657" t="s">
        <v>13436</v>
      </c>
      <c r="G7657" t="s">
        <v>33961</v>
      </c>
      <c r="K7657" t="s">
        <v>99</v>
      </c>
      <c r="L7657" t="s">
        <v>102</v>
      </c>
      <c r="M7657" t="s">
        <v>75</v>
      </c>
      <c r="R7657" t="s">
        <v>33962</v>
      </c>
      <c r="S7657" t="s">
        <v>6041</v>
      </c>
      <c r="T7657" t="s">
        <v>97</v>
      </c>
      <c r="U7657" t="s">
        <v>77</v>
      </c>
      <c r="V7657" t="str">
        <f>"10029"</f>
        <v>10029</v>
      </c>
      <c r="AC7657" t="s">
        <v>79</v>
      </c>
      <c r="AD7657" t="s">
        <v>75</v>
      </c>
      <c r="AE7657" t="s">
        <v>103</v>
      </c>
      <c r="AG7657" t="s">
        <v>81</v>
      </c>
    </row>
    <row r="7658" spans="1:33" x14ac:dyDescent="0.25">
      <c r="A7658" t="str">
        <f>"1457518128"</f>
        <v>1457518128</v>
      </c>
      <c r="B7658" t="str">
        <f>"03316341"</f>
        <v>03316341</v>
      </c>
      <c r="C7658" t="s">
        <v>13436</v>
      </c>
      <c r="D7658" t="s">
        <v>33963</v>
      </c>
      <c r="E7658" t="s">
        <v>33964</v>
      </c>
      <c r="G7658" t="s">
        <v>33965</v>
      </c>
      <c r="L7658" t="s">
        <v>83</v>
      </c>
      <c r="M7658" t="s">
        <v>85</v>
      </c>
      <c r="R7658" t="s">
        <v>33966</v>
      </c>
      <c r="W7658" t="s">
        <v>33967</v>
      </c>
      <c r="X7658" t="s">
        <v>33968</v>
      </c>
      <c r="Y7658" t="s">
        <v>97</v>
      </c>
      <c r="Z7658" t="s">
        <v>77</v>
      </c>
      <c r="AA7658" t="str">
        <f>"10029-6500"</f>
        <v>10029-6500</v>
      </c>
      <c r="AB7658" t="s">
        <v>78</v>
      </c>
      <c r="AC7658" t="s">
        <v>79</v>
      </c>
      <c r="AD7658" t="s">
        <v>75</v>
      </c>
      <c r="AE7658" t="s">
        <v>80</v>
      </c>
      <c r="AG7658" t="s">
        <v>81</v>
      </c>
    </row>
    <row r="7659" spans="1:33" x14ac:dyDescent="0.25">
      <c r="A7659" t="str">
        <f>"1457521064"</f>
        <v>1457521064</v>
      </c>
      <c r="B7659" t="str">
        <f>"03747486"</f>
        <v>03747486</v>
      </c>
      <c r="C7659" t="s">
        <v>13436</v>
      </c>
      <c r="D7659" t="s">
        <v>33969</v>
      </c>
      <c r="E7659" t="s">
        <v>33970</v>
      </c>
      <c r="G7659" t="s">
        <v>33971</v>
      </c>
      <c r="L7659" t="s">
        <v>102</v>
      </c>
      <c r="M7659" t="s">
        <v>75</v>
      </c>
      <c r="R7659" t="s">
        <v>33972</v>
      </c>
      <c r="W7659" t="s">
        <v>33970</v>
      </c>
      <c r="X7659" t="s">
        <v>329</v>
      </c>
      <c r="Y7659" t="s">
        <v>97</v>
      </c>
      <c r="Z7659" t="s">
        <v>77</v>
      </c>
      <c r="AA7659" t="str">
        <f>"10029-6504"</f>
        <v>10029-6504</v>
      </c>
      <c r="AB7659" t="s">
        <v>78</v>
      </c>
      <c r="AC7659" t="s">
        <v>79</v>
      </c>
      <c r="AD7659" t="s">
        <v>75</v>
      </c>
      <c r="AE7659" t="s">
        <v>80</v>
      </c>
      <c r="AG7659" t="s">
        <v>81</v>
      </c>
    </row>
    <row r="7660" spans="1:33" x14ac:dyDescent="0.25">
      <c r="A7660" t="str">
        <f>"1457521635"</f>
        <v>1457521635</v>
      </c>
      <c r="B7660" t="str">
        <f>"03924352"</f>
        <v>03924352</v>
      </c>
      <c r="C7660" t="s">
        <v>13436</v>
      </c>
      <c r="D7660" t="s">
        <v>33973</v>
      </c>
      <c r="E7660" t="s">
        <v>33974</v>
      </c>
      <c r="G7660" t="s">
        <v>33975</v>
      </c>
      <c r="L7660" t="s">
        <v>74</v>
      </c>
      <c r="M7660" t="s">
        <v>75</v>
      </c>
      <c r="R7660" t="s">
        <v>33974</v>
      </c>
      <c r="W7660" t="s">
        <v>33974</v>
      </c>
      <c r="X7660" t="s">
        <v>329</v>
      </c>
      <c r="Y7660" t="s">
        <v>97</v>
      </c>
      <c r="Z7660" t="s">
        <v>77</v>
      </c>
      <c r="AA7660" t="str">
        <f>"10029-6504"</f>
        <v>10029-6504</v>
      </c>
      <c r="AB7660" t="s">
        <v>78</v>
      </c>
      <c r="AC7660" t="s">
        <v>79</v>
      </c>
      <c r="AD7660" t="s">
        <v>75</v>
      </c>
      <c r="AE7660" t="s">
        <v>80</v>
      </c>
      <c r="AG7660" t="s">
        <v>81</v>
      </c>
    </row>
    <row r="7661" spans="1:33" x14ac:dyDescent="0.25">
      <c r="A7661" t="str">
        <f>"1457521999"</f>
        <v>1457521999</v>
      </c>
      <c r="C7661" t="s">
        <v>13436</v>
      </c>
      <c r="G7661" t="s">
        <v>33976</v>
      </c>
      <c r="K7661" t="s">
        <v>99</v>
      </c>
      <c r="L7661" t="s">
        <v>102</v>
      </c>
      <c r="M7661" t="s">
        <v>75</v>
      </c>
      <c r="R7661" t="s">
        <v>33977</v>
      </c>
      <c r="S7661" t="s">
        <v>329</v>
      </c>
      <c r="T7661" t="s">
        <v>97</v>
      </c>
      <c r="U7661" t="s">
        <v>77</v>
      </c>
      <c r="V7661" t="str">
        <f>"100296500"</f>
        <v>100296500</v>
      </c>
      <c r="AC7661" t="s">
        <v>79</v>
      </c>
      <c r="AD7661" t="s">
        <v>75</v>
      </c>
      <c r="AE7661" t="s">
        <v>103</v>
      </c>
      <c r="AG7661" t="s">
        <v>81</v>
      </c>
    </row>
    <row r="7662" spans="1:33" x14ac:dyDescent="0.25">
      <c r="A7662" t="str">
        <f>"1457525701"</f>
        <v>1457525701</v>
      </c>
      <c r="B7662" t="str">
        <f>"02961613"</f>
        <v>02961613</v>
      </c>
      <c r="C7662" t="s">
        <v>13436</v>
      </c>
      <c r="D7662" t="s">
        <v>33978</v>
      </c>
      <c r="E7662" t="s">
        <v>33979</v>
      </c>
      <c r="G7662" t="s">
        <v>33980</v>
      </c>
      <c r="L7662" t="s">
        <v>83</v>
      </c>
      <c r="M7662" t="s">
        <v>85</v>
      </c>
      <c r="R7662" t="s">
        <v>33981</v>
      </c>
      <c r="W7662" t="s">
        <v>33982</v>
      </c>
      <c r="X7662" t="s">
        <v>4029</v>
      </c>
      <c r="Y7662" t="s">
        <v>97</v>
      </c>
      <c r="Z7662" t="s">
        <v>77</v>
      </c>
      <c r="AA7662" t="str">
        <f>"10029-6503"</f>
        <v>10029-6503</v>
      </c>
      <c r="AB7662" t="s">
        <v>78</v>
      </c>
      <c r="AC7662" t="s">
        <v>79</v>
      </c>
      <c r="AD7662" t="s">
        <v>75</v>
      </c>
      <c r="AE7662" t="s">
        <v>80</v>
      </c>
      <c r="AG7662" t="s">
        <v>81</v>
      </c>
    </row>
    <row r="7663" spans="1:33" x14ac:dyDescent="0.25">
      <c r="A7663" t="str">
        <f>"1457543837"</f>
        <v>1457543837</v>
      </c>
      <c r="B7663" t="str">
        <f>"03735540"</f>
        <v>03735540</v>
      </c>
      <c r="C7663" t="s">
        <v>13436</v>
      </c>
      <c r="D7663" t="s">
        <v>33983</v>
      </c>
      <c r="E7663" t="s">
        <v>33984</v>
      </c>
      <c r="L7663" t="s">
        <v>83</v>
      </c>
      <c r="M7663" t="s">
        <v>85</v>
      </c>
      <c r="R7663" t="s">
        <v>33985</v>
      </c>
      <c r="W7663" t="s">
        <v>33984</v>
      </c>
      <c r="X7663" t="s">
        <v>33986</v>
      </c>
      <c r="Y7663" t="s">
        <v>2111</v>
      </c>
      <c r="Z7663" t="s">
        <v>156</v>
      </c>
      <c r="AA7663" t="str">
        <f>"07112-2027"</f>
        <v>07112-2027</v>
      </c>
      <c r="AB7663" t="s">
        <v>78</v>
      </c>
      <c r="AC7663" t="s">
        <v>79</v>
      </c>
      <c r="AD7663" t="s">
        <v>75</v>
      </c>
      <c r="AE7663" t="s">
        <v>80</v>
      </c>
      <c r="AG7663" t="s">
        <v>81</v>
      </c>
    </row>
    <row r="7664" spans="1:33" x14ac:dyDescent="0.25">
      <c r="C7664" t="s">
        <v>33987</v>
      </c>
      <c r="G7664" t="s">
        <v>33988</v>
      </c>
      <c r="H7664" t="s">
        <v>33989</v>
      </c>
      <c r="K7664" t="s">
        <v>99</v>
      </c>
      <c r="L7664" t="s">
        <v>100</v>
      </c>
      <c r="M7664" t="s">
        <v>75</v>
      </c>
      <c r="AC7664" t="s">
        <v>79</v>
      </c>
      <c r="AD7664" t="s">
        <v>75</v>
      </c>
      <c r="AE7664" t="s">
        <v>101</v>
      </c>
      <c r="AG7664" t="s">
        <v>81</v>
      </c>
    </row>
    <row r="7665" spans="1:33" x14ac:dyDescent="0.25">
      <c r="A7665" t="str">
        <f>"1205892742"</f>
        <v>1205892742</v>
      </c>
      <c r="B7665" t="str">
        <f>"02338172"</f>
        <v>02338172</v>
      </c>
      <c r="C7665" t="s">
        <v>13436</v>
      </c>
      <c r="D7665" t="s">
        <v>33990</v>
      </c>
      <c r="E7665" t="s">
        <v>33991</v>
      </c>
      <c r="G7665" t="s">
        <v>33992</v>
      </c>
      <c r="L7665" t="s">
        <v>83</v>
      </c>
      <c r="M7665" t="s">
        <v>85</v>
      </c>
      <c r="R7665" t="s">
        <v>33993</v>
      </c>
      <c r="W7665" t="s">
        <v>33991</v>
      </c>
      <c r="X7665" t="s">
        <v>329</v>
      </c>
      <c r="Y7665" t="s">
        <v>97</v>
      </c>
      <c r="Z7665" t="s">
        <v>77</v>
      </c>
      <c r="AA7665" t="str">
        <f>"10029-6500"</f>
        <v>10029-6500</v>
      </c>
      <c r="AB7665" t="s">
        <v>78</v>
      </c>
      <c r="AC7665" t="s">
        <v>79</v>
      </c>
      <c r="AD7665" t="s">
        <v>75</v>
      </c>
      <c r="AE7665" t="s">
        <v>80</v>
      </c>
      <c r="AG7665" t="s">
        <v>81</v>
      </c>
    </row>
    <row r="7666" spans="1:33" x14ac:dyDescent="0.25">
      <c r="A7666" t="str">
        <f>"1205903366"</f>
        <v>1205903366</v>
      </c>
      <c r="B7666" t="str">
        <f>"01665714"</f>
        <v>01665714</v>
      </c>
      <c r="C7666" t="s">
        <v>13436</v>
      </c>
      <c r="D7666" t="s">
        <v>33994</v>
      </c>
      <c r="E7666" t="s">
        <v>33995</v>
      </c>
      <c r="L7666" t="s">
        <v>83</v>
      </c>
      <c r="M7666" t="s">
        <v>85</v>
      </c>
      <c r="R7666" t="s">
        <v>33996</v>
      </c>
      <c r="W7666" t="s">
        <v>33995</v>
      </c>
      <c r="Y7666" t="s">
        <v>97</v>
      </c>
      <c r="Z7666" t="s">
        <v>77</v>
      </c>
      <c r="AA7666" t="str">
        <f>"10032-3720"</f>
        <v>10032-3720</v>
      </c>
      <c r="AB7666" t="s">
        <v>78</v>
      </c>
      <c r="AC7666" t="s">
        <v>79</v>
      </c>
      <c r="AD7666" t="s">
        <v>75</v>
      </c>
      <c r="AE7666" t="s">
        <v>80</v>
      </c>
      <c r="AG7666" t="s">
        <v>81</v>
      </c>
    </row>
    <row r="7667" spans="1:33" x14ac:dyDescent="0.25">
      <c r="A7667" t="str">
        <f>"1205951712"</f>
        <v>1205951712</v>
      </c>
      <c r="B7667" t="str">
        <f>"02864964"</f>
        <v>02864964</v>
      </c>
      <c r="C7667" t="s">
        <v>13436</v>
      </c>
      <c r="D7667" t="s">
        <v>33997</v>
      </c>
      <c r="E7667" t="s">
        <v>33998</v>
      </c>
      <c r="G7667" t="s">
        <v>33999</v>
      </c>
      <c r="L7667" t="s">
        <v>83</v>
      </c>
      <c r="M7667" t="s">
        <v>85</v>
      </c>
      <c r="R7667" t="s">
        <v>34000</v>
      </c>
      <c r="W7667" t="s">
        <v>33998</v>
      </c>
      <c r="X7667" t="s">
        <v>329</v>
      </c>
      <c r="Y7667" t="s">
        <v>97</v>
      </c>
      <c r="Z7667" t="s">
        <v>77</v>
      </c>
      <c r="AA7667" t="str">
        <f>"10029-6500"</f>
        <v>10029-6500</v>
      </c>
      <c r="AB7667" t="s">
        <v>78</v>
      </c>
      <c r="AC7667" t="s">
        <v>79</v>
      </c>
      <c r="AD7667" t="s">
        <v>75</v>
      </c>
      <c r="AE7667" t="s">
        <v>80</v>
      </c>
      <c r="AG7667" t="s">
        <v>81</v>
      </c>
    </row>
    <row r="7668" spans="1:33" x14ac:dyDescent="0.25">
      <c r="A7668" t="str">
        <f>"1205959285"</f>
        <v>1205959285</v>
      </c>
      <c r="C7668" t="s">
        <v>13436</v>
      </c>
      <c r="G7668" t="s">
        <v>34001</v>
      </c>
      <c r="K7668" t="s">
        <v>99</v>
      </c>
      <c r="L7668" t="s">
        <v>102</v>
      </c>
      <c r="M7668" t="s">
        <v>75</v>
      </c>
      <c r="R7668" t="s">
        <v>34002</v>
      </c>
      <c r="S7668" t="s">
        <v>34003</v>
      </c>
      <c r="T7668" t="s">
        <v>760</v>
      </c>
      <c r="U7668" t="s">
        <v>77</v>
      </c>
      <c r="V7668" t="str">
        <f>"114262640"</f>
        <v>114262640</v>
      </c>
      <c r="AC7668" t="s">
        <v>79</v>
      </c>
      <c r="AD7668" t="s">
        <v>75</v>
      </c>
      <c r="AE7668" t="s">
        <v>103</v>
      </c>
      <c r="AG7668" t="s">
        <v>81</v>
      </c>
    </row>
    <row r="7669" spans="1:33" x14ac:dyDescent="0.25">
      <c r="A7669" t="str">
        <f>"1205982899"</f>
        <v>1205982899</v>
      </c>
      <c r="B7669" t="str">
        <f>"00104747"</f>
        <v>00104747</v>
      </c>
      <c r="C7669" t="s">
        <v>13436</v>
      </c>
      <c r="D7669" t="s">
        <v>34004</v>
      </c>
      <c r="E7669" t="s">
        <v>34005</v>
      </c>
      <c r="G7669" t="s">
        <v>34006</v>
      </c>
      <c r="L7669" t="s">
        <v>102</v>
      </c>
      <c r="M7669" t="s">
        <v>75</v>
      </c>
      <c r="R7669" t="s">
        <v>34007</v>
      </c>
      <c r="W7669" t="s">
        <v>34005</v>
      </c>
      <c r="X7669" t="s">
        <v>34008</v>
      </c>
      <c r="Y7669" t="s">
        <v>97</v>
      </c>
      <c r="Z7669" t="s">
        <v>77</v>
      </c>
      <c r="AA7669" t="str">
        <f>"10029-6500"</f>
        <v>10029-6500</v>
      </c>
      <c r="AB7669" t="s">
        <v>78</v>
      </c>
      <c r="AC7669" t="s">
        <v>79</v>
      </c>
      <c r="AD7669" t="s">
        <v>75</v>
      </c>
      <c r="AE7669" t="s">
        <v>80</v>
      </c>
      <c r="AG7669" t="s">
        <v>81</v>
      </c>
    </row>
    <row r="7670" spans="1:33" x14ac:dyDescent="0.25">
      <c r="A7670" t="str">
        <f>"1083805485"</f>
        <v>1083805485</v>
      </c>
      <c r="B7670" t="str">
        <f>"02632951"</f>
        <v>02632951</v>
      </c>
      <c r="C7670" t="s">
        <v>13436</v>
      </c>
      <c r="D7670" t="s">
        <v>34009</v>
      </c>
      <c r="E7670" t="s">
        <v>34010</v>
      </c>
      <c r="G7670" t="s">
        <v>34011</v>
      </c>
      <c r="L7670" t="s">
        <v>102</v>
      </c>
      <c r="M7670" t="s">
        <v>75</v>
      </c>
      <c r="R7670" t="s">
        <v>34012</v>
      </c>
      <c r="W7670" t="s">
        <v>34010</v>
      </c>
      <c r="X7670" t="s">
        <v>34013</v>
      </c>
      <c r="Y7670" t="s">
        <v>2034</v>
      </c>
      <c r="Z7670" t="s">
        <v>77</v>
      </c>
      <c r="AA7670" t="str">
        <f>"10598-2939"</f>
        <v>10598-2939</v>
      </c>
      <c r="AB7670" t="s">
        <v>78</v>
      </c>
      <c r="AC7670" t="s">
        <v>79</v>
      </c>
      <c r="AD7670" t="s">
        <v>75</v>
      </c>
      <c r="AE7670" t="s">
        <v>80</v>
      </c>
      <c r="AG7670" t="s">
        <v>81</v>
      </c>
    </row>
    <row r="7671" spans="1:33" x14ac:dyDescent="0.25">
      <c r="A7671" t="str">
        <f>"1083818876"</f>
        <v>1083818876</v>
      </c>
      <c r="B7671" t="str">
        <f>"03119615"</f>
        <v>03119615</v>
      </c>
      <c r="C7671" t="s">
        <v>13436</v>
      </c>
      <c r="D7671" t="s">
        <v>34014</v>
      </c>
      <c r="E7671" t="s">
        <v>34015</v>
      </c>
      <c r="G7671" t="s">
        <v>34016</v>
      </c>
      <c r="L7671" t="s">
        <v>83</v>
      </c>
      <c r="M7671" t="s">
        <v>85</v>
      </c>
      <c r="R7671" t="s">
        <v>34017</v>
      </c>
      <c r="W7671" t="s">
        <v>34018</v>
      </c>
      <c r="X7671" t="s">
        <v>272</v>
      </c>
      <c r="Y7671" t="s">
        <v>97</v>
      </c>
      <c r="Z7671" t="s">
        <v>77</v>
      </c>
      <c r="AA7671" t="str">
        <f>"10029-6501"</f>
        <v>10029-6501</v>
      </c>
      <c r="AB7671" t="s">
        <v>78</v>
      </c>
      <c r="AC7671" t="s">
        <v>79</v>
      </c>
      <c r="AD7671" t="s">
        <v>75</v>
      </c>
      <c r="AE7671" t="s">
        <v>80</v>
      </c>
      <c r="AG7671" t="s">
        <v>81</v>
      </c>
    </row>
    <row r="7672" spans="1:33" x14ac:dyDescent="0.25">
      <c r="A7672" t="str">
        <f>"1083822787"</f>
        <v>1083822787</v>
      </c>
      <c r="B7672" t="str">
        <f>"03443294"</f>
        <v>03443294</v>
      </c>
      <c r="C7672" t="s">
        <v>13436</v>
      </c>
      <c r="D7672" t="s">
        <v>34019</v>
      </c>
      <c r="E7672" t="s">
        <v>34020</v>
      </c>
      <c r="G7672" t="s">
        <v>34021</v>
      </c>
      <c r="L7672" t="s">
        <v>74</v>
      </c>
      <c r="M7672" t="s">
        <v>75</v>
      </c>
      <c r="R7672" t="s">
        <v>34022</v>
      </c>
      <c r="W7672" t="s">
        <v>34020</v>
      </c>
      <c r="X7672" t="s">
        <v>204</v>
      </c>
      <c r="Y7672" t="s">
        <v>97</v>
      </c>
      <c r="Z7672" t="s">
        <v>77</v>
      </c>
      <c r="AA7672" t="str">
        <f>"10065-4870"</f>
        <v>10065-4870</v>
      </c>
      <c r="AB7672" t="s">
        <v>78</v>
      </c>
      <c r="AC7672" t="s">
        <v>79</v>
      </c>
      <c r="AD7672" t="s">
        <v>75</v>
      </c>
      <c r="AE7672" t="s">
        <v>80</v>
      </c>
      <c r="AG7672" t="s">
        <v>81</v>
      </c>
    </row>
    <row r="7673" spans="1:33" x14ac:dyDescent="0.25">
      <c r="A7673" t="str">
        <f>"1083842058"</f>
        <v>1083842058</v>
      </c>
      <c r="B7673" t="str">
        <f>"04227643"</f>
        <v>04227643</v>
      </c>
      <c r="C7673" t="s">
        <v>13436</v>
      </c>
      <c r="D7673" t="s">
        <v>34023</v>
      </c>
      <c r="E7673" t="s">
        <v>34024</v>
      </c>
      <c r="L7673" t="s">
        <v>83</v>
      </c>
      <c r="M7673" t="s">
        <v>75</v>
      </c>
      <c r="R7673" t="s">
        <v>34025</v>
      </c>
      <c r="W7673" t="s">
        <v>34024</v>
      </c>
      <c r="X7673" t="s">
        <v>4464</v>
      </c>
      <c r="Y7673" t="s">
        <v>142</v>
      </c>
      <c r="Z7673" t="s">
        <v>77</v>
      </c>
      <c r="AA7673" t="str">
        <f>"13210-1687"</f>
        <v>13210-1687</v>
      </c>
      <c r="AB7673" t="s">
        <v>78</v>
      </c>
      <c r="AC7673" t="s">
        <v>79</v>
      </c>
      <c r="AD7673" t="s">
        <v>75</v>
      </c>
      <c r="AE7673" t="s">
        <v>80</v>
      </c>
      <c r="AG7673" t="s">
        <v>81</v>
      </c>
    </row>
    <row r="7674" spans="1:33" x14ac:dyDescent="0.25">
      <c r="A7674" t="str">
        <f>"1083850358"</f>
        <v>1083850358</v>
      </c>
      <c r="B7674" t="str">
        <f>"02348561"</f>
        <v>02348561</v>
      </c>
      <c r="C7674" t="s">
        <v>13436</v>
      </c>
      <c r="D7674" t="s">
        <v>34026</v>
      </c>
      <c r="E7674" t="s">
        <v>34027</v>
      </c>
      <c r="G7674" t="s">
        <v>34028</v>
      </c>
      <c r="L7674" t="s">
        <v>74</v>
      </c>
      <c r="M7674" t="s">
        <v>75</v>
      </c>
      <c r="R7674" t="s">
        <v>34029</v>
      </c>
      <c r="W7674" t="s">
        <v>34030</v>
      </c>
      <c r="X7674" t="s">
        <v>25370</v>
      </c>
      <c r="Y7674" t="s">
        <v>97</v>
      </c>
      <c r="Z7674" t="s">
        <v>77</v>
      </c>
      <c r="AA7674" t="str">
        <f>"10029-6574"</f>
        <v>10029-6574</v>
      </c>
      <c r="AB7674" t="s">
        <v>78</v>
      </c>
      <c r="AC7674" t="s">
        <v>79</v>
      </c>
      <c r="AD7674" t="s">
        <v>75</v>
      </c>
      <c r="AE7674" t="s">
        <v>80</v>
      </c>
      <c r="AG7674" t="s">
        <v>81</v>
      </c>
    </row>
    <row r="7675" spans="1:33" x14ac:dyDescent="0.25">
      <c r="A7675" t="str">
        <f>"1083856538"</f>
        <v>1083856538</v>
      </c>
      <c r="B7675" t="str">
        <f>"03867618"</f>
        <v>03867618</v>
      </c>
      <c r="C7675" t="s">
        <v>13436</v>
      </c>
      <c r="D7675" t="s">
        <v>34031</v>
      </c>
      <c r="E7675" t="s">
        <v>34032</v>
      </c>
      <c r="G7675" t="s">
        <v>34033</v>
      </c>
      <c r="L7675" t="s">
        <v>74</v>
      </c>
      <c r="M7675" t="s">
        <v>75</v>
      </c>
      <c r="R7675" t="s">
        <v>34034</v>
      </c>
      <c r="W7675" t="s">
        <v>34032</v>
      </c>
      <c r="X7675" t="s">
        <v>272</v>
      </c>
      <c r="Y7675" t="s">
        <v>97</v>
      </c>
      <c r="Z7675" t="s">
        <v>77</v>
      </c>
      <c r="AA7675" t="str">
        <f>"10029-6501"</f>
        <v>10029-6501</v>
      </c>
      <c r="AB7675" t="s">
        <v>78</v>
      </c>
      <c r="AC7675" t="s">
        <v>79</v>
      </c>
      <c r="AD7675" t="s">
        <v>75</v>
      </c>
      <c r="AE7675" t="s">
        <v>80</v>
      </c>
      <c r="AG7675" t="s">
        <v>81</v>
      </c>
    </row>
    <row r="7676" spans="1:33" x14ac:dyDescent="0.25">
      <c r="A7676" t="str">
        <f>"1083856991"</f>
        <v>1083856991</v>
      </c>
      <c r="C7676" t="s">
        <v>13436</v>
      </c>
      <c r="K7676" t="s">
        <v>99</v>
      </c>
      <c r="L7676" t="s">
        <v>102</v>
      </c>
      <c r="M7676" t="s">
        <v>75</v>
      </c>
      <c r="R7676" t="s">
        <v>34035</v>
      </c>
      <c r="S7676" t="s">
        <v>34036</v>
      </c>
      <c r="T7676" t="s">
        <v>97</v>
      </c>
      <c r="U7676" t="s">
        <v>77</v>
      </c>
      <c r="V7676" t="str">
        <f>"100322645"</f>
        <v>100322645</v>
      </c>
      <c r="AC7676" t="s">
        <v>79</v>
      </c>
      <c r="AD7676" t="s">
        <v>75</v>
      </c>
      <c r="AE7676" t="s">
        <v>103</v>
      </c>
      <c r="AG7676" t="s">
        <v>81</v>
      </c>
    </row>
    <row r="7677" spans="1:33" x14ac:dyDescent="0.25">
      <c r="A7677" t="str">
        <f>"1477829018"</f>
        <v>1477829018</v>
      </c>
      <c r="B7677" t="str">
        <f>"04524443"</f>
        <v>04524443</v>
      </c>
      <c r="C7677" t="s">
        <v>13436</v>
      </c>
      <c r="D7677" t="s">
        <v>34037</v>
      </c>
      <c r="E7677" t="s">
        <v>34038</v>
      </c>
      <c r="L7677" t="s">
        <v>102</v>
      </c>
      <c r="M7677" t="s">
        <v>75</v>
      </c>
      <c r="R7677" t="s">
        <v>34039</v>
      </c>
      <c r="W7677" t="s">
        <v>34038</v>
      </c>
      <c r="AB7677" t="s">
        <v>78</v>
      </c>
      <c r="AC7677" t="s">
        <v>79</v>
      </c>
      <c r="AD7677" t="s">
        <v>75</v>
      </c>
      <c r="AE7677" t="s">
        <v>80</v>
      </c>
      <c r="AG7677" t="s">
        <v>81</v>
      </c>
    </row>
    <row r="7678" spans="1:33" x14ac:dyDescent="0.25">
      <c r="A7678" t="str">
        <f>"1477844660"</f>
        <v>1477844660</v>
      </c>
      <c r="B7678" t="str">
        <f>"03844699"</f>
        <v>03844699</v>
      </c>
      <c r="C7678" t="s">
        <v>13436</v>
      </c>
      <c r="D7678" t="s">
        <v>34040</v>
      </c>
      <c r="E7678" t="s">
        <v>34041</v>
      </c>
      <c r="L7678" t="s">
        <v>102</v>
      </c>
      <c r="M7678" t="s">
        <v>75</v>
      </c>
      <c r="R7678" t="s">
        <v>34042</v>
      </c>
      <c r="W7678" t="s">
        <v>34041</v>
      </c>
      <c r="X7678" t="s">
        <v>17108</v>
      </c>
      <c r="Y7678" t="s">
        <v>97</v>
      </c>
      <c r="Z7678" t="s">
        <v>77</v>
      </c>
      <c r="AA7678" t="str">
        <f>"10003-0000"</f>
        <v>10003-0000</v>
      </c>
      <c r="AB7678" t="s">
        <v>78</v>
      </c>
      <c r="AC7678" t="s">
        <v>79</v>
      </c>
      <c r="AD7678" t="s">
        <v>75</v>
      </c>
      <c r="AE7678" t="s">
        <v>80</v>
      </c>
      <c r="AG7678" t="s">
        <v>81</v>
      </c>
    </row>
    <row r="7679" spans="1:33" x14ac:dyDescent="0.25">
      <c r="A7679" t="str">
        <f>"1770520215"</f>
        <v>1770520215</v>
      </c>
      <c r="B7679" t="str">
        <f>"02787846"</f>
        <v>02787846</v>
      </c>
      <c r="C7679" t="s">
        <v>13436</v>
      </c>
      <c r="D7679" t="s">
        <v>34043</v>
      </c>
      <c r="E7679" t="s">
        <v>34044</v>
      </c>
      <c r="G7679" t="s">
        <v>34045</v>
      </c>
      <c r="L7679" t="s">
        <v>94</v>
      </c>
      <c r="M7679" t="s">
        <v>85</v>
      </c>
      <c r="R7679" t="s">
        <v>34046</v>
      </c>
      <c r="W7679" t="s">
        <v>34044</v>
      </c>
      <c r="X7679" t="s">
        <v>22480</v>
      </c>
      <c r="Y7679" t="s">
        <v>97</v>
      </c>
      <c r="Z7679" t="s">
        <v>77</v>
      </c>
      <c r="AA7679" t="str">
        <f>"10010-4701"</f>
        <v>10010-4701</v>
      </c>
      <c r="AB7679" t="s">
        <v>78</v>
      </c>
      <c r="AC7679" t="s">
        <v>79</v>
      </c>
      <c r="AD7679" t="s">
        <v>75</v>
      </c>
      <c r="AE7679" t="s">
        <v>80</v>
      </c>
      <c r="AG7679" t="s">
        <v>81</v>
      </c>
    </row>
    <row r="7680" spans="1:33" x14ac:dyDescent="0.25">
      <c r="A7680" t="str">
        <f>"1356773899"</f>
        <v>1356773899</v>
      </c>
      <c r="B7680" t="str">
        <f>"04180916"</f>
        <v>04180916</v>
      </c>
      <c r="C7680" t="s">
        <v>13436</v>
      </c>
      <c r="D7680" t="s">
        <v>34047</v>
      </c>
      <c r="E7680" t="s">
        <v>34048</v>
      </c>
      <c r="L7680" t="s">
        <v>83</v>
      </c>
      <c r="M7680" t="s">
        <v>75</v>
      </c>
      <c r="R7680" t="s">
        <v>34049</v>
      </c>
      <c r="W7680" t="s">
        <v>34048</v>
      </c>
      <c r="X7680" t="s">
        <v>202</v>
      </c>
      <c r="Y7680" t="s">
        <v>87</v>
      </c>
      <c r="Z7680" t="s">
        <v>77</v>
      </c>
      <c r="AA7680" t="str">
        <f>"11201-5425"</f>
        <v>11201-5425</v>
      </c>
      <c r="AB7680" t="s">
        <v>78</v>
      </c>
      <c r="AC7680" t="s">
        <v>79</v>
      </c>
      <c r="AD7680" t="s">
        <v>75</v>
      </c>
      <c r="AE7680" t="s">
        <v>80</v>
      </c>
      <c r="AG7680" t="s">
        <v>81</v>
      </c>
    </row>
    <row r="7681" spans="1:33" x14ac:dyDescent="0.25">
      <c r="A7681" t="str">
        <f>"1356777148"</f>
        <v>1356777148</v>
      </c>
      <c r="B7681" t="str">
        <f>"03849525"</f>
        <v>03849525</v>
      </c>
      <c r="C7681" t="s">
        <v>13436</v>
      </c>
      <c r="D7681" t="s">
        <v>34050</v>
      </c>
      <c r="E7681" t="s">
        <v>34051</v>
      </c>
      <c r="L7681" t="s">
        <v>74</v>
      </c>
      <c r="M7681" t="s">
        <v>75</v>
      </c>
      <c r="R7681" t="s">
        <v>34051</v>
      </c>
      <c r="W7681" t="s">
        <v>34051</v>
      </c>
      <c r="X7681" t="s">
        <v>235</v>
      </c>
      <c r="Y7681" t="s">
        <v>190</v>
      </c>
      <c r="Z7681" t="s">
        <v>77</v>
      </c>
      <c r="AA7681" t="str">
        <f>"11102-2448"</f>
        <v>11102-2448</v>
      </c>
      <c r="AB7681" t="s">
        <v>78</v>
      </c>
      <c r="AC7681" t="s">
        <v>79</v>
      </c>
      <c r="AD7681" t="s">
        <v>75</v>
      </c>
      <c r="AE7681" t="s">
        <v>80</v>
      </c>
      <c r="AG7681" t="s">
        <v>81</v>
      </c>
    </row>
    <row r="7682" spans="1:33" x14ac:dyDescent="0.25">
      <c r="A7682" t="str">
        <f>"1356783989"</f>
        <v>1356783989</v>
      </c>
      <c r="B7682" t="str">
        <f>"03668797"</f>
        <v>03668797</v>
      </c>
      <c r="C7682" t="s">
        <v>13436</v>
      </c>
      <c r="D7682" t="s">
        <v>34052</v>
      </c>
      <c r="E7682" t="s">
        <v>34053</v>
      </c>
      <c r="G7682" t="s">
        <v>34054</v>
      </c>
      <c r="L7682" t="s">
        <v>83</v>
      </c>
      <c r="M7682" t="s">
        <v>75</v>
      </c>
      <c r="R7682" t="s">
        <v>34053</v>
      </c>
      <c r="W7682" t="s">
        <v>34053</v>
      </c>
      <c r="X7682" t="s">
        <v>272</v>
      </c>
      <c r="Y7682" t="s">
        <v>97</v>
      </c>
      <c r="Z7682" t="s">
        <v>77</v>
      </c>
      <c r="AA7682" t="str">
        <f>"10029-6501"</f>
        <v>10029-6501</v>
      </c>
      <c r="AB7682" t="s">
        <v>78</v>
      </c>
      <c r="AC7682" t="s">
        <v>79</v>
      </c>
      <c r="AD7682" t="s">
        <v>75</v>
      </c>
      <c r="AE7682" t="s">
        <v>80</v>
      </c>
      <c r="AG7682" t="s">
        <v>81</v>
      </c>
    </row>
    <row r="7683" spans="1:33" x14ac:dyDescent="0.25">
      <c r="A7683" t="str">
        <f>"1356785372"</f>
        <v>1356785372</v>
      </c>
      <c r="C7683" t="s">
        <v>13436</v>
      </c>
      <c r="K7683" t="s">
        <v>99</v>
      </c>
      <c r="L7683" t="s">
        <v>102</v>
      </c>
      <c r="M7683" t="s">
        <v>75</v>
      </c>
      <c r="R7683" t="s">
        <v>34055</v>
      </c>
      <c r="S7683" t="s">
        <v>329</v>
      </c>
      <c r="T7683" t="s">
        <v>97</v>
      </c>
      <c r="U7683" t="s">
        <v>77</v>
      </c>
      <c r="V7683" t="str">
        <f>"100296500"</f>
        <v>100296500</v>
      </c>
      <c r="AC7683" t="s">
        <v>79</v>
      </c>
      <c r="AD7683" t="s">
        <v>75</v>
      </c>
      <c r="AE7683" t="s">
        <v>103</v>
      </c>
      <c r="AG7683" t="s">
        <v>81</v>
      </c>
    </row>
    <row r="7684" spans="1:33" x14ac:dyDescent="0.25">
      <c r="A7684" t="str">
        <f>"1366404162"</f>
        <v>1366404162</v>
      </c>
      <c r="B7684" t="str">
        <f>"03121533"</f>
        <v>03121533</v>
      </c>
      <c r="C7684" t="s">
        <v>13436</v>
      </c>
      <c r="D7684" t="s">
        <v>34056</v>
      </c>
      <c r="E7684" t="s">
        <v>34057</v>
      </c>
      <c r="G7684" t="s">
        <v>34058</v>
      </c>
      <c r="L7684" t="s">
        <v>83</v>
      </c>
      <c r="M7684" t="s">
        <v>75</v>
      </c>
      <c r="R7684" t="s">
        <v>34059</v>
      </c>
      <c r="W7684" t="s">
        <v>34057</v>
      </c>
      <c r="X7684" t="s">
        <v>34060</v>
      </c>
      <c r="Y7684" t="s">
        <v>87</v>
      </c>
      <c r="Z7684" t="s">
        <v>77</v>
      </c>
      <c r="AA7684" t="str">
        <f>"11228-3232"</f>
        <v>11228-3232</v>
      </c>
      <c r="AB7684" t="s">
        <v>78</v>
      </c>
      <c r="AC7684" t="s">
        <v>79</v>
      </c>
      <c r="AD7684" t="s">
        <v>75</v>
      </c>
      <c r="AE7684" t="s">
        <v>80</v>
      </c>
      <c r="AG7684" t="s">
        <v>81</v>
      </c>
    </row>
    <row r="7685" spans="1:33" x14ac:dyDescent="0.25">
      <c r="A7685" t="str">
        <f>"1366412660"</f>
        <v>1366412660</v>
      </c>
      <c r="B7685" t="str">
        <f>"01608722"</f>
        <v>01608722</v>
      </c>
      <c r="C7685" t="s">
        <v>13436</v>
      </c>
      <c r="D7685" t="s">
        <v>34061</v>
      </c>
      <c r="E7685" t="s">
        <v>34062</v>
      </c>
      <c r="G7685" t="s">
        <v>34063</v>
      </c>
      <c r="L7685" t="s">
        <v>74</v>
      </c>
      <c r="M7685" t="s">
        <v>85</v>
      </c>
      <c r="R7685" t="s">
        <v>34064</v>
      </c>
      <c r="W7685" t="s">
        <v>34065</v>
      </c>
      <c r="X7685" t="s">
        <v>34066</v>
      </c>
      <c r="Y7685" t="s">
        <v>97</v>
      </c>
      <c r="Z7685" t="s">
        <v>77</v>
      </c>
      <c r="AA7685" t="str">
        <f>"10029-0312"</f>
        <v>10029-0312</v>
      </c>
      <c r="AB7685" t="s">
        <v>78</v>
      </c>
      <c r="AC7685" t="s">
        <v>79</v>
      </c>
      <c r="AD7685" t="s">
        <v>75</v>
      </c>
      <c r="AE7685" t="s">
        <v>80</v>
      </c>
      <c r="AG7685" t="s">
        <v>81</v>
      </c>
    </row>
    <row r="7686" spans="1:33" x14ac:dyDescent="0.25">
      <c r="A7686" t="str">
        <f>"1366418352"</f>
        <v>1366418352</v>
      </c>
      <c r="B7686" t="str">
        <f>"03906310"</f>
        <v>03906310</v>
      </c>
      <c r="C7686" t="s">
        <v>13436</v>
      </c>
      <c r="D7686" t="s">
        <v>34067</v>
      </c>
      <c r="E7686" t="s">
        <v>34068</v>
      </c>
      <c r="G7686" t="s">
        <v>34069</v>
      </c>
      <c r="L7686" t="s">
        <v>74</v>
      </c>
      <c r="M7686" t="s">
        <v>75</v>
      </c>
      <c r="R7686" t="s">
        <v>34068</v>
      </c>
      <c r="W7686" t="s">
        <v>34068</v>
      </c>
      <c r="X7686" t="s">
        <v>25552</v>
      </c>
      <c r="Y7686" t="s">
        <v>97</v>
      </c>
      <c r="Z7686" t="s">
        <v>77</v>
      </c>
      <c r="AA7686" t="str">
        <f>"10029-6501"</f>
        <v>10029-6501</v>
      </c>
      <c r="AB7686" t="s">
        <v>78</v>
      </c>
      <c r="AC7686" t="s">
        <v>79</v>
      </c>
      <c r="AD7686" t="s">
        <v>75</v>
      </c>
      <c r="AE7686" t="s">
        <v>80</v>
      </c>
      <c r="AG7686" t="s">
        <v>81</v>
      </c>
    </row>
    <row r="7687" spans="1:33" x14ac:dyDescent="0.25">
      <c r="A7687" t="str">
        <f>"1477896066"</f>
        <v>1477896066</v>
      </c>
      <c r="C7687" t="s">
        <v>13436</v>
      </c>
      <c r="K7687" t="s">
        <v>99</v>
      </c>
      <c r="L7687" t="s">
        <v>102</v>
      </c>
      <c r="M7687" t="s">
        <v>75</v>
      </c>
      <c r="R7687" t="s">
        <v>34070</v>
      </c>
      <c r="S7687" t="s">
        <v>13587</v>
      </c>
      <c r="T7687" t="s">
        <v>97</v>
      </c>
      <c r="U7687" t="s">
        <v>77</v>
      </c>
      <c r="V7687" t="str">
        <f>"100033805"</f>
        <v>100033805</v>
      </c>
      <c r="AC7687" t="s">
        <v>79</v>
      </c>
      <c r="AD7687" t="s">
        <v>75</v>
      </c>
      <c r="AE7687" t="s">
        <v>103</v>
      </c>
      <c r="AG7687" t="s">
        <v>81</v>
      </c>
    </row>
    <row r="7688" spans="1:33" x14ac:dyDescent="0.25">
      <c r="A7688" t="str">
        <f>"1396069290"</f>
        <v>1396069290</v>
      </c>
      <c r="B7688" t="str">
        <f>"03624779"</f>
        <v>03624779</v>
      </c>
      <c r="C7688" t="s">
        <v>13436</v>
      </c>
      <c r="D7688" t="s">
        <v>34071</v>
      </c>
      <c r="E7688" t="s">
        <v>34072</v>
      </c>
      <c r="L7688" t="s">
        <v>74</v>
      </c>
      <c r="M7688" t="s">
        <v>75</v>
      </c>
      <c r="R7688" t="s">
        <v>34073</v>
      </c>
      <c r="W7688" t="s">
        <v>34072</v>
      </c>
      <c r="X7688" t="s">
        <v>253</v>
      </c>
      <c r="Y7688" t="s">
        <v>131</v>
      </c>
      <c r="Z7688" t="s">
        <v>77</v>
      </c>
      <c r="AA7688" t="str">
        <f>"10466-2604"</f>
        <v>10466-2604</v>
      </c>
      <c r="AB7688" t="s">
        <v>78</v>
      </c>
      <c r="AC7688" t="s">
        <v>79</v>
      </c>
      <c r="AD7688" t="s">
        <v>75</v>
      </c>
      <c r="AE7688" t="s">
        <v>80</v>
      </c>
      <c r="AG7688" t="s">
        <v>81</v>
      </c>
    </row>
    <row r="7689" spans="1:33" x14ac:dyDescent="0.25">
      <c r="A7689" t="str">
        <f>"1396072591"</f>
        <v>1396072591</v>
      </c>
      <c r="B7689" t="str">
        <f>"03918398"</f>
        <v>03918398</v>
      </c>
      <c r="C7689" t="s">
        <v>13436</v>
      </c>
      <c r="D7689" t="s">
        <v>34074</v>
      </c>
      <c r="E7689" t="s">
        <v>34075</v>
      </c>
      <c r="L7689" t="s">
        <v>84</v>
      </c>
      <c r="M7689" t="s">
        <v>85</v>
      </c>
      <c r="R7689" t="s">
        <v>34075</v>
      </c>
      <c r="W7689" t="s">
        <v>34075</v>
      </c>
      <c r="X7689" t="s">
        <v>34076</v>
      </c>
      <c r="Y7689" t="s">
        <v>97</v>
      </c>
      <c r="Z7689" t="s">
        <v>77</v>
      </c>
      <c r="AA7689" t="str">
        <f>"10024-3419"</f>
        <v>10024-3419</v>
      </c>
      <c r="AB7689" t="s">
        <v>78</v>
      </c>
      <c r="AC7689" t="s">
        <v>79</v>
      </c>
      <c r="AD7689" t="s">
        <v>75</v>
      </c>
      <c r="AE7689" t="s">
        <v>80</v>
      </c>
      <c r="AG7689" t="s">
        <v>81</v>
      </c>
    </row>
    <row r="7690" spans="1:33" x14ac:dyDescent="0.25">
      <c r="A7690" t="str">
        <f>"1649563644"</f>
        <v>1649563644</v>
      </c>
      <c r="C7690" t="s">
        <v>13436</v>
      </c>
      <c r="K7690" t="s">
        <v>99</v>
      </c>
      <c r="L7690" t="s">
        <v>102</v>
      </c>
      <c r="M7690" t="s">
        <v>75</v>
      </c>
      <c r="R7690" t="s">
        <v>34077</v>
      </c>
      <c r="S7690" t="s">
        <v>34078</v>
      </c>
      <c r="T7690" t="s">
        <v>97</v>
      </c>
      <c r="U7690" t="s">
        <v>77</v>
      </c>
      <c r="V7690" t="str">
        <f>"100191047"</f>
        <v>100191047</v>
      </c>
      <c r="AC7690" t="s">
        <v>79</v>
      </c>
      <c r="AD7690" t="s">
        <v>75</v>
      </c>
      <c r="AE7690" t="s">
        <v>103</v>
      </c>
      <c r="AG7690" t="s">
        <v>81</v>
      </c>
    </row>
    <row r="7691" spans="1:33" x14ac:dyDescent="0.25">
      <c r="A7691" t="str">
        <f>"1649576950"</f>
        <v>1649576950</v>
      </c>
      <c r="C7691" t="s">
        <v>13436</v>
      </c>
      <c r="G7691" t="s">
        <v>34079</v>
      </c>
      <c r="K7691" t="s">
        <v>99</v>
      </c>
      <c r="L7691" t="s">
        <v>102</v>
      </c>
      <c r="M7691" t="s">
        <v>75</v>
      </c>
      <c r="R7691" t="s">
        <v>34080</v>
      </c>
      <c r="S7691" t="s">
        <v>34081</v>
      </c>
      <c r="T7691" t="s">
        <v>97</v>
      </c>
      <c r="U7691" t="s">
        <v>77</v>
      </c>
      <c r="V7691" t="str">
        <f>"100169196"</f>
        <v>100169196</v>
      </c>
      <c r="AC7691" t="s">
        <v>79</v>
      </c>
      <c r="AD7691" t="s">
        <v>75</v>
      </c>
      <c r="AE7691" t="s">
        <v>103</v>
      </c>
      <c r="AG7691" t="s">
        <v>81</v>
      </c>
    </row>
    <row r="7692" spans="1:33" x14ac:dyDescent="0.25">
      <c r="A7692" t="str">
        <f>"1649602509"</f>
        <v>1649602509</v>
      </c>
      <c r="C7692" t="s">
        <v>13436</v>
      </c>
      <c r="G7692" t="s">
        <v>34082</v>
      </c>
      <c r="K7692" t="s">
        <v>99</v>
      </c>
      <c r="L7692" t="s">
        <v>102</v>
      </c>
      <c r="M7692" t="s">
        <v>75</v>
      </c>
      <c r="R7692" t="s">
        <v>34083</v>
      </c>
      <c r="S7692" t="s">
        <v>12769</v>
      </c>
      <c r="T7692" t="s">
        <v>4861</v>
      </c>
      <c r="U7692" t="s">
        <v>156</v>
      </c>
      <c r="V7692" t="str">
        <f>"076311808"</f>
        <v>076311808</v>
      </c>
      <c r="AC7692" t="s">
        <v>79</v>
      </c>
      <c r="AD7692" t="s">
        <v>75</v>
      </c>
      <c r="AE7692" t="s">
        <v>103</v>
      </c>
      <c r="AG7692" t="s">
        <v>81</v>
      </c>
    </row>
    <row r="7693" spans="1:33" x14ac:dyDescent="0.25">
      <c r="A7693" t="str">
        <f>"1649602608"</f>
        <v>1649602608</v>
      </c>
      <c r="B7693" t="str">
        <f>"03934356"</f>
        <v>03934356</v>
      </c>
      <c r="C7693" t="s">
        <v>13436</v>
      </c>
      <c r="D7693" t="s">
        <v>34084</v>
      </c>
      <c r="E7693" t="s">
        <v>34085</v>
      </c>
      <c r="G7693" t="s">
        <v>34086</v>
      </c>
      <c r="L7693" t="s">
        <v>74</v>
      </c>
      <c r="M7693" t="s">
        <v>75</v>
      </c>
      <c r="R7693" t="s">
        <v>34087</v>
      </c>
      <c r="W7693" t="s">
        <v>34085</v>
      </c>
      <c r="X7693" t="s">
        <v>1329</v>
      </c>
      <c r="Y7693" t="s">
        <v>97</v>
      </c>
      <c r="Z7693" t="s">
        <v>77</v>
      </c>
      <c r="AA7693" t="str">
        <f>"10037-1802"</f>
        <v>10037-1802</v>
      </c>
      <c r="AB7693" t="s">
        <v>114</v>
      </c>
      <c r="AC7693" t="s">
        <v>79</v>
      </c>
      <c r="AD7693" t="s">
        <v>75</v>
      </c>
      <c r="AE7693" t="s">
        <v>80</v>
      </c>
      <c r="AG7693" t="s">
        <v>81</v>
      </c>
    </row>
    <row r="7694" spans="1:33" x14ac:dyDescent="0.25">
      <c r="A7694" t="str">
        <f>"1649613415"</f>
        <v>1649613415</v>
      </c>
      <c r="C7694" t="s">
        <v>13436</v>
      </c>
      <c r="K7694" t="s">
        <v>99</v>
      </c>
      <c r="L7694" t="s">
        <v>102</v>
      </c>
      <c r="M7694" t="s">
        <v>75</v>
      </c>
      <c r="R7694" t="s">
        <v>34088</v>
      </c>
      <c r="S7694" t="s">
        <v>34089</v>
      </c>
      <c r="T7694" t="s">
        <v>87</v>
      </c>
      <c r="U7694" t="s">
        <v>77</v>
      </c>
      <c r="V7694" t="str">
        <f>"11219"</f>
        <v>11219</v>
      </c>
      <c r="AC7694" t="s">
        <v>79</v>
      </c>
      <c r="AD7694" t="s">
        <v>75</v>
      </c>
      <c r="AE7694" t="s">
        <v>103</v>
      </c>
      <c r="AG7694" t="s">
        <v>81</v>
      </c>
    </row>
    <row r="7695" spans="1:33" x14ac:dyDescent="0.25">
      <c r="A7695" t="str">
        <f>"1649686197"</f>
        <v>1649686197</v>
      </c>
      <c r="C7695" t="s">
        <v>13436</v>
      </c>
      <c r="K7695" t="s">
        <v>99</v>
      </c>
      <c r="L7695" t="s">
        <v>102</v>
      </c>
      <c r="M7695" t="s">
        <v>75</v>
      </c>
      <c r="R7695" t="s">
        <v>34090</v>
      </c>
      <c r="S7695" t="s">
        <v>12769</v>
      </c>
      <c r="T7695" t="s">
        <v>4861</v>
      </c>
      <c r="U7695" t="s">
        <v>156</v>
      </c>
      <c r="V7695" t="str">
        <f>"076311808"</f>
        <v>076311808</v>
      </c>
      <c r="AC7695" t="s">
        <v>79</v>
      </c>
      <c r="AD7695" t="s">
        <v>75</v>
      </c>
      <c r="AE7695" t="s">
        <v>103</v>
      </c>
      <c r="AG7695" t="s">
        <v>81</v>
      </c>
    </row>
    <row r="7696" spans="1:33" x14ac:dyDescent="0.25">
      <c r="A7696" t="str">
        <f>"1093781742"</f>
        <v>1093781742</v>
      </c>
      <c r="B7696" t="str">
        <f>"01722187"</f>
        <v>01722187</v>
      </c>
      <c r="C7696" t="s">
        <v>13436</v>
      </c>
      <c r="D7696" t="s">
        <v>34091</v>
      </c>
      <c r="E7696" t="s">
        <v>34092</v>
      </c>
      <c r="L7696" t="s">
        <v>74</v>
      </c>
      <c r="M7696" t="s">
        <v>85</v>
      </c>
      <c r="R7696" t="s">
        <v>34093</v>
      </c>
      <c r="W7696" t="s">
        <v>34094</v>
      </c>
      <c r="X7696" t="s">
        <v>835</v>
      </c>
      <c r="Y7696" t="s">
        <v>97</v>
      </c>
      <c r="Z7696" t="s">
        <v>77</v>
      </c>
      <c r="AA7696" t="str">
        <f>"10029-6501"</f>
        <v>10029-6501</v>
      </c>
      <c r="AB7696" t="s">
        <v>78</v>
      </c>
      <c r="AC7696" t="s">
        <v>79</v>
      </c>
      <c r="AD7696" t="s">
        <v>75</v>
      </c>
      <c r="AE7696" t="s">
        <v>80</v>
      </c>
      <c r="AG7696" t="s">
        <v>81</v>
      </c>
    </row>
    <row r="7697" spans="1:33" x14ac:dyDescent="0.25">
      <c r="A7697" t="str">
        <f>"1285071142"</f>
        <v>1285071142</v>
      </c>
      <c r="C7697" t="s">
        <v>13436</v>
      </c>
      <c r="K7697" t="s">
        <v>99</v>
      </c>
      <c r="L7697" t="s">
        <v>102</v>
      </c>
      <c r="M7697" t="s">
        <v>75</v>
      </c>
      <c r="R7697" t="s">
        <v>34095</v>
      </c>
      <c r="S7697" t="s">
        <v>34096</v>
      </c>
      <c r="T7697" t="s">
        <v>4520</v>
      </c>
      <c r="U7697" t="s">
        <v>1784</v>
      </c>
      <c r="V7697" t="str">
        <f>"181036232"</f>
        <v>181036232</v>
      </c>
      <c r="AC7697" t="s">
        <v>79</v>
      </c>
      <c r="AD7697" t="s">
        <v>75</v>
      </c>
      <c r="AE7697" t="s">
        <v>103</v>
      </c>
      <c r="AG7697" t="s">
        <v>81</v>
      </c>
    </row>
    <row r="7698" spans="1:33" x14ac:dyDescent="0.25">
      <c r="A7698" t="str">
        <f>"1285075242"</f>
        <v>1285075242</v>
      </c>
      <c r="C7698" t="s">
        <v>13436</v>
      </c>
      <c r="K7698" t="s">
        <v>99</v>
      </c>
      <c r="L7698" t="s">
        <v>102</v>
      </c>
      <c r="M7698" t="s">
        <v>75</v>
      </c>
      <c r="R7698" t="s">
        <v>34097</v>
      </c>
      <c r="S7698" t="s">
        <v>34098</v>
      </c>
      <c r="T7698" t="s">
        <v>97</v>
      </c>
      <c r="U7698" t="s">
        <v>77</v>
      </c>
      <c r="V7698" t="str">
        <f>"100033837"</f>
        <v>100033837</v>
      </c>
      <c r="AC7698" t="s">
        <v>79</v>
      </c>
      <c r="AD7698" t="s">
        <v>75</v>
      </c>
      <c r="AE7698" t="s">
        <v>103</v>
      </c>
      <c r="AG7698" t="s">
        <v>81</v>
      </c>
    </row>
    <row r="7699" spans="1:33" x14ac:dyDescent="0.25">
      <c r="A7699" t="str">
        <f>"1285076075"</f>
        <v>1285076075</v>
      </c>
      <c r="C7699" t="s">
        <v>13436</v>
      </c>
      <c r="K7699" t="s">
        <v>99</v>
      </c>
      <c r="L7699" t="s">
        <v>102</v>
      </c>
      <c r="M7699" t="s">
        <v>75</v>
      </c>
      <c r="R7699" t="s">
        <v>34099</v>
      </c>
      <c r="S7699" t="s">
        <v>34100</v>
      </c>
      <c r="T7699" t="s">
        <v>4644</v>
      </c>
      <c r="U7699" t="s">
        <v>4645</v>
      </c>
      <c r="V7699" t="str">
        <f>"532263522"</f>
        <v>532263522</v>
      </c>
      <c r="AC7699" t="s">
        <v>79</v>
      </c>
      <c r="AD7699" t="s">
        <v>75</v>
      </c>
      <c r="AE7699" t="s">
        <v>103</v>
      </c>
      <c r="AG7699" t="s">
        <v>81</v>
      </c>
    </row>
    <row r="7700" spans="1:33" x14ac:dyDescent="0.25">
      <c r="A7700" t="str">
        <f>"1285079293"</f>
        <v>1285079293</v>
      </c>
      <c r="C7700" t="s">
        <v>13436</v>
      </c>
      <c r="K7700" t="s">
        <v>99</v>
      </c>
      <c r="L7700" t="s">
        <v>102</v>
      </c>
      <c r="M7700" t="s">
        <v>75</v>
      </c>
      <c r="R7700" t="s">
        <v>34101</v>
      </c>
      <c r="S7700" t="s">
        <v>34102</v>
      </c>
      <c r="T7700" t="s">
        <v>326</v>
      </c>
      <c r="U7700" t="s">
        <v>77</v>
      </c>
      <c r="V7700" t="str">
        <f>"110033321"</f>
        <v>110033321</v>
      </c>
      <c r="AC7700" t="s">
        <v>79</v>
      </c>
      <c r="AD7700" t="s">
        <v>75</v>
      </c>
      <c r="AE7700" t="s">
        <v>103</v>
      </c>
      <c r="AG7700" t="s">
        <v>81</v>
      </c>
    </row>
    <row r="7701" spans="1:33" x14ac:dyDescent="0.25">
      <c r="A7701" t="str">
        <f>"1285617787"</f>
        <v>1285617787</v>
      </c>
      <c r="B7701" t="str">
        <f>"02117242"</f>
        <v>02117242</v>
      </c>
      <c r="C7701" t="s">
        <v>13436</v>
      </c>
      <c r="D7701" t="s">
        <v>34103</v>
      </c>
      <c r="E7701" t="s">
        <v>34104</v>
      </c>
      <c r="G7701" t="s">
        <v>34105</v>
      </c>
      <c r="L7701" t="s">
        <v>83</v>
      </c>
      <c r="M7701" t="s">
        <v>85</v>
      </c>
      <c r="R7701" t="s">
        <v>34106</v>
      </c>
      <c r="W7701" t="s">
        <v>34104</v>
      </c>
      <c r="X7701" t="s">
        <v>34107</v>
      </c>
      <c r="Y7701" t="s">
        <v>97</v>
      </c>
      <c r="Z7701" t="s">
        <v>77</v>
      </c>
      <c r="AA7701" t="str">
        <f>"10029-6500"</f>
        <v>10029-6500</v>
      </c>
      <c r="AB7701" t="s">
        <v>78</v>
      </c>
      <c r="AC7701" t="s">
        <v>79</v>
      </c>
      <c r="AD7701" t="s">
        <v>75</v>
      </c>
      <c r="AE7701" t="s">
        <v>80</v>
      </c>
      <c r="AG7701" t="s">
        <v>81</v>
      </c>
    </row>
    <row r="7702" spans="1:33" x14ac:dyDescent="0.25">
      <c r="A7702" t="str">
        <f>"1285625228"</f>
        <v>1285625228</v>
      </c>
      <c r="B7702" t="str">
        <f>"03180701"</f>
        <v>03180701</v>
      </c>
      <c r="C7702" t="s">
        <v>13436</v>
      </c>
      <c r="D7702" t="s">
        <v>34108</v>
      </c>
      <c r="E7702" t="s">
        <v>34109</v>
      </c>
      <c r="G7702" t="s">
        <v>34110</v>
      </c>
      <c r="L7702" t="s">
        <v>74</v>
      </c>
      <c r="M7702" t="s">
        <v>85</v>
      </c>
      <c r="R7702" t="s">
        <v>34111</v>
      </c>
      <c r="W7702" t="s">
        <v>34109</v>
      </c>
      <c r="X7702" t="s">
        <v>34112</v>
      </c>
      <c r="Y7702" t="s">
        <v>240</v>
      </c>
      <c r="Z7702" t="s">
        <v>77</v>
      </c>
      <c r="AA7702" t="str">
        <f>"11530-4893"</f>
        <v>11530-4893</v>
      </c>
      <c r="AB7702" t="s">
        <v>78</v>
      </c>
      <c r="AC7702" t="s">
        <v>79</v>
      </c>
      <c r="AD7702" t="s">
        <v>75</v>
      </c>
      <c r="AE7702" t="s">
        <v>80</v>
      </c>
      <c r="AG7702" t="s">
        <v>81</v>
      </c>
    </row>
    <row r="7703" spans="1:33" x14ac:dyDescent="0.25">
      <c r="A7703" t="str">
        <f>"1093802605"</f>
        <v>1093802605</v>
      </c>
      <c r="B7703" t="str">
        <f>"00463034"</f>
        <v>00463034</v>
      </c>
      <c r="C7703" t="s">
        <v>13436</v>
      </c>
      <c r="D7703" t="s">
        <v>34113</v>
      </c>
      <c r="E7703" t="s">
        <v>34114</v>
      </c>
      <c r="L7703" t="s">
        <v>74</v>
      </c>
      <c r="M7703" t="s">
        <v>75</v>
      </c>
      <c r="R7703" t="s">
        <v>34115</v>
      </c>
      <c r="W7703" t="s">
        <v>34114</v>
      </c>
      <c r="X7703" t="s">
        <v>34116</v>
      </c>
      <c r="Y7703" t="s">
        <v>97</v>
      </c>
      <c r="Z7703" t="s">
        <v>77</v>
      </c>
      <c r="AA7703" t="str">
        <f>"10065-7360"</f>
        <v>10065-7360</v>
      </c>
      <c r="AB7703" t="s">
        <v>78</v>
      </c>
      <c r="AC7703" t="s">
        <v>79</v>
      </c>
      <c r="AD7703" t="s">
        <v>75</v>
      </c>
      <c r="AE7703" t="s">
        <v>80</v>
      </c>
      <c r="AG7703" t="s">
        <v>81</v>
      </c>
    </row>
    <row r="7704" spans="1:33" x14ac:dyDescent="0.25">
      <c r="A7704" t="str">
        <f>"1245595586"</f>
        <v>1245595586</v>
      </c>
      <c r="B7704" t="str">
        <f>"03775748"</f>
        <v>03775748</v>
      </c>
      <c r="C7704" t="s">
        <v>13436</v>
      </c>
      <c r="D7704" t="s">
        <v>34117</v>
      </c>
      <c r="E7704" t="s">
        <v>34118</v>
      </c>
      <c r="L7704" t="s">
        <v>102</v>
      </c>
      <c r="M7704" t="s">
        <v>75</v>
      </c>
      <c r="R7704" t="s">
        <v>34118</v>
      </c>
      <c r="W7704" t="s">
        <v>34118</v>
      </c>
      <c r="X7704" t="s">
        <v>191</v>
      </c>
      <c r="Y7704" t="s">
        <v>97</v>
      </c>
      <c r="Z7704" t="s">
        <v>77</v>
      </c>
      <c r="AA7704" t="str">
        <f>"10019-1147"</f>
        <v>10019-1147</v>
      </c>
      <c r="AB7704" t="s">
        <v>78</v>
      </c>
      <c r="AC7704" t="s">
        <v>79</v>
      </c>
      <c r="AD7704" t="s">
        <v>75</v>
      </c>
      <c r="AE7704" t="s">
        <v>80</v>
      </c>
      <c r="AG7704" t="s">
        <v>81</v>
      </c>
    </row>
    <row r="7705" spans="1:33" x14ac:dyDescent="0.25">
      <c r="A7705" t="str">
        <f>"1245596139"</f>
        <v>1245596139</v>
      </c>
      <c r="C7705" t="s">
        <v>13436</v>
      </c>
      <c r="K7705" t="s">
        <v>99</v>
      </c>
      <c r="L7705" t="s">
        <v>102</v>
      </c>
      <c r="M7705" t="s">
        <v>75</v>
      </c>
      <c r="R7705" t="s">
        <v>34119</v>
      </c>
      <c r="S7705" t="s">
        <v>34120</v>
      </c>
      <c r="T7705" t="s">
        <v>34121</v>
      </c>
      <c r="U7705" t="s">
        <v>156</v>
      </c>
      <c r="V7705" t="str">
        <f>"078743117"</f>
        <v>078743117</v>
      </c>
      <c r="AC7705" t="s">
        <v>79</v>
      </c>
      <c r="AD7705" t="s">
        <v>75</v>
      </c>
      <c r="AE7705" t="s">
        <v>103</v>
      </c>
      <c r="AG7705" t="s">
        <v>81</v>
      </c>
    </row>
    <row r="7706" spans="1:33" x14ac:dyDescent="0.25">
      <c r="A7706" t="str">
        <f>"1245597137"</f>
        <v>1245597137</v>
      </c>
      <c r="C7706" t="s">
        <v>13436</v>
      </c>
      <c r="K7706" t="s">
        <v>99</v>
      </c>
      <c r="L7706" t="s">
        <v>102</v>
      </c>
      <c r="M7706" t="s">
        <v>75</v>
      </c>
      <c r="R7706" t="s">
        <v>34122</v>
      </c>
      <c r="S7706" t="s">
        <v>34123</v>
      </c>
      <c r="T7706" t="s">
        <v>97</v>
      </c>
      <c r="U7706" t="s">
        <v>77</v>
      </c>
      <c r="V7706" t="str">
        <f>"100296574"</f>
        <v>100296574</v>
      </c>
      <c r="AC7706" t="s">
        <v>79</v>
      </c>
      <c r="AD7706" t="s">
        <v>75</v>
      </c>
      <c r="AE7706" t="s">
        <v>103</v>
      </c>
      <c r="AG7706" t="s">
        <v>81</v>
      </c>
    </row>
    <row r="7707" spans="1:33" x14ac:dyDescent="0.25">
      <c r="A7707" t="str">
        <f>"1245647130"</f>
        <v>1245647130</v>
      </c>
      <c r="C7707" t="s">
        <v>13436</v>
      </c>
      <c r="K7707" t="s">
        <v>99</v>
      </c>
      <c r="L7707" t="s">
        <v>102</v>
      </c>
      <c r="M7707" t="s">
        <v>75</v>
      </c>
      <c r="R7707" t="s">
        <v>34124</v>
      </c>
      <c r="S7707" t="s">
        <v>34125</v>
      </c>
      <c r="T7707" t="s">
        <v>97</v>
      </c>
      <c r="U7707" t="s">
        <v>77</v>
      </c>
      <c r="V7707" t="str">
        <f>"100191039"</f>
        <v>100191039</v>
      </c>
      <c r="AC7707" t="s">
        <v>79</v>
      </c>
      <c r="AD7707" t="s">
        <v>75</v>
      </c>
      <c r="AE7707" t="s">
        <v>103</v>
      </c>
      <c r="AG7707" t="s">
        <v>81</v>
      </c>
    </row>
    <row r="7708" spans="1:33" x14ac:dyDescent="0.25">
      <c r="A7708" t="str">
        <f>"1659689867"</f>
        <v>1659689867</v>
      </c>
      <c r="B7708" t="str">
        <f>"03461621"</f>
        <v>03461621</v>
      </c>
      <c r="C7708" t="s">
        <v>13436</v>
      </c>
      <c r="D7708" t="s">
        <v>34126</v>
      </c>
      <c r="E7708" t="s">
        <v>34127</v>
      </c>
      <c r="G7708" t="s">
        <v>34128</v>
      </c>
      <c r="L7708" t="s">
        <v>94</v>
      </c>
      <c r="M7708" t="s">
        <v>75</v>
      </c>
      <c r="R7708" t="s">
        <v>34129</v>
      </c>
      <c r="W7708" t="s">
        <v>34127</v>
      </c>
      <c r="X7708" t="s">
        <v>330</v>
      </c>
      <c r="Y7708" t="s">
        <v>97</v>
      </c>
      <c r="Z7708" t="s">
        <v>77</v>
      </c>
      <c r="AA7708" t="str">
        <f>"10029-5204"</f>
        <v>10029-5204</v>
      </c>
      <c r="AB7708" t="s">
        <v>78</v>
      </c>
      <c r="AC7708" t="s">
        <v>79</v>
      </c>
      <c r="AD7708" t="s">
        <v>75</v>
      </c>
      <c r="AE7708" t="s">
        <v>80</v>
      </c>
      <c r="AG7708" t="s">
        <v>81</v>
      </c>
    </row>
    <row r="7709" spans="1:33" x14ac:dyDescent="0.25">
      <c r="A7709" t="str">
        <f>"1124445242"</f>
        <v>1124445242</v>
      </c>
      <c r="C7709" t="s">
        <v>13436</v>
      </c>
      <c r="K7709" t="s">
        <v>99</v>
      </c>
      <c r="L7709" t="s">
        <v>102</v>
      </c>
      <c r="M7709" t="s">
        <v>75</v>
      </c>
      <c r="R7709" t="s">
        <v>34130</v>
      </c>
      <c r="S7709" t="s">
        <v>11850</v>
      </c>
      <c r="T7709" t="s">
        <v>97</v>
      </c>
      <c r="U7709" t="s">
        <v>77</v>
      </c>
      <c r="V7709" t="str">
        <f>"100296504"</f>
        <v>100296504</v>
      </c>
      <c r="AC7709" t="s">
        <v>79</v>
      </c>
      <c r="AD7709" t="s">
        <v>75</v>
      </c>
      <c r="AE7709" t="s">
        <v>103</v>
      </c>
      <c r="AG7709" t="s">
        <v>81</v>
      </c>
    </row>
    <row r="7710" spans="1:33" x14ac:dyDescent="0.25">
      <c r="A7710" t="str">
        <f>"1124445390"</f>
        <v>1124445390</v>
      </c>
      <c r="C7710" t="s">
        <v>13436</v>
      </c>
      <c r="K7710" t="s">
        <v>99</v>
      </c>
      <c r="L7710" t="s">
        <v>102</v>
      </c>
      <c r="M7710" t="s">
        <v>75</v>
      </c>
      <c r="R7710" t="s">
        <v>34131</v>
      </c>
      <c r="S7710" t="s">
        <v>34132</v>
      </c>
      <c r="T7710" t="s">
        <v>97</v>
      </c>
      <c r="U7710" t="s">
        <v>77</v>
      </c>
      <c r="V7710" t="str">
        <f>"100296504"</f>
        <v>100296504</v>
      </c>
      <c r="AC7710" t="s">
        <v>79</v>
      </c>
      <c r="AD7710" t="s">
        <v>75</v>
      </c>
      <c r="AE7710" t="s">
        <v>103</v>
      </c>
      <c r="AG7710" t="s">
        <v>81</v>
      </c>
    </row>
    <row r="7711" spans="1:33" x14ac:dyDescent="0.25">
      <c r="A7711" t="str">
        <f>"1568620516"</f>
        <v>1568620516</v>
      </c>
      <c r="B7711" t="str">
        <f>"03391531"</f>
        <v>03391531</v>
      </c>
      <c r="C7711" t="s">
        <v>13436</v>
      </c>
      <c r="D7711" t="s">
        <v>34133</v>
      </c>
      <c r="E7711" t="s">
        <v>34134</v>
      </c>
      <c r="G7711" t="s">
        <v>34135</v>
      </c>
      <c r="L7711" t="s">
        <v>83</v>
      </c>
      <c r="M7711" t="s">
        <v>85</v>
      </c>
      <c r="R7711" t="s">
        <v>34136</v>
      </c>
      <c r="W7711" t="s">
        <v>34134</v>
      </c>
      <c r="X7711" t="s">
        <v>842</v>
      </c>
      <c r="Y7711" t="s">
        <v>97</v>
      </c>
      <c r="Z7711" t="s">
        <v>77</v>
      </c>
      <c r="AA7711" t="str">
        <f>"10029-6501"</f>
        <v>10029-6501</v>
      </c>
      <c r="AB7711" t="s">
        <v>78</v>
      </c>
      <c r="AC7711" t="s">
        <v>79</v>
      </c>
      <c r="AD7711" t="s">
        <v>75</v>
      </c>
      <c r="AE7711" t="s">
        <v>80</v>
      </c>
      <c r="AG7711" t="s">
        <v>81</v>
      </c>
    </row>
    <row r="7712" spans="1:33" x14ac:dyDescent="0.25">
      <c r="A7712" t="str">
        <f>"1366426652"</f>
        <v>1366426652</v>
      </c>
      <c r="B7712" t="str">
        <f>"01541693"</f>
        <v>01541693</v>
      </c>
      <c r="C7712" t="s">
        <v>13436</v>
      </c>
      <c r="D7712" t="s">
        <v>34137</v>
      </c>
      <c r="E7712" t="s">
        <v>34138</v>
      </c>
      <c r="G7712" t="s">
        <v>34139</v>
      </c>
      <c r="L7712" t="s">
        <v>83</v>
      </c>
      <c r="M7712" t="s">
        <v>85</v>
      </c>
      <c r="R7712" t="s">
        <v>34140</v>
      </c>
      <c r="W7712" t="s">
        <v>34138</v>
      </c>
      <c r="X7712" t="s">
        <v>272</v>
      </c>
      <c r="Y7712" t="s">
        <v>97</v>
      </c>
      <c r="Z7712" t="s">
        <v>77</v>
      </c>
      <c r="AA7712" t="str">
        <f>"10029-6501"</f>
        <v>10029-6501</v>
      </c>
      <c r="AB7712" t="s">
        <v>78</v>
      </c>
      <c r="AC7712" t="s">
        <v>79</v>
      </c>
      <c r="AD7712" t="s">
        <v>75</v>
      </c>
      <c r="AE7712" t="s">
        <v>80</v>
      </c>
      <c r="AG7712" t="s">
        <v>81</v>
      </c>
    </row>
    <row r="7713" spans="1:33" x14ac:dyDescent="0.25">
      <c r="A7713" t="str">
        <f>"1538164280"</f>
        <v>1538164280</v>
      </c>
      <c r="B7713" t="str">
        <f>"02610915"</f>
        <v>02610915</v>
      </c>
      <c r="C7713" t="s">
        <v>13436</v>
      </c>
      <c r="D7713" t="s">
        <v>34141</v>
      </c>
      <c r="E7713" t="s">
        <v>34142</v>
      </c>
      <c r="G7713" t="s">
        <v>34143</v>
      </c>
      <c r="L7713" t="s">
        <v>84</v>
      </c>
      <c r="M7713" t="s">
        <v>75</v>
      </c>
      <c r="R7713" t="s">
        <v>34144</v>
      </c>
      <c r="W7713" t="s">
        <v>34142</v>
      </c>
      <c r="X7713" t="s">
        <v>33907</v>
      </c>
      <c r="Y7713" t="s">
        <v>129</v>
      </c>
      <c r="Z7713" t="s">
        <v>77</v>
      </c>
      <c r="AA7713" t="str">
        <f>"11372-7011"</f>
        <v>11372-7011</v>
      </c>
      <c r="AB7713" t="s">
        <v>78</v>
      </c>
      <c r="AC7713" t="s">
        <v>79</v>
      </c>
      <c r="AD7713" t="s">
        <v>75</v>
      </c>
      <c r="AE7713" t="s">
        <v>80</v>
      </c>
      <c r="AG7713" t="s">
        <v>81</v>
      </c>
    </row>
    <row r="7714" spans="1:33" x14ac:dyDescent="0.25">
      <c r="A7714" t="str">
        <f>"1538193511"</f>
        <v>1538193511</v>
      </c>
      <c r="B7714" t="str">
        <f>"01794792"</f>
        <v>01794792</v>
      </c>
      <c r="C7714" t="s">
        <v>13436</v>
      </c>
      <c r="D7714" t="s">
        <v>34145</v>
      </c>
      <c r="E7714" t="s">
        <v>34146</v>
      </c>
      <c r="G7714" t="s">
        <v>34147</v>
      </c>
      <c r="L7714" t="s">
        <v>74</v>
      </c>
      <c r="M7714" t="s">
        <v>75</v>
      </c>
      <c r="R7714" t="s">
        <v>34148</v>
      </c>
      <c r="W7714" t="s">
        <v>34148</v>
      </c>
      <c r="X7714" t="s">
        <v>181</v>
      </c>
      <c r="Y7714" t="s">
        <v>97</v>
      </c>
      <c r="Z7714" t="s">
        <v>77</v>
      </c>
      <c r="AA7714" t="str">
        <f>"10025-1716"</f>
        <v>10025-1716</v>
      </c>
      <c r="AB7714" t="s">
        <v>125</v>
      </c>
      <c r="AC7714" t="s">
        <v>79</v>
      </c>
      <c r="AD7714" t="s">
        <v>75</v>
      </c>
      <c r="AE7714" t="s">
        <v>80</v>
      </c>
      <c r="AG7714" t="s">
        <v>81</v>
      </c>
    </row>
    <row r="7715" spans="1:33" x14ac:dyDescent="0.25">
      <c r="A7715" t="str">
        <f>"1538193800"</f>
        <v>1538193800</v>
      </c>
      <c r="B7715" t="str">
        <f>"03585453"</f>
        <v>03585453</v>
      </c>
      <c r="C7715" t="s">
        <v>13436</v>
      </c>
      <c r="D7715" t="s">
        <v>34149</v>
      </c>
      <c r="E7715" t="s">
        <v>34150</v>
      </c>
      <c r="G7715" t="s">
        <v>34151</v>
      </c>
      <c r="L7715" t="s">
        <v>74</v>
      </c>
      <c r="M7715" t="s">
        <v>85</v>
      </c>
      <c r="R7715" t="s">
        <v>34152</v>
      </c>
      <c r="W7715" t="s">
        <v>34150</v>
      </c>
      <c r="X7715" t="s">
        <v>2587</v>
      </c>
      <c r="Y7715" t="s">
        <v>97</v>
      </c>
      <c r="Z7715" t="s">
        <v>77</v>
      </c>
      <c r="AA7715" t="str">
        <f>"10003-3314"</f>
        <v>10003-3314</v>
      </c>
      <c r="AB7715" t="s">
        <v>78</v>
      </c>
      <c r="AC7715" t="s">
        <v>79</v>
      </c>
      <c r="AD7715" t="s">
        <v>75</v>
      </c>
      <c r="AE7715" t="s">
        <v>80</v>
      </c>
      <c r="AG7715" t="s">
        <v>81</v>
      </c>
    </row>
    <row r="7716" spans="1:33" x14ac:dyDescent="0.25">
      <c r="A7716" t="str">
        <f>"1497076129"</f>
        <v>1497076129</v>
      </c>
      <c r="B7716" t="str">
        <f>"03245690"</f>
        <v>03245690</v>
      </c>
      <c r="C7716" t="s">
        <v>13436</v>
      </c>
      <c r="D7716" t="s">
        <v>5628</v>
      </c>
      <c r="E7716" t="s">
        <v>5629</v>
      </c>
      <c r="L7716" t="s">
        <v>84</v>
      </c>
      <c r="M7716" t="s">
        <v>75</v>
      </c>
      <c r="R7716" t="s">
        <v>5630</v>
      </c>
      <c r="W7716" t="s">
        <v>5629</v>
      </c>
      <c r="X7716" t="s">
        <v>243</v>
      </c>
      <c r="Y7716" t="s">
        <v>218</v>
      </c>
      <c r="Z7716" t="s">
        <v>77</v>
      </c>
      <c r="AA7716" t="str">
        <f>"11570-1000"</f>
        <v>11570-1000</v>
      </c>
      <c r="AB7716" t="s">
        <v>78</v>
      </c>
      <c r="AC7716" t="s">
        <v>79</v>
      </c>
      <c r="AD7716" t="s">
        <v>75</v>
      </c>
      <c r="AE7716" t="s">
        <v>80</v>
      </c>
      <c r="AG7716" t="s">
        <v>81</v>
      </c>
    </row>
    <row r="7717" spans="1:33" x14ac:dyDescent="0.25">
      <c r="A7717" t="str">
        <f>"1497083208"</f>
        <v>1497083208</v>
      </c>
      <c r="B7717" t="str">
        <f>"03994621"</f>
        <v>03994621</v>
      </c>
      <c r="C7717" t="s">
        <v>13436</v>
      </c>
      <c r="D7717" t="s">
        <v>34153</v>
      </c>
      <c r="E7717" t="s">
        <v>34154</v>
      </c>
      <c r="G7717" t="s">
        <v>34155</v>
      </c>
      <c r="L7717" t="s">
        <v>102</v>
      </c>
      <c r="M7717" t="s">
        <v>85</v>
      </c>
      <c r="R7717" t="s">
        <v>34156</v>
      </c>
      <c r="W7717" t="s">
        <v>34154</v>
      </c>
      <c r="X7717" t="s">
        <v>31104</v>
      </c>
      <c r="Y7717" t="s">
        <v>97</v>
      </c>
      <c r="Z7717" t="s">
        <v>77</v>
      </c>
      <c r="AA7717" t="str">
        <f>"10029-6508"</f>
        <v>10029-6508</v>
      </c>
      <c r="AB7717" t="s">
        <v>78</v>
      </c>
      <c r="AC7717" t="s">
        <v>79</v>
      </c>
      <c r="AD7717" t="s">
        <v>75</v>
      </c>
      <c r="AE7717" t="s">
        <v>80</v>
      </c>
      <c r="AG7717" t="s">
        <v>81</v>
      </c>
    </row>
    <row r="7718" spans="1:33" x14ac:dyDescent="0.25">
      <c r="A7718" t="str">
        <f>"1497098719"</f>
        <v>1497098719</v>
      </c>
      <c r="B7718" t="str">
        <f>"04499818"</f>
        <v>04499818</v>
      </c>
      <c r="C7718" t="s">
        <v>13436</v>
      </c>
      <c r="D7718" t="s">
        <v>34157</v>
      </c>
      <c r="E7718" t="s">
        <v>34158</v>
      </c>
      <c r="L7718" t="s">
        <v>74</v>
      </c>
      <c r="M7718" t="s">
        <v>75</v>
      </c>
      <c r="R7718" t="s">
        <v>34159</v>
      </c>
      <c r="W7718" t="s">
        <v>34158</v>
      </c>
      <c r="AB7718" t="s">
        <v>78</v>
      </c>
      <c r="AC7718" t="s">
        <v>79</v>
      </c>
      <c r="AD7718" t="s">
        <v>75</v>
      </c>
      <c r="AE7718" t="s">
        <v>80</v>
      </c>
      <c r="AG7718" t="s">
        <v>81</v>
      </c>
    </row>
    <row r="7719" spans="1:33" x14ac:dyDescent="0.25">
      <c r="A7719" t="str">
        <f>"1497098792"</f>
        <v>1497098792</v>
      </c>
      <c r="B7719" t="str">
        <f>"04483230"</f>
        <v>04483230</v>
      </c>
      <c r="C7719" t="s">
        <v>13436</v>
      </c>
      <c r="D7719" t="s">
        <v>34160</v>
      </c>
      <c r="E7719" t="s">
        <v>34161</v>
      </c>
      <c r="L7719" t="s">
        <v>102</v>
      </c>
      <c r="M7719" t="s">
        <v>75</v>
      </c>
      <c r="R7719" t="s">
        <v>34162</v>
      </c>
      <c r="W7719" t="s">
        <v>34161</v>
      </c>
      <c r="AB7719" t="s">
        <v>128</v>
      </c>
      <c r="AC7719" t="s">
        <v>79</v>
      </c>
      <c r="AD7719" t="s">
        <v>75</v>
      </c>
      <c r="AE7719" t="s">
        <v>80</v>
      </c>
      <c r="AG7719" t="s">
        <v>81</v>
      </c>
    </row>
    <row r="7720" spans="1:33" x14ac:dyDescent="0.25">
      <c r="A7720" t="str">
        <f>"1497154603"</f>
        <v>1497154603</v>
      </c>
      <c r="B7720" t="str">
        <f>"03966658"</f>
        <v>03966658</v>
      </c>
      <c r="C7720" t="s">
        <v>13436</v>
      </c>
      <c r="D7720" t="s">
        <v>34163</v>
      </c>
      <c r="E7720" t="s">
        <v>34164</v>
      </c>
      <c r="G7720" t="s">
        <v>34165</v>
      </c>
      <c r="L7720" t="s">
        <v>74</v>
      </c>
      <c r="M7720" t="s">
        <v>75</v>
      </c>
      <c r="R7720" t="s">
        <v>34166</v>
      </c>
      <c r="W7720" t="s">
        <v>34167</v>
      </c>
      <c r="X7720" t="s">
        <v>34168</v>
      </c>
      <c r="Y7720" t="s">
        <v>97</v>
      </c>
      <c r="Z7720" t="s">
        <v>77</v>
      </c>
      <c r="AA7720" t="str">
        <f>"10029-6504"</f>
        <v>10029-6504</v>
      </c>
      <c r="AB7720" t="s">
        <v>78</v>
      </c>
      <c r="AC7720" t="s">
        <v>79</v>
      </c>
      <c r="AD7720" t="s">
        <v>75</v>
      </c>
      <c r="AE7720" t="s">
        <v>80</v>
      </c>
      <c r="AG7720" t="s">
        <v>81</v>
      </c>
    </row>
    <row r="7721" spans="1:33" x14ac:dyDescent="0.25">
      <c r="A7721" t="str">
        <f>"1497161418"</f>
        <v>1497161418</v>
      </c>
      <c r="B7721" t="str">
        <f>"04002484"</f>
        <v>04002484</v>
      </c>
      <c r="C7721" t="s">
        <v>13436</v>
      </c>
      <c r="D7721" t="s">
        <v>34169</v>
      </c>
      <c r="E7721" t="s">
        <v>34170</v>
      </c>
      <c r="G7721" t="s">
        <v>34171</v>
      </c>
      <c r="L7721" t="s">
        <v>74</v>
      </c>
      <c r="M7721" t="s">
        <v>75</v>
      </c>
      <c r="R7721" t="s">
        <v>34172</v>
      </c>
      <c r="W7721" t="s">
        <v>34170</v>
      </c>
      <c r="X7721" t="s">
        <v>329</v>
      </c>
      <c r="Y7721" t="s">
        <v>97</v>
      </c>
      <c r="Z7721" t="s">
        <v>77</v>
      </c>
      <c r="AA7721" t="str">
        <f>"10029-6504"</f>
        <v>10029-6504</v>
      </c>
      <c r="AB7721" t="s">
        <v>78</v>
      </c>
      <c r="AC7721" t="s">
        <v>79</v>
      </c>
      <c r="AD7721" t="s">
        <v>75</v>
      </c>
      <c r="AE7721" t="s">
        <v>80</v>
      </c>
      <c r="AG7721" t="s">
        <v>81</v>
      </c>
    </row>
    <row r="7722" spans="1:33" x14ac:dyDescent="0.25">
      <c r="A7722" t="str">
        <f>"1639218985"</f>
        <v>1639218985</v>
      </c>
      <c r="C7722" t="s">
        <v>13436</v>
      </c>
      <c r="K7722" t="s">
        <v>99</v>
      </c>
      <c r="L7722" t="s">
        <v>102</v>
      </c>
      <c r="M7722" t="s">
        <v>75</v>
      </c>
      <c r="R7722" t="s">
        <v>34173</v>
      </c>
      <c r="S7722" t="s">
        <v>5853</v>
      </c>
      <c r="T7722" t="s">
        <v>97</v>
      </c>
      <c r="U7722" t="s">
        <v>77</v>
      </c>
      <c r="V7722" t="str">
        <f>"100323733"</f>
        <v>100323733</v>
      </c>
      <c r="AC7722" t="s">
        <v>79</v>
      </c>
      <c r="AD7722" t="s">
        <v>75</v>
      </c>
      <c r="AE7722" t="s">
        <v>103</v>
      </c>
      <c r="AG7722" t="s">
        <v>81</v>
      </c>
    </row>
    <row r="7723" spans="1:33" x14ac:dyDescent="0.25">
      <c r="A7723" t="str">
        <f>"1669681045"</f>
        <v>1669681045</v>
      </c>
      <c r="C7723" t="s">
        <v>13436</v>
      </c>
      <c r="G7723" t="s">
        <v>34174</v>
      </c>
      <c r="K7723" t="s">
        <v>99</v>
      </c>
      <c r="L7723" t="s">
        <v>74</v>
      </c>
      <c r="M7723" t="s">
        <v>75</v>
      </c>
      <c r="R7723" t="s">
        <v>34175</v>
      </c>
      <c r="S7723" t="s">
        <v>34176</v>
      </c>
      <c r="T7723" t="s">
        <v>97</v>
      </c>
      <c r="U7723" t="s">
        <v>77</v>
      </c>
      <c r="V7723" t="str">
        <f>"10003"</f>
        <v>10003</v>
      </c>
      <c r="AC7723" t="s">
        <v>79</v>
      </c>
      <c r="AD7723" t="s">
        <v>75</v>
      </c>
      <c r="AE7723" t="s">
        <v>103</v>
      </c>
      <c r="AG7723" t="s">
        <v>81</v>
      </c>
    </row>
    <row r="7724" spans="1:33" x14ac:dyDescent="0.25">
      <c r="A7724" t="str">
        <f>"1669743035"</f>
        <v>1669743035</v>
      </c>
      <c r="C7724" t="s">
        <v>13436</v>
      </c>
      <c r="G7724" t="s">
        <v>34177</v>
      </c>
      <c r="K7724" t="s">
        <v>99</v>
      </c>
      <c r="L7724" t="s">
        <v>74</v>
      </c>
      <c r="M7724" t="s">
        <v>75</v>
      </c>
      <c r="R7724" t="s">
        <v>34178</v>
      </c>
      <c r="S7724" t="s">
        <v>11489</v>
      </c>
      <c r="T7724" t="s">
        <v>97</v>
      </c>
      <c r="U7724" t="s">
        <v>77</v>
      </c>
      <c r="V7724" t="str">
        <f>"100033804"</f>
        <v>100033804</v>
      </c>
      <c r="AC7724" t="s">
        <v>79</v>
      </c>
      <c r="AD7724" t="s">
        <v>75</v>
      </c>
      <c r="AE7724" t="s">
        <v>103</v>
      </c>
      <c r="AG7724" t="s">
        <v>81</v>
      </c>
    </row>
    <row r="7725" spans="1:33" x14ac:dyDescent="0.25">
      <c r="A7725" t="str">
        <f>"1679772636"</f>
        <v>1679772636</v>
      </c>
      <c r="B7725" t="str">
        <f>"02922278"</f>
        <v>02922278</v>
      </c>
      <c r="C7725" t="s">
        <v>13436</v>
      </c>
      <c r="D7725" t="s">
        <v>34179</v>
      </c>
      <c r="E7725" t="s">
        <v>34180</v>
      </c>
      <c r="G7725" t="s">
        <v>34181</v>
      </c>
      <c r="L7725" t="s">
        <v>83</v>
      </c>
      <c r="M7725" t="s">
        <v>75</v>
      </c>
      <c r="R7725" t="s">
        <v>34180</v>
      </c>
      <c r="W7725" t="s">
        <v>34182</v>
      </c>
      <c r="X7725" t="s">
        <v>4640</v>
      </c>
      <c r="Y7725" t="s">
        <v>97</v>
      </c>
      <c r="Z7725" t="s">
        <v>77</v>
      </c>
      <c r="AA7725" t="str">
        <f>"10019-1104"</f>
        <v>10019-1104</v>
      </c>
      <c r="AB7725" t="s">
        <v>78</v>
      </c>
      <c r="AC7725" t="s">
        <v>79</v>
      </c>
      <c r="AD7725" t="s">
        <v>75</v>
      </c>
      <c r="AE7725" t="s">
        <v>80</v>
      </c>
      <c r="AG7725" t="s">
        <v>81</v>
      </c>
    </row>
    <row r="7726" spans="1:33" x14ac:dyDescent="0.25">
      <c r="A7726" t="str">
        <f>"1699935452"</f>
        <v>1699935452</v>
      </c>
      <c r="B7726" t="str">
        <f>"03473594"</f>
        <v>03473594</v>
      </c>
      <c r="C7726" t="s">
        <v>13436</v>
      </c>
      <c r="D7726" t="s">
        <v>34183</v>
      </c>
      <c r="E7726" t="s">
        <v>34184</v>
      </c>
      <c r="G7726" t="s">
        <v>34185</v>
      </c>
      <c r="L7726" t="s">
        <v>83</v>
      </c>
      <c r="M7726" t="s">
        <v>75</v>
      </c>
      <c r="R7726" t="s">
        <v>34186</v>
      </c>
      <c r="W7726" t="s">
        <v>34184</v>
      </c>
      <c r="X7726" t="s">
        <v>3037</v>
      </c>
      <c r="Y7726" t="s">
        <v>97</v>
      </c>
      <c r="Z7726" t="s">
        <v>77</v>
      </c>
      <c r="AA7726" t="str">
        <f>"10003-0000"</f>
        <v>10003-0000</v>
      </c>
      <c r="AB7726" t="s">
        <v>78</v>
      </c>
      <c r="AC7726" t="s">
        <v>79</v>
      </c>
      <c r="AD7726" t="s">
        <v>75</v>
      </c>
      <c r="AE7726" t="s">
        <v>80</v>
      </c>
      <c r="AG7726" t="s">
        <v>81</v>
      </c>
    </row>
    <row r="7727" spans="1:33" x14ac:dyDescent="0.25">
      <c r="A7727" t="str">
        <f>"1710258496"</f>
        <v>1710258496</v>
      </c>
      <c r="B7727" t="str">
        <f>"04428704"</f>
        <v>04428704</v>
      </c>
      <c r="C7727" t="s">
        <v>13436</v>
      </c>
      <c r="D7727" t="s">
        <v>34187</v>
      </c>
      <c r="E7727" t="s">
        <v>34188</v>
      </c>
      <c r="G7727" t="s">
        <v>34189</v>
      </c>
      <c r="L7727" t="s">
        <v>74</v>
      </c>
      <c r="M7727" t="s">
        <v>75</v>
      </c>
      <c r="R7727" t="s">
        <v>34188</v>
      </c>
      <c r="W7727" t="s">
        <v>34188</v>
      </c>
      <c r="X7727" t="s">
        <v>2880</v>
      </c>
      <c r="Y7727" t="s">
        <v>131</v>
      </c>
      <c r="Z7727" t="s">
        <v>77</v>
      </c>
      <c r="AA7727" t="str">
        <f>"10458-5049"</f>
        <v>10458-5049</v>
      </c>
      <c r="AB7727" t="s">
        <v>78</v>
      </c>
      <c r="AC7727" t="s">
        <v>79</v>
      </c>
      <c r="AD7727" t="s">
        <v>75</v>
      </c>
      <c r="AE7727" t="s">
        <v>80</v>
      </c>
      <c r="AG7727" t="s">
        <v>81</v>
      </c>
    </row>
    <row r="7728" spans="1:33" x14ac:dyDescent="0.25">
      <c r="A7728" t="str">
        <f>"1760620454"</f>
        <v>1760620454</v>
      </c>
      <c r="B7728" t="str">
        <f>"04292206"</f>
        <v>04292206</v>
      </c>
      <c r="C7728" t="s">
        <v>13436</v>
      </c>
      <c r="D7728" t="s">
        <v>34190</v>
      </c>
      <c r="E7728" t="s">
        <v>34191</v>
      </c>
      <c r="G7728" t="s">
        <v>34192</v>
      </c>
      <c r="L7728" t="s">
        <v>74</v>
      </c>
      <c r="M7728" t="s">
        <v>75</v>
      </c>
      <c r="R7728" t="s">
        <v>34193</v>
      </c>
      <c r="W7728" t="s">
        <v>34194</v>
      </c>
      <c r="X7728" t="s">
        <v>4663</v>
      </c>
      <c r="Y7728" t="s">
        <v>794</v>
      </c>
      <c r="Z7728" t="s">
        <v>77</v>
      </c>
      <c r="AA7728" t="str">
        <f>"10960-1912"</f>
        <v>10960-1912</v>
      </c>
      <c r="AB7728" t="s">
        <v>78</v>
      </c>
      <c r="AC7728" t="s">
        <v>79</v>
      </c>
      <c r="AD7728" t="s">
        <v>75</v>
      </c>
      <c r="AE7728" t="s">
        <v>80</v>
      </c>
      <c r="AG7728" t="s">
        <v>81</v>
      </c>
    </row>
    <row r="7729" spans="1:33" x14ac:dyDescent="0.25">
      <c r="A7729" t="str">
        <f>"1760721435"</f>
        <v>1760721435</v>
      </c>
      <c r="B7729" t="str">
        <f>"03756645"</f>
        <v>03756645</v>
      </c>
      <c r="C7729" t="s">
        <v>13436</v>
      </c>
      <c r="D7729" t="s">
        <v>34195</v>
      </c>
      <c r="E7729" t="s">
        <v>34196</v>
      </c>
      <c r="G7729" t="s">
        <v>34197</v>
      </c>
      <c r="L7729" t="s">
        <v>74</v>
      </c>
      <c r="M7729" t="s">
        <v>75</v>
      </c>
      <c r="R7729" t="s">
        <v>34198</v>
      </c>
      <c r="W7729" t="s">
        <v>34196</v>
      </c>
      <c r="X7729" t="s">
        <v>3433</v>
      </c>
      <c r="Y7729" t="s">
        <v>97</v>
      </c>
      <c r="Z7729" t="s">
        <v>77</v>
      </c>
      <c r="AA7729" t="str">
        <f>"10003-3805"</f>
        <v>10003-3805</v>
      </c>
      <c r="AB7729" t="s">
        <v>78</v>
      </c>
      <c r="AC7729" t="s">
        <v>79</v>
      </c>
      <c r="AD7729" t="s">
        <v>75</v>
      </c>
      <c r="AE7729" t="s">
        <v>80</v>
      </c>
      <c r="AG7729" t="s">
        <v>81</v>
      </c>
    </row>
    <row r="7730" spans="1:33" x14ac:dyDescent="0.25">
      <c r="A7730" t="str">
        <f>"1104117340"</f>
        <v>1104117340</v>
      </c>
      <c r="C7730" t="s">
        <v>13436</v>
      </c>
      <c r="K7730" t="s">
        <v>99</v>
      </c>
      <c r="L7730" t="s">
        <v>102</v>
      </c>
      <c r="M7730" t="s">
        <v>75</v>
      </c>
      <c r="R7730" t="s">
        <v>34199</v>
      </c>
      <c r="S7730" t="s">
        <v>34200</v>
      </c>
      <c r="T7730" t="s">
        <v>97</v>
      </c>
      <c r="U7730" t="s">
        <v>77</v>
      </c>
      <c r="V7730" t="str">
        <f>"100166402"</f>
        <v>100166402</v>
      </c>
      <c r="AC7730" t="s">
        <v>79</v>
      </c>
      <c r="AD7730" t="s">
        <v>75</v>
      </c>
      <c r="AE7730" t="s">
        <v>103</v>
      </c>
      <c r="AG7730" t="s">
        <v>81</v>
      </c>
    </row>
    <row r="7731" spans="1:33" x14ac:dyDescent="0.25">
      <c r="A7731" t="str">
        <f>"1104120575"</f>
        <v>1104120575</v>
      </c>
      <c r="B7731" t="str">
        <f>"04297325"</f>
        <v>04297325</v>
      </c>
      <c r="C7731" t="s">
        <v>13436</v>
      </c>
      <c r="D7731" t="s">
        <v>34201</v>
      </c>
      <c r="E7731" t="s">
        <v>34202</v>
      </c>
      <c r="L7731" t="s">
        <v>74</v>
      </c>
      <c r="M7731" t="s">
        <v>75</v>
      </c>
      <c r="R7731" t="s">
        <v>34203</v>
      </c>
      <c r="W7731" t="s">
        <v>34202</v>
      </c>
      <c r="X7731" t="s">
        <v>4560</v>
      </c>
      <c r="Y7731" t="s">
        <v>1745</v>
      </c>
      <c r="Z7731" t="s">
        <v>77</v>
      </c>
      <c r="AA7731" t="str">
        <f>"14905-1627"</f>
        <v>14905-1627</v>
      </c>
      <c r="AB7731" t="s">
        <v>78</v>
      </c>
      <c r="AC7731" t="s">
        <v>79</v>
      </c>
      <c r="AD7731" t="s">
        <v>75</v>
      </c>
      <c r="AE7731" t="s">
        <v>80</v>
      </c>
      <c r="AG7731" t="s">
        <v>81</v>
      </c>
    </row>
    <row r="7732" spans="1:33" x14ac:dyDescent="0.25">
      <c r="A7732" t="str">
        <f>"1104125517"</f>
        <v>1104125517</v>
      </c>
      <c r="C7732" t="s">
        <v>13436</v>
      </c>
      <c r="K7732" t="s">
        <v>99</v>
      </c>
      <c r="L7732" t="s">
        <v>102</v>
      </c>
      <c r="M7732" t="s">
        <v>75</v>
      </c>
      <c r="R7732" t="s">
        <v>34204</v>
      </c>
      <c r="S7732" t="s">
        <v>159</v>
      </c>
      <c r="T7732" t="s">
        <v>160</v>
      </c>
      <c r="U7732" t="s">
        <v>77</v>
      </c>
      <c r="V7732" t="str">
        <f>"110303816"</f>
        <v>110303816</v>
      </c>
      <c r="AC7732" t="s">
        <v>79</v>
      </c>
      <c r="AD7732" t="s">
        <v>75</v>
      </c>
      <c r="AE7732" t="s">
        <v>103</v>
      </c>
      <c r="AG7732" t="s">
        <v>81</v>
      </c>
    </row>
    <row r="7733" spans="1:33" x14ac:dyDescent="0.25">
      <c r="A7733" t="str">
        <f>"1104138916"</f>
        <v>1104138916</v>
      </c>
      <c r="C7733" t="s">
        <v>13436</v>
      </c>
      <c r="G7733" t="s">
        <v>34205</v>
      </c>
      <c r="K7733" t="s">
        <v>99</v>
      </c>
      <c r="L7733" t="s">
        <v>74</v>
      </c>
      <c r="M7733" t="s">
        <v>75</v>
      </c>
      <c r="R7733" t="s">
        <v>34206</v>
      </c>
      <c r="S7733" t="s">
        <v>34207</v>
      </c>
      <c r="T7733" t="s">
        <v>34208</v>
      </c>
      <c r="U7733" t="s">
        <v>351</v>
      </c>
      <c r="V7733" t="str">
        <f>"342393509"</f>
        <v>342393509</v>
      </c>
      <c r="AC7733" t="s">
        <v>79</v>
      </c>
      <c r="AD7733" t="s">
        <v>75</v>
      </c>
      <c r="AE7733" t="s">
        <v>103</v>
      </c>
      <c r="AG7733" t="s">
        <v>81</v>
      </c>
    </row>
    <row r="7734" spans="1:33" x14ac:dyDescent="0.25">
      <c r="A7734" t="str">
        <f>"1023078409"</f>
        <v>1023078409</v>
      </c>
      <c r="B7734" t="str">
        <f>"00509893"</f>
        <v>00509893</v>
      </c>
      <c r="C7734" t="s">
        <v>13436</v>
      </c>
      <c r="D7734" t="s">
        <v>34209</v>
      </c>
      <c r="E7734" t="s">
        <v>34210</v>
      </c>
      <c r="G7734" t="s">
        <v>34211</v>
      </c>
      <c r="L7734" t="s">
        <v>74</v>
      </c>
      <c r="M7734" t="s">
        <v>75</v>
      </c>
      <c r="R7734" t="s">
        <v>34212</v>
      </c>
      <c r="W7734" t="s">
        <v>34210</v>
      </c>
      <c r="X7734" t="s">
        <v>329</v>
      </c>
      <c r="Y7734" t="s">
        <v>97</v>
      </c>
      <c r="Z7734" t="s">
        <v>77</v>
      </c>
      <c r="AA7734" t="str">
        <f>"10029-6500"</f>
        <v>10029-6500</v>
      </c>
      <c r="AB7734" t="s">
        <v>82</v>
      </c>
      <c r="AC7734" t="s">
        <v>79</v>
      </c>
      <c r="AD7734" t="s">
        <v>75</v>
      </c>
      <c r="AE7734" t="s">
        <v>80</v>
      </c>
      <c r="AG7734" t="s">
        <v>81</v>
      </c>
    </row>
    <row r="7735" spans="1:33" x14ac:dyDescent="0.25">
      <c r="A7735" t="str">
        <f>"1184041550"</f>
        <v>1184041550</v>
      </c>
      <c r="C7735" t="s">
        <v>13436</v>
      </c>
      <c r="K7735" t="s">
        <v>99</v>
      </c>
      <c r="L7735" t="s">
        <v>102</v>
      </c>
      <c r="M7735" t="s">
        <v>75</v>
      </c>
      <c r="R7735" t="s">
        <v>34213</v>
      </c>
      <c r="S7735" t="s">
        <v>34214</v>
      </c>
      <c r="T7735" t="s">
        <v>34215</v>
      </c>
      <c r="U7735" t="s">
        <v>2632</v>
      </c>
      <c r="V7735" t="str">
        <f>"220306053"</f>
        <v>220306053</v>
      </c>
      <c r="AC7735" t="s">
        <v>79</v>
      </c>
      <c r="AD7735" t="s">
        <v>75</v>
      </c>
      <c r="AE7735" t="s">
        <v>103</v>
      </c>
      <c r="AG7735" t="s">
        <v>81</v>
      </c>
    </row>
    <row r="7736" spans="1:33" x14ac:dyDescent="0.25">
      <c r="A7736" t="str">
        <f>"1184043705"</f>
        <v>1184043705</v>
      </c>
      <c r="B7736" t="str">
        <f>"03942894"</f>
        <v>03942894</v>
      </c>
      <c r="C7736" t="s">
        <v>13436</v>
      </c>
      <c r="D7736" t="s">
        <v>34216</v>
      </c>
      <c r="E7736" t="s">
        <v>34217</v>
      </c>
      <c r="L7736" t="s">
        <v>74</v>
      </c>
      <c r="M7736" t="s">
        <v>75</v>
      </c>
      <c r="R7736" t="s">
        <v>34217</v>
      </c>
      <c r="W7736" t="s">
        <v>34217</v>
      </c>
      <c r="X7736" t="s">
        <v>235</v>
      </c>
      <c r="Y7736" t="s">
        <v>190</v>
      </c>
      <c r="Z7736" t="s">
        <v>77</v>
      </c>
      <c r="AA7736" t="str">
        <f>"11102-2448"</f>
        <v>11102-2448</v>
      </c>
      <c r="AB7736" t="s">
        <v>78</v>
      </c>
      <c r="AC7736" t="s">
        <v>79</v>
      </c>
      <c r="AD7736" t="s">
        <v>75</v>
      </c>
      <c r="AE7736" t="s">
        <v>80</v>
      </c>
      <c r="AG7736" t="s">
        <v>81</v>
      </c>
    </row>
    <row r="7737" spans="1:33" x14ac:dyDescent="0.25">
      <c r="A7737" t="str">
        <f>"1184043960"</f>
        <v>1184043960</v>
      </c>
      <c r="C7737" t="s">
        <v>13436</v>
      </c>
      <c r="K7737" t="s">
        <v>99</v>
      </c>
      <c r="L7737" t="s">
        <v>102</v>
      </c>
      <c r="M7737" t="s">
        <v>75</v>
      </c>
      <c r="R7737" t="s">
        <v>34218</v>
      </c>
      <c r="S7737" t="s">
        <v>34219</v>
      </c>
      <c r="T7737" t="s">
        <v>97</v>
      </c>
      <c r="U7737" t="s">
        <v>77</v>
      </c>
      <c r="V7737" t="str">
        <f>"100296504"</f>
        <v>100296504</v>
      </c>
      <c r="AC7737" t="s">
        <v>79</v>
      </c>
      <c r="AD7737" t="s">
        <v>75</v>
      </c>
      <c r="AE7737" t="s">
        <v>103</v>
      </c>
      <c r="AG7737" t="s">
        <v>81</v>
      </c>
    </row>
    <row r="7738" spans="1:33" x14ac:dyDescent="0.25">
      <c r="A7738" t="str">
        <f>"1184056269"</f>
        <v>1184056269</v>
      </c>
      <c r="C7738" t="s">
        <v>13436</v>
      </c>
      <c r="K7738" t="s">
        <v>99</v>
      </c>
      <c r="L7738" t="s">
        <v>102</v>
      </c>
      <c r="M7738" t="s">
        <v>75</v>
      </c>
      <c r="R7738" t="s">
        <v>34220</v>
      </c>
      <c r="S7738" t="s">
        <v>181</v>
      </c>
      <c r="T7738" t="s">
        <v>97</v>
      </c>
      <c r="U7738" t="s">
        <v>77</v>
      </c>
      <c r="V7738" t="str">
        <f>"100251716"</f>
        <v>100251716</v>
      </c>
      <c r="AC7738" t="s">
        <v>79</v>
      </c>
      <c r="AD7738" t="s">
        <v>75</v>
      </c>
      <c r="AE7738" t="s">
        <v>103</v>
      </c>
      <c r="AG7738" t="s">
        <v>81</v>
      </c>
    </row>
    <row r="7739" spans="1:33" x14ac:dyDescent="0.25">
      <c r="A7739" t="str">
        <f>"1194003681"</f>
        <v>1194003681</v>
      </c>
      <c r="C7739" t="s">
        <v>13436</v>
      </c>
      <c r="K7739" t="s">
        <v>99</v>
      </c>
      <c r="L7739" t="s">
        <v>102</v>
      </c>
      <c r="M7739" t="s">
        <v>75</v>
      </c>
      <c r="R7739" t="s">
        <v>34221</v>
      </c>
      <c r="S7739" t="s">
        <v>258</v>
      </c>
      <c r="T7739" t="s">
        <v>131</v>
      </c>
      <c r="U7739" t="s">
        <v>77</v>
      </c>
      <c r="V7739" t="str">
        <f>"104672401"</f>
        <v>104672401</v>
      </c>
      <c r="AC7739" t="s">
        <v>79</v>
      </c>
      <c r="AD7739" t="s">
        <v>75</v>
      </c>
      <c r="AE7739" t="s">
        <v>103</v>
      </c>
      <c r="AG7739" t="s">
        <v>81</v>
      </c>
    </row>
    <row r="7740" spans="1:33" x14ac:dyDescent="0.25">
      <c r="A7740" t="str">
        <f>"1194016295"</f>
        <v>1194016295</v>
      </c>
      <c r="B7740" t="str">
        <f>"03919826"</f>
        <v>03919826</v>
      </c>
      <c r="C7740" t="s">
        <v>13436</v>
      </c>
      <c r="D7740" t="s">
        <v>34222</v>
      </c>
      <c r="E7740" t="s">
        <v>34223</v>
      </c>
      <c r="G7740" t="s">
        <v>34224</v>
      </c>
      <c r="L7740" t="s">
        <v>83</v>
      </c>
      <c r="M7740" t="s">
        <v>75</v>
      </c>
      <c r="R7740" t="s">
        <v>34223</v>
      </c>
      <c r="W7740" t="s">
        <v>34225</v>
      </c>
      <c r="X7740" t="s">
        <v>30770</v>
      </c>
      <c r="Y7740" t="s">
        <v>97</v>
      </c>
      <c r="Z7740" t="s">
        <v>77</v>
      </c>
      <c r="AA7740" t="str">
        <f>"10029-6504"</f>
        <v>10029-6504</v>
      </c>
      <c r="AB7740" t="s">
        <v>78</v>
      </c>
      <c r="AC7740" t="s">
        <v>79</v>
      </c>
      <c r="AD7740" t="s">
        <v>75</v>
      </c>
      <c r="AE7740" t="s">
        <v>80</v>
      </c>
      <c r="AG7740" t="s">
        <v>81</v>
      </c>
    </row>
    <row r="7741" spans="1:33" x14ac:dyDescent="0.25">
      <c r="A7741" t="str">
        <f>"1063490217"</f>
        <v>1063490217</v>
      </c>
      <c r="B7741" t="str">
        <f>"01860737"</f>
        <v>01860737</v>
      </c>
      <c r="C7741" t="s">
        <v>13436</v>
      </c>
      <c r="D7741" t="s">
        <v>34226</v>
      </c>
      <c r="E7741" t="s">
        <v>34227</v>
      </c>
      <c r="L7741" t="s">
        <v>83</v>
      </c>
      <c r="M7741" t="s">
        <v>75</v>
      </c>
      <c r="R7741" t="s">
        <v>34228</v>
      </c>
      <c r="W7741" t="s">
        <v>34227</v>
      </c>
      <c r="X7741" t="s">
        <v>169</v>
      </c>
      <c r="Y7741" t="s">
        <v>155</v>
      </c>
      <c r="Z7741" t="s">
        <v>77</v>
      </c>
      <c r="AA7741" t="str">
        <f>"10305-3436"</f>
        <v>10305-3436</v>
      </c>
      <c r="AB7741" t="s">
        <v>78</v>
      </c>
      <c r="AC7741" t="s">
        <v>79</v>
      </c>
      <c r="AD7741" t="s">
        <v>75</v>
      </c>
      <c r="AE7741" t="s">
        <v>80</v>
      </c>
      <c r="AG7741" t="s">
        <v>81</v>
      </c>
    </row>
    <row r="7742" spans="1:33" x14ac:dyDescent="0.25">
      <c r="A7742" t="str">
        <f>"1063496610"</f>
        <v>1063496610</v>
      </c>
      <c r="B7742" t="str">
        <f>"02662435"</f>
        <v>02662435</v>
      </c>
      <c r="C7742" t="s">
        <v>13436</v>
      </c>
      <c r="D7742" t="s">
        <v>34229</v>
      </c>
      <c r="E7742" t="s">
        <v>34230</v>
      </c>
      <c r="G7742" t="s">
        <v>34231</v>
      </c>
      <c r="L7742" t="s">
        <v>83</v>
      </c>
      <c r="M7742" t="s">
        <v>85</v>
      </c>
      <c r="R7742" t="s">
        <v>34232</v>
      </c>
      <c r="W7742" t="s">
        <v>34230</v>
      </c>
      <c r="X7742" t="s">
        <v>329</v>
      </c>
      <c r="Y7742" t="s">
        <v>97</v>
      </c>
      <c r="Z7742" t="s">
        <v>77</v>
      </c>
      <c r="AA7742" t="str">
        <f>"10029-6500"</f>
        <v>10029-6500</v>
      </c>
      <c r="AB7742" t="s">
        <v>78</v>
      </c>
      <c r="AC7742" t="s">
        <v>79</v>
      </c>
      <c r="AD7742" t="s">
        <v>75</v>
      </c>
      <c r="AE7742" t="s">
        <v>80</v>
      </c>
      <c r="AG7742" t="s">
        <v>81</v>
      </c>
    </row>
    <row r="7743" spans="1:33" x14ac:dyDescent="0.25">
      <c r="A7743" t="str">
        <f>"1548468309"</f>
        <v>1548468309</v>
      </c>
      <c r="C7743" t="s">
        <v>13436</v>
      </c>
      <c r="G7743" t="s">
        <v>34233</v>
      </c>
      <c r="K7743" t="s">
        <v>99</v>
      </c>
      <c r="L7743" t="s">
        <v>102</v>
      </c>
      <c r="M7743" t="s">
        <v>75</v>
      </c>
      <c r="R7743" t="s">
        <v>34234</v>
      </c>
      <c r="S7743" t="s">
        <v>14992</v>
      </c>
      <c r="T7743" t="s">
        <v>97</v>
      </c>
      <c r="U7743" t="s">
        <v>77</v>
      </c>
      <c r="V7743" t="str">
        <f>"100296503"</f>
        <v>100296503</v>
      </c>
      <c r="AC7743" t="s">
        <v>79</v>
      </c>
      <c r="AD7743" t="s">
        <v>75</v>
      </c>
      <c r="AE7743" t="s">
        <v>103</v>
      </c>
      <c r="AG7743" t="s">
        <v>81</v>
      </c>
    </row>
    <row r="7744" spans="1:33" x14ac:dyDescent="0.25">
      <c r="A7744" t="str">
        <f>"1417117250"</f>
        <v>1417117250</v>
      </c>
      <c r="B7744" t="str">
        <f>"03994350"</f>
        <v>03994350</v>
      </c>
      <c r="C7744" t="s">
        <v>13436</v>
      </c>
      <c r="D7744" t="s">
        <v>34235</v>
      </c>
      <c r="E7744" t="s">
        <v>34236</v>
      </c>
      <c r="G7744" t="s">
        <v>34237</v>
      </c>
      <c r="L7744" t="s">
        <v>102</v>
      </c>
      <c r="M7744" t="s">
        <v>85</v>
      </c>
      <c r="R7744" t="s">
        <v>34236</v>
      </c>
      <c r="W7744" t="s">
        <v>34236</v>
      </c>
      <c r="X7744" t="s">
        <v>31104</v>
      </c>
      <c r="Y7744" t="s">
        <v>97</v>
      </c>
      <c r="Z7744" t="s">
        <v>77</v>
      </c>
      <c r="AA7744" t="str">
        <f>"10029-6508"</f>
        <v>10029-6508</v>
      </c>
      <c r="AB7744" t="s">
        <v>78</v>
      </c>
      <c r="AC7744" t="s">
        <v>79</v>
      </c>
      <c r="AD7744" t="s">
        <v>75</v>
      </c>
      <c r="AE7744" t="s">
        <v>80</v>
      </c>
      <c r="AG7744" t="s">
        <v>81</v>
      </c>
    </row>
    <row r="7745" spans="1:33" x14ac:dyDescent="0.25">
      <c r="A7745" t="str">
        <f>"1417118035"</f>
        <v>1417118035</v>
      </c>
      <c r="B7745" t="str">
        <f>"03023470"</f>
        <v>03023470</v>
      </c>
      <c r="C7745" t="s">
        <v>13436</v>
      </c>
      <c r="D7745" t="s">
        <v>34238</v>
      </c>
      <c r="E7745" t="s">
        <v>34239</v>
      </c>
      <c r="L7745" t="s">
        <v>83</v>
      </c>
      <c r="M7745" t="s">
        <v>75</v>
      </c>
      <c r="R7745" t="s">
        <v>34240</v>
      </c>
      <c r="W7745" t="s">
        <v>34240</v>
      </c>
      <c r="X7745" t="s">
        <v>610</v>
      </c>
      <c r="Y7745" t="s">
        <v>87</v>
      </c>
      <c r="Z7745" t="s">
        <v>77</v>
      </c>
      <c r="AA7745" t="str">
        <f>"11203-2012"</f>
        <v>11203-2012</v>
      </c>
      <c r="AB7745" t="s">
        <v>78</v>
      </c>
      <c r="AC7745" t="s">
        <v>79</v>
      </c>
      <c r="AD7745" t="s">
        <v>75</v>
      </c>
      <c r="AE7745" t="s">
        <v>80</v>
      </c>
      <c r="AG7745" t="s">
        <v>81</v>
      </c>
    </row>
    <row r="7746" spans="1:33" x14ac:dyDescent="0.25">
      <c r="A7746" t="str">
        <f>"1417124777"</f>
        <v>1417124777</v>
      </c>
      <c r="B7746" t="str">
        <f>"02210786"</f>
        <v>02210786</v>
      </c>
      <c r="C7746" t="s">
        <v>13436</v>
      </c>
      <c r="D7746" t="s">
        <v>34241</v>
      </c>
      <c r="E7746" t="s">
        <v>34242</v>
      </c>
      <c r="G7746" t="s">
        <v>34243</v>
      </c>
      <c r="L7746" t="s">
        <v>102</v>
      </c>
      <c r="M7746" t="s">
        <v>75</v>
      </c>
      <c r="R7746" t="s">
        <v>34244</v>
      </c>
      <c r="W7746" t="s">
        <v>34245</v>
      </c>
      <c r="X7746" t="s">
        <v>6164</v>
      </c>
      <c r="Y7746" t="s">
        <v>97</v>
      </c>
      <c r="Z7746" t="s">
        <v>77</v>
      </c>
      <c r="AA7746" t="str">
        <f>"10029-6574"</f>
        <v>10029-6574</v>
      </c>
      <c r="AB7746" t="s">
        <v>78</v>
      </c>
      <c r="AC7746" t="s">
        <v>79</v>
      </c>
      <c r="AD7746" t="s">
        <v>75</v>
      </c>
      <c r="AE7746" t="s">
        <v>80</v>
      </c>
      <c r="AG7746" t="s">
        <v>81</v>
      </c>
    </row>
    <row r="7747" spans="1:33" x14ac:dyDescent="0.25">
      <c r="A7747" t="str">
        <f>"1366766701"</f>
        <v>1366766701</v>
      </c>
      <c r="C7747" t="s">
        <v>13436</v>
      </c>
      <c r="G7747" t="s">
        <v>34246</v>
      </c>
      <c r="K7747" t="s">
        <v>99</v>
      </c>
      <c r="L7747" t="s">
        <v>74</v>
      </c>
      <c r="M7747" t="s">
        <v>75</v>
      </c>
      <c r="R7747" t="s">
        <v>34247</v>
      </c>
      <c r="S7747" t="s">
        <v>34248</v>
      </c>
      <c r="T7747" t="s">
        <v>2589</v>
      </c>
      <c r="U7747" t="s">
        <v>156</v>
      </c>
      <c r="V7747" t="str">
        <f>"073024393"</f>
        <v>073024393</v>
      </c>
      <c r="AC7747" t="s">
        <v>79</v>
      </c>
      <c r="AD7747" t="s">
        <v>75</v>
      </c>
      <c r="AE7747" t="s">
        <v>103</v>
      </c>
      <c r="AG7747" t="s">
        <v>81</v>
      </c>
    </row>
    <row r="7748" spans="1:33" x14ac:dyDescent="0.25">
      <c r="A7748" t="str">
        <f>"1366769986"</f>
        <v>1366769986</v>
      </c>
      <c r="C7748" t="s">
        <v>13436</v>
      </c>
      <c r="K7748" t="s">
        <v>99</v>
      </c>
      <c r="L7748" t="s">
        <v>74</v>
      </c>
      <c r="M7748" t="s">
        <v>75</v>
      </c>
      <c r="R7748" t="s">
        <v>34249</v>
      </c>
      <c r="S7748" t="s">
        <v>11460</v>
      </c>
      <c r="T7748" t="s">
        <v>97</v>
      </c>
      <c r="U7748" t="s">
        <v>77</v>
      </c>
      <c r="V7748" t="str">
        <f>"100296501"</f>
        <v>100296501</v>
      </c>
      <c r="AC7748" t="s">
        <v>79</v>
      </c>
      <c r="AD7748" t="s">
        <v>75</v>
      </c>
      <c r="AE7748" t="s">
        <v>103</v>
      </c>
      <c r="AG7748" t="s">
        <v>81</v>
      </c>
    </row>
    <row r="7749" spans="1:33" x14ac:dyDescent="0.25">
      <c r="A7749" t="str">
        <f>"1366773897"</f>
        <v>1366773897</v>
      </c>
      <c r="B7749" t="str">
        <f>"03736789"</f>
        <v>03736789</v>
      </c>
      <c r="C7749" t="s">
        <v>13436</v>
      </c>
      <c r="D7749" t="s">
        <v>34250</v>
      </c>
      <c r="E7749" t="s">
        <v>34251</v>
      </c>
      <c r="G7749" t="s">
        <v>34252</v>
      </c>
      <c r="L7749" t="s">
        <v>102</v>
      </c>
      <c r="M7749" t="s">
        <v>75</v>
      </c>
      <c r="R7749" t="s">
        <v>34253</v>
      </c>
      <c r="W7749" t="s">
        <v>34251</v>
      </c>
      <c r="X7749" t="s">
        <v>25370</v>
      </c>
      <c r="Y7749" t="s">
        <v>97</v>
      </c>
      <c r="Z7749" t="s">
        <v>77</v>
      </c>
      <c r="AA7749" t="str">
        <f>"10029-6504"</f>
        <v>10029-6504</v>
      </c>
      <c r="AB7749" t="s">
        <v>78</v>
      </c>
      <c r="AC7749" t="s">
        <v>79</v>
      </c>
      <c r="AD7749" t="s">
        <v>75</v>
      </c>
      <c r="AE7749" t="s">
        <v>80</v>
      </c>
      <c r="AG7749" t="s">
        <v>81</v>
      </c>
    </row>
    <row r="7750" spans="1:33" x14ac:dyDescent="0.25">
      <c r="A7750" t="str">
        <f>"1366784274"</f>
        <v>1366784274</v>
      </c>
      <c r="B7750" t="str">
        <f>"04543835"</f>
        <v>04543835</v>
      </c>
      <c r="C7750" t="s">
        <v>13436</v>
      </c>
      <c r="D7750" t="s">
        <v>34254</v>
      </c>
      <c r="E7750" t="s">
        <v>34255</v>
      </c>
      <c r="L7750" t="s">
        <v>74</v>
      </c>
      <c r="M7750" t="s">
        <v>75</v>
      </c>
      <c r="R7750" t="s">
        <v>34256</v>
      </c>
      <c r="W7750" t="s">
        <v>34257</v>
      </c>
      <c r="AB7750" t="s">
        <v>78</v>
      </c>
      <c r="AC7750" t="s">
        <v>79</v>
      </c>
      <c r="AD7750" t="s">
        <v>75</v>
      </c>
      <c r="AE7750" t="s">
        <v>80</v>
      </c>
      <c r="AG7750" t="s">
        <v>81</v>
      </c>
    </row>
    <row r="7751" spans="1:33" x14ac:dyDescent="0.25">
      <c r="A7751" t="str">
        <f>"1366785115"</f>
        <v>1366785115</v>
      </c>
      <c r="C7751" t="s">
        <v>13436</v>
      </c>
      <c r="K7751" t="s">
        <v>99</v>
      </c>
      <c r="L7751" t="s">
        <v>102</v>
      </c>
      <c r="M7751" t="s">
        <v>75</v>
      </c>
      <c r="R7751" t="s">
        <v>34258</v>
      </c>
      <c r="S7751" t="s">
        <v>6696</v>
      </c>
      <c r="T7751" t="s">
        <v>894</v>
      </c>
      <c r="U7751" t="s">
        <v>77</v>
      </c>
      <c r="V7751" t="str">
        <f>"10003"</f>
        <v>10003</v>
      </c>
      <c r="AC7751" t="s">
        <v>79</v>
      </c>
      <c r="AD7751" t="s">
        <v>75</v>
      </c>
      <c r="AE7751" t="s">
        <v>103</v>
      </c>
      <c r="AG7751" t="s">
        <v>81</v>
      </c>
    </row>
    <row r="7752" spans="1:33" x14ac:dyDescent="0.25">
      <c r="A7752" t="str">
        <f>"1770674004"</f>
        <v>1770674004</v>
      </c>
      <c r="B7752" t="str">
        <f>"04016006"</f>
        <v>04016006</v>
      </c>
      <c r="C7752" t="s">
        <v>13436</v>
      </c>
      <c r="D7752" t="s">
        <v>34259</v>
      </c>
      <c r="E7752" t="s">
        <v>34260</v>
      </c>
      <c r="G7752" t="s">
        <v>34261</v>
      </c>
      <c r="L7752" t="s">
        <v>83</v>
      </c>
      <c r="M7752" t="s">
        <v>85</v>
      </c>
      <c r="R7752" t="s">
        <v>34260</v>
      </c>
      <c r="W7752" t="s">
        <v>34262</v>
      </c>
      <c r="X7752" t="s">
        <v>191</v>
      </c>
      <c r="Y7752" t="s">
        <v>97</v>
      </c>
      <c r="Z7752" t="s">
        <v>77</v>
      </c>
      <c r="AA7752" t="str">
        <f>"10019-1147"</f>
        <v>10019-1147</v>
      </c>
      <c r="AB7752" t="s">
        <v>78</v>
      </c>
      <c r="AC7752" t="s">
        <v>79</v>
      </c>
      <c r="AD7752" t="s">
        <v>75</v>
      </c>
      <c r="AE7752" t="s">
        <v>80</v>
      </c>
      <c r="AG7752" t="s">
        <v>81</v>
      </c>
    </row>
    <row r="7753" spans="1:33" x14ac:dyDescent="0.25">
      <c r="A7753" t="str">
        <f>"1770711715"</f>
        <v>1770711715</v>
      </c>
      <c r="B7753" t="str">
        <f>"03589466"</f>
        <v>03589466</v>
      </c>
      <c r="C7753" t="s">
        <v>13436</v>
      </c>
      <c r="D7753" t="s">
        <v>34263</v>
      </c>
      <c r="E7753" t="s">
        <v>34264</v>
      </c>
      <c r="G7753" t="s">
        <v>34265</v>
      </c>
      <c r="L7753" t="s">
        <v>83</v>
      </c>
      <c r="M7753" t="s">
        <v>85</v>
      </c>
      <c r="R7753" t="s">
        <v>34266</v>
      </c>
      <c r="W7753" t="s">
        <v>34264</v>
      </c>
      <c r="X7753" t="s">
        <v>191</v>
      </c>
      <c r="Y7753" t="s">
        <v>97</v>
      </c>
      <c r="Z7753" t="s">
        <v>77</v>
      </c>
      <c r="AA7753" t="str">
        <f>"10019-1147"</f>
        <v>10019-1147</v>
      </c>
      <c r="AB7753" t="s">
        <v>78</v>
      </c>
      <c r="AC7753" t="s">
        <v>79</v>
      </c>
      <c r="AD7753" t="s">
        <v>75</v>
      </c>
      <c r="AE7753" t="s">
        <v>80</v>
      </c>
      <c r="AG7753" t="s">
        <v>81</v>
      </c>
    </row>
    <row r="7754" spans="1:33" x14ac:dyDescent="0.25">
      <c r="A7754" t="str">
        <f>"1770722050"</f>
        <v>1770722050</v>
      </c>
      <c r="B7754" t="str">
        <f>"03633956"</f>
        <v>03633956</v>
      </c>
      <c r="C7754" t="s">
        <v>13436</v>
      </c>
      <c r="D7754" t="s">
        <v>34267</v>
      </c>
      <c r="E7754" t="s">
        <v>34268</v>
      </c>
      <c r="G7754" t="s">
        <v>34269</v>
      </c>
      <c r="L7754" t="s">
        <v>83</v>
      </c>
      <c r="M7754" t="s">
        <v>85</v>
      </c>
      <c r="R7754" t="s">
        <v>34270</v>
      </c>
      <c r="W7754" t="s">
        <v>34268</v>
      </c>
      <c r="X7754" t="s">
        <v>7205</v>
      </c>
      <c r="Y7754" t="s">
        <v>97</v>
      </c>
      <c r="Z7754" t="s">
        <v>77</v>
      </c>
      <c r="AA7754" t="str">
        <f>"10128-6703"</f>
        <v>10128-6703</v>
      </c>
      <c r="AB7754" t="s">
        <v>78</v>
      </c>
      <c r="AC7754" t="s">
        <v>79</v>
      </c>
      <c r="AD7754" t="s">
        <v>75</v>
      </c>
      <c r="AE7754" t="s">
        <v>80</v>
      </c>
      <c r="AG7754" t="s">
        <v>81</v>
      </c>
    </row>
    <row r="7755" spans="1:33" x14ac:dyDescent="0.25">
      <c r="A7755" t="str">
        <f>"1770803504"</f>
        <v>1770803504</v>
      </c>
      <c r="B7755" t="str">
        <f>"03735682"</f>
        <v>03735682</v>
      </c>
      <c r="C7755" t="s">
        <v>13436</v>
      </c>
      <c r="D7755" t="s">
        <v>34271</v>
      </c>
      <c r="E7755" t="s">
        <v>34272</v>
      </c>
      <c r="G7755" t="s">
        <v>34273</v>
      </c>
      <c r="L7755" t="s">
        <v>74</v>
      </c>
      <c r="M7755" t="s">
        <v>85</v>
      </c>
      <c r="R7755" t="s">
        <v>34274</v>
      </c>
      <c r="W7755" t="s">
        <v>34275</v>
      </c>
      <c r="X7755" t="s">
        <v>1076</v>
      </c>
      <c r="Y7755" t="s">
        <v>97</v>
      </c>
      <c r="Z7755" t="s">
        <v>77</v>
      </c>
      <c r="AA7755" t="str">
        <f>"10025-1737"</f>
        <v>10025-1737</v>
      </c>
      <c r="AB7755" t="s">
        <v>78</v>
      </c>
      <c r="AC7755" t="s">
        <v>79</v>
      </c>
      <c r="AD7755" t="s">
        <v>75</v>
      </c>
      <c r="AE7755" t="s">
        <v>80</v>
      </c>
      <c r="AG7755" t="s">
        <v>81</v>
      </c>
    </row>
    <row r="7756" spans="1:33" x14ac:dyDescent="0.25">
      <c r="A7756" t="str">
        <f>"1780665661"</f>
        <v>1780665661</v>
      </c>
      <c r="B7756" t="str">
        <f>"01434380"</f>
        <v>01434380</v>
      </c>
      <c r="C7756" t="s">
        <v>13436</v>
      </c>
      <c r="D7756" t="s">
        <v>34276</v>
      </c>
      <c r="E7756" t="s">
        <v>34277</v>
      </c>
      <c r="G7756" t="s">
        <v>34278</v>
      </c>
      <c r="L7756" t="s">
        <v>83</v>
      </c>
      <c r="M7756" t="s">
        <v>85</v>
      </c>
      <c r="R7756" t="s">
        <v>34279</v>
      </c>
      <c r="W7756" t="s">
        <v>34277</v>
      </c>
      <c r="X7756" t="s">
        <v>14894</v>
      </c>
      <c r="Y7756" t="s">
        <v>97</v>
      </c>
      <c r="Z7756" t="s">
        <v>77</v>
      </c>
      <c r="AA7756" t="str">
        <f>"10003-0000"</f>
        <v>10003-0000</v>
      </c>
      <c r="AB7756" t="s">
        <v>78</v>
      </c>
      <c r="AC7756" t="s">
        <v>79</v>
      </c>
      <c r="AD7756" t="s">
        <v>75</v>
      </c>
      <c r="AE7756" t="s">
        <v>80</v>
      </c>
      <c r="AG7756" t="s">
        <v>81</v>
      </c>
    </row>
    <row r="7757" spans="1:33" x14ac:dyDescent="0.25">
      <c r="A7757" t="str">
        <f>"1558520460"</f>
        <v>1558520460</v>
      </c>
      <c r="B7757" t="str">
        <f>"03016415"</f>
        <v>03016415</v>
      </c>
      <c r="C7757" t="s">
        <v>13436</v>
      </c>
      <c r="D7757" t="s">
        <v>34280</v>
      </c>
      <c r="E7757" t="s">
        <v>34281</v>
      </c>
      <c r="G7757" t="s">
        <v>34282</v>
      </c>
      <c r="L7757" t="s">
        <v>74</v>
      </c>
      <c r="M7757" t="s">
        <v>85</v>
      </c>
      <c r="R7757" t="s">
        <v>34283</v>
      </c>
      <c r="W7757" t="s">
        <v>34281</v>
      </c>
      <c r="X7757" t="s">
        <v>329</v>
      </c>
      <c r="Y7757" t="s">
        <v>97</v>
      </c>
      <c r="Z7757" t="s">
        <v>77</v>
      </c>
      <c r="AA7757" t="str">
        <f>"10029-6500"</f>
        <v>10029-6500</v>
      </c>
      <c r="AB7757" t="s">
        <v>78</v>
      </c>
      <c r="AC7757" t="s">
        <v>79</v>
      </c>
      <c r="AD7757" t="s">
        <v>75</v>
      </c>
      <c r="AE7757" t="s">
        <v>80</v>
      </c>
      <c r="AG7757" t="s">
        <v>81</v>
      </c>
    </row>
    <row r="7758" spans="1:33" x14ac:dyDescent="0.25">
      <c r="A7758" t="str">
        <f>"1558521625"</f>
        <v>1558521625</v>
      </c>
      <c r="B7758" t="str">
        <f>"03949057"</f>
        <v>03949057</v>
      </c>
      <c r="C7758" t="s">
        <v>13436</v>
      </c>
      <c r="D7758" t="s">
        <v>34284</v>
      </c>
      <c r="E7758" t="s">
        <v>34285</v>
      </c>
      <c r="G7758" t="s">
        <v>34286</v>
      </c>
      <c r="L7758" t="s">
        <v>83</v>
      </c>
      <c r="M7758" t="s">
        <v>85</v>
      </c>
      <c r="R7758" t="s">
        <v>34287</v>
      </c>
      <c r="W7758" t="s">
        <v>34288</v>
      </c>
      <c r="X7758" t="s">
        <v>26727</v>
      </c>
      <c r="Y7758" t="s">
        <v>205</v>
      </c>
      <c r="Z7758" t="s">
        <v>77</v>
      </c>
      <c r="AA7758" t="str">
        <f>"10977-8916"</f>
        <v>10977-8916</v>
      </c>
      <c r="AB7758" t="s">
        <v>78</v>
      </c>
      <c r="AC7758" t="s">
        <v>79</v>
      </c>
      <c r="AD7758" t="s">
        <v>75</v>
      </c>
      <c r="AE7758" t="s">
        <v>80</v>
      </c>
      <c r="AG7758" t="s">
        <v>81</v>
      </c>
    </row>
    <row r="7759" spans="1:33" x14ac:dyDescent="0.25">
      <c r="A7759" t="str">
        <f>"1558526814"</f>
        <v>1558526814</v>
      </c>
      <c r="B7759" t="str">
        <f>"03996123"</f>
        <v>03996123</v>
      </c>
      <c r="C7759" t="s">
        <v>13436</v>
      </c>
      <c r="D7759" t="s">
        <v>34289</v>
      </c>
      <c r="E7759" t="s">
        <v>34290</v>
      </c>
      <c r="G7759" t="s">
        <v>34291</v>
      </c>
      <c r="L7759" t="s">
        <v>74</v>
      </c>
      <c r="M7759" t="s">
        <v>75</v>
      </c>
      <c r="R7759" t="s">
        <v>34290</v>
      </c>
      <c r="W7759" t="s">
        <v>34290</v>
      </c>
      <c r="X7759" t="s">
        <v>34292</v>
      </c>
      <c r="Y7759" t="s">
        <v>97</v>
      </c>
      <c r="Z7759" t="s">
        <v>77</v>
      </c>
      <c r="AA7759" t="str">
        <f>"10003-3314"</f>
        <v>10003-3314</v>
      </c>
      <c r="AB7759" t="s">
        <v>78</v>
      </c>
      <c r="AC7759" t="s">
        <v>79</v>
      </c>
      <c r="AD7759" t="s">
        <v>75</v>
      </c>
      <c r="AE7759" t="s">
        <v>80</v>
      </c>
      <c r="AG7759" t="s">
        <v>81</v>
      </c>
    </row>
    <row r="7760" spans="1:33" x14ac:dyDescent="0.25">
      <c r="A7760" t="str">
        <f>"1558540807"</f>
        <v>1558540807</v>
      </c>
      <c r="B7760" t="str">
        <f>"03023892"</f>
        <v>03023892</v>
      </c>
      <c r="C7760" t="s">
        <v>13436</v>
      </c>
      <c r="D7760" t="s">
        <v>34293</v>
      </c>
      <c r="E7760" t="s">
        <v>34294</v>
      </c>
      <c r="G7760" t="s">
        <v>34295</v>
      </c>
      <c r="L7760" t="s">
        <v>83</v>
      </c>
      <c r="M7760" t="s">
        <v>85</v>
      </c>
      <c r="R7760" t="s">
        <v>34296</v>
      </c>
      <c r="W7760" t="s">
        <v>34297</v>
      </c>
      <c r="X7760" t="s">
        <v>329</v>
      </c>
      <c r="Y7760" t="s">
        <v>97</v>
      </c>
      <c r="Z7760" t="s">
        <v>77</v>
      </c>
      <c r="AA7760" t="str">
        <f>"10029-6500"</f>
        <v>10029-6500</v>
      </c>
      <c r="AB7760" t="s">
        <v>78</v>
      </c>
      <c r="AC7760" t="s">
        <v>79</v>
      </c>
      <c r="AD7760" t="s">
        <v>75</v>
      </c>
      <c r="AE7760" t="s">
        <v>80</v>
      </c>
      <c r="AG7760" t="s">
        <v>81</v>
      </c>
    </row>
    <row r="7761" spans="1:33" x14ac:dyDescent="0.25">
      <c r="A7761" t="str">
        <f>"1821188301"</f>
        <v>1821188301</v>
      </c>
      <c r="B7761" t="str">
        <f>"02921346"</f>
        <v>02921346</v>
      </c>
      <c r="C7761" t="s">
        <v>13436</v>
      </c>
      <c r="D7761" t="s">
        <v>34298</v>
      </c>
      <c r="E7761" t="s">
        <v>34299</v>
      </c>
      <c r="G7761" t="s">
        <v>34300</v>
      </c>
      <c r="L7761" t="s">
        <v>84</v>
      </c>
      <c r="M7761" t="s">
        <v>85</v>
      </c>
      <c r="R7761" t="s">
        <v>34301</v>
      </c>
      <c r="W7761" t="s">
        <v>34302</v>
      </c>
      <c r="X7761" t="s">
        <v>2587</v>
      </c>
      <c r="Y7761" t="s">
        <v>97</v>
      </c>
      <c r="Z7761" t="s">
        <v>77</v>
      </c>
      <c r="AA7761" t="str">
        <f>"10003-3314"</f>
        <v>10003-3314</v>
      </c>
      <c r="AB7761" t="s">
        <v>78</v>
      </c>
      <c r="AC7761" t="s">
        <v>79</v>
      </c>
      <c r="AD7761" t="s">
        <v>75</v>
      </c>
      <c r="AE7761" t="s">
        <v>80</v>
      </c>
      <c r="AG7761" t="s">
        <v>81</v>
      </c>
    </row>
    <row r="7762" spans="1:33" x14ac:dyDescent="0.25">
      <c r="A7762" t="str">
        <f>"1831123066"</f>
        <v>1831123066</v>
      </c>
      <c r="B7762" t="str">
        <f>"02518376"</f>
        <v>02518376</v>
      </c>
      <c r="C7762" t="s">
        <v>13436</v>
      </c>
      <c r="D7762" t="s">
        <v>3185</v>
      </c>
      <c r="E7762" t="s">
        <v>3186</v>
      </c>
      <c r="G7762" t="s">
        <v>34303</v>
      </c>
      <c r="L7762" t="s">
        <v>143</v>
      </c>
      <c r="M7762" t="s">
        <v>85</v>
      </c>
      <c r="R7762" t="s">
        <v>3187</v>
      </c>
      <c r="W7762" t="s">
        <v>3186</v>
      </c>
      <c r="X7762" t="s">
        <v>3188</v>
      </c>
      <c r="Y7762" t="s">
        <v>236</v>
      </c>
      <c r="Z7762" t="s">
        <v>77</v>
      </c>
      <c r="AA7762" t="str">
        <f>"11103-2299"</f>
        <v>11103-2299</v>
      </c>
      <c r="AB7762" t="s">
        <v>78</v>
      </c>
      <c r="AC7762" t="s">
        <v>79</v>
      </c>
      <c r="AD7762" t="s">
        <v>75</v>
      </c>
      <c r="AE7762" t="s">
        <v>80</v>
      </c>
      <c r="AG7762" t="s">
        <v>81</v>
      </c>
    </row>
    <row r="7763" spans="1:33" x14ac:dyDescent="0.25">
      <c r="A7763" t="str">
        <f>"1831140730"</f>
        <v>1831140730</v>
      </c>
      <c r="B7763" t="str">
        <f>"01331882"</f>
        <v>01331882</v>
      </c>
      <c r="C7763" t="s">
        <v>13436</v>
      </c>
      <c r="D7763" t="s">
        <v>34304</v>
      </c>
      <c r="E7763" t="s">
        <v>34305</v>
      </c>
      <c r="G7763" t="s">
        <v>34306</v>
      </c>
      <c r="L7763" t="s">
        <v>74</v>
      </c>
      <c r="M7763" t="s">
        <v>85</v>
      </c>
      <c r="R7763" t="s">
        <v>34307</v>
      </c>
      <c r="W7763" t="s">
        <v>34305</v>
      </c>
      <c r="X7763" t="s">
        <v>34308</v>
      </c>
      <c r="Y7763" t="s">
        <v>4483</v>
      </c>
      <c r="Z7763" t="s">
        <v>1842</v>
      </c>
      <c r="AA7763" t="str">
        <f>"06519-1369"</f>
        <v>06519-1369</v>
      </c>
      <c r="AB7763" t="s">
        <v>78</v>
      </c>
      <c r="AC7763" t="s">
        <v>79</v>
      </c>
      <c r="AD7763" t="s">
        <v>75</v>
      </c>
      <c r="AE7763" t="s">
        <v>80</v>
      </c>
      <c r="AG7763" t="s">
        <v>81</v>
      </c>
    </row>
    <row r="7764" spans="1:33" x14ac:dyDescent="0.25">
      <c r="A7764" t="str">
        <f>"1831184241"</f>
        <v>1831184241</v>
      </c>
      <c r="B7764" t="str">
        <f>"01864011"</f>
        <v>01864011</v>
      </c>
      <c r="C7764" t="s">
        <v>13436</v>
      </c>
      <c r="D7764" t="s">
        <v>34309</v>
      </c>
      <c r="E7764" t="s">
        <v>34310</v>
      </c>
      <c r="G7764" t="s">
        <v>34311</v>
      </c>
      <c r="L7764" t="s">
        <v>84</v>
      </c>
      <c r="M7764" t="s">
        <v>85</v>
      </c>
      <c r="R7764" t="s">
        <v>34312</v>
      </c>
      <c r="W7764" t="s">
        <v>34310</v>
      </c>
      <c r="X7764" t="s">
        <v>737</v>
      </c>
      <c r="Y7764" t="s">
        <v>97</v>
      </c>
      <c r="Z7764" t="s">
        <v>77</v>
      </c>
      <c r="AA7764" t="str">
        <f>"10025-1716"</f>
        <v>10025-1716</v>
      </c>
      <c r="AB7764" t="s">
        <v>78</v>
      </c>
      <c r="AC7764" t="s">
        <v>79</v>
      </c>
      <c r="AD7764" t="s">
        <v>75</v>
      </c>
      <c r="AE7764" t="s">
        <v>80</v>
      </c>
      <c r="AG7764" t="s">
        <v>81</v>
      </c>
    </row>
    <row r="7765" spans="1:33" x14ac:dyDescent="0.25">
      <c r="A7765" t="str">
        <f>"1821011198"</f>
        <v>1821011198</v>
      </c>
      <c r="B7765" t="str">
        <f>"04251983"</f>
        <v>04251983</v>
      </c>
      <c r="C7765" t="s">
        <v>13436</v>
      </c>
      <c r="D7765" t="s">
        <v>34313</v>
      </c>
      <c r="E7765" t="s">
        <v>34314</v>
      </c>
      <c r="G7765" t="s">
        <v>34315</v>
      </c>
      <c r="L7765" t="s">
        <v>74</v>
      </c>
      <c r="M7765" t="s">
        <v>85</v>
      </c>
      <c r="R7765" t="s">
        <v>34316</v>
      </c>
      <c r="W7765" t="s">
        <v>34314</v>
      </c>
      <c r="X7765" t="s">
        <v>2587</v>
      </c>
      <c r="Y7765" t="s">
        <v>97</v>
      </c>
      <c r="Z7765" t="s">
        <v>77</v>
      </c>
      <c r="AA7765" t="str">
        <f>"10003-3314"</f>
        <v>10003-3314</v>
      </c>
      <c r="AB7765" t="s">
        <v>78</v>
      </c>
      <c r="AC7765" t="s">
        <v>79</v>
      </c>
      <c r="AD7765" t="s">
        <v>75</v>
      </c>
      <c r="AE7765" t="s">
        <v>80</v>
      </c>
      <c r="AG7765" t="s">
        <v>81</v>
      </c>
    </row>
    <row r="7766" spans="1:33" x14ac:dyDescent="0.25">
      <c r="A7766" t="str">
        <f>"1821014705"</f>
        <v>1821014705</v>
      </c>
      <c r="B7766" t="str">
        <f>"01774914"</f>
        <v>01774914</v>
      </c>
      <c r="C7766" t="s">
        <v>13436</v>
      </c>
      <c r="D7766" t="s">
        <v>34317</v>
      </c>
      <c r="E7766" t="s">
        <v>34318</v>
      </c>
      <c r="G7766" t="s">
        <v>34319</v>
      </c>
      <c r="L7766" t="s">
        <v>105</v>
      </c>
      <c r="M7766" t="s">
        <v>85</v>
      </c>
      <c r="R7766" t="s">
        <v>34320</v>
      </c>
      <c r="W7766" t="s">
        <v>34318</v>
      </c>
      <c r="X7766" t="s">
        <v>34321</v>
      </c>
      <c r="Y7766" t="s">
        <v>97</v>
      </c>
      <c r="Z7766" t="s">
        <v>77</v>
      </c>
      <c r="AA7766" t="str">
        <f>"10003-3314"</f>
        <v>10003-3314</v>
      </c>
      <c r="AB7766" t="s">
        <v>78</v>
      </c>
      <c r="AC7766" t="s">
        <v>79</v>
      </c>
      <c r="AD7766" t="s">
        <v>75</v>
      </c>
      <c r="AE7766" t="s">
        <v>80</v>
      </c>
      <c r="AG7766" t="s">
        <v>81</v>
      </c>
    </row>
    <row r="7767" spans="1:33" x14ac:dyDescent="0.25">
      <c r="A7767" t="str">
        <f>"1821019548"</f>
        <v>1821019548</v>
      </c>
      <c r="B7767" t="str">
        <f>"02239412"</f>
        <v>02239412</v>
      </c>
      <c r="C7767" t="s">
        <v>13436</v>
      </c>
      <c r="D7767" t="s">
        <v>34322</v>
      </c>
      <c r="E7767" t="s">
        <v>34323</v>
      </c>
      <c r="G7767" t="s">
        <v>34324</v>
      </c>
      <c r="L7767" t="s">
        <v>105</v>
      </c>
      <c r="M7767" t="s">
        <v>85</v>
      </c>
      <c r="R7767" t="s">
        <v>34325</v>
      </c>
      <c r="W7767" t="s">
        <v>34323</v>
      </c>
      <c r="X7767" t="s">
        <v>34326</v>
      </c>
      <c r="Y7767" t="s">
        <v>97</v>
      </c>
      <c r="Z7767" t="s">
        <v>77</v>
      </c>
      <c r="AA7767" t="str">
        <f>"10025-1716"</f>
        <v>10025-1716</v>
      </c>
      <c r="AB7767" t="s">
        <v>78</v>
      </c>
      <c r="AC7767" t="s">
        <v>79</v>
      </c>
      <c r="AD7767" t="s">
        <v>75</v>
      </c>
      <c r="AE7767" t="s">
        <v>80</v>
      </c>
      <c r="AG7767" t="s">
        <v>81</v>
      </c>
    </row>
    <row r="7768" spans="1:33" x14ac:dyDescent="0.25">
      <c r="A7768" t="str">
        <f>"1396078523"</f>
        <v>1396078523</v>
      </c>
      <c r="C7768" t="s">
        <v>13436</v>
      </c>
      <c r="G7768" t="s">
        <v>34327</v>
      </c>
      <c r="K7768" t="s">
        <v>99</v>
      </c>
      <c r="L7768" t="s">
        <v>102</v>
      </c>
      <c r="M7768" t="s">
        <v>75</v>
      </c>
      <c r="R7768" t="s">
        <v>34328</v>
      </c>
      <c r="S7768" t="s">
        <v>32716</v>
      </c>
      <c r="T7768" t="s">
        <v>97</v>
      </c>
      <c r="U7768" t="s">
        <v>77</v>
      </c>
      <c r="V7768" t="str">
        <f>"100164942"</f>
        <v>100164942</v>
      </c>
      <c r="AC7768" t="s">
        <v>79</v>
      </c>
      <c r="AD7768" t="s">
        <v>75</v>
      </c>
      <c r="AE7768" t="s">
        <v>103</v>
      </c>
      <c r="AG7768" t="s">
        <v>81</v>
      </c>
    </row>
    <row r="7769" spans="1:33" x14ac:dyDescent="0.25">
      <c r="A7769" t="str">
        <f>"1245212984"</f>
        <v>1245212984</v>
      </c>
      <c r="B7769" t="str">
        <f>"03545168"</f>
        <v>03545168</v>
      </c>
      <c r="C7769" t="s">
        <v>13436</v>
      </c>
      <c r="D7769" t="s">
        <v>34329</v>
      </c>
      <c r="E7769" t="s">
        <v>34330</v>
      </c>
      <c r="G7769" t="s">
        <v>34331</v>
      </c>
      <c r="L7769" t="s">
        <v>74</v>
      </c>
      <c r="M7769" t="s">
        <v>75</v>
      </c>
      <c r="R7769" t="s">
        <v>34330</v>
      </c>
      <c r="W7769" t="s">
        <v>34332</v>
      </c>
      <c r="X7769" t="s">
        <v>330</v>
      </c>
      <c r="Y7769" t="s">
        <v>97</v>
      </c>
      <c r="Z7769" t="s">
        <v>77</v>
      </c>
      <c r="AA7769" t="str">
        <f>"10029-5204"</f>
        <v>10029-5204</v>
      </c>
      <c r="AB7769" t="s">
        <v>78</v>
      </c>
      <c r="AC7769" t="s">
        <v>79</v>
      </c>
      <c r="AD7769" t="s">
        <v>75</v>
      </c>
      <c r="AE7769" t="s">
        <v>80</v>
      </c>
      <c r="AG7769" t="s">
        <v>81</v>
      </c>
    </row>
    <row r="7770" spans="1:33" x14ac:dyDescent="0.25">
      <c r="A7770" t="str">
        <f>"1245230531"</f>
        <v>1245230531</v>
      </c>
      <c r="B7770" t="str">
        <f>"02134485"</f>
        <v>02134485</v>
      </c>
      <c r="C7770" t="s">
        <v>13436</v>
      </c>
      <c r="D7770" t="s">
        <v>34333</v>
      </c>
      <c r="E7770" t="s">
        <v>34334</v>
      </c>
      <c r="G7770" t="s">
        <v>34335</v>
      </c>
      <c r="L7770" t="s">
        <v>83</v>
      </c>
      <c r="M7770" t="s">
        <v>85</v>
      </c>
      <c r="R7770" t="s">
        <v>34336</v>
      </c>
      <c r="W7770" t="s">
        <v>34334</v>
      </c>
      <c r="X7770" t="s">
        <v>34337</v>
      </c>
      <c r="Y7770" t="s">
        <v>97</v>
      </c>
      <c r="Z7770" t="s">
        <v>77</v>
      </c>
      <c r="AA7770" t="str">
        <f>"10029-6503"</f>
        <v>10029-6503</v>
      </c>
      <c r="AB7770" t="s">
        <v>78</v>
      </c>
      <c r="AC7770" t="s">
        <v>79</v>
      </c>
      <c r="AD7770" t="s">
        <v>75</v>
      </c>
      <c r="AE7770" t="s">
        <v>80</v>
      </c>
      <c r="AG7770" t="s">
        <v>81</v>
      </c>
    </row>
    <row r="7771" spans="1:33" x14ac:dyDescent="0.25">
      <c r="A7771" t="str">
        <f>"1538239819"</f>
        <v>1538239819</v>
      </c>
      <c r="B7771" t="str">
        <f>"02883943"</f>
        <v>02883943</v>
      </c>
      <c r="C7771" t="s">
        <v>13436</v>
      </c>
      <c r="D7771" t="s">
        <v>34338</v>
      </c>
      <c r="E7771" t="s">
        <v>34339</v>
      </c>
      <c r="G7771" t="s">
        <v>34340</v>
      </c>
      <c r="L7771" t="s">
        <v>83</v>
      </c>
      <c r="M7771" t="s">
        <v>85</v>
      </c>
      <c r="R7771" t="s">
        <v>34339</v>
      </c>
      <c r="W7771" t="s">
        <v>34339</v>
      </c>
      <c r="X7771" t="s">
        <v>329</v>
      </c>
      <c r="Y7771" t="s">
        <v>97</v>
      </c>
      <c r="Z7771" t="s">
        <v>77</v>
      </c>
      <c r="AA7771" t="str">
        <f>"10029-6504"</f>
        <v>10029-6504</v>
      </c>
      <c r="AB7771" t="s">
        <v>78</v>
      </c>
      <c r="AC7771" t="s">
        <v>79</v>
      </c>
      <c r="AD7771" t="s">
        <v>75</v>
      </c>
      <c r="AE7771" t="s">
        <v>80</v>
      </c>
      <c r="AG7771" t="s">
        <v>81</v>
      </c>
    </row>
    <row r="7772" spans="1:33" x14ac:dyDescent="0.25">
      <c r="A7772" t="str">
        <f>"1538245626"</f>
        <v>1538245626</v>
      </c>
      <c r="B7772" t="str">
        <f>"01887690"</f>
        <v>01887690</v>
      </c>
      <c r="C7772" t="s">
        <v>13436</v>
      </c>
      <c r="D7772" t="s">
        <v>34341</v>
      </c>
      <c r="E7772" t="s">
        <v>34342</v>
      </c>
      <c r="G7772" t="s">
        <v>34343</v>
      </c>
      <c r="L7772" t="s">
        <v>84</v>
      </c>
      <c r="M7772" t="s">
        <v>85</v>
      </c>
      <c r="R7772" t="s">
        <v>34342</v>
      </c>
      <c r="W7772" t="s">
        <v>34344</v>
      </c>
      <c r="X7772" t="s">
        <v>28159</v>
      </c>
      <c r="Y7772" t="s">
        <v>152</v>
      </c>
      <c r="Z7772" t="s">
        <v>77</v>
      </c>
      <c r="AA7772" t="str">
        <f>"11375-3787"</f>
        <v>11375-3787</v>
      </c>
      <c r="AB7772" t="s">
        <v>78</v>
      </c>
      <c r="AC7772" t="s">
        <v>79</v>
      </c>
      <c r="AD7772" t="s">
        <v>75</v>
      </c>
      <c r="AE7772" t="s">
        <v>80</v>
      </c>
      <c r="AG7772" t="s">
        <v>81</v>
      </c>
    </row>
    <row r="7773" spans="1:33" x14ac:dyDescent="0.25">
      <c r="A7773" t="str">
        <f>"1538248844"</f>
        <v>1538248844</v>
      </c>
      <c r="B7773" t="str">
        <f>"01676306"</f>
        <v>01676306</v>
      </c>
      <c r="C7773" t="s">
        <v>13436</v>
      </c>
      <c r="D7773" t="s">
        <v>34345</v>
      </c>
      <c r="E7773" t="s">
        <v>34346</v>
      </c>
      <c r="G7773" t="s">
        <v>34347</v>
      </c>
      <c r="L7773" t="s">
        <v>83</v>
      </c>
      <c r="M7773" t="s">
        <v>75</v>
      </c>
      <c r="R7773" t="s">
        <v>34348</v>
      </c>
      <c r="W7773" t="s">
        <v>34346</v>
      </c>
      <c r="X7773" t="s">
        <v>34349</v>
      </c>
      <c r="Y7773" t="s">
        <v>87</v>
      </c>
      <c r="Z7773" t="s">
        <v>77</v>
      </c>
      <c r="AA7773" t="str">
        <f>"11243-2907"</f>
        <v>11243-2907</v>
      </c>
      <c r="AB7773" t="s">
        <v>114</v>
      </c>
      <c r="AC7773" t="s">
        <v>79</v>
      </c>
      <c r="AD7773" t="s">
        <v>75</v>
      </c>
      <c r="AE7773" t="s">
        <v>80</v>
      </c>
      <c r="AG7773" t="s">
        <v>81</v>
      </c>
    </row>
    <row r="7774" spans="1:33" x14ac:dyDescent="0.25">
      <c r="A7774" t="str">
        <f>"1538258538"</f>
        <v>1538258538</v>
      </c>
      <c r="B7774" t="str">
        <f>"01522861"</f>
        <v>01522861</v>
      </c>
      <c r="C7774" t="s">
        <v>13436</v>
      </c>
      <c r="D7774" t="s">
        <v>34350</v>
      </c>
      <c r="E7774" t="s">
        <v>34351</v>
      </c>
      <c r="G7774" t="s">
        <v>34352</v>
      </c>
      <c r="L7774" t="s">
        <v>83</v>
      </c>
      <c r="M7774" t="s">
        <v>85</v>
      </c>
      <c r="R7774" t="s">
        <v>34353</v>
      </c>
      <c r="W7774" t="s">
        <v>34351</v>
      </c>
      <c r="X7774" t="s">
        <v>1734</v>
      </c>
      <c r="Y7774" t="s">
        <v>97</v>
      </c>
      <c r="Z7774" t="s">
        <v>77</v>
      </c>
      <c r="AA7774" t="str">
        <f>"10032-3726"</f>
        <v>10032-3726</v>
      </c>
      <c r="AB7774" t="s">
        <v>78</v>
      </c>
      <c r="AC7774" t="s">
        <v>79</v>
      </c>
      <c r="AD7774" t="s">
        <v>75</v>
      </c>
      <c r="AE7774" t="s">
        <v>80</v>
      </c>
      <c r="AG7774" t="s">
        <v>81</v>
      </c>
    </row>
    <row r="7775" spans="1:33" x14ac:dyDescent="0.25">
      <c r="A7775" t="str">
        <f>"1538274477"</f>
        <v>1538274477</v>
      </c>
      <c r="B7775" t="str">
        <f>"02590605"</f>
        <v>02590605</v>
      </c>
      <c r="C7775" t="s">
        <v>13436</v>
      </c>
      <c r="D7775" t="s">
        <v>34354</v>
      </c>
      <c r="E7775" t="s">
        <v>34355</v>
      </c>
      <c r="L7775" t="s">
        <v>83</v>
      </c>
      <c r="M7775" t="s">
        <v>85</v>
      </c>
      <c r="R7775" t="s">
        <v>34356</v>
      </c>
      <c r="W7775" t="s">
        <v>34355</v>
      </c>
      <c r="X7775" t="s">
        <v>34357</v>
      </c>
      <c r="Y7775" t="s">
        <v>97</v>
      </c>
      <c r="Z7775" t="s">
        <v>77</v>
      </c>
      <c r="AA7775" t="str">
        <f>"10029-6501"</f>
        <v>10029-6501</v>
      </c>
      <c r="AB7775" t="s">
        <v>78</v>
      </c>
      <c r="AC7775" t="s">
        <v>79</v>
      </c>
      <c r="AD7775" t="s">
        <v>75</v>
      </c>
      <c r="AE7775" t="s">
        <v>80</v>
      </c>
      <c r="AG7775" t="s">
        <v>81</v>
      </c>
    </row>
    <row r="7776" spans="1:33" x14ac:dyDescent="0.25">
      <c r="A7776" t="str">
        <f>"1538275086"</f>
        <v>1538275086</v>
      </c>
      <c r="B7776" t="str">
        <f>"02815043"</f>
        <v>02815043</v>
      </c>
      <c r="C7776" t="s">
        <v>13436</v>
      </c>
      <c r="D7776" t="s">
        <v>34358</v>
      </c>
      <c r="E7776" t="s">
        <v>34359</v>
      </c>
      <c r="G7776" t="s">
        <v>34360</v>
      </c>
      <c r="L7776" t="s">
        <v>83</v>
      </c>
      <c r="M7776" t="s">
        <v>85</v>
      </c>
      <c r="R7776" t="s">
        <v>34361</v>
      </c>
      <c r="W7776" t="s">
        <v>34359</v>
      </c>
      <c r="X7776" t="s">
        <v>3067</v>
      </c>
      <c r="Y7776" t="s">
        <v>91</v>
      </c>
      <c r="Z7776" t="s">
        <v>77</v>
      </c>
      <c r="AA7776" t="str">
        <f>"11373-1329"</f>
        <v>11373-1329</v>
      </c>
      <c r="AB7776" t="s">
        <v>78</v>
      </c>
      <c r="AC7776" t="s">
        <v>79</v>
      </c>
      <c r="AD7776" t="s">
        <v>75</v>
      </c>
      <c r="AE7776" t="s">
        <v>80</v>
      </c>
      <c r="AG7776" t="s">
        <v>81</v>
      </c>
    </row>
    <row r="7777" spans="1:33" x14ac:dyDescent="0.25">
      <c r="A7777" t="str">
        <f>"1538279625"</f>
        <v>1538279625</v>
      </c>
      <c r="B7777" t="str">
        <f>"01649187"</f>
        <v>01649187</v>
      </c>
      <c r="C7777" t="s">
        <v>13436</v>
      </c>
      <c r="D7777" t="s">
        <v>34362</v>
      </c>
      <c r="E7777" t="s">
        <v>34363</v>
      </c>
      <c r="L7777" t="s">
        <v>74</v>
      </c>
      <c r="M7777" t="s">
        <v>75</v>
      </c>
      <c r="R7777" t="s">
        <v>34364</v>
      </c>
      <c r="W7777" t="s">
        <v>34363</v>
      </c>
      <c r="X7777" t="s">
        <v>34365</v>
      </c>
      <c r="Y7777" t="s">
        <v>139</v>
      </c>
      <c r="Z7777" t="s">
        <v>77</v>
      </c>
      <c r="AA7777" t="str">
        <f>"11367-1742"</f>
        <v>11367-1742</v>
      </c>
      <c r="AB7777" t="s">
        <v>82</v>
      </c>
      <c r="AC7777" t="s">
        <v>79</v>
      </c>
      <c r="AD7777" t="s">
        <v>75</v>
      </c>
      <c r="AE7777" t="s">
        <v>80</v>
      </c>
      <c r="AG7777" t="s">
        <v>81</v>
      </c>
    </row>
    <row r="7778" spans="1:33" x14ac:dyDescent="0.25">
      <c r="A7778" t="str">
        <f>"1538296793"</f>
        <v>1538296793</v>
      </c>
      <c r="B7778" t="str">
        <f>"00987628"</f>
        <v>00987628</v>
      </c>
      <c r="C7778" t="s">
        <v>13436</v>
      </c>
      <c r="D7778" t="s">
        <v>34366</v>
      </c>
      <c r="E7778" t="s">
        <v>34367</v>
      </c>
      <c r="G7778" t="s">
        <v>34368</v>
      </c>
      <c r="L7778" t="s">
        <v>102</v>
      </c>
      <c r="M7778" t="s">
        <v>75</v>
      </c>
      <c r="R7778" t="s">
        <v>34369</v>
      </c>
      <c r="W7778" t="s">
        <v>34367</v>
      </c>
      <c r="X7778" t="s">
        <v>329</v>
      </c>
      <c r="Y7778" t="s">
        <v>97</v>
      </c>
      <c r="Z7778" t="s">
        <v>77</v>
      </c>
      <c r="AA7778" t="str">
        <f>"10029-6500"</f>
        <v>10029-6500</v>
      </c>
      <c r="AB7778" t="s">
        <v>78</v>
      </c>
      <c r="AC7778" t="s">
        <v>79</v>
      </c>
      <c r="AD7778" t="s">
        <v>75</v>
      </c>
      <c r="AE7778" t="s">
        <v>80</v>
      </c>
      <c r="AG7778" t="s">
        <v>81</v>
      </c>
    </row>
    <row r="7779" spans="1:33" x14ac:dyDescent="0.25">
      <c r="A7779" t="str">
        <f>"1538318209"</f>
        <v>1538318209</v>
      </c>
      <c r="B7779" t="str">
        <f>"03293487"</f>
        <v>03293487</v>
      </c>
      <c r="C7779" t="s">
        <v>13436</v>
      </c>
      <c r="D7779" t="s">
        <v>34370</v>
      </c>
      <c r="E7779" t="s">
        <v>34371</v>
      </c>
      <c r="G7779" t="s">
        <v>34372</v>
      </c>
      <c r="L7779" t="s">
        <v>83</v>
      </c>
      <c r="M7779" t="s">
        <v>85</v>
      </c>
      <c r="R7779" t="s">
        <v>898</v>
      </c>
      <c r="W7779" t="s">
        <v>34373</v>
      </c>
      <c r="X7779" t="s">
        <v>34374</v>
      </c>
      <c r="Y7779" t="s">
        <v>91</v>
      </c>
      <c r="Z7779" t="s">
        <v>77</v>
      </c>
      <c r="AA7779" t="str">
        <f>"11373-1329"</f>
        <v>11373-1329</v>
      </c>
      <c r="AB7779" t="s">
        <v>78</v>
      </c>
      <c r="AC7779" t="s">
        <v>79</v>
      </c>
      <c r="AD7779" t="s">
        <v>75</v>
      </c>
      <c r="AE7779" t="s">
        <v>80</v>
      </c>
      <c r="AG7779" t="s">
        <v>81</v>
      </c>
    </row>
    <row r="7780" spans="1:33" x14ac:dyDescent="0.25">
      <c r="A7780" t="str">
        <f>"1538333893"</f>
        <v>1538333893</v>
      </c>
      <c r="B7780" t="str">
        <f>"03473329"</f>
        <v>03473329</v>
      </c>
      <c r="C7780" t="s">
        <v>13436</v>
      </c>
      <c r="D7780" t="s">
        <v>34375</v>
      </c>
      <c r="E7780" t="s">
        <v>34376</v>
      </c>
      <c r="G7780" t="s">
        <v>34377</v>
      </c>
      <c r="L7780" t="s">
        <v>83</v>
      </c>
      <c r="M7780" t="s">
        <v>85</v>
      </c>
      <c r="R7780" t="s">
        <v>34378</v>
      </c>
      <c r="W7780" t="s">
        <v>34379</v>
      </c>
      <c r="X7780" t="s">
        <v>34380</v>
      </c>
      <c r="Y7780" t="s">
        <v>97</v>
      </c>
      <c r="Z7780" t="s">
        <v>77</v>
      </c>
      <c r="AA7780" t="str">
        <f>"10029-6501"</f>
        <v>10029-6501</v>
      </c>
      <c r="AB7780" t="s">
        <v>78</v>
      </c>
      <c r="AC7780" t="s">
        <v>79</v>
      </c>
      <c r="AD7780" t="s">
        <v>75</v>
      </c>
      <c r="AE7780" t="s">
        <v>80</v>
      </c>
      <c r="AG7780" t="s">
        <v>81</v>
      </c>
    </row>
    <row r="7781" spans="1:33" x14ac:dyDescent="0.25">
      <c r="A7781" t="str">
        <f>"1275792434"</f>
        <v>1275792434</v>
      </c>
      <c r="B7781" t="str">
        <f>"03652999"</f>
        <v>03652999</v>
      </c>
      <c r="C7781" t="s">
        <v>13436</v>
      </c>
      <c r="D7781" t="s">
        <v>34381</v>
      </c>
      <c r="E7781" t="s">
        <v>34382</v>
      </c>
      <c r="G7781" t="s">
        <v>34383</v>
      </c>
      <c r="L7781" t="s">
        <v>105</v>
      </c>
      <c r="M7781" t="s">
        <v>85</v>
      </c>
      <c r="R7781" t="s">
        <v>34382</v>
      </c>
      <c r="W7781" t="s">
        <v>34382</v>
      </c>
      <c r="X7781" t="s">
        <v>329</v>
      </c>
      <c r="Y7781" t="s">
        <v>97</v>
      </c>
      <c r="Z7781" t="s">
        <v>77</v>
      </c>
      <c r="AA7781" t="str">
        <f>"10029-6504"</f>
        <v>10029-6504</v>
      </c>
      <c r="AB7781" t="s">
        <v>78</v>
      </c>
      <c r="AC7781" t="s">
        <v>79</v>
      </c>
      <c r="AD7781" t="s">
        <v>75</v>
      </c>
      <c r="AE7781" t="s">
        <v>80</v>
      </c>
      <c r="AG7781" t="s">
        <v>81</v>
      </c>
    </row>
    <row r="7782" spans="1:33" x14ac:dyDescent="0.25">
      <c r="A7782" t="str">
        <f>"1275792442"</f>
        <v>1275792442</v>
      </c>
      <c r="B7782" t="str">
        <f>"03628475"</f>
        <v>03628475</v>
      </c>
      <c r="C7782" t="s">
        <v>13436</v>
      </c>
      <c r="D7782" t="s">
        <v>34384</v>
      </c>
      <c r="E7782" t="s">
        <v>34385</v>
      </c>
      <c r="G7782" t="s">
        <v>34386</v>
      </c>
      <c r="L7782" t="s">
        <v>83</v>
      </c>
      <c r="M7782" t="s">
        <v>85</v>
      </c>
      <c r="R7782" t="s">
        <v>34387</v>
      </c>
      <c r="W7782" t="s">
        <v>34385</v>
      </c>
      <c r="X7782" t="s">
        <v>235</v>
      </c>
      <c r="Y7782" t="s">
        <v>236</v>
      </c>
      <c r="Z7782" t="s">
        <v>77</v>
      </c>
      <c r="AA7782" t="str">
        <f>"11102-2448"</f>
        <v>11102-2448</v>
      </c>
      <c r="AB7782" t="s">
        <v>78</v>
      </c>
      <c r="AC7782" t="s">
        <v>79</v>
      </c>
      <c r="AD7782" t="s">
        <v>75</v>
      </c>
      <c r="AE7782" t="s">
        <v>80</v>
      </c>
      <c r="AG7782" t="s">
        <v>81</v>
      </c>
    </row>
    <row r="7783" spans="1:33" x14ac:dyDescent="0.25">
      <c r="A7783" t="str">
        <f>"1134171481"</f>
        <v>1134171481</v>
      </c>
      <c r="B7783" t="str">
        <f>"01953777"</f>
        <v>01953777</v>
      </c>
      <c r="C7783" t="s">
        <v>13436</v>
      </c>
      <c r="D7783" t="s">
        <v>34388</v>
      </c>
      <c r="E7783" t="s">
        <v>34389</v>
      </c>
      <c r="G7783" t="s">
        <v>34390</v>
      </c>
      <c r="L7783" t="s">
        <v>83</v>
      </c>
      <c r="M7783" t="s">
        <v>75</v>
      </c>
      <c r="R7783" t="s">
        <v>34391</v>
      </c>
      <c r="W7783" t="s">
        <v>34389</v>
      </c>
      <c r="X7783" t="s">
        <v>5667</v>
      </c>
      <c r="Y7783" t="s">
        <v>97</v>
      </c>
      <c r="Z7783" t="s">
        <v>77</v>
      </c>
      <c r="AA7783" t="str">
        <f>"10025-1716"</f>
        <v>10025-1716</v>
      </c>
      <c r="AB7783" t="s">
        <v>78</v>
      </c>
      <c r="AC7783" t="s">
        <v>79</v>
      </c>
      <c r="AD7783" t="s">
        <v>75</v>
      </c>
      <c r="AE7783" t="s">
        <v>80</v>
      </c>
      <c r="AG7783" t="s">
        <v>81</v>
      </c>
    </row>
    <row r="7784" spans="1:33" x14ac:dyDescent="0.25">
      <c r="A7784" t="str">
        <f>"1134304108"</f>
        <v>1134304108</v>
      </c>
      <c r="B7784" t="str">
        <f>"03178127"</f>
        <v>03178127</v>
      </c>
      <c r="C7784" t="s">
        <v>13436</v>
      </c>
      <c r="D7784" t="s">
        <v>34392</v>
      </c>
      <c r="E7784" t="s">
        <v>34393</v>
      </c>
      <c r="G7784" t="s">
        <v>34394</v>
      </c>
      <c r="L7784" t="s">
        <v>84</v>
      </c>
      <c r="M7784" t="s">
        <v>85</v>
      </c>
      <c r="R7784" t="s">
        <v>34395</v>
      </c>
      <c r="W7784" t="s">
        <v>34396</v>
      </c>
      <c r="X7784" t="s">
        <v>329</v>
      </c>
      <c r="Y7784" t="s">
        <v>97</v>
      </c>
      <c r="Z7784" t="s">
        <v>77</v>
      </c>
      <c r="AA7784" t="str">
        <f>"10029-6504"</f>
        <v>10029-6504</v>
      </c>
      <c r="AB7784" t="s">
        <v>78</v>
      </c>
      <c r="AC7784" t="s">
        <v>79</v>
      </c>
      <c r="AD7784" t="s">
        <v>75</v>
      </c>
      <c r="AE7784" t="s">
        <v>80</v>
      </c>
      <c r="AG7784" t="s">
        <v>81</v>
      </c>
    </row>
    <row r="7785" spans="1:33" x14ac:dyDescent="0.25">
      <c r="A7785" t="str">
        <f>"1134386808"</f>
        <v>1134386808</v>
      </c>
      <c r="B7785" t="str">
        <f>"03089549"</f>
        <v>03089549</v>
      </c>
      <c r="C7785" t="s">
        <v>13436</v>
      </c>
      <c r="D7785" t="s">
        <v>34397</v>
      </c>
      <c r="E7785" t="s">
        <v>34398</v>
      </c>
      <c r="G7785" t="s">
        <v>34399</v>
      </c>
      <c r="L7785" t="s">
        <v>74</v>
      </c>
      <c r="M7785" t="s">
        <v>75</v>
      </c>
      <c r="R7785" t="s">
        <v>34400</v>
      </c>
      <c r="W7785" t="s">
        <v>34398</v>
      </c>
      <c r="X7785" t="s">
        <v>1328</v>
      </c>
      <c r="Y7785" t="s">
        <v>227</v>
      </c>
      <c r="Z7785" t="s">
        <v>77</v>
      </c>
      <c r="AA7785" t="str">
        <f>"10605-1504"</f>
        <v>10605-1504</v>
      </c>
      <c r="AB7785" t="s">
        <v>78</v>
      </c>
      <c r="AC7785" t="s">
        <v>79</v>
      </c>
      <c r="AD7785" t="s">
        <v>75</v>
      </c>
      <c r="AE7785" t="s">
        <v>80</v>
      </c>
      <c r="AG7785" t="s">
        <v>81</v>
      </c>
    </row>
    <row r="7786" spans="1:33" x14ac:dyDescent="0.25">
      <c r="A7786" t="str">
        <f>"1497853063"</f>
        <v>1497853063</v>
      </c>
      <c r="B7786" t="str">
        <f>"00670888"</f>
        <v>00670888</v>
      </c>
      <c r="C7786" t="s">
        <v>13436</v>
      </c>
      <c r="D7786" t="s">
        <v>34401</v>
      </c>
      <c r="E7786" t="s">
        <v>34402</v>
      </c>
      <c r="G7786" t="s">
        <v>34403</v>
      </c>
      <c r="L7786" t="s">
        <v>83</v>
      </c>
      <c r="M7786" t="s">
        <v>85</v>
      </c>
      <c r="R7786" t="s">
        <v>34404</v>
      </c>
      <c r="W7786" t="s">
        <v>34402</v>
      </c>
      <c r="X7786" t="s">
        <v>329</v>
      </c>
      <c r="Y7786" t="s">
        <v>97</v>
      </c>
      <c r="Z7786" t="s">
        <v>77</v>
      </c>
      <c r="AA7786" t="str">
        <f>"10029-6500"</f>
        <v>10029-6500</v>
      </c>
      <c r="AB7786" t="s">
        <v>78</v>
      </c>
      <c r="AC7786" t="s">
        <v>79</v>
      </c>
      <c r="AD7786" t="s">
        <v>75</v>
      </c>
      <c r="AE7786" t="s">
        <v>80</v>
      </c>
      <c r="AG7786" t="s">
        <v>81</v>
      </c>
    </row>
    <row r="7787" spans="1:33" x14ac:dyDescent="0.25">
      <c r="A7787" t="str">
        <f>"1487074639"</f>
        <v>1487074639</v>
      </c>
      <c r="B7787" t="str">
        <f>"03963119"</f>
        <v>03963119</v>
      </c>
      <c r="C7787" t="s">
        <v>13436</v>
      </c>
      <c r="D7787" t="s">
        <v>34405</v>
      </c>
      <c r="E7787" t="s">
        <v>34406</v>
      </c>
      <c r="G7787" t="s">
        <v>34407</v>
      </c>
      <c r="L7787" t="s">
        <v>74</v>
      </c>
      <c r="M7787" t="s">
        <v>75</v>
      </c>
      <c r="R7787" t="s">
        <v>34408</v>
      </c>
      <c r="W7787" t="s">
        <v>34409</v>
      </c>
      <c r="X7787" t="s">
        <v>4473</v>
      </c>
      <c r="Y7787" t="s">
        <v>217</v>
      </c>
      <c r="Z7787" t="s">
        <v>77</v>
      </c>
      <c r="AA7787" t="str">
        <f>"11557-1405"</f>
        <v>11557-1405</v>
      </c>
      <c r="AB7787" t="s">
        <v>78</v>
      </c>
      <c r="AC7787" t="s">
        <v>79</v>
      </c>
      <c r="AD7787" t="s">
        <v>75</v>
      </c>
      <c r="AE7787" t="s">
        <v>80</v>
      </c>
      <c r="AG7787" t="s">
        <v>81</v>
      </c>
    </row>
    <row r="7788" spans="1:33" x14ac:dyDescent="0.25">
      <c r="A7788" t="str">
        <f>"1962491811"</f>
        <v>1962491811</v>
      </c>
      <c r="B7788" t="str">
        <f>"00899252"</f>
        <v>00899252</v>
      </c>
      <c r="C7788" t="s">
        <v>13436</v>
      </c>
      <c r="D7788" t="s">
        <v>784</v>
      </c>
      <c r="E7788" t="s">
        <v>785</v>
      </c>
      <c r="G7788" t="s">
        <v>34410</v>
      </c>
      <c r="L7788" t="s">
        <v>83</v>
      </c>
      <c r="M7788" t="s">
        <v>85</v>
      </c>
      <c r="R7788" t="s">
        <v>783</v>
      </c>
      <c r="W7788" t="s">
        <v>783</v>
      </c>
      <c r="X7788" t="s">
        <v>282</v>
      </c>
      <c r="Y7788" t="s">
        <v>97</v>
      </c>
      <c r="Z7788" t="s">
        <v>77</v>
      </c>
      <c r="AA7788" t="str">
        <f>"10010-7453"</f>
        <v>10010-7453</v>
      </c>
      <c r="AB7788" t="s">
        <v>78</v>
      </c>
      <c r="AC7788" t="s">
        <v>79</v>
      </c>
      <c r="AD7788" t="s">
        <v>75</v>
      </c>
      <c r="AE7788" t="s">
        <v>80</v>
      </c>
      <c r="AG7788" t="s">
        <v>81</v>
      </c>
    </row>
    <row r="7789" spans="1:33" x14ac:dyDescent="0.25">
      <c r="A7789" t="str">
        <f>"1104898311"</f>
        <v>1104898311</v>
      </c>
      <c r="B7789" t="str">
        <f>"03130641"</f>
        <v>03130641</v>
      </c>
      <c r="C7789" t="s">
        <v>13436</v>
      </c>
      <c r="D7789" t="s">
        <v>34411</v>
      </c>
      <c r="E7789" t="s">
        <v>34412</v>
      </c>
      <c r="G7789" t="s">
        <v>34413</v>
      </c>
      <c r="L7789" t="s">
        <v>83</v>
      </c>
      <c r="M7789" t="s">
        <v>85</v>
      </c>
      <c r="R7789" t="s">
        <v>34414</v>
      </c>
      <c r="W7789" t="s">
        <v>34412</v>
      </c>
      <c r="X7789" t="s">
        <v>272</v>
      </c>
      <c r="Y7789" t="s">
        <v>97</v>
      </c>
      <c r="Z7789" t="s">
        <v>77</v>
      </c>
      <c r="AA7789" t="str">
        <f>"10029-6501"</f>
        <v>10029-6501</v>
      </c>
      <c r="AB7789" t="s">
        <v>78</v>
      </c>
      <c r="AC7789" t="s">
        <v>79</v>
      </c>
      <c r="AD7789" t="s">
        <v>75</v>
      </c>
      <c r="AE7789" t="s">
        <v>80</v>
      </c>
      <c r="AG7789" t="s">
        <v>81</v>
      </c>
    </row>
    <row r="7790" spans="1:33" x14ac:dyDescent="0.25">
      <c r="A7790" t="str">
        <f>"1104902311"</f>
        <v>1104902311</v>
      </c>
      <c r="C7790" t="s">
        <v>13436</v>
      </c>
      <c r="G7790" t="s">
        <v>34415</v>
      </c>
      <c r="K7790" t="s">
        <v>99</v>
      </c>
      <c r="L7790" t="s">
        <v>102</v>
      </c>
      <c r="M7790" t="s">
        <v>75</v>
      </c>
      <c r="R7790" t="s">
        <v>34416</v>
      </c>
      <c r="S7790" t="s">
        <v>5050</v>
      </c>
      <c r="T7790" t="s">
        <v>97</v>
      </c>
      <c r="U7790" t="s">
        <v>77</v>
      </c>
      <c r="V7790" t="str">
        <f>"100296500"</f>
        <v>100296500</v>
      </c>
      <c r="AC7790" t="s">
        <v>79</v>
      </c>
      <c r="AD7790" t="s">
        <v>75</v>
      </c>
      <c r="AE7790" t="s">
        <v>103</v>
      </c>
      <c r="AG7790" t="s">
        <v>81</v>
      </c>
    </row>
    <row r="7791" spans="1:33" x14ac:dyDescent="0.25">
      <c r="A7791" t="str">
        <f>"1104938133"</f>
        <v>1104938133</v>
      </c>
      <c r="B7791" t="str">
        <f>"01294233"</f>
        <v>01294233</v>
      </c>
      <c r="C7791" t="s">
        <v>13436</v>
      </c>
      <c r="D7791" t="s">
        <v>34417</v>
      </c>
      <c r="E7791" t="s">
        <v>34418</v>
      </c>
      <c r="G7791" t="s">
        <v>34419</v>
      </c>
      <c r="L7791" t="s">
        <v>84</v>
      </c>
      <c r="M7791" t="s">
        <v>85</v>
      </c>
      <c r="R7791" t="s">
        <v>34420</v>
      </c>
      <c r="W7791" t="s">
        <v>34418</v>
      </c>
      <c r="X7791" t="s">
        <v>34421</v>
      </c>
      <c r="Y7791" t="s">
        <v>180</v>
      </c>
      <c r="Z7791" t="s">
        <v>77</v>
      </c>
      <c r="AA7791" t="str">
        <f>"10703-2904"</f>
        <v>10703-2904</v>
      </c>
      <c r="AB7791" t="s">
        <v>78</v>
      </c>
      <c r="AC7791" t="s">
        <v>79</v>
      </c>
      <c r="AD7791" t="s">
        <v>75</v>
      </c>
      <c r="AE7791" t="s">
        <v>80</v>
      </c>
      <c r="AG7791" t="s">
        <v>81</v>
      </c>
    </row>
    <row r="7792" spans="1:33" x14ac:dyDescent="0.25">
      <c r="A7792" t="str">
        <f>"1104957927"</f>
        <v>1104957927</v>
      </c>
      <c r="B7792" t="str">
        <f>"02433214"</f>
        <v>02433214</v>
      </c>
      <c r="C7792" t="s">
        <v>13436</v>
      </c>
      <c r="D7792" t="s">
        <v>34422</v>
      </c>
      <c r="E7792" t="s">
        <v>34423</v>
      </c>
      <c r="G7792" t="s">
        <v>34424</v>
      </c>
      <c r="L7792" t="s">
        <v>74</v>
      </c>
      <c r="M7792" t="s">
        <v>75</v>
      </c>
      <c r="R7792" t="s">
        <v>34425</v>
      </c>
      <c r="W7792" t="s">
        <v>34423</v>
      </c>
      <c r="X7792" t="s">
        <v>34426</v>
      </c>
      <c r="Y7792" t="s">
        <v>268</v>
      </c>
      <c r="Z7792" t="s">
        <v>77</v>
      </c>
      <c r="AA7792" t="str">
        <f>"11362"</f>
        <v>11362</v>
      </c>
      <c r="AB7792" t="s">
        <v>78</v>
      </c>
      <c r="AC7792" t="s">
        <v>79</v>
      </c>
      <c r="AD7792" t="s">
        <v>75</v>
      </c>
      <c r="AE7792" t="s">
        <v>80</v>
      </c>
      <c r="AG7792" t="s">
        <v>81</v>
      </c>
    </row>
    <row r="7793" spans="1:33" x14ac:dyDescent="0.25">
      <c r="A7793" t="str">
        <f>"1104966324"</f>
        <v>1104966324</v>
      </c>
      <c r="B7793" t="str">
        <f>"03065670"</f>
        <v>03065670</v>
      </c>
      <c r="C7793" t="s">
        <v>13436</v>
      </c>
      <c r="D7793" t="s">
        <v>34427</v>
      </c>
      <c r="E7793" t="s">
        <v>34428</v>
      </c>
      <c r="G7793" t="s">
        <v>34429</v>
      </c>
      <c r="L7793" t="s">
        <v>102</v>
      </c>
      <c r="M7793" t="s">
        <v>75</v>
      </c>
      <c r="R7793" t="s">
        <v>34430</v>
      </c>
      <c r="W7793" t="s">
        <v>34428</v>
      </c>
      <c r="X7793" t="s">
        <v>34431</v>
      </c>
      <c r="Y7793" t="s">
        <v>97</v>
      </c>
      <c r="Z7793" t="s">
        <v>77</v>
      </c>
      <c r="AA7793" t="str">
        <f>"10065-4885"</f>
        <v>10065-4885</v>
      </c>
      <c r="AB7793" t="s">
        <v>78</v>
      </c>
      <c r="AC7793" t="s">
        <v>79</v>
      </c>
      <c r="AD7793" t="s">
        <v>75</v>
      </c>
      <c r="AE7793" t="s">
        <v>80</v>
      </c>
      <c r="AG7793" t="s">
        <v>81</v>
      </c>
    </row>
    <row r="7794" spans="1:33" x14ac:dyDescent="0.25">
      <c r="A7794" t="str">
        <f>"1538203328"</f>
        <v>1538203328</v>
      </c>
      <c r="C7794" t="s">
        <v>13436</v>
      </c>
      <c r="G7794" t="s">
        <v>34432</v>
      </c>
      <c r="K7794" t="s">
        <v>99</v>
      </c>
      <c r="L7794" t="s">
        <v>102</v>
      </c>
      <c r="M7794" t="s">
        <v>75</v>
      </c>
      <c r="R7794" t="s">
        <v>34433</v>
      </c>
      <c r="S7794" t="s">
        <v>11379</v>
      </c>
      <c r="T7794" t="s">
        <v>97</v>
      </c>
      <c r="U7794" t="s">
        <v>77</v>
      </c>
      <c r="V7794" t="str">
        <f>"100296574"</f>
        <v>100296574</v>
      </c>
      <c r="AC7794" t="s">
        <v>79</v>
      </c>
      <c r="AD7794" t="s">
        <v>75</v>
      </c>
      <c r="AE7794" t="s">
        <v>103</v>
      </c>
      <c r="AG7794" t="s">
        <v>81</v>
      </c>
    </row>
    <row r="7795" spans="1:33" x14ac:dyDescent="0.25">
      <c r="A7795" t="str">
        <f>"1134148257"</f>
        <v>1134148257</v>
      </c>
      <c r="B7795" t="str">
        <f>"01621076"</f>
        <v>01621076</v>
      </c>
      <c r="C7795" t="s">
        <v>13436</v>
      </c>
      <c r="D7795" t="s">
        <v>34434</v>
      </c>
      <c r="E7795" t="s">
        <v>34435</v>
      </c>
      <c r="G7795" t="s">
        <v>34436</v>
      </c>
      <c r="L7795" t="s">
        <v>83</v>
      </c>
      <c r="M7795" t="s">
        <v>85</v>
      </c>
      <c r="R7795" t="s">
        <v>34437</v>
      </c>
      <c r="W7795" t="s">
        <v>34435</v>
      </c>
      <c r="X7795" t="s">
        <v>17583</v>
      </c>
      <c r="Y7795" t="s">
        <v>97</v>
      </c>
      <c r="Z7795" t="s">
        <v>77</v>
      </c>
      <c r="AA7795" t="str">
        <f>"10029-6501"</f>
        <v>10029-6501</v>
      </c>
      <c r="AB7795" t="s">
        <v>78</v>
      </c>
      <c r="AC7795" t="s">
        <v>79</v>
      </c>
      <c r="AD7795" t="s">
        <v>75</v>
      </c>
      <c r="AE7795" t="s">
        <v>80</v>
      </c>
      <c r="AG7795" t="s">
        <v>81</v>
      </c>
    </row>
    <row r="7796" spans="1:33" x14ac:dyDescent="0.25">
      <c r="A7796" t="str">
        <f>"1134188212"</f>
        <v>1134188212</v>
      </c>
      <c r="B7796" t="str">
        <f>"02723297"</f>
        <v>02723297</v>
      </c>
      <c r="C7796" t="s">
        <v>13436</v>
      </c>
      <c r="D7796" t="s">
        <v>34438</v>
      </c>
      <c r="E7796" t="s">
        <v>34439</v>
      </c>
      <c r="L7796" t="s">
        <v>83</v>
      </c>
      <c r="M7796" t="s">
        <v>85</v>
      </c>
      <c r="R7796" t="s">
        <v>34440</v>
      </c>
      <c r="W7796" t="s">
        <v>34439</v>
      </c>
      <c r="X7796" t="s">
        <v>34441</v>
      </c>
      <c r="Y7796" t="s">
        <v>97</v>
      </c>
      <c r="Z7796" t="s">
        <v>77</v>
      </c>
      <c r="AA7796" t="str">
        <f>"10029"</f>
        <v>10029</v>
      </c>
      <c r="AB7796" t="s">
        <v>78</v>
      </c>
      <c r="AC7796" t="s">
        <v>79</v>
      </c>
      <c r="AD7796" t="s">
        <v>75</v>
      </c>
      <c r="AE7796" t="s">
        <v>80</v>
      </c>
      <c r="AG7796" t="s">
        <v>81</v>
      </c>
    </row>
    <row r="7797" spans="1:33" x14ac:dyDescent="0.25">
      <c r="A7797" t="str">
        <f>"1134188790"</f>
        <v>1134188790</v>
      </c>
      <c r="B7797" t="str">
        <f>"01862862"</f>
        <v>01862862</v>
      </c>
      <c r="C7797" t="s">
        <v>13436</v>
      </c>
      <c r="D7797" t="s">
        <v>34442</v>
      </c>
      <c r="E7797" t="s">
        <v>34443</v>
      </c>
      <c r="G7797" t="s">
        <v>34444</v>
      </c>
      <c r="L7797" t="s">
        <v>74</v>
      </c>
      <c r="M7797" t="s">
        <v>85</v>
      </c>
      <c r="R7797" t="s">
        <v>34445</v>
      </c>
      <c r="W7797" t="s">
        <v>34443</v>
      </c>
      <c r="X7797" t="s">
        <v>34446</v>
      </c>
      <c r="Y7797" t="s">
        <v>91</v>
      </c>
      <c r="Z7797" t="s">
        <v>77</v>
      </c>
      <c r="AA7797" t="str">
        <f>"11373-1329"</f>
        <v>11373-1329</v>
      </c>
      <c r="AB7797" t="s">
        <v>78</v>
      </c>
      <c r="AC7797" t="s">
        <v>79</v>
      </c>
      <c r="AD7797" t="s">
        <v>75</v>
      </c>
      <c r="AE7797" t="s">
        <v>80</v>
      </c>
      <c r="AG7797" t="s">
        <v>81</v>
      </c>
    </row>
    <row r="7798" spans="1:33" x14ac:dyDescent="0.25">
      <c r="A7798" t="str">
        <f>"1134195803"</f>
        <v>1134195803</v>
      </c>
      <c r="B7798" t="str">
        <f>"01415530"</f>
        <v>01415530</v>
      </c>
      <c r="C7798" t="s">
        <v>13436</v>
      </c>
      <c r="D7798" t="s">
        <v>34447</v>
      </c>
      <c r="E7798" t="s">
        <v>34448</v>
      </c>
      <c r="G7798" t="s">
        <v>34449</v>
      </c>
      <c r="L7798" t="s">
        <v>83</v>
      </c>
      <c r="M7798" t="s">
        <v>85</v>
      </c>
      <c r="R7798" t="s">
        <v>34450</v>
      </c>
      <c r="W7798" t="s">
        <v>34451</v>
      </c>
      <c r="X7798" t="s">
        <v>272</v>
      </c>
      <c r="Y7798" t="s">
        <v>97</v>
      </c>
      <c r="Z7798" t="s">
        <v>77</v>
      </c>
      <c r="AA7798" t="str">
        <f>"10029-6501"</f>
        <v>10029-6501</v>
      </c>
      <c r="AB7798" t="s">
        <v>78</v>
      </c>
      <c r="AC7798" t="s">
        <v>79</v>
      </c>
      <c r="AD7798" t="s">
        <v>75</v>
      </c>
      <c r="AE7798" t="s">
        <v>80</v>
      </c>
      <c r="AG7798" t="s">
        <v>81</v>
      </c>
    </row>
    <row r="7799" spans="1:33" x14ac:dyDescent="0.25">
      <c r="A7799" t="str">
        <f>"1134198401"</f>
        <v>1134198401</v>
      </c>
      <c r="B7799" t="str">
        <f>"01395615"</f>
        <v>01395615</v>
      </c>
      <c r="C7799" t="s">
        <v>13436</v>
      </c>
      <c r="D7799" t="s">
        <v>34452</v>
      </c>
      <c r="E7799" t="s">
        <v>34453</v>
      </c>
      <c r="L7799" t="s">
        <v>105</v>
      </c>
      <c r="M7799" t="s">
        <v>85</v>
      </c>
      <c r="R7799" t="s">
        <v>34454</v>
      </c>
      <c r="W7799" t="s">
        <v>34453</v>
      </c>
      <c r="X7799" t="s">
        <v>1909</v>
      </c>
      <c r="Y7799" t="s">
        <v>97</v>
      </c>
      <c r="Z7799" t="s">
        <v>77</v>
      </c>
      <c r="AA7799" t="str">
        <f>"10029-6500"</f>
        <v>10029-6500</v>
      </c>
      <c r="AB7799" t="s">
        <v>78</v>
      </c>
      <c r="AC7799" t="s">
        <v>79</v>
      </c>
      <c r="AD7799" t="s">
        <v>75</v>
      </c>
      <c r="AE7799" t="s">
        <v>80</v>
      </c>
      <c r="AG7799" t="s">
        <v>81</v>
      </c>
    </row>
    <row r="7800" spans="1:33" x14ac:dyDescent="0.25">
      <c r="A7800" t="str">
        <f>"1295153393"</f>
        <v>1295153393</v>
      </c>
      <c r="C7800" t="s">
        <v>13436</v>
      </c>
      <c r="K7800" t="s">
        <v>99</v>
      </c>
      <c r="L7800" t="s">
        <v>102</v>
      </c>
      <c r="M7800" t="s">
        <v>75</v>
      </c>
      <c r="R7800" t="s">
        <v>34455</v>
      </c>
      <c r="S7800" t="s">
        <v>191</v>
      </c>
      <c r="T7800" t="s">
        <v>97</v>
      </c>
      <c r="U7800" t="s">
        <v>77</v>
      </c>
      <c r="V7800" t="str">
        <f>"100191147"</f>
        <v>100191147</v>
      </c>
      <c r="AC7800" t="s">
        <v>79</v>
      </c>
      <c r="AD7800" t="s">
        <v>75</v>
      </c>
      <c r="AE7800" t="s">
        <v>103</v>
      </c>
      <c r="AG7800" t="s">
        <v>81</v>
      </c>
    </row>
    <row r="7801" spans="1:33" x14ac:dyDescent="0.25">
      <c r="A7801" t="str">
        <f>"1295154433"</f>
        <v>1295154433</v>
      </c>
      <c r="C7801" t="s">
        <v>13436</v>
      </c>
      <c r="K7801" t="s">
        <v>99</v>
      </c>
      <c r="L7801" t="s">
        <v>102</v>
      </c>
      <c r="M7801" t="s">
        <v>75</v>
      </c>
      <c r="R7801" t="s">
        <v>34456</v>
      </c>
      <c r="S7801" t="s">
        <v>14714</v>
      </c>
      <c r="T7801" t="s">
        <v>97</v>
      </c>
      <c r="U7801" t="s">
        <v>77</v>
      </c>
      <c r="V7801" t="str">
        <f>"10025"</f>
        <v>10025</v>
      </c>
      <c r="AC7801" t="s">
        <v>79</v>
      </c>
      <c r="AD7801" t="s">
        <v>75</v>
      </c>
      <c r="AE7801" t="s">
        <v>103</v>
      </c>
      <c r="AG7801" t="s">
        <v>81</v>
      </c>
    </row>
    <row r="7802" spans="1:33" x14ac:dyDescent="0.25">
      <c r="A7802" t="str">
        <f>"1295156586"</f>
        <v>1295156586</v>
      </c>
      <c r="B7802" t="str">
        <f>"03797835"</f>
        <v>03797835</v>
      </c>
      <c r="C7802" t="s">
        <v>13436</v>
      </c>
      <c r="D7802" t="s">
        <v>34457</v>
      </c>
      <c r="E7802" t="s">
        <v>34458</v>
      </c>
      <c r="G7802" t="s">
        <v>34459</v>
      </c>
      <c r="L7802" t="s">
        <v>74</v>
      </c>
      <c r="M7802" t="s">
        <v>75</v>
      </c>
      <c r="R7802" t="s">
        <v>34460</v>
      </c>
      <c r="W7802" t="s">
        <v>34458</v>
      </c>
      <c r="X7802" t="s">
        <v>11436</v>
      </c>
      <c r="Y7802" t="s">
        <v>97</v>
      </c>
      <c r="Z7802" t="s">
        <v>77</v>
      </c>
      <c r="AA7802" t="str">
        <f>"10029-6503"</f>
        <v>10029-6503</v>
      </c>
      <c r="AB7802" t="s">
        <v>78</v>
      </c>
      <c r="AC7802" t="s">
        <v>79</v>
      </c>
      <c r="AD7802" t="s">
        <v>75</v>
      </c>
      <c r="AE7802" t="s">
        <v>80</v>
      </c>
      <c r="AG7802" t="s">
        <v>81</v>
      </c>
    </row>
    <row r="7803" spans="1:33" x14ac:dyDescent="0.25">
      <c r="A7803" t="str">
        <f>"1295167047"</f>
        <v>1295167047</v>
      </c>
      <c r="C7803" t="s">
        <v>13436</v>
      </c>
      <c r="G7803" t="s">
        <v>34461</v>
      </c>
      <c r="K7803" t="s">
        <v>99</v>
      </c>
      <c r="L7803" t="s">
        <v>102</v>
      </c>
      <c r="M7803" t="s">
        <v>75</v>
      </c>
      <c r="R7803" t="s">
        <v>34462</v>
      </c>
      <c r="S7803" t="s">
        <v>12769</v>
      </c>
      <c r="T7803" t="s">
        <v>4861</v>
      </c>
      <c r="U7803" t="s">
        <v>156</v>
      </c>
      <c r="V7803" t="str">
        <f>"076311808"</f>
        <v>076311808</v>
      </c>
      <c r="AC7803" t="s">
        <v>79</v>
      </c>
      <c r="AD7803" t="s">
        <v>75</v>
      </c>
      <c r="AE7803" t="s">
        <v>103</v>
      </c>
      <c r="AG7803" t="s">
        <v>81</v>
      </c>
    </row>
    <row r="7804" spans="1:33" x14ac:dyDescent="0.25">
      <c r="A7804" t="str">
        <f>"1295175933"</f>
        <v>1295175933</v>
      </c>
      <c r="B7804" t="str">
        <f>"03822180"</f>
        <v>03822180</v>
      </c>
      <c r="C7804" t="s">
        <v>13436</v>
      </c>
      <c r="D7804" t="s">
        <v>34463</v>
      </c>
      <c r="E7804" t="s">
        <v>34464</v>
      </c>
      <c r="G7804" t="s">
        <v>34465</v>
      </c>
      <c r="L7804" t="s">
        <v>74</v>
      </c>
      <c r="M7804" t="s">
        <v>75</v>
      </c>
      <c r="R7804" t="s">
        <v>34466</v>
      </c>
      <c r="W7804" t="s">
        <v>34464</v>
      </c>
      <c r="X7804" t="s">
        <v>1076</v>
      </c>
      <c r="Y7804" t="s">
        <v>97</v>
      </c>
      <c r="Z7804" t="s">
        <v>77</v>
      </c>
      <c r="AA7804" t="str">
        <f>"10025-1737"</f>
        <v>10025-1737</v>
      </c>
      <c r="AB7804" t="s">
        <v>125</v>
      </c>
      <c r="AC7804" t="s">
        <v>79</v>
      </c>
      <c r="AD7804" t="s">
        <v>75</v>
      </c>
      <c r="AE7804" t="s">
        <v>80</v>
      </c>
      <c r="AG7804" t="s">
        <v>81</v>
      </c>
    </row>
    <row r="7805" spans="1:33" x14ac:dyDescent="0.25">
      <c r="A7805" t="str">
        <f>"1184818452"</f>
        <v>1184818452</v>
      </c>
      <c r="B7805" t="str">
        <f>"02932910"</f>
        <v>02932910</v>
      </c>
      <c r="C7805" t="s">
        <v>13436</v>
      </c>
      <c r="D7805" t="s">
        <v>34467</v>
      </c>
      <c r="E7805" t="s">
        <v>34468</v>
      </c>
      <c r="G7805" t="s">
        <v>34469</v>
      </c>
      <c r="L7805" t="s">
        <v>105</v>
      </c>
      <c r="M7805" t="s">
        <v>85</v>
      </c>
      <c r="R7805" t="s">
        <v>34470</v>
      </c>
      <c r="W7805" t="s">
        <v>34471</v>
      </c>
      <c r="X7805" t="s">
        <v>197</v>
      </c>
      <c r="Y7805" t="s">
        <v>180</v>
      </c>
      <c r="Z7805" t="s">
        <v>77</v>
      </c>
      <c r="AA7805" t="str">
        <f>"10701-4006"</f>
        <v>10701-4006</v>
      </c>
      <c r="AB7805" t="s">
        <v>78</v>
      </c>
      <c r="AC7805" t="s">
        <v>79</v>
      </c>
      <c r="AD7805" t="s">
        <v>75</v>
      </c>
      <c r="AE7805" t="s">
        <v>80</v>
      </c>
      <c r="AG7805" t="s">
        <v>81</v>
      </c>
    </row>
    <row r="7806" spans="1:33" x14ac:dyDescent="0.25">
      <c r="A7806" t="str">
        <f>"1184853913"</f>
        <v>1184853913</v>
      </c>
      <c r="B7806" t="str">
        <f>"03639916"</f>
        <v>03639916</v>
      </c>
      <c r="C7806" t="s">
        <v>13436</v>
      </c>
      <c r="D7806" t="s">
        <v>34472</v>
      </c>
      <c r="E7806" t="s">
        <v>34473</v>
      </c>
      <c r="L7806" t="s">
        <v>83</v>
      </c>
      <c r="M7806" t="s">
        <v>75</v>
      </c>
      <c r="R7806" t="s">
        <v>34474</v>
      </c>
      <c r="W7806" t="s">
        <v>34473</v>
      </c>
      <c r="X7806" t="s">
        <v>3037</v>
      </c>
      <c r="Y7806" t="s">
        <v>97</v>
      </c>
      <c r="Z7806" t="s">
        <v>77</v>
      </c>
      <c r="AA7806" t="str">
        <f>"10003-0000"</f>
        <v>10003-0000</v>
      </c>
      <c r="AB7806" t="s">
        <v>78</v>
      </c>
      <c r="AC7806" t="s">
        <v>79</v>
      </c>
      <c r="AD7806" t="s">
        <v>75</v>
      </c>
      <c r="AE7806" t="s">
        <v>80</v>
      </c>
      <c r="AG7806" t="s">
        <v>81</v>
      </c>
    </row>
    <row r="7807" spans="1:33" x14ac:dyDescent="0.25">
      <c r="A7807" t="str">
        <f>"1184858425"</f>
        <v>1184858425</v>
      </c>
      <c r="B7807" t="str">
        <f>"03460377"</f>
        <v>03460377</v>
      </c>
      <c r="C7807" t="s">
        <v>13436</v>
      </c>
      <c r="D7807" t="s">
        <v>34475</v>
      </c>
      <c r="E7807" t="s">
        <v>34476</v>
      </c>
      <c r="G7807" t="s">
        <v>34477</v>
      </c>
      <c r="L7807" t="s">
        <v>83</v>
      </c>
      <c r="M7807" t="s">
        <v>85</v>
      </c>
      <c r="R7807" t="s">
        <v>34478</v>
      </c>
      <c r="W7807" t="s">
        <v>34476</v>
      </c>
      <c r="X7807" t="s">
        <v>30770</v>
      </c>
      <c r="Y7807" t="s">
        <v>97</v>
      </c>
      <c r="Z7807" t="s">
        <v>77</v>
      </c>
      <c r="AA7807" t="str">
        <f>"10029-6500"</f>
        <v>10029-6500</v>
      </c>
      <c r="AB7807" t="s">
        <v>78</v>
      </c>
      <c r="AC7807" t="s">
        <v>79</v>
      </c>
      <c r="AD7807" t="s">
        <v>75</v>
      </c>
      <c r="AE7807" t="s">
        <v>80</v>
      </c>
      <c r="AG7807" t="s">
        <v>81</v>
      </c>
    </row>
    <row r="7808" spans="1:33" x14ac:dyDescent="0.25">
      <c r="A7808" t="str">
        <f>"1184858524"</f>
        <v>1184858524</v>
      </c>
      <c r="C7808" t="s">
        <v>13436</v>
      </c>
      <c r="K7808" t="s">
        <v>99</v>
      </c>
      <c r="L7808" t="s">
        <v>102</v>
      </c>
      <c r="M7808" t="s">
        <v>75</v>
      </c>
      <c r="R7808" t="s">
        <v>34479</v>
      </c>
      <c r="S7808" t="s">
        <v>28006</v>
      </c>
      <c r="T7808" t="s">
        <v>5537</v>
      </c>
      <c r="U7808" t="s">
        <v>156</v>
      </c>
      <c r="V7808" t="str">
        <f>"079606136"</f>
        <v>079606136</v>
      </c>
      <c r="AC7808" t="s">
        <v>79</v>
      </c>
      <c r="AD7808" t="s">
        <v>75</v>
      </c>
      <c r="AE7808" t="s">
        <v>103</v>
      </c>
      <c r="AG7808" t="s">
        <v>81</v>
      </c>
    </row>
    <row r="7809" spans="1:33" x14ac:dyDescent="0.25">
      <c r="A7809" t="str">
        <f>"1184874323"</f>
        <v>1184874323</v>
      </c>
      <c r="B7809" t="str">
        <f>"03474004"</f>
        <v>03474004</v>
      </c>
      <c r="C7809" t="s">
        <v>13436</v>
      </c>
      <c r="D7809" t="s">
        <v>34480</v>
      </c>
      <c r="E7809" t="s">
        <v>34481</v>
      </c>
      <c r="L7809" t="s">
        <v>74</v>
      </c>
      <c r="M7809" t="s">
        <v>85</v>
      </c>
      <c r="R7809" t="s">
        <v>34481</v>
      </c>
      <c r="W7809" t="s">
        <v>34482</v>
      </c>
      <c r="X7809" t="s">
        <v>34483</v>
      </c>
      <c r="Y7809" t="s">
        <v>13884</v>
      </c>
      <c r="Z7809" t="s">
        <v>351</v>
      </c>
      <c r="AA7809" t="str">
        <f>"33140-2849"</f>
        <v>33140-2849</v>
      </c>
      <c r="AB7809" t="s">
        <v>78</v>
      </c>
      <c r="AC7809" t="s">
        <v>79</v>
      </c>
      <c r="AD7809" t="s">
        <v>75</v>
      </c>
      <c r="AE7809" t="s">
        <v>80</v>
      </c>
      <c r="AG7809" t="s">
        <v>81</v>
      </c>
    </row>
    <row r="7810" spans="1:33" x14ac:dyDescent="0.25">
      <c r="A7810" t="str">
        <f>"1184878746"</f>
        <v>1184878746</v>
      </c>
      <c r="B7810" t="str">
        <f>"03879256"</f>
        <v>03879256</v>
      </c>
      <c r="C7810" t="s">
        <v>13436</v>
      </c>
      <c r="D7810" t="s">
        <v>34484</v>
      </c>
      <c r="E7810" t="s">
        <v>34485</v>
      </c>
      <c r="G7810" t="s">
        <v>34486</v>
      </c>
      <c r="L7810" t="s">
        <v>102</v>
      </c>
      <c r="M7810" t="s">
        <v>85</v>
      </c>
      <c r="R7810" t="s">
        <v>34487</v>
      </c>
      <c r="W7810" t="s">
        <v>34485</v>
      </c>
      <c r="X7810" t="s">
        <v>329</v>
      </c>
      <c r="Y7810" t="s">
        <v>97</v>
      </c>
      <c r="Z7810" t="s">
        <v>77</v>
      </c>
      <c r="AA7810" t="str">
        <f>"10029-6504"</f>
        <v>10029-6504</v>
      </c>
      <c r="AB7810" t="s">
        <v>78</v>
      </c>
      <c r="AC7810" t="s">
        <v>79</v>
      </c>
      <c r="AD7810" t="s">
        <v>75</v>
      </c>
      <c r="AE7810" t="s">
        <v>80</v>
      </c>
      <c r="AG7810" t="s">
        <v>81</v>
      </c>
    </row>
    <row r="7811" spans="1:33" x14ac:dyDescent="0.25">
      <c r="A7811" t="str">
        <f>"1184882136"</f>
        <v>1184882136</v>
      </c>
      <c r="B7811" t="str">
        <f>"03880480"</f>
        <v>03880480</v>
      </c>
      <c r="C7811" t="s">
        <v>13436</v>
      </c>
      <c r="D7811" t="s">
        <v>34488</v>
      </c>
      <c r="E7811" t="s">
        <v>34489</v>
      </c>
      <c r="G7811" t="s">
        <v>34490</v>
      </c>
      <c r="L7811" t="s">
        <v>74</v>
      </c>
      <c r="M7811" t="s">
        <v>75</v>
      </c>
      <c r="R7811" t="s">
        <v>34491</v>
      </c>
      <c r="W7811" t="s">
        <v>34489</v>
      </c>
      <c r="X7811" t="s">
        <v>1455</v>
      </c>
      <c r="Y7811" t="s">
        <v>91</v>
      </c>
      <c r="Z7811" t="s">
        <v>77</v>
      </c>
      <c r="AA7811" t="str">
        <f>"11373-1329"</f>
        <v>11373-1329</v>
      </c>
      <c r="AB7811" t="s">
        <v>78</v>
      </c>
      <c r="AC7811" t="s">
        <v>79</v>
      </c>
      <c r="AD7811" t="s">
        <v>75</v>
      </c>
      <c r="AE7811" t="s">
        <v>80</v>
      </c>
      <c r="AG7811" t="s">
        <v>81</v>
      </c>
    </row>
    <row r="7812" spans="1:33" x14ac:dyDescent="0.25">
      <c r="A7812" t="str">
        <f>"1184885600"</f>
        <v>1184885600</v>
      </c>
      <c r="B7812" t="str">
        <f>"03318641"</f>
        <v>03318641</v>
      </c>
      <c r="C7812" t="s">
        <v>13436</v>
      </c>
      <c r="D7812" t="s">
        <v>34492</v>
      </c>
      <c r="E7812" t="s">
        <v>34493</v>
      </c>
      <c r="L7812" t="s">
        <v>83</v>
      </c>
      <c r="M7812" t="s">
        <v>85</v>
      </c>
      <c r="R7812" t="s">
        <v>34494</v>
      </c>
      <c r="W7812" t="s">
        <v>34493</v>
      </c>
      <c r="X7812" t="s">
        <v>329</v>
      </c>
      <c r="Y7812" t="s">
        <v>97</v>
      </c>
      <c r="Z7812" t="s">
        <v>77</v>
      </c>
      <c r="AA7812" t="str">
        <f>"10029-6500"</f>
        <v>10029-6500</v>
      </c>
      <c r="AB7812" t="s">
        <v>78</v>
      </c>
      <c r="AC7812" t="s">
        <v>79</v>
      </c>
      <c r="AD7812" t="s">
        <v>75</v>
      </c>
      <c r="AE7812" t="s">
        <v>80</v>
      </c>
      <c r="AG7812" t="s">
        <v>81</v>
      </c>
    </row>
    <row r="7813" spans="1:33" x14ac:dyDescent="0.25">
      <c r="A7813" t="str">
        <f>"1184892796"</f>
        <v>1184892796</v>
      </c>
      <c r="B7813" t="str">
        <f>"03610280"</f>
        <v>03610280</v>
      </c>
      <c r="C7813" t="s">
        <v>13436</v>
      </c>
      <c r="D7813" t="s">
        <v>34495</v>
      </c>
      <c r="E7813" t="s">
        <v>34496</v>
      </c>
      <c r="L7813" t="s">
        <v>94</v>
      </c>
      <c r="M7813" t="s">
        <v>75</v>
      </c>
      <c r="R7813" t="s">
        <v>34497</v>
      </c>
      <c r="W7813" t="s">
        <v>34496</v>
      </c>
      <c r="X7813" t="s">
        <v>235</v>
      </c>
      <c r="Y7813" t="s">
        <v>236</v>
      </c>
      <c r="Z7813" t="s">
        <v>77</v>
      </c>
      <c r="AA7813" t="str">
        <f>"11102-2448"</f>
        <v>11102-2448</v>
      </c>
      <c r="AB7813" t="s">
        <v>78</v>
      </c>
      <c r="AC7813" t="s">
        <v>79</v>
      </c>
      <c r="AD7813" t="s">
        <v>75</v>
      </c>
      <c r="AE7813" t="s">
        <v>80</v>
      </c>
      <c r="AG7813" t="s">
        <v>81</v>
      </c>
    </row>
    <row r="7814" spans="1:33" x14ac:dyDescent="0.25">
      <c r="A7814" t="str">
        <f>"1184897381"</f>
        <v>1184897381</v>
      </c>
      <c r="B7814" t="str">
        <f>"04165651"</f>
        <v>04165651</v>
      </c>
      <c r="C7814" t="s">
        <v>13436</v>
      </c>
      <c r="D7814" t="s">
        <v>34498</v>
      </c>
      <c r="E7814" t="s">
        <v>34499</v>
      </c>
      <c r="G7814" t="s">
        <v>34500</v>
      </c>
      <c r="L7814" t="s">
        <v>83</v>
      </c>
      <c r="M7814" t="s">
        <v>75</v>
      </c>
      <c r="R7814" t="s">
        <v>34499</v>
      </c>
      <c r="W7814" t="s">
        <v>34499</v>
      </c>
      <c r="X7814" t="s">
        <v>32192</v>
      </c>
      <c r="Y7814" t="s">
        <v>97</v>
      </c>
      <c r="Z7814" t="s">
        <v>77</v>
      </c>
      <c r="AA7814" t="str">
        <f>"10029-6501"</f>
        <v>10029-6501</v>
      </c>
      <c r="AB7814" t="s">
        <v>78</v>
      </c>
      <c r="AC7814" t="s">
        <v>79</v>
      </c>
      <c r="AD7814" t="s">
        <v>75</v>
      </c>
      <c r="AE7814" t="s">
        <v>80</v>
      </c>
      <c r="AG7814" t="s">
        <v>81</v>
      </c>
    </row>
    <row r="7815" spans="1:33" x14ac:dyDescent="0.25">
      <c r="A7815" t="str">
        <f>"1184913931"</f>
        <v>1184913931</v>
      </c>
      <c r="B7815" t="str">
        <f>"03714821"</f>
        <v>03714821</v>
      </c>
      <c r="C7815" t="s">
        <v>13436</v>
      </c>
      <c r="D7815" t="s">
        <v>34501</v>
      </c>
      <c r="E7815" t="s">
        <v>34502</v>
      </c>
      <c r="L7815" t="s">
        <v>102</v>
      </c>
      <c r="M7815" t="s">
        <v>75</v>
      </c>
      <c r="R7815" t="s">
        <v>34503</v>
      </c>
      <c r="W7815" t="s">
        <v>34502</v>
      </c>
      <c r="X7815" t="s">
        <v>329</v>
      </c>
      <c r="Y7815" t="s">
        <v>97</v>
      </c>
      <c r="Z7815" t="s">
        <v>77</v>
      </c>
      <c r="AA7815" t="str">
        <f>"10029-6504"</f>
        <v>10029-6504</v>
      </c>
      <c r="AB7815" t="s">
        <v>78</v>
      </c>
      <c r="AC7815" t="s">
        <v>79</v>
      </c>
      <c r="AD7815" t="s">
        <v>75</v>
      </c>
      <c r="AE7815" t="s">
        <v>80</v>
      </c>
      <c r="AG7815" t="s">
        <v>81</v>
      </c>
    </row>
    <row r="7816" spans="1:33" x14ac:dyDescent="0.25">
      <c r="A7816" t="str">
        <f>"1184923765"</f>
        <v>1184923765</v>
      </c>
      <c r="C7816" t="s">
        <v>13436</v>
      </c>
      <c r="K7816" t="s">
        <v>99</v>
      </c>
      <c r="L7816" t="s">
        <v>102</v>
      </c>
      <c r="M7816" t="s">
        <v>75</v>
      </c>
      <c r="R7816" t="s">
        <v>34504</v>
      </c>
      <c r="S7816" t="s">
        <v>34505</v>
      </c>
      <c r="T7816" t="s">
        <v>97</v>
      </c>
      <c r="U7816" t="s">
        <v>77</v>
      </c>
      <c r="V7816" t="str">
        <f>"100296501"</f>
        <v>100296501</v>
      </c>
      <c r="AC7816" t="s">
        <v>79</v>
      </c>
      <c r="AD7816" t="s">
        <v>75</v>
      </c>
      <c r="AE7816" t="s">
        <v>103</v>
      </c>
      <c r="AG7816" t="s">
        <v>81</v>
      </c>
    </row>
    <row r="7817" spans="1:33" x14ac:dyDescent="0.25">
      <c r="A7817" t="str">
        <f>"1891937744"</f>
        <v>1891937744</v>
      </c>
      <c r="B7817" t="str">
        <f>"03639934"</f>
        <v>03639934</v>
      </c>
      <c r="C7817" t="s">
        <v>13436</v>
      </c>
      <c r="D7817" t="s">
        <v>34506</v>
      </c>
      <c r="E7817" t="s">
        <v>34507</v>
      </c>
      <c r="L7817" t="s">
        <v>83</v>
      </c>
      <c r="M7817" t="s">
        <v>85</v>
      </c>
      <c r="R7817" t="s">
        <v>34508</v>
      </c>
      <c r="W7817" t="s">
        <v>34507</v>
      </c>
      <c r="X7817" t="s">
        <v>842</v>
      </c>
      <c r="Y7817" t="s">
        <v>97</v>
      </c>
      <c r="Z7817" t="s">
        <v>77</v>
      </c>
      <c r="AA7817" t="str">
        <f>"10029-6501"</f>
        <v>10029-6501</v>
      </c>
      <c r="AB7817" t="s">
        <v>78</v>
      </c>
      <c r="AC7817" t="s">
        <v>79</v>
      </c>
      <c r="AD7817" t="s">
        <v>75</v>
      </c>
      <c r="AE7817" t="s">
        <v>80</v>
      </c>
      <c r="AG7817" t="s">
        <v>81</v>
      </c>
    </row>
    <row r="7818" spans="1:33" x14ac:dyDescent="0.25">
      <c r="A7818" t="str">
        <f>"1477545796"</f>
        <v>1477545796</v>
      </c>
      <c r="B7818" t="str">
        <f>"02184343"</f>
        <v>02184343</v>
      </c>
      <c r="C7818" t="s">
        <v>13436</v>
      </c>
      <c r="D7818" t="s">
        <v>34509</v>
      </c>
      <c r="E7818" t="s">
        <v>34510</v>
      </c>
      <c r="G7818" t="s">
        <v>34511</v>
      </c>
      <c r="L7818" t="s">
        <v>83</v>
      </c>
      <c r="M7818" t="s">
        <v>85</v>
      </c>
      <c r="R7818" t="s">
        <v>34512</v>
      </c>
      <c r="W7818" t="s">
        <v>34510</v>
      </c>
      <c r="X7818" t="s">
        <v>34513</v>
      </c>
      <c r="Y7818" t="s">
        <v>155</v>
      </c>
      <c r="Z7818" t="s">
        <v>77</v>
      </c>
      <c r="AA7818" t="str">
        <f>"10305-3400"</f>
        <v>10305-3400</v>
      </c>
      <c r="AB7818" t="s">
        <v>78</v>
      </c>
      <c r="AC7818" t="s">
        <v>79</v>
      </c>
      <c r="AD7818" t="s">
        <v>75</v>
      </c>
      <c r="AE7818" t="s">
        <v>80</v>
      </c>
      <c r="AG7818" t="s">
        <v>81</v>
      </c>
    </row>
    <row r="7819" spans="1:33" x14ac:dyDescent="0.25">
      <c r="A7819" t="str">
        <f>"1063498129"</f>
        <v>1063498129</v>
      </c>
      <c r="B7819" t="str">
        <f>"02600219"</f>
        <v>02600219</v>
      </c>
      <c r="C7819" t="s">
        <v>13436</v>
      </c>
      <c r="D7819" t="s">
        <v>34514</v>
      </c>
      <c r="E7819" t="s">
        <v>34515</v>
      </c>
      <c r="G7819" t="s">
        <v>34516</v>
      </c>
      <c r="L7819" t="s">
        <v>74</v>
      </c>
      <c r="M7819" t="s">
        <v>85</v>
      </c>
      <c r="R7819" t="s">
        <v>34517</v>
      </c>
      <c r="W7819" t="s">
        <v>34515</v>
      </c>
      <c r="X7819" t="s">
        <v>5686</v>
      </c>
      <c r="Y7819" t="s">
        <v>1859</v>
      </c>
      <c r="Z7819" t="s">
        <v>77</v>
      </c>
      <c r="AA7819" t="str">
        <f>"11777-2119"</f>
        <v>11777-2119</v>
      </c>
      <c r="AB7819" t="s">
        <v>78</v>
      </c>
      <c r="AC7819" t="s">
        <v>79</v>
      </c>
      <c r="AD7819" t="s">
        <v>75</v>
      </c>
      <c r="AE7819" t="s">
        <v>80</v>
      </c>
      <c r="AG7819" t="s">
        <v>81</v>
      </c>
    </row>
    <row r="7820" spans="1:33" x14ac:dyDescent="0.25">
      <c r="A7820" t="str">
        <f>"1063551497"</f>
        <v>1063551497</v>
      </c>
      <c r="B7820" t="str">
        <f>"00976054"</f>
        <v>00976054</v>
      </c>
      <c r="C7820" t="s">
        <v>13436</v>
      </c>
      <c r="D7820" t="s">
        <v>34518</v>
      </c>
      <c r="E7820" t="s">
        <v>34519</v>
      </c>
      <c r="L7820" t="s">
        <v>84</v>
      </c>
      <c r="M7820" t="s">
        <v>85</v>
      </c>
      <c r="R7820" t="s">
        <v>34520</v>
      </c>
      <c r="W7820" t="s">
        <v>34519</v>
      </c>
      <c r="X7820" t="s">
        <v>185</v>
      </c>
      <c r="Y7820" t="s">
        <v>97</v>
      </c>
      <c r="Z7820" t="s">
        <v>77</v>
      </c>
      <c r="AA7820" t="str">
        <f>"10035-2709"</f>
        <v>10035-2709</v>
      </c>
      <c r="AB7820" t="s">
        <v>78</v>
      </c>
      <c r="AC7820" t="s">
        <v>79</v>
      </c>
      <c r="AD7820" t="s">
        <v>75</v>
      </c>
      <c r="AE7820" t="s">
        <v>80</v>
      </c>
      <c r="AG7820" t="s">
        <v>81</v>
      </c>
    </row>
    <row r="7821" spans="1:33" x14ac:dyDescent="0.25">
      <c r="A7821" t="str">
        <f>"1447684535"</f>
        <v>1447684535</v>
      </c>
      <c r="B7821" t="str">
        <f>"03727864"</f>
        <v>03727864</v>
      </c>
      <c r="C7821" t="s">
        <v>13436</v>
      </c>
      <c r="D7821" t="s">
        <v>34521</v>
      </c>
      <c r="E7821" t="s">
        <v>34522</v>
      </c>
      <c r="G7821" t="s">
        <v>34523</v>
      </c>
      <c r="L7821" t="s">
        <v>74</v>
      </c>
      <c r="M7821" t="s">
        <v>75</v>
      </c>
      <c r="R7821" t="s">
        <v>34522</v>
      </c>
      <c r="W7821" t="s">
        <v>34522</v>
      </c>
      <c r="X7821" t="s">
        <v>11523</v>
      </c>
      <c r="Y7821" t="s">
        <v>97</v>
      </c>
      <c r="Z7821" t="s">
        <v>77</v>
      </c>
      <c r="AA7821" t="str">
        <f>"10029-6508"</f>
        <v>10029-6508</v>
      </c>
      <c r="AB7821" t="s">
        <v>78</v>
      </c>
      <c r="AC7821" t="s">
        <v>79</v>
      </c>
      <c r="AD7821" t="s">
        <v>75</v>
      </c>
      <c r="AE7821" t="s">
        <v>80</v>
      </c>
      <c r="AG7821" t="s">
        <v>81</v>
      </c>
    </row>
    <row r="7822" spans="1:33" x14ac:dyDescent="0.25">
      <c r="A7822" t="str">
        <f>"1447693056"</f>
        <v>1447693056</v>
      </c>
      <c r="C7822" t="s">
        <v>13436</v>
      </c>
      <c r="K7822" t="s">
        <v>99</v>
      </c>
      <c r="L7822" t="s">
        <v>102</v>
      </c>
      <c r="M7822" t="s">
        <v>75</v>
      </c>
      <c r="R7822" t="s">
        <v>34524</v>
      </c>
      <c r="S7822" t="s">
        <v>191</v>
      </c>
      <c r="T7822" t="s">
        <v>97</v>
      </c>
      <c r="U7822" t="s">
        <v>77</v>
      </c>
      <c r="V7822" t="str">
        <f>"100191147"</f>
        <v>100191147</v>
      </c>
      <c r="AC7822" t="s">
        <v>79</v>
      </c>
      <c r="AD7822" t="s">
        <v>75</v>
      </c>
      <c r="AE7822" t="s">
        <v>103</v>
      </c>
      <c r="AG7822" t="s">
        <v>81</v>
      </c>
    </row>
    <row r="7823" spans="1:33" x14ac:dyDescent="0.25">
      <c r="A7823" t="str">
        <f>"1447695267"</f>
        <v>1447695267</v>
      </c>
      <c r="C7823" t="s">
        <v>13436</v>
      </c>
      <c r="K7823" t="s">
        <v>99</v>
      </c>
      <c r="L7823" t="s">
        <v>102</v>
      </c>
      <c r="M7823" t="s">
        <v>75</v>
      </c>
      <c r="R7823" t="s">
        <v>34525</v>
      </c>
      <c r="S7823" t="s">
        <v>34526</v>
      </c>
      <c r="T7823" t="s">
        <v>254</v>
      </c>
      <c r="U7823" t="s">
        <v>77</v>
      </c>
      <c r="V7823" t="str">
        <f>"113745222"</f>
        <v>113745222</v>
      </c>
      <c r="AC7823" t="s">
        <v>79</v>
      </c>
      <c r="AD7823" t="s">
        <v>75</v>
      </c>
      <c r="AE7823" t="s">
        <v>103</v>
      </c>
      <c r="AG7823" t="s">
        <v>81</v>
      </c>
    </row>
    <row r="7824" spans="1:33" x14ac:dyDescent="0.25">
      <c r="A7824" t="str">
        <f>"1851565543"</f>
        <v>1851565543</v>
      </c>
      <c r="B7824" t="str">
        <f>"02975235"</f>
        <v>02975235</v>
      </c>
      <c r="C7824" t="s">
        <v>13436</v>
      </c>
      <c r="D7824" t="s">
        <v>34527</v>
      </c>
      <c r="E7824" t="s">
        <v>4608</v>
      </c>
      <c r="L7824" t="s">
        <v>83</v>
      </c>
      <c r="M7824" t="s">
        <v>85</v>
      </c>
      <c r="R7824" t="s">
        <v>4608</v>
      </c>
      <c r="W7824" t="s">
        <v>34528</v>
      </c>
      <c r="X7824" t="s">
        <v>329</v>
      </c>
      <c r="Y7824" t="s">
        <v>97</v>
      </c>
      <c r="Z7824" t="s">
        <v>77</v>
      </c>
      <c r="AA7824" t="str">
        <f>"10029-6500"</f>
        <v>10029-6500</v>
      </c>
      <c r="AB7824" t="s">
        <v>78</v>
      </c>
      <c r="AC7824" t="s">
        <v>79</v>
      </c>
      <c r="AD7824" t="s">
        <v>75</v>
      </c>
      <c r="AE7824" t="s">
        <v>80</v>
      </c>
      <c r="AG7824" t="s">
        <v>81</v>
      </c>
    </row>
    <row r="7825" spans="1:33" x14ac:dyDescent="0.25">
      <c r="A7825" t="str">
        <f>"1851575963"</f>
        <v>1851575963</v>
      </c>
      <c r="C7825" t="s">
        <v>13436</v>
      </c>
      <c r="G7825" t="s">
        <v>34529</v>
      </c>
      <c r="K7825" t="s">
        <v>99</v>
      </c>
      <c r="L7825" t="s">
        <v>74</v>
      </c>
      <c r="M7825" t="s">
        <v>75</v>
      </c>
      <c r="R7825" t="s">
        <v>34530</v>
      </c>
      <c r="S7825" t="s">
        <v>34531</v>
      </c>
      <c r="T7825" t="s">
        <v>87</v>
      </c>
      <c r="U7825" t="s">
        <v>77</v>
      </c>
      <c r="V7825" t="str">
        <f>"112225926"</f>
        <v>112225926</v>
      </c>
      <c r="AC7825" t="s">
        <v>79</v>
      </c>
      <c r="AD7825" t="s">
        <v>75</v>
      </c>
      <c r="AE7825" t="s">
        <v>103</v>
      </c>
      <c r="AG7825" t="s">
        <v>81</v>
      </c>
    </row>
    <row r="7826" spans="1:33" x14ac:dyDescent="0.25">
      <c r="A7826" t="str">
        <f>"1851596142"</f>
        <v>1851596142</v>
      </c>
      <c r="B7826" t="str">
        <f>"03014459"</f>
        <v>03014459</v>
      </c>
      <c r="C7826" t="s">
        <v>13436</v>
      </c>
      <c r="D7826" t="s">
        <v>34532</v>
      </c>
      <c r="E7826" t="s">
        <v>34533</v>
      </c>
      <c r="L7826" t="s">
        <v>83</v>
      </c>
      <c r="M7826" t="s">
        <v>85</v>
      </c>
      <c r="R7826" t="s">
        <v>34534</v>
      </c>
      <c r="W7826" t="s">
        <v>34533</v>
      </c>
      <c r="X7826" t="s">
        <v>195</v>
      </c>
      <c r="Y7826" t="s">
        <v>153</v>
      </c>
      <c r="Z7826" t="s">
        <v>77</v>
      </c>
      <c r="AA7826" t="str">
        <f>"12601-3947"</f>
        <v>12601-3947</v>
      </c>
      <c r="AB7826" t="s">
        <v>78</v>
      </c>
      <c r="AC7826" t="s">
        <v>79</v>
      </c>
      <c r="AD7826" t="s">
        <v>75</v>
      </c>
      <c r="AE7826" t="s">
        <v>80</v>
      </c>
      <c r="AG7826" t="s">
        <v>81</v>
      </c>
    </row>
    <row r="7827" spans="1:33" x14ac:dyDescent="0.25">
      <c r="A7827" t="str">
        <f>"1851606875"</f>
        <v>1851606875</v>
      </c>
      <c r="B7827" t="str">
        <f>"03484342"</f>
        <v>03484342</v>
      </c>
      <c r="C7827" t="s">
        <v>13436</v>
      </c>
      <c r="D7827" t="s">
        <v>34535</v>
      </c>
      <c r="E7827" t="s">
        <v>34536</v>
      </c>
      <c r="G7827" t="s">
        <v>34537</v>
      </c>
      <c r="L7827" t="s">
        <v>74</v>
      </c>
      <c r="M7827" t="s">
        <v>85</v>
      </c>
      <c r="R7827" t="s">
        <v>34538</v>
      </c>
      <c r="W7827" t="s">
        <v>34536</v>
      </c>
      <c r="X7827" t="s">
        <v>34539</v>
      </c>
      <c r="Y7827" t="s">
        <v>97</v>
      </c>
      <c r="Z7827" t="s">
        <v>77</v>
      </c>
      <c r="AA7827" t="str">
        <f>"10019-1147"</f>
        <v>10019-1147</v>
      </c>
      <c r="AB7827" t="s">
        <v>78</v>
      </c>
      <c r="AC7827" t="s">
        <v>79</v>
      </c>
      <c r="AD7827" t="s">
        <v>75</v>
      </c>
      <c r="AE7827" t="s">
        <v>80</v>
      </c>
      <c r="AG7827" t="s">
        <v>81</v>
      </c>
    </row>
    <row r="7828" spans="1:33" x14ac:dyDescent="0.25">
      <c r="A7828" t="str">
        <f>"1548402860"</f>
        <v>1548402860</v>
      </c>
      <c r="C7828" t="s">
        <v>13436</v>
      </c>
      <c r="K7828" t="s">
        <v>99</v>
      </c>
      <c r="L7828" t="s">
        <v>102</v>
      </c>
      <c r="M7828" t="s">
        <v>75</v>
      </c>
      <c r="R7828" t="s">
        <v>34540</v>
      </c>
      <c r="S7828" t="s">
        <v>159</v>
      </c>
      <c r="T7828" t="s">
        <v>160</v>
      </c>
      <c r="U7828" t="s">
        <v>77</v>
      </c>
      <c r="V7828" t="str">
        <f>"11030"</f>
        <v>11030</v>
      </c>
      <c r="AC7828" t="s">
        <v>79</v>
      </c>
      <c r="AD7828" t="s">
        <v>75</v>
      </c>
      <c r="AE7828" t="s">
        <v>103</v>
      </c>
      <c r="AG7828" t="s">
        <v>81</v>
      </c>
    </row>
    <row r="7829" spans="1:33" x14ac:dyDescent="0.25">
      <c r="A7829" t="str">
        <f>"1548406747"</f>
        <v>1548406747</v>
      </c>
      <c r="B7829" t="str">
        <f>"03918178"</f>
        <v>03918178</v>
      </c>
      <c r="C7829" t="s">
        <v>13436</v>
      </c>
      <c r="D7829" t="s">
        <v>34541</v>
      </c>
      <c r="E7829" t="s">
        <v>34542</v>
      </c>
      <c r="L7829" t="s">
        <v>83</v>
      </c>
      <c r="M7829" t="s">
        <v>85</v>
      </c>
      <c r="R7829" t="s">
        <v>34542</v>
      </c>
      <c r="W7829" t="s">
        <v>34542</v>
      </c>
      <c r="X7829" t="s">
        <v>175</v>
      </c>
      <c r="Y7829" t="s">
        <v>87</v>
      </c>
      <c r="Z7829" t="s">
        <v>77</v>
      </c>
      <c r="AA7829" t="str">
        <f>"11235-7745"</f>
        <v>11235-7745</v>
      </c>
      <c r="AB7829" t="s">
        <v>78</v>
      </c>
      <c r="AC7829" t="s">
        <v>79</v>
      </c>
      <c r="AD7829" t="s">
        <v>75</v>
      </c>
      <c r="AE7829" t="s">
        <v>80</v>
      </c>
      <c r="AG7829" t="s">
        <v>81</v>
      </c>
    </row>
    <row r="7830" spans="1:33" x14ac:dyDescent="0.25">
      <c r="A7830" t="str">
        <f>"1548410525"</f>
        <v>1548410525</v>
      </c>
      <c r="B7830" t="str">
        <f>"03441389"</f>
        <v>03441389</v>
      </c>
      <c r="C7830" t="s">
        <v>13436</v>
      </c>
      <c r="D7830" t="s">
        <v>34543</v>
      </c>
      <c r="E7830" t="s">
        <v>34544</v>
      </c>
      <c r="G7830" t="s">
        <v>34545</v>
      </c>
      <c r="L7830" t="s">
        <v>83</v>
      </c>
      <c r="M7830" t="s">
        <v>85</v>
      </c>
      <c r="R7830" t="s">
        <v>4578</v>
      </c>
      <c r="W7830" t="s">
        <v>34544</v>
      </c>
      <c r="X7830" t="s">
        <v>329</v>
      </c>
      <c r="Y7830" t="s">
        <v>97</v>
      </c>
      <c r="Z7830" t="s">
        <v>77</v>
      </c>
      <c r="AA7830" t="str">
        <f>"10029-6500"</f>
        <v>10029-6500</v>
      </c>
      <c r="AB7830" t="s">
        <v>78</v>
      </c>
      <c r="AC7830" t="s">
        <v>79</v>
      </c>
      <c r="AD7830" t="s">
        <v>75</v>
      </c>
      <c r="AE7830" t="s">
        <v>80</v>
      </c>
      <c r="AG7830" t="s">
        <v>81</v>
      </c>
    </row>
    <row r="7831" spans="1:33" x14ac:dyDescent="0.25">
      <c r="A7831" t="str">
        <f>"1184031981"</f>
        <v>1184031981</v>
      </c>
      <c r="C7831" t="s">
        <v>13436</v>
      </c>
      <c r="G7831" t="s">
        <v>34546</v>
      </c>
      <c r="K7831" t="s">
        <v>99</v>
      </c>
      <c r="L7831" t="s">
        <v>102</v>
      </c>
      <c r="M7831" t="s">
        <v>75</v>
      </c>
      <c r="R7831" t="s">
        <v>34547</v>
      </c>
      <c r="S7831" t="s">
        <v>12769</v>
      </c>
      <c r="T7831" t="s">
        <v>4861</v>
      </c>
      <c r="U7831" t="s">
        <v>156</v>
      </c>
      <c r="V7831" t="str">
        <f>"076311808"</f>
        <v>076311808</v>
      </c>
      <c r="AC7831" t="s">
        <v>79</v>
      </c>
      <c r="AD7831" t="s">
        <v>75</v>
      </c>
      <c r="AE7831" t="s">
        <v>103</v>
      </c>
      <c r="AG7831" t="s">
        <v>81</v>
      </c>
    </row>
    <row r="7832" spans="1:33" x14ac:dyDescent="0.25">
      <c r="A7832" t="str">
        <f>"1609969609"</f>
        <v>1609969609</v>
      </c>
      <c r="B7832" t="str">
        <f>"00132169"</f>
        <v>00132169</v>
      </c>
      <c r="C7832" t="s">
        <v>13436</v>
      </c>
      <c r="D7832" t="s">
        <v>34548</v>
      </c>
      <c r="E7832" t="s">
        <v>34549</v>
      </c>
      <c r="G7832" t="s">
        <v>34550</v>
      </c>
      <c r="L7832" t="s">
        <v>83</v>
      </c>
      <c r="M7832" t="s">
        <v>85</v>
      </c>
      <c r="R7832" t="s">
        <v>34551</v>
      </c>
      <c r="W7832" t="s">
        <v>34549</v>
      </c>
      <c r="X7832" t="s">
        <v>9730</v>
      </c>
      <c r="Y7832" t="s">
        <v>97</v>
      </c>
      <c r="Z7832" t="s">
        <v>77</v>
      </c>
      <c r="AA7832" t="str">
        <f>"10024-3512"</f>
        <v>10024-3512</v>
      </c>
      <c r="AB7832" t="s">
        <v>78</v>
      </c>
      <c r="AC7832" t="s">
        <v>79</v>
      </c>
      <c r="AD7832" t="s">
        <v>75</v>
      </c>
      <c r="AE7832" t="s">
        <v>80</v>
      </c>
      <c r="AG7832" t="s">
        <v>81</v>
      </c>
    </row>
    <row r="7833" spans="1:33" x14ac:dyDescent="0.25">
      <c r="A7833" t="str">
        <f>"1619022712"</f>
        <v>1619022712</v>
      </c>
      <c r="B7833" t="str">
        <f>"00971522"</f>
        <v>00971522</v>
      </c>
      <c r="C7833" t="s">
        <v>13436</v>
      </c>
      <c r="D7833" t="s">
        <v>34552</v>
      </c>
      <c r="E7833" t="s">
        <v>34553</v>
      </c>
      <c r="G7833" t="s">
        <v>34554</v>
      </c>
      <c r="L7833" t="s">
        <v>74</v>
      </c>
      <c r="M7833" t="s">
        <v>85</v>
      </c>
      <c r="R7833" t="s">
        <v>34555</v>
      </c>
      <c r="W7833" t="s">
        <v>34553</v>
      </c>
      <c r="X7833" t="s">
        <v>34556</v>
      </c>
      <c r="Y7833" t="s">
        <v>97</v>
      </c>
      <c r="Z7833" t="s">
        <v>77</v>
      </c>
      <c r="AA7833" t="str">
        <f>"10028-0115"</f>
        <v>10028-0115</v>
      </c>
      <c r="AB7833" t="s">
        <v>78</v>
      </c>
      <c r="AC7833" t="s">
        <v>79</v>
      </c>
      <c r="AD7833" t="s">
        <v>75</v>
      </c>
      <c r="AE7833" t="s">
        <v>80</v>
      </c>
      <c r="AG7833" t="s">
        <v>81</v>
      </c>
    </row>
    <row r="7834" spans="1:33" x14ac:dyDescent="0.25">
      <c r="A7834" t="str">
        <f>"1619139797"</f>
        <v>1619139797</v>
      </c>
      <c r="B7834" t="str">
        <f>"03024893"</f>
        <v>03024893</v>
      </c>
      <c r="C7834" t="s">
        <v>13436</v>
      </c>
      <c r="D7834" t="s">
        <v>34557</v>
      </c>
      <c r="E7834" t="s">
        <v>34558</v>
      </c>
      <c r="G7834" t="s">
        <v>34559</v>
      </c>
      <c r="L7834" t="s">
        <v>83</v>
      </c>
      <c r="M7834" t="s">
        <v>85</v>
      </c>
      <c r="R7834" t="s">
        <v>34560</v>
      </c>
      <c r="W7834" t="s">
        <v>34558</v>
      </c>
      <c r="X7834" t="s">
        <v>5585</v>
      </c>
      <c r="Y7834" t="s">
        <v>97</v>
      </c>
      <c r="Z7834" t="s">
        <v>77</v>
      </c>
      <c r="AA7834" t="str">
        <f>"10003-3881"</f>
        <v>10003-3881</v>
      </c>
      <c r="AB7834" t="s">
        <v>78</v>
      </c>
      <c r="AC7834" t="s">
        <v>79</v>
      </c>
      <c r="AD7834" t="s">
        <v>75</v>
      </c>
      <c r="AE7834" t="s">
        <v>80</v>
      </c>
      <c r="AG7834" t="s">
        <v>81</v>
      </c>
    </row>
    <row r="7835" spans="1:33" x14ac:dyDescent="0.25">
      <c r="A7835" t="str">
        <f>"1619178142"</f>
        <v>1619178142</v>
      </c>
      <c r="B7835" t="str">
        <f>"04056653"</f>
        <v>04056653</v>
      </c>
      <c r="C7835" t="s">
        <v>13436</v>
      </c>
      <c r="D7835" t="s">
        <v>34561</v>
      </c>
      <c r="E7835" t="s">
        <v>34562</v>
      </c>
      <c r="G7835" t="s">
        <v>34563</v>
      </c>
      <c r="L7835" t="s">
        <v>74</v>
      </c>
      <c r="M7835" t="s">
        <v>85</v>
      </c>
      <c r="R7835" t="s">
        <v>34564</v>
      </c>
      <c r="W7835" t="s">
        <v>34562</v>
      </c>
      <c r="X7835" t="s">
        <v>34565</v>
      </c>
      <c r="Y7835" t="s">
        <v>97</v>
      </c>
      <c r="Z7835" t="s">
        <v>77</v>
      </c>
      <c r="AA7835" t="str">
        <f>"10019-2925"</f>
        <v>10019-2925</v>
      </c>
      <c r="AB7835" t="s">
        <v>78</v>
      </c>
      <c r="AC7835" t="s">
        <v>79</v>
      </c>
      <c r="AD7835" t="s">
        <v>75</v>
      </c>
      <c r="AE7835" t="s">
        <v>80</v>
      </c>
      <c r="AG7835" t="s">
        <v>81</v>
      </c>
    </row>
    <row r="7836" spans="1:33" x14ac:dyDescent="0.25">
      <c r="A7836" t="str">
        <f>"1619904281"</f>
        <v>1619904281</v>
      </c>
      <c r="B7836" t="str">
        <f>"02366654"</f>
        <v>02366654</v>
      </c>
      <c r="C7836" t="s">
        <v>13436</v>
      </c>
      <c r="D7836" t="s">
        <v>34566</v>
      </c>
      <c r="E7836" t="s">
        <v>34567</v>
      </c>
      <c r="G7836" t="s">
        <v>34568</v>
      </c>
      <c r="L7836" t="s">
        <v>83</v>
      </c>
      <c r="M7836" t="s">
        <v>85</v>
      </c>
      <c r="R7836" t="s">
        <v>34569</v>
      </c>
      <c r="W7836" t="s">
        <v>34567</v>
      </c>
      <c r="X7836" t="s">
        <v>191</v>
      </c>
      <c r="Y7836" t="s">
        <v>97</v>
      </c>
      <c r="Z7836" t="s">
        <v>77</v>
      </c>
      <c r="AA7836" t="str">
        <f>"10019-1147"</f>
        <v>10019-1147</v>
      </c>
      <c r="AB7836" t="s">
        <v>78</v>
      </c>
      <c r="AC7836" t="s">
        <v>79</v>
      </c>
      <c r="AD7836" t="s">
        <v>75</v>
      </c>
      <c r="AE7836" t="s">
        <v>80</v>
      </c>
      <c r="AG7836" t="s">
        <v>81</v>
      </c>
    </row>
    <row r="7837" spans="1:33" x14ac:dyDescent="0.25">
      <c r="A7837" t="str">
        <f>"1619991114"</f>
        <v>1619991114</v>
      </c>
      <c r="B7837" t="str">
        <f>"02799553"</f>
        <v>02799553</v>
      </c>
      <c r="C7837" t="s">
        <v>13436</v>
      </c>
      <c r="D7837" t="s">
        <v>34570</v>
      </c>
      <c r="E7837" t="s">
        <v>34571</v>
      </c>
      <c r="G7837" t="s">
        <v>34572</v>
      </c>
      <c r="L7837" t="s">
        <v>84</v>
      </c>
      <c r="M7837" t="s">
        <v>85</v>
      </c>
      <c r="R7837" t="s">
        <v>34573</v>
      </c>
      <c r="W7837" t="s">
        <v>34571</v>
      </c>
      <c r="X7837" t="s">
        <v>303</v>
      </c>
      <c r="Y7837" t="s">
        <v>139</v>
      </c>
      <c r="Z7837" t="s">
        <v>77</v>
      </c>
      <c r="AA7837" t="str">
        <f>"11355-5045"</f>
        <v>11355-5045</v>
      </c>
      <c r="AB7837" t="s">
        <v>78</v>
      </c>
      <c r="AC7837" t="s">
        <v>79</v>
      </c>
      <c r="AD7837" t="s">
        <v>75</v>
      </c>
      <c r="AE7837" t="s">
        <v>80</v>
      </c>
      <c r="AG7837" t="s">
        <v>81</v>
      </c>
    </row>
    <row r="7838" spans="1:33" x14ac:dyDescent="0.25">
      <c r="A7838" t="str">
        <f>"1023085727"</f>
        <v>1023085727</v>
      </c>
      <c r="B7838" t="str">
        <f>"01035941"</f>
        <v>01035941</v>
      </c>
      <c r="C7838" t="s">
        <v>13436</v>
      </c>
      <c r="D7838" t="s">
        <v>34574</v>
      </c>
      <c r="E7838" t="s">
        <v>34575</v>
      </c>
      <c r="G7838" t="s">
        <v>34576</v>
      </c>
      <c r="L7838" t="s">
        <v>74</v>
      </c>
      <c r="M7838" t="s">
        <v>85</v>
      </c>
      <c r="R7838" t="s">
        <v>34577</v>
      </c>
      <c r="W7838" t="s">
        <v>34575</v>
      </c>
      <c r="X7838" t="s">
        <v>329</v>
      </c>
      <c r="Y7838" t="s">
        <v>97</v>
      </c>
      <c r="Z7838" t="s">
        <v>77</v>
      </c>
      <c r="AA7838" t="str">
        <f>"10029-6500"</f>
        <v>10029-6500</v>
      </c>
      <c r="AB7838" t="s">
        <v>78</v>
      </c>
      <c r="AC7838" t="s">
        <v>79</v>
      </c>
      <c r="AD7838" t="s">
        <v>75</v>
      </c>
      <c r="AE7838" t="s">
        <v>80</v>
      </c>
      <c r="AG7838" t="s">
        <v>81</v>
      </c>
    </row>
    <row r="7839" spans="1:33" x14ac:dyDescent="0.25">
      <c r="A7839" t="str">
        <f>"1023137775"</f>
        <v>1023137775</v>
      </c>
      <c r="C7839" t="s">
        <v>13436</v>
      </c>
      <c r="G7839" t="s">
        <v>34578</v>
      </c>
      <c r="K7839" t="s">
        <v>99</v>
      </c>
      <c r="L7839" t="s">
        <v>102</v>
      </c>
      <c r="M7839" t="s">
        <v>75</v>
      </c>
      <c r="R7839" t="s">
        <v>34579</v>
      </c>
      <c r="S7839" t="s">
        <v>34580</v>
      </c>
      <c r="T7839" t="s">
        <v>97</v>
      </c>
      <c r="U7839" t="s">
        <v>77</v>
      </c>
      <c r="V7839" t="str">
        <f>"100321007"</f>
        <v>100321007</v>
      </c>
      <c r="AC7839" t="s">
        <v>79</v>
      </c>
      <c r="AD7839" t="s">
        <v>75</v>
      </c>
      <c r="AE7839" t="s">
        <v>103</v>
      </c>
      <c r="AG7839" t="s">
        <v>81</v>
      </c>
    </row>
    <row r="7840" spans="1:33" x14ac:dyDescent="0.25">
      <c r="A7840" t="str">
        <f>"1104152412"</f>
        <v>1104152412</v>
      </c>
      <c r="C7840" t="s">
        <v>13436</v>
      </c>
      <c r="K7840" t="s">
        <v>99</v>
      </c>
      <c r="L7840" t="s">
        <v>102</v>
      </c>
      <c r="M7840" t="s">
        <v>75</v>
      </c>
      <c r="R7840" t="s">
        <v>34581</v>
      </c>
      <c r="S7840" t="s">
        <v>34582</v>
      </c>
      <c r="T7840" t="s">
        <v>13705</v>
      </c>
      <c r="U7840" t="s">
        <v>2595</v>
      </c>
      <c r="V7840" t="str">
        <f>"941432204"</f>
        <v>941432204</v>
      </c>
      <c r="AC7840" t="s">
        <v>79</v>
      </c>
      <c r="AD7840" t="s">
        <v>75</v>
      </c>
      <c r="AE7840" t="s">
        <v>103</v>
      </c>
      <c r="AG7840" t="s">
        <v>81</v>
      </c>
    </row>
    <row r="7841" spans="1:33" x14ac:dyDescent="0.25">
      <c r="A7841" t="str">
        <f>"1205182938"</f>
        <v>1205182938</v>
      </c>
      <c r="B7841" t="str">
        <f>"01054888"</f>
        <v>01054888</v>
      </c>
      <c r="C7841" t="s">
        <v>13436</v>
      </c>
      <c r="D7841" t="s">
        <v>34583</v>
      </c>
      <c r="E7841" t="s">
        <v>34584</v>
      </c>
      <c r="G7841" t="s">
        <v>34585</v>
      </c>
      <c r="L7841" t="s">
        <v>74</v>
      </c>
      <c r="M7841" t="s">
        <v>85</v>
      </c>
      <c r="R7841" t="s">
        <v>34586</v>
      </c>
      <c r="W7841" t="s">
        <v>34587</v>
      </c>
      <c r="X7841" t="s">
        <v>329</v>
      </c>
      <c r="Y7841" t="s">
        <v>97</v>
      </c>
      <c r="Z7841" t="s">
        <v>77</v>
      </c>
      <c r="AA7841" t="str">
        <f>"10029-6504"</f>
        <v>10029-6504</v>
      </c>
      <c r="AB7841" t="s">
        <v>78</v>
      </c>
      <c r="AC7841" t="s">
        <v>79</v>
      </c>
      <c r="AD7841" t="s">
        <v>75</v>
      </c>
      <c r="AE7841" t="s">
        <v>80</v>
      </c>
      <c r="AG7841" t="s">
        <v>81</v>
      </c>
    </row>
    <row r="7842" spans="1:33" x14ac:dyDescent="0.25">
      <c r="A7842" t="str">
        <f>"1215032537"</f>
        <v>1215032537</v>
      </c>
      <c r="B7842" t="str">
        <f>"01722976"</f>
        <v>01722976</v>
      </c>
      <c r="C7842" t="s">
        <v>13436</v>
      </c>
      <c r="D7842" t="s">
        <v>34588</v>
      </c>
      <c r="E7842" t="s">
        <v>34589</v>
      </c>
      <c r="G7842" t="s">
        <v>34590</v>
      </c>
      <c r="L7842" t="s">
        <v>84</v>
      </c>
      <c r="M7842" t="s">
        <v>75</v>
      </c>
      <c r="R7842" t="s">
        <v>34589</v>
      </c>
      <c r="W7842" t="s">
        <v>34591</v>
      </c>
      <c r="X7842" t="s">
        <v>22480</v>
      </c>
      <c r="Y7842" t="s">
        <v>97</v>
      </c>
      <c r="Z7842" t="s">
        <v>77</v>
      </c>
      <c r="AA7842" t="str">
        <f>"10010-4701"</f>
        <v>10010-4701</v>
      </c>
      <c r="AB7842" t="s">
        <v>78</v>
      </c>
      <c r="AC7842" t="s">
        <v>79</v>
      </c>
      <c r="AD7842" t="s">
        <v>75</v>
      </c>
      <c r="AE7842" t="s">
        <v>80</v>
      </c>
      <c r="AG7842" t="s">
        <v>81</v>
      </c>
    </row>
    <row r="7843" spans="1:33" x14ac:dyDescent="0.25">
      <c r="A7843" t="str">
        <f>"1215085758"</f>
        <v>1215085758</v>
      </c>
      <c r="B7843" t="str">
        <f>"00714645"</f>
        <v>00714645</v>
      </c>
      <c r="C7843" t="s">
        <v>13436</v>
      </c>
      <c r="D7843" t="s">
        <v>34592</v>
      </c>
      <c r="E7843" t="s">
        <v>34593</v>
      </c>
      <c r="G7843" t="s">
        <v>34594</v>
      </c>
      <c r="L7843" t="s">
        <v>74</v>
      </c>
      <c r="M7843" t="s">
        <v>75</v>
      </c>
      <c r="R7843" t="s">
        <v>34595</v>
      </c>
      <c r="W7843" t="s">
        <v>34593</v>
      </c>
      <c r="X7843" t="s">
        <v>4475</v>
      </c>
      <c r="Y7843" t="s">
        <v>97</v>
      </c>
      <c r="Z7843" t="s">
        <v>77</v>
      </c>
      <c r="AA7843" t="str">
        <f>"10025"</f>
        <v>10025</v>
      </c>
      <c r="AB7843" t="s">
        <v>78</v>
      </c>
      <c r="AC7843" t="s">
        <v>79</v>
      </c>
      <c r="AD7843" t="s">
        <v>75</v>
      </c>
      <c r="AE7843" t="s">
        <v>80</v>
      </c>
      <c r="AG7843" t="s">
        <v>81</v>
      </c>
    </row>
    <row r="7844" spans="1:33" x14ac:dyDescent="0.25">
      <c r="A7844" t="str">
        <f>"1215102108"</f>
        <v>1215102108</v>
      </c>
      <c r="B7844" t="str">
        <f>"03415056"</f>
        <v>03415056</v>
      </c>
      <c r="C7844" t="s">
        <v>13436</v>
      </c>
      <c r="D7844" t="s">
        <v>34596</v>
      </c>
      <c r="E7844" t="s">
        <v>34597</v>
      </c>
      <c r="G7844" t="s">
        <v>34598</v>
      </c>
      <c r="L7844" t="s">
        <v>74</v>
      </c>
      <c r="M7844" t="s">
        <v>75</v>
      </c>
      <c r="R7844" t="s">
        <v>34599</v>
      </c>
      <c r="W7844" t="s">
        <v>34597</v>
      </c>
      <c r="X7844" t="s">
        <v>16604</v>
      </c>
      <c r="Y7844" t="s">
        <v>97</v>
      </c>
      <c r="Z7844" t="s">
        <v>77</v>
      </c>
      <c r="AA7844" t="str">
        <f>"10029-6504"</f>
        <v>10029-6504</v>
      </c>
      <c r="AB7844" t="s">
        <v>78</v>
      </c>
      <c r="AC7844" t="s">
        <v>79</v>
      </c>
      <c r="AD7844" t="s">
        <v>75</v>
      </c>
      <c r="AE7844" t="s">
        <v>80</v>
      </c>
      <c r="AG7844" t="s">
        <v>81</v>
      </c>
    </row>
    <row r="7845" spans="1:33" x14ac:dyDescent="0.25">
      <c r="A7845" t="str">
        <f>"1215234539"</f>
        <v>1215234539</v>
      </c>
      <c r="C7845" t="s">
        <v>13436</v>
      </c>
      <c r="G7845" t="s">
        <v>34600</v>
      </c>
      <c r="K7845" t="s">
        <v>99</v>
      </c>
      <c r="L7845" t="s">
        <v>102</v>
      </c>
      <c r="M7845" t="s">
        <v>75</v>
      </c>
      <c r="R7845" t="s">
        <v>34601</v>
      </c>
      <c r="S7845" t="s">
        <v>34602</v>
      </c>
      <c r="T7845" t="s">
        <v>34603</v>
      </c>
      <c r="U7845" t="s">
        <v>123</v>
      </c>
      <c r="V7845" t="str">
        <f>"020531048"</f>
        <v>020531048</v>
      </c>
      <c r="AC7845" t="s">
        <v>79</v>
      </c>
      <c r="AD7845" t="s">
        <v>75</v>
      </c>
      <c r="AE7845" t="s">
        <v>103</v>
      </c>
      <c r="AG7845" t="s">
        <v>81</v>
      </c>
    </row>
    <row r="7846" spans="1:33" x14ac:dyDescent="0.25">
      <c r="A7846" t="str">
        <f>"1225153034"</f>
        <v>1225153034</v>
      </c>
      <c r="B7846" t="str">
        <f>"02870684"</f>
        <v>02870684</v>
      </c>
      <c r="C7846" t="s">
        <v>13436</v>
      </c>
      <c r="D7846" t="s">
        <v>34604</v>
      </c>
      <c r="E7846" t="s">
        <v>34605</v>
      </c>
      <c r="G7846" t="s">
        <v>34606</v>
      </c>
      <c r="L7846" t="s">
        <v>84</v>
      </c>
      <c r="M7846" t="s">
        <v>85</v>
      </c>
      <c r="R7846" t="s">
        <v>34607</v>
      </c>
      <c r="W7846" t="s">
        <v>34605</v>
      </c>
      <c r="X7846" t="s">
        <v>11176</v>
      </c>
      <c r="Y7846" t="s">
        <v>97</v>
      </c>
      <c r="Z7846" t="s">
        <v>77</v>
      </c>
      <c r="AA7846" t="str">
        <f>"10029-6542"</f>
        <v>10029-6542</v>
      </c>
      <c r="AB7846" t="s">
        <v>78</v>
      </c>
      <c r="AC7846" t="s">
        <v>79</v>
      </c>
      <c r="AD7846" t="s">
        <v>75</v>
      </c>
      <c r="AE7846" t="s">
        <v>80</v>
      </c>
      <c r="AG7846" t="s">
        <v>81</v>
      </c>
    </row>
    <row r="7847" spans="1:33" x14ac:dyDescent="0.25">
      <c r="A7847" t="str">
        <f>"1225240146"</f>
        <v>1225240146</v>
      </c>
      <c r="B7847" t="str">
        <f>"04315702"</f>
        <v>04315702</v>
      </c>
      <c r="C7847" t="s">
        <v>13436</v>
      </c>
      <c r="D7847" t="s">
        <v>34608</v>
      </c>
      <c r="E7847" t="s">
        <v>34609</v>
      </c>
      <c r="G7847" t="s">
        <v>34610</v>
      </c>
      <c r="L7847" t="s">
        <v>102</v>
      </c>
      <c r="M7847" t="s">
        <v>75</v>
      </c>
      <c r="R7847" t="s">
        <v>34611</v>
      </c>
      <c r="W7847" t="s">
        <v>34612</v>
      </c>
      <c r="X7847" t="s">
        <v>6696</v>
      </c>
      <c r="Y7847" t="s">
        <v>97</v>
      </c>
      <c r="Z7847" t="s">
        <v>77</v>
      </c>
      <c r="AA7847" t="str">
        <f>"10003-0000"</f>
        <v>10003-0000</v>
      </c>
      <c r="AB7847" t="s">
        <v>125</v>
      </c>
      <c r="AC7847" t="s">
        <v>79</v>
      </c>
      <c r="AD7847" t="s">
        <v>75</v>
      </c>
      <c r="AE7847" t="s">
        <v>80</v>
      </c>
      <c r="AG7847" t="s">
        <v>81</v>
      </c>
    </row>
    <row r="7848" spans="1:33" x14ac:dyDescent="0.25">
      <c r="A7848" t="str">
        <f>"1225274863"</f>
        <v>1225274863</v>
      </c>
      <c r="B7848" t="str">
        <f>"03527960"</f>
        <v>03527960</v>
      </c>
      <c r="C7848" t="s">
        <v>13436</v>
      </c>
      <c r="D7848" t="s">
        <v>34613</v>
      </c>
      <c r="E7848" t="s">
        <v>34614</v>
      </c>
      <c r="G7848" t="s">
        <v>34615</v>
      </c>
      <c r="L7848" t="s">
        <v>84</v>
      </c>
      <c r="M7848" t="s">
        <v>85</v>
      </c>
      <c r="R7848" t="s">
        <v>34616</v>
      </c>
      <c r="W7848" t="s">
        <v>34614</v>
      </c>
      <c r="X7848" t="s">
        <v>3784</v>
      </c>
      <c r="Y7848" t="s">
        <v>97</v>
      </c>
      <c r="Z7848" t="s">
        <v>77</v>
      </c>
      <c r="AA7848" t="str">
        <f>"10029-6500"</f>
        <v>10029-6500</v>
      </c>
      <c r="AB7848" t="s">
        <v>78</v>
      </c>
      <c r="AC7848" t="s">
        <v>79</v>
      </c>
      <c r="AD7848" t="s">
        <v>75</v>
      </c>
      <c r="AE7848" t="s">
        <v>80</v>
      </c>
      <c r="AG7848" t="s">
        <v>81</v>
      </c>
    </row>
    <row r="7849" spans="1:33" x14ac:dyDescent="0.25">
      <c r="A7849" t="str">
        <f>"1225304868"</f>
        <v>1225304868</v>
      </c>
      <c r="C7849" t="s">
        <v>13436</v>
      </c>
      <c r="G7849" t="s">
        <v>34617</v>
      </c>
      <c r="K7849" t="s">
        <v>99</v>
      </c>
      <c r="L7849" t="s">
        <v>102</v>
      </c>
      <c r="M7849" t="s">
        <v>75</v>
      </c>
      <c r="R7849" t="s">
        <v>34618</v>
      </c>
      <c r="S7849" t="s">
        <v>13409</v>
      </c>
      <c r="T7849" t="s">
        <v>97</v>
      </c>
      <c r="U7849" t="s">
        <v>77</v>
      </c>
      <c r="V7849" t="str">
        <f>"100296504"</f>
        <v>100296504</v>
      </c>
      <c r="AC7849" t="s">
        <v>79</v>
      </c>
      <c r="AD7849" t="s">
        <v>75</v>
      </c>
      <c r="AE7849" t="s">
        <v>103</v>
      </c>
      <c r="AG7849" t="s">
        <v>81</v>
      </c>
    </row>
    <row r="7850" spans="1:33" x14ac:dyDescent="0.25">
      <c r="A7850" t="str">
        <f>"1235168063"</f>
        <v>1235168063</v>
      </c>
      <c r="B7850" t="str">
        <f>"02168894"</f>
        <v>02168894</v>
      </c>
      <c r="C7850" t="s">
        <v>13436</v>
      </c>
      <c r="D7850" t="s">
        <v>34619</v>
      </c>
      <c r="E7850" t="s">
        <v>34620</v>
      </c>
      <c r="G7850" t="s">
        <v>34621</v>
      </c>
      <c r="L7850" t="s">
        <v>84</v>
      </c>
      <c r="M7850" t="s">
        <v>85</v>
      </c>
      <c r="R7850" t="s">
        <v>34622</v>
      </c>
      <c r="W7850" t="s">
        <v>34620</v>
      </c>
      <c r="X7850" t="s">
        <v>329</v>
      </c>
      <c r="Y7850" t="s">
        <v>97</v>
      </c>
      <c r="Z7850" t="s">
        <v>77</v>
      </c>
      <c r="AA7850" t="str">
        <f>"10029-6500"</f>
        <v>10029-6500</v>
      </c>
      <c r="AB7850" t="s">
        <v>78</v>
      </c>
      <c r="AC7850" t="s">
        <v>79</v>
      </c>
      <c r="AD7850" t="s">
        <v>75</v>
      </c>
      <c r="AE7850" t="s">
        <v>80</v>
      </c>
      <c r="AG7850" t="s">
        <v>81</v>
      </c>
    </row>
    <row r="7851" spans="1:33" x14ac:dyDescent="0.25">
      <c r="A7851" t="str">
        <f>"1235169715"</f>
        <v>1235169715</v>
      </c>
      <c r="B7851" t="str">
        <f>"02436097"</f>
        <v>02436097</v>
      </c>
      <c r="C7851" t="s">
        <v>13436</v>
      </c>
      <c r="D7851" t="s">
        <v>34623</v>
      </c>
      <c r="E7851" t="s">
        <v>34624</v>
      </c>
      <c r="G7851" t="s">
        <v>34625</v>
      </c>
      <c r="L7851" t="s">
        <v>105</v>
      </c>
      <c r="M7851" t="s">
        <v>85</v>
      </c>
      <c r="R7851" t="s">
        <v>34626</v>
      </c>
      <c r="W7851" t="s">
        <v>34624</v>
      </c>
      <c r="X7851" t="s">
        <v>329</v>
      </c>
      <c r="Y7851" t="s">
        <v>97</v>
      </c>
      <c r="Z7851" t="s">
        <v>77</v>
      </c>
      <c r="AA7851" t="str">
        <f>"10029-6500"</f>
        <v>10029-6500</v>
      </c>
      <c r="AB7851" t="s">
        <v>78</v>
      </c>
      <c r="AC7851" t="s">
        <v>79</v>
      </c>
      <c r="AD7851" t="s">
        <v>75</v>
      </c>
      <c r="AE7851" t="s">
        <v>80</v>
      </c>
      <c r="AG7851" t="s">
        <v>81</v>
      </c>
    </row>
    <row r="7852" spans="1:33" x14ac:dyDescent="0.25">
      <c r="A7852" t="str">
        <f>"1235374141"</f>
        <v>1235374141</v>
      </c>
      <c r="B7852" t="str">
        <f>"03723457"</f>
        <v>03723457</v>
      </c>
      <c r="C7852" t="s">
        <v>13436</v>
      </c>
      <c r="D7852" t="s">
        <v>34627</v>
      </c>
      <c r="E7852" t="s">
        <v>34628</v>
      </c>
      <c r="G7852" t="s">
        <v>34629</v>
      </c>
      <c r="L7852" t="s">
        <v>74</v>
      </c>
      <c r="M7852" t="s">
        <v>75</v>
      </c>
      <c r="R7852" t="s">
        <v>34630</v>
      </c>
      <c r="W7852" t="s">
        <v>34631</v>
      </c>
      <c r="X7852" t="s">
        <v>34632</v>
      </c>
      <c r="Y7852" t="s">
        <v>97</v>
      </c>
      <c r="Z7852" t="s">
        <v>77</v>
      </c>
      <c r="AA7852" t="str">
        <f>"10065-6005"</f>
        <v>10065-6005</v>
      </c>
      <c r="AB7852" t="s">
        <v>78</v>
      </c>
      <c r="AC7852" t="s">
        <v>79</v>
      </c>
      <c r="AD7852" t="s">
        <v>75</v>
      </c>
      <c r="AE7852" t="s">
        <v>80</v>
      </c>
      <c r="AG7852" t="s">
        <v>81</v>
      </c>
    </row>
    <row r="7853" spans="1:33" x14ac:dyDescent="0.25">
      <c r="A7853" t="str">
        <f>"1316263395"</f>
        <v>1316263395</v>
      </c>
      <c r="C7853" t="s">
        <v>13436</v>
      </c>
      <c r="K7853" t="s">
        <v>99</v>
      </c>
      <c r="L7853" t="s">
        <v>102</v>
      </c>
      <c r="M7853" t="s">
        <v>75</v>
      </c>
      <c r="R7853" t="s">
        <v>34633</v>
      </c>
      <c r="S7853" t="s">
        <v>34634</v>
      </c>
      <c r="T7853" t="s">
        <v>97</v>
      </c>
      <c r="U7853" t="s">
        <v>77</v>
      </c>
      <c r="V7853" t="str">
        <f>"100290313"</f>
        <v>100290313</v>
      </c>
      <c r="AC7853" t="s">
        <v>79</v>
      </c>
      <c r="AD7853" t="s">
        <v>75</v>
      </c>
      <c r="AE7853" t="s">
        <v>103</v>
      </c>
      <c r="AG7853" t="s">
        <v>81</v>
      </c>
    </row>
    <row r="7854" spans="1:33" x14ac:dyDescent="0.25">
      <c r="A7854" t="str">
        <f>"1477895381"</f>
        <v>1477895381</v>
      </c>
      <c r="C7854" t="s">
        <v>13436</v>
      </c>
      <c r="K7854" t="s">
        <v>99</v>
      </c>
      <c r="L7854" t="s">
        <v>102</v>
      </c>
      <c r="M7854" t="s">
        <v>75</v>
      </c>
      <c r="R7854" t="s">
        <v>4649</v>
      </c>
      <c r="S7854" t="s">
        <v>329</v>
      </c>
      <c r="T7854" t="s">
        <v>97</v>
      </c>
      <c r="U7854" t="s">
        <v>77</v>
      </c>
      <c r="V7854" t="str">
        <f>"100296504"</f>
        <v>100296504</v>
      </c>
      <c r="AC7854" t="s">
        <v>79</v>
      </c>
      <c r="AD7854" t="s">
        <v>75</v>
      </c>
      <c r="AE7854" t="s">
        <v>103</v>
      </c>
      <c r="AG7854" t="s">
        <v>81</v>
      </c>
    </row>
    <row r="7855" spans="1:33" x14ac:dyDescent="0.25">
      <c r="A7855" t="str">
        <f>"1477895803"</f>
        <v>1477895803</v>
      </c>
      <c r="C7855" t="s">
        <v>13436</v>
      </c>
      <c r="K7855" t="s">
        <v>99</v>
      </c>
      <c r="L7855" t="s">
        <v>102</v>
      </c>
      <c r="M7855" t="s">
        <v>75</v>
      </c>
      <c r="R7855" t="s">
        <v>34635</v>
      </c>
      <c r="S7855" t="s">
        <v>34636</v>
      </c>
      <c r="T7855" t="s">
        <v>34637</v>
      </c>
      <c r="U7855" t="s">
        <v>1842</v>
      </c>
      <c r="V7855" t="str">
        <f>"060825122"</f>
        <v>060825122</v>
      </c>
      <c r="AC7855" t="s">
        <v>79</v>
      </c>
      <c r="AD7855" t="s">
        <v>75</v>
      </c>
      <c r="AE7855" t="s">
        <v>103</v>
      </c>
      <c r="AG7855" t="s">
        <v>81</v>
      </c>
    </row>
    <row r="7856" spans="1:33" x14ac:dyDescent="0.25">
      <c r="A7856" t="str">
        <f>"1265851893"</f>
        <v>1265851893</v>
      </c>
      <c r="C7856" t="s">
        <v>13436</v>
      </c>
      <c r="K7856" t="s">
        <v>99</v>
      </c>
      <c r="L7856" t="s">
        <v>102</v>
      </c>
      <c r="M7856" t="s">
        <v>75</v>
      </c>
      <c r="R7856" t="s">
        <v>34638</v>
      </c>
      <c r="S7856" t="s">
        <v>3553</v>
      </c>
      <c r="T7856" t="s">
        <v>97</v>
      </c>
      <c r="U7856" t="s">
        <v>77</v>
      </c>
      <c r="V7856" t="str">
        <f>"100033851"</f>
        <v>100033851</v>
      </c>
      <c r="AC7856" t="s">
        <v>79</v>
      </c>
      <c r="AD7856" t="s">
        <v>75</v>
      </c>
      <c r="AE7856" t="s">
        <v>103</v>
      </c>
      <c r="AG7856" t="s">
        <v>81</v>
      </c>
    </row>
    <row r="7857" spans="1:33" x14ac:dyDescent="0.25">
      <c r="A7857" t="str">
        <f>"1265852339"</f>
        <v>1265852339</v>
      </c>
      <c r="B7857" t="str">
        <f>"04036715"</f>
        <v>04036715</v>
      </c>
      <c r="C7857" t="s">
        <v>13436</v>
      </c>
      <c r="D7857" t="s">
        <v>34639</v>
      </c>
      <c r="E7857" t="s">
        <v>34640</v>
      </c>
      <c r="G7857" t="s">
        <v>34641</v>
      </c>
      <c r="L7857" t="s">
        <v>74</v>
      </c>
      <c r="M7857" t="s">
        <v>75</v>
      </c>
      <c r="R7857" t="s">
        <v>34642</v>
      </c>
      <c r="W7857" t="s">
        <v>34643</v>
      </c>
      <c r="X7857" t="s">
        <v>11176</v>
      </c>
      <c r="Y7857" t="s">
        <v>97</v>
      </c>
      <c r="Z7857" t="s">
        <v>77</v>
      </c>
      <c r="AA7857" t="str">
        <f>"10029-6542"</f>
        <v>10029-6542</v>
      </c>
      <c r="AB7857" t="s">
        <v>78</v>
      </c>
      <c r="AC7857" t="s">
        <v>79</v>
      </c>
      <c r="AD7857" t="s">
        <v>75</v>
      </c>
      <c r="AE7857" t="s">
        <v>80</v>
      </c>
      <c r="AG7857" t="s">
        <v>81</v>
      </c>
    </row>
    <row r="7858" spans="1:33" x14ac:dyDescent="0.25">
      <c r="A7858" t="str">
        <f>"1265853618"</f>
        <v>1265853618</v>
      </c>
      <c r="B7858" t="str">
        <f>"03797528"</f>
        <v>03797528</v>
      </c>
      <c r="C7858" t="s">
        <v>13436</v>
      </c>
      <c r="D7858" t="s">
        <v>34644</v>
      </c>
      <c r="E7858" t="s">
        <v>34645</v>
      </c>
      <c r="G7858" t="s">
        <v>34646</v>
      </c>
      <c r="L7858" t="s">
        <v>74</v>
      </c>
      <c r="M7858" t="s">
        <v>75</v>
      </c>
      <c r="R7858" t="s">
        <v>34647</v>
      </c>
      <c r="W7858" t="s">
        <v>34645</v>
      </c>
      <c r="X7858" t="s">
        <v>11436</v>
      </c>
      <c r="Y7858" t="s">
        <v>97</v>
      </c>
      <c r="Z7858" t="s">
        <v>77</v>
      </c>
      <c r="AA7858" t="str">
        <f>"10029-6503"</f>
        <v>10029-6503</v>
      </c>
      <c r="AB7858" t="s">
        <v>78</v>
      </c>
      <c r="AC7858" t="s">
        <v>79</v>
      </c>
      <c r="AD7858" t="s">
        <v>75</v>
      </c>
      <c r="AE7858" t="s">
        <v>80</v>
      </c>
      <c r="AG7858" t="s">
        <v>81</v>
      </c>
    </row>
    <row r="7859" spans="1:33" x14ac:dyDescent="0.25">
      <c r="A7859" t="str">
        <f>"1265858807"</f>
        <v>1265858807</v>
      </c>
      <c r="C7859" t="s">
        <v>13436</v>
      </c>
      <c r="K7859" t="s">
        <v>99</v>
      </c>
      <c r="L7859" t="s">
        <v>102</v>
      </c>
      <c r="M7859" t="s">
        <v>75</v>
      </c>
      <c r="R7859" t="s">
        <v>34648</v>
      </c>
      <c r="S7859" t="s">
        <v>34649</v>
      </c>
      <c r="T7859" t="s">
        <v>2262</v>
      </c>
      <c r="U7859" t="s">
        <v>123</v>
      </c>
      <c r="V7859" t="str">
        <f>"02111"</f>
        <v>02111</v>
      </c>
      <c r="AC7859" t="s">
        <v>79</v>
      </c>
      <c r="AD7859" t="s">
        <v>75</v>
      </c>
      <c r="AE7859" t="s">
        <v>103</v>
      </c>
      <c r="AG7859" t="s">
        <v>81</v>
      </c>
    </row>
    <row r="7860" spans="1:33" x14ac:dyDescent="0.25">
      <c r="A7860" t="str">
        <f>"1265876874"</f>
        <v>1265876874</v>
      </c>
      <c r="C7860" t="s">
        <v>13436</v>
      </c>
      <c r="K7860" t="s">
        <v>99</v>
      </c>
      <c r="L7860" t="s">
        <v>102</v>
      </c>
      <c r="M7860" t="s">
        <v>75</v>
      </c>
      <c r="R7860" t="s">
        <v>34650</v>
      </c>
      <c r="S7860" t="s">
        <v>329</v>
      </c>
      <c r="T7860" t="s">
        <v>97</v>
      </c>
      <c r="U7860" t="s">
        <v>77</v>
      </c>
      <c r="V7860" t="str">
        <f>"100296500"</f>
        <v>100296500</v>
      </c>
      <c r="AC7860" t="s">
        <v>79</v>
      </c>
      <c r="AD7860" t="s">
        <v>75</v>
      </c>
      <c r="AE7860" t="s">
        <v>103</v>
      </c>
      <c r="AG7860" t="s">
        <v>81</v>
      </c>
    </row>
    <row r="7861" spans="1:33" x14ac:dyDescent="0.25">
      <c r="A7861" t="str">
        <f>"1144647447"</f>
        <v>1144647447</v>
      </c>
      <c r="C7861" t="s">
        <v>13436</v>
      </c>
      <c r="K7861" t="s">
        <v>99</v>
      </c>
      <c r="L7861" t="s">
        <v>102</v>
      </c>
      <c r="M7861" t="s">
        <v>75</v>
      </c>
      <c r="R7861" t="s">
        <v>34651</v>
      </c>
      <c r="S7861" t="s">
        <v>3553</v>
      </c>
      <c r="T7861" t="s">
        <v>97</v>
      </c>
      <c r="U7861" t="s">
        <v>77</v>
      </c>
      <c r="V7861" t="str">
        <f>"100033851"</f>
        <v>100033851</v>
      </c>
      <c r="AC7861" t="s">
        <v>79</v>
      </c>
      <c r="AD7861" t="s">
        <v>75</v>
      </c>
      <c r="AE7861" t="s">
        <v>103</v>
      </c>
      <c r="AG7861" t="s">
        <v>81</v>
      </c>
    </row>
    <row r="7862" spans="1:33" x14ac:dyDescent="0.25">
      <c r="A7862" t="str">
        <f>"1144648197"</f>
        <v>1144648197</v>
      </c>
      <c r="C7862" t="s">
        <v>13436</v>
      </c>
      <c r="K7862" t="s">
        <v>99</v>
      </c>
      <c r="L7862" t="s">
        <v>102</v>
      </c>
      <c r="M7862" t="s">
        <v>75</v>
      </c>
      <c r="R7862" t="s">
        <v>34652</v>
      </c>
      <c r="S7862" t="s">
        <v>34653</v>
      </c>
      <c r="T7862" t="s">
        <v>97</v>
      </c>
      <c r="U7862" t="s">
        <v>77</v>
      </c>
      <c r="V7862" t="str">
        <f>"100033821"</f>
        <v>100033821</v>
      </c>
      <c r="AC7862" t="s">
        <v>79</v>
      </c>
      <c r="AD7862" t="s">
        <v>75</v>
      </c>
      <c r="AE7862" t="s">
        <v>103</v>
      </c>
      <c r="AG7862" t="s">
        <v>81</v>
      </c>
    </row>
    <row r="7863" spans="1:33" x14ac:dyDescent="0.25">
      <c r="A7863" t="str">
        <f>"1194038505"</f>
        <v>1194038505</v>
      </c>
      <c r="C7863" t="s">
        <v>13436</v>
      </c>
      <c r="K7863" t="s">
        <v>99</v>
      </c>
      <c r="L7863" t="s">
        <v>102</v>
      </c>
      <c r="M7863" t="s">
        <v>75</v>
      </c>
      <c r="R7863" t="s">
        <v>34654</v>
      </c>
      <c r="S7863" t="s">
        <v>34655</v>
      </c>
      <c r="T7863" t="s">
        <v>4541</v>
      </c>
      <c r="U7863" t="s">
        <v>351</v>
      </c>
      <c r="V7863" t="str">
        <f>"334267400"</f>
        <v>334267400</v>
      </c>
      <c r="AC7863" t="s">
        <v>79</v>
      </c>
      <c r="AD7863" t="s">
        <v>75</v>
      </c>
      <c r="AE7863" t="s">
        <v>103</v>
      </c>
      <c r="AG7863" t="s">
        <v>81</v>
      </c>
    </row>
    <row r="7864" spans="1:33" x14ac:dyDescent="0.25">
      <c r="A7864" t="str">
        <f>"1194040782"</f>
        <v>1194040782</v>
      </c>
      <c r="B7864" t="str">
        <f>"04487683"</f>
        <v>04487683</v>
      </c>
      <c r="C7864" t="s">
        <v>13436</v>
      </c>
      <c r="D7864" t="s">
        <v>34656</v>
      </c>
      <c r="E7864" t="s">
        <v>34657</v>
      </c>
      <c r="L7864" t="s">
        <v>102</v>
      </c>
      <c r="M7864" t="s">
        <v>75</v>
      </c>
      <c r="R7864" t="s">
        <v>34658</v>
      </c>
      <c r="W7864" t="s">
        <v>34657</v>
      </c>
      <c r="AB7864" t="s">
        <v>82</v>
      </c>
      <c r="AC7864" t="s">
        <v>79</v>
      </c>
      <c r="AD7864" t="s">
        <v>75</v>
      </c>
      <c r="AE7864" t="s">
        <v>80</v>
      </c>
      <c r="AG7864" t="s">
        <v>81</v>
      </c>
    </row>
    <row r="7865" spans="1:33" x14ac:dyDescent="0.25">
      <c r="A7865" t="str">
        <f>"1356698351"</f>
        <v>1356698351</v>
      </c>
      <c r="C7865" t="s">
        <v>13436</v>
      </c>
      <c r="K7865" t="s">
        <v>99</v>
      </c>
      <c r="L7865" t="s">
        <v>102</v>
      </c>
      <c r="M7865" t="s">
        <v>75</v>
      </c>
      <c r="R7865" t="s">
        <v>34659</v>
      </c>
      <c r="S7865" t="s">
        <v>34660</v>
      </c>
      <c r="T7865" t="s">
        <v>34661</v>
      </c>
      <c r="U7865" t="s">
        <v>739</v>
      </c>
      <c r="V7865" t="str">
        <f>"43614"</f>
        <v>43614</v>
      </c>
      <c r="AC7865" t="s">
        <v>79</v>
      </c>
      <c r="AD7865" t="s">
        <v>75</v>
      </c>
      <c r="AE7865" t="s">
        <v>103</v>
      </c>
      <c r="AG7865" t="s">
        <v>81</v>
      </c>
    </row>
    <row r="7866" spans="1:33" x14ac:dyDescent="0.25">
      <c r="A7866" t="str">
        <f>"1356759732"</f>
        <v>1356759732</v>
      </c>
      <c r="B7866" t="str">
        <f>"04021270"</f>
        <v>04021270</v>
      </c>
      <c r="C7866" t="s">
        <v>13436</v>
      </c>
      <c r="D7866" t="s">
        <v>34662</v>
      </c>
      <c r="E7866" t="s">
        <v>34663</v>
      </c>
      <c r="G7866" t="s">
        <v>34664</v>
      </c>
      <c r="L7866" t="s">
        <v>74</v>
      </c>
      <c r="M7866" t="s">
        <v>75</v>
      </c>
      <c r="R7866" t="s">
        <v>34665</v>
      </c>
      <c r="W7866" t="s">
        <v>34666</v>
      </c>
      <c r="X7866" t="s">
        <v>991</v>
      </c>
      <c r="Y7866" t="s">
        <v>97</v>
      </c>
      <c r="Z7866" t="s">
        <v>77</v>
      </c>
      <c r="AA7866" t="str">
        <f>"10003-0001"</f>
        <v>10003-0001</v>
      </c>
      <c r="AB7866" t="s">
        <v>78</v>
      </c>
      <c r="AC7866" t="s">
        <v>79</v>
      </c>
      <c r="AD7866" t="s">
        <v>75</v>
      </c>
      <c r="AE7866" t="s">
        <v>80</v>
      </c>
      <c r="AG7866" t="s">
        <v>81</v>
      </c>
    </row>
    <row r="7867" spans="1:33" x14ac:dyDescent="0.25">
      <c r="A7867" t="str">
        <f>"1275974594"</f>
        <v>1275974594</v>
      </c>
      <c r="C7867" t="s">
        <v>13436</v>
      </c>
      <c r="G7867" t="s">
        <v>34667</v>
      </c>
      <c r="K7867" t="s">
        <v>99</v>
      </c>
      <c r="L7867" t="s">
        <v>102</v>
      </c>
      <c r="M7867" t="s">
        <v>75</v>
      </c>
      <c r="R7867" t="s">
        <v>34668</v>
      </c>
      <c r="S7867" t="s">
        <v>34669</v>
      </c>
      <c r="T7867" t="s">
        <v>97</v>
      </c>
      <c r="U7867" t="s">
        <v>77</v>
      </c>
      <c r="V7867" t="str">
        <f>"100296574"</f>
        <v>100296574</v>
      </c>
      <c r="AC7867" t="s">
        <v>79</v>
      </c>
      <c r="AD7867" t="s">
        <v>75</v>
      </c>
      <c r="AE7867" t="s">
        <v>103</v>
      </c>
      <c r="AG7867" t="s">
        <v>81</v>
      </c>
    </row>
    <row r="7868" spans="1:33" x14ac:dyDescent="0.25">
      <c r="A7868" t="str">
        <f>"1104896067"</f>
        <v>1104896067</v>
      </c>
      <c r="B7868" t="str">
        <f>"00471678"</f>
        <v>00471678</v>
      </c>
      <c r="C7868" t="s">
        <v>13436</v>
      </c>
      <c r="D7868" t="s">
        <v>3282</v>
      </c>
      <c r="E7868" t="s">
        <v>3283</v>
      </c>
      <c r="G7868" t="s">
        <v>34670</v>
      </c>
      <c r="L7868" t="s">
        <v>74</v>
      </c>
      <c r="M7868" t="s">
        <v>85</v>
      </c>
      <c r="R7868" t="s">
        <v>3284</v>
      </c>
      <c r="W7868" t="s">
        <v>3285</v>
      </c>
      <c r="X7868" t="s">
        <v>3286</v>
      </c>
      <c r="Y7868" t="s">
        <v>97</v>
      </c>
      <c r="Z7868" t="s">
        <v>77</v>
      </c>
      <c r="AA7868" t="str">
        <f>"10025"</f>
        <v>10025</v>
      </c>
      <c r="AB7868" t="s">
        <v>78</v>
      </c>
      <c r="AC7868" t="s">
        <v>79</v>
      </c>
      <c r="AD7868" t="s">
        <v>75</v>
      </c>
      <c r="AE7868" t="s">
        <v>80</v>
      </c>
      <c r="AG7868" t="s">
        <v>81</v>
      </c>
    </row>
    <row r="7869" spans="1:33" x14ac:dyDescent="0.25">
      <c r="A7869" t="str">
        <f>"1114123973"</f>
        <v>1114123973</v>
      </c>
      <c r="B7869" t="str">
        <f>"03226244"</f>
        <v>03226244</v>
      </c>
      <c r="C7869" t="s">
        <v>13436</v>
      </c>
      <c r="D7869" t="s">
        <v>34671</v>
      </c>
      <c r="E7869" t="s">
        <v>34672</v>
      </c>
      <c r="G7869" t="s">
        <v>34673</v>
      </c>
      <c r="L7869" t="s">
        <v>105</v>
      </c>
      <c r="M7869" t="s">
        <v>85</v>
      </c>
      <c r="R7869" t="s">
        <v>34674</v>
      </c>
      <c r="W7869" t="s">
        <v>34672</v>
      </c>
      <c r="X7869" t="s">
        <v>329</v>
      </c>
      <c r="Y7869" t="s">
        <v>97</v>
      </c>
      <c r="Z7869" t="s">
        <v>77</v>
      </c>
      <c r="AA7869" t="str">
        <f>"10029-6500"</f>
        <v>10029-6500</v>
      </c>
      <c r="AB7869" t="s">
        <v>78</v>
      </c>
      <c r="AC7869" t="s">
        <v>79</v>
      </c>
      <c r="AD7869" t="s">
        <v>75</v>
      </c>
      <c r="AE7869" t="s">
        <v>80</v>
      </c>
      <c r="AG7869" t="s">
        <v>81</v>
      </c>
    </row>
    <row r="7870" spans="1:33" x14ac:dyDescent="0.25">
      <c r="A7870" t="str">
        <f>"1114184637"</f>
        <v>1114184637</v>
      </c>
      <c r="B7870" t="str">
        <f>"03299341"</f>
        <v>03299341</v>
      </c>
      <c r="C7870" t="s">
        <v>13436</v>
      </c>
      <c r="D7870" t="s">
        <v>34675</v>
      </c>
      <c r="E7870" t="s">
        <v>34676</v>
      </c>
      <c r="G7870" t="s">
        <v>34677</v>
      </c>
      <c r="L7870" t="s">
        <v>84</v>
      </c>
      <c r="M7870" t="s">
        <v>85</v>
      </c>
      <c r="R7870" t="s">
        <v>34678</v>
      </c>
      <c r="W7870" t="s">
        <v>34676</v>
      </c>
      <c r="X7870" t="s">
        <v>185</v>
      </c>
      <c r="Y7870" t="s">
        <v>97</v>
      </c>
      <c r="Z7870" t="s">
        <v>77</v>
      </c>
      <c r="AA7870" t="str">
        <f>"10035-2709"</f>
        <v>10035-2709</v>
      </c>
      <c r="AB7870" t="s">
        <v>78</v>
      </c>
      <c r="AC7870" t="s">
        <v>79</v>
      </c>
      <c r="AD7870" t="s">
        <v>75</v>
      </c>
      <c r="AE7870" t="s">
        <v>80</v>
      </c>
      <c r="AG7870" t="s">
        <v>81</v>
      </c>
    </row>
    <row r="7871" spans="1:33" x14ac:dyDescent="0.25">
      <c r="A7871" t="str">
        <f>"1114910890"</f>
        <v>1114910890</v>
      </c>
      <c r="B7871" t="str">
        <f>"02461989"</f>
        <v>02461989</v>
      </c>
      <c r="C7871" t="s">
        <v>13436</v>
      </c>
      <c r="D7871" t="s">
        <v>34679</v>
      </c>
      <c r="E7871" t="s">
        <v>34680</v>
      </c>
      <c r="G7871" t="s">
        <v>34681</v>
      </c>
      <c r="L7871" t="s">
        <v>74</v>
      </c>
      <c r="M7871" t="s">
        <v>75</v>
      </c>
      <c r="R7871" t="s">
        <v>5843</v>
      </c>
      <c r="W7871" t="s">
        <v>34680</v>
      </c>
      <c r="X7871" t="s">
        <v>191</v>
      </c>
      <c r="Y7871" t="s">
        <v>97</v>
      </c>
      <c r="Z7871" t="s">
        <v>77</v>
      </c>
      <c r="AA7871" t="str">
        <f>"10019-1147"</f>
        <v>10019-1147</v>
      </c>
      <c r="AB7871" t="s">
        <v>78</v>
      </c>
      <c r="AC7871" t="s">
        <v>79</v>
      </c>
      <c r="AD7871" t="s">
        <v>75</v>
      </c>
      <c r="AE7871" t="s">
        <v>80</v>
      </c>
      <c r="AG7871" t="s">
        <v>81</v>
      </c>
    </row>
    <row r="7872" spans="1:33" x14ac:dyDescent="0.25">
      <c r="A7872" t="str">
        <f>"1124134796"</f>
        <v>1124134796</v>
      </c>
      <c r="B7872" t="str">
        <f>"00860435"</f>
        <v>00860435</v>
      </c>
      <c r="C7872" t="s">
        <v>13436</v>
      </c>
      <c r="D7872" t="s">
        <v>34682</v>
      </c>
      <c r="E7872" t="s">
        <v>34683</v>
      </c>
      <c r="G7872" t="s">
        <v>34684</v>
      </c>
      <c r="L7872" t="s">
        <v>83</v>
      </c>
      <c r="M7872" t="s">
        <v>75</v>
      </c>
      <c r="R7872" t="s">
        <v>34685</v>
      </c>
      <c r="W7872" t="s">
        <v>34683</v>
      </c>
      <c r="X7872" t="s">
        <v>34686</v>
      </c>
      <c r="Y7872" t="s">
        <v>97</v>
      </c>
      <c r="Z7872" t="s">
        <v>77</v>
      </c>
      <c r="AA7872" t="str">
        <f>"10023-7906"</f>
        <v>10023-7906</v>
      </c>
      <c r="AB7872" t="s">
        <v>128</v>
      </c>
      <c r="AC7872" t="s">
        <v>79</v>
      </c>
      <c r="AD7872" t="s">
        <v>75</v>
      </c>
      <c r="AE7872" t="s">
        <v>80</v>
      </c>
      <c r="AG7872" t="s">
        <v>81</v>
      </c>
    </row>
    <row r="7873" spans="1:33" x14ac:dyDescent="0.25">
      <c r="A7873" t="str">
        <f>"1124195292"</f>
        <v>1124195292</v>
      </c>
      <c r="B7873" t="str">
        <f>"01523440"</f>
        <v>01523440</v>
      </c>
      <c r="C7873" t="s">
        <v>13436</v>
      </c>
      <c r="D7873" t="s">
        <v>34687</v>
      </c>
      <c r="E7873" t="s">
        <v>34688</v>
      </c>
      <c r="G7873" t="s">
        <v>34689</v>
      </c>
      <c r="L7873" t="s">
        <v>83</v>
      </c>
      <c r="M7873" t="s">
        <v>75</v>
      </c>
      <c r="R7873" t="s">
        <v>34690</v>
      </c>
      <c r="W7873" t="s">
        <v>34688</v>
      </c>
      <c r="X7873" t="s">
        <v>34691</v>
      </c>
      <c r="Y7873" t="s">
        <v>87</v>
      </c>
      <c r="Z7873" t="s">
        <v>77</v>
      </c>
      <c r="AA7873" t="str">
        <f>"11234-2644"</f>
        <v>11234-2644</v>
      </c>
      <c r="AB7873" t="s">
        <v>78</v>
      </c>
      <c r="AC7873" t="s">
        <v>79</v>
      </c>
      <c r="AD7873" t="s">
        <v>75</v>
      </c>
      <c r="AE7873" t="s">
        <v>80</v>
      </c>
      <c r="AG7873" t="s">
        <v>81</v>
      </c>
    </row>
    <row r="7874" spans="1:33" x14ac:dyDescent="0.25">
      <c r="A7874" t="str">
        <f>"1134129117"</f>
        <v>1134129117</v>
      </c>
      <c r="B7874" t="str">
        <f>"01670135"</f>
        <v>01670135</v>
      </c>
      <c r="C7874" t="s">
        <v>13436</v>
      </c>
      <c r="D7874" t="s">
        <v>34692</v>
      </c>
      <c r="E7874" t="s">
        <v>34693</v>
      </c>
      <c r="G7874" t="s">
        <v>34694</v>
      </c>
      <c r="L7874" t="s">
        <v>84</v>
      </c>
      <c r="M7874" t="s">
        <v>75</v>
      </c>
      <c r="R7874" t="s">
        <v>34695</v>
      </c>
      <c r="W7874" t="s">
        <v>34693</v>
      </c>
      <c r="X7874" t="s">
        <v>34696</v>
      </c>
      <c r="Y7874" t="s">
        <v>97</v>
      </c>
      <c r="Z7874" t="s">
        <v>77</v>
      </c>
      <c r="AA7874" t="str">
        <f>"10003-3105"</f>
        <v>10003-3105</v>
      </c>
      <c r="AB7874" t="s">
        <v>78</v>
      </c>
      <c r="AC7874" t="s">
        <v>79</v>
      </c>
      <c r="AD7874" t="s">
        <v>75</v>
      </c>
      <c r="AE7874" t="s">
        <v>80</v>
      </c>
      <c r="AG7874" t="s">
        <v>81</v>
      </c>
    </row>
    <row r="7875" spans="1:33" x14ac:dyDescent="0.25">
      <c r="A7875" t="str">
        <f>"1508107855"</f>
        <v>1508107855</v>
      </c>
      <c r="C7875" t="s">
        <v>13436</v>
      </c>
      <c r="G7875" t="s">
        <v>34697</v>
      </c>
      <c r="K7875" t="s">
        <v>99</v>
      </c>
      <c r="L7875" t="s">
        <v>102</v>
      </c>
      <c r="M7875" t="s">
        <v>75</v>
      </c>
      <c r="R7875" t="s">
        <v>34698</v>
      </c>
      <c r="S7875" t="s">
        <v>181</v>
      </c>
      <c r="T7875" t="s">
        <v>97</v>
      </c>
      <c r="U7875" t="s">
        <v>77</v>
      </c>
      <c r="V7875" t="str">
        <f>"100251716"</f>
        <v>100251716</v>
      </c>
      <c r="AC7875" t="s">
        <v>79</v>
      </c>
      <c r="AD7875" t="s">
        <v>75</v>
      </c>
      <c r="AE7875" t="s">
        <v>103</v>
      </c>
      <c r="AG7875" t="s">
        <v>81</v>
      </c>
    </row>
    <row r="7876" spans="1:33" x14ac:dyDescent="0.25">
      <c r="A7876" t="str">
        <f>"1508113606"</f>
        <v>1508113606</v>
      </c>
      <c r="C7876" t="s">
        <v>13436</v>
      </c>
      <c r="G7876" t="s">
        <v>34699</v>
      </c>
      <c r="K7876" t="s">
        <v>99</v>
      </c>
      <c r="L7876" t="s">
        <v>102</v>
      </c>
      <c r="M7876" t="s">
        <v>75</v>
      </c>
      <c r="R7876" t="s">
        <v>34700</v>
      </c>
      <c r="S7876" t="s">
        <v>34701</v>
      </c>
      <c r="T7876" t="s">
        <v>31584</v>
      </c>
      <c r="U7876" t="s">
        <v>4604</v>
      </c>
      <c r="V7876" t="str">
        <f>"394021308"</f>
        <v>394021308</v>
      </c>
      <c r="AC7876" t="s">
        <v>79</v>
      </c>
      <c r="AD7876" t="s">
        <v>75</v>
      </c>
      <c r="AE7876" t="s">
        <v>103</v>
      </c>
      <c r="AG7876" t="s">
        <v>81</v>
      </c>
    </row>
    <row r="7877" spans="1:33" x14ac:dyDescent="0.25">
      <c r="A7877" t="str">
        <f>"1508115189"</f>
        <v>1508115189</v>
      </c>
      <c r="B7877" t="str">
        <f>"03573484"</f>
        <v>03573484</v>
      </c>
      <c r="C7877" t="s">
        <v>13436</v>
      </c>
      <c r="D7877" t="s">
        <v>34702</v>
      </c>
      <c r="E7877" t="s">
        <v>34703</v>
      </c>
      <c r="G7877" t="s">
        <v>34704</v>
      </c>
      <c r="L7877" t="s">
        <v>102</v>
      </c>
      <c r="M7877" t="s">
        <v>75</v>
      </c>
      <c r="R7877" t="s">
        <v>34703</v>
      </c>
      <c r="W7877" t="s">
        <v>34703</v>
      </c>
      <c r="X7877" t="s">
        <v>1076</v>
      </c>
      <c r="Y7877" t="s">
        <v>97</v>
      </c>
      <c r="Z7877" t="s">
        <v>77</v>
      </c>
      <c r="AA7877" t="str">
        <f>"10025-1737"</f>
        <v>10025-1737</v>
      </c>
      <c r="AB7877" t="s">
        <v>125</v>
      </c>
      <c r="AC7877" t="s">
        <v>79</v>
      </c>
      <c r="AD7877" t="s">
        <v>75</v>
      </c>
      <c r="AE7877" t="s">
        <v>80</v>
      </c>
      <c r="AG7877" t="s">
        <v>81</v>
      </c>
    </row>
    <row r="7878" spans="1:33" x14ac:dyDescent="0.25">
      <c r="A7878" t="str">
        <f>"1306269493"</f>
        <v>1306269493</v>
      </c>
      <c r="C7878" t="s">
        <v>13436</v>
      </c>
      <c r="G7878" t="s">
        <v>34705</v>
      </c>
      <c r="K7878" t="s">
        <v>99</v>
      </c>
      <c r="L7878" t="s">
        <v>102</v>
      </c>
      <c r="M7878" t="s">
        <v>75</v>
      </c>
      <c r="R7878" t="s">
        <v>34706</v>
      </c>
      <c r="S7878" t="s">
        <v>34707</v>
      </c>
      <c r="T7878" t="s">
        <v>34708</v>
      </c>
      <c r="U7878" t="s">
        <v>156</v>
      </c>
      <c r="V7878" t="str">
        <f>"076521762"</f>
        <v>076521762</v>
      </c>
      <c r="AC7878" t="s">
        <v>79</v>
      </c>
      <c r="AD7878" t="s">
        <v>75</v>
      </c>
      <c r="AE7878" t="s">
        <v>103</v>
      </c>
      <c r="AG7878" t="s">
        <v>81</v>
      </c>
    </row>
    <row r="7879" spans="1:33" x14ac:dyDescent="0.25">
      <c r="A7879" t="str">
        <f>"1306821244"</f>
        <v>1306821244</v>
      </c>
      <c r="B7879" t="str">
        <f>"03242082"</f>
        <v>03242082</v>
      </c>
      <c r="C7879" t="s">
        <v>13436</v>
      </c>
      <c r="D7879" t="s">
        <v>34709</v>
      </c>
      <c r="E7879" t="s">
        <v>34710</v>
      </c>
      <c r="G7879" t="s">
        <v>34711</v>
      </c>
      <c r="L7879" t="s">
        <v>74</v>
      </c>
      <c r="M7879" t="s">
        <v>85</v>
      </c>
      <c r="R7879" t="s">
        <v>34712</v>
      </c>
      <c r="W7879" t="s">
        <v>34713</v>
      </c>
      <c r="X7879" t="s">
        <v>842</v>
      </c>
      <c r="Y7879" t="s">
        <v>97</v>
      </c>
      <c r="Z7879" t="s">
        <v>77</v>
      </c>
      <c r="AA7879" t="str">
        <f>"10029-6501"</f>
        <v>10029-6501</v>
      </c>
      <c r="AB7879" t="s">
        <v>78</v>
      </c>
      <c r="AC7879" t="s">
        <v>79</v>
      </c>
      <c r="AD7879" t="s">
        <v>75</v>
      </c>
      <c r="AE7879" t="s">
        <v>80</v>
      </c>
      <c r="AG7879" t="s">
        <v>81</v>
      </c>
    </row>
    <row r="7880" spans="1:33" x14ac:dyDescent="0.25">
      <c r="A7880" t="str">
        <f>"1306835897"</f>
        <v>1306835897</v>
      </c>
      <c r="B7880" t="str">
        <f>"02375708"</f>
        <v>02375708</v>
      </c>
      <c r="C7880" t="s">
        <v>13436</v>
      </c>
      <c r="D7880" t="s">
        <v>34714</v>
      </c>
      <c r="E7880" t="s">
        <v>34715</v>
      </c>
      <c r="G7880" t="s">
        <v>34716</v>
      </c>
      <c r="L7880" t="s">
        <v>83</v>
      </c>
      <c r="M7880" t="s">
        <v>85</v>
      </c>
      <c r="R7880" t="s">
        <v>34717</v>
      </c>
      <c r="W7880" t="s">
        <v>34715</v>
      </c>
      <c r="Y7880" t="s">
        <v>131</v>
      </c>
      <c r="Z7880" t="s">
        <v>77</v>
      </c>
      <c r="AA7880" t="str">
        <f>"10451-5589"</f>
        <v>10451-5589</v>
      </c>
      <c r="AB7880" t="s">
        <v>78</v>
      </c>
      <c r="AC7880" t="s">
        <v>79</v>
      </c>
      <c r="AD7880" t="s">
        <v>75</v>
      </c>
      <c r="AE7880" t="s">
        <v>80</v>
      </c>
      <c r="AG7880" t="s">
        <v>81</v>
      </c>
    </row>
    <row r="7881" spans="1:33" x14ac:dyDescent="0.25">
      <c r="A7881" t="str">
        <f>"1306846738"</f>
        <v>1306846738</v>
      </c>
      <c r="B7881" t="str">
        <f>"01977499"</f>
        <v>01977499</v>
      </c>
      <c r="C7881" t="s">
        <v>13436</v>
      </c>
      <c r="D7881" t="s">
        <v>34718</v>
      </c>
      <c r="E7881" t="s">
        <v>34719</v>
      </c>
      <c r="G7881" t="s">
        <v>34720</v>
      </c>
      <c r="L7881" t="s">
        <v>83</v>
      </c>
      <c r="M7881" t="s">
        <v>85</v>
      </c>
      <c r="R7881" t="s">
        <v>34721</v>
      </c>
      <c r="W7881" t="s">
        <v>34722</v>
      </c>
      <c r="X7881" t="s">
        <v>2926</v>
      </c>
      <c r="Y7881" t="s">
        <v>97</v>
      </c>
      <c r="Z7881" t="s">
        <v>77</v>
      </c>
      <c r="AA7881" t="str">
        <f>"10029-6503"</f>
        <v>10029-6503</v>
      </c>
      <c r="AB7881" t="s">
        <v>78</v>
      </c>
      <c r="AC7881" t="s">
        <v>79</v>
      </c>
      <c r="AD7881" t="s">
        <v>75</v>
      </c>
      <c r="AE7881" t="s">
        <v>80</v>
      </c>
      <c r="AG7881" t="s">
        <v>81</v>
      </c>
    </row>
    <row r="7882" spans="1:33" x14ac:dyDescent="0.25">
      <c r="A7882" t="str">
        <f>"1306850235"</f>
        <v>1306850235</v>
      </c>
      <c r="B7882" t="str">
        <f>"00380305"</f>
        <v>00380305</v>
      </c>
      <c r="C7882" t="s">
        <v>13436</v>
      </c>
      <c r="D7882" t="s">
        <v>34723</v>
      </c>
      <c r="E7882" t="s">
        <v>34724</v>
      </c>
      <c r="G7882" t="s">
        <v>34725</v>
      </c>
      <c r="L7882" t="s">
        <v>83</v>
      </c>
      <c r="M7882" t="s">
        <v>85</v>
      </c>
      <c r="R7882" t="s">
        <v>34726</v>
      </c>
      <c r="W7882" t="s">
        <v>34726</v>
      </c>
      <c r="X7882" t="s">
        <v>11945</v>
      </c>
      <c r="Y7882" t="s">
        <v>2128</v>
      </c>
      <c r="Z7882" t="s">
        <v>77</v>
      </c>
      <c r="AA7882" t="str">
        <f>"11743-2779"</f>
        <v>11743-2779</v>
      </c>
      <c r="AB7882" t="s">
        <v>78</v>
      </c>
      <c r="AC7882" t="s">
        <v>79</v>
      </c>
      <c r="AD7882" t="s">
        <v>75</v>
      </c>
      <c r="AE7882" t="s">
        <v>80</v>
      </c>
      <c r="AG7882" t="s">
        <v>81</v>
      </c>
    </row>
    <row r="7883" spans="1:33" x14ac:dyDescent="0.25">
      <c r="A7883" t="str">
        <f>"1306869474"</f>
        <v>1306869474</v>
      </c>
      <c r="B7883" t="str">
        <f>"01355224"</f>
        <v>01355224</v>
      </c>
      <c r="C7883" t="s">
        <v>13436</v>
      </c>
      <c r="D7883" t="s">
        <v>34727</v>
      </c>
      <c r="E7883" t="s">
        <v>34728</v>
      </c>
      <c r="G7883" t="s">
        <v>34729</v>
      </c>
      <c r="L7883" t="s">
        <v>83</v>
      </c>
      <c r="M7883" t="s">
        <v>85</v>
      </c>
      <c r="R7883" t="s">
        <v>34730</v>
      </c>
      <c r="W7883" t="s">
        <v>34731</v>
      </c>
      <c r="AB7883" t="s">
        <v>78</v>
      </c>
      <c r="AC7883" t="s">
        <v>79</v>
      </c>
      <c r="AD7883" t="s">
        <v>75</v>
      </c>
      <c r="AE7883" t="s">
        <v>80</v>
      </c>
      <c r="AG7883" t="s">
        <v>81</v>
      </c>
    </row>
    <row r="7884" spans="1:33" x14ac:dyDescent="0.25">
      <c r="A7884" t="str">
        <f>"1467495507"</f>
        <v>1467495507</v>
      </c>
      <c r="C7884" t="s">
        <v>13436</v>
      </c>
      <c r="G7884" t="s">
        <v>34732</v>
      </c>
      <c r="K7884" t="s">
        <v>99</v>
      </c>
      <c r="L7884" t="s">
        <v>74</v>
      </c>
      <c r="M7884" t="s">
        <v>75</v>
      </c>
      <c r="R7884" t="s">
        <v>34733</v>
      </c>
      <c r="S7884" t="s">
        <v>235</v>
      </c>
      <c r="T7884" t="s">
        <v>190</v>
      </c>
      <c r="U7884" t="s">
        <v>77</v>
      </c>
      <c r="V7884" t="str">
        <f>"111022448"</f>
        <v>111022448</v>
      </c>
      <c r="AC7884" t="s">
        <v>79</v>
      </c>
      <c r="AD7884" t="s">
        <v>75</v>
      </c>
      <c r="AE7884" t="s">
        <v>103</v>
      </c>
      <c r="AG7884" t="s">
        <v>81</v>
      </c>
    </row>
    <row r="7885" spans="1:33" x14ac:dyDescent="0.25">
      <c r="A7885" t="str">
        <f>"1447203401"</f>
        <v>1447203401</v>
      </c>
      <c r="B7885" t="str">
        <f>"01820300"</f>
        <v>01820300</v>
      </c>
      <c r="C7885" t="s">
        <v>13436</v>
      </c>
      <c r="D7885" t="s">
        <v>34734</v>
      </c>
      <c r="E7885" t="s">
        <v>34735</v>
      </c>
      <c r="G7885" t="s">
        <v>34736</v>
      </c>
      <c r="L7885" t="s">
        <v>83</v>
      </c>
      <c r="M7885" t="s">
        <v>85</v>
      </c>
      <c r="R7885" t="s">
        <v>34737</v>
      </c>
      <c r="W7885" t="s">
        <v>34735</v>
      </c>
      <c r="X7885" t="s">
        <v>34738</v>
      </c>
      <c r="Y7885" t="s">
        <v>11614</v>
      </c>
      <c r="Z7885" t="s">
        <v>11615</v>
      </c>
      <c r="AA7885" t="str">
        <f>"20010-3017"</f>
        <v>20010-3017</v>
      </c>
      <c r="AB7885" t="s">
        <v>78</v>
      </c>
      <c r="AC7885" t="s">
        <v>79</v>
      </c>
      <c r="AD7885" t="s">
        <v>75</v>
      </c>
      <c r="AE7885" t="s">
        <v>80</v>
      </c>
      <c r="AG7885" t="s">
        <v>81</v>
      </c>
    </row>
    <row r="7886" spans="1:33" x14ac:dyDescent="0.25">
      <c r="A7886" t="str">
        <f>"1447221288"</f>
        <v>1447221288</v>
      </c>
      <c r="B7886" t="str">
        <f>"02911324"</f>
        <v>02911324</v>
      </c>
      <c r="C7886" t="s">
        <v>13436</v>
      </c>
      <c r="D7886" t="s">
        <v>34739</v>
      </c>
      <c r="E7886" t="s">
        <v>34740</v>
      </c>
      <c r="G7886" t="s">
        <v>34741</v>
      </c>
      <c r="L7886" t="s">
        <v>83</v>
      </c>
      <c r="M7886" t="s">
        <v>85</v>
      </c>
      <c r="R7886" t="s">
        <v>34742</v>
      </c>
      <c r="W7886" t="s">
        <v>34740</v>
      </c>
      <c r="X7886" t="s">
        <v>186</v>
      </c>
      <c r="Y7886" t="s">
        <v>97</v>
      </c>
      <c r="Z7886" t="s">
        <v>77</v>
      </c>
      <c r="AA7886" t="str">
        <f>"10029-7404"</f>
        <v>10029-7404</v>
      </c>
      <c r="AB7886" t="s">
        <v>78</v>
      </c>
      <c r="AC7886" t="s">
        <v>79</v>
      </c>
      <c r="AD7886" t="s">
        <v>75</v>
      </c>
      <c r="AE7886" t="s">
        <v>80</v>
      </c>
      <c r="AG7886" t="s">
        <v>81</v>
      </c>
    </row>
    <row r="7887" spans="1:33" x14ac:dyDescent="0.25">
      <c r="A7887" t="str">
        <f>"1447221551"</f>
        <v>1447221551</v>
      </c>
      <c r="B7887" t="str">
        <f>"00375902"</f>
        <v>00375902</v>
      </c>
      <c r="C7887" t="s">
        <v>13436</v>
      </c>
      <c r="D7887" t="s">
        <v>34743</v>
      </c>
      <c r="E7887" t="s">
        <v>34744</v>
      </c>
      <c r="G7887" t="s">
        <v>34745</v>
      </c>
      <c r="L7887" t="s">
        <v>74</v>
      </c>
      <c r="M7887" t="s">
        <v>85</v>
      </c>
      <c r="R7887" t="s">
        <v>34746</v>
      </c>
      <c r="W7887" t="s">
        <v>34744</v>
      </c>
      <c r="X7887" t="s">
        <v>272</v>
      </c>
      <c r="Y7887" t="s">
        <v>97</v>
      </c>
      <c r="Z7887" t="s">
        <v>77</v>
      </c>
      <c r="AA7887" t="str">
        <f>"10029-6501"</f>
        <v>10029-6501</v>
      </c>
      <c r="AB7887" t="s">
        <v>78</v>
      </c>
      <c r="AC7887" t="s">
        <v>79</v>
      </c>
      <c r="AD7887" t="s">
        <v>75</v>
      </c>
      <c r="AE7887" t="s">
        <v>80</v>
      </c>
      <c r="AG7887" t="s">
        <v>81</v>
      </c>
    </row>
    <row r="7888" spans="1:33" x14ac:dyDescent="0.25">
      <c r="A7888" t="str">
        <f>"1447222153"</f>
        <v>1447222153</v>
      </c>
      <c r="B7888" t="str">
        <f>"01042180"</f>
        <v>01042180</v>
      </c>
      <c r="C7888" t="s">
        <v>13436</v>
      </c>
      <c r="D7888" t="s">
        <v>34747</v>
      </c>
      <c r="E7888" t="s">
        <v>34748</v>
      </c>
      <c r="G7888" t="s">
        <v>34749</v>
      </c>
      <c r="L7888" t="s">
        <v>83</v>
      </c>
      <c r="M7888" t="s">
        <v>85</v>
      </c>
      <c r="R7888" t="s">
        <v>34750</v>
      </c>
      <c r="W7888" t="s">
        <v>34751</v>
      </c>
      <c r="X7888" t="s">
        <v>942</v>
      </c>
      <c r="Y7888" t="s">
        <v>97</v>
      </c>
      <c r="Z7888" t="s">
        <v>77</v>
      </c>
      <c r="AA7888" t="str">
        <f>"10029-6508"</f>
        <v>10029-6508</v>
      </c>
      <c r="AB7888" t="s">
        <v>78</v>
      </c>
      <c r="AC7888" t="s">
        <v>79</v>
      </c>
      <c r="AD7888" t="s">
        <v>75</v>
      </c>
      <c r="AE7888" t="s">
        <v>80</v>
      </c>
      <c r="AG7888" t="s">
        <v>81</v>
      </c>
    </row>
    <row r="7889" spans="1:33" x14ac:dyDescent="0.25">
      <c r="A7889" t="str">
        <f>"1578569406"</f>
        <v>1578569406</v>
      </c>
      <c r="B7889" t="str">
        <f>"01402877"</f>
        <v>01402877</v>
      </c>
      <c r="C7889" t="s">
        <v>13436</v>
      </c>
      <c r="D7889" t="s">
        <v>34752</v>
      </c>
      <c r="E7889" t="s">
        <v>34753</v>
      </c>
      <c r="G7889" t="s">
        <v>34754</v>
      </c>
      <c r="L7889" t="s">
        <v>83</v>
      </c>
      <c r="M7889" t="s">
        <v>85</v>
      </c>
      <c r="R7889" t="s">
        <v>34755</v>
      </c>
      <c r="W7889" t="s">
        <v>34753</v>
      </c>
      <c r="X7889" t="s">
        <v>27352</v>
      </c>
      <c r="Y7889" t="s">
        <v>160</v>
      </c>
      <c r="Z7889" t="s">
        <v>77</v>
      </c>
      <c r="AA7889" t="str">
        <f>"11030-3008"</f>
        <v>11030-3008</v>
      </c>
      <c r="AB7889" t="s">
        <v>78</v>
      </c>
      <c r="AC7889" t="s">
        <v>79</v>
      </c>
      <c r="AD7889" t="s">
        <v>75</v>
      </c>
      <c r="AE7889" t="s">
        <v>80</v>
      </c>
      <c r="AG7889" t="s">
        <v>81</v>
      </c>
    </row>
    <row r="7890" spans="1:33" x14ac:dyDescent="0.25">
      <c r="A7890" t="str">
        <f>"1578584751"</f>
        <v>1578584751</v>
      </c>
      <c r="B7890" t="str">
        <f>"02558198"</f>
        <v>02558198</v>
      </c>
      <c r="C7890" t="s">
        <v>13436</v>
      </c>
      <c r="D7890" t="s">
        <v>34756</v>
      </c>
      <c r="E7890" t="s">
        <v>34757</v>
      </c>
      <c r="G7890" t="s">
        <v>34758</v>
      </c>
      <c r="L7890" t="s">
        <v>74</v>
      </c>
      <c r="M7890" t="s">
        <v>75</v>
      </c>
      <c r="R7890" t="s">
        <v>34759</v>
      </c>
      <c r="W7890" t="s">
        <v>34757</v>
      </c>
      <c r="X7890" t="s">
        <v>34760</v>
      </c>
      <c r="Y7890" t="s">
        <v>97</v>
      </c>
      <c r="Z7890" t="s">
        <v>77</v>
      </c>
      <c r="AA7890" t="str">
        <f>"10003-0000"</f>
        <v>10003-0000</v>
      </c>
      <c r="AB7890" t="s">
        <v>78</v>
      </c>
      <c r="AC7890" t="s">
        <v>79</v>
      </c>
      <c r="AD7890" t="s">
        <v>75</v>
      </c>
      <c r="AE7890" t="s">
        <v>80</v>
      </c>
      <c r="AG7890" t="s">
        <v>81</v>
      </c>
    </row>
    <row r="7891" spans="1:33" x14ac:dyDescent="0.25">
      <c r="A7891" t="str">
        <f>"1538478417"</f>
        <v>1538478417</v>
      </c>
      <c r="B7891" t="str">
        <f>"03787533"</f>
        <v>03787533</v>
      </c>
      <c r="C7891" t="s">
        <v>13436</v>
      </c>
      <c r="D7891" t="s">
        <v>34761</v>
      </c>
      <c r="E7891" t="s">
        <v>34762</v>
      </c>
      <c r="L7891" t="s">
        <v>74</v>
      </c>
      <c r="M7891" t="s">
        <v>75</v>
      </c>
      <c r="R7891" t="s">
        <v>34762</v>
      </c>
      <c r="W7891" t="s">
        <v>34762</v>
      </c>
      <c r="X7891" t="s">
        <v>5585</v>
      </c>
      <c r="Y7891" t="s">
        <v>97</v>
      </c>
      <c r="Z7891" t="s">
        <v>77</v>
      </c>
      <c r="AA7891" t="str">
        <f>"10003-0000"</f>
        <v>10003-0000</v>
      </c>
      <c r="AB7891" t="s">
        <v>78</v>
      </c>
      <c r="AC7891" t="s">
        <v>79</v>
      </c>
      <c r="AD7891" t="s">
        <v>75</v>
      </c>
      <c r="AE7891" t="s">
        <v>80</v>
      </c>
      <c r="AG7891" t="s">
        <v>81</v>
      </c>
    </row>
    <row r="7892" spans="1:33" x14ac:dyDescent="0.25">
      <c r="A7892" t="str">
        <f>"1538479175"</f>
        <v>1538479175</v>
      </c>
      <c r="B7892" t="str">
        <f>"03399699"</f>
        <v>03399699</v>
      </c>
      <c r="C7892" t="s">
        <v>13436</v>
      </c>
      <c r="D7892" t="s">
        <v>34763</v>
      </c>
      <c r="E7892" t="s">
        <v>34764</v>
      </c>
      <c r="G7892" t="s">
        <v>34765</v>
      </c>
      <c r="L7892" t="s">
        <v>74</v>
      </c>
      <c r="M7892" t="s">
        <v>75</v>
      </c>
      <c r="R7892" t="s">
        <v>34766</v>
      </c>
      <c r="W7892" t="s">
        <v>34764</v>
      </c>
      <c r="X7892" t="s">
        <v>28689</v>
      </c>
      <c r="Y7892" t="s">
        <v>97</v>
      </c>
      <c r="Z7892" t="s">
        <v>77</v>
      </c>
      <c r="AA7892" t="str">
        <f>"10019-8022"</f>
        <v>10019-8022</v>
      </c>
      <c r="AB7892" t="s">
        <v>78</v>
      </c>
      <c r="AC7892" t="s">
        <v>79</v>
      </c>
      <c r="AD7892" t="s">
        <v>75</v>
      </c>
      <c r="AE7892" t="s">
        <v>80</v>
      </c>
      <c r="AG7892" t="s">
        <v>81</v>
      </c>
    </row>
    <row r="7893" spans="1:33" x14ac:dyDescent="0.25">
      <c r="A7893" t="str">
        <f>"1477569416"</f>
        <v>1477569416</v>
      </c>
      <c r="B7893" t="str">
        <f>"02148543"</f>
        <v>02148543</v>
      </c>
      <c r="C7893" t="s">
        <v>13436</v>
      </c>
      <c r="D7893" t="s">
        <v>34767</v>
      </c>
      <c r="E7893" t="s">
        <v>34768</v>
      </c>
      <c r="G7893" t="s">
        <v>34769</v>
      </c>
      <c r="L7893" t="s">
        <v>83</v>
      </c>
      <c r="M7893" t="s">
        <v>85</v>
      </c>
      <c r="R7893" t="s">
        <v>34770</v>
      </c>
      <c r="W7893" t="s">
        <v>34768</v>
      </c>
      <c r="X7893" t="s">
        <v>11945</v>
      </c>
      <c r="Y7893" t="s">
        <v>2128</v>
      </c>
      <c r="Z7893" t="s">
        <v>77</v>
      </c>
      <c r="AA7893" t="str">
        <f>"11743-2779"</f>
        <v>11743-2779</v>
      </c>
      <c r="AB7893" t="s">
        <v>78</v>
      </c>
      <c r="AC7893" t="s">
        <v>79</v>
      </c>
      <c r="AD7893" t="s">
        <v>75</v>
      </c>
      <c r="AE7893" t="s">
        <v>80</v>
      </c>
      <c r="AG7893" t="s">
        <v>81</v>
      </c>
    </row>
    <row r="7894" spans="1:33" x14ac:dyDescent="0.25">
      <c r="A7894" t="str">
        <f>"1477571115"</f>
        <v>1477571115</v>
      </c>
      <c r="B7894" t="str">
        <f>"01322527"</f>
        <v>01322527</v>
      </c>
      <c r="C7894" t="s">
        <v>13436</v>
      </c>
      <c r="D7894" t="s">
        <v>34771</v>
      </c>
      <c r="E7894" t="s">
        <v>34772</v>
      </c>
      <c r="L7894" t="s">
        <v>83</v>
      </c>
      <c r="M7894" t="s">
        <v>85</v>
      </c>
      <c r="R7894" t="s">
        <v>34773</v>
      </c>
      <c r="W7894" t="s">
        <v>34772</v>
      </c>
      <c r="X7894" t="s">
        <v>5557</v>
      </c>
      <c r="Y7894" t="s">
        <v>97</v>
      </c>
      <c r="Z7894" t="s">
        <v>77</v>
      </c>
      <c r="AA7894" t="str">
        <f>"10029-6501"</f>
        <v>10029-6501</v>
      </c>
      <c r="AB7894" t="s">
        <v>78</v>
      </c>
      <c r="AC7894" t="s">
        <v>79</v>
      </c>
      <c r="AD7894" t="s">
        <v>75</v>
      </c>
      <c r="AE7894" t="s">
        <v>80</v>
      </c>
      <c r="AG7894" t="s">
        <v>81</v>
      </c>
    </row>
    <row r="7895" spans="1:33" x14ac:dyDescent="0.25">
      <c r="A7895" t="str">
        <f>"1477571263"</f>
        <v>1477571263</v>
      </c>
      <c r="B7895" t="str">
        <f>"02756756"</f>
        <v>02756756</v>
      </c>
      <c r="C7895" t="s">
        <v>13436</v>
      </c>
      <c r="D7895" t="s">
        <v>34774</v>
      </c>
      <c r="E7895" t="s">
        <v>34775</v>
      </c>
      <c r="G7895" t="s">
        <v>34776</v>
      </c>
      <c r="L7895" t="s">
        <v>83</v>
      </c>
      <c r="M7895" t="s">
        <v>85</v>
      </c>
      <c r="R7895" t="s">
        <v>34777</v>
      </c>
      <c r="W7895" t="s">
        <v>34775</v>
      </c>
      <c r="X7895" t="s">
        <v>4029</v>
      </c>
      <c r="Y7895" t="s">
        <v>97</v>
      </c>
      <c r="Z7895" t="s">
        <v>77</v>
      </c>
      <c r="AA7895" t="str">
        <f>"10029-6503"</f>
        <v>10029-6503</v>
      </c>
      <c r="AB7895" t="s">
        <v>78</v>
      </c>
      <c r="AC7895" t="s">
        <v>79</v>
      </c>
      <c r="AD7895" t="s">
        <v>75</v>
      </c>
      <c r="AE7895" t="s">
        <v>80</v>
      </c>
      <c r="AG7895" t="s">
        <v>81</v>
      </c>
    </row>
    <row r="7896" spans="1:33" x14ac:dyDescent="0.25">
      <c r="A7896" t="str">
        <f>"1477575223"</f>
        <v>1477575223</v>
      </c>
      <c r="C7896" t="s">
        <v>13436</v>
      </c>
      <c r="G7896" t="s">
        <v>34778</v>
      </c>
      <c r="K7896" t="s">
        <v>99</v>
      </c>
      <c r="L7896" t="s">
        <v>102</v>
      </c>
      <c r="M7896" t="s">
        <v>75</v>
      </c>
      <c r="R7896" t="s">
        <v>34779</v>
      </c>
      <c r="S7896" t="s">
        <v>34780</v>
      </c>
      <c r="T7896" t="s">
        <v>238</v>
      </c>
      <c r="U7896" t="s">
        <v>77</v>
      </c>
      <c r="V7896" t="str">
        <f>"11576"</f>
        <v>11576</v>
      </c>
      <c r="AC7896" t="s">
        <v>79</v>
      </c>
      <c r="AD7896" t="s">
        <v>75</v>
      </c>
      <c r="AE7896" t="s">
        <v>103</v>
      </c>
      <c r="AG7896" t="s">
        <v>81</v>
      </c>
    </row>
    <row r="7897" spans="1:33" x14ac:dyDescent="0.25">
      <c r="A7897" t="str">
        <f>"1063590826"</f>
        <v>1063590826</v>
      </c>
      <c r="B7897" t="str">
        <f>"02904552"</f>
        <v>02904552</v>
      </c>
      <c r="C7897" t="s">
        <v>13436</v>
      </c>
      <c r="D7897" t="s">
        <v>34781</v>
      </c>
      <c r="E7897" t="s">
        <v>34782</v>
      </c>
      <c r="G7897" t="s">
        <v>34783</v>
      </c>
      <c r="L7897" t="s">
        <v>83</v>
      </c>
      <c r="M7897" t="s">
        <v>85</v>
      </c>
      <c r="R7897" t="s">
        <v>34782</v>
      </c>
      <c r="W7897" t="s">
        <v>34782</v>
      </c>
      <c r="X7897" t="s">
        <v>34784</v>
      </c>
      <c r="Y7897" t="s">
        <v>5474</v>
      </c>
      <c r="Z7897" t="s">
        <v>77</v>
      </c>
      <c r="AA7897" t="str">
        <f>"10577-2525"</f>
        <v>10577-2525</v>
      </c>
      <c r="AB7897" t="s">
        <v>78</v>
      </c>
      <c r="AC7897" t="s">
        <v>79</v>
      </c>
      <c r="AD7897" t="s">
        <v>75</v>
      </c>
      <c r="AE7897" t="s">
        <v>80</v>
      </c>
      <c r="AG7897" t="s">
        <v>81</v>
      </c>
    </row>
    <row r="7898" spans="1:33" x14ac:dyDescent="0.25">
      <c r="A7898" t="str">
        <f>"1063617751"</f>
        <v>1063617751</v>
      </c>
      <c r="B7898" t="str">
        <f>"03019830"</f>
        <v>03019830</v>
      </c>
      <c r="C7898" t="s">
        <v>13436</v>
      </c>
      <c r="D7898" t="s">
        <v>34785</v>
      </c>
      <c r="E7898" t="s">
        <v>34786</v>
      </c>
      <c r="G7898" t="s">
        <v>34787</v>
      </c>
      <c r="L7898" t="s">
        <v>83</v>
      </c>
      <c r="M7898" t="s">
        <v>85</v>
      </c>
      <c r="R7898" t="s">
        <v>34788</v>
      </c>
      <c r="W7898" t="s">
        <v>34786</v>
      </c>
      <c r="X7898" t="s">
        <v>942</v>
      </c>
      <c r="Y7898" t="s">
        <v>97</v>
      </c>
      <c r="Z7898" t="s">
        <v>77</v>
      </c>
      <c r="AA7898" t="str">
        <f>"10029-6508"</f>
        <v>10029-6508</v>
      </c>
      <c r="AB7898" t="s">
        <v>78</v>
      </c>
      <c r="AC7898" t="s">
        <v>79</v>
      </c>
      <c r="AD7898" t="s">
        <v>75</v>
      </c>
      <c r="AE7898" t="s">
        <v>80</v>
      </c>
      <c r="AG7898" t="s">
        <v>81</v>
      </c>
    </row>
    <row r="7899" spans="1:33" x14ac:dyDescent="0.25">
      <c r="A7899" t="str">
        <f>"1063626760"</f>
        <v>1063626760</v>
      </c>
      <c r="C7899" t="s">
        <v>13436</v>
      </c>
      <c r="K7899" t="s">
        <v>99</v>
      </c>
      <c r="L7899" t="s">
        <v>102</v>
      </c>
      <c r="M7899" t="s">
        <v>75</v>
      </c>
      <c r="R7899" t="s">
        <v>34789</v>
      </c>
      <c r="S7899" t="s">
        <v>34790</v>
      </c>
      <c r="T7899" t="s">
        <v>97</v>
      </c>
      <c r="U7899" t="s">
        <v>77</v>
      </c>
      <c r="V7899" t="str">
        <f>"100033314"</f>
        <v>100033314</v>
      </c>
      <c r="AC7899" t="s">
        <v>79</v>
      </c>
      <c r="AD7899" t="s">
        <v>75</v>
      </c>
      <c r="AE7899" t="s">
        <v>103</v>
      </c>
      <c r="AG7899" t="s">
        <v>81</v>
      </c>
    </row>
    <row r="7900" spans="1:33" x14ac:dyDescent="0.25">
      <c r="A7900" t="str">
        <f>"1225095581"</f>
        <v>1225095581</v>
      </c>
      <c r="B7900" t="str">
        <f>"03169317"</f>
        <v>03169317</v>
      </c>
      <c r="C7900" t="s">
        <v>13436</v>
      </c>
      <c r="D7900" t="s">
        <v>34791</v>
      </c>
      <c r="E7900" t="s">
        <v>34792</v>
      </c>
      <c r="G7900" t="s">
        <v>34793</v>
      </c>
      <c r="L7900" t="s">
        <v>74</v>
      </c>
      <c r="M7900" t="s">
        <v>85</v>
      </c>
      <c r="R7900" t="s">
        <v>34794</v>
      </c>
      <c r="W7900" t="s">
        <v>34792</v>
      </c>
      <c r="X7900" t="s">
        <v>4029</v>
      </c>
      <c r="Y7900" t="s">
        <v>97</v>
      </c>
      <c r="Z7900" t="s">
        <v>77</v>
      </c>
      <c r="AA7900" t="str">
        <f>"10029-6503"</f>
        <v>10029-6503</v>
      </c>
      <c r="AB7900" t="s">
        <v>78</v>
      </c>
      <c r="AC7900" t="s">
        <v>79</v>
      </c>
      <c r="AD7900" t="s">
        <v>75</v>
      </c>
      <c r="AE7900" t="s">
        <v>80</v>
      </c>
      <c r="AG7900" t="s">
        <v>81</v>
      </c>
    </row>
    <row r="7901" spans="1:33" x14ac:dyDescent="0.25">
      <c r="A7901" t="str">
        <f>"1225099070"</f>
        <v>1225099070</v>
      </c>
      <c r="B7901" t="str">
        <f>"02315300"</f>
        <v>02315300</v>
      </c>
      <c r="C7901" t="s">
        <v>13436</v>
      </c>
      <c r="D7901" t="s">
        <v>34795</v>
      </c>
      <c r="E7901" t="s">
        <v>34796</v>
      </c>
      <c r="G7901" t="s">
        <v>34797</v>
      </c>
      <c r="L7901" t="s">
        <v>84</v>
      </c>
      <c r="M7901" t="s">
        <v>75</v>
      </c>
      <c r="R7901" t="s">
        <v>34798</v>
      </c>
      <c r="W7901" t="s">
        <v>34796</v>
      </c>
      <c r="X7901" t="s">
        <v>8196</v>
      </c>
      <c r="Y7901" t="s">
        <v>87</v>
      </c>
      <c r="Z7901" t="s">
        <v>77</v>
      </c>
      <c r="AA7901" t="str">
        <f>"11201-5551"</f>
        <v>11201-5551</v>
      </c>
      <c r="AB7901" t="s">
        <v>78</v>
      </c>
      <c r="AC7901" t="s">
        <v>79</v>
      </c>
      <c r="AD7901" t="s">
        <v>75</v>
      </c>
      <c r="AE7901" t="s">
        <v>80</v>
      </c>
      <c r="AG7901" t="s">
        <v>81</v>
      </c>
    </row>
    <row r="7902" spans="1:33" x14ac:dyDescent="0.25">
      <c r="A7902" t="str">
        <f>"1295014322"</f>
        <v>1295014322</v>
      </c>
      <c r="B7902" t="str">
        <f>"04156878"</f>
        <v>04156878</v>
      </c>
      <c r="C7902" t="s">
        <v>13436</v>
      </c>
      <c r="D7902" t="s">
        <v>6104</v>
      </c>
      <c r="E7902" t="s">
        <v>6105</v>
      </c>
      <c r="L7902" t="s">
        <v>74</v>
      </c>
      <c r="M7902" t="s">
        <v>75</v>
      </c>
      <c r="R7902" t="s">
        <v>6106</v>
      </c>
      <c r="W7902" t="s">
        <v>6105</v>
      </c>
      <c r="X7902" t="s">
        <v>253</v>
      </c>
      <c r="Y7902" t="s">
        <v>131</v>
      </c>
      <c r="Z7902" t="s">
        <v>77</v>
      </c>
      <c r="AA7902" t="str">
        <f>"10466-2604"</f>
        <v>10466-2604</v>
      </c>
      <c r="AB7902" t="s">
        <v>78</v>
      </c>
      <c r="AC7902" t="s">
        <v>79</v>
      </c>
      <c r="AD7902" t="s">
        <v>75</v>
      </c>
      <c r="AE7902" t="s">
        <v>80</v>
      </c>
      <c r="AG7902" t="s">
        <v>81</v>
      </c>
    </row>
    <row r="7903" spans="1:33" x14ac:dyDescent="0.25">
      <c r="A7903" t="str">
        <f>"1295048502"</f>
        <v>1295048502</v>
      </c>
      <c r="B7903" t="str">
        <f>"03653110"</f>
        <v>03653110</v>
      </c>
      <c r="C7903" t="s">
        <v>13436</v>
      </c>
      <c r="D7903" t="s">
        <v>34799</v>
      </c>
      <c r="E7903" t="s">
        <v>34800</v>
      </c>
      <c r="G7903" t="s">
        <v>34801</v>
      </c>
      <c r="L7903" t="s">
        <v>74</v>
      </c>
      <c r="M7903" t="s">
        <v>85</v>
      </c>
      <c r="R7903" t="s">
        <v>34802</v>
      </c>
      <c r="W7903" t="s">
        <v>34800</v>
      </c>
      <c r="X7903" t="s">
        <v>34803</v>
      </c>
      <c r="Y7903" t="s">
        <v>4508</v>
      </c>
      <c r="Z7903" t="s">
        <v>77</v>
      </c>
      <c r="AA7903" t="str">
        <f>"10708-3809"</f>
        <v>10708-3809</v>
      </c>
      <c r="AB7903" t="s">
        <v>78</v>
      </c>
      <c r="AC7903" t="s">
        <v>79</v>
      </c>
      <c r="AD7903" t="s">
        <v>75</v>
      </c>
      <c r="AE7903" t="s">
        <v>80</v>
      </c>
      <c r="AG7903" t="s">
        <v>81</v>
      </c>
    </row>
    <row r="7904" spans="1:33" x14ac:dyDescent="0.25">
      <c r="A7904" t="str">
        <f>"1295054948"</f>
        <v>1295054948</v>
      </c>
      <c r="C7904" t="s">
        <v>13436</v>
      </c>
      <c r="K7904" t="s">
        <v>99</v>
      </c>
      <c r="L7904" t="s">
        <v>102</v>
      </c>
      <c r="M7904" t="s">
        <v>75</v>
      </c>
      <c r="R7904" t="s">
        <v>34804</v>
      </c>
      <c r="S7904" t="s">
        <v>34805</v>
      </c>
      <c r="T7904" t="s">
        <v>13705</v>
      </c>
      <c r="U7904" t="s">
        <v>2595</v>
      </c>
      <c r="V7904" t="str">
        <f>"941183212"</f>
        <v>941183212</v>
      </c>
      <c r="AC7904" t="s">
        <v>79</v>
      </c>
      <c r="AD7904" t="s">
        <v>75</v>
      </c>
      <c r="AE7904" t="s">
        <v>103</v>
      </c>
      <c r="AG7904" t="s">
        <v>81</v>
      </c>
    </row>
    <row r="7905" spans="1:33" x14ac:dyDescent="0.25">
      <c r="A7905" t="str">
        <f>"1255764270"</f>
        <v>1255764270</v>
      </c>
      <c r="B7905" t="str">
        <f>"04615436"</f>
        <v>04615436</v>
      </c>
      <c r="C7905" t="s">
        <v>13436</v>
      </c>
      <c r="D7905" t="s">
        <v>34806</v>
      </c>
      <c r="E7905" t="s">
        <v>34807</v>
      </c>
      <c r="L7905" t="s">
        <v>102</v>
      </c>
      <c r="M7905" t="s">
        <v>75</v>
      </c>
      <c r="R7905" t="s">
        <v>34808</v>
      </c>
      <c r="W7905" t="s">
        <v>34807</v>
      </c>
      <c r="AB7905" t="s">
        <v>78</v>
      </c>
      <c r="AC7905" t="s">
        <v>79</v>
      </c>
      <c r="AD7905" t="s">
        <v>75</v>
      </c>
      <c r="AE7905" t="s">
        <v>80</v>
      </c>
      <c r="AG7905" t="s">
        <v>81</v>
      </c>
    </row>
    <row r="7906" spans="1:33" x14ac:dyDescent="0.25">
      <c r="A7906" t="str">
        <f>"1255771945"</f>
        <v>1255771945</v>
      </c>
      <c r="C7906" t="s">
        <v>13436</v>
      </c>
      <c r="K7906" t="s">
        <v>99</v>
      </c>
      <c r="L7906" t="s">
        <v>102</v>
      </c>
      <c r="M7906" t="s">
        <v>75</v>
      </c>
      <c r="R7906" t="s">
        <v>34809</v>
      </c>
      <c r="S7906" t="s">
        <v>843</v>
      </c>
      <c r="T7906" t="s">
        <v>97</v>
      </c>
      <c r="U7906" t="s">
        <v>77</v>
      </c>
      <c r="V7906" t="str">
        <f>"100166402"</f>
        <v>100166402</v>
      </c>
      <c r="AC7906" t="s">
        <v>79</v>
      </c>
      <c r="AD7906" t="s">
        <v>75</v>
      </c>
      <c r="AE7906" t="s">
        <v>103</v>
      </c>
      <c r="AG7906" t="s">
        <v>81</v>
      </c>
    </row>
    <row r="7907" spans="1:33" x14ac:dyDescent="0.25">
      <c r="A7907" t="str">
        <f>"1255772745"</f>
        <v>1255772745</v>
      </c>
      <c r="C7907" t="s">
        <v>13436</v>
      </c>
      <c r="G7907" t="s">
        <v>34810</v>
      </c>
      <c r="K7907" t="s">
        <v>99</v>
      </c>
      <c r="L7907" t="s">
        <v>74</v>
      </c>
      <c r="M7907" t="s">
        <v>75</v>
      </c>
      <c r="R7907" t="s">
        <v>34811</v>
      </c>
      <c r="S7907" t="s">
        <v>329</v>
      </c>
      <c r="T7907" t="s">
        <v>97</v>
      </c>
      <c r="U7907" t="s">
        <v>77</v>
      </c>
      <c r="V7907" t="str">
        <f>"100296504"</f>
        <v>100296504</v>
      </c>
      <c r="AC7907" t="s">
        <v>79</v>
      </c>
      <c r="AD7907" t="s">
        <v>75</v>
      </c>
      <c r="AE7907" t="s">
        <v>103</v>
      </c>
      <c r="AG7907" t="s">
        <v>81</v>
      </c>
    </row>
    <row r="7908" spans="1:33" x14ac:dyDescent="0.25">
      <c r="A7908" t="str">
        <f>"1265408843"</f>
        <v>1265408843</v>
      </c>
      <c r="B7908" t="str">
        <f>"02152243"</f>
        <v>02152243</v>
      </c>
      <c r="C7908" t="s">
        <v>13436</v>
      </c>
      <c r="D7908" t="s">
        <v>34812</v>
      </c>
      <c r="E7908" t="s">
        <v>34813</v>
      </c>
      <c r="L7908" t="s">
        <v>83</v>
      </c>
      <c r="M7908" t="s">
        <v>85</v>
      </c>
      <c r="R7908" t="s">
        <v>34814</v>
      </c>
      <c r="W7908" t="s">
        <v>34813</v>
      </c>
      <c r="X7908" t="s">
        <v>22758</v>
      </c>
      <c r="Y7908" t="s">
        <v>97</v>
      </c>
      <c r="Z7908" t="s">
        <v>77</v>
      </c>
      <c r="AA7908" t="str">
        <f>"10029-6501"</f>
        <v>10029-6501</v>
      </c>
      <c r="AB7908" t="s">
        <v>78</v>
      </c>
      <c r="AC7908" t="s">
        <v>79</v>
      </c>
      <c r="AD7908" t="s">
        <v>75</v>
      </c>
      <c r="AE7908" t="s">
        <v>80</v>
      </c>
      <c r="AG7908" t="s">
        <v>81</v>
      </c>
    </row>
    <row r="7909" spans="1:33" x14ac:dyDescent="0.25">
      <c r="A7909" t="str">
        <f>"1306124367"</f>
        <v>1306124367</v>
      </c>
      <c r="B7909" t="str">
        <f>"03375922"</f>
        <v>03375922</v>
      </c>
      <c r="C7909" t="s">
        <v>13436</v>
      </c>
      <c r="D7909" t="s">
        <v>34815</v>
      </c>
      <c r="E7909" t="s">
        <v>34816</v>
      </c>
      <c r="L7909" t="s">
        <v>83</v>
      </c>
      <c r="M7909" t="s">
        <v>85</v>
      </c>
      <c r="R7909" t="s">
        <v>34816</v>
      </c>
      <c r="W7909" t="s">
        <v>34816</v>
      </c>
      <c r="X7909" t="s">
        <v>329</v>
      </c>
      <c r="Y7909" t="s">
        <v>97</v>
      </c>
      <c r="Z7909" t="s">
        <v>77</v>
      </c>
      <c r="AA7909" t="str">
        <f>"10029-6500"</f>
        <v>10029-6500</v>
      </c>
      <c r="AB7909" t="s">
        <v>78</v>
      </c>
      <c r="AC7909" t="s">
        <v>79</v>
      </c>
      <c r="AD7909" t="s">
        <v>75</v>
      </c>
      <c r="AE7909" t="s">
        <v>80</v>
      </c>
      <c r="AG7909" t="s">
        <v>81</v>
      </c>
    </row>
    <row r="7910" spans="1:33" x14ac:dyDescent="0.25">
      <c r="A7910" t="str">
        <f>"1306142203"</f>
        <v>1306142203</v>
      </c>
      <c r="C7910" t="s">
        <v>13436</v>
      </c>
      <c r="K7910" t="s">
        <v>99</v>
      </c>
      <c r="L7910" t="s">
        <v>102</v>
      </c>
      <c r="M7910" t="s">
        <v>75</v>
      </c>
      <c r="R7910" t="s">
        <v>34817</v>
      </c>
      <c r="S7910" t="s">
        <v>34818</v>
      </c>
      <c r="T7910" t="s">
        <v>28391</v>
      </c>
      <c r="U7910" t="s">
        <v>156</v>
      </c>
      <c r="V7910" t="str">
        <f>"07207"</f>
        <v>07207</v>
      </c>
      <c r="AC7910" t="s">
        <v>79</v>
      </c>
      <c r="AD7910" t="s">
        <v>75</v>
      </c>
      <c r="AE7910" t="s">
        <v>103</v>
      </c>
      <c r="AG7910" t="s">
        <v>81</v>
      </c>
    </row>
    <row r="7911" spans="1:33" x14ac:dyDescent="0.25">
      <c r="A7911" t="str">
        <f>"1306145370"</f>
        <v>1306145370</v>
      </c>
      <c r="B7911" t="str">
        <f>"02502587"</f>
        <v>02502587</v>
      </c>
      <c r="C7911" t="s">
        <v>13436</v>
      </c>
      <c r="D7911" t="s">
        <v>34819</v>
      </c>
      <c r="E7911" t="s">
        <v>34820</v>
      </c>
      <c r="G7911" t="s">
        <v>34821</v>
      </c>
      <c r="L7911" t="s">
        <v>74</v>
      </c>
      <c r="M7911" t="s">
        <v>75</v>
      </c>
      <c r="R7911" t="s">
        <v>34822</v>
      </c>
      <c r="W7911" t="s">
        <v>34820</v>
      </c>
      <c r="X7911" t="s">
        <v>329</v>
      </c>
      <c r="Y7911" t="s">
        <v>97</v>
      </c>
      <c r="Z7911" t="s">
        <v>77</v>
      </c>
      <c r="AA7911" t="str">
        <f>"10029-6500"</f>
        <v>10029-6500</v>
      </c>
      <c r="AB7911" t="s">
        <v>78</v>
      </c>
      <c r="AC7911" t="s">
        <v>79</v>
      </c>
      <c r="AD7911" t="s">
        <v>75</v>
      </c>
      <c r="AE7911" t="s">
        <v>80</v>
      </c>
      <c r="AG7911" t="s">
        <v>81</v>
      </c>
    </row>
    <row r="7912" spans="1:33" x14ac:dyDescent="0.25">
      <c r="A7912" t="str">
        <f>"1538453303"</f>
        <v>1538453303</v>
      </c>
      <c r="B7912" t="str">
        <f>"03851925"</f>
        <v>03851925</v>
      </c>
      <c r="C7912" t="s">
        <v>13436</v>
      </c>
      <c r="D7912" t="s">
        <v>34823</v>
      </c>
      <c r="E7912" t="s">
        <v>34824</v>
      </c>
      <c r="L7912" t="s">
        <v>74</v>
      </c>
      <c r="M7912" t="s">
        <v>75</v>
      </c>
      <c r="R7912" t="s">
        <v>34825</v>
      </c>
      <c r="W7912" t="s">
        <v>34824</v>
      </c>
      <c r="X7912" t="s">
        <v>34826</v>
      </c>
      <c r="Y7912" t="s">
        <v>97</v>
      </c>
      <c r="Z7912" t="s">
        <v>77</v>
      </c>
      <c r="AA7912" t="str">
        <f>"10003-0000"</f>
        <v>10003-0000</v>
      </c>
      <c r="AB7912" t="s">
        <v>78</v>
      </c>
      <c r="AC7912" t="s">
        <v>79</v>
      </c>
      <c r="AD7912" t="s">
        <v>75</v>
      </c>
      <c r="AE7912" t="s">
        <v>80</v>
      </c>
      <c r="AG7912" t="s">
        <v>81</v>
      </c>
    </row>
    <row r="7913" spans="1:33" x14ac:dyDescent="0.25">
      <c r="A7913" t="str">
        <f>"1538459276"</f>
        <v>1538459276</v>
      </c>
      <c r="C7913" t="s">
        <v>13436</v>
      </c>
      <c r="K7913" t="s">
        <v>99</v>
      </c>
      <c r="L7913" t="s">
        <v>102</v>
      </c>
      <c r="M7913" t="s">
        <v>75</v>
      </c>
      <c r="R7913" t="s">
        <v>34827</v>
      </c>
      <c r="S7913" t="s">
        <v>34828</v>
      </c>
      <c r="T7913" t="s">
        <v>34829</v>
      </c>
      <c r="U7913" t="s">
        <v>2634</v>
      </c>
      <c r="V7913" t="str">
        <f>"746043239"</f>
        <v>746043239</v>
      </c>
      <c r="AC7913" t="s">
        <v>79</v>
      </c>
      <c r="AD7913" t="s">
        <v>75</v>
      </c>
      <c r="AE7913" t="s">
        <v>103</v>
      </c>
      <c r="AG7913" t="s">
        <v>81</v>
      </c>
    </row>
    <row r="7914" spans="1:33" x14ac:dyDescent="0.25">
      <c r="A7914" t="str">
        <f>"1538459367"</f>
        <v>1538459367</v>
      </c>
      <c r="C7914" t="s">
        <v>13436</v>
      </c>
      <c r="K7914" t="s">
        <v>99</v>
      </c>
      <c r="L7914" t="s">
        <v>102</v>
      </c>
      <c r="M7914" t="s">
        <v>75</v>
      </c>
      <c r="R7914" t="s">
        <v>34830</v>
      </c>
      <c r="S7914" t="s">
        <v>34831</v>
      </c>
      <c r="T7914" t="s">
        <v>1783</v>
      </c>
      <c r="U7914" t="s">
        <v>1784</v>
      </c>
      <c r="V7914" t="str">
        <f>"191044206"</f>
        <v>191044206</v>
      </c>
      <c r="AC7914" t="s">
        <v>79</v>
      </c>
      <c r="AD7914" t="s">
        <v>75</v>
      </c>
      <c r="AE7914" t="s">
        <v>103</v>
      </c>
      <c r="AG7914" t="s">
        <v>81</v>
      </c>
    </row>
    <row r="7915" spans="1:33" x14ac:dyDescent="0.25">
      <c r="A7915" t="str">
        <f>"1538463682"</f>
        <v>1538463682</v>
      </c>
      <c r="B7915" t="str">
        <f>"03300465"</f>
        <v>03300465</v>
      </c>
      <c r="C7915" t="s">
        <v>13436</v>
      </c>
      <c r="D7915" t="s">
        <v>34832</v>
      </c>
      <c r="E7915" t="s">
        <v>34833</v>
      </c>
      <c r="G7915" t="s">
        <v>34834</v>
      </c>
      <c r="L7915" t="s">
        <v>74</v>
      </c>
      <c r="M7915" t="s">
        <v>75</v>
      </c>
      <c r="R7915" t="s">
        <v>34835</v>
      </c>
      <c r="W7915" t="s">
        <v>34836</v>
      </c>
      <c r="X7915" t="s">
        <v>201</v>
      </c>
      <c r="Y7915" t="s">
        <v>87</v>
      </c>
      <c r="Z7915" t="s">
        <v>77</v>
      </c>
      <c r="AA7915" t="str">
        <f>"11237-4006"</f>
        <v>11237-4006</v>
      </c>
      <c r="AB7915" t="s">
        <v>78</v>
      </c>
      <c r="AC7915" t="s">
        <v>79</v>
      </c>
      <c r="AD7915" t="s">
        <v>75</v>
      </c>
      <c r="AE7915" t="s">
        <v>80</v>
      </c>
      <c r="AG7915" t="s">
        <v>81</v>
      </c>
    </row>
    <row r="7916" spans="1:33" x14ac:dyDescent="0.25">
      <c r="A7916" t="str">
        <f>"1538472048"</f>
        <v>1538472048</v>
      </c>
      <c r="C7916" t="s">
        <v>13436</v>
      </c>
      <c r="K7916" t="s">
        <v>99</v>
      </c>
      <c r="L7916" t="s">
        <v>102</v>
      </c>
      <c r="M7916" t="s">
        <v>75</v>
      </c>
      <c r="R7916" t="s">
        <v>34837</v>
      </c>
      <c r="S7916" t="s">
        <v>34838</v>
      </c>
      <c r="T7916" t="s">
        <v>97</v>
      </c>
      <c r="U7916" t="s">
        <v>77</v>
      </c>
      <c r="V7916" t="str">
        <f>"100191047"</f>
        <v>100191047</v>
      </c>
      <c r="AC7916" t="s">
        <v>79</v>
      </c>
      <c r="AD7916" t="s">
        <v>75</v>
      </c>
      <c r="AE7916" t="s">
        <v>103</v>
      </c>
      <c r="AG7916" t="s">
        <v>81</v>
      </c>
    </row>
    <row r="7917" spans="1:33" x14ac:dyDescent="0.25">
      <c r="A7917" t="str">
        <f>"1538472725"</f>
        <v>1538472725</v>
      </c>
      <c r="C7917" t="s">
        <v>13436</v>
      </c>
      <c r="K7917" t="s">
        <v>99</v>
      </c>
      <c r="L7917" t="s">
        <v>102</v>
      </c>
      <c r="M7917" t="s">
        <v>75</v>
      </c>
      <c r="R7917" t="s">
        <v>34839</v>
      </c>
      <c r="S7917" t="s">
        <v>34840</v>
      </c>
      <c r="T7917" t="s">
        <v>13571</v>
      </c>
      <c r="U7917" t="s">
        <v>2661</v>
      </c>
      <c r="V7917" t="str">
        <f>"21204"</f>
        <v>21204</v>
      </c>
      <c r="AC7917" t="s">
        <v>79</v>
      </c>
      <c r="AD7917" t="s">
        <v>75</v>
      </c>
      <c r="AE7917" t="s">
        <v>103</v>
      </c>
      <c r="AG7917" t="s">
        <v>81</v>
      </c>
    </row>
    <row r="7918" spans="1:33" x14ac:dyDescent="0.25">
      <c r="A7918" t="str">
        <f>"1023254380"</f>
        <v>1023254380</v>
      </c>
      <c r="B7918" t="str">
        <f>"02322301"</f>
        <v>02322301</v>
      </c>
      <c r="C7918" t="s">
        <v>13436</v>
      </c>
      <c r="D7918" t="s">
        <v>34841</v>
      </c>
      <c r="E7918" t="s">
        <v>34842</v>
      </c>
      <c r="G7918" t="s">
        <v>34843</v>
      </c>
      <c r="L7918" t="s">
        <v>74</v>
      </c>
      <c r="M7918" t="s">
        <v>75</v>
      </c>
      <c r="R7918" t="s">
        <v>34842</v>
      </c>
      <c r="W7918" t="s">
        <v>34842</v>
      </c>
      <c r="X7918" t="s">
        <v>11195</v>
      </c>
      <c r="Y7918" t="s">
        <v>97</v>
      </c>
      <c r="Z7918" t="s">
        <v>77</v>
      </c>
      <c r="AA7918" t="str">
        <f>"10029-6030"</f>
        <v>10029-6030</v>
      </c>
      <c r="AB7918" t="s">
        <v>78</v>
      </c>
      <c r="AC7918" t="s">
        <v>79</v>
      </c>
      <c r="AD7918" t="s">
        <v>75</v>
      </c>
      <c r="AE7918" t="s">
        <v>80</v>
      </c>
      <c r="AG7918" t="s">
        <v>81</v>
      </c>
    </row>
    <row r="7919" spans="1:33" x14ac:dyDescent="0.25">
      <c r="A7919" t="str">
        <f>"1023277365"</f>
        <v>1023277365</v>
      </c>
      <c r="B7919" t="str">
        <f>"03366561"</f>
        <v>03366561</v>
      </c>
      <c r="C7919" t="s">
        <v>13436</v>
      </c>
      <c r="D7919" t="s">
        <v>34844</v>
      </c>
      <c r="E7919" t="s">
        <v>34845</v>
      </c>
      <c r="G7919" t="s">
        <v>34846</v>
      </c>
      <c r="L7919" t="s">
        <v>84</v>
      </c>
      <c r="M7919" t="s">
        <v>85</v>
      </c>
      <c r="R7919" t="s">
        <v>34847</v>
      </c>
      <c r="W7919" t="s">
        <v>34848</v>
      </c>
      <c r="X7919" t="s">
        <v>330</v>
      </c>
      <c r="Y7919" t="s">
        <v>97</v>
      </c>
      <c r="Z7919" t="s">
        <v>77</v>
      </c>
      <c r="AA7919" t="str">
        <f>"10029-5204"</f>
        <v>10029-5204</v>
      </c>
      <c r="AB7919" t="s">
        <v>78</v>
      </c>
      <c r="AC7919" t="s">
        <v>79</v>
      </c>
      <c r="AD7919" t="s">
        <v>75</v>
      </c>
      <c r="AE7919" t="s">
        <v>80</v>
      </c>
      <c r="AG7919" t="s">
        <v>81</v>
      </c>
    </row>
    <row r="7920" spans="1:33" x14ac:dyDescent="0.25">
      <c r="A7920" t="str">
        <f>"1023277860"</f>
        <v>1023277860</v>
      </c>
      <c r="C7920" t="s">
        <v>13436</v>
      </c>
      <c r="G7920" t="s">
        <v>34849</v>
      </c>
      <c r="K7920" t="s">
        <v>99</v>
      </c>
      <c r="L7920" t="s">
        <v>74</v>
      </c>
      <c r="M7920" t="s">
        <v>75</v>
      </c>
      <c r="R7920" t="s">
        <v>34850</v>
      </c>
      <c r="S7920" t="s">
        <v>34851</v>
      </c>
      <c r="T7920" t="s">
        <v>34852</v>
      </c>
      <c r="U7920" t="s">
        <v>936</v>
      </c>
      <c r="V7920" t="str">
        <f>"374217137"</f>
        <v>374217137</v>
      </c>
      <c r="AC7920" t="s">
        <v>79</v>
      </c>
      <c r="AD7920" t="s">
        <v>75</v>
      </c>
      <c r="AE7920" t="s">
        <v>103</v>
      </c>
      <c r="AG7920" t="s">
        <v>81</v>
      </c>
    </row>
    <row r="7921" spans="1:33" x14ac:dyDescent="0.25">
      <c r="A7921" t="str">
        <f>"1023302734"</f>
        <v>1023302734</v>
      </c>
      <c r="C7921" t="s">
        <v>13436</v>
      </c>
      <c r="K7921" t="s">
        <v>99</v>
      </c>
      <c r="L7921" t="s">
        <v>102</v>
      </c>
      <c r="M7921" t="s">
        <v>75</v>
      </c>
      <c r="R7921" t="s">
        <v>34853</v>
      </c>
      <c r="S7921" t="s">
        <v>34854</v>
      </c>
      <c r="T7921" t="s">
        <v>34855</v>
      </c>
      <c r="U7921" t="s">
        <v>2595</v>
      </c>
      <c r="V7921" t="str">
        <f>"920371703"</f>
        <v>920371703</v>
      </c>
      <c r="AC7921" t="s">
        <v>79</v>
      </c>
      <c r="AD7921" t="s">
        <v>75</v>
      </c>
      <c r="AE7921" t="s">
        <v>103</v>
      </c>
      <c r="AG7921" t="s">
        <v>81</v>
      </c>
    </row>
    <row r="7922" spans="1:33" x14ac:dyDescent="0.25">
      <c r="A7922" t="str">
        <f>"1023308657"</f>
        <v>1023308657</v>
      </c>
      <c r="C7922" t="s">
        <v>13436</v>
      </c>
      <c r="K7922" t="s">
        <v>99</v>
      </c>
      <c r="L7922" t="s">
        <v>102</v>
      </c>
      <c r="M7922" t="s">
        <v>75</v>
      </c>
      <c r="R7922" t="s">
        <v>34856</v>
      </c>
      <c r="S7922" t="s">
        <v>201</v>
      </c>
      <c r="T7922" t="s">
        <v>87</v>
      </c>
      <c r="U7922" t="s">
        <v>77</v>
      </c>
      <c r="V7922" t="str">
        <f>"112374006"</f>
        <v>112374006</v>
      </c>
      <c r="AC7922" t="s">
        <v>79</v>
      </c>
      <c r="AD7922" t="s">
        <v>75</v>
      </c>
      <c r="AE7922" t="s">
        <v>103</v>
      </c>
      <c r="AG7922" t="s">
        <v>81</v>
      </c>
    </row>
    <row r="7923" spans="1:33" x14ac:dyDescent="0.25">
      <c r="A7923" t="str">
        <f>"1023308772"</f>
        <v>1023308772</v>
      </c>
      <c r="C7923" t="s">
        <v>13436</v>
      </c>
      <c r="K7923" t="s">
        <v>99</v>
      </c>
      <c r="L7923" t="s">
        <v>102</v>
      </c>
      <c r="M7923" t="s">
        <v>75</v>
      </c>
      <c r="R7923" t="s">
        <v>34857</v>
      </c>
      <c r="S7923" t="s">
        <v>34858</v>
      </c>
      <c r="T7923" t="s">
        <v>6257</v>
      </c>
      <c r="U7923" t="s">
        <v>285</v>
      </c>
      <c r="V7923" t="str">
        <f>"601533328"</f>
        <v>601533328</v>
      </c>
      <c r="AC7923" t="s">
        <v>79</v>
      </c>
      <c r="AD7923" t="s">
        <v>75</v>
      </c>
      <c r="AE7923" t="s">
        <v>103</v>
      </c>
      <c r="AG7923" t="s">
        <v>81</v>
      </c>
    </row>
    <row r="7924" spans="1:33" x14ac:dyDescent="0.25">
      <c r="A7924" t="str">
        <f>"1023309630"</f>
        <v>1023309630</v>
      </c>
      <c r="C7924" t="s">
        <v>13436</v>
      </c>
      <c r="K7924" t="s">
        <v>99</v>
      </c>
      <c r="L7924" t="s">
        <v>102</v>
      </c>
      <c r="M7924" t="s">
        <v>75</v>
      </c>
      <c r="R7924" t="s">
        <v>34859</v>
      </c>
      <c r="S7924" t="s">
        <v>13409</v>
      </c>
      <c r="T7924" t="s">
        <v>97</v>
      </c>
      <c r="U7924" t="s">
        <v>77</v>
      </c>
      <c r="V7924" t="str">
        <f>"100296504"</f>
        <v>100296504</v>
      </c>
      <c r="AC7924" t="s">
        <v>79</v>
      </c>
      <c r="AD7924" t="s">
        <v>75</v>
      </c>
      <c r="AE7924" t="s">
        <v>103</v>
      </c>
      <c r="AG7924" t="s">
        <v>81</v>
      </c>
    </row>
    <row r="7925" spans="1:33" x14ac:dyDescent="0.25">
      <c r="A7925" t="str">
        <f>"1023309853"</f>
        <v>1023309853</v>
      </c>
      <c r="C7925" t="s">
        <v>13436</v>
      </c>
      <c r="K7925" t="s">
        <v>99</v>
      </c>
      <c r="L7925" t="s">
        <v>102</v>
      </c>
      <c r="M7925" t="s">
        <v>75</v>
      </c>
      <c r="R7925" t="s">
        <v>34860</v>
      </c>
      <c r="S7925" t="s">
        <v>329</v>
      </c>
      <c r="T7925" t="s">
        <v>97</v>
      </c>
      <c r="U7925" t="s">
        <v>77</v>
      </c>
      <c r="V7925" t="str">
        <f>"100296504"</f>
        <v>100296504</v>
      </c>
      <c r="AC7925" t="s">
        <v>79</v>
      </c>
      <c r="AD7925" t="s">
        <v>75</v>
      </c>
      <c r="AE7925" t="s">
        <v>103</v>
      </c>
      <c r="AG7925" t="s">
        <v>81</v>
      </c>
    </row>
    <row r="7926" spans="1:33" x14ac:dyDescent="0.25">
      <c r="A7926" t="str">
        <f>"1023319191"</f>
        <v>1023319191</v>
      </c>
      <c r="C7926" t="s">
        <v>13436</v>
      </c>
      <c r="G7926" t="s">
        <v>34861</v>
      </c>
      <c r="K7926" t="s">
        <v>99</v>
      </c>
      <c r="L7926" t="s">
        <v>102</v>
      </c>
      <c r="M7926" t="s">
        <v>75</v>
      </c>
      <c r="R7926" t="s">
        <v>34862</v>
      </c>
      <c r="S7926" t="s">
        <v>329</v>
      </c>
      <c r="T7926" t="s">
        <v>97</v>
      </c>
      <c r="U7926" t="s">
        <v>77</v>
      </c>
      <c r="V7926" t="str">
        <f>"100296574"</f>
        <v>100296574</v>
      </c>
      <c r="AC7926" t="s">
        <v>79</v>
      </c>
      <c r="AD7926" t="s">
        <v>75</v>
      </c>
      <c r="AE7926" t="s">
        <v>103</v>
      </c>
      <c r="AG7926" t="s">
        <v>81</v>
      </c>
    </row>
    <row r="7927" spans="1:33" x14ac:dyDescent="0.25">
      <c r="A7927" t="str">
        <f>"1023332772"</f>
        <v>1023332772</v>
      </c>
      <c r="C7927" t="s">
        <v>13436</v>
      </c>
      <c r="K7927" t="s">
        <v>99</v>
      </c>
      <c r="L7927" t="s">
        <v>102</v>
      </c>
      <c r="M7927" t="s">
        <v>75</v>
      </c>
      <c r="R7927" t="s">
        <v>34863</v>
      </c>
      <c r="S7927" t="s">
        <v>34864</v>
      </c>
      <c r="T7927" t="s">
        <v>87</v>
      </c>
      <c r="U7927" t="s">
        <v>77</v>
      </c>
      <c r="V7927" t="str">
        <f>"112232143"</f>
        <v>112232143</v>
      </c>
      <c r="AC7927" t="s">
        <v>79</v>
      </c>
      <c r="AD7927" t="s">
        <v>75</v>
      </c>
      <c r="AE7927" t="s">
        <v>103</v>
      </c>
      <c r="AG7927" t="s">
        <v>81</v>
      </c>
    </row>
    <row r="7928" spans="1:33" x14ac:dyDescent="0.25">
      <c r="A7928" t="str">
        <f>"1023332947"</f>
        <v>1023332947</v>
      </c>
      <c r="C7928" t="s">
        <v>13436</v>
      </c>
      <c r="K7928" t="s">
        <v>99</v>
      </c>
      <c r="L7928" t="s">
        <v>102</v>
      </c>
      <c r="M7928" t="s">
        <v>75</v>
      </c>
      <c r="R7928" t="s">
        <v>34865</v>
      </c>
      <c r="S7928" t="s">
        <v>6041</v>
      </c>
      <c r="T7928" t="s">
        <v>97</v>
      </c>
      <c r="U7928" t="s">
        <v>77</v>
      </c>
      <c r="V7928" t="str">
        <f>"10128"</f>
        <v>10128</v>
      </c>
      <c r="AC7928" t="s">
        <v>79</v>
      </c>
      <c r="AD7928" t="s">
        <v>75</v>
      </c>
      <c r="AE7928" t="s">
        <v>103</v>
      </c>
      <c r="AG7928" t="s">
        <v>81</v>
      </c>
    </row>
    <row r="7929" spans="1:33" x14ac:dyDescent="0.25">
      <c r="A7929" t="str">
        <f>"1023336732"</f>
        <v>1023336732</v>
      </c>
      <c r="B7929" t="str">
        <f>"04427056"</f>
        <v>04427056</v>
      </c>
      <c r="C7929" t="s">
        <v>13436</v>
      </c>
      <c r="D7929" t="s">
        <v>34866</v>
      </c>
      <c r="E7929" t="s">
        <v>34867</v>
      </c>
      <c r="L7929" t="s">
        <v>74</v>
      </c>
      <c r="M7929" t="s">
        <v>75</v>
      </c>
      <c r="R7929" t="s">
        <v>34868</v>
      </c>
      <c r="W7929" t="s">
        <v>34867</v>
      </c>
      <c r="X7929" t="s">
        <v>509</v>
      </c>
      <c r="Y7929" t="s">
        <v>97</v>
      </c>
      <c r="Z7929" t="s">
        <v>77</v>
      </c>
      <c r="AA7929" t="str">
        <f>"10002-7537"</f>
        <v>10002-7537</v>
      </c>
      <c r="AB7929" t="s">
        <v>78</v>
      </c>
      <c r="AC7929" t="s">
        <v>79</v>
      </c>
      <c r="AD7929" t="s">
        <v>75</v>
      </c>
      <c r="AE7929" t="s">
        <v>80</v>
      </c>
      <c r="AG7929" t="s">
        <v>81</v>
      </c>
    </row>
    <row r="7930" spans="1:33" x14ac:dyDescent="0.25">
      <c r="A7930" t="str">
        <f>"1023341187"</f>
        <v>1023341187</v>
      </c>
      <c r="B7930" t="str">
        <f>"04357737"</f>
        <v>04357737</v>
      </c>
      <c r="C7930" t="s">
        <v>13436</v>
      </c>
      <c r="D7930" t="s">
        <v>4026</v>
      </c>
      <c r="E7930" t="s">
        <v>4027</v>
      </c>
      <c r="G7930" t="s">
        <v>34869</v>
      </c>
      <c r="L7930" t="s">
        <v>74</v>
      </c>
      <c r="M7930" t="s">
        <v>75</v>
      </c>
      <c r="R7930" t="s">
        <v>4028</v>
      </c>
      <c r="W7930" t="s">
        <v>4027</v>
      </c>
      <c r="X7930" t="s">
        <v>4029</v>
      </c>
      <c r="Y7930" t="s">
        <v>97</v>
      </c>
      <c r="Z7930" t="s">
        <v>77</v>
      </c>
      <c r="AA7930" t="str">
        <f>"10029-6503"</f>
        <v>10029-6503</v>
      </c>
      <c r="AB7930" t="s">
        <v>78</v>
      </c>
      <c r="AC7930" t="s">
        <v>79</v>
      </c>
      <c r="AD7930" t="s">
        <v>75</v>
      </c>
      <c r="AE7930" t="s">
        <v>80</v>
      </c>
      <c r="AG7930" t="s">
        <v>81</v>
      </c>
    </row>
    <row r="7931" spans="1:33" x14ac:dyDescent="0.25">
      <c r="A7931" t="str">
        <f>"1477879344"</f>
        <v>1477879344</v>
      </c>
      <c r="B7931" t="str">
        <f>"04161726"</f>
        <v>04161726</v>
      </c>
      <c r="C7931" t="s">
        <v>13436</v>
      </c>
      <c r="D7931" t="s">
        <v>34870</v>
      </c>
      <c r="E7931" t="s">
        <v>34871</v>
      </c>
      <c r="L7931" t="s">
        <v>74</v>
      </c>
      <c r="M7931" t="s">
        <v>75</v>
      </c>
      <c r="R7931" t="s">
        <v>34872</v>
      </c>
      <c r="W7931" t="s">
        <v>34871</v>
      </c>
      <c r="X7931" t="s">
        <v>2627</v>
      </c>
      <c r="Y7931" t="s">
        <v>238</v>
      </c>
      <c r="Z7931" t="s">
        <v>77</v>
      </c>
      <c r="AA7931" t="str">
        <f>"11576-1347"</f>
        <v>11576-1347</v>
      </c>
      <c r="AB7931" t="s">
        <v>78</v>
      </c>
      <c r="AC7931" t="s">
        <v>79</v>
      </c>
      <c r="AD7931" t="s">
        <v>75</v>
      </c>
      <c r="AE7931" t="s">
        <v>80</v>
      </c>
      <c r="AG7931" t="s">
        <v>81</v>
      </c>
    </row>
    <row r="7932" spans="1:33" x14ac:dyDescent="0.25">
      <c r="A7932" t="str">
        <f>"1477887768"</f>
        <v>1477887768</v>
      </c>
      <c r="B7932" t="str">
        <f>"04207705"</f>
        <v>04207705</v>
      </c>
      <c r="C7932" t="s">
        <v>13436</v>
      </c>
      <c r="D7932" t="s">
        <v>34873</v>
      </c>
      <c r="E7932" t="s">
        <v>34874</v>
      </c>
      <c r="L7932" t="s">
        <v>83</v>
      </c>
      <c r="M7932" t="s">
        <v>75</v>
      </c>
      <c r="R7932" t="s">
        <v>34875</v>
      </c>
      <c r="W7932" t="s">
        <v>34874</v>
      </c>
      <c r="X7932" t="s">
        <v>329</v>
      </c>
      <c r="Y7932" t="s">
        <v>97</v>
      </c>
      <c r="Z7932" t="s">
        <v>77</v>
      </c>
      <c r="AA7932" t="str">
        <f>"10029-6504"</f>
        <v>10029-6504</v>
      </c>
      <c r="AB7932" t="s">
        <v>78</v>
      </c>
      <c r="AC7932" t="s">
        <v>79</v>
      </c>
      <c r="AD7932" t="s">
        <v>75</v>
      </c>
      <c r="AE7932" t="s">
        <v>80</v>
      </c>
      <c r="AG7932" t="s">
        <v>81</v>
      </c>
    </row>
    <row r="7933" spans="1:33" x14ac:dyDescent="0.25">
      <c r="A7933" t="str">
        <f>"1477893584"</f>
        <v>1477893584</v>
      </c>
      <c r="C7933" t="s">
        <v>13436</v>
      </c>
      <c r="G7933" t="s">
        <v>34876</v>
      </c>
      <c r="K7933" t="s">
        <v>99</v>
      </c>
      <c r="L7933" t="s">
        <v>102</v>
      </c>
      <c r="M7933" t="s">
        <v>75</v>
      </c>
      <c r="R7933" t="s">
        <v>34877</v>
      </c>
      <c r="S7933" t="s">
        <v>6108</v>
      </c>
      <c r="T7933" t="s">
        <v>190</v>
      </c>
      <c r="U7933" t="s">
        <v>77</v>
      </c>
      <c r="V7933" t="str">
        <f>"111031621"</f>
        <v>111031621</v>
      </c>
      <c r="AC7933" t="s">
        <v>79</v>
      </c>
      <c r="AD7933" t="s">
        <v>75</v>
      </c>
      <c r="AE7933" t="s">
        <v>103</v>
      </c>
      <c r="AG7933" t="s">
        <v>81</v>
      </c>
    </row>
    <row r="7934" spans="1:33" x14ac:dyDescent="0.25">
      <c r="A7934" t="str">
        <f>"1477895159"</f>
        <v>1477895159</v>
      </c>
      <c r="C7934" t="s">
        <v>13436</v>
      </c>
      <c r="K7934" t="s">
        <v>99</v>
      </c>
      <c r="L7934" t="s">
        <v>102</v>
      </c>
      <c r="M7934" t="s">
        <v>75</v>
      </c>
      <c r="R7934" t="s">
        <v>34878</v>
      </c>
      <c r="S7934" t="s">
        <v>329</v>
      </c>
      <c r="T7934" t="s">
        <v>97</v>
      </c>
      <c r="U7934" t="s">
        <v>77</v>
      </c>
      <c r="V7934" t="str">
        <f>"100296574"</f>
        <v>100296574</v>
      </c>
      <c r="AC7934" t="s">
        <v>79</v>
      </c>
      <c r="AD7934" t="s">
        <v>75</v>
      </c>
      <c r="AE7934" t="s">
        <v>103</v>
      </c>
      <c r="AG7934" t="s">
        <v>81</v>
      </c>
    </row>
    <row r="7935" spans="1:33" x14ac:dyDescent="0.25">
      <c r="A7935" t="str">
        <f>"1356667158"</f>
        <v>1356667158</v>
      </c>
      <c r="C7935" t="s">
        <v>13436</v>
      </c>
      <c r="K7935" t="s">
        <v>99</v>
      </c>
      <c r="L7935" t="s">
        <v>102</v>
      </c>
      <c r="M7935" t="s">
        <v>75</v>
      </c>
      <c r="R7935" t="s">
        <v>34879</v>
      </c>
      <c r="S7935" t="s">
        <v>15712</v>
      </c>
      <c r="T7935" t="s">
        <v>97</v>
      </c>
      <c r="U7935" t="s">
        <v>77</v>
      </c>
      <c r="V7935" t="str">
        <f>"100296501"</f>
        <v>100296501</v>
      </c>
      <c r="AC7935" t="s">
        <v>79</v>
      </c>
      <c r="AD7935" t="s">
        <v>75</v>
      </c>
      <c r="AE7935" t="s">
        <v>103</v>
      </c>
      <c r="AG7935" t="s">
        <v>81</v>
      </c>
    </row>
    <row r="7936" spans="1:33" x14ac:dyDescent="0.25">
      <c r="A7936" t="str">
        <f>"1356668388"</f>
        <v>1356668388</v>
      </c>
      <c r="C7936" t="s">
        <v>13436</v>
      </c>
      <c r="K7936" t="s">
        <v>99</v>
      </c>
      <c r="L7936" t="s">
        <v>102</v>
      </c>
      <c r="M7936" t="s">
        <v>75</v>
      </c>
      <c r="R7936" t="s">
        <v>34880</v>
      </c>
      <c r="S7936" t="s">
        <v>34881</v>
      </c>
      <c r="T7936" t="s">
        <v>2609</v>
      </c>
      <c r="U7936" t="s">
        <v>1842</v>
      </c>
      <c r="V7936" t="str">
        <f>"061052372"</f>
        <v>061052372</v>
      </c>
      <c r="AC7936" t="s">
        <v>79</v>
      </c>
      <c r="AD7936" t="s">
        <v>75</v>
      </c>
      <c r="AE7936" t="s">
        <v>103</v>
      </c>
      <c r="AG7936" t="s">
        <v>81</v>
      </c>
    </row>
    <row r="7937" spans="1:33" x14ac:dyDescent="0.25">
      <c r="A7937" t="str">
        <f>"1356684500"</f>
        <v>1356684500</v>
      </c>
      <c r="C7937" t="s">
        <v>13436</v>
      </c>
      <c r="K7937" t="s">
        <v>99</v>
      </c>
      <c r="L7937" t="s">
        <v>102</v>
      </c>
      <c r="M7937" t="s">
        <v>75</v>
      </c>
      <c r="R7937" t="s">
        <v>34882</v>
      </c>
      <c r="S7937" t="s">
        <v>34883</v>
      </c>
      <c r="T7937" t="s">
        <v>97</v>
      </c>
      <c r="U7937" t="s">
        <v>77</v>
      </c>
      <c r="V7937" t="str">
        <f>"100251716"</f>
        <v>100251716</v>
      </c>
      <c r="AC7937" t="s">
        <v>79</v>
      </c>
      <c r="AD7937" t="s">
        <v>75</v>
      </c>
      <c r="AE7937" t="s">
        <v>103</v>
      </c>
      <c r="AG7937" t="s">
        <v>81</v>
      </c>
    </row>
    <row r="7938" spans="1:33" x14ac:dyDescent="0.25">
      <c r="A7938" t="str">
        <f>"1063703429"</f>
        <v>1063703429</v>
      </c>
      <c r="B7938" t="str">
        <f>"03765877"</f>
        <v>03765877</v>
      </c>
      <c r="C7938" t="s">
        <v>13436</v>
      </c>
      <c r="D7938" t="s">
        <v>34884</v>
      </c>
      <c r="E7938" t="s">
        <v>34885</v>
      </c>
      <c r="L7938" t="s">
        <v>74</v>
      </c>
      <c r="M7938" t="s">
        <v>75</v>
      </c>
      <c r="R7938" t="s">
        <v>34885</v>
      </c>
      <c r="W7938" t="s">
        <v>34885</v>
      </c>
      <c r="X7938" t="s">
        <v>272</v>
      </c>
      <c r="Y7938" t="s">
        <v>97</v>
      </c>
      <c r="Z7938" t="s">
        <v>77</v>
      </c>
      <c r="AA7938" t="str">
        <f>"10029-6501"</f>
        <v>10029-6501</v>
      </c>
      <c r="AB7938" t="s">
        <v>78</v>
      </c>
      <c r="AC7938" t="s">
        <v>79</v>
      </c>
      <c r="AD7938" t="s">
        <v>75</v>
      </c>
      <c r="AE7938" t="s">
        <v>80</v>
      </c>
      <c r="AG7938" t="s">
        <v>81</v>
      </c>
    </row>
    <row r="7939" spans="1:33" x14ac:dyDescent="0.25">
      <c r="A7939" t="str">
        <f>"1588854244"</f>
        <v>1588854244</v>
      </c>
      <c r="B7939" t="str">
        <f>"03621941"</f>
        <v>03621941</v>
      </c>
      <c r="C7939" t="s">
        <v>13436</v>
      </c>
      <c r="D7939" t="s">
        <v>34886</v>
      </c>
      <c r="E7939" t="s">
        <v>34887</v>
      </c>
      <c r="G7939" t="s">
        <v>34888</v>
      </c>
      <c r="L7939" t="s">
        <v>83</v>
      </c>
      <c r="M7939" t="s">
        <v>85</v>
      </c>
      <c r="R7939" t="s">
        <v>34889</v>
      </c>
      <c r="W7939" t="s">
        <v>34887</v>
      </c>
      <c r="X7939" t="s">
        <v>11073</v>
      </c>
      <c r="Y7939" t="s">
        <v>97</v>
      </c>
      <c r="Z7939" t="s">
        <v>77</v>
      </c>
      <c r="AA7939" t="str">
        <f>"10029-6504"</f>
        <v>10029-6504</v>
      </c>
      <c r="AB7939" t="s">
        <v>78</v>
      </c>
      <c r="AC7939" t="s">
        <v>79</v>
      </c>
      <c r="AD7939" t="s">
        <v>75</v>
      </c>
      <c r="AE7939" t="s">
        <v>80</v>
      </c>
      <c r="AG7939" t="s">
        <v>81</v>
      </c>
    </row>
    <row r="7940" spans="1:33" x14ac:dyDescent="0.25">
      <c r="A7940" t="str">
        <f>"1588891949"</f>
        <v>1588891949</v>
      </c>
      <c r="C7940" t="s">
        <v>13436</v>
      </c>
      <c r="K7940" t="s">
        <v>99</v>
      </c>
      <c r="L7940" t="s">
        <v>102</v>
      </c>
      <c r="M7940" t="s">
        <v>75</v>
      </c>
      <c r="R7940" t="s">
        <v>34890</v>
      </c>
      <c r="S7940" t="s">
        <v>34891</v>
      </c>
      <c r="T7940" t="s">
        <v>4520</v>
      </c>
      <c r="U7940" t="s">
        <v>1784</v>
      </c>
      <c r="V7940" t="str">
        <f>"181036369"</f>
        <v>181036369</v>
      </c>
      <c r="AC7940" t="s">
        <v>79</v>
      </c>
      <c r="AD7940" t="s">
        <v>75</v>
      </c>
      <c r="AE7940" t="s">
        <v>103</v>
      </c>
      <c r="AG7940" t="s">
        <v>81</v>
      </c>
    </row>
    <row r="7941" spans="1:33" x14ac:dyDescent="0.25">
      <c r="A7941" t="str">
        <f>"1649537788"</f>
        <v>1649537788</v>
      </c>
      <c r="C7941" t="s">
        <v>13436</v>
      </c>
      <c r="K7941" t="s">
        <v>99</v>
      </c>
      <c r="L7941" t="s">
        <v>102</v>
      </c>
      <c r="M7941" t="s">
        <v>75</v>
      </c>
      <c r="R7941" t="s">
        <v>34892</v>
      </c>
      <c r="S7941" t="s">
        <v>34893</v>
      </c>
      <c r="T7941" t="s">
        <v>13913</v>
      </c>
      <c r="U7941" t="s">
        <v>3878</v>
      </c>
      <c r="V7941" t="str">
        <f>"79905"</f>
        <v>79905</v>
      </c>
      <c r="AC7941" t="s">
        <v>79</v>
      </c>
      <c r="AD7941" t="s">
        <v>75</v>
      </c>
      <c r="AE7941" t="s">
        <v>103</v>
      </c>
      <c r="AG7941" t="s">
        <v>81</v>
      </c>
    </row>
    <row r="7942" spans="1:33" x14ac:dyDescent="0.25">
      <c r="A7942" t="str">
        <f>"1649538505"</f>
        <v>1649538505</v>
      </c>
      <c r="C7942" t="s">
        <v>13436</v>
      </c>
      <c r="K7942" t="s">
        <v>99</v>
      </c>
      <c r="L7942" t="s">
        <v>102</v>
      </c>
      <c r="M7942" t="s">
        <v>75</v>
      </c>
      <c r="R7942" t="s">
        <v>34894</v>
      </c>
      <c r="S7942" t="s">
        <v>191</v>
      </c>
      <c r="T7942" t="s">
        <v>97</v>
      </c>
      <c r="U7942" t="s">
        <v>77</v>
      </c>
      <c r="V7942" t="str">
        <f>"100191147"</f>
        <v>100191147</v>
      </c>
      <c r="AC7942" t="s">
        <v>79</v>
      </c>
      <c r="AD7942" t="s">
        <v>75</v>
      </c>
      <c r="AE7942" t="s">
        <v>103</v>
      </c>
      <c r="AG7942" t="s">
        <v>81</v>
      </c>
    </row>
    <row r="7943" spans="1:33" x14ac:dyDescent="0.25">
      <c r="A7943" t="str">
        <f>"1649538604"</f>
        <v>1649538604</v>
      </c>
      <c r="C7943" t="s">
        <v>13436</v>
      </c>
      <c r="K7943" t="s">
        <v>99</v>
      </c>
      <c r="L7943" t="s">
        <v>102</v>
      </c>
      <c r="M7943" t="s">
        <v>75</v>
      </c>
      <c r="R7943" t="s">
        <v>34895</v>
      </c>
      <c r="S7943" t="s">
        <v>33125</v>
      </c>
      <c r="T7943" t="s">
        <v>97</v>
      </c>
      <c r="U7943" t="s">
        <v>77</v>
      </c>
      <c r="V7943" t="str">
        <f>"100091834"</f>
        <v>100091834</v>
      </c>
      <c r="AC7943" t="s">
        <v>79</v>
      </c>
      <c r="AD7943" t="s">
        <v>75</v>
      </c>
      <c r="AE7943" t="s">
        <v>103</v>
      </c>
      <c r="AG7943" t="s">
        <v>81</v>
      </c>
    </row>
    <row r="7944" spans="1:33" x14ac:dyDescent="0.25">
      <c r="A7944" t="str">
        <f>"1649538737"</f>
        <v>1649538737</v>
      </c>
      <c r="C7944" t="s">
        <v>13436</v>
      </c>
      <c r="G7944" t="s">
        <v>34896</v>
      </c>
      <c r="K7944" t="s">
        <v>99</v>
      </c>
      <c r="L7944" t="s">
        <v>102</v>
      </c>
      <c r="M7944" t="s">
        <v>75</v>
      </c>
      <c r="R7944" t="s">
        <v>34897</v>
      </c>
      <c r="S7944" t="s">
        <v>34898</v>
      </c>
      <c r="T7944" t="s">
        <v>97</v>
      </c>
      <c r="U7944" t="s">
        <v>77</v>
      </c>
      <c r="V7944" t="str">
        <f>"100295204"</f>
        <v>100295204</v>
      </c>
      <c r="AC7944" t="s">
        <v>79</v>
      </c>
      <c r="AD7944" t="s">
        <v>75</v>
      </c>
      <c r="AE7944" t="s">
        <v>103</v>
      </c>
      <c r="AG7944" t="s">
        <v>81</v>
      </c>
    </row>
    <row r="7945" spans="1:33" x14ac:dyDescent="0.25">
      <c r="A7945" t="str">
        <f>"1417375577"</f>
        <v>1417375577</v>
      </c>
      <c r="C7945" t="s">
        <v>13436</v>
      </c>
      <c r="K7945" t="s">
        <v>99</v>
      </c>
      <c r="L7945" t="s">
        <v>102</v>
      </c>
      <c r="M7945" t="s">
        <v>75</v>
      </c>
      <c r="R7945" t="s">
        <v>34899</v>
      </c>
      <c r="S7945" t="s">
        <v>34900</v>
      </c>
      <c r="T7945" t="s">
        <v>97</v>
      </c>
      <c r="U7945" t="s">
        <v>77</v>
      </c>
      <c r="V7945" t="str">
        <f>"100251716"</f>
        <v>100251716</v>
      </c>
      <c r="AC7945" t="s">
        <v>79</v>
      </c>
      <c r="AD7945" t="s">
        <v>75</v>
      </c>
      <c r="AE7945" t="s">
        <v>103</v>
      </c>
      <c r="AG7945" t="s">
        <v>81</v>
      </c>
    </row>
    <row r="7946" spans="1:33" x14ac:dyDescent="0.25">
      <c r="A7946" t="str">
        <f>"1316348204"</f>
        <v>1316348204</v>
      </c>
      <c r="B7946" t="str">
        <f>"04017938"</f>
        <v>04017938</v>
      </c>
      <c r="C7946" t="s">
        <v>13436</v>
      </c>
      <c r="D7946" t="s">
        <v>34901</v>
      </c>
      <c r="E7946" t="s">
        <v>34902</v>
      </c>
      <c r="G7946" t="s">
        <v>34903</v>
      </c>
      <c r="L7946" t="s">
        <v>74</v>
      </c>
      <c r="M7946" t="s">
        <v>75</v>
      </c>
      <c r="R7946" t="s">
        <v>34902</v>
      </c>
      <c r="W7946" t="s">
        <v>34902</v>
      </c>
      <c r="X7946" t="s">
        <v>4799</v>
      </c>
      <c r="Y7946" t="s">
        <v>87</v>
      </c>
      <c r="Z7946" t="s">
        <v>77</v>
      </c>
      <c r="AA7946" t="str">
        <f>"11234-2625"</f>
        <v>11234-2625</v>
      </c>
      <c r="AB7946" t="s">
        <v>78</v>
      </c>
      <c r="AC7946" t="s">
        <v>79</v>
      </c>
      <c r="AD7946" t="s">
        <v>75</v>
      </c>
      <c r="AE7946" t="s">
        <v>80</v>
      </c>
      <c r="AG7946" t="s">
        <v>81</v>
      </c>
    </row>
    <row r="7947" spans="1:33" x14ac:dyDescent="0.25">
      <c r="A7947" t="str">
        <f>"1629495783"</f>
        <v>1629495783</v>
      </c>
      <c r="C7947" t="s">
        <v>13436</v>
      </c>
      <c r="K7947" t="s">
        <v>99</v>
      </c>
      <c r="L7947" t="s">
        <v>102</v>
      </c>
      <c r="M7947" t="s">
        <v>75</v>
      </c>
      <c r="R7947" t="s">
        <v>34904</v>
      </c>
      <c r="S7947" t="s">
        <v>14063</v>
      </c>
      <c r="T7947" t="s">
        <v>97</v>
      </c>
      <c r="U7947" t="s">
        <v>77</v>
      </c>
      <c r="V7947" t="str">
        <f>"100296574"</f>
        <v>100296574</v>
      </c>
      <c r="AC7947" t="s">
        <v>79</v>
      </c>
      <c r="AD7947" t="s">
        <v>75</v>
      </c>
      <c r="AE7947" t="s">
        <v>103</v>
      </c>
      <c r="AG7947" t="s">
        <v>81</v>
      </c>
    </row>
    <row r="7948" spans="1:33" x14ac:dyDescent="0.25">
      <c r="A7948" t="str">
        <f>"1699789255"</f>
        <v>1699789255</v>
      </c>
      <c r="B7948" t="str">
        <f>"02150636"</f>
        <v>02150636</v>
      </c>
      <c r="C7948" t="s">
        <v>13436</v>
      </c>
      <c r="D7948" t="s">
        <v>34905</v>
      </c>
      <c r="E7948" t="s">
        <v>34906</v>
      </c>
      <c r="L7948" t="s">
        <v>83</v>
      </c>
      <c r="M7948" t="s">
        <v>85</v>
      </c>
      <c r="R7948" t="s">
        <v>34907</v>
      </c>
      <c r="W7948" t="s">
        <v>34906</v>
      </c>
      <c r="X7948" t="s">
        <v>34908</v>
      </c>
      <c r="Y7948" t="s">
        <v>97</v>
      </c>
      <c r="Z7948" t="s">
        <v>77</v>
      </c>
      <c r="AA7948" t="str">
        <f>"10065-4870"</f>
        <v>10065-4870</v>
      </c>
      <c r="AB7948" t="s">
        <v>78</v>
      </c>
      <c r="AC7948" t="s">
        <v>79</v>
      </c>
      <c r="AD7948" t="s">
        <v>75</v>
      </c>
      <c r="AE7948" t="s">
        <v>80</v>
      </c>
      <c r="AG7948" t="s">
        <v>81</v>
      </c>
    </row>
    <row r="7949" spans="1:33" x14ac:dyDescent="0.25">
      <c r="A7949" t="str">
        <f>"1740496470"</f>
        <v>1740496470</v>
      </c>
      <c r="B7949" t="str">
        <f>"02882768"</f>
        <v>02882768</v>
      </c>
      <c r="C7949" t="s">
        <v>13436</v>
      </c>
      <c r="D7949" t="s">
        <v>34909</v>
      </c>
      <c r="E7949" t="s">
        <v>34910</v>
      </c>
      <c r="L7949" t="s">
        <v>84</v>
      </c>
      <c r="M7949" t="s">
        <v>85</v>
      </c>
      <c r="R7949" t="s">
        <v>34911</v>
      </c>
      <c r="W7949" t="s">
        <v>34910</v>
      </c>
      <c r="X7949" t="s">
        <v>11176</v>
      </c>
      <c r="Y7949" t="s">
        <v>97</v>
      </c>
      <c r="Z7949" t="s">
        <v>77</v>
      </c>
      <c r="AA7949" t="str">
        <f>"10029-6542"</f>
        <v>10029-6542</v>
      </c>
      <c r="AB7949" t="s">
        <v>78</v>
      </c>
      <c r="AC7949" t="s">
        <v>79</v>
      </c>
      <c r="AD7949" t="s">
        <v>75</v>
      </c>
      <c r="AE7949" t="s">
        <v>80</v>
      </c>
      <c r="AG7949" t="s">
        <v>81</v>
      </c>
    </row>
    <row r="7950" spans="1:33" x14ac:dyDescent="0.25">
      <c r="A7950" t="str">
        <f>"1740505668"</f>
        <v>1740505668</v>
      </c>
      <c r="B7950" t="str">
        <f>"04324301"</f>
        <v>04324301</v>
      </c>
      <c r="C7950" t="s">
        <v>13436</v>
      </c>
      <c r="D7950" t="s">
        <v>34912</v>
      </c>
      <c r="E7950" t="s">
        <v>34913</v>
      </c>
      <c r="L7950" t="s">
        <v>74</v>
      </c>
      <c r="M7950" t="s">
        <v>75</v>
      </c>
      <c r="R7950" t="s">
        <v>34913</v>
      </c>
      <c r="W7950" t="s">
        <v>34913</v>
      </c>
      <c r="X7950" t="s">
        <v>34914</v>
      </c>
      <c r="Y7950" t="s">
        <v>97</v>
      </c>
      <c r="Z7950" t="s">
        <v>77</v>
      </c>
      <c r="AA7950" t="str">
        <f>"10029-5204"</f>
        <v>10029-5204</v>
      </c>
      <c r="AB7950" t="s">
        <v>78</v>
      </c>
      <c r="AC7950" t="s">
        <v>79</v>
      </c>
      <c r="AD7950" t="s">
        <v>75</v>
      </c>
      <c r="AE7950" t="s">
        <v>80</v>
      </c>
      <c r="AG7950" t="s">
        <v>81</v>
      </c>
    </row>
    <row r="7951" spans="1:33" x14ac:dyDescent="0.25">
      <c r="A7951" t="str">
        <f>"1740505825"</f>
        <v>1740505825</v>
      </c>
      <c r="B7951" t="str">
        <f>"03731284"</f>
        <v>03731284</v>
      </c>
      <c r="C7951" t="s">
        <v>13436</v>
      </c>
      <c r="D7951" t="s">
        <v>34915</v>
      </c>
      <c r="E7951" t="s">
        <v>34916</v>
      </c>
      <c r="L7951" t="s">
        <v>84</v>
      </c>
      <c r="M7951" t="s">
        <v>85</v>
      </c>
      <c r="R7951" t="s">
        <v>34916</v>
      </c>
      <c r="W7951" t="s">
        <v>34916</v>
      </c>
      <c r="X7951" t="s">
        <v>3876</v>
      </c>
      <c r="Y7951" t="s">
        <v>131</v>
      </c>
      <c r="Z7951" t="s">
        <v>77</v>
      </c>
      <c r="AA7951" t="str">
        <f>"10473-2631"</f>
        <v>10473-2631</v>
      </c>
      <c r="AB7951" t="s">
        <v>78</v>
      </c>
      <c r="AC7951" t="s">
        <v>79</v>
      </c>
      <c r="AD7951" t="s">
        <v>75</v>
      </c>
      <c r="AE7951" t="s">
        <v>80</v>
      </c>
      <c r="AG7951" t="s">
        <v>81</v>
      </c>
    </row>
    <row r="7952" spans="1:33" x14ac:dyDescent="0.25">
      <c r="A7952" t="str">
        <f>"1740507904"</f>
        <v>1740507904</v>
      </c>
      <c r="C7952" t="s">
        <v>13436</v>
      </c>
      <c r="K7952" t="s">
        <v>99</v>
      </c>
      <c r="L7952" t="s">
        <v>102</v>
      </c>
      <c r="M7952" t="s">
        <v>75</v>
      </c>
      <c r="R7952" t="s">
        <v>34917</v>
      </c>
      <c r="S7952" t="s">
        <v>34918</v>
      </c>
      <c r="T7952" t="s">
        <v>34919</v>
      </c>
      <c r="U7952" t="s">
        <v>2632</v>
      </c>
      <c r="V7952" t="str">
        <f>"232985051"</f>
        <v>232985051</v>
      </c>
      <c r="AC7952" t="s">
        <v>79</v>
      </c>
      <c r="AD7952" t="s">
        <v>75</v>
      </c>
      <c r="AE7952" t="s">
        <v>103</v>
      </c>
      <c r="AG7952" t="s">
        <v>81</v>
      </c>
    </row>
    <row r="7953" spans="1:33" x14ac:dyDescent="0.25">
      <c r="A7953" t="str">
        <f>"1740509900"</f>
        <v>1740509900</v>
      </c>
      <c r="B7953" t="str">
        <f>"03989219"</f>
        <v>03989219</v>
      </c>
      <c r="C7953" t="s">
        <v>13436</v>
      </c>
      <c r="D7953" t="s">
        <v>34920</v>
      </c>
      <c r="E7953" t="s">
        <v>34921</v>
      </c>
      <c r="G7953" t="s">
        <v>34922</v>
      </c>
      <c r="L7953" t="s">
        <v>74</v>
      </c>
      <c r="M7953" t="s">
        <v>75</v>
      </c>
      <c r="R7953" t="s">
        <v>34921</v>
      </c>
      <c r="W7953" t="s">
        <v>34921</v>
      </c>
      <c r="X7953" t="s">
        <v>272</v>
      </c>
      <c r="Y7953" t="s">
        <v>97</v>
      </c>
      <c r="Z7953" t="s">
        <v>77</v>
      </c>
      <c r="AA7953" t="str">
        <f>"10029-6501"</f>
        <v>10029-6501</v>
      </c>
      <c r="AB7953" t="s">
        <v>78</v>
      </c>
      <c r="AC7953" t="s">
        <v>79</v>
      </c>
      <c r="AD7953" t="s">
        <v>75</v>
      </c>
      <c r="AE7953" t="s">
        <v>80</v>
      </c>
      <c r="AG7953" t="s">
        <v>81</v>
      </c>
    </row>
    <row r="7954" spans="1:33" x14ac:dyDescent="0.25">
      <c r="A7954" t="str">
        <f>"1740521657"</f>
        <v>1740521657</v>
      </c>
      <c r="C7954" t="s">
        <v>13436</v>
      </c>
      <c r="G7954" t="s">
        <v>34923</v>
      </c>
      <c r="K7954" t="s">
        <v>99</v>
      </c>
      <c r="L7954" t="s">
        <v>102</v>
      </c>
      <c r="M7954" t="s">
        <v>75</v>
      </c>
      <c r="R7954" t="s">
        <v>34924</v>
      </c>
      <c r="S7954" t="s">
        <v>6696</v>
      </c>
      <c r="T7954" t="s">
        <v>97</v>
      </c>
      <c r="U7954" t="s">
        <v>77</v>
      </c>
      <c r="V7954" t="str">
        <f>"10003"</f>
        <v>10003</v>
      </c>
      <c r="AC7954" t="s">
        <v>79</v>
      </c>
      <c r="AD7954" t="s">
        <v>75</v>
      </c>
      <c r="AE7954" t="s">
        <v>103</v>
      </c>
      <c r="AG7954" t="s">
        <v>81</v>
      </c>
    </row>
    <row r="7955" spans="1:33" x14ac:dyDescent="0.25">
      <c r="A7955" t="str">
        <f>"1740522341"</f>
        <v>1740522341</v>
      </c>
      <c r="C7955" t="s">
        <v>13436</v>
      </c>
      <c r="K7955" t="s">
        <v>99</v>
      </c>
      <c r="L7955" t="s">
        <v>102</v>
      </c>
      <c r="M7955" t="s">
        <v>75</v>
      </c>
      <c r="R7955" t="s">
        <v>34925</v>
      </c>
      <c r="S7955" t="s">
        <v>34926</v>
      </c>
      <c r="T7955" t="s">
        <v>97</v>
      </c>
      <c r="U7955" t="s">
        <v>77</v>
      </c>
      <c r="V7955" t="str">
        <f>"100253080"</f>
        <v>100253080</v>
      </c>
      <c r="AC7955" t="s">
        <v>79</v>
      </c>
      <c r="AD7955" t="s">
        <v>75</v>
      </c>
      <c r="AE7955" t="s">
        <v>103</v>
      </c>
      <c r="AG7955" t="s">
        <v>81</v>
      </c>
    </row>
    <row r="7956" spans="1:33" x14ac:dyDescent="0.25">
      <c r="A7956" t="str">
        <f>"1831160092"</f>
        <v>1831160092</v>
      </c>
      <c r="B7956" t="str">
        <f>"02085541"</f>
        <v>02085541</v>
      </c>
      <c r="C7956" t="s">
        <v>13436</v>
      </c>
      <c r="D7956" t="s">
        <v>34927</v>
      </c>
      <c r="E7956" t="s">
        <v>34928</v>
      </c>
      <c r="L7956" t="s">
        <v>74</v>
      </c>
      <c r="M7956" t="s">
        <v>85</v>
      </c>
      <c r="R7956" t="s">
        <v>34929</v>
      </c>
      <c r="W7956" t="s">
        <v>34928</v>
      </c>
      <c r="X7956" t="s">
        <v>34930</v>
      </c>
      <c r="Y7956" t="s">
        <v>87</v>
      </c>
      <c r="Z7956" t="s">
        <v>77</v>
      </c>
      <c r="AA7956" t="str">
        <f>"11219-2999"</f>
        <v>11219-2999</v>
      </c>
      <c r="AB7956" t="s">
        <v>78</v>
      </c>
      <c r="AC7956" t="s">
        <v>79</v>
      </c>
      <c r="AD7956" t="s">
        <v>75</v>
      </c>
      <c r="AE7956" t="s">
        <v>80</v>
      </c>
      <c r="AG7956" t="s">
        <v>81</v>
      </c>
    </row>
    <row r="7957" spans="1:33" x14ac:dyDescent="0.25">
      <c r="A7957" t="str">
        <f>"1831164680"</f>
        <v>1831164680</v>
      </c>
      <c r="B7957" t="str">
        <f>"01704576"</f>
        <v>01704576</v>
      </c>
      <c r="C7957" t="s">
        <v>13436</v>
      </c>
      <c r="D7957" t="s">
        <v>34931</v>
      </c>
      <c r="E7957" t="s">
        <v>34932</v>
      </c>
      <c r="L7957" t="s">
        <v>83</v>
      </c>
      <c r="M7957" t="s">
        <v>85</v>
      </c>
      <c r="R7957" t="s">
        <v>34933</v>
      </c>
      <c r="W7957" t="s">
        <v>34932</v>
      </c>
      <c r="X7957" t="s">
        <v>5439</v>
      </c>
      <c r="Y7957" t="s">
        <v>131</v>
      </c>
      <c r="Z7957" t="s">
        <v>77</v>
      </c>
      <c r="AA7957" t="str">
        <f>"10467-2490"</f>
        <v>10467-2490</v>
      </c>
      <c r="AB7957" t="s">
        <v>78</v>
      </c>
      <c r="AC7957" t="s">
        <v>79</v>
      </c>
      <c r="AD7957" t="s">
        <v>75</v>
      </c>
      <c r="AE7957" t="s">
        <v>80</v>
      </c>
      <c r="AG7957" t="s">
        <v>81</v>
      </c>
    </row>
    <row r="7958" spans="1:33" x14ac:dyDescent="0.25">
      <c r="A7958" t="str">
        <f>"1831166271"</f>
        <v>1831166271</v>
      </c>
      <c r="B7958" t="str">
        <f>"02440917"</f>
        <v>02440917</v>
      </c>
      <c r="C7958" t="s">
        <v>13436</v>
      </c>
      <c r="D7958" t="s">
        <v>34934</v>
      </c>
      <c r="E7958" t="s">
        <v>34935</v>
      </c>
      <c r="G7958" t="s">
        <v>34936</v>
      </c>
      <c r="L7958" t="s">
        <v>83</v>
      </c>
      <c r="M7958" t="s">
        <v>85</v>
      </c>
      <c r="R7958" t="s">
        <v>34937</v>
      </c>
      <c r="W7958" t="s">
        <v>34935</v>
      </c>
      <c r="X7958" t="s">
        <v>34938</v>
      </c>
      <c r="Y7958" t="s">
        <v>97</v>
      </c>
      <c r="Z7958" t="s">
        <v>77</v>
      </c>
      <c r="AA7958" t="str">
        <f>"10029-6542"</f>
        <v>10029-6542</v>
      </c>
      <c r="AB7958" t="s">
        <v>78</v>
      </c>
      <c r="AC7958" t="s">
        <v>79</v>
      </c>
      <c r="AD7958" t="s">
        <v>75</v>
      </c>
      <c r="AE7958" t="s">
        <v>80</v>
      </c>
      <c r="AG7958" t="s">
        <v>81</v>
      </c>
    </row>
    <row r="7959" spans="1:33" x14ac:dyDescent="0.25">
      <c r="A7959" t="str">
        <f>"1811975964"</f>
        <v>1811975964</v>
      </c>
      <c r="B7959" t="str">
        <f>"03939017"</f>
        <v>03939017</v>
      </c>
      <c r="C7959" t="s">
        <v>13436</v>
      </c>
      <c r="D7959" t="s">
        <v>34939</v>
      </c>
      <c r="E7959" t="s">
        <v>34940</v>
      </c>
      <c r="L7959" t="s">
        <v>83</v>
      </c>
      <c r="M7959" t="s">
        <v>85</v>
      </c>
      <c r="R7959" t="s">
        <v>34941</v>
      </c>
      <c r="W7959" t="s">
        <v>34940</v>
      </c>
      <c r="X7959" t="s">
        <v>329</v>
      </c>
      <c r="Y7959" t="s">
        <v>97</v>
      </c>
      <c r="Z7959" t="s">
        <v>77</v>
      </c>
      <c r="AA7959" t="str">
        <f>"10029-6504"</f>
        <v>10029-6504</v>
      </c>
      <c r="AB7959" t="s">
        <v>78</v>
      </c>
      <c r="AC7959" t="s">
        <v>79</v>
      </c>
      <c r="AD7959" t="s">
        <v>75</v>
      </c>
      <c r="AE7959" t="s">
        <v>80</v>
      </c>
      <c r="AG7959" t="s">
        <v>81</v>
      </c>
    </row>
    <row r="7960" spans="1:33" x14ac:dyDescent="0.25">
      <c r="A7960" t="str">
        <f>"1821024696"</f>
        <v>1821024696</v>
      </c>
      <c r="B7960" t="str">
        <f>"02322723"</f>
        <v>02322723</v>
      </c>
      <c r="C7960" t="s">
        <v>13436</v>
      </c>
      <c r="D7960" t="s">
        <v>6129</v>
      </c>
      <c r="E7960" t="s">
        <v>6130</v>
      </c>
      <c r="G7960" t="s">
        <v>34942</v>
      </c>
      <c r="L7960" t="s">
        <v>83</v>
      </c>
      <c r="M7960" t="s">
        <v>85</v>
      </c>
      <c r="R7960" t="s">
        <v>6131</v>
      </c>
      <c r="W7960" t="s">
        <v>6132</v>
      </c>
      <c r="X7960" t="s">
        <v>332</v>
      </c>
      <c r="Y7960" t="s">
        <v>97</v>
      </c>
      <c r="Z7960" t="s">
        <v>77</v>
      </c>
      <c r="AA7960" t="str">
        <f>"10075-1851"</f>
        <v>10075-1851</v>
      </c>
      <c r="AB7960" t="s">
        <v>78</v>
      </c>
      <c r="AC7960" t="s">
        <v>79</v>
      </c>
      <c r="AD7960" t="s">
        <v>75</v>
      </c>
      <c r="AE7960" t="s">
        <v>80</v>
      </c>
      <c r="AG7960" t="s">
        <v>81</v>
      </c>
    </row>
    <row r="7961" spans="1:33" x14ac:dyDescent="0.25">
      <c r="A7961" t="str">
        <f>"1821064569"</f>
        <v>1821064569</v>
      </c>
      <c r="B7961" t="str">
        <f>"01251936"</f>
        <v>01251936</v>
      </c>
      <c r="C7961" t="s">
        <v>13436</v>
      </c>
      <c r="D7961" t="s">
        <v>34943</v>
      </c>
      <c r="E7961" t="s">
        <v>34944</v>
      </c>
      <c r="L7961" t="s">
        <v>74</v>
      </c>
      <c r="M7961" t="s">
        <v>85</v>
      </c>
      <c r="R7961" t="s">
        <v>34945</v>
      </c>
      <c r="W7961" t="s">
        <v>34944</v>
      </c>
      <c r="X7961" t="s">
        <v>34946</v>
      </c>
      <c r="Y7961" t="s">
        <v>97</v>
      </c>
      <c r="Z7961" t="s">
        <v>77</v>
      </c>
      <c r="AA7961" t="str">
        <f>"10029-6500"</f>
        <v>10029-6500</v>
      </c>
      <c r="AB7961" t="s">
        <v>78</v>
      </c>
      <c r="AC7961" t="s">
        <v>79</v>
      </c>
      <c r="AD7961" t="s">
        <v>75</v>
      </c>
      <c r="AE7961" t="s">
        <v>80</v>
      </c>
      <c r="AG7961" t="s">
        <v>81</v>
      </c>
    </row>
    <row r="7962" spans="1:33" x14ac:dyDescent="0.25">
      <c r="A7962" t="str">
        <f>"1821067109"</f>
        <v>1821067109</v>
      </c>
      <c r="B7962" t="str">
        <f>"01886548"</f>
        <v>01886548</v>
      </c>
      <c r="C7962" t="s">
        <v>13436</v>
      </c>
      <c r="D7962" t="s">
        <v>34947</v>
      </c>
      <c r="E7962" t="s">
        <v>34948</v>
      </c>
      <c r="L7962" t="s">
        <v>74</v>
      </c>
      <c r="M7962" t="s">
        <v>85</v>
      </c>
      <c r="R7962" t="s">
        <v>34948</v>
      </c>
      <c r="W7962" t="s">
        <v>34948</v>
      </c>
      <c r="X7962" t="s">
        <v>34948</v>
      </c>
      <c r="Y7962" t="s">
        <v>97</v>
      </c>
      <c r="Z7962" t="s">
        <v>77</v>
      </c>
      <c r="AA7962" t="str">
        <f>"10029-6501"</f>
        <v>10029-6501</v>
      </c>
      <c r="AB7962" t="s">
        <v>78</v>
      </c>
      <c r="AC7962" t="s">
        <v>79</v>
      </c>
      <c r="AD7962" t="s">
        <v>75</v>
      </c>
      <c r="AE7962" t="s">
        <v>80</v>
      </c>
      <c r="AG7962" t="s">
        <v>81</v>
      </c>
    </row>
    <row r="7963" spans="1:33" x14ac:dyDescent="0.25">
      <c r="A7963" t="str">
        <f>"1912134271"</f>
        <v>1912134271</v>
      </c>
      <c r="B7963" t="str">
        <f>"03507031"</f>
        <v>03507031</v>
      </c>
      <c r="C7963" t="s">
        <v>13436</v>
      </c>
      <c r="D7963" t="s">
        <v>34949</v>
      </c>
      <c r="E7963" t="s">
        <v>34950</v>
      </c>
      <c r="G7963" t="s">
        <v>34951</v>
      </c>
      <c r="L7963" t="s">
        <v>83</v>
      </c>
      <c r="M7963" t="s">
        <v>85</v>
      </c>
      <c r="R7963" t="s">
        <v>34952</v>
      </c>
      <c r="W7963" t="s">
        <v>34950</v>
      </c>
      <c r="X7963" t="s">
        <v>181</v>
      </c>
      <c r="Y7963" t="s">
        <v>97</v>
      </c>
      <c r="Z7963" t="s">
        <v>77</v>
      </c>
      <c r="AA7963" t="str">
        <f>"10025-1716"</f>
        <v>10025-1716</v>
      </c>
      <c r="AB7963" t="s">
        <v>78</v>
      </c>
      <c r="AC7963" t="s">
        <v>79</v>
      </c>
      <c r="AD7963" t="s">
        <v>75</v>
      </c>
      <c r="AE7963" t="s">
        <v>80</v>
      </c>
      <c r="AG7963" t="s">
        <v>81</v>
      </c>
    </row>
    <row r="7964" spans="1:33" x14ac:dyDescent="0.25">
      <c r="A7964" t="str">
        <f>"1912150640"</f>
        <v>1912150640</v>
      </c>
      <c r="B7964" t="str">
        <f>"03796921"</f>
        <v>03796921</v>
      </c>
      <c r="C7964" t="s">
        <v>13436</v>
      </c>
      <c r="D7964" t="s">
        <v>34953</v>
      </c>
      <c r="E7964" t="s">
        <v>34954</v>
      </c>
      <c r="G7964" t="s">
        <v>34955</v>
      </c>
      <c r="L7964" t="s">
        <v>74</v>
      </c>
      <c r="M7964" t="s">
        <v>75</v>
      </c>
      <c r="R7964" t="s">
        <v>34954</v>
      </c>
      <c r="W7964" t="s">
        <v>34954</v>
      </c>
      <c r="X7964" t="s">
        <v>11436</v>
      </c>
      <c r="Y7964" t="s">
        <v>97</v>
      </c>
      <c r="Z7964" t="s">
        <v>77</v>
      </c>
      <c r="AA7964" t="str">
        <f>"10029-6503"</f>
        <v>10029-6503</v>
      </c>
      <c r="AB7964" t="s">
        <v>78</v>
      </c>
      <c r="AC7964" t="s">
        <v>79</v>
      </c>
      <c r="AD7964" t="s">
        <v>75</v>
      </c>
      <c r="AE7964" t="s">
        <v>80</v>
      </c>
      <c r="AG7964" t="s">
        <v>81</v>
      </c>
    </row>
    <row r="7965" spans="1:33" x14ac:dyDescent="0.25">
      <c r="A7965" t="str">
        <f>"1912166950"</f>
        <v>1912166950</v>
      </c>
      <c r="B7965" t="str">
        <f>"03375624"</f>
        <v>03375624</v>
      </c>
      <c r="C7965" t="s">
        <v>13436</v>
      </c>
      <c r="D7965" t="s">
        <v>34956</v>
      </c>
      <c r="E7965" t="s">
        <v>34957</v>
      </c>
      <c r="L7965" t="s">
        <v>84</v>
      </c>
      <c r="M7965" t="s">
        <v>85</v>
      </c>
      <c r="R7965" t="s">
        <v>34957</v>
      </c>
      <c r="W7965" t="s">
        <v>34957</v>
      </c>
      <c r="X7965" t="s">
        <v>330</v>
      </c>
      <c r="Y7965" t="s">
        <v>97</v>
      </c>
      <c r="Z7965" t="s">
        <v>77</v>
      </c>
      <c r="AA7965" t="str">
        <f>"10029-5204"</f>
        <v>10029-5204</v>
      </c>
      <c r="AB7965" t="s">
        <v>78</v>
      </c>
      <c r="AC7965" t="s">
        <v>79</v>
      </c>
      <c r="AD7965" t="s">
        <v>75</v>
      </c>
      <c r="AE7965" t="s">
        <v>80</v>
      </c>
      <c r="AG7965" t="s">
        <v>81</v>
      </c>
    </row>
    <row r="7966" spans="1:33" x14ac:dyDescent="0.25">
      <c r="A7966" t="str">
        <f>"1093883910"</f>
        <v>1093883910</v>
      </c>
      <c r="B7966" t="str">
        <f>"02473247"</f>
        <v>02473247</v>
      </c>
      <c r="C7966" t="s">
        <v>13436</v>
      </c>
      <c r="D7966" t="s">
        <v>34958</v>
      </c>
      <c r="E7966" t="s">
        <v>34959</v>
      </c>
      <c r="G7966" t="s">
        <v>34960</v>
      </c>
      <c r="L7966" t="s">
        <v>83</v>
      </c>
      <c r="M7966" t="s">
        <v>85</v>
      </c>
      <c r="R7966" t="s">
        <v>34961</v>
      </c>
      <c r="W7966" t="s">
        <v>34962</v>
      </c>
      <c r="X7966" t="s">
        <v>4744</v>
      </c>
      <c r="Y7966" t="s">
        <v>1077</v>
      </c>
      <c r="Z7966" t="s">
        <v>77</v>
      </c>
      <c r="AA7966" t="str">
        <f>"10532-2167"</f>
        <v>10532-2167</v>
      </c>
      <c r="AB7966" t="s">
        <v>78</v>
      </c>
      <c r="AC7966" t="s">
        <v>79</v>
      </c>
      <c r="AD7966" t="s">
        <v>75</v>
      </c>
      <c r="AE7966" t="s">
        <v>80</v>
      </c>
      <c r="AG7966" t="s">
        <v>81</v>
      </c>
    </row>
    <row r="7967" spans="1:33" x14ac:dyDescent="0.25">
      <c r="A7967" t="str">
        <f>"1093905911"</f>
        <v>1093905911</v>
      </c>
      <c r="B7967" t="str">
        <f>"03191366"</f>
        <v>03191366</v>
      </c>
      <c r="C7967" t="s">
        <v>13436</v>
      </c>
      <c r="D7967" t="s">
        <v>34963</v>
      </c>
      <c r="E7967" t="s">
        <v>34964</v>
      </c>
      <c r="G7967" t="s">
        <v>34965</v>
      </c>
      <c r="L7967" t="s">
        <v>74</v>
      </c>
      <c r="M7967" t="s">
        <v>75</v>
      </c>
      <c r="R7967" t="s">
        <v>34966</v>
      </c>
      <c r="W7967" t="s">
        <v>34964</v>
      </c>
      <c r="X7967" t="s">
        <v>3824</v>
      </c>
      <c r="Y7967" t="s">
        <v>141</v>
      </c>
      <c r="Z7967" t="s">
        <v>77</v>
      </c>
      <c r="AA7967" t="str">
        <f>"11377-5771"</f>
        <v>11377-5771</v>
      </c>
      <c r="AB7967" t="s">
        <v>78</v>
      </c>
      <c r="AC7967" t="s">
        <v>79</v>
      </c>
      <c r="AD7967" t="s">
        <v>75</v>
      </c>
      <c r="AE7967" t="s">
        <v>80</v>
      </c>
      <c r="AG7967" t="s">
        <v>81</v>
      </c>
    </row>
    <row r="7968" spans="1:33" x14ac:dyDescent="0.25">
      <c r="A7968" t="str">
        <f>"1093949489"</f>
        <v>1093949489</v>
      </c>
      <c r="B7968" t="str">
        <f>"03625849"</f>
        <v>03625849</v>
      </c>
      <c r="C7968" t="s">
        <v>13436</v>
      </c>
      <c r="D7968" t="s">
        <v>34967</v>
      </c>
      <c r="E7968" t="s">
        <v>34968</v>
      </c>
      <c r="L7968" t="s">
        <v>83</v>
      </c>
      <c r="M7968" t="s">
        <v>85</v>
      </c>
      <c r="R7968" t="s">
        <v>34969</v>
      </c>
      <c r="W7968" t="s">
        <v>34968</v>
      </c>
      <c r="X7968" t="s">
        <v>329</v>
      </c>
      <c r="Y7968" t="s">
        <v>97</v>
      </c>
      <c r="Z7968" t="s">
        <v>77</v>
      </c>
      <c r="AA7968" t="str">
        <f>"10029-6504"</f>
        <v>10029-6504</v>
      </c>
      <c r="AB7968" t="s">
        <v>78</v>
      </c>
      <c r="AC7968" t="s">
        <v>79</v>
      </c>
      <c r="AD7968" t="s">
        <v>75</v>
      </c>
      <c r="AE7968" t="s">
        <v>80</v>
      </c>
      <c r="AG7968" t="s">
        <v>81</v>
      </c>
    </row>
    <row r="7969" spans="1:33" x14ac:dyDescent="0.25">
      <c r="A7969" t="str">
        <f>"1093951972"</f>
        <v>1093951972</v>
      </c>
      <c r="B7969" t="str">
        <f>"04195722"</f>
        <v>04195722</v>
      </c>
      <c r="C7969" t="s">
        <v>13436</v>
      </c>
      <c r="D7969" t="s">
        <v>34970</v>
      </c>
      <c r="E7969" t="s">
        <v>34971</v>
      </c>
      <c r="L7969" t="s">
        <v>105</v>
      </c>
      <c r="M7969" t="s">
        <v>75</v>
      </c>
      <c r="R7969" t="s">
        <v>34972</v>
      </c>
      <c r="W7969" t="s">
        <v>34971</v>
      </c>
      <c r="X7969" t="s">
        <v>186</v>
      </c>
      <c r="Y7969" t="s">
        <v>97</v>
      </c>
      <c r="Z7969" t="s">
        <v>77</v>
      </c>
      <c r="AA7969" t="str">
        <f>"10029-7404"</f>
        <v>10029-7404</v>
      </c>
      <c r="AB7969" t="s">
        <v>78</v>
      </c>
      <c r="AC7969" t="s">
        <v>79</v>
      </c>
      <c r="AD7969" t="s">
        <v>75</v>
      </c>
      <c r="AE7969" t="s">
        <v>80</v>
      </c>
      <c r="AG7969" t="s">
        <v>81</v>
      </c>
    </row>
    <row r="7970" spans="1:33" x14ac:dyDescent="0.25">
      <c r="A7970" t="str">
        <f>"1093957334"</f>
        <v>1093957334</v>
      </c>
      <c r="C7970" t="s">
        <v>13436</v>
      </c>
      <c r="G7970" t="s">
        <v>34973</v>
      </c>
      <c r="K7970" t="s">
        <v>99</v>
      </c>
      <c r="L7970" t="s">
        <v>74</v>
      </c>
      <c r="M7970" t="s">
        <v>75</v>
      </c>
      <c r="R7970" t="s">
        <v>34974</v>
      </c>
      <c r="S7970" t="s">
        <v>34975</v>
      </c>
      <c r="T7970" t="s">
        <v>4646</v>
      </c>
      <c r="U7970" t="s">
        <v>4647</v>
      </c>
      <c r="V7970" t="str">
        <f>"30342"</f>
        <v>30342</v>
      </c>
      <c r="AC7970" t="s">
        <v>79</v>
      </c>
      <c r="AD7970" t="s">
        <v>75</v>
      </c>
      <c r="AE7970" t="s">
        <v>103</v>
      </c>
      <c r="AG7970" t="s">
        <v>81</v>
      </c>
    </row>
    <row r="7971" spans="1:33" x14ac:dyDescent="0.25">
      <c r="A7971" t="str">
        <f>"1851629448"</f>
        <v>1851629448</v>
      </c>
      <c r="B7971" t="str">
        <f>"03823961"</f>
        <v>03823961</v>
      </c>
      <c r="C7971" t="s">
        <v>13436</v>
      </c>
      <c r="D7971" t="s">
        <v>34976</v>
      </c>
      <c r="E7971" t="s">
        <v>34977</v>
      </c>
      <c r="G7971" t="s">
        <v>34978</v>
      </c>
      <c r="L7971" t="s">
        <v>102</v>
      </c>
      <c r="M7971" t="s">
        <v>85</v>
      </c>
      <c r="R7971" t="s">
        <v>34979</v>
      </c>
      <c r="W7971" t="s">
        <v>34977</v>
      </c>
      <c r="X7971" t="s">
        <v>5911</v>
      </c>
      <c r="Y7971" t="s">
        <v>97</v>
      </c>
      <c r="Z7971" t="s">
        <v>77</v>
      </c>
      <c r="AA7971" t="str">
        <f>"10025-1737"</f>
        <v>10025-1737</v>
      </c>
      <c r="AB7971" t="s">
        <v>78</v>
      </c>
      <c r="AC7971" t="s">
        <v>79</v>
      </c>
      <c r="AD7971" t="s">
        <v>75</v>
      </c>
      <c r="AE7971" t="s">
        <v>80</v>
      </c>
      <c r="AG7971" t="s">
        <v>81</v>
      </c>
    </row>
    <row r="7972" spans="1:33" x14ac:dyDescent="0.25">
      <c r="A7972" t="str">
        <f>"1043446081"</f>
        <v>1043446081</v>
      </c>
      <c r="B7972" t="str">
        <f>"03647716"</f>
        <v>03647716</v>
      </c>
      <c r="C7972" t="s">
        <v>13436</v>
      </c>
      <c r="D7972" t="s">
        <v>34980</v>
      </c>
      <c r="E7972" t="s">
        <v>34981</v>
      </c>
      <c r="G7972" t="s">
        <v>34982</v>
      </c>
      <c r="L7972" t="s">
        <v>74</v>
      </c>
      <c r="M7972" t="s">
        <v>75</v>
      </c>
      <c r="R7972" t="s">
        <v>34983</v>
      </c>
      <c r="W7972" t="s">
        <v>34981</v>
      </c>
      <c r="X7972" t="s">
        <v>235</v>
      </c>
      <c r="Y7972" t="s">
        <v>190</v>
      </c>
      <c r="Z7972" t="s">
        <v>77</v>
      </c>
      <c r="AA7972" t="str">
        <f>"11102-2448"</f>
        <v>11102-2448</v>
      </c>
      <c r="AB7972" t="s">
        <v>78</v>
      </c>
      <c r="AC7972" t="s">
        <v>79</v>
      </c>
      <c r="AD7972" t="s">
        <v>75</v>
      </c>
      <c r="AE7972" t="s">
        <v>80</v>
      </c>
      <c r="AG7972" t="s">
        <v>81</v>
      </c>
    </row>
    <row r="7973" spans="1:33" x14ac:dyDescent="0.25">
      <c r="A7973" t="str">
        <f>"1043450133"</f>
        <v>1043450133</v>
      </c>
      <c r="B7973" t="str">
        <f>"03483910"</f>
        <v>03483910</v>
      </c>
      <c r="C7973" t="s">
        <v>13436</v>
      </c>
      <c r="D7973" t="s">
        <v>34984</v>
      </c>
      <c r="E7973" t="s">
        <v>34985</v>
      </c>
      <c r="G7973" t="s">
        <v>34986</v>
      </c>
      <c r="L7973" t="s">
        <v>74</v>
      </c>
      <c r="M7973" t="s">
        <v>85</v>
      </c>
      <c r="R7973" t="s">
        <v>34987</v>
      </c>
      <c r="W7973" t="s">
        <v>34985</v>
      </c>
      <c r="X7973" t="s">
        <v>34988</v>
      </c>
      <c r="Y7973" t="s">
        <v>97</v>
      </c>
      <c r="Z7973" t="s">
        <v>77</v>
      </c>
      <c r="AA7973" t="str">
        <f>"10029-6501"</f>
        <v>10029-6501</v>
      </c>
      <c r="AB7973" t="s">
        <v>78</v>
      </c>
      <c r="AC7973" t="s">
        <v>79</v>
      </c>
      <c r="AD7973" t="s">
        <v>75</v>
      </c>
      <c r="AE7973" t="s">
        <v>80</v>
      </c>
      <c r="AG7973" t="s">
        <v>81</v>
      </c>
    </row>
    <row r="7974" spans="1:33" x14ac:dyDescent="0.25">
      <c r="A7974" t="str">
        <f>"1043470909"</f>
        <v>1043470909</v>
      </c>
      <c r="B7974" t="str">
        <f>"03923342"</f>
        <v>03923342</v>
      </c>
      <c r="C7974" t="s">
        <v>13436</v>
      </c>
      <c r="D7974" t="s">
        <v>34989</v>
      </c>
      <c r="E7974" t="s">
        <v>34990</v>
      </c>
      <c r="G7974" t="s">
        <v>34991</v>
      </c>
      <c r="L7974" t="s">
        <v>83</v>
      </c>
      <c r="M7974" t="s">
        <v>75</v>
      </c>
      <c r="R7974" t="s">
        <v>34990</v>
      </c>
      <c r="W7974" t="s">
        <v>34990</v>
      </c>
      <c r="X7974" t="s">
        <v>329</v>
      </c>
      <c r="Y7974" t="s">
        <v>97</v>
      </c>
      <c r="Z7974" t="s">
        <v>77</v>
      </c>
      <c r="AA7974" t="str">
        <f>"10029-6504"</f>
        <v>10029-6504</v>
      </c>
      <c r="AB7974" t="s">
        <v>78</v>
      </c>
      <c r="AC7974" t="s">
        <v>79</v>
      </c>
      <c r="AD7974" t="s">
        <v>75</v>
      </c>
      <c r="AE7974" t="s">
        <v>80</v>
      </c>
      <c r="AG7974" t="s">
        <v>81</v>
      </c>
    </row>
    <row r="7975" spans="1:33" x14ac:dyDescent="0.25">
      <c r="A7975" t="str">
        <f>"1043491137"</f>
        <v>1043491137</v>
      </c>
      <c r="B7975" t="str">
        <f>"03706723"</f>
        <v>03706723</v>
      </c>
      <c r="C7975" t="s">
        <v>13436</v>
      </c>
      <c r="D7975" t="s">
        <v>34992</v>
      </c>
      <c r="E7975" t="s">
        <v>34993</v>
      </c>
      <c r="G7975" t="s">
        <v>34994</v>
      </c>
      <c r="L7975" t="s">
        <v>102</v>
      </c>
      <c r="M7975" t="s">
        <v>75</v>
      </c>
      <c r="R7975" t="s">
        <v>34993</v>
      </c>
      <c r="W7975" t="s">
        <v>34993</v>
      </c>
      <c r="X7975" t="s">
        <v>11156</v>
      </c>
      <c r="Y7975" t="s">
        <v>97</v>
      </c>
      <c r="Z7975" t="s">
        <v>77</v>
      </c>
      <c r="AA7975" t="str">
        <f>"10029-6504"</f>
        <v>10029-6504</v>
      </c>
      <c r="AB7975" t="s">
        <v>78</v>
      </c>
      <c r="AC7975" t="s">
        <v>79</v>
      </c>
      <c r="AD7975" t="s">
        <v>75</v>
      </c>
      <c r="AE7975" t="s">
        <v>80</v>
      </c>
      <c r="AG7975" t="s">
        <v>81</v>
      </c>
    </row>
    <row r="7976" spans="1:33" x14ac:dyDescent="0.25">
      <c r="A7976" t="str">
        <f>"1609142694"</f>
        <v>1609142694</v>
      </c>
      <c r="C7976" t="s">
        <v>13436</v>
      </c>
      <c r="K7976" t="s">
        <v>99</v>
      </c>
      <c r="L7976" t="s">
        <v>102</v>
      </c>
      <c r="M7976" t="s">
        <v>75</v>
      </c>
      <c r="R7976" t="s">
        <v>34995</v>
      </c>
      <c r="S7976" t="s">
        <v>34996</v>
      </c>
      <c r="T7976" t="s">
        <v>97</v>
      </c>
      <c r="U7976" t="s">
        <v>77</v>
      </c>
      <c r="V7976" t="str">
        <f>"100233498"</f>
        <v>100233498</v>
      </c>
      <c r="AC7976" t="s">
        <v>79</v>
      </c>
      <c r="AD7976" t="s">
        <v>75</v>
      </c>
      <c r="AE7976" t="s">
        <v>103</v>
      </c>
      <c r="AG7976" t="s">
        <v>81</v>
      </c>
    </row>
    <row r="7977" spans="1:33" x14ac:dyDescent="0.25">
      <c r="A7977" t="str">
        <f>"1609142793"</f>
        <v>1609142793</v>
      </c>
      <c r="B7977" t="str">
        <f>"04452131"</f>
        <v>04452131</v>
      </c>
      <c r="C7977" t="s">
        <v>13436</v>
      </c>
      <c r="D7977" t="s">
        <v>34997</v>
      </c>
      <c r="E7977" t="s">
        <v>34998</v>
      </c>
      <c r="L7977" t="s">
        <v>102</v>
      </c>
      <c r="M7977" t="s">
        <v>75</v>
      </c>
      <c r="R7977" t="s">
        <v>34998</v>
      </c>
      <c r="W7977" t="s">
        <v>34999</v>
      </c>
      <c r="AB7977" t="s">
        <v>78</v>
      </c>
      <c r="AC7977" t="s">
        <v>79</v>
      </c>
      <c r="AD7977" t="s">
        <v>75</v>
      </c>
      <c r="AE7977" t="s">
        <v>80</v>
      </c>
      <c r="AG7977" t="s">
        <v>81</v>
      </c>
    </row>
    <row r="7978" spans="1:33" x14ac:dyDescent="0.25">
      <c r="A7978" t="str">
        <f>"1609155423"</f>
        <v>1609155423</v>
      </c>
      <c r="C7978" t="s">
        <v>13436</v>
      </c>
      <c r="G7978" t="s">
        <v>35000</v>
      </c>
      <c r="K7978" t="s">
        <v>99</v>
      </c>
      <c r="L7978" t="s">
        <v>102</v>
      </c>
      <c r="M7978" t="s">
        <v>75</v>
      </c>
      <c r="R7978" t="s">
        <v>35001</v>
      </c>
      <c r="S7978" t="s">
        <v>35002</v>
      </c>
      <c r="T7978" t="s">
        <v>97</v>
      </c>
      <c r="U7978" t="s">
        <v>77</v>
      </c>
      <c r="V7978" t="str">
        <f>"100295204"</f>
        <v>100295204</v>
      </c>
      <c r="AC7978" t="s">
        <v>79</v>
      </c>
      <c r="AD7978" t="s">
        <v>75</v>
      </c>
      <c r="AE7978" t="s">
        <v>103</v>
      </c>
      <c r="AG7978" t="s">
        <v>81</v>
      </c>
    </row>
    <row r="7979" spans="1:33" x14ac:dyDescent="0.25">
      <c r="A7979" t="str">
        <f>"1609156512"</f>
        <v>1609156512</v>
      </c>
      <c r="B7979" t="str">
        <f>"03915602"</f>
        <v>03915602</v>
      </c>
      <c r="C7979" t="s">
        <v>13436</v>
      </c>
      <c r="D7979" t="s">
        <v>35003</v>
      </c>
      <c r="E7979" t="s">
        <v>35004</v>
      </c>
      <c r="G7979" t="s">
        <v>35005</v>
      </c>
      <c r="L7979" t="s">
        <v>84</v>
      </c>
      <c r="M7979" t="s">
        <v>75</v>
      </c>
      <c r="R7979" t="s">
        <v>35004</v>
      </c>
      <c r="W7979" t="s">
        <v>35004</v>
      </c>
      <c r="X7979" t="s">
        <v>272</v>
      </c>
      <c r="Y7979" t="s">
        <v>97</v>
      </c>
      <c r="Z7979" t="s">
        <v>77</v>
      </c>
      <c r="AA7979" t="str">
        <f>"10029-6501"</f>
        <v>10029-6501</v>
      </c>
      <c r="AB7979" t="s">
        <v>78</v>
      </c>
      <c r="AC7979" t="s">
        <v>79</v>
      </c>
      <c r="AD7979" t="s">
        <v>75</v>
      </c>
      <c r="AE7979" t="s">
        <v>80</v>
      </c>
      <c r="AG7979" t="s">
        <v>81</v>
      </c>
    </row>
    <row r="7980" spans="1:33" x14ac:dyDescent="0.25">
      <c r="A7980" t="str">
        <f>"1164858619"</f>
        <v>1164858619</v>
      </c>
      <c r="B7980" t="str">
        <f>"04586389"</f>
        <v>04586389</v>
      </c>
      <c r="C7980" t="s">
        <v>13436</v>
      </c>
      <c r="D7980" t="s">
        <v>35006</v>
      </c>
      <c r="E7980" t="s">
        <v>35007</v>
      </c>
      <c r="L7980" t="s">
        <v>102</v>
      </c>
      <c r="M7980" t="s">
        <v>75</v>
      </c>
      <c r="R7980" t="s">
        <v>35008</v>
      </c>
      <c r="W7980" t="s">
        <v>35007</v>
      </c>
      <c r="AB7980" t="s">
        <v>78</v>
      </c>
      <c r="AC7980" t="s">
        <v>79</v>
      </c>
      <c r="AD7980" t="s">
        <v>75</v>
      </c>
      <c r="AE7980" t="s">
        <v>80</v>
      </c>
      <c r="AG7980" t="s">
        <v>81</v>
      </c>
    </row>
    <row r="7981" spans="1:33" x14ac:dyDescent="0.25">
      <c r="A7981" t="str">
        <f>"1164860896"</f>
        <v>1164860896</v>
      </c>
      <c r="C7981" t="s">
        <v>13436</v>
      </c>
      <c r="K7981" t="s">
        <v>99</v>
      </c>
      <c r="L7981" t="s">
        <v>102</v>
      </c>
      <c r="M7981" t="s">
        <v>75</v>
      </c>
      <c r="R7981" t="s">
        <v>35009</v>
      </c>
      <c r="S7981" t="s">
        <v>35010</v>
      </c>
      <c r="T7981" t="s">
        <v>1783</v>
      </c>
      <c r="U7981" t="s">
        <v>1784</v>
      </c>
      <c r="V7981" t="str">
        <f>"191074414"</f>
        <v>191074414</v>
      </c>
      <c r="AC7981" t="s">
        <v>79</v>
      </c>
      <c r="AD7981" t="s">
        <v>75</v>
      </c>
      <c r="AE7981" t="s">
        <v>103</v>
      </c>
      <c r="AG7981" t="s">
        <v>81</v>
      </c>
    </row>
    <row r="7982" spans="1:33" x14ac:dyDescent="0.25">
      <c r="A7982" t="str">
        <f>"1164864690"</f>
        <v>1164864690</v>
      </c>
      <c r="B7982" t="str">
        <f>"04345355"</f>
        <v>04345355</v>
      </c>
      <c r="C7982" t="s">
        <v>13436</v>
      </c>
      <c r="D7982" t="s">
        <v>35011</v>
      </c>
      <c r="E7982" t="s">
        <v>35012</v>
      </c>
      <c r="G7982" t="s">
        <v>35013</v>
      </c>
      <c r="L7982" t="s">
        <v>102</v>
      </c>
      <c r="M7982" t="s">
        <v>75</v>
      </c>
      <c r="R7982" t="s">
        <v>35012</v>
      </c>
      <c r="W7982" t="s">
        <v>35012</v>
      </c>
      <c r="X7982" t="s">
        <v>329</v>
      </c>
      <c r="Y7982" t="s">
        <v>97</v>
      </c>
      <c r="Z7982" t="s">
        <v>77</v>
      </c>
      <c r="AA7982" t="str">
        <f>"10029-6504"</f>
        <v>10029-6504</v>
      </c>
      <c r="AB7982" t="s">
        <v>78</v>
      </c>
      <c r="AC7982" t="s">
        <v>79</v>
      </c>
      <c r="AD7982" t="s">
        <v>75</v>
      </c>
      <c r="AE7982" t="s">
        <v>80</v>
      </c>
      <c r="AG7982" t="s">
        <v>81</v>
      </c>
    </row>
    <row r="7983" spans="1:33" x14ac:dyDescent="0.25">
      <c r="A7983" t="str">
        <f>"1174511687"</f>
        <v>1174511687</v>
      </c>
      <c r="B7983" t="str">
        <f>"01259874"</f>
        <v>01259874</v>
      </c>
      <c r="C7983" t="s">
        <v>13436</v>
      </c>
      <c r="D7983" t="s">
        <v>35014</v>
      </c>
      <c r="E7983" t="s">
        <v>35015</v>
      </c>
      <c r="G7983" t="s">
        <v>35016</v>
      </c>
      <c r="L7983" t="s">
        <v>74</v>
      </c>
      <c r="M7983" t="s">
        <v>85</v>
      </c>
      <c r="R7983" t="s">
        <v>35017</v>
      </c>
      <c r="W7983" t="s">
        <v>35015</v>
      </c>
      <c r="X7983" t="s">
        <v>263</v>
      </c>
      <c r="Y7983" t="s">
        <v>97</v>
      </c>
      <c r="Z7983" t="s">
        <v>77</v>
      </c>
      <c r="AA7983" t="str">
        <f>"10011-8202"</f>
        <v>10011-8202</v>
      </c>
      <c r="AB7983" t="s">
        <v>78</v>
      </c>
      <c r="AC7983" t="s">
        <v>79</v>
      </c>
      <c r="AD7983" t="s">
        <v>75</v>
      </c>
      <c r="AE7983" t="s">
        <v>80</v>
      </c>
      <c r="AG7983" t="s">
        <v>81</v>
      </c>
    </row>
    <row r="7984" spans="1:33" x14ac:dyDescent="0.25">
      <c r="A7984" t="str">
        <f>"1710140793"</f>
        <v>1710140793</v>
      </c>
      <c r="B7984" t="str">
        <f>"03755108"</f>
        <v>03755108</v>
      </c>
      <c r="C7984" t="s">
        <v>13436</v>
      </c>
      <c r="D7984" t="s">
        <v>35018</v>
      </c>
      <c r="E7984" t="s">
        <v>35019</v>
      </c>
      <c r="G7984" t="s">
        <v>35020</v>
      </c>
      <c r="L7984" t="s">
        <v>74</v>
      </c>
      <c r="M7984" t="s">
        <v>75</v>
      </c>
      <c r="R7984" t="s">
        <v>35021</v>
      </c>
      <c r="W7984" t="s">
        <v>35019</v>
      </c>
      <c r="X7984" t="s">
        <v>4029</v>
      </c>
      <c r="Y7984" t="s">
        <v>97</v>
      </c>
      <c r="Z7984" t="s">
        <v>77</v>
      </c>
      <c r="AA7984" t="str">
        <f>"10029-6503"</f>
        <v>10029-6503</v>
      </c>
      <c r="AB7984" t="s">
        <v>78</v>
      </c>
      <c r="AC7984" t="s">
        <v>79</v>
      </c>
      <c r="AD7984" t="s">
        <v>75</v>
      </c>
      <c r="AE7984" t="s">
        <v>80</v>
      </c>
      <c r="AG7984" t="s">
        <v>81</v>
      </c>
    </row>
    <row r="7985" spans="1:33" x14ac:dyDescent="0.25">
      <c r="A7985" t="str">
        <f>"1710144910"</f>
        <v>1710144910</v>
      </c>
      <c r="B7985" t="str">
        <f>"03032482"</f>
        <v>03032482</v>
      </c>
      <c r="C7985" t="s">
        <v>13436</v>
      </c>
      <c r="D7985" t="s">
        <v>35022</v>
      </c>
      <c r="E7985" t="s">
        <v>35023</v>
      </c>
      <c r="G7985" t="s">
        <v>35024</v>
      </c>
      <c r="L7985" t="s">
        <v>74</v>
      </c>
      <c r="M7985" t="s">
        <v>75</v>
      </c>
      <c r="R7985" t="s">
        <v>35025</v>
      </c>
      <c r="W7985" t="s">
        <v>35023</v>
      </c>
      <c r="X7985" t="s">
        <v>11436</v>
      </c>
      <c r="Y7985" t="s">
        <v>97</v>
      </c>
      <c r="Z7985" t="s">
        <v>77</v>
      </c>
      <c r="AA7985" t="str">
        <f>"10029-0000"</f>
        <v>10029-0000</v>
      </c>
      <c r="AB7985" t="s">
        <v>78</v>
      </c>
      <c r="AC7985" t="s">
        <v>79</v>
      </c>
      <c r="AD7985" t="s">
        <v>75</v>
      </c>
      <c r="AE7985" t="s">
        <v>80</v>
      </c>
      <c r="AG7985" t="s">
        <v>81</v>
      </c>
    </row>
    <row r="7986" spans="1:33" x14ac:dyDescent="0.25">
      <c r="A7986" t="str">
        <f>"1710152053"</f>
        <v>1710152053</v>
      </c>
      <c r="B7986" t="str">
        <f>"04277836"</f>
        <v>04277836</v>
      </c>
      <c r="C7986" t="s">
        <v>13436</v>
      </c>
      <c r="D7986" t="s">
        <v>35026</v>
      </c>
      <c r="E7986" t="s">
        <v>35027</v>
      </c>
      <c r="G7986" t="s">
        <v>35028</v>
      </c>
      <c r="L7986" t="s">
        <v>102</v>
      </c>
      <c r="M7986" t="s">
        <v>75</v>
      </c>
      <c r="R7986" t="s">
        <v>35029</v>
      </c>
      <c r="W7986" t="s">
        <v>35030</v>
      </c>
      <c r="X7986" t="s">
        <v>11181</v>
      </c>
      <c r="Y7986" t="s">
        <v>97</v>
      </c>
      <c r="Z7986" t="s">
        <v>77</v>
      </c>
      <c r="AA7986" t="str">
        <f>"10029-6504"</f>
        <v>10029-6504</v>
      </c>
      <c r="AB7986" t="s">
        <v>78</v>
      </c>
      <c r="AC7986" t="s">
        <v>79</v>
      </c>
      <c r="AD7986" t="s">
        <v>75</v>
      </c>
      <c r="AE7986" t="s">
        <v>80</v>
      </c>
      <c r="AG7986" t="s">
        <v>81</v>
      </c>
    </row>
    <row r="7987" spans="1:33" x14ac:dyDescent="0.25">
      <c r="A7987" t="str">
        <f>"1710153457"</f>
        <v>1710153457</v>
      </c>
      <c r="B7987" t="str">
        <f>"04574347"</f>
        <v>04574347</v>
      </c>
      <c r="C7987" t="s">
        <v>13436</v>
      </c>
      <c r="D7987" t="s">
        <v>35031</v>
      </c>
      <c r="E7987" t="s">
        <v>35032</v>
      </c>
      <c r="L7987" t="s">
        <v>102</v>
      </c>
      <c r="M7987" t="s">
        <v>75</v>
      </c>
      <c r="R7987" t="s">
        <v>35032</v>
      </c>
      <c r="W7987" t="s">
        <v>35032</v>
      </c>
      <c r="AB7987" t="s">
        <v>78</v>
      </c>
      <c r="AC7987" t="s">
        <v>79</v>
      </c>
      <c r="AD7987" t="s">
        <v>75</v>
      </c>
      <c r="AE7987" t="s">
        <v>80</v>
      </c>
      <c r="AG7987" t="s">
        <v>81</v>
      </c>
    </row>
    <row r="7988" spans="1:33" x14ac:dyDescent="0.25">
      <c r="A7988" t="str">
        <f>"1710185624"</f>
        <v>1710185624</v>
      </c>
      <c r="C7988" t="s">
        <v>13436</v>
      </c>
      <c r="K7988" t="s">
        <v>99</v>
      </c>
      <c r="L7988" t="s">
        <v>102</v>
      </c>
      <c r="M7988" t="s">
        <v>75</v>
      </c>
      <c r="R7988" t="s">
        <v>35033</v>
      </c>
      <c r="S7988" t="s">
        <v>35034</v>
      </c>
      <c r="T7988" t="s">
        <v>988</v>
      </c>
      <c r="U7988" t="s">
        <v>290</v>
      </c>
      <c r="V7988" t="str">
        <f>"631101010"</f>
        <v>631101010</v>
      </c>
      <c r="AC7988" t="s">
        <v>79</v>
      </c>
      <c r="AD7988" t="s">
        <v>75</v>
      </c>
      <c r="AE7988" t="s">
        <v>103</v>
      </c>
      <c r="AG7988" t="s">
        <v>81</v>
      </c>
    </row>
    <row r="7989" spans="1:33" x14ac:dyDescent="0.25">
      <c r="A7989" t="str">
        <f>"1710185772"</f>
        <v>1710185772</v>
      </c>
      <c r="B7989" t="str">
        <f>"04367960"</f>
        <v>04367960</v>
      </c>
      <c r="C7989" t="s">
        <v>13436</v>
      </c>
      <c r="D7989" t="s">
        <v>35035</v>
      </c>
      <c r="E7989" t="s">
        <v>35036</v>
      </c>
      <c r="G7989" t="s">
        <v>35037</v>
      </c>
      <c r="L7989" t="s">
        <v>74</v>
      </c>
      <c r="M7989" t="s">
        <v>75</v>
      </c>
      <c r="R7989" t="s">
        <v>35038</v>
      </c>
      <c r="W7989" t="s">
        <v>35036</v>
      </c>
      <c r="X7989" t="s">
        <v>35039</v>
      </c>
      <c r="Y7989" t="s">
        <v>97</v>
      </c>
      <c r="Z7989" t="s">
        <v>77</v>
      </c>
      <c r="AA7989" t="str">
        <f>"10029-6932"</f>
        <v>10029-6932</v>
      </c>
      <c r="AB7989" t="s">
        <v>78</v>
      </c>
      <c r="AC7989" t="s">
        <v>79</v>
      </c>
      <c r="AD7989" t="s">
        <v>75</v>
      </c>
      <c r="AE7989" t="s">
        <v>80</v>
      </c>
      <c r="AG7989" t="s">
        <v>81</v>
      </c>
    </row>
    <row r="7990" spans="1:33" x14ac:dyDescent="0.25">
      <c r="A7990" t="str">
        <f>"1710199161"</f>
        <v>1710199161</v>
      </c>
      <c r="B7990" t="str">
        <f>"03559428"</f>
        <v>03559428</v>
      </c>
      <c r="C7990" t="s">
        <v>13436</v>
      </c>
      <c r="D7990" t="s">
        <v>35040</v>
      </c>
      <c r="E7990" t="s">
        <v>35041</v>
      </c>
      <c r="G7990" t="s">
        <v>35042</v>
      </c>
      <c r="L7990" t="s">
        <v>83</v>
      </c>
      <c r="M7990" t="s">
        <v>85</v>
      </c>
      <c r="R7990" t="s">
        <v>35043</v>
      </c>
      <c r="W7990" t="s">
        <v>35041</v>
      </c>
      <c r="X7990" t="s">
        <v>35044</v>
      </c>
      <c r="Y7990" t="s">
        <v>97</v>
      </c>
      <c r="Z7990" t="s">
        <v>77</v>
      </c>
      <c r="AA7990" t="str">
        <f>"10029-6500"</f>
        <v>10029-6500</v>
      </c>
      <c r="AB7990" t="s">
        <v>78</v>
      </c>
      <c r="AC7990" t="s">
        <v>79</v>
      </c>
      <c r="AD7990" t="s">
        <v>75</v>
      </c>
      <c r="AE7990" t="s">
        <v>80</v>
      </c>
      <c r="AG7990" t="s">
        <v>81</v>
      </c>
    </row>
    <row r="7991" spans="1:33" x14ac:dyDescent="0.25">
      <c r="A7991" t="str">
        <f>"1124345392"</f>
        <v>1124345392</v>
      </c>
      <c r="B7991" t="str">
        <f>"03709042"</f>
        <v>03709042</v>
      </c>
      <c r="C7991" t="s">
        <v>35045</v>
      </c>
      <c r="D7991" t="s">
        <v>35046</v>
      </c>
      <c r="E7991" t="s">
        <v>35047</v>
      </c>
      <c r="G7991" t="s">
        <v>35048</v>
      </c>
      <c r="H7991" t="s">
        <v>35049</v>
      </c>
      <c r="J7991" t="s">
        <v>35050</v>
      </c>
      <c r="L7991" t="s">
        <v>83</v>
      </c>
      <c r="M7991" t="s">
        <v>75</v>
      </c>
      <c r="R7991" t="s">
        <v>35051</v>
      </c>
      <c r="W7991" t="s">
        <v>35047</v>
      </c>
      <c r="X7991" t="s">
        <v>2582</v>
      </c>
      <c r="Y7991" t="s">
        <v>97</v>
      </c>
      <c r="Z7991" t="s">
        <v>77</v>
      </c>
      <c r="AA7991" t="str">
        <f>"10012-2413"</f>
        <v>10012-2413</v>
      </c>
      <c r="AB7991" t="s">
        <v>78</v>
      </c>
      <c r="AC7991" t="s">
        <v>79</v>
      </c>
      <c r="AD7991" t="s">
        <v>75</v>
      </c>
      <c r="AE7991" t="s">
        <v>80</v>
      </c>
      <c r="AG7991" t="s">
        <v>81</v>
      </c>
    </row>
    <row r="7992" spans="1:33" x14ac:dyDescent="0.25">
      <c r="A7992" t="str">
        <f>"1851458921"</f>
        <v>1851458921</v>
      </c>
      <c r="B7992" t="str">
        <f>"03382276"</f>
        <v>03382276</v>
      </c>
      <c r="C7992" t="s">
        <v>35052</v>
      </c>
      <c r="D7992" t="s">
        <v>35053</v>
      </c>
      <c r="E7992" t="s">
        <v>35054</v>
      </c>
      <c r="G7992" t="s">
        <v>35048</v>
      </c>
      <c r="H7992" t="s">
        <v>35049</v>
      </c>
      <c r="J7992" t="s">
        <v>35050</v>
      </c>
      <c r="L7992" t="s">
        <v>83</v>
      </c>
      <c r="M7992" t="s">
        <v>85</v>
      </c>
      <c r="R7992" t="s">
        <v>35055</v>
      </c>
      <c r="W7992" t="s">
        <v>35054</v>
      </c>
      <c r="X7992" t="s">
        <v>2582</v>
      </c>
      <c r="Y7992" t="s">
        <v>97</v>
      </c>
      <c r="Z7992" t="s">
        <v>77</v>
      </c>
      <c r="AA7992" t="str">
        <f>"10012-2413"</f>
        <v>10012-2413</v>
      </c>
      <c r="AB7992" t="s">
        <v>78</v>
      </c>
      <c r="AC7992" t="s">
        <v>79</v>
      </c>
      <c r="AD7992" t="s">
        <v>75</v>
      </c>
      <c r="AE7992" t="s">
        <v>80</v>
      </c>
      <c r="AG7992" t="s">
        <v>81</v>
      </c>
    </row>
    <row r="7993" spans="1:33" x14ac:dyDescent="0.25">
      <c r="A7993" t="str">
        <f>"1639286248"</f>
        <v>1639286248</v>
      </c>
      <c r="B7993" t="str">
        <f>"02127879"</f>
        <v>02127879</v>
      </c>
      <c r="C7993" t="s">
        <v>13436</v>
      </c>
      <c r="D7993" t="s">
        <v>35056</v>
      </c>
      <c r="E7993" t="s">
        <v>35057</v>
      </c>
      <c r="G7993" t="s">
        <v>35058</v>
      </c>
      <c r="L7993" t="s">
        <v>84</v>
      </c>
      <c r="M7993" t="s">
        <v>75</v>
      </c>
      <c r="R7993" t="s">
        <v>35059</v>
      </c>
      <c r="W7993" t="s">
        <v>35057</v>
      </c>
      <c r="X7993" t="s">
        <v>11176</v>
      </c>
      <c r="Y7993" t="s">
        <v>97</v>
      </c>
      <c r="Z7993" t="s">
        <v>77</v>
      </c>
      <c r="AA7993" t="str">
        <f>"10029-6542"</f>
        <v>10029-6542</v>
      </c>
      <c r="AB7993" t="s">
        <v>78</v>
      </c>
      <c r="AC7993" t="s">
        <v>79</v>
      </c>
      <c r="AD7993" t="s">
        <v>75</v>
      </c>
      <c r="AE7993" t="s">
        <v>80</v>
      </c>
      <c r="AG7993" t="s">
        <v>81</v>
      </c>
    </row>
    <row r="7994" spans="1:33" x14ac:dyDescent="0.25">
      <c r="A7994" t="str">
        <f>"1255741435"</f>
        <v>1255741435</v>
      </c>
      <c r="C7994" t="s">
        <v>13436</v>
      </c>
      <c r="K7994" t="s">
        <v>99</v>
      </c>
      <c r="L7994" t="s">
        <v>102</v>
      </c>
      <c r="M7994" t="s">
        <v>75</v>
      </c>
      <c r="R7994" t="s">
        <v>35060</v>
      </c>
      <c r="S7994" t="s">
        <v>35061</v>
      </c>
      <c r="T7994" t="s">
        <v>5294</v>
      </c>
      <c r="U7994" t="s">
        <v>156</v>
      </c>
      <c r="V7994" t="str">
        <f>"088201468"</f>
        <v>088201468</v>
      </c>
      <c r="AC7994" t="s">
        <v>79</v>
      </c>
      <c r="AD7994" t="s">
        <v>75</v>
      </c>
      <c r="AE7994" t="s">
        <v>103</v>
      </c>
      <c r="AG7994" t="s">
        <v>81</v>
      </c>
    </row>
    <row r="7995" spans="1:33" x14ac:dyDescent="0.25">
      <c r="A7995" t="str">
        <f>"1326133737"</f>
        <v>1326133737</v>
      </c>
      <c r="B7995" t="str">
        <f>"02744961"</f>
        <v>02744961</v>
      </c>
      <c r="C7995" t="s">
        <v>13436</v>
      </c>
      <c r="D7995" t="s">
        <v>35062</v>
      </c>
      <c r="E7995" t="s">
        <v>35063</v>
      </c>
      <c r="G7995" t="s">
        <v>35064</v>
      </c>
      <c r="L7995" t="s">
        <v>84</v>
      </c>
      <c r="M7995" t="s">
        <v>85</v>
      </c>
      <c r="R7995" t="s">
        <v>35065</v>
      </c>
      <c r="W7995" t="s">
        <v>35066</v>
      </c>
      <c r="X7995" t="s">
        <v>329</v>
      </c>
      <c r="Y7995" t="s">
        <v>97</v>
      </c>
      <c r="Z7995" t="s">
        <v>77</v>
      </c>
      <c r="AA7995" t="str">
        <f>"10029-6504"</f>
        <v>10029-6504</v>
      </c>
      <c r="AB7995" t="s">
        <v>78</v>
      </c>
      <c r="AC7995" t="s">
        <v>79</v>
      </c>
      <c r="AD7995" t="s">
        <v>75</v>
      </c>
      <c r="AE7995" t="s">
        <v>80</v>
      </c>
      <c r="AG7995" t="s">
        <v>81</v>
      </c>
    </row>
    <row r="7996" spans="1:33" x14ac:dyDescent="0.25">
      <c r="A7996" t="str">
        <f>"1326151457"</f>
        <v>1326151457</v>
      </c>
      <c r="B7996" t="str">
        <f>"02502101"</f>
        <v>02502101</v>
      </c>
      <c r="C7996" t="s">
        <v>13436</v>
      </c>
      <c r="D7996" t="s">
        <v>35067</v>
      </c>
      <c r="E7996" t="s">
        <v>35068</v>
      </c>
      <c r="G7996" t="s">
        <v>35069</v>
      </c>
      <c r="L7996" t="s">
        <v>83</v>
      </c>
      <c r="M7996" t="s">
        <v>85</v>
      </c>
      <c r="R7996" t="s">
        <v>35070</v>
      </c>
      <c r="W7996" t="s">
        <v>35068</v>
      </c>
      <c r="X7996" t="s">
        <v>11945</v>
      </c>
      <c r="Y7996" t="s">
        <v>2128</v>
      </c>
      <c r="Z7996" t="s">
        <v>77</v>
      </c>
      <c r="AA7996" t="str">
        <f>"11743-2779"</f>
        <v>11743-2779</v>
      </c>
      <c r="AB7996" t="s">
        <v>78</v>
      </c>
      <c r="AC7996" t="s">
        <v>79</v>
      </c>
      <c r="AD7996" t="s">
        <v>75</v>
      </c>
      <c r="AE7996" t="s">
        <v>80</v>
      </c>
      <c r="AG7996" t="s">
        <v>81</v>
      </c>
    </row>
    <row r="7997" spans="1:33" x14ac:dyDescent="0.25">
      <c r="A7997" t="str">
        <f>"1659558492"</f>
        <v>1659558492</v>
      </c>
      <c r="B7997" t="str">
        <f>"02959511"</f>
        <v>02959511</v>
      </c>
      <c r="C7997" t="s">
        <v>13436</v>
      </c>
      <c r="D7997" t="s">
        <v>35071</v>
      </c>
      <c r="E7997" t="s">
        <v>35072</v>
      </c>
      <c r="L7997" t="s">
        <v>84</v>
      </c>
      <c r="M7997" t="s">
        <v>85</v>
      </c>
      <c r="R7997" t="s">
        <v>35073</v>
      </c>
      <c r="W7997" t="s">
        <v>35074</v>
      </c>
      <c r="X7997" t="s">
        <v>602</v>
      </c>
      <c r="Y7997" t="s">
        <v>97</v>
      </c>
      <c r="Z7997" t="s">
        <v>77</v>
      </c>
      <c r="AA7997" t="str">
        <f>"10038-2612"</f>
        <v>10038-2612</v>
      </c>
      <c r="AB7997" t="s">
        <v>78</v>
      </c>
      <c r="AC7997" t="s">
        <v>79</v>
      </c>
      <c r="AD7997" t="s">
        <v>75</v>
      </c>
      <c r="AE7997" t="s">
        <v>80</v>
      </c>
      <c r="AG7997" t="s">
        <v>81</v>
      </c>
    </row>
    <row r="7998" spans="1:33" x14ac:dyDescent="0.25">
      <c r="A7998" t="str">
        <f>"1659559813"</f>
        <v>1659559813</v>
      </c>
      <c r="B7998" t="str">
        <f>"03745177"</f>
        <v>03745177</v>
      </c>
      <c r="C7998" t="s">
        <v>13436</v>
      </c>
      <c r="D7998" t="s">
        <v>6025</v>
      </c>
      <c r="E7998" t="s">
        <v>6026</v>
      </c>
      <c r="G7998" t="s">
        <v>35075</v>
      </c>
      <c r="L7998" t="s">
        <v>74</v>
      </c>
      <c r="M7998" t="s">
        <v>75</v>
      </c>
      <c r="R7998" t="s">
        <v>6027</v>
      </c>
      <c r="W7998" t="s">
        <v>6026</v>
      </c>
      <c r="X7998" t="s">
        <v>329</v>
      </c>
      <c r="Y7998" t="s">
        <v>97</v>
      </c>
      <c r="Z7998" t="s">
        <v>77</v>
      </c>
      <c r="AA7998" t="str">
        <f>"10029-6504"</f>
        <v>10029-6504</v>
      </c>
      <c r="AB7998" t="s">
        <v>78</v>
      </c>
      <c r="AC7998" t="s">
        <v>79</v>
      </c>
      <c r="AD7998" t="s">
        <v>75</v>
      </c>
      <c r="AE7998" t="s">
        <v>80</v>
      </c>
      <c r="AG7998" t="s">
        <v>81</v>
      </c>
    </row>
    <row r="7999" spans="1:33" x14ac:dyDescent="0.25">
      <c r="A7999" t="str">
        <f>"1659599454"</f>
        <v>1659599454</v>
      </c>
      <c r="B7999" t="str">
        <f>"02127782"</f>
        <v>02127782</v>
      </c>
      <c r="C7999" t="s">
        <v>13436</v>
      </c>
      <c r="D7999" t="s">
        <v>35076</v>
      </c>
      <c r="E7999" t="s">
        <v>35077</v>
      </c>
      <c r="G7999" t="s">
        <v>35078</v>
      </c>
      <c r="L7999" t="s">
        <v>94</v>
      </c>
      <c r="M7999" t="s">
        <v>85</v>
      </c>
      <c r="R7999" t="s">
        <v>35077</v>
      </c>
      <c r="W7999" t="s">
        <v>35077</v>
      </c>
      <c r="X7999" t="s">
        <v>329</v>
      </c>
      <c r="Y7999" t="s">
        <v>97</v>
      </c>
      <c r="Z7999" t="s">
        <v>77</v>
      </c>
      <c r="AA7999" t="str">
        <f>"10029-6500"</f>
        <v>10029-6500</v>
      </c>
      <c r="AB7999" t="s">
        <v>78</v>
      </c>
      <c r="AC7999" t="s">
        <v>79</v>
      </c>
      <c r="AD7999" t="s">
        <v>75</v>
      </c>
      <c r="AE7999" t="s">
        <v>80</v>
      </c>
      <c r="AG7999" t="s">
        <v>81</v>
      </c>
    </row>
    <row r="8000" spans="1:33" x14ac:dyDescent="0.25">
      <c r="A8000" t="str">
        <f>"1659603553"</f>
        <v>1659603553</v>
      </c>
      <c r="B8000" t="str">
        <f>"03808353"</f>
        <v>03808353</v>
      </c>
      <c r="C8000" t="s">
        <v>13436</v>
      </c>
      <c r="D8000" t="s">
        <v>35079</v>
      </c>
      <c r="E8000" t="s">
        <v>35080</v>
      </c>
      <c r="G8000" t="s">
        <v>35081</v>
      </c>
      <c r="L8000" t="s">
        <v>74</v>
      </c>
      <c r="M8000" t="s">
        <v>75</v>
      </c>
      <c r="R8000" t="s">
        <v>35082</v>
      </c>
      <c r="W8000" t="s">
        <v>35080</v>
      </c>
      <c r="X8000" t="s">
        <v>442</v>
      </c>
      <c r="Y8000" t="s">
        <v>97</v>
      </c>
      <c r="Z8000" t="s">
        <v>77</v>
      </c>
      <c r="AA8000" t="str">
        <f>"10065-6007"</f>
        <v>10065-6007</v>
      </c>
      <c r="AB8000" t="s">
        <v>78</v>
      </c>
      <c r="AC8000" t="s">
        <v>79</v>
      </c>
      <c r="AD8000" t="s">
        <v>75</v>
      </c>
      <c r="AE8000" t="s">
        <v>80</v>
      </c>
      <c r="AG8000" t="s">
        <v>81</v>
      </c>
    </row>
    <row r="8001" spans="1:33" x14ac:dyDescent="0.25">
      <c r="A8001" t="str">
        <f>"1659613347"</f>
        <v>1659613347</v>
      </c>
      <c r="B8001" t="str">
        <f>"04519706"</f>
        <v>04519706</v>
      </c>
      <c r="C8001" t="s">
        <v>13436</v>
      </c>
      <c r="D8001" t="s">
        <v>35083</v>
      </c>
      <c r="E8001" t="s">
        <v>35084</v>
      </c>
      <c r="L8001" t="s">
        <v>74</v>
      </c>
      <c r="M8001" t="s">
        <v>75</v>
      </c>
      <c r="R8001" t="s">
        <v>35085</v>
      </c>
      <c r="W8001" t="s">
        <v>35084</v>
      </c>
      <c r="AB8001" t="s">
        <v>78</v>
      </c>
      <c r="AC8001" t="s">
        <v>79</v>
      </c>
      <c r="AD8001" t="s">
        <v>75</v>
      </c>
      <c r="AE8001" t="s">
        <v>80</v>
      </c>
      <c r="AG8001" t="s">
        <v>81</v>
      </c>
    </row>
    <row r="8002" spans="1:33" x14ac:dyDescent="0.25">
      <c r="A8002" t="str">
        <f>"1659613461"</f>
        <v>1659613461</v>
      </c>
      <c r="C8002" t="s">
        <v>13436</v>
      </c>
      <c r="K8002" t="s">
        <v>99</v>
      </c>
      <c r="L8002" t="s">
        <v>102</v>
      </c>
      <c r="M8002" t="s">
        <v>75</v>
      </c>
      <c r="R8002" t="s">
        <v>35086</v>
      </c>
      <c r="S8002" t="s">
        <v>11975</v>
      </c>
      <c r="T8002" t="s">
        <v>97</v>
      </c>
      <c r="U8002" t="s">
        <v>77</v>
      </c>
      <c r="V8002" t="str">
        <f>"11029"</f>
        <v>11029</v>
      </c>
      <c r="AC8002" t="s">
        <v>79</v>
      </c>
      <c r="AD8002" t="s">
        <v>75</v>
      </c>
      <c r="AE8002" t="s">
        <v>103</v>
      </c>
      <c r="AG8002" t="s">
        <v>81</v>
      </c>
    </row>
    <row r="8003" spans="1:33" x14ac:dyDescent="0.25">
      <c r="A8003" t="str">
        <f>"1659613511"</f>
        <v>1659613511</v>
      </c>
      <c r="C8003" t="s">
        <v>13436</v>
      </c>
      <c r="K8003" t="s">
        <v>99</v>
      </c>
      <c r="L8003" t="s">
        <v>102</v>
      </c>
      <c r="M8003" t="s">
        <v>75</v>
      </c>
      <c r="R8003" t="s">
        <v>35087</v>
      </c>
      <c r="S8003" t="s">
        <v>35088</v>
      </c>
      <c r="T8003" t="s">
        <v>2669</v>
      </c>
      <c r="U8003" t="s">
        <v>1214</v>
      </c>
      <c r="V8003" t="str">
        <f>"277055715"</f>
        <v>277055715</v>
      </c>
      <c r="AC8003" t="s">
        <v>79</v>
      </c>
      <c r="AD8003" t="s">
        <v>75</v>
      </c>
      <c r="AE8003" t="s">
        <v>103</v>
      </c>
      <c r="AG8003" t="s">
        <v>81</v>
      </c>
    </row>
    <row r="8004" spans="1:33" x14ac:dyDescent="0.25">
      <c r="A8004" t="str">
        <f>"1609163708"</f>
        <v>1609163708</v>
      </c>
      <c r="C8004" t="s">
        <v>13436</v>
      </c>
      <c r="K8004" t="s">
        <v>99</v>
      </c>
      <c r="L8004" t="s">
        <v>102</v>
      </c>
      <c r="M8004" t="s">
        <v>75</v>
      </c>
      <c r="R8004" t="s">
        <v>35089</v>
      </c>
      <c r="S8004" t="s">
        <v>35090</v>
      </c>
      <c r="T8004" t="s">
        <v>131</v>
      </c>
      <c r="U8004" t="s">
        <v>77</v>
      </c>
      <c r="V8004" t="str">
        <f>"104672412"</f>
        <v>104672412</v>
      </c>
      <c r="AC8004" t="s">
        <v>79</v>
      </c>
      <c r="AD8004" t="s">
        <v>75</v>
      </c>
      <c r="AE8004" t="s">
        <v>103</v>
      </c>
      <c r="AG8004" t="s">
        <v>81</v>
      </c>
    </row>
    <row r="8005" spans="1:33" x14ac:dyDescent="0.25">
      <c r="A8005" t="str">
        <f>"1326468489"</f>
        <v>1326468489</v>
      </c>
      <c r="C8005" t="s">
        <v>13436</v>
      </c>
      <c r="K8005" t="s">
        <v>99</v>
      </c>
      <c r="L8005" t="s">
        <v>102</v>
      </c>
      <c r="M8005" t="s">
        <v>75</v>
      </c>
      <c r="R8005" t="s">
        <v>35091</v>
      </c>
      <c r="S8005" t="s">
        <v>35092</v>
      </c>
      <c r="T8005" t="s">
        <v>97</v>
      </c>
      <c r="U8005" t="s">
        <v>77</v>
      </c>
      <c r="V8005" t="str">
        <f>"100215266"</f>
        <v>100215266</v>
      </c>
      <c r="AC8005" t="s">
        <v>79</v>
      </c>
      <c r="AD8005" t="s">
        <v>75</v>
      </c>
      <c r="AE8005" t="s">
        <v>103</v>
      </c>
      <c r="AG8005" t="s">
        <v>81</v>
      </c>
    </row>
    <row r="8006" spans="1:33" x14ac:dyDescent="0.25">
      <c r="A8006" t="str">
        <f>"1487733804"</f>
        <v>1487733804</v>
      </c>
      <c r="B8006" t="str">
        <f>"01850462"</f>
        <v>01850462</v>
      </c>
      <c r="C8006" t="s">
        <v>13436</v>
      </c>
      <c r="D8006" t="s">
        <v>35093</v>
      </c>
      <c r="E8006" t="s">
        <v>35094</v>
      </c>
      <c r="G8006" t="s">
        <v>35095</v>
      </c>
      <c r="L8006" t="s">
        <v>102</v>
      </c>
      <c r="M8006" t="s">
        <v>75</v>
      </c>
      <c r="R8006" t="s">
        <v>35096</v>
      </c>
      <c r="W8006" t="s">
        <v>35097</v>
      </c>
      <c r="X8006" t="s">
        <v>14063</v>
      </c>
      <c r="Y8006" t="s">
        <v>97</v>
      </c>
      <c r="Z8006" t="s">
        <v>77</v>
      </c>
      <c r="AA8006" t="str">
        <f>"10029-6574"</f>
        <v>10029-6574</v>
      </c>
      <c r="AB8006" t="s">
        <v>78</v>
      </c>
      <c r="AC8006" t="s">
        <v>79</v>
      </c>
      <c r="AD8006" t="s">
        <v>75</v>
      </c>
      <c r="AE8006" t="s">
        <v>80</v>
      </c>
      <c r="AG8006" t="s">
        <v>81</v>
      </c>
    </row>
    <row r="8007" spans="1:33" x14ac:dyDescent="0.25">
      <c r="A8007" t="str">
        <f>"1285929901"</f>
        <v>1285929901</v>
      </c>
      <c r="B8007" t="str">
        <f>"04427029"</f>
        <v>04427029</v>
      </c>
      <c r="C8007" t="s">
        <v>13436</v>
      </c>
      <c r="D8007" t="s">
        <v>35098</v>
      </c>
      <c r="E8007" t="s">
        <v>35099</v>
      </c>
      <c r="L8007" t="s">
        <v>102</v>
      </c>
      <c r="M8007" t="s">
        <v>75</v>
      </c>
      <c r="R8007" t="s">
        <v>35100</v>
      </c>
      <c r="W8007" t="s">
        <v>35099</v>
      </c>
      <c r="X8007" t="s">
        <v>267</v>
      </c>
      <c r="Y8007" t="s">
        <v>91</v>
      </c>
      <c r="Z8007" t="s">
        <v>77</v>
      </c>
      <c r="AA8007" t="str">
        <f>"11373-1329"</f>
        <v>11373-1329</v>
      </c>
      <c r="AB8007" t="s">
        <v>78</v>
      </c>
      <c r="AC8007" t="s">
        <v>79</v>
      </c>
      <c r="AD8007" t="s">
        <v>75</v>
      </c>
      <c r="AE8007" t="s">
        <v>80</v>
      </c>
      <c r="AG8007" t="s">
        <v>81</v>
      </c>
    </row>
    <row r="8008" spans="1:33" x14ac:dyDescent="0.25">
      <c r="A8008" t="str">
        <f>"1285933390"</f>
        <v>1285933390</v>
      </c>
      <c r="B8008" t="str">
        <f>"03829343"</f>
        <v>03829343</v>
      </c>
      <c r="C8008" t="s">
        <v>13436</v>
      </c>
      <c r="D8008" t="s">
        <v>35101</v>
      </c>
      <c r="E8008" t="s">
        <v>35102</v>
      </c>
      <c r="L8008" t="s">
        <v>74</v>
      </c>
      <c r="M8008" t="s">
        <v>75</v>
      </c>
      <c r="R8008" t="s">
        <v>35102</v>
      </c>
      <c r="W8008" t="s">
        <v>35102</v>
      </c>
      <c r="X8008" t="s">
        <v>35103</v>
      </c>
      <c r="Y8008" t="s">
        <v>97</v>
      </c>
      <c r="Z8008" t="s">
        <v>77</v>
      </c>
      <c r="AA8008" t="str">
        <f>"10013-5575"</f>
        <v>10013-5575</v>
      </c>
      <c r="AB8008" t="s">
        <v>82</v>
      </c>
      <c r="AC8008" t="s">
        <v>79</v>
      </c>
      <c r="AD8008" t="s">
        <v>75</v>
      </c>
      <c r="AE8008" t="s">
        <v>80</v>
      </c>
      <c r="AG8008" t="s">
        <v>81</v>
      </c>
    </row>
    <row r="8009" spans="1:33" x14ac:dyDescent="0.25">
      <c r="A8009" t="str">
        <f>"1285933630"</f>
        <v>1285933630</v>
      </c>
      <c r="B8009" t="str">
        <f>"04270953"</f>
        <v>04270953</v>
      </c>
      <c r="C8009" t="s">
        <v>13436</v>
      </c>
      <c r="D8009" t="s">
        <v>35104</v>
      </c>
      <c r="E8009" t="s">
        <v>35105</v>
      </c>
      <c r="L8009" t="s">
        <v>83</v>
      </c>
      <c r="M8009" t="s">
        <v>75</v>
      </c>
      <c r="R8009" t="s">
        <v>35106</v>
      </c>
      <c r="W8009" t="s">
        <v>35105</v>
      </c>
      <c r="X8009" t="s">
        <v>35107</v>
      </c>
      <c r="Y8009" t="s">
        <v>240</v>
      </c>
      <c r="Z8009" t="s">
        <v>77</v>
      </c>
      <c r="AA8009" t="str">
        <f>"11530-4803"</f>
        <v>11530-4803</v>
      </c>
      <c r="AB8009" t="s">
        <v>78</v>
      </c>
      <c r="AC8009" t="s">
        <v>79</v>
      </c>
      <c r="AD8009" t="s">
        <v>75</v>
      </c>
      <c r="AE8009" t="s">
        <v>80</v>
      </c>
      <c r="AG8009" t="s">
        <v>81</v>
      </c>
    </row>
    <row r="8010" spans="1:33" x14ac:dyDescent="0.25">
      <c r="A8010" t="str">
        <f>"1225301245"</f>
        <v>1225301245</v>
      </c>
      <c r="B8010" t="str">
        <f>"03751306"</f>
        <v>03751306</v>
      </c>
      <c r="C8010" t="s">
        <v>13436</v>
      </c>
      <c r="D8010" t="s">
        <v>35108</v>
      </c>
      <c r="E8010" t="s">
        <v>35109</v>
      </c>
      <c r="G8010" t="s">
        <v>35110</v>
      </c>
      <c r="L8010" t="s">
        <v>84</v>
      </c>
      <c r="M8010" t="s">
        <v>85</v>
      </c>
      <c r="R8010" t="s">
        <v>35111</v>
      </c>
      <c r="W8010" t="s">
        <v>35112</v>
      </c>
      <c r="X8010" t="s">
        <v>27352</v>
      </c>
      <c r="Y8010" t="s">
        <v>160</v>
      </c>
      <c r="Z8010" t="s">
        <v>77</v>
      </c>
      <c r="AA8010" t="str">
        <f>"11030-3008"</f>
        <v>11030-3008</v>
      </c>
      <c r="AB8010" t="s">
        <v>78</v>
      </c>
      <c r="AC8010" t="s">
        <v>79</v>
      </c>
      <c r="AD8010" t="s">
        <v>75</v>
      </c>
      <c r="AE8010" t="s">
        <v>80</v>
      </c>
      <c r="AG8010" t="s">
        <v>81</v>
      </c>
    </row>
    <row r="8011" spans="1:33" x14ac:dyDescent="0.25">
      <c r="A8011" t="str">
        <f>"1225316847"</f>
        <v>1225316847</v>
      </c>
      <c r="C8011" t="s">
        <v>13436</v>
      </c>
      <c r="K8011" t="s">
        <v>99</v>
      </c>
      <c r="L8011" t="s">
        <v>102</v>
      </c>
      <c r="M8011" t="s">
        <v>75</v>
      </c>
      <c r="R8011" t="s">
        <v>35113</v>
      </c>
      <c r="S8011" t="s">
        <v>28006</v>
      </c>
      <c r="T8011" t="s">
        <v>5537</v>
      </c>
      <c r="U8011" t="s">
        <v>156</v>
      </c>
      <c r="V8011" t="str">
        <f>"079606136"</f>
        <v>079606136</v>
      </c>
      <c r="AC8011" t="s">
        <v>79</v>
      </c>
      <c r="AD8011" t="s">
        <v>75</v>
      </c>
      <c r="AE8011" t="s">
        <v>103</v>
      </c>
      <c r="AG8011" t="s">
        <v>81</v>
      </c>
    </row>
    <row r="8012" spans="1:33" x14ac:dyDescent="0.25">
      <c r="A8012" t="str">
        <f>"1225324692"</f>
        <v>1225324692</v>
      </c>
      <c r="C8012" t="s">
        <v>13436</v>
      </c>
      <c r="K8012" t="s">
        <v>99</v>
      </c>
      <c r="L8012" t="s">
        <v>102</v>
      </c>
      <c r="M8012" t="s">
        <v>75</v>
      </c>
      <c r="R8012" t="s">
        <v>35114</v>
      </c>
      <c r="S8012" t="s">
        <v>35115</v>
      </c>
      <c r="T8012" t="s">
        <v>97</v>
      </c>
      <c r="U8012" t="s">
        <v>77</v>
      </c>
      <c r="V8012" t="str">
        <f>"100324788"</f>
        <v>100324788</v>
      </c>
      <c r="AC8012" t="s">
        <v>79</v>
      </c>
      <c r="AD8012" t="s">
        <v>75</v>
      </c>
      <c r="AE8012" t="s">
        <v>103</v>
      </c>
      <c r="AG8012" t="s">
        <v>81</v>
      </c>
    </row>
    <row r="8013" spans="1:33" x14ac:dyDescent="0.25">
      <c r="A8013" t="str">
        <f>"1225325582"</f>
        <v>1225325582</v>
      </c>
      <c r="B8013" t="str">
        <f>"04448362"</f>
        <v>04448362</v>
      </c>
      <c r="C8013" t="s">
        <v>13436</v>
      </c>
      <c r="D8013" t="s">
        <v>35116</v>
      </c>
      <c r="E8013" t="s">
        <v>35117</v>
      </c>
      <c r="L8013" t="s">
        <v>102</v>
      </c>
      <c r="M8013" t="s">
        <v>75</v>
      </c>
      <c r="R8013" t="s">
        <v>35118</v>
      </c>
      <c r="W8013" t="s">
        <v>35117</v>
      </c>
      <c r="AB8013" t="s">
        <v>78</v>
      </c>
      <c r="AC8013" t="s">
        <v>79</v>
      </c>
      <c r="AD8013" t="s">
        <v>75</v>
      </c>
      <c r="AE8013" t="s">
        <v>80</v>
      </c>
      <c r="AG8013" t="s">
        <v>81</v>
      </c>
    </row>
    <row r="8014" spans="1:33" x14ac:dyDescent="0.25">
      <c r="A8014" t="str">
        <f>"1225325855"</f>
        <v>1225325855</v>
      </c>
      <c r="C8014" t="s">
        <v>13436</v>
      </c>
      <c r="K8014" t="s">
        <v>99</v>
      </c>
      <c r="L8014" t="s">
        <v>102</v>
      </c>
      <c r="M8014" t="s">
        <v>75</v>
      </c>
      <c r="R8014" t="s">
        <v>35119</v>
      </c>
      <c r="S8014" t="s">
        <v>35120</v>
      </c>
      <c r="T8014" t="s">
        <v>2262</v>
      </c>
      <c r="U8014" t="s">
        <v>123</v>
      </c>
      <c r="V8014" t="str">
        <f>"021142621"</f>
        <v>021142621</v>
      </c>
      <c r="AC8014" t="s">
        <v>79</v>
      </c>
      <c r="AD8014" t="s">
        <v>75</v>
      </c>
      <c r="AE8014" t="s">
        <v>103</v>
      </c>
      <c r="AG8014" t="s">
        <v>81</v>
      </c>
    </row>
    <row r="8015" spans="1:33" x14ac:dyDescent="0.25">
      <c r="A8015" t="str">
        <f>"1225329402"</f>
        <v>1225329402</v>
      </c>
      <c r="C8015" t="s">
        <v>13436</v>
      </c>
      <c r="K8015" t="s">
        <v>99</v>
      </c>
      <c r="L8015" t="s">
        <v>102</v>
      </c>
      <c r="M8015" t="s">
        <v>75</v>
      </c>
      <c r="R8015" t="s">
        <v>35121</v>
      </c>
      <c r="S8015" t="s">
        <v>35122</v>
      </c>
      <c r="T8015" t="s">
        <v>190</v>
      </c>
      <c r="U8015" t="s">
        <v>77</v>
      </c>
      <c r="V8015" t="str">
        <f>"111095501"</f>
        <v>111095501</v>
      </c>
      <c r="AC8015" t="s">
        <v>79</v>
      </c>
      <c r="AD8015" t="s">
        <v>75</v>
      </c>
      <c r="AE8015" t="s">
        <v>103</v>
      </c>
      <c r="AG8015" t="s">
        <v>81</v>
      </c>
    </row>
    <row r="8016" spans="1:33" x14ac:dyDescent="0.25">
      <c r="A8016" t="str">
        <f>"1023122181"</f>
        <v>1023122181</v>
      </c>
      <c r="B8016" t="str">
        <f>"00244880"</f>
        <v>00244880</v>
      </c>
      <c r="C8016" t="s">
        <v>35123</v>
      </c>
      <c r="D8016" t="s">
        <v>35124</v>
      </c>
      <c r="E8016" t="s">
        <v>35125</v>
      </c>
      <c r="L8016" t="s">
        <v>104</v>
      </c>
      <c r="M8016" t="s">
        <v>85</v>
      </c>
      <c r="R8016" t="s">
        <v>35126</v>
      </c>
      <c r="W8016" t="s">
        <v>35125</v>
      </c>
      <c r="X8016" t="s">
        <v>4869</v>
      </c>
      <c r="Y8016" t="s">
        <v>97</v>
      </c>
      <c r="Z8016" t="s">
        <v>77</v>
      </c>
      <c r="AA8016" t="str">
        <f>"10011-6701"</f>
        <v>10011-6701</v>
      </c>
      <c r="AB8016" t="s">
        <v>122</v>
      </c>
      <c r="AC8016" t="s">
        <v>79</v>
      </c>
      <c r="AD8016" t="s">
        <v>75</v>
      </c>
      <c r="AE8016" t="s">
        <v>80</v>
      </c>
      <c r="AG8016" t="s">
        <v>81</v>
      </c>
    </row>
    <row r="8017" spans="1:33" x14ac:dyDescent="0.25">
      <c r="A8017" t="str">
        <f>"1063526184"</f>
        <v>1063526184</v>
      </c>
      <c r="B8017" t="str">
        <f>"02999379"</f>
        <v>02999379</v>
      </c>
      <c r="C8017" t="s">
        <v>35123</v>
      </c>
      <c r="D8017" t="s">
        <v>35124</v>
      </c>
      <c r="E8017" t="s">
        <v>35125</v>
      </c>
      <c r="L8017" t="s">
        <v>104</v>
      </c>
      <c r="M8017" t="s">
        <v>85</v>
      </c>
      <c r="R8017" t="s">
        <v>35126</v>
      </c>
      <c r="W8017" t="s">
        <v>35125</v>
      </c>
      <c r="X8017" t="s">
        <v>35127</v>
      </c>
      <c r="Y8017" t="s">
        <v>97</v>
      </c>
      <c r="Z8017" t="s">
        <v>77</v>
      </c>
      <c r="AA8017" t="str">
        <f>"10011-6701"</f>
        <v>10011-6701</v>
      </c>
      <c r="AB8017" t="s">
        <v>122</v>
      </c>
      <c r="AC8017" t="s">
        <v>79</v>
      </c>
      <c r="AD8017" t="s">
        <v>75</v>
      </c>
      <c r="AE8017" t="s">
        <v>80</v>
      </c>
      <c r="AG8017" t="s">
        <v>81</v>
      </c>
    </row>
    <row r="8018" spans="1:33" x14ac:dyDescent="0.25">
      <c r="A8018" t="str">
        <f>"1275662884"</f>
        <v>1275662884</v>
      </c>
      <c r="B8018" t="str">
        <f>"02999388"</f>
        <v>02999388</v>
      </c>
      <c r="C8018" t="s">
        <v>35123</v>
      </c>
      <c r="D8018" t="s">
        <v>35124</v>
      </c>
      <c r="E8018" t="s">
        <v>35125</v>
      </c>
      <c r="L8018" t="s">
        <v>104</v>
      </c>
      <c r="M8018" t="s">
        <v>85</v>
      </c>
      <c r="R8018" t="s">
        <v>35126</v>
      </c>
      <c r="W8018" t="s">
        <v>35125</v>
      </c>
      <c r="X8018" t="s">
        <v>35127</v>
      </c>
      <c r="Y8018" t="s">
        <v>97</v>
      </c>
      <c r="Z8018" t="s">
        <v>77</v>
      </c>
      <c r="AA8018" t="str">
        <f>"10011-6701"</f>
        <v>10011-6701</v>
      </c>
      <c r="AB8018" t="s">
        <v>122</v>
      </c>
      <c r="AC8018" t="s">
        <v>79</v>
      </c>
      <c r="AD8018" t="s">
        <v>75</v>
      </c>
      <c r="AE8018" t="s">
        <v>80</v>
      </c>
      <c r="AG8018" t="s">
        <v>81</v>
      </c>
    </row>
    <row r="8019" spans="1:33" x14ac:dyDescent="0.25">
      <c r="A8019" t="str">
        <f>"1730313149"</f>
        <v>1730313149</v>
      </c>
      <c r="B8019" t="str">
        <f>"04248371"</f>
        <v>04248371</v>
      </c>
      <c r="C8019" t="s">
        <v>13436</v>
      </c>
      <c r="D8019" t="s">
        <v>35128</v>
      </c>
      <c r="E8019" t="s">
        <v>35129</v>
      </c>
      <c r="L8019" t="s">
        <v>74</v>
      </c>
      <c r="M8019" t="s">
        <v>75</v>
      </c>
      <c r="R8019" t="s">
        <v>35130</v>
      </c>
      <c r="W8019" t="s">
        <v>35129</v>
      </c>
      <c r="X8019" t="s">
        <v>35131</v>
      </c>
      <c r="Y8019" t="s">
        <v>97</v>
      </c>
      <c r="Z8019" t="s">
        <v>77</v>
      </c>
      <c r="AA8019" t="str">
        <f>"10009-7601"</f>
        <v>10009-7601</v>
      </c>
      <c r="AB8019" t="s">
        <v>78</v>
      </c>
      <c r="AC8019" t="s">
        <v>79</v>
      </c>
      <c r="AD8019" t="s">
        <v>75</v>
      </c>
      <c r="AE8019" t="s">
        <v>80</v>
      </c>
      <c r="AG8019" t="s">
        <v>81</v>
      </c>
    </row>
    <row r="8020" spans="1:33" x14ac:dyDescent="0.25">
      <c r="A8020" t="str">
        <f>"1730323494"</f>
        <v>1730323494</v>
      </c>
      <c r="B8020" t="str">
        <f>"03129435"</f>
        <v>03129435</v>
      </c>
      <c r="C8020" t="s">
        <v>13436</v>
      </c>
      <c r="D8020" t="s">
        <v>35132</v>
      </c>
      <c r="E8020" t="s">
        <v>35133</v>
      </c>
      <c r="G8020" t="s">
        <v>35134</v>
      </c>
      <c r="L8020" t="s">
        <v>83</v>
      </c>
      <c r="M8020" t="s">
        <v>75</v>
      </c>
      <c r="R8020" t="s">
        <v>35135</v>
      </c>
      <c r="W8020" t="s">
        <v>35133</v>
      </c>
      <c r="X8020" t="s">
        <v>130</v>
      </c>
      <c r="Y8020" t="s">
        <v>131</v>
      </c>
      <c r="Z8020" t="s">
        <v>77</v>
      </c>
      <c r="AA8020" t="str">
        <f>"10461-1119"</f>
        <v>10461-1119</v>
      </c>
      <c r="AB8020" t="s">
        <v>78</v>
      </c>
      <c r="AC8020" t="s">
        <v>79</v>
      </c>
      <c r="AD8020" t="s">
        <v>75</v>
      </c>
      <c r="AE8020" t="s">
        <v>80</v>
      </c>
      <c r="AG8020" t="s">
        <v>81</v>
      </c>
    </row>
    <row r="8021" spans="1:33" x14ac:dyDescent="0.25">
      <c r="A8021" t="str">
        <f>"1730329723"</f>
        <v>1730329723</v>
      </c>
      <c r="B8021" t="str">
        <f>"03766685"</f>
        <v>03766685</v>
      </c>
      <c r="C8021" t="s">
        <v>13436</v>
      </c>
      <c r="D8021" t="s">
        <v>35136</v>
      </c>
      <c r="E8021" t="s">
        <v>35137</v>
      </c>
      <c r="G8021" t="s">
        <v>35138</v>
      </c>
      <c r="L8021" t="s">
        <v>102</v>
      </c>
      <c r="M8021" t="s">
        <v>75</v>
      </c>
      <c r="R8021" t="s">
        <v>35137</v>
      </c>
      <c r="W8021" t="s">
        <v>35137</v>
      </c>
      <c r="X8021" t="s">
        <v>11156</v>
      </c>
      <c r="Y8021" t="s">
        <v>97</v>
      </c>
      <c r="Z8021" t="s">
        <v>77</v>
      </c>
      <c r="AA8021" t="str">
        <f>"10029-6504"</f>
        <v>10029-6504</v>
      </c>
      <c r="AB8021" t="s">
        <v>78</v>
      </c>
      <c r="AC8021" t="s">
        <v>79</v>
      </c>
      <c r="AD8021" t="s">
        <v>75</v>
      </c>
      <c r="AE8021" t="s">
        <v>80</v>
      </c>
      <c r="AG8021" t="s">
        <v>81</v>
      </c>
    </row>
    <row r="8022" spans="1:33" x14ac:dyDescent="0.25">
      <c r="A8022" t="str">
        <f>"1730336504"</f>
        <v>1730336504</v>
      </c>
      <c r="B8022" t="str">
        <f>"03724247"</f>
        <v>03724247</v>
      </c>
      <c r="C8022" t="s">
        <v>13436</v>
      </c>
      <c r="D8022" t="s">
        <v>35139</v>
      </c>
      <c r="E8022" t="s">
        <v>35140</v>
      </c>
      <c r="G8022" t="s">
        <v>35141</v>
      </c>
      <c r="L8022" t="s">
        <v>102</v>
      </c>
      <c r="M8022" t="s">
        <v>75</v>
      </c>
      <c r="R8022" t="s">
        <v>35142</v>
      </c>
      <c r="W8022" t="s">
        <v>35140</v>
      </c>
      <c r="X8022" t="s">
        <v>35143</v>
      </c>
      <c r="Y8022" t="s">
        <v>97</v>
      </c>
      <c r="Z8022" t="s">
        <v>77</v>
      </c>
      <c r="AA8022" t="str">
        <f>"10029-4505"</f>
        <v>10029-4505</v>
      </c>
      <c r="AB8022" t="s">
        <v>78</v>
      </c>
      <c r="AC8022" t="s">
        <v>79</v>
      </c>
      <c r="AD8022" t="s">
        <v>75</v>
      </c>
      <c r="AE8022" t="s">
        <v>80</v>
      </c>
      <c r="AG8022" t="s">
        <v>81</v>
      </c>
    </row>
    <row r="8023" spans="1:33" x14ac:dyDescent="0.25">
      <c r="A8023" t="str">
        <f>"1730340621"</f>
        <v>1730340621</v>
      </c>
      <c r="C8023" t="s">
        <v>13436</v>
      </c>
      <c r="K8023" t="s">
        <v>99</v>
      </c>
      <c r="L8023" t="s">
        <v>102</v>
      </c>
      <c r="M8023" t="s">
        <v>75</v>
      </c>
      <c r="R8023" t="s">
        <v>35144</v>
      </c>
      <c r="S8023" t="s">
        <v>35145</v>
      </c>
      <c r="T8023" t="s">
        <v>2630</v>
      </c>
      <c r="U8023" t="s">
        <v>1842</v>
      </c>
      <c r="V8023" t="str">
        <f>"065171209"</f>
        <v>065171209</v>
      </c>
      <c r="AC8023" t="s">
        <v>79</v>
      </c>
      <c r="AD8023" t="s">
        <v>75</v>
      </c>
      <c r="AE8023" t="s">
        <v>103</v>
      </c>
      <c r="AG8023" t="s">
        <v>81</v>
      </c>
    </row>
    <row r="8024" spans="1:33" x14ac:dyDescent="0.25">
      <c r="A8024" t="str">
        <f>"1730349085"</f>
        <v>1730349085</v>
      </c>
      <c r="B8024" t="str">
        <f>"03380018"</f>
        <v>03380018</v>
      </c>
      <c r="C8024" t="s">
        <v>13436</v>
      </c>
      <c r="D8024" t="s">
        <v>35146</v>
      </c>
      <c r="E8024" t="s">
        <v>35147</v>
      </c>
      <c r="G8024" t="s">
        <v>35148</v>
      </c>
      <c r="L8024" t="s">
        <v>83</v>
      </c>
      <c r="M8024" t="s">
        <v>85</v>
      </c>
      <c r="R8024" t="s">
        <v>35149</v>
      </c>
      <c r="W8024" t="s">
        <v>35150</v>
      </c>
      <c r="X8024" t="s">
        <v>4029</v>
      </c>
      <c r="Y8024" t="s">
        <v>97</v>
      </c>
      <c r="Z8024" t="s">
        <v>77</v>
      </c>
      <c r="AA8024" t="str">
        <f>"10029-6503"</f>
        <v>10029-6503</v>
      </c>
      <c r="AB8024" t="s">
        <v>78</v>
      </c>
      <c r="AC8024" t="s">
        <v>79</v>
      </c>
      <c r="AD8024" t="s">
        <v>75</v>
      </c>
      <c r="AE8024" t="s">
        <v>80</v>
      </c>
      <c r="AG8024" t="s">
        <v>81</v>
      </c>
    </row>
    <row r="8025" spans="1:33" x14ac:dyDescent="0.25">
      <c r="A8025" t="str">
        <f>"1730349143"</f>
        <v>1730349143</v>
      </c>
      <c r="B8025" t="str">
        <f>"02267476"</f>
        <v>02267476</v>
      </c>
      <c r="C8025" t="s">
        <v>13436</v>
      </c>
      <c r="D8025" t="s">
        <v>35151</v>
      </c>
      <c r="E8025" t="s">
        <v>35152</v>
      </c>
      <c r="G8025" t="s">
        <v>35153</v>
      </c>
      <c r="L8025" t="s">
        <v>74</v>
      </c>
      <c r="M8025" t="s">
        <v>75</v>
      </c>
      <c r="R8025" t="s">
        <v>35154</v>
      </c>
      <c r="W8025" t="s">
        <v>35152</v>
      </c>
      <c r="X8025" t="s">
        <v>32192</v>
      </c>
      <c r="Y8025" t="s">
        <v>97</v>
      </c>
      <c r="Z8025" t="s">
        <v>77</v>
      </c>
      <c r="AA8025" t="str">
        <f>"10029-6501"</f>
        <v>10029-6501</v>
      </c>
      <c r="AB8025" t="s">
        <v>114</v>
      </c>
      <c r="AC8025" t="s">
        <v>79</v>
      </c>
      <c r="AD8025" t="s">
        <v>75</v>
      </c>
      <c r="AE8025" t="s">
        <v>80</v>
      </c>
      <c r="AG8025" t="s">
        <v>81</v>
      </c>
    </row>
    <row r="8026" spans="1:33" x14ac:dyDescent="0.25">
      <c r="A8026" t="str">
        <f>"1730349218"</f>
        <v>1730349218</v>
      </c>
      <c r="B8026" t="str">
        <f>"03924187"</f>
        <v>03924187</v>
      </c>
      <c r="C8026" t="s">
        <v>13436</v>
      </c>
      <c r="D8026" t="s">
        <v>35155</v>
      </c>
      <c r="E8026" t="s">
        <v>35156</v>
      </c>
      <c r="G8026" t="s">
        <v>35157</v>
      </c>
      <c r="L8026" t="s">
        <v>83</v>
      </c>
      <c r="M8026" t="s">
        <v>75</v>
      </c>
      <c r="R8026" t="s">
        <v>35158</v>
      </c>
      <c r="W8026" t="s">
        <v>35156</v>
      </c>
      <c r="X8026" t="s">
        <v>272</v>
      </c>
      <c r="Y8026" t="s">
        <v>97</v>
      </c>
      <c r="Z8026" t="s">
        <v>77</v>
      </c>
      <c r="AA8026" t="str">
        <f>"10029-6501"</f>
        <v>10029-6501</v>
      </c>
      <c r="AB8026" t="s">
        <v>78</v>
      </c>
      <c r="AC8026" t="s">
        <v>79</v>
      </c>
      <c r="AD8026" t="s">
        <v>75</v>
      </c>
      <c r="AE8026" t="s">
        <v>80</v>
      </c>
      <c r="AG8026" t="s">
        <v>81</v>
      </c>
    </row>
    <row r="8027" spans="1:33" x14ac:dyDescent="0.25">
      <c r="A8027" t="str">
        <f>"1730349747"</f>
        <v>1730349747</v>
      </c>
      <c r="B8027" t="str">
        <f>"03270495"</f>
        <v>03270495</v>
      </c>
      <c r="C8027" t="s">
        <v>13436</v>
      </c>
      <c r="D8027" t="s">
        <v>35159</v>
      </c>
      <c r="E8027" t="s">
        <v>35160</v>
      </c>
      <c r="G8027" t="s">
        <v>35161</v>
      </c>
      <c r="L8027" t="s">
        <v>74</v>
      </c>
      <c r="M8027" t="s">
        <v>85</v>
      </c>
      <c r="R8027" t="s">
        <v>35162</v>
      </c>
      <c r="W8027" t="s">
        <v>35160</v>
      </c>
      <c r="X8027" t="s">
        <v>2926</v>
      </c>
      <c r="Y8027" t="s">
        <v>97</v>
      </c>
      <c r="Z8027" t="s">
        <v>77</v>
      </c>
      <c r="AA8027" t="str">
        <f>"10029-6503"</f>
        <v>10029-6503</v>
      </c>
      <c r="AB8027" t="s">
        <v>78</v>
      </c>
      <c r="AC8027" t="s">
        <v>79</v>
      </c>
      <c r="AD8027" t="s">
        <v>75</v>
      </c>
      <c r="AE8027" t="s">
        <v>80</v>
      </c>
      <c r="AG8027" t="s">
        <v>81</v>
      </c>
    </row>
    <row r="8028" spans="1:33" x14ac:dyDescent="0.25">
      <c r="A8028" t="str">
        <f>"1730374455"</f>
        <v>1730374455</v>
      </c>
      <c r="C8028" t="s">
        <v>13436</v>
      </c>
      <c r="K8028" t="s">
        <v>99</v>
      </c>
      <c r="L8028" t="s">
        <v>102</v>
      </c>
      <c r="M8028" t="s">
        <v>75</v>
      </c>
      <c r="R8028" t="s">
        <v>35163</v>
      </c>
      <c r="S8028" t="s">
        <v>35164</v>
      </c>
      <c r="T8028" t="s">
        <v>190</v>
      </c>
      <c r="U8028" t="s">
        <v>77</v>
      </c>
      <c r="V8028" t="str">
        <f>"111013007"</f>
        <v>111013007</v>
      </c>
      <c r="AC8028" t="s">
        <v>79</v>
      </c>
      <c r="AD8028" t="s">
        <v>75</v>
      </c>
      <c r="AE8028" t="s">
        <v>103</v>
      </c>
      <c r="AG8028" t="s">
        <v>81</v>
      </c>
    </row>
    <row r="8029" spans="1:33" x14ac:dyDescent="0.25">
      <c r="A8029" t="str">
        <f>"1811919277"</f>
        <v>1811919277</v>
      </c>
      <c r="B8029" t="str">
        <f>"01693594"</f>
        <v>01693594</v>
      </c>
      <c r="C8029" t="s">
        <v>13436</v>
      </c>
      <c r="D8029" t="s">
        <v>35165</v>
      </c>
      <c r="E8029" t="s">
        <v>35166</v>
      </c>
      <c r="L8029" t="s">
        <v>84</v>
      </c>
      <c r="M8029" t="s">
        <v>85</v>
      </c>
      <c r="R8029" t="s">
        <v>35167</v>
      </c>
      <c r="W8029" t="s">
        <v>35166</v>
      </c>
      <c r="X8029" t="s">
        <v>392</v>
      </c>
      <c r="Y8029" t="s">
        <v>97</v>
      </c>
      <c r="Z8029" t="s">
        <v>77</v>
      </c>
      <c r="AA8029" t="str">
        <f>"10075-1851"</f>
        <v>10075-1851</v>
      </c>
      <c r="AB8029" t="s">
        <v>78</v>
      </c>
      <c r="AC8029" t="s">
        <v>79</v>
      </c>
      <c r="AD8029" t="s">
        <v>75</v>
      </c>
      <c r="AE8029" t="s">
        <v>80</v>
      </c>
      <c r="AG8029" t="s">
        <v>81</v>
      </c>
    </row>
    <row r="8030" spans="1:33" x14ac:dyDescent="0.25">
      <c r="A8030" t="str">
        <f>"1811927270"</f>
        <v>1811927270</v>
      </c>
      <c r="B8030" t="str">
        <f>"00192883"</f>
        <v>00192883</v>
      </c>
      <c r="C8030" t="s">
        <v>13436</v>
      </c>
      <c r="D8030" t="s">
        <v>35168</v>
      </c>
      <c r="E8030" t="s">
        <v>35169</v>
      </c>
      <c r="L8030" t="s">
        <v>83</v>
      </c>
      <c r="M8030" t="s">
        <v>85</v>
      </c>
      <c r="R8030" t="s">
        <v>35170</v>
      </c>
      <c r="W8030" t="s">
        <v>35169</v>
      </c>
      <c r="X8030" t="s">
        <v>35171</v>
      </c>
      <c r="Y8030" t="s">
        <v>97</v>
      </c>
      <c r="Z8030" t="s">
        <v>77</v>
      </c>
      <c r="AA8030" t="str">
        <f>"10029"</f>
        <v>10029</v>
      </c>
      <c r="AB8030" t="s">
        <v>78</v>
      </c>
      <c r="AC8030" t="s">
        <v>79</v>
      </c>
      <c r="AD8030" t="s">
        <v>75</v>
      </c>
      <c r="AE8030" t="s">
        <v>80</v>
      </c>
      <c r="AG8030" t="s">
        <v>81</v>
      </c>
    </row>
    <row r="8031" spans="1:33" x14ac:dyDescent="0.25">
      <c r="A8031" t="str">
        <f>"1811928252"</f>
        <v>1811928252</v>
      </c>
      <c r="B8031" t="str">
        <f>"03256017"</f>
        <v>03256017</v>
      </c>
      <c r="C8031" t="s">
        <v>13436</v>
      </c>
      <c r="D8031" t="s">
        <v>35172</v>
      </c>
      <c r="E8031" t="s">
        <v>35173</v>
      </c>
      <c r="G8031" t="s">
        <v>35174</v>
      </c>
      <c r="L8031" t="s">
        <v>83</v>
      </c>
      <c r="M8031" t="s">
        <v>85</v>
      </c>
      <c r="R8031" t="s">
        <v>35175</v>
      </c>
      <c r="W8031" t="s">
        <v>35173</v>
      </c>
      <c r="X8031" t="s">
        <v>329</v>
      </c>
      <c r="Y8031" t="s">
        <v>97</v>
      </c>
      <c r="Z8031" t="s">
        <v>77</v>
      </c>
      <c r="AA8031" t="str">
        <f>"10029-6500"</f>
        <v>10029-6500</v>
      </c>
      <c r="AB8031" t="s">
        <v>78</v>
      </c>
      <c r="AC8031" t="s">
        <v>79</v>
      </c>
      <c r="AD8031" t="s">
        <v>75</v>
      </c>
      <c r="AE8031" t="s">
        <v>80</v>
      </c>
      <c r="AG8031" t="s">
        <v>81</v>
      </c>
    </row>
    <row r="8032" spans="1:33" x14ac:dyDescent="0.25">
      <c r="A8032" t="str">
        <f>"1811929946"</f>
        <v>1811929946</v>
      </c>
      <c r="B8032" t="str">
        <f>"02551760"</f>
        <v>02551760</v>
      </c>
      <c r="C8032" t="s">
        <v>13436</v>
      </c>
      <c r="D8032" t="s">
        <v>35176</v>
      </c>
      <c r="E8032" t="s">
        <v>35177</v>
      </c>
      <c r="G8032" t="s">
        <v>35178</v>
      </c>
      <c r="L8032" t="s">
        <v>94</v>
      </c>
      <c r="M8032" t="s">
        <v>85</v>
      </c>
      <c r="R8032" t="s">
        <v>35179</v>
      </c>
      <c r="W8032" t="s">
        <v>35177</v>
      </c>
      <c r="X8032" t="s">
        <v>329</v>
      </c>
      <c r="Y8032" t="s">
        <v>97</v>
      </c>
      <c r="Z8032" t="s">
        <v>77</v>
      </c>
      <c r="AA8032" t="str">
        <f>"10029-6504"</f>
        <v>10029-6504</v>
      </c>
      <c r="AB8032" t="s">
        <v>78</v>
      </c>
      <c r="AC8032" t="s">
        <v>79</v>
      </c>
      <c r="AD8032" t="s">
        <v>75</v>
      </c>
      <c r="AE8032" t="s">
        <v>80</v>
      </c>
      <c r="AG8032" t="s">
        <v>81</v>
      </c>
    </row>
    <row r="8033" spans="1:33" x14ac:dyDescent="0.25">
      <c r="A8033" t="str">
        <f>"1811942501"</f>
        <v>1811942501</v>
      </c>
      <c r="B8033" t="str">
        <f>"01921668"</f>
        <v>01921668</v>
      </c>
      <c r="C8033" t="s">
        <v>13436</v>
      </c>
      <c r="D8033" t="s">
        <v>35180</v>
      </c>
      <c r="E8033" t="s">
        <v>35181</v>
      </c>
      <c r="G8033" t="s">
        <v>35182</v>
      </c>
      <c r="L8033" t="s">
        <v>83</v>
      </c>
      <c r="M8033" t="s">
        <v>85</v>
      </c>
      <c r="R8033" t="s">
        <v>35183</v>
      </c>
      <c r="W8033" t="s">
        <v>35181</v>
      </c>
      <c r="X8033" t="s">
        <v>168</v>
      </c>
      <c r="Y8033" t="s">
        <v>155</v>
      </c>
      <c r="Z8033" t="s">
        <v>77</v>
      </c>
      <c r="AA8033" t="str">
        <f>"10310-1664"</f>
        <v>10310-1664</v>
      </c>
      <c r="AB8033" t="s">
        <v>78</v>
      </c>
      <c r="AC8033" t="s">
        <v>79</v>
      </c>
      <c r="AD8033" t="s">
        <v>75</v>
      </c>
      <c r="AE8033" t="s">
        <v>80</v>
      </c>
      <c r="AG8033" t="s">
        <v>81</v>
      </c>
    </row>
    <row r="8034" spans="1:33" x14ac:dyDescent="0.25">
      <c r="A8034" t="str">
        <f>"1811960420"</f>
        <v>1811960420</v>
      </c>
      <c r="B8034" t="str">
        <f>"02266806"</f>
        <v>02266806</v>
      </c>
      <c r="C8034" t="s">
        <v>13436</v>
      </c>
      <c r="D8034" t="s">
        <v>35184</v>
      </c>
      <c r="E8034" t="s">
        <v>35185</v>
      </c>
      <c r="G8034" t="s">
        <v>35186</v>
      </c>
      <c r="L8034" t="s">
        <v>74</v>
      </c>
      <c r="M8034" t="s">
        <v>75</v>
      </c>
      <c r="R8034" t="s">
        <v>35187</v>
      </c>
      <c r="W8034" t="s">
        <v>35185</v>
      </c>
      <c r="X8034" t="s">
        <v>35188</v>
      </c>
      <c r="Y8034" t="s">
        <v>97</v>
      </c>
      <c r="Z8034" t="s">
        <v>77</v>
      </c>
      <c r="AA8034" t="str">
        <f>"10003"</f>
        <v>10003</v>
      </c>
      <c r="AB8034" t="s">
        <v>78</v>
      </c>
      <c r="AC8034" t="s">
        <v>79</v>
      </c>
      <c r="AD8034" t="s">
        <v>75</v>
      </c>
      <c r="AE8034" t="s">
        <v>80</v>
      </c>
      <c r="AG8034" t="s">
        <v>81</v>
      </c>
    </row>
    <row r="8035" spans="1:33" x14ac:dyDescent="0.25">
      <c r="A8035" t="str">
        <f>"1417029489"</f>
        <v>1417029489</v>
      </c>
      <c r="B8035" t="str">
        <f>"02093016"</f>
        <v>02093016</v>
      </c>
      <c r="C8035" t="s">
        <v>35189</v>
      </c>
      <c r="D8035" t="s">
        <v>35190</v>
      </c>
      <c r="E8035" t="s">
        <v>35191</v>
      </c>
      <c r="G8035" t="s">
        <v>24003</v>
      </c>
      <c r="J8035" t="s">
        <v>24004</v>
      </c>
      <c r="L8035" t="s">
        <v>115</v>
      </c>
      <c r="M8035" t="s">
        <v>75</v>
      </c>
      <c r="R8035" t="s">
        <v>35191</v>
      </c>
      <c r="W8035" t="s">
        <v>35191</v>
      </c>
      <c r="X8035" t="s">
        <v>35192</v>
      </c>
      <c r="Y8035" t="s">
        <v>87</v>
      </c>
      <c r="Z8035" t="s">
        <v>77</v>
      </c>
      <c r="AA8035" t="str">
        <f>"11229-2303"</f>
        <v>11229-2303</v>
      </c>
      <c r="AB8035" t="s">
        <v>122</v>
      </c>
      <c r="AC8035" t="s">
        <v>79</v>
      </c>
      <c r="AD8035" t="s">
        <v>75</v>
      </c>
      <c r="AE8035" t="s">
        <v>80</v>
      </c>
      <c r="AG8035" t="s">
        <v>81</v>
      </c>
    </row>
    <row r="8036" spans="1:33" x14ac:dyDescent="0.25">
      <c r="A8036" t="str">
        <f>"1104156728"</f>
        <v>1104156728</v>
      </c>
      <c r="B8036" t="str">
        <f>"03278668"</f>
        <v>03278668</v>
      </c>
      <c r="C8036" t="s">
        <v>35193</v>
      </c>
      <c r="D8036" t="s">
        <v>35194</v>
      </c>
      <c r="E8036" t="s">
        <v>35195</v>
      </c>
      <c r="G8036" t="s">
        <v>24003</v>
      </c>
      <c r="J8036" t="s">
        <v>24004</v>
      </c>
      <c r="L8036" t="s">
        <v>74</v>
      </c>
      <c r="M8036" t="s">
        <v>75</v>
      </c>
      <c r="R8036" t="s">
        <v>35196</v>
      </c>
      <c r="W8036" t="s">
        <v>35195</v>
      </c>
      <c r="X8036" t="s">
        <v>2642</v>
      </c>
      <c r="Y8036" t="s">
        <v>135</v>
      </c>
      <c r="Z8036" t="s">
        <v>77</v>
      </c>
      <c r="AA8036" t="str">
        <f>"14220-2039"</f>
        <v>14220-2039</v>
      </c>
      <c r="AB8036" t="s">
        <v>78</v>
      </c>
      <c r="AC8036" t="s">
        <v>79</v>
      </c>
      <c r="AD8036" t="s">
        <v>75</v>
      </c>
      <c r="AE8036" t="s">
        <v>80</v>
      </c>
      <c r="AG8036" t="s">
        <v>81</v>
      </c>
    </row>
    <row r="8037" spans="1:33" x14ac:dyDescent="0.25">
      <c r="A8037" t="str">
        <f>"1750589008"</f>
        <v>1750589008</v>
      </c>
      <c r="B8037" t="str">
        <f>"03430802"</f>
        <v>03430802</v>
      </c>
      <c r="C8037" t="s">
        <v>35197</v>
      </c>
      <c r="D8037" t="s">
        <v>814</v>
      </c>
      <c r="E8037" t="s">
        <v>813</v>
      </c>
      <c r="G8037" t="s">
        <v>24003</v>
      </c>
      <c r="J8037" t="s">
        <v>24004</v>
      </c>
      <c r="L8037" t="s">
        <v>83</v>
      </c>
      <c r="M8037" t="s">
        <v>75</v>
      </c>
      <c r="R8037" t="s">
        <v>813</v>
      </c>
      <c r="W8037" t="s">
        <v>815</v>
      </c>
      <c r="X8037" t="s">
        <v>816</v>
      </c>
      <c r="Y8037" t="s">
        <v>87</v>
      </c>
      <c r="Z8037" t="s">
        <v>77</v>
      </c>
      <c r="AA8037" t="str">
        <f>"11201-5428"</f>
        <v>11201-5428</v>
      </c>
      <c r="AB8037" t="s">
        <v>78</v>
      </c>
      <c r="AC8037" t="s">
        <v>79</v>
      </c>
      <c r="AD8037" t="s">
        <v>75</v>
      </c>
      <c r="AE8037" t="s">
        <v>80</v>
      </c>
      <c r="AG8037" t="s">
        <v>81</v>
      </c>
    </row>
    <row r="8038" spans="1:33" x14ac:dyDescent="0.25">
      <c r="A8038" t="str">
        <f>"1245207935"</f>
        <v>1245207935</v>
      </c>
      <c r="B8038" t="str">
        <f>"00635841"</f>
        <v>00635841</v>
      </c>
      <c r="C8038" t="s">
        <v>35198</v>
      </c>
      <c r="D8038" t="s">
        <v>35199</v>
      </c>
      <c r="E8038" t="s">
        <v>35200</v>
      </c>
      <c r="G8038" t="s">
        <v>24003</v>
      </c>
      <c r="J8038" t="s">
        <v>24004</v>
      </c>
      <c r="L8038" t="s">
        <v>83</v>
      </c>
      <c r="M8038" t="s">
        <v>85</v>
      </c>
      <c r="R8038" t="s">
        <v>35201</v>
      </c>
      <c r="W8038" t="s">
        <v>35202</v>
      </c>
      <c r="X8038" t="s">
        <v>35203</v>
      </c>
      <c r="Y8038" t="s">
        <v>236</v>
      </c>
      <c r="Z8038" t="s">
        <v>77</v>
      </c>
      <c r="AA8038" t="str">
        <f>"11102-2765"</f>
        <v>11102-2765</v>
      </c>
      <c r="AB8038" t="s">
        <v>78</v>
      </c>
      <c r="AC8038" t="s">
        <v>79</v>
      </c>
      <c r="AD8038" t="s">
        <v>75</v>
      </c>
      <c r="AE8038" t="s">
        <v>80</v>
      </c>
      <c r="AG8038" t="s">
        <v>81</v>
      </c>
    </row>
    <row r="8039" spans="1:33" x14ac:dyDescent="0.25">
      <c r="C8039" t="s">
        <v>35204</v>
      </c>
      <c r="G8039" t="s">
        <v>24003</v>
      </c>
      <c r="J8039" t="s">
        <v>24004</v>
      </c>
      <c r="K8039" t="s">
        <v>99</v>
      </c>
      <c r="L8039" t="s">
        <v>100</v>
      </c>
      <c r="M8039" t="s">
        <v>75</v>
      </c>
      <c r="N8039" t="s">
        <v>33298</v>
      </c>
      <c r="O8039" t="s">
        <v>431</v>
      </c>
      <c r="P8039" t="s">
        <v>77</v>
      </c>
      <c r="AC8039" t="s">
        <v>79</v>
      </c>
      <c r="AD8039" t="s">
        <v>75</v>
      </c>
      <c r="AE8039" t="s">
        <v>101</v>
      </c>
      <c r="AG8039" t="s">
        <v>81</v>
      </c>
    </row>
    <row r="8040" spans="1:33" x14ac:dyDescent="0.25">
      <c r="A8040" t="str">
        <f>"1992727861"</f>
        <v>1992727861</v>
      </c>
      <c r="B8040" t="str">
        <f>"01592805"</f>
        <v>01592805</v>
      </c>
      <c r="C8040" t="s">
        <v>35205</v>
      </c>
      <c r="D8040" t="s">
        <v>35206</v>
      </c>
      <c r="E8040" t="s">
        <v>35207</v>
      </c>
      <c r="G8040" t="s">
        <v>24003</v>
      </c>
      <c r="J8040" t="s">
        <v>24004</v>
      </c>
      <c r="L8040" t="s">
        <v>84</v>
      </c>
      <c r="M8040" t="s">
        <v>75</v>
      </c>
      <c r="R8040" t="s">
        <v>35208</v>
      </c>
      <c r="W8040" t="s">
        <v>35207</v>
      </c>
      <c r="X8040" t="s">
        <v>202</v>
      </c>
      <c r="Y8040" t="s">
        <v>87</v>
      </c>
      <c r="Z8040" t="s">
        <v>77</v>
      </c>
      <c r="AA8040" t="str">
        <f>"11201-5425"</f>
        <v>11201-5425</v>
      </c>
      <c r="AB8040" t="s">
        <v>78</v>
      </c>
      <c r="AC8040" t="s">
        <v>79</v>
      </c>
      <c r="AD8040" t="s">
        <v>75</v>
      </c>
      <c r="AE8040" t="s">
        <v>80</v>
      </c>
      <c r="AG8040" t="s">
        <v>81</v>
      </c>
    </row>
    <row r="8041" spans="1:33" x14ac:dyDescent="0.25">
      <c r="A8041" t="str">
        <f>"1912226416"</f>
        <v>1912226416</v>
      </c>
      <c r="B8041" t="str">
        <f>"03366929"</f>
        <v>03366929</v>
      </c>
      <c r="C8041" t="s">
        <v>13436</v>
      </c>
      <c r="D8041" t="s">
        <v>35209</v>
      </c>
      <c r="E8041" t="s">
        <v>35210</v>
      </c>
      <c r="L8041" t="s">
        <v>83</v>
      </c>
      <c r="M8041" t="s">
        <v>75</v>
      </c>
      <c r="R8041" t="s">
        <v>35211</v>
      </c>
      <c r="W8041" t="s">
        <v>35212</v>
      </c>
      <c r="X8041" t="s">
        <v>590</v>
      </c>
      <c r="Y8041" t="s">
        <v>97</v>
      </c>
      <c r="Z8041" t="s">
        <v>77</v>
      </c>
      <c r="AA8041" t="str">
        <f>"10128-4077"</f>
        <v>10128-4077</v>
      </c>
      <c r="AB8041" t="s">
        <v>78</v>
      </c>
      <c r="AC8041" t="s">
        <v>79</v>
      </c>
      <c r="AD8041" t="s">
        <v>75</v>
      </c>
      <c r="AE8041" t="s">
        <v>80</v>
      </c>
      <c r="AG8041" t="s">
        <v>81</v>
      </c>
    </row>
    <row r="8042" spans="1:33" x14ac:dyDescent="0.25">
      <c r="A8042" t="str">
        <f>"1912906546"</f>
        <v>1912906546</v>
      </c>
      <c r="B8042" t="str">
        <f>"02414735"</f>
        <v>02414735</v>
      </c>
      <c r="C8042" t="s">
        <v>13436</v>
      </c>
      <c r="D8042" t="s">
        <v>600</v>
      </c>
      <c r="E8042" t="s">
        <v>599</v>
      </c>
      <c r="L8042" t="s">
        <v>83</v>
      </c>
      <c r="M8042" t="s">
        <v>85</v>
      </c>
      <c r="R8042" t="s">
        <v>599</v>
      </c>
      <c r="W8042" t="s">
        <v>599</v>
      </c>
      <c r="X8042" t="s">
        <v>299</v>
      </c>
      <c r="Y8042" t="s">
        <v>139</v>
      </c>
      <c r="Z8042" t="s">
        <v>77</v>
      </c>
      <c r="AA8042" t="str">
        <f>"11354-5576"</f>
        <v>11354-5576</v>
      </c>
      <c r="AB8042" t="s">
        <v>78</v>
      </c>
      <c r="AC8042" t="s">
        <v>79</v>
      </c>
      <c r="AD8042" t="s">
        <v>75</v>
      </c>
      <c r="AE8042" t="s">
        <v>80</v>
      </c>
      <c r="AG8042" t="s">
        <v>81</v>
      </c>
    </row>
    <row r="8043" spans="1:33" x14ac:dyDescent="0.25">
      <c r="A8043" t="str">
        <f>"1326068909"</f>
        <v>1326068909</v>
      </c>
      <c r="B8043" t="str">
        <f>"02166470"</f>
        <v>02166470</v>
      </c>
      <c r="C8043" t="s">
        <v>13436</v>
      </c>
      <c r="D8043" t="s">
        <v>35213</v>
      </c>
      <c r="E8043" t="s">
        <v>35214</v>
      </c>
      <c r="L8043" t="s">
        <v>74</v>
      </c>
      <c r="M8043" t="s">
        <v>75</v>
      </c>
      <c r="R8043" t="s">
        <v>35215</v>
      </c>
      <c r="W8043" t="s">
        <v>35214</v>
      </c>
      <c r="X8043" t="s">
        <v>323</v>
      </c>
      <c r="Y8043" t="s">
        <v>87</v>
      </c>
      <c r="Z8043" t="s">
        <v>77</v>
      </c>
      <c r="AA8043" t="str">
        <f>"11201-5509"</f>
        <v>11201-5509</v>
      </c>
      <c r="AB8043" t="s">
        <v>78</v>
      </c>
      <c r="AC8043" t="s">
        <v>79</v>
      </c>
      <c r="AD8043" t="s">
        <v>75</v>
      </c>
      <c r="AE8043" t="s">
        <v>80</v>
      </c>
      <c r="AG8043" t="s">
        <v>81</v>
      </c>
    </row>
    <row r="8044" spans="1:33" x14ac:dyDescent="0.25">
      <c r="A8044" t="str">
        <f>"1326081548"</f>
        <v>1326081548</v>
      </c>
      <c r="B8044" t="str">
        <f>"02845930"</f>
        <v>02845930</v>
      </c>
      <c r="C8044" t="s">
        <v>13436</v>
      </c>
      <c r="D8044" t="s">
        <v>35216</v>
      </c>
      <c r="E8044" t="s">
        <v>35217</v>
      </c>
      <c r="G8044" t="s">
        <v>35218</v>
      </c>
      <c r="L8044" t="s">
        <v>83</v>
      </c>
      <c r="M8044" t="s">
        <v>85</v>
      </c>
      <c r="R8044" t="s">
        <v>35219</v>
      </c>
      <c r="W8044" t="s">
        <v>35217</v>
      </c>
      <c r="X8044" t="s">
        <v>204</v>
      </c>
      <c r="Y8044" t="s">
        <v>97</v>
      </c>
      <c r="Z8044" t="s">
        <v>77</v>
      </c>
      <c r="AA8044" t="str">
        <f>"10065-4870"</f>
        <v>10065-4870</v>
      </c>
      <c r="AB8044" t="s">
        <v>78</v>
      </c>
      <c r="AC8044" t="s">
        <v>79</v>
      </c>
      <c r="AD8044" t="s">
        <v>75</v>
      </c>
      <c r="AE8044" t="s">
        <v>80</v>
      </c>
      <c r="AG8044" t="s">
        <v>81</v>
      </c>
    </row>
    <row r="8045" spans="1:33" x14ac:dyDescent="0.25">
      <c r="A8045" t="str">
        <f>"1326084971"</f>
        <v>1326084971</v>
      </c>
      <c r="B8045" t="str">
        <f>"01424148"</f>
        <v>01424148</v>
      </c>
      <c r="C8045" t="s">
        <v>13436</v>
      </c>
      <c r="D8045" t="s">
        <v>35220</v>
      </c>
      <c r="E8045" t="s">
        <v>35221</v>
      </c>
      <c r="G8045" t="s">
        <v>35222</v>
      </c>
      <c r="L8045" t="s">
        <v>84</v>
      </c>
      <c r="M8045" t="s">
        <v>85</v>
      </c>
      <c r="R8045" t="s">
        <v>35223</v>
      </c>
      <c r="W8045" t="s">
        <v>35221</v>
      </c>
      <c r="X8045" t="s">
        <v>329</v>
      </c>
      <c r="Y8045" t="s">
        <v>97</v>
      </c>
      <c r="Z8045" t="s">
        <v>77</v>
      </c>
      <c r="AA8045" t="str">
        <f>"10029-6504"</f>
        <v>10029-6504</v>
      </c>
      <c r="AB8045" t="s">
        <v>78</v>
      </c>
      <c r="AC8045" t="s">
        <v>79</v>
      </c>
      <c r="AD8045" t="s">
        <v>75</v>
      </c>
      <c r="AE8045" t="s">
        <v>80</v>
      </c>
      <c r="AG8045" t="s">
        <v>81</v>
      </c>
    </row>
    <row r="8046" spans="1:33" x14ac:dyDescent="0.25">
      <c r="A8046" t="str">
        <f>"1326106691"</f>
        <v>1326106691</v>
      </c>
      <c r="B8046" t="str">
        <f>"02954709"</f>
        <v>02954709</v>
      </c>
      <c r="C8046" t="s">
        <v>13436</v>
      </c>
      <c r="D8046" t="s">
        <v>35224</v>
      </c>
      <c r="E8046" t="s">
        <v>35225</v>
      </c>
      <c r="L8046" t="s">
        <v>84</v>
      </c>
      <c r="M8046" t="s">
        <v>85</v>
      </c>
      <c r="R8046" t="s">
        <v>35225</v>
      </c>
      <c r="W8046" t="s">
        <v>35226</v>
      </c>
      <c r="X8046" t="s">
        <v>11073</v>
      </c>
      <c r="Y8046" t="s">
        <v>97</v>
      </c>
      <c r="Z8046" t="s">
        <v>77</v>
      </c>
      <c r="AA8046" t="str">
        <f>"10029-6500"</f>
        <v>10029-6500</v>
      </c>
      <c r="AB8046" t="s">
        <v>78</v>
      </c>
      <c r="AC8046" t="s">
        <v>79</v>
      </c>
      <c r="AD8046" t="s">
        <v>75</v>
      </c>
      <c r="AE8046" t="s">
        <v>80</v>
      </c>
      <c r="AG8046" t="s">
        <v>81</v>
      </c>
    </row>
    <row r="8047" spans="1:33" x14ac:dyDescent="0.25">
      <c r="A8047" t="str">
        <f>"1891704268"</f>
        <v>1891704268</v>
      </c>
      <c r="B8047" t="str">
        <f>"01961357"</f>
        <v>01961357</v>
      </c>
      <c r="C8047" t="s">
        <v>13436</v>
      </c>
      <c r="D8047" t="s">
        <v>35227</v>
      </c>
      <c r="E8047" t="s">
        <v>35228</v>
      </c>
      <c r="L8047" t="s">
        <v>83</v>
      </c>
      <c r="M8047" t="s">
        <v>75</v>
      </c>
      <c r="R8047" t="s">
        <v>35229</v>
      </c>
      <c r="W8047" t="s">
        <v>35228</v>
      </c>
      <c r="X8047" t="s">
        <v>86</v>
      </c>
      <c r="Y8047" t="s">
        <v>87</v>
      </c>
      <c r="Z8047" t="s">
        <v>77</v>
      </c>
      <c r="AA8047" t="str">
        <f>"11220-2559"</f>
        <v>11220-2559</v>
      </c>
      <c r="AB8047" t="s">
        <v>78</v>
      </c>
      <c r="AC8047" t="s">
        <v>79</v>
      </c>
      <c r="AD8047" t="s">
        <v>75</v>
      </c>
      <c r="AE8047" t="s">
        <v>80</v>
      </c>
      <c r="AG8047" t="s">
        <v>81</v>
      </c>
    </row>
    <row r="8048" spans="1:33" x14ac:dyDescent="0.25">
      <c r="A8048" t="str">
        <f>"1891762597"</f>
        <v>1891762597</v>
      </c>
      <c r="B8048" t="str">
        <f>"01721508"</f>
        <v>01721508</v>
      </c>
      <c r="C8048" t="s">
        <v>13436</v>
      </c>
      <c r="D8048" t="s">
        <v>35230</v>
      </c>
      <c r="E8048" t="s">
        <v>35231</v>
      </c>
      <c r="L8048" t="s">
        <v>83</v>
      </c>
      <c r="M8048" t="s">
        <v>85</v>
      </c>
      <c r="R8048" t="s">
        <v>35232</v>
      </c>
      <c r="W8048" t="s">
        <v>35231</v>
      </c>
      <c r="X8048" t="s">
        <v>262</v>
      </c>
      <c r="Y8048" t="s">
        <v>91</v>
      </c>
      <c r="Z8048" t="s">
        <v>77</v>
      </c>
      <c r="AA8048" t="str">
        <f>"11373-1329"</f>
        <v>11373-1329</v>
      </c>
      <c r="AB8048" t="s">
        <v>78</v>
      </c>
      <c r="AC8048" t="s">
        <v>79</v>
      </c>
      <c r="AD8048" t="s">
        <v>75</v>
      </c>
      <c r="AE8048" t="s">
        <v>80</v>
      </c>
      <c r="AG8048" t="s">
        <v>81</v>
      </c>
    </row>
    <row r="8049" spans="1:33" x14ac:dyDescent="0.25">
      <c r="A8049" t="str">
        <f>"1891777991"</f>
        <v>1891777991</v>
      </c>
      <c r="B8049" t="str">
        <f>"00772069"</f>
        <v>00772069</v>
      </c>
      <c r="C8049" t="s">
        <v>13436</v>
      </c>
      <c r="D8049" t="s">
        <v>35233</v>
      </c>
      <c r="E8049" t="s">
        <v>35234</v>
      </c>
      <c r="G8049" t="s">
        <v>35235</v>
      </c>
      <c r="L8049" t="s">
        <v>74</v>
      </c>
      <c r="M8049" t="s">
        <v>75</v>
      </c>
      <c r="R8049" t="s">
        <v>35236</v>
      </c>
      <c r="W8049" t="s">
        <v>35234</v>
      </c>
      <c r="X8049" t="s">
        <v>35237</v>
      </c>
      <c r="Y8049" t="s">
        <v>97</v>
      </c>
      <c r="Z8049" t="s">
        <v>77</v>
      </c>
      <c r="AA8049" t="str">
        <f>"10032-3725"</f>
        <v>10032-3725</v>
      </c>
      <c r="AB8049" t="s">
        <v>78</v>
      </c>
      <c r="AC8049" t="s">
        <v>79</v>
      </c>
      <c r="AD8049" t="s">
        <v>75</v>
      </c>
      <c r="AE8049" t="s">
        <v>80</v>
      </c>
      <c r="AG8049" t="s">
        <v>81</v>
      </c>
    </row>
    <row r="8050" spans="1:33" x14ac:dyDescent="0.25">
      <c r="A8050" t="str">
        <f>"1720406879"</f>
        <v>1720406879</v>
      </c>
      <c r="C8050" t="s">
        <v>13436</v>
      </c>
      <c r="K8050" t="s">
        <v>99</v>
      </c>
      <c r="L8050" t="s">
        <v>102</v>
      </c>
      <c r="M8050" t="s">
        <v>75</v>
      </c>
      <c r="R8050" t="s">
        <v>35238</v>
      </c>
      <c r="S8050" t="s">
        <v>35239</v>
      </c>
      <c r="T8050" t="s">
        <v>35240</v>
      </c>
      <c r="U8050" t="s">
        <v>2594</v>
      </c>
      <c r="V8050" t="str">
        <f>"030622260"</f>
        <v>030622260</v>
      </c>
      <c r="AC8050" t="s">
        <v>79</v>
      </c>
      <c r="AD8050" t="s">
        <v>75</v>
      </c>
      <c r="AE8050" t="s">
        <v>103</v>
      </c>
      <c r="AG8050" t="s">
        <v>81</v>
      </c>
    </row>
    <row r="8051" spans="1:33" x14ac:dyDescent="0.25">
      <c r="A8051" t="str">
        <f>"1720407414"</f>
        <v>1720407414</v>
      </c>
      <c r="C8051" t="s">
        <v>13436</v>
      </c>
      <c r="K8051" t="s">
        <v>99</v>
      </c>
      <c r="L8051" t="s">
        <v>102</v>
      </c>
      <c r="M8051" t="s">
        <v>75</v>
      </c>
      <c r="R8051" t="s">
        <v>35241</v>
      </c>
      <c r="S8051" t="s">
        <v>14129</v>
      </c>
      <c r="T8051" t="s">
        <v>97</v>
      </c>
      <c r="U8051" t="s">
        <v>77</v>
      </c>
      <c r="V8051" t="str">
        <f>"100033804"</f>
        <v>100033804</v>
      </c>
      <c r="AC8051" t="s">
        <v>79</v>
      </c>
      <c r="AD8051" t="s">
        <v>75</v>
      </c>
      <c r="AE8051" t="s">
        <v>103</v>
      </c>
      <c r="AG8051" t="s">
        <v>81</v>
      </c>
    </row>
    <row r="8052" spans="1:33" x14ac:dyDescent="0.25">
      <c r="A8052" t="str">
        <f>"1720422546"</f>
        <v>1720422546</v>
      </c>
      <c r="C8052" t="s">
        <v>13436</v>
      </c>
      <c r="K8052" t="s">
        <v>99</v>
      </c>
      <c r="L8052" t="s">
        <v>102</v>
      </c>
      <c r="M8052" t="s">
        <v>75</v>
      </c>
      <c r="R8052" t="s">
        <v>35242</v>
      </c>
      <c r="S8052" t="s">
        <v>191</v>
      </c>
      <c r="T8052" t="s">
        <v>97</v>
      </c>
      <c r="U8052" t="s">
        <v>77</v>
      </c>
      <c r="V8052" t="str">
        <f>"100191147"</f>
        <v>100191147</v>
      </c>
      <c r="AC8052" t="s">
        <v>79</v>
      </c>
      <c r="AD8052" t="s">
        <v>75</v>
      </c>
      <c r="AE8052" t="s">
        <v>103</v>
      </c>
      <c r="AG8052" t="s">
        <v>81</v>
      </c>
    </row>
    <row r="8053" spans="1:33" x14ac:dyDescent="0.25">
      <c r="A8053" t="str">
        <f>"1972837177"</f>
        <v>1972837177</v>
      </c>
      <c r="B8053" t="str">
        <f>"03585664"</f>
        <v>03585664</v>
      </c>
      <c r="C8053" t="s">
        <v>13436</v>
      </c>
      <c r="D8053" t="s">
        <v>35243</v>
      </c>
      <c r="E8053" t="s">
        <v>35244</v>
      </c>
      <c r="G8053" t="s">
        <v>35245</v>
      </c>
      <c r="L8053" t="s">
        <v>74</v>
      </c>
      <c r="M8053" t="s">
        <v>75</v>
      </c>
      <c r="R8053" t="s">
        <v>35246</v>
      </c>
      <c r="W8053" t="s">
        <v>35244</v>
      </c>
      <c r="X8053" t="s">
        <v>11195</v>
      </c>
      <c r="Y8053" t="s">
        <v>97</v>
      </c>
      <c r="Z8053" t="s">
        <v>77</v>
      </c>
      <c r="AA8053" t="str">
        <f>"10029-6030"</f>
        <v>10029-6030</v>
      </c>
      <c r="AB8053" t="s">
        <v>78</v>
      </c>
      <c r="AC8053" t="s">
        <v>79</v>
      </c>
      <c r="AD8053" t="s">
        <v>75</v>
      </c>
      <c r="AE8053" t="s">
        <v>80</v>
      </c>
      <c r="AG8053" t="s">
        <v>81</v>
      </c>
    </row>
    <row r="8054" spans="1:33" x14ac:dyDescent="0.25">
      <c r="A8054" t="str">
        <f>"1831166610"</f>
        <v>1831166610</v>
      </c>
      <c r="B8054" t="str">
        <f>"02696459"</f>
        <v>02696459</v>
      </c>
      <c r="C8054" t="s">
        <v>13436</v>
      </c>
      <c r="D8054" t="s">
        <v>35247</v>
      </c>
      <c r="E8054" t="s">
        <v>35248</v>
      </c>
      <c r="L8054" t="s">
        <v>84</v>
      </c>
      <c r="M8054" t="s">
        <v>85</v>
      </c>
      <c r="R8054" t="s">
        <v>35249</v>
      </c>
      <c r="W8054" t="s">
        <v>35248</v>
      </c>
      <c r="X8054" t="s">
        <v>329</v>
      </c>
      <c r="Y8054" t="s">
        <v>97</v>
      </c>
      <c r="Z8054" t="s">
        <v>77</v>
      </c>
      <c r="AA8054" t="str">
        <f>"10029-6504"</f>
        <v>10029-6504</v>
      </c>
      <c r="AB8054" t="s">
        <v>78</v>
      </c>
      <c r="AC8054" t="s">
        <v>79</v>
      </c>
      <c r="AD8054" t="s">
        <v>75</v>
      </c>
      <c r="AE8054" t="s">
        <v>80</v>
      </c>
      <c r="AG8054" t="s">
        <v>81</v>
      </c>
    </row>
    <row r="8055" spans="1:33" x14ac:dyDescent="0.25">
      <c r="A8055" t="str">
        <f>"1831184779"</f>
        <v>1831184779</v>
      </c>
      <c r="B8055" t="str">
        <f>"01289321"</f>
        <v>01289321</v>
      </c>
      <c r="C8055" t="s">
        <v>13436</v>
      </c>
      <c r="D8055" t="s">
        <v>35250</v>
      </c>
      <c r="E8055" t="s">
        <v>35251</v>
      </c>
      <c r="L8055" t="s">
        <v>83</v>
      </c>
      <c r="M8055" t="s">
        <v>85</v>
      </c>
      <c r="R8055" t="s">
        <v>35252</v>
      </c>
      <c r="W8055" t="s">
        <v>35251</v>
      </c>
      <c r="X8055" t="s">
        <v>31503</v>
      </c>
      <c r="Y8055" t="s">
        <v>209</v>
      </c>
      <c r="Z8055" t="s">
        <v>77</v>
      </c>
      <c r="AA8055" t="str">
        <f>"11794-0001"</f>
        <v>11794-0001</v>
      </c>
      <c r="AB8055" t="s">
        <v>78</v>
      </c>
      <c r="AC8055" t="s">
        <v>79</v>
      </c>
      <c r="AD8055" t="s">
        <v>75</v>
      </c>
      <c r="AE8055" t="s">
        <v>80</v>
      </c>
      <c r="AG8055" t="s">
        <v>81</v>
      </c>
    </row>
    <row r="8056" spans="1:33" x14ac:dyDescent="0.25">
      <c r="A8056" t="str">
        <f>"1831266584"</f>
        <v>1831266584</v>
      </c>
      <c r="B8056" t="str">
        <f>"02374716"</f>
        <v>02374716</v>
      </c>
      <c r="C8056" t="s">
        <v>13436</v>
      </c>
      <c r="D8056" t="s">
        <v>35253</v>
      </c>
      <c r="E8056" t="s">
        <v>35254</v>
      </c>
      <c r="G8056" t="s">
        <v>35255</v>
      </c>
      <c r="L8056" t="s">
        <v>102</v>
      </c>
      <c r="M8056" t="s">
        <v>75</v>
      </c>
      <c r="R8056" t="s">
        <v>35254</v>
      </c>
      <c r="W8056" t="s">
        <v>35254</v>
      </c>
      <c r="X8056" t="s">
        <v>1076</v>
      </c>
      <c r="Y8056" t="s">
        <v>97</v>
      </c>
      <c r="Z8056" t="s">
        <v>77</v>
      </c>
      <c r="AA8056" t="str">
        <f>"10025-1737"</f>
        <v>10025-1737</v>
      </c>
      <c r="AB8056" t="s">
        <v>125</v>
      </c>
      <c r="AC8056" t="s">
        <v>79</v>
      </c>
      <c r="AD8056" t="s">
        <v>75</v>
      </c>
      <c r="AE8056" t="s">
        <v>80</v>
      </c>
      <c r="AG8056" t="s">
        <v>81</v>
      </c>
    </row>
    <row r="8057" spans="1:33" x14ac:dyDescent="0.25">
      <c r="A8057" t="str">
        <f>"1831303106"</f>
        <v>1831303106</v>
      </c>
      <c r="B8057" t="str">
        <f>"03025665"</f>
        <v>03025665</v>
      </c>
      <c r="C8057" t="s">
        <v>13436</v>
      </c>
      <c r="D8057" t="s">
        <v>35256</v>
      </c>
      <c r="E8057" t="s">
        <v>35257</v>
      </c>
      <c r="L8057" t="s">
        <v>83</v>
      </c>
      <c r="M8057" t="s">
        <v>85</v>
      </c>
      <c r="R8057" t="s">
        <v>35258</v>
      </c>
      <c r="W8057" t="s">
        <v>35257</v>
      </c>
      <c r="X8057" t="s">
        <v>4756</v>
      </c>
      <c r="Y8057" t="s">
        <v>97</v>
      </c>
      <c r="Z8057" t="s">
        <v>77</v>
      </c>
      <c r="AA8057" t="str">
        <f>"10029-6501"</f>
        <v>10029-6501</v>
      </c>
      <c r="AB8057" t="s">
        <v>78</v>
      </c>
      <c r="AC8057" t="s">
        <v>79</v>
      </c>
      <c r="AD8057" t="s">
        <v>75</v>
      </c>
      <c r="AE8057" t="s">
        <v>80</v>
      </c>
      <c r="AG8057" t="s">
        <v>81</v>
      </c>
    </row>
    <row r="8058" spans="1:33" x14ac:dyDescent="0.25">
      <c r="A8058" t="str">
        <f>"1831323286"</f>
        <v>1831323286</v>
      </c>
      <c r="B8058" t="str">
        <f>"03585191"</f>
        <v>03585191</v>
      </c>
      <c r="C8058" t="s">
        <v>13436</v>
      </c>
      <c r="D8058" t="s">
        <v>35259</v>
      </c>
      <c r="E8058" t="s">
        <v>35260</v>
      </c>
      <c r="L8058" t="s">
        <v>83</v>
      </c>
      <c r="M8058" t="s">
        <v>85</v>
      </c>
      <c r="R8058" t="s">
        <v>35261</v>
      </c>
      <c r="W8058" t="s">
        <v>35260</v>
      </c>
      <c r="X8058" t="s">
        <v>329</v>
      </c>
      <c r="Y8058" t="s">
        <v>97</v>
      </c>
      <c r="Z8058" t="s">
        <v>77</v>
      </c>
      <c r="AA8058" t="str">
        <f>"10029-6504"</f>
        <v>10029-6504</v>
      </c>
      <c r="AB8058" t="s">
        <v>78</v>
      </c>
      <c r="AC8058" t="s">
        <v>79</v>
      </c>
      <c r="AD8058" t="s">
        <v>75</v>
      </c>
      <c r="AE8058" t="s">
        <v>80</v>
      </c>
      <c r="AG8058" t="s">
        <v>81</v>
      </c>
    </row>
    <row r="8059" spans="1:33" x14ac:dyDescent="0.25">
      <c r="A8059" t="str">
        <f>"1831325265"</f>
        <v>1831325265</v>
      </c>
      <c r="B8059" t="str">
        <f>"03105942"</f>
        <v>03105942</v>
      </c>
      <c r="C8059" t="s">
        <v>13436</v>
      </c>
      <c r="D8059" t="s">
        <v>35262</v>
      </c>
      <c r="E8059" t="s">
        <v>35263</v>
      </c>
      <c r="G8059" t="s">
        <v>35264</v>
      </c>
      <c r="L8059" t="s">
        <v>83</v>
      </c>
      <c r="M8059" t="s">
        <v>85</v>
      </c>
      <c r="R8059" t="s">
        <v>35265</v>
      </c>
      <c r="W8059" t="s">
        <v>35266</v>
      </c>
      <c r="X8059" t="s">
        <v>191</v>
      </c>
      <c r="Y8059" t="s">
        <v>97</v>
      </c>
      <c r="Z8059" t="s">
        <v>77</v>
      </c>
      <c r="AA8059" t="str">
        <f>"10019-1147"</f>
        <v>10019-1147</v>
      </c>
      <c r="AB8059" t="s">
        <v>78</v>
      </c>
      <c r="AC8059" t="s">
        <v>79</v>
      </c>
      <c r="AD8059" t="s">
        <v>75</v>
      </c>
      <c r="AE8059" t="s">
        <v>80</v>
      </c>
      <c r="AG8059" t="s">
        <v>81</v>
      </c>
    </row>
    <row r="8060" spans="1:33" x14ac:dyDescent="0.25">
      <c r="A8060" t="str">
        <f>"1831346550"</f>
        <v>1831346550</v>
      </c>
      <c r="B8060" t="str">
        <f>"04250868"</f>
        <v>04250868</v>
      </c>
      <c r="C8060" t="s">
        <v>13436</v>
      </c>
      <c r="D8060" t="s">
        <v>35267</v>
      </c>
      <c r="E8060" t="s">
        <v>35268</v>
      </c>
      <c r="G8060" t="s">
        <v>35269</v>
      </c>
      <c r="L8060" t="s">
        <v>105</v>
      </c>
      <c r="M8060" t="s">
        <v>85</v>
      </c>
      <c r="R8060" t="s">
        <v>35270</v>
      </c>
      <c r="W8060" t="s">
        <v>35268</v>
      </c>
      <c r="X8060" t="s">
        <v>659</v>
      </c>
      <c r="Y8060" t="s">
        <v>87</v>
      </c>
      <c r="Z8060" t="s">
        <v>77</v>
      </c>
      <c r="AA8060" t="str">
        <f>"11219-2918"</f>
        <v>11219-2918</v>
      </c>
      <c r="AB8060" t="s">
        <v>78</v>
      </c>
      <c r="AC8060" t="s">
        <v>79</v>
      </c>
      <c r="AD8060" t="s">
        <v>75</v>
      </c>
      <c r="AE8060" t="s">
        <v>80</v>
      </c>
      <c r="AG8060" t="s">
        <v>81</v>
      </c>
    </row>
    <row r="8061" spans="1:33" x14ac:dyDescent="0.25">
      <c r="A8061" t="str">
        <f>"1831358472"</f>
        <v>1831358472</v>
      </c>
      <c r="B8061" t="str">
        <f>"03414766"</f>
        <v>03414766</v>
      </c>
      <c r="C8061" t="s">
        <v>13436</v>
      </c>
      <c r="D8061" t="s">
        <v>35271</v>
      </c>
      <c r="E8061" t="s">
        <v>35272</v>
      </c>
      <c r="G8061" t="s">
        <v>35273</v>
      </c>
      <c r="L8061" t="s">
        <v>83</v>
      </c>
      <c r="M8061" t="s">
        <v>75</v>
      </c>
      <c r="R8061" t="s">
        <v>35274</v>
      </c>
      <c r="W8061" t="s">
        <v>35275</v>
      </c>
      <c r="X8061" t="s">
        <v>200</v>
      </c>
      <c r="Y8061" t="s">
        <v>97</v>
      </c>
      <c r="Z8061" t="s">
        <v>77</v>
      </c>
      <c r="AA8061" t="str">
        <f>"10032-3720"</f>
        <v>10032-3720</v>
      </c>
      <c r="AB8061" t="s">
        <v>78</v>
      </c>
      <c r="AC8061" t="s">
        <v>79</v>
      </c>
      <c r="AD8061" t="s">
        <v>75</v>
      </c>
      <c r="AE8061" t="s">
        <v>80</v>
      </c>
      <c r="AG8061" t="s">
        <v>81</v>
      </c>
    </row>
    <row r="8062" spans="1:33" x14ac:dyDescent="0.25">
      <c r="A8062" t="str">
        <f>"1710202692"</f>
        <v>1710202692</v>
      </c>
      <c r="B8062" t="str">
        <f>"03218811"</f>
        <v>03218811</v>
      </c>
      <c r="C8062" t="s">
        <v>13436</v>
      </c>
      <c r="D8062" t="s">
        <v>35276</v>
      </c>
      <c r="E8062" t="s">
        <v>35277</v>
      </c>
      <c r="L8062" t="s">
        <v>74</v>
      </c>
      <c r="M8062" t="s">
        <v>75</v>
      </c>
      <c r="R8062" t="s">
        <v>35277</v>
      </c>
      <c r="W8062" t="s">
        <v>35277</v>
      </c>
      <c r="X8062" t="s">
        <v>365</v>
      </c>
      <c r="Y8062" t="s">
        <v>236</v>
      </c>
      <c r="Z8062" t="s">
        <v>77</v>
      </c>
      <c r="AA8062" t="str">
        <f>"11102-2448"</f>
        <v>11102-2448</v>
      </c>
      <c r="AB8062" t="s">
        <v>78</v>
      </c>
      <c r="AC8062" t="s">
        <v>79</v>
      </c>
      <c r="AD8062" t="s">
        <v>75</v>
      </c>
      <c r="AE8062" t="s">
        <v>80</v>
      </c>
      <c r="AG8062" t="s">
        <v>81</v>
      </c>
    </row>
    <row r="8063" spans="1:33" x14ac:dyDescent="0.25">
      <c r="A8063" t="str">
        <f>"1710204334"</f>
        <v>1710204334</v>
      </c>
      <c r="C8063" t="s">
        <v>13436</v>
      </c>
      <c r="K8063" t="s">
        <v>99</v>
      </c>
      <c r="L8063" t="s">
        <v>102</v>
      </c>
      <c r="M8063" t="s">
        <v>75</v>
      </c>
      <c r="R8063" t="s">
        <v>35278</v>
      </c>
      <c r="S8063" t="s">
        <v>35279</v>
      </c>
      <c r="T8063" t="s">
        <v>97</v>
      </c>
      <c r="U8063" t="s">
        <v>77</v>
      </c>
      <c r="V8063" t="str">
        <f>"100296504"</f>
        <v>100296504</v>
      </c>
      <c r="AC8063" t="s">
        <v>79</v>
      </c>
      <c r="AD8063" t="s">
        <v>75</v>
      </c>
      <c r="AE8063" t="s">
        <v>103</v>
      </c>
      <c r="AG8063" t="s">
        <v>81</v>
      </c>
    </row>
    <row r="8064" spans="1:33" x14ac:dyDescent="0.25">
      <c r="A8064" t="str">
        <f>"1245521731"</f>
        <v>1245521731</v>
      </c>
      <c r="B8064" t="str">
        <f>"04209014"</f>
        <v>04209014</v>
      </c>
      <c r="C8064" t="s">
        <v>13436</v>
      </c>
      <c r="D8064" t="s">
        <v>35280</v>
      </c>
      <c r="E8064" t="s">
        <v>35281</v>
      </c>
      <c r="L8064" t="s">
        <v>105</v>
      </c>
      <c r="M8064" t="s">
        <v>75</v>
      </c>
      <c r="R8064" t="s">
        <v>35281</v>
      </c>
      <c r="W8064" t="s">
        <v>35281</v>
      </c>
      <c r="X8064" t="s">
        <v>443</v>
      </c>
      <c r="Y8064" t="s">
        <v>97</v>
      </c>
      <c r="Z8064" t="s">
        <v>77</v>
      </c>
      <c r="AA8064" t="str">
        <f>"10075-1850"</f>
        <v>10075-1850</v>
      </c>
      <c r="AB8064" t="s">
        <v>78</v>
      </c>
      <c r="AC8064" t="s">
        <v>79</v>
      </c>
      <c r="AD8064" t="s">
        <v>75</v>
      </c>
      <c r="AE8064" t="s">
        <v>80</v>
      </c>
      <c r="AG8064" t="s">
        <v>81</v>
      </c>
    </row>
    <row r="8065" spans="1:33" x14ac:dyDescent="0.25">
      <c r="A8065" t="str">
        <f>"1245524933"</f>
        <v>1245524933</v>
      </c>
      <c r="B8065" t="str">
        <f>"04208568"</f>
        <v>04208568</v>
      </c>
      <c r="C8065" t="s">
        <v>13436</v>
      </c>
      <c r="D8065" t="s">
        <v>35282</v>
      </c>
      <c r="E8065" t="s">
        <v>35283</v>
      </c>
      <c r="L8065" t="s">
        <v>74</v>
      </c>
      <c r="M8065" t="s">
        <v>75</v>
      </c>
      <c r="R8065" t="s">
        <v>35284</v>
      </c>
      <c r="W8065" t="s">
        <v>35283</v>
      </c>
      <c r="X8065" t="s">
        <v>30770</v>
      </c>
      <c r="Y8065" t="s">
        <v>97</v>
      </c>
      <c r="Z8065" t="s">
        <v>77</v>
      </c>
      <c r="AA8065" t="str">
        <f>"10029-6504"</f>
        <v>10029-6504</v>
      </c>
      <c r="AB8065" t="s">
        <v>78</v>
      </c>
      <c r="AC8065" t="s">
        <v>79</v>
      </c>
      <c r="AD8065" t="s">
        <v>75</v>
      </c>
      <c r="AE8065" t="s">
        <v>80</v>
      </c>
      <c r="AG8065" t="s">
        <v>81</v>
      </c>
    </row>
    <row r="8066" spans="1:33" x14ac:dyDescent="0.25">
      <c r="A8066" t="str">
        <f>"1245525294"</f>
        <v>1245525294</v>
      </c>
      <c r="C8066" t="s">
        <v>13436</v>
      </c>
      <c r="K8066" t="s">
        <v>99</v>
      </c>
      <c r="L8066" t="s">
        <v>102</v>
      </c>
      <c r="M8066" t="s">
        <v>75</v>
      </c>
      <c r="R8066" t="s">
        <v>35285</v>
      </c>
      <c r="S8066" t="s">
        <v>35286</v>
      </c>
      <c r="T8066" t="s">
        <v>97</v>
      </c>
      <c r="U8066" t="s">
        <v>77</v>
      </c>
      <c r="V8066" t="str">
        <f>"100191147"</f>
        <v>100191147</v>
      </c>
      <c r="AC8066" t="s">
        <v>79</v>
      </c>
      <c r="AD8066" t="s">
        <v>75</v>
      </c>
      <c r="AE8066" t="s">
        <v>103</v>
      </c>
      <c r="AG8066" t="s">
        <v>81</v>
      </c>
    </row>
    <row r="8067" spans="1:33" x14ac:dyDescent="0.25">
      <c r="A8067" t="str">
        <f>"1245526433"</f>
        <v>1245526433</v>
      </c>
      <c r="C8067" t="s">
        <v>13436</v>
      </c>
      <c r="K8067" t="s">
        <v>99</v>
      </c>
      <c r="L8067" t="s">
        <v>102</v>
      </c>
      <c r="M8067" t="s">
        <v>75</v>
      </c>
      <c r="R8067" t="s">
        <v>35287</v>
      </c>
      <c r="S8067" t="s">
        <v>329</v>
      </c>
      <c r="T8067" t="s">
        <v>97</v>
      </c>
      <c r="U8067" t="s">
        <v>77</v>
      </c>
      <c r="V8067" t="str">
        <f>"100296504"</f>
        <v>100296504</v>
      </c>
      <c r="AC8067" t="s">
        <v>79</v>
      </c>
      <c r="AD8067" t="s">
        <v>75</v>
      </c>
      <c r="AE8067" t="s">
        <v>103</v>
      </c>
      <c r="AG8067" t="s">
        <v>81</v>
      </c>
    </row>
    <row r="8068" spans="1:33" x14ac:dyDescent="0.25">
      <c r="A8068" t="str">
        <f>"1245539493"</f>
        <v>1245539493</v>
      </c>
      <c r="B8068" t="str">
        <f>"04207741"</f>
        <v>04207741</v>
      </c>
      <c r="C8068" t="s">
        <v>13436</v>
      </c>
      <c r="D8068" t="s">
        <v>35288</v>
      </c>
      <c r="E8068" t="s">
        <v>35289</v>
      </c>
      <c r="L8068" t="s">
        <v>74</v>
      </c>
      <c r="M8068" t="s">
        <v>75</v>
      </c>
      <c r="R8068" t="s">
        <v>35290</v>
      </c>
      <c r="W8068" t="s">
        <v>35291</v>
      </c>
      <c r="X8068" t="s">
        <v>1780</v>
      </c>
      <c r="Y8068" t="s">
        <v>124</v>
      </c>
      <c r="Z8068" t="s">
        <v>77</v>
      </c>
      <c r="AA8068" t="str">
        <f>"14642-0001"</f>
        <v>14642-0001</v>
      </c>
      <c r="AB8068" t="s">
        <v>78</v>
      </c>
      <c r="AC8068" t="s">
        <v>79</v>
      </c>
      <c r="AD8068" t="s">
        <v>75</v>
      </c>
      <c r="AE8068" t="s">
        <v>80</v>
      </c>
      <c r="AG8068" t="s">
        <v>81</v>
      </c>
    </row>
    <row r="8069" spans="1:33" x14ac:dyDescent="0.25">
      <c r="A8069" t="str">
        <f>"1245554880"</f>
        <v>1245554880</v>
      </c>
      <c r="B8069" t="str">
        <f>"04158361"</f>
        <v>04158361</v>
      </c>
      <c r="C8069" t="s">
        <v>13436</v>
      </c>
      <c r="D8069" t="s">
        <v>35292</v>
      </c>
      <c r="E8069" t="s">
        <v>35293</v>
      </c>
      <c r="L8069" t="s">
        <v>105</v>
      </c>
      <c r="M8069" t="s">
        <v>75</v>
      </c>
      <c r="R8069" t="s">
        <v>35294</v>
      </c>
      <c r="W8069" t="s">
        <v>35293</v>
      </c>
      <c r="X8069" t="s">
        <v>329</v>
      </c>
      <c r="Y8069" t="s">
        <v>97</v>
      </c>
      <c r="Z8069" t="s">
        <v>77</v>
      </c>
      <c r="AA8069" t="str">
        <f>"10029-6504"</f>
        <v>10029-6504</v>
      </c>
      <c r="AB8069" t="s">
        <v>78</v>
      </c>
      <c r="AC8069" t="s">
        <v>79</v>
      </c>
      <c r="AD8069" t="s">
        <v>75</v>
      </c>
      <c r="AE8069" t="s">
        <v>80</v>
      </c>
      <c r="AG8069" t="s">
        <v>81</v>
      </c>
    </row>
    <row r="8070" spans="1:33" x14ac:dyDescent="0.25">
      <c r="A8070" t="str">
        <f>"1245556984"</f>
        <v>1245556984</v>
      </c>
      <c r="C8070" t="s">
        <v>13436</v>
      </c>
      <c r="K8070" t="s">
        <v>99</v>
      </c>
      <c r="L8070" t="s">
        <v>102</v>
      </c>
      <c r="M8070" t="s">
        <v>75</v>
      </c>
      <c r="R8070" t="s">
        <v>35295</v>
      </c>
      <c r="S8070" t="s">
        <v>35296</v>
      </c>
      <c r="T8070" t="s">
        <v>97</v>
      </c>
      <c r="U8070" t="s">
        <v>77</v>
      </c>
      <c r="V8070" t="str">
        <f>"100117908"</f>
        <v>100117908</v>
      </c>
      <c r="AC8070" t="s">
        <v>79</v>
      </c>
      <c r="AD8070" t="s">
        <v>75</v>
      </c>
      <c r="AE8070" t="s">
        <v>103</v>
      </c>
      <c r="AG8070" t="s">
        <v>81</v>
      </c>
    </row>
    <row r="8071" spans="1:33" x14ac:dyDescent="0.25">
      <c r="A8071" t="str">
        <f>"1245557891"</f>
        <v>1245557891</v>
      </c>
      <c r="B8071" t="str">
        <f>"04598743"</f>
        <v>04598743</v>
      </c>
      <c r="C8071" t="s">
        <v>13436</v>
      </c>
      <c r="D8071" t="s">
        <v>35297</v>
      </c>
      <c r="E8071" t="s">
        <v>35298</v>
      </c>
      <c r="L8071" t="s">
        <v>102</v>
      </c>
      <c r="M8071" t="s">
        <v>75</v>
      </c>
      <c r="R8071" t="s">
        <v>35299</v>
      </c>
      <c r="W8071" t="s">
        <v>35298</v>
      </c>
      <c r="AB8071" t="s">
        <v>78</v>
      </c>
      <c r="AC8071" t="s">
        <v>79</v>
      </c>
      <c r="AD8071" t="s">
        <v>75</v>
      </c>
      <c r="AE8071" t="s">
        <v>80</v>
      </c>
      <c r="AG8071" t="s">
        <v>81</v>
      </c>
    </row>
    <row r="8072" spans="1:33" x14ac:dyDescent="0.25">
      <c r="A8072" t="str">
        <f>"1245579630"</f>
        <v>1245579630</v>
      </c>
      <c r="B8072" t="str">
        <f>"04612039"</f>
        <v>04612039</v>
      </c>
      <c r="C8072" t="s">
        <v>13436</v>
      </c>
      <c r="D8072" t="s">
        <v>35300</v>
      </c>
      <c r="E8072" t="s">
        <v>35301</v>
      </c>
      <c r="G8072" t="s">
        <v>35302</v>
      </c>
      <c r="L8072" t="s">
        <v>102</v>
      </c>
      <c r="M8072" t="s">
        <v>75</v>
      </c>
      <c r="R8072" t="s">
        <v>35303</v>
      </c>
      <c r="W8072" t="s">
        <v>35301</v>
      </c>
      <c r="AB8072" t="s">
        <v>78</v>
      </c>
      <c r="AC8072" t="s">
        <v>79</v>
      </c>
      <c r="AD8072" t="s">
        <v>75</v>
      </c>
      <c r="AE8072" t="s">
        <v>80</v>
      </c>
      <c r="AG8072" t="s">
        <v>81</v>
      </c>
    </row>
    <row r="8073" spans="1:33" x14ac:dyDescent="0.25">
      <c r="A8073" t="str">
        <f>"1245583160"</f>
        <v>1245583160</v>
      </c>
      <c r="B8073" t="str">
        <f>"03795957"</f>
        <v>03795957</v>
      </c>
      <c r="C8073" t="s">
        <v>13436</v>
      </c>
      <c r="D8073" t="s">
        <v>35304</v>
      </c>
      <c r="E8073" t="s">
        <v>35305</v>
      </c>
      <c r="L8073" t="s">
        <v>74</v>
      </c>
      <c r="M8073" t="s">
        <v>75</v>
      </c>
      <c r="R8073" t="s">
        <v>35306</v>
      </c>
      <c r="W8073" t="s">
        <v>35305</v>
      </c>
      <c r="X8073" t="s">
        <v>35307</v>
      </c>
      <c r="Y8073" t="s">
        <v>87</v>
      </c>
      <c r="Z8073" t="s">
        <v>77</v>
      </c>
      <c r="AA8073" t="str">
        <f>"11235-7745"</f>
        <v>11235-7745</v>
      </c>
      <c r="AB8073" t="s">
        <v>78</v>
      </c>
      <c r="AC8073" t="s">
        <v>79</v>
      </c>
      <c r="AD8073" t="s">
        <v>75</v>
      </c>
      <c r="AE8073" t="s">
        <v>80</v>
      </c>
      <c r="AG8073" t="s">
        <v>81</v>
      </c>
    </row>
    <row r="8074" spans="1:33" x14ac:dyDescent="0.25">
      <c r="A8074" t="str">
        <f>"1346296720"</f>
        <v>1346296720</v>
      </c>
      <c r="B8074" t="str">
        <f>"03008257"</f>
        <v>03008257</v>
      </c>
      <c r="C8074" t="s">
        <v>35308</v>
      </c>
      <c r="D8074" t="s">
        <v>973</v>
      </c>
      <c r="E8074" t="s">
        <v>974</v>
      </c>
      <c r="L8074" t="s">
        <v>119</v>
      </c>
      <c r="M8074" t="s">
        <v>85</v>
      </c>
      <c r="R8074" t="s">
        <v>1749</v>
      </c>
      <c r="W8074" t="s">
        <v>974</v>
      </c>
      <c r="X8074" t="s">
        <v>975</v>
      </c>
      <c r="Y8074" t="s">
        <v>976</v>
      </c>
      <c r="Z8074" t="s">
        <v>77</v>
      </c>
      <c r="AA8074" t="str">
        <f t="shared" ref="AA8074:AA8080" si="8">"12302-4523"</f>
        <v>12302-4523</v>
      </c>
      <c r="AB8074" t="s">
        <v>93</v>
      </c>
      <c r="AC8074" t="s">
        <v>79</v>
      </c>
      <c r="AD8074" t="s">
        <v>75</v>
      </c>
      <c r="AE8074" t="s">
        <v>80</v>
      </c>
      <c r="AG8074" t="s">
        <v>81</v>
      </c>
    </row>
    <row r="8075" spans="1:33" x14ac:dyDescent="0.25">
      <c r="A8075" t="str">
        <f>"1356396543"</f>
        <v>1356396543</v>
      </c>
      <c r="B8075" t="str">
        <f>"03008266"</f>
        <v>03008266</v>
      </c>
      <c r="C8075" t="s">
        <v>35308</v>
      </c>
      <c r="D8075" t="s">
        <v>973</v>
      </c>
      <c r="E8075" t="s">
        <v>974</v>
      </c>
      <c r="L8075" t="s">
        <v>119</v>
      </c>
      <c r="M8075" t="s">
        <v>85</v>
      </c>
      <c r="R8075" t="s">
        <v>1749</v>
      </c>
      <c r="W8075" t="s">
        <v>974</v>
      </c>
      <c r="X8075" t="s">
        <v>975</v>
      </c>
      <c r="Y8075" t="s">
        <v>976</v>
      </c>
      <c r="Z8075" t="s">
        <v>77</v>
      </c>
      <c r="AA8075" t="str">
        <f t="shared" si="8"/>
        <v>12302-4523</v>
      </c>
      <c r="AB8075" t="s">
        <v>96</v>
      </c>
      <c r="AC8075" t="s">
        <v>79</v>
      </c>
      <c r="AD8075" t="s">
        <v>75</v>
      </c>
      <c r="AE8075" t="s">
        <v>80</v>
      </c>
      <c r="AG8075" t="s">
        <v>81</v>
      </c>
    </row>
    <row r="8076" spans="1:33" x14ac:dyDescent="0.25">
      <c r="A8076" t="str">
        <f>"1366498768"</f>
        <v>1366498768</v>
      </c>
      <c r="B8076" t="str">
        <f>"03008275"</f>
        <v>03008275</v>
      </c>
      <c r="C8076" t="s">
        <v>35308</v>
      </c>
      <c r="D8076" t="s">
        <v>973</v>
      </c>
      <c r="E8076" t="s">
        <v>974</v>
      </c>
      <c r="L8076" t="s">
        <v>119</v>
      </c>
      <c r="M8076" t="s">
        <v>85</v>
      </c>
      <c r="R8076" t="s">
        <v>1749</v>
      </c>
      <c r="W8076" t="s">
        <v>974</v>
      </c>
      <c r="X8076" t="s">
        <v>975</v>
      </c>
      <c r="Y8076" t="s">
        <v>976</v>
      </c>
      <c r="Z8076" t="s">
        <v>77</v>
      </c>
      <c r="AA8076" t="str">
        <f t="shared" si="8"/>
        <v>12302-4523</v>
      </c>
      <c r="AB8076" t="s">
        <v>96</v>
      </c>
      <c r="AC8076" t="s">
        <v>79</v>
      </c>
      <c r="AD8076" t="s">
        <v>75</v>
      </c>
      <c r="AE8076" t="s">
        <v>80</v>
      </c>
      <c r="AG8076" t="s">
        <v>81</v>
      </c>
    </row>
    <row r="8077" spans="1:33" x14ac:dyDescent="0.25">
      <c r="A8077" t="str">
        <f>"1366632986"</f>
        <v>1366632986</v>
      </c>
      <c r="B8077" t="str">
        <f>"03008284"</f>
        <v>03008284</v>
      </c>
      <c r="C8077" t="s">
        <v>35308</v>
      </c>
      <c r="D8077" t="s">
        <v>973</v>
      </c>
      <c r="E8077" t="s">
        <v>974</v>
      </c>
      <c r="L8077" t="s">
        <v>119</v>
      </c>
      <c r="M8077" t="s">
        <v>85</v>
      </c>
      <c r="R8077" t="s">
        <v>1749</v>
      </c>
      <c r="W8077" t="s">
        <v>974</v>
      </c>
      <c r="X8077" t="s">
        <v>2385</v>
      </c>
      <c r="Y8077" t="s">
        <v>976</v>
      </c>
      <c r="Z8077" t="s">
        <v>77</v>
      </c>
      <c r="AA8077" t="str">
        <f t="shared" si="8"/>
        <v>12302-4523</v>
      </c>
      <c r="AB8077" t="s">
        <v>96</v>
      </c>
      <c r="AC8077" t="s">
        <v>79</v>
      </c>
      <c r="AD8077" t="s">
        <v>75</v>
      </c>
      <c r="AE8077" t="s">
        <v>80</v>
      </c>
      <c r="AG8077" t="s">
        <v>81</v>
      </c>
    </row>
    <row r="8078" spans="1:33" x14ac:dyDescent="0.25">
      <c r="A8078" t="str">
        <f>"1649225897"</f>
        <v>1649225897</v>
      </c>
      <c r="B8078" t="str">
        <f>"03008308"</f>
        <v>03008308</v>
      </c>
      <c r="C8078" t="s">
        <v>35308</v>
      </c>
      <c r="D8078" t="s">
        <v>973</v>
      </c>
      <c r="E8078" t="s">
        <v>974</v>
      </c>
      <c r="L8078" t="s">
        <v>119</v>
      </c>
      <c r="M8078" t="s">
        <v>85</v>
      </c>
      <c r="R8078" t="s">
        <v>1749</v>
      </c>
      <c r="W8078" t="s">
        <v>974</v>
      </c>
      <c r="X8078" t="s">
        <v>975</v>
      </c>
      <c r="Y8078" t="s">
        <v>976</v>
      </c>
      <c r="Z8078" t="s">
        <v>77</v>
      </c>
      <c r="AA8078" t="str">
        <f t="shared" si="8"/>
        <v>12302-4523</v>
      </c>
      <c r="AB8078" t="s">
        <v>96</v>
      </c>
      <c r="AC8078" t="s">
        <v>79</v>
      </c>
      <c r="AD8078" t="s">
        <v>75</v>
      </c>
      <c r="AE8078" t="s">
        <v>80</v>
      </c>
      <c r="AG8078" t="s">
        <v>81</v>
      </c>
    </row>
    <row r="8079" spans="1:33" x14ac:dyDescent="0.25">
      <c r="A8079" t="str">
        <f>"1730379504"</f>
        <v>1730379504</v>
      </c>
      <c r="B8079" t="str">
        <f>"03008317"</f>
        <v>03008317</v>
      </c>
      <c r="C8079" t="s">
        <v>35308</v>
      </c>
      <c r="D8079" t="s">
        <v>973</v>
      </c>
      <c r="E8079" t="s">
        <v>974</v>
      </c>
      <c r="L8079" t="s">
        <v>119</v>
      </c>
      <c r="M8079" t="s">
        <v>85</v>
      </c>
      <c r="R8079" t="s">
        <v>1749</v>
      </c>
      <c r="W8079" t="s">
        <v>974</v>
      </c>
      <c r="X8079" t="s">
        <v>2385</v>
      </c>
      <c r="Y8079" t="s">
        <v>976</v>
      </c>
      <c r="Z8079" t="s">
        <v>77</v>
      </c>
      <c r="AA8079" t="str">
        <f t="shared" si="8"/>
        <v>12302-4523</v>
      </c>
      <c r="AB8079" t="s">
        <v>96</v>
      </c>
      <c r="AC8079" t="s">
        <v>79</v>
      </c>
      <c r="AD8079" t="s">
        <v>75</v>
      </c>
      <c r="AE8079" t="s">
        <v>80</v>
      </c>
      <c r="AG8079" t="s">
        <v>81</v>
      </c>
    </row>
    <row r="8080" spans="1:33" x14ac:dyDescent="0.25">
      <c r="A8080" t="str">
        <f>"1972558179"</f>
        <v>1972558179</v>
      </c>
      <c r="B8080" t="str">
        <f>"03008326"</f>
        <v>03008326</v>
      </c>
      <c r="C8080" t="s">
        <v>35308</v>
      </c>
      <c r="D8080" t="s">
        <v>973</v>
      </c>
      <c r="E8080" t="s">
        <v>974</v>
      </c>
      <c r="L8080" t="s">
        <v>119</v>
      </c>
      <c r="M8080" t="s">
        <v>85</v>
      </c>
      <c r="R8080" t="s">
        <v>1749</v>
      </c>
      <c r="W8080" t="s">
        <v>974</v>
      </c>
      <c r="X8080" t="s">
        <v>975</v>
      </c>
      <c r="Y8080" t="s">
        <v>976</v>
      </c>
      <c r="Z8080" t="s">
        <v>77</v>
      </c>
      <c r="AA8080" t="str">
        <f t="shared" si="8"/>
        <v>12302-4523</v>
      </c>
      <c r="AB8080" t="s">
        <v>96</v>
      </c>
      <c r="AC8080" t="s">
        <v>79</v>
      </c>
      <c r="AD8080" t="s">
        <v>75</v>
      </c>
      <c r="AE8080" t="s">
        <v>80</v>
      </c>
      <c r="AG8080" t="s">
        <v>81</v>
      </c>
    </row>
    <row r="8081" spans="1:33" x14ac:dyDescent="0.25">
      <c r="A8081" t="str">
        <f>"1033164900"</f>
        <v>1033164900</v>
      </c>
      <c r="B8081" t="str">
        <f>"01420795"</f>
        <v>01420795</v>
      </c>
      <c r="C8081" t="s">
        <v>35309</v>
      </c>
      <c r="D8081" t="s">
        <v>618</v>
      </c>
      <c r="E8081" t="s">
        <v>619</v>
      </c>
      <c r="L8081" t="s">
        <v>119</v>
      </c>
      <c r="M8081" t="s">
        <v>85</v>
      </c>
      <c r="R8081" t="s">
        <v>617</v>
      </c>
      <c r="W8081" t="s">
        <v>619</v>
      </c>
      <c r="X8081" t="s">
        <v>621</v>
      </c>
      <c r="Y8081" t="s">
        <v>310</v>
      </c>
      <c r="Z8081" t="s">
        <v>77</v>
      </c>
      <c r="AA8081" t="str">
        <f>"10512-1921"</f>
        <v>10512-1921</v>
      </c>
      <c r="AB8081" t="s">
        <v>96</v>
      </c>
      <c r="AC8081" t="s">
        <v>79</v>
      </c>
      <c r="AD8081" t="s">
        <v>75</v>
      </c>
      <c r="AE8081" t="s">
        <v>80</v>
      </c>
      <c r="AG8081" t="s">
        <v>81</v>
      </c>
    </row>
    <row r="8082" spans="1:33" x14ac:dyDescent="0.25">
      <c r="A8082" t="str">
        <f>"1154511764"</f>
        <v>1154511764</v>
      </c>
      <c r="B8082" t="str">
        <f>"03008106"</f>
        <v>03008106</v>
      </c>
      <c r="C8082" t="s">
        <v>35309</v>
      </c>
      <c r="D8082" t="s">
        <v>618</v>
      </c>
      <c r="E8082" t="s">
        <v>619</v>
      </c>
      <c r="L8082" t="s">
        <v>119</v>
      </c>
      <c r="M8082" t="s">
        <v>85</v>
      </c>
      <c r="R8082" t="s">
        <v>617</v>
      </c>
      <c r="W8082" t="s">
        <v>619</v>
      </c>
      <c r="X8082" t="s">
        <v>621</v>
      </c>
      <c r="Y8082" t="s">
        <v>310</v>
      </c>
      <c r="Z8082" t="s">
        <v>77</v>
      </c>
      <c r="AA8082" t="str">
        <f>"10512"</f>
        <v>10512</v>
      </c>
      <c r="AB8082" t="s">
        <v>96</v>
      </c>
      <c r="AC8082" t="s">
        <v>79</v>
      </c>
      <c r="AD8082" t="s">
        <v>75</v>
      </c>
      <c r="AE8082" t="s">
        <v>80</v>
      </c>
      <c r="AG8082" t="s">
        <v>81</v>
      </c>
    </row>
    <row r="8083" spans="1:33" x14ac:dyDescent="0.25">
      <c r="A8083" t="str">
        <f>"1225228711"</f>
        <v>1225228711</v>
      </c>
      <c r="B8083" t="str">
        <f>"03008115"</f>
        <v>03008115</v>
      </c>
      <c r="C8083" t="s">
        <v>35309</v>
      </c>
      <c r="D8083" t="s">
        <v>618</v>
      </c>
      <c r="E8083" t="s">
        <v>619</v>
      </c>
      <c r="L8083" t="s">
        <v>119</v>
      </c>
      <c r="M8083" t="s">
        <v>85</v>
      </c>
      <c r="R8083" t="s">
        <v>617</v>
      </c>
      <c r="W8083" t="s">
        <v>619</v>
      </c>
      <c r="X8083" t="s">
        <v>621</v>
      </c>
      <c r="Y8083" t="s">
        <v>310</v>
      </c>
      <c r="Z8083" t="s">
        <v>77</v>
      </c>
      <c r="AA8083" t="str">
        <f>"10512"</f>
        <v>10512</v>
      </c>
      <c r="AB8083" t="s">
        <v>96</v>
      </c>
      <c r="AC8083" t="s">
        <v>79</v>
      </c>
      <c r="AD8083" t="s">
        <v>75</v>
      </c>
      <c r="AE8083" t="s">
        <v>80</v>
      </c>
      <c r="AG8083" t="s">
        <v>81</v>
      </c>
    </row>
    <row r="8084" spans="1:33" x14ac:dyDescent="0.25">
      <c r="A8084" t="str">
        <f>"1235184227"</f>
        <v>1235184227</v>
      </c>
      <c r="B8084" t="str">
        <f>"03008124"</f>
        <v>03008124</v>
      </c>
      <c r="C8084" t="s">
        <v>35309</v>
      </c>
      <c r="D8084" t="s">
        <v>618</v>
      </c>
      <c r="E8084" t="s">
        <v>619</v>
      </c>
      <c r="L8084" t="s">
        <v>119</v>
      </c>
      <c r="M8084" t="s">
        <v>85</v>
      </c>
      <c r="R8084" t="s">
        <v>617</v>
      </c>
      <c r="W8084" t="s">
        <v>619</v>
      </c>
      <c r="X8084" t="s">
        <v>621</v>
      </c>
      <c r="Y8084" t="s">
        <v>310</v>
      </c>
      <c r="Z8084" t="s">
        <v>77</v>
      </c>
      <c r="AA8084" t="str">
        <f>"10512"</f>
        <v>10512</v>
      </c>
      <c r="AB8084" t="s">
        <v>96</v>
      </c>
      <c r="AC8084" t="s">
        <v>79</v>
      </c>
      <c r="AD8084" t="s">
        <v>75</v>
      </c>
      <c r="AE8084" t="s">
        <v>80</v>
      </c>
      <c r="AG8084" t="s">
        <v>81</v>
      </c>
    </row>
    <row r="8085" spans="1:33" x14ac:dyDescent="0.25">
      <c r="A8085" t="str">
        <f>"1740406768"</f>
        <v>1740406768</v>
      </c>
      <c r="B8085" t="str">
        <f>"03741595"</f>
        <v>03741595</v>
      </c>
      <c r="C8085" t="s">
        <v>13436</v>
      </c>
      <c r="D8085" t="s">
        <v>35310</v>
      </c>
      <c r="E8085" t="s">
        <v>35311</v>
      </c>
      <c r="G8085" t="s">
        <v>35312</v>
      </c>
      <c r="L8085" t="s">
        <v>102</v>
      </c>
      <c r="M8085" t="s">
        <v>75</v>
      </c>
      <c r="R8085" t="s">
        <v>35313</v>
      </c>
      <c r="W8085" t="s">
        <v>35311</v>
      </c>
      <c r="X8085" t="s">
        <v>32354</v>
      </c>
      <c r="Y8085" t="s">
        <v>97</v>
      </c>
      <c r="Z8085" t="s">
        <v>77</v>
      </c>
      <c r="AA8085" t="str">
        <f>"10029-6501"</f>
        <v>10029-6501</v>
      </c>
      <c r="AB8085" t="s">
        <v>78</v>
      </c>
      <c r="AC8085" t="s">
        <v>79</v>
      </c>
      <c r="AD8085" t="s">
        <v>75</v>
      </c>
      <c r="AE8085" t="s">
        <v>80</v>
      </c>
      <c r="AG8085" t="s">
        <v>81</v>
      </c>
    </row>
    <row r="8086" spans="1:33" x14ac:dyDescent="0.25">
      <c r="A8086" t="str">
        <f>"1740414796"</f>
        <v>1740414796</v>
      </c>
      <c r="B8086" t="str">
        <f>"03219789"</f>
        <v>03219789</v>
      </c>
      <c r="C8086" t="s">
        <v>13436</v>
      </c>
      <c r="D8086" t="s">
        <v>35314</v>
      </c>
      <c r="E8086" t="s">
        <v>35315</v>
      </c>
      <c r="G8086" t="s">
        <v>35316</v>
      </c>
      <c r="L8086" t="s">
        <v>83</v>
      </c>
      <c r="M8086" t="s">
        <v>85</v>
      </c>
      <c r="R8086" t="s">
        <v>35317</v>
      </c>
      <c r="W8086" t="s">
        <v>35318</v>
      </c>
      <c r="X8086" t="s">
        <v>329</v>
      </c>
      <c r="Y8086" t="s">
        <v>97</v>
      </c>
      <c r="Z8086" t="s">
        <v>77</v>
      </c>
      <c r="AA8086" t="str">
        <f>"10029-6500"</f>
        <v>10029-6500</v>
      </c>
      <c r="AB8086" t="s">
        <v>78</v>
      </c>
      <c r="AC8086" t="s">
        <v>79</v>
      </c>
      <c r="AD8086" t="s">
        <v>75</v>
      </c>
      <c r="AE8086" t="s">
        <v>80</v>
      </c>
      <c r="AG8086" t="s">
        <v>81</v>
      </c>
    </row>
    <row r="8087" spans="1:33" x14ac:dyDescent="0.25">
      <c r="A8087" t="str">
        <f>"1740415900"</f>
        <v>1740415900</v>
      </c>
      <c r="B8087" t="str">
        <f>"03738667"</f>
        <v>03738667</v>
      </c>
      <c r="C8087" t="s">
        <v>13436</v>
      </c>
      <c r="D8087" t="s">
        <v>35319</v>
      </c>
      <c r="E8087" t="s">
        <v>35320</v>
      </c>
      <c r="G8087" t="s">
        <v>35321</v>
      </c>
      <c r="L8087" t="s">
        <v>102</v>
      </c>
      <c r="M8087" t="s">
        <v>75</v>
      </c>
      <c r="R8087" t="s">
        <v>35322</v>
      </c>
      <c r="W8087" t="s">
        <v>35320</v>
      </c>
      <c r="X8087" t="s">
        <v>329</v>
      </c>
      <c r="Y8087" t="s">
        <v>97</v>
      </c>
      <c r="Z8087" t="s">
        <v>77</v>
      </c>
      <c r="AA8087" t="str">
        <f>"10029-6504"</f>
        <v>10029-6504</v>
      </c>
      <c r="AB8087" t="s">
        <v>78</v>
      </c>
      <c r="AC8087" t="s">
        <v>79</v>
      </c>
      <c r="AD8087" t="s">
        <v>75</v>
      </c>
      <c r="AE8087" t="s">
        <v>80</v>
      </c>
      <c r="AG8087" t="s">
        <v>81</v>
      </c>
    </row>
    <row r="8088" spans="1:33" x14ac:dyDescent="0.25">
      <c r="A8088" t="str">
        <f>"1740418979"</f>
        <v>1740418979</v>
      </c>
      <c r="B8088" t="str">
        <f>"03575537"</f>
        <v>03575537</v>
      </c>
      <c r="C8088" t="s">
        <v>13436</v>
      </c>
      <c r="D8088" t="s">
        <v>35323</v>
      </c>
      <c r="E8088" t="s">
        <v>35324</v>
      </c>
      <c r="L8088" t="s">
        <v>74</v>
      </c>
      <c r="M8088" t="s">
        <v>75</v>
      </c>
      <c r="R8088" t="s">
        <v>35325</v>
      </c>
      <c r="W8088" t="s">
        <v>35324</v>
      </c>
      <c r="X8088" t="s">
        <v>365</v>
      </c>
      <c r="Y8088" t="s">
        <v>190</v>
      </c>
      <c r="Z8088" t="s">
        <v>77</v>
      </c>
      <c r="AA8088" t="str">
        <f>"11102-2448"</f>
        <v>11102-2448</v>
      </c>
      <c r="AB8088" t="s">
        <v>78</v>
      </c>
      <c r="AC8088" t="s">
        <v>79</v>
      </c>
      <c r="AD8088" t="s">
        <v>75</v>
      </c>
      <c r="AE8088" t="s">
        <v>80</v>
      </c>
      <c r="AG8088" t="s">
        <v>81</v>
      </c>
    </row>
    <row r="8089" spans="1:33" x14ac:dyDescent="0.25">
      <c r="A8089" t="str">
        <f>"1740422187"</f>
        <v>1740422187</v>
      </c>
      <c r="C8089" t="s">
        <v>13436</v>
      </c>
      <c r="K8089" t="s">
        <v>99</v>
      </c>
      <c r="L8089" t="s">
        <v>102</v>
      </c>
      <c r="M8089" t="s">
        <v>75</v>
      </c>
      <c r="R8089" t="s">
        <v>35326</v>
      </c>
      <c r="S8089" t="s">
        <v>35327</v>
      </c>
      <c r="T8089" t="s">
        <v>4563</v>
      </c>
      <c r="U8089" t="s">
        <v>351</v>
      </c>
      <c r="V8089" t="str">
        <f>"341081814"</f>
        <v>341081814</v>
      </c>
      <c r="AC8089" t="s">
        <v>79</v>
      </c>
      <c r="AD8089" t="s">
        <v>75</v>
      </c>
      <c r="AE8089" t="s">
        <v>103</v>
      </c>
      <c r="AG8089" t="s">
        <v>81</v>
      </c>
    </row>
    <row r="8090" spans="1:33" x14ac:dyDescent="0.25">
      <c r="A8090" t="str">
        <f>"1740423680"</f>
        <v>1740423680</v>
      </c>
      <c r="B8090" t="str">
        <f>"03752150"</f>
        <v>03752150</v>
      </c>
      <c r="C8090" t="s">
        <v>13436</v>
      </c>
      <c r="D8090" t="s">
        <v>35328</v>
      </c>
      <c r="E8090" t="s">
        <v>35329</v>
      </c>
      <c r="L8090" t="s">
        <v>74</v>
      </c>
      <c r="M8090" t="s">
        <v>75</v>
      </c>
      <c r="R8090" t="s">
        <v>35330</v>
      </c>
      <c r="W8090" t="s">
        <v>35329</v>
      </c>
      <c r="X8090" t="s">
        <v>25370</v>
      </c>
      <c r="Y8090" t="s">
        <v>97</v>
      </c>
      <c r="Z8090" t="s">
        <v>77</v>
      </c>
      <c r="AA8090" t="str">
        <f>"10029-6504"</f>
        <v>10029-6504</v>
      </c>
      <c r="AB8090" t="s">
        <v>78</v>
      </c>
      <c r="AC8090" t="s">
        <v>79</v>
      </c>
      <c r="AD8090" t="s">
        <v>75</v>
      </c>
      <c r="AE8090" t="s">
        <v>80</v>
      </c>
      <c r="AG8090" t="s">
        <v>81</v>
      </c>
    </row>
    <row r="8091" spans="1:33" x14ac:dyDescent="0.25">
      <c r="A8091" t="str">
        <f>"1225335979"</f>
        <v>1225335979</v>
      </c>
      <c r="B8091" t="str">
        <f>"03802339"</f>
        <v>03802339</v>
      </c>
      <c r="C8091" t="s">
        <v>13436</v>
      </c>
      <c r="D8091" t="s">
        <v>35331</v>
      </c>
      <c r="E8091" t="s">
        <v>35332</v>
      </c>
      <c r="G8091" t="s">
        <v>35333</v>
      </c>
      <c r="L8091" t="s">
        <v>102</v>
      </c>
      <c r="M8091" t="s">
        <v>75</v>
      </c>
      <c r="R8091" t="s">
        <v>35334</v>
      </c>
      <c r="W8091" t="s">
        <v>35332</v>
      </c>
      <c r="X8091" t="s">
        <v>3824</v>
      </c>
      <c r="Y8091" t="s">
        <v>141</v>
      </c>
      <c r="Z8091" t="s">
        <v>77</v>
      </c>
      <c r="AA8091" t="str">
        <f>"11377-5771"</f>
        <v>11377-5771</v>
      </c>
      <c r="AB8091" t="s">
        <v>78</v>
      </c>
      <c r="AC8091" t="s">
        <v>79</v>
      </c>
      <c r="AD8091" t="s">
        <v>75</v>
      </c>
      <c r="AE8091" t="s">
        <v>80</v>
      </c>
      <c r="AG8091" t="s">
        <v>81</v>
      </c>
    </row>
    <row r="8092" spans="1:33" x14ac:dyDescent="0.25">
      <c r="A8092" t="str">
        <f>"1225358054"</f>
        <v>1225358054</v>
      </c>
      <c r="C8092" t="s">
        <v>13436</v>
      </c>
      <c r="K8092" t="s">
        <v>99</v>
      </c>
      <c r="L8092" t="s">
        <v>102</v>
      </c>
      <c r="M8092" t="s">
        <v>75</v>
      </c>
      <c r="R8092" t="s">
        <v>4538</v>
      </c>
      <c r="S8092" t="s">
        <v>12243</v>
      </c>
      <c r="T8092" t="s">
        <v>4626</v>
      </c>
      <c r="U8092" t="s">
        <v>4504</v>
      </c>
      <c r="V8092" t="str">
        <f>"029034923"</f>
        <v>029034923</v>
      </c>
      <c r="AC8092" t="s">
        <v>79</v>
      </c>
      <c r="AD8092" t="s">
        <v>75</v>
      </c>
      <c r="AE8092" t="s">
        <v>103</v>
      </c>
      <c r="AG8092" t="s">
        <v>81</v>
      </c>
    </row>
    <row r="8093" spans="1:33" x14ac:dyDescent="0.25">
      <c r="A8093" t="str">
        <f>"1225370885"</f>
        <v>1225370885</v>
      </c>
      <c r="C8093" t="s">
        <v>13436</v>
      </c>
      <c r="K8093" t="s">
        <v>99</v>
      </c>
      <c r="L8093" t="s">
        <v>102</v>
      </c>
      <c r="M8093" t="s">
        <v>75</v>
      </c>
      <c r="R8093" t="s">
        <v>35335</v>
      </c>
      <c r="S8093" t="s">
        <v>329</v>
      </c>
      <c r="T8093" t="s">
        <v>97</v>
      </c>
      <c r="U8093" t="s">
        <v>77</v>
      </c>
      <c r="V8093" t="str">
        <f>"100296500"</f>
        <v>100296500</v>
      </c>
      <c r="AC8093" t="s">
        <v>79</v>
      </c>
      <c r="AD8093" t="s">
        <v>75</v>
      </c>
      <c r="AE8093" t="s">
        <v>103</v>
      </c>
      <c r="AG8093" t="s">
        <v>81</v>
      </c>
    </row>
    <row r="8094" spans="1:33" x14ac:dyDescent="0.25">
      <c r="A8094" t="str">
        <f>"1225370901"</f>
        <v>1225370901</v>
      </c>
      <c r="B8094" t="str">
        <f>"04597797"</f>
        <v>04597797</v>
      </c>
      <c r="C8094" t="s">
        <v>13436</v>
      </c>
      <c r="D8094" t="s">
        <v>35336</v>
      </c>
      <c r="E8094" t="s">
        <v>35337</v>
      </c>
      <c r="L8094" t="s">
        <v>102</v>
      </c>
      <c r="M8094" t="s">
        <v>75</v>
      </c>
      <c r="R8094" t="s">
        <v>35337</v>
      </c>
      <c r="W8094" t="s">
        <v>35338</v>
      </c>
      <c r="AB8094" t="s">
        <v>78</v>
      </c>
      <c r="AC8094" t="s">
        <v>79</v>
      </c>
      <c r="AD8094" t="s">
        <v>75</v>
      </c>
      <c r="AE8094" t="s">
        <v>80</v>
      </c>
      <c r="AG8094" t="s">
        <v>81</v>
      </c>
    </row>
    <row r="8095" spans="1:33" x14ac:dyDescent="0.25">
      <c r="A8095" t="str">
        <f>"1225383821"</f>
        <v>1225383821</v>
      </c>
      <c r="B8095" t="str">
        <f>"04344689"</f>
        <v>04344689</v>
      </c>
      <c r="C8095" t="s">
        <v>13436</v>
      </c>
      <c r="D8095" t="s">
        <v>35339</v>
      </c>
      <c r="E8095" t="s">
        <v>35340</v>
      </c>
      <c r="G8095" t="s">
        <v>35341</v>
      </c>
      <c r="L8095" t="s">
        <v>74</v>
      </c>
      <c r="M8095" t="s">
        <v>75</v>
      </c>
      <c r="R8095" t="s">
        <v>35342</v>
      </c>
      <c r="W8095" t="s">
        <v>35340</v>
      </c>
      <c r="X8095" t="s">
        <v>181</v>
      </c>
      <c r="Y8095" t="s">
        <v>97</v>
      </c>
      <c r="Z8095" t="s">
        <v>77</v>
      </c>
      <c r="AA8095" t="str">
        <f>"10025-1716"</f>
        <v>10025-1716</v>
      </c>
      <c r="AB8095" t="s">
        <v>125</v>
      </c>
      <c r="AC8095" t="s">
        <v>79</v>
      </c>
      <c r="AD8095" t="s">
        <v>75</v>
      </c>
      <c r="AE8095" t="s">
        <v>80</v>
      </c>
      <c r="AG8095" t="s">
        <v>81</v>
      </c>
    </row>
    <row r="8096" spans="1:33" x14ac:dyDescent="0.25">
      <c r="A8096" t="str">
        <f>"1992030423"</f>
        <v>1992030423</v>
      </c>
      <c r="B8096" t="str">
        <f>"03716685"</f>
        <v>03716685</v>
      </c>
      <c r="C8096" t="s">
        <v>13436</v>
      </c>
      <c r="D8096" t="s">
        <v>35343</v>
      </c>
      <c r="E8096" t="s">
        <v>35344</v>
      </c>
      <c r="L8096" t="s">
        <v>83</v>
      </c>
      <c r="M8096" t="s">
        <v>85</v>
      </c>
      <c r="R8096" t="s">
        <v>1215</v>
      </c>
      <c r="W8096" t="s">
        <v>35344</v>
      </c>
      <c r="X8096" t="s">
        <v>31306</v>
      </c>
      <c r="Y8096" t="s">
        <v>97</v>
      </c>
      <c r="Z8096" t="s">
        <v>77</v>
      </c>
      <c r="AA8096" t="str">
        <f>"10029-6503"</f>
        <v>10029-6503</v>
      </c>
      <c r="AB8096" t="s">
        <v>78</v>
      </c>
      <c r="AC8096" t="s">
        <v>79</v>
      </c>
      <c r="AD8096" t="s">
        <v>75</v>
      </c>
      <c r="AE8096" t="s">
        <v>80</v>
      </c>
      <c r="AG8096" t="s">
        <v>81</v>
      </c>
    </row>
    <row r="8097" spans="1:33" x14ac:dyDescent="0.25">
      <c r="A8097" t="str">
        <f>"1992047476"</f>
        <v>1992047476</v>
      </c>
      <c r="C8097" t="s">
        <v>13436</v>
      </c>
      <c r="K8097" t="s">
        <v>99</v>
      </c>
      <c r="L8097" t="s">
        <v>102</v>
      </c>
      <c r="M8097" t="s">
        <v>75</v>
      </c>
      <c r="R8097" t="s">
        <v>35345</v>
      </c>
      <c r="S8097" t="s">
        <v>35346</v>
      </c>
      <c r="T8097" t="s">
        <v>97</v>
      </c>
      <c r="U8097" t="s">
        <v>77</v>
      </c>
      <c r="V8097" t="str">
        <f>"100296500"</f>
        <v>100296500</v>
      </c>
      <c r="AC8097" t="s">
        <v>79</v>
      </c>
      <c r="AD8097" t="s">
        <v>75</v>
      </c>
      <c r="AE8097" t="s">
        <v>103</v>
      </c>
      <c r="AG8097" t="s">
        <v>81</v>
      </c>
    </row>
    <row r="8098" spans="1:33" x14ac:dyDescent="0.25">
      <c r="A8098" t="str">
        <f>"1639596711"</f>
        <v>1639596711</v>
      </c>
      <c r="C8098" t="s">
        <v>13436</v>
      </c>
      <c r="K8098" t="s">
        <v>99</v>
      </c>
      <c r="L8098" t="s">
        <v>102</v>
      </c>
      <c r="M8098" t="s">
        <v>75</v>
      </c>
      <c r="R8098" t="s">
        <v>35347</v>
      </c>
      <c r="S8098" t="s">
        <v>35348</v>
      </c>
      <c r="T8098" t="s">
        <v>2660</v>
      </c>
      <c r="U8098" t="s">
        <v>2661</v>
      </c>
      <c r="V8098" t="str">
        <f>"212011004"</f>
        <v>212011004</v>
      </c>
      <c r="AC8098" t="s">
        <v>79</v>
      </c>
      <c r="AD8098" t="s">
        <v>75</v>
      </c>
      <c r="AE8098" t="s">
        <v>103</v>
      </c>
      <c r="AG8098" t="s">
        <v>81</v>
      </c>
    </row>
    <row r="8099" spans="1:33" x14ac:dyDescent="0.25">
      <c r="A8099" t="str">
        <f>"1639596984"</f>
        <v>1639596984</v>
      </c>
      <c r="C8099" t="s">
        <v>13436</v>
      </c>
      <c r="K8099" t="s">
        <v>99</v>
      </c>
      <c r="L8099" t="s">
        <v>102</v>
      </c>
      <c r="M8099" t="s">
        <v>75</v>
      </c>
      <c r="R8099" t="s">
        <v>35349</v>
      </c>
      <c r="S8099" t="s">
        <v>35350</v>
      </c>
      <c r="T8099" t="s">
        <v>4540</v>
      </c>
      <c r="U8099" t="s">
        <v>156</v>
      </c>
      <c r="V8099" t="str">
        <f>"070903414"</f>
        <v>070903414</v>
      </c>
      <c r="AC8099" t="s">
        <v>79</v>
      </c>
      <c r="AD8099" t="s">
        <v>75</v>
      </c>
      <c r="AE8099" t="s">
        <v>103</v>
      </c>
      <c r="AG8099" t="s">
        <v>81</v>
      </c>
    </row>
    <row r="8100" spans="1:33" x14ac:dyDescent="0.25">
      <c r="A8100" t="str">
        <f>"1639597669"</f>
        <v>1639597669</v>
      </c>
      <c r="C8100" t="s">
        <v>13436</v>
      </c>
      <c r="K8100" t="s">
        <v>99</v>
      </c>
      <c r="L8100" t="s">
        <v>102</v>
      </c>
      <c r="M8100" t="s">
        <v>75</v>
      </c>
      <c r="R8100" t="s">
        <v>35351</v>
      </c>
      <c r="S8100" t="s">
        <v>14477</v>
      </c>
      <c r="T8100" t="s">
        <v>97</v>
      </c>
      <c r="U8100" t="s">
        <v>77</v>
      </c>
      <c r="V8100" t="str">
        <f>"100033804"</f>
        <v>100033804</v>
      </c>
      <c r="AC8100" t="s">
        <v>79</v>
      </c>
      <c r="AD8100" t="s">
        <v>75</v>
      </c>
      <c r="AE8100" t="s">
        <v>103</v>
      </c>
      <c r="AG8100" t="s">
        <v>81</v>
      </c>
    </row>
    <row r="8101" spans="1:33" x14ac:dyDescent="0.25">
      <c r="A8101" t="str">
        <f>"1649212788"</f>
        <v>1649212788</v>
      </c>
      <c r="C8101" t="s">
        <v>13436</v>
      </c>
      <c r="G8101" t="s">
        <v>35352</v>
      </c>
      <c r="K8101" t="s">
        <v>99</v>
      </c>
      <c r="L8101" t="s">
        <v>102</v>
      </c>
      <c r="M8101" t="s">
        <v>75</v>
      </c>
      <c r="R8101" t="s">
        <v>35353</v>
      </c>
      <c r="S8101" t="s">
        <v>35354</v>
      </c>
      <c r="T8101" t="s">
        <v>97</v>
      </c>
      <c r="U8101" t="s">
        <v>77</v>
      </c>
      <c r="V8101" t="str">
        <f>"100214099"</f>
        <v>100214099</v>
      </c>
      <c r="AC8101" t="s">
        <v>79</v>
      </c>
      <c r="AD8101" t="s">
        <v>75</v>
      </c>
      <c r="AE8101" t="s">
        <v>103</v>
      </c>
      <c r="AG8101" t="s">
        <v>81</v>
      </c>
    </row>
    <row r="8102" spans="1:33" x14ac:dyDescent="0.25">
      <c r="A8102" t="str">
        <f>"1699829630"</f>
        <v>1699829630</v>
      </c>
      <c r="B8102" t="str">
        <f>"02671043"</f>
        <v>02671043</v>
      </c>
      <c r="C8102" t="s">
        <v>13436</v>
      </c>
      <c r="D8102" t="s">
        <v>35355</v>
      </c>
      <c r="E8102" t="s">
        <v>35356</v>
      </c>
      <c r="G8102" t="s">
        <v>35357</v>
      </c>
      <c r="L8102" t="s">
        <v>83</v>
      </c>
      <c r="M8102" t="s">
        <v>85</v>
      </c>
      <c r="R8102" t="s">
        <v>35358</v>
      </c>
      <c r="W8102" t="s">
        <v>35356</v>
      </c>
      <c r="X8102" t="s">
        <v>1216</v>
      </c>
      <c r="Y8102" t="s">
        <v>97</v>
      </c>
      <c r="Z8102" t="s">
        <v>77</v>
      </c>
      <c r="AA8102" t="str">
        <f>"10032-1559"</f>
        <v>10032-1559</v>
      </c>
      <c r="AB8102" t="s">
        <v>78</v>
      </c>
      <c r="AC8102" t="s">
        <v>79</v>
      </c>
      <c r="AD8102" t="s">
        <v>75</v>
      </c>
      <c r="AE8102" t="s">
        <v>80</v>
      </c>
      <c r="AG8102" t="s">
        <v>81</v>
      </c>
    </row>
    <row r="8103" spans="1:33" x14ac:dyDescent="0.25">
      <c r="A8103" t="str">
        <f>"1699853119"</f>
        <v>1699853119</v>
      </c>
      <c r="B8103" t="str">
        <f>"02086313"</f>
        <v>02086313</v>
      </c>
      <c r="C8103" t="s">
        <v>13436</v>
      </c>
      <c r="D8103" t="s">
        <v>35359</v>
      </c>
      <c r="E8103" t="s">
        <v>35360</v>
      </c>
      <c r="G8103" t="s">
        <v>35361</v>
      </c>
      <c r="L8103" t="s">
        <v>83</v>
      </c>
      <c r="M8103" t="s">
        <v>85</v>
      </c>
      <c r="R8103" t="s">
        <v>35362</v>
      </c>
      <c r="W8103" t="s">
        <v>35360</v>
      </c>
      <c r="X8103" t="s">
        <v>842</v>
      </c>
      <c r="Y8103" t="s">
        <v>97</v>
      </c>
      <c r="Z8103" t="s">
        <v>77</v>
      </c>
      <c r="AA8103" t="str">
        <f>"10029-6501"</f>
        <v>10029-6501</v>
      </c>
      <c r="AB8103" t="s">
        <v>78</v>
      </c>
      <c r="AC8103" t="s">
        <v>79</v>
      </c>
      <c r="AD8103" t="s">
        <v>75</v>
      </c>
      <c r="AE8103" t="s">
        <v>80</v>
      </c>
      <c r="AG8103" t="s">
        <v>81</v>
      </c>
    </row>
    <row r="8104" spans="1:33" x14ac:dyDescent="0.25">
      <c r="A8104" t="str">
        <f>"1598964835"</f>
        <v>1598964835</v>
      </c>
      <c r="B8104" t="str">
        <f>"02910570"</f>
        <v>02910570</v>
      </c>
      <c r="C8104" t="s">
        <v>13436</v>
      </c>
      <c r="D8104" t="s">
        <v>1039</v>
      </c>
      <c r="E8104" t="s">
        <v>1040</v>
      </c>
      <c r="L8104" t="s">
        <v>84</v>
      </c>
      <c r="M8104" t="s">
        <v>75</v>
      </c>
      <c r="R8104" t="s">
        <v>1041</v>
      </c>
      <c r="W8104" t="s">
        <v>1040</v>
      </c>
      <c r="X8104" t="s">
        <v>235</v>
      </c>
      <c r="Y8104" t="s">
        <v>236</v>
      </c>
      <c r="Z8104" t="s">
        <v>77</v>
      </c>
      <c r="AA8104" t="str">
        <f>"11102-2448"</f>
        <v>11102-2448</v>
      </c>
      <c r="AB8104" t="s">
        <v>78</v>
      </c>
      <c r="AC8104" t="s">
        <v>79</v>
      </c>
      <c r="AD8104" t="s">
        <v>75</v>
      </c>
      <c r="AE8104" t="s">
        <v>80</v>
      </c>
      <c r="AG8104" t="s">
        <v>81</v>
      </c>
    </row>
    <row r="8105" spans="1:33" x14ac:dyDescent="0.25">
      <c r="A8105" t="str">
        <f>"1598971368"</f>
        <v>1598971368</v>
      </c>
      <c r="C8105" t="s">
        <v>13436</v>
      </c>
      <c r="K8105" t="s">
        <v>99</v>
      </c>
      <c r="L8105" t="s">
        <v>102</v>
      </c>
      <c r="M8105" t="s">
        <v>75</v>
      </c>
      <c r="R8105" t="s">
        <v>35363</v>
      </c>
      <c r="S8105" t="s">
        <v>1809</v>
      </c>
      <c r="T8105" t="s">
        <v>140</v>
      </c>
      <c r="U8105" t="s">
        <v>77</v>
      </c>
      <c r="V8105" t="str">
        <f>"117724870"</f>
        <v>117724870</v>
      </c>
      <c r="AC8105" t="s">
        <v>79</v>
      </c>
      <c r="AD8105" t="s">
        <v>75</v>
      </c>
      <c r="AE8105" t="s">
        <v>103</v>
      </c>
      <c r="AG8105" t="s">
        <v>81</v>
      </c>
    </row>
    <row r="8106" spans="1:33" x14ac:dyDescent="0.25">
      <c r="A8106" t="str">
        <f>"1598993123"</f>
        <v>1598993123</v>
      </c>
      <c r="B8106" t="str">
        <f>"03156232"</f>
        <v>03156232</v>
      </c>
      <c r="C8106" t="s">
        <v>13436</v>
      </c>
      <c r="D8106" t="s">
        <v>35364</v>
      </c>
      <c r="E8106" t="s">
        <v>35365</v>
      </c>
      <c r="G8106" t="s">
        <v>35366</v>
      </c>
      <c r="L8106" t="s">
        <v>83</v>
      </c>
      <c r="M8106" t="s">
        <v>75</v>
      </c>
      <c r="R8106" t="s">
        <v>35367</v>
      </c>
      <c r="W8106" t="s">
        <v>35365</v>
      </c>
      <c r="X8106" t="s">
        <v>842</v>
      </c>
      <c r="Y8106" t="s">
        <v>97</v>
      </c>
      <c r="Z8106" t="s">
        <v>77</v>
      </c>
      <c r="AA8106" t="str">
        <f>"10029-6501"</f>
        <v>10029-6501</v>
      </c>
      <c r="AB8106" t="s">
        <v>78</v>
      </c>
      <c r="AC8106" t="s">
        <v>79</v>
      </c>
      <c r="AD8106" t="s">
        <v>75</v>
      </c>
      <c r="AE8106" t="s">
        <v>80</v>
      </c>
      <c r="AG8106" t="s">
        <v>81</v>
      </c>
    </row>
    <row r="8107" spans="1:33" x14ac:dyDescent="0.25">
      <c r="A8107" t="str">
        <f>"1598993735"</f>
        <v>1598993735</v>
      </c>
      <c r="C8107" t="s">
        <v>13436</v>
      </c>
      <c r="K8107" t="s">
        <v>99</v>
      </c>
      <c r="L8107" t="s">
        <v>74</v>
      </c>
      <c r="M8107" t="s">
        <v>75</v>
      </c>
      <c r="R8107" t="s">
        <v>35368</v>
      </c>
      <c r="S8107" t="s">
        <v>35369</v>
      </c>
      <c r="T8107" t="s">
        <v>4573</v>
      </c>
      <c r="U8107" t="s">
        <v>123</v>
      </c>
      <c r="V8107" t="str">
        <f>"019152734"</f>
        <v>019152734</v>
      </c>
      <c r="AC8107" t="s">
        <v>79</v>
      </c>
      <c r="AD8107" t="s">
        <v>75</v>
      </c>
      <c r="AE8107" t="s">
        <v>103</v>
      </c>
      <c r="AG8107" t="s">
        <v>81</v>
      </c>
    </row>
    <row r="8108" spans="1:33" x14ac:dyDescent="0.25">
      <c r="A8108" t="str">
        <f>"1598994303"</f>
        <v>1598994303</v>
      </c>
      <c r="C8108" t="s">
        <v>13436</v>
      </c>
      <c r="K8108" t="s">
        <v>99</v>
      </c>
      <c r="L8108" t="s">
        <v>102</v>
      </c>
      <c r="M8108" t="s">
        <v>75</v>
      </c>
      <c r="R8108" t="s">
        <v>35370</v>
      </c>
      <c r="S8108" t="s">
        <v>35371</v>
      </c>
      <c r="T8108" t="s">
        <v>2660</v>
      </c>
      <c r="U8108" t="s">
        <v>2661</v>
      </c>
      <c r="V8108" t="str">
        <f>"21224"</f>
        <v>21224</v>
      </c>
      <c r="AC8108" t="s">
        <v>79</v>
      </c>
      <c r="AD8108" t="s">
        <v>75</v>
      </c>
      <c r="AE8108" t="s">
        <v>103</v>
      </c>
      <c r="AG8108" t="s">
        <v>81</v>
      </c>
    </row>
    <row r="8109" spans="1:33" x14ac:dyDescent="0.25">
      <c r="A8109" t="str">
        <f>"1598996175"</f>
        <v>1598996175</v>
      </c>
      <c r="B8109" t="str">
        <f>"03140503"</f>
        <v>03140503</v>
      </c>
      <c r="C8109" t="s">
        <v>13436</v>
      </c>
      <c r="D8109" t="s">
        <v>35372</v>
      </c>
      <c r="E8109" t="s">
        <v>35373</v>
      </c>
      <c r="G8109" t="s">
        <v>35374</v>
      </c>
      <c r="L8109" t="s">
        <v>83</v>
      </c>
      <c r="M8109" t="s">
        <v>85</v>
      </c>
      <c r="R8109" t="s">
        <v>35375</v>
      </c>
      <c r="W8109" t="s">
        <v>35376</v>
      </c>
      <c r="X8109" t="s">
        <v>2587</v>
      </c>
      <c r="Y8109" t="s">
        <v>97</v>
      </c>
      <c r="Z8109" t="s">
        <v>77</v>
      </c>
      <c r="AA8109" t="str">
        <f>"10003-3314"</f>
        <v>10003-3314</v>
      </c>
      <c r="AB8109" t="s">
        <v>114</v>
      </c>
      <c r="AC8109" t="s">
        <v>79</v>
      </c>
      <c r="AD8109" t="s">
        <v>75</v>
      </c>
      <c r="AE8109" t="s">
        <v>80</v>
      </c>
      <c r="AG8109" t="s">
        <v>81</v>
      </c>
    </row>
    <row r="8110" spans="1:33" x14ac:dyDescent="0.25">
      <c r="A8110" t="str">
        <f>"1407855075"</f>
        <v>1407855075</v>
      </c>
      <c r="B8110" t="str">
        <f>"02089967"</f>
        <v>02089967</v>
      </c>
      <c r="C8110" t="s">
        <v>13436</v>
      </c>
      <c r="D8110" t="s">
        <v>1397</v>
      </c>
      <c r="E8110" t="s">
        <v>1398</v>
      </c>
      <c r="G8110" t="s">
        <v>35377</v>
      </c>
      <c r="L8110" t="s">
        <v>83</v>
      </c>
      <c r="M8110" t="s">
        <v>85</v>
      </c>
      <c r="R8110" t="s">
        <v>1396</v>
      </c>
      <c r="W8110" t="s">
        <v>1398</v>
      </c>
      <c r="X8110" t="s">
        <v>1399</v>
      </c>
      <c r="Y8110" t="s">
        <v>139</v>
      </c>
      <c r="Z8110" t="s">
        <v>77</v>
      </c>
      <c r="AA8110" t="str">
        <f>"11355-5045"</f>
        <v>11355-5045</v>
      </c>
      <c r="AB8110" t="s">
        <v>78</v>
      </c>
      <c r="AC8110" t="s">
        <v>79</v>
      </c>
      <c r="AD8110" t="s">
        <v>75</v>
      </c>
      <c r="AE8110" t="s">
        <v>80</v>
      </c>
      <c r="AG8110" t="s">
        <v>81</v>
      </c>
    </row>
    <row r="8111" spans="1:33" x14ac:dyDescent="0.25">
      <c r="A8111" t="str">
        <f>"1215943121"</f>
        <v>1215943121</v>
      </c>
      <c r="B8111" t="str">
        <f>"03780669"</f>
        <v>03780669</v>
      </c>
      <c r="C8111" t="s">
        <v>13436</v>
      </c>
      <c r="D8111" t="s">
        <v>35378</v>
      </c>
      <c r="E8111" t="s">
        <v>35379</v>
      </c>
      <c r="G8111" t="s">
        <v>35380</v>
      </c>
      <c r="L8111" t="s">
        <v>74</v>
      </c>
      <c r="M8111" t="s">
        <v>85</v>
      </c>
      <c r="R8111" t="s">
        <v>35381</v>
      </c>
      <c r="W8111" t="s">
        <v>35379</v>
      </c>
      <c r="X8111" t="s">
        <v>35382</v>
      </c>
      <c r="Y8111" t="s">
        <v>145</v>
      </c>
      <c r="Z8111" t="s">
        <v>77</v>
      </c>
      <c r="AA8111" t="str">
        <f>"11360"</f>
        <v>11360</v>
      </c>
      <c r="AB8111" t="s">
        <v>78</v>
      </c>
      <c r="AC8111" t="s">
        <v>79</v>
      </c>
      <c r="AD8111" t="s">
        <v>75</v>
      </c>
      <c r="AE8111" t="s">
        <v>80</v>
      </c>
      <c r="AG8111" t="s">
        <v>81</v>
      </c>
    </row>
    <row r="8112" spans="1:33" x14ac:dyDescent="0.25">
      <c r="A8112" t="str">
        <f>"1215966023"</f>
        <v>1215966023</v>
      </c>
      <c r="B8112" t="str">
        <f>"01112087"</f>
        <v>01112087</v>
      </c>
      <c r="C8112" t="s">
        <v>13436</v>
      </c>
      <c r="D8112" t="s">
        <v>35383</v>
      </c>
      <c r="E8112" t="s">
        <v>35384</v>
      </c>
      <c r="G8112" t="s">
        <v>35385</v>
      </c>
      <c r="L8112" t="s">
        <v>83</v>
      </c>
      <c r="M8112" t="s">
        <v>85</v>
      </c>
      <c r="R8112" t="s">
        <v>35386</v>
      </c>
      <c r="W8112" t="s">
        <v>35384</v>
      </c>
      <c r="X8112" t="s">
        <v>272</v>
      </c>
      <c r="Y8112" t="s">
        <v>97</v>
      </c>
      <c r="Z8112" t="s">
        <v>77</v>
      </c>
      <c r="AA8112" t="str">
        <f>"10029-6501"</f>
        <v>10029-6501</v>
      </c>
      <c r="AB8112" t="s">
        <v>78</v>
      </c>
      <c r="AC8112" t="s">
        <v>79</v>
      </c>
      <c r="AD8112" t="s">
        <v>75</v>
      </c>
      <c r="AE8112" t="s">
        <v>80</v>
      </c>
      <c r="AG8112" t="s">
        <v>81</v>
      </c>
    </row>
    <row r="8113" spans="1:33" x14ac:dyDescent="0.25">
      <c r="A8113" t="str">
        <f>"1215991674"</f>
        <v>1215991674</v>
      </c>
      <c r="B8113" t="str">
        <f>"01441698"</f>
        <v>01441698</v>
      </c>
      <c r="C8113" t="s">
        <v>13436</v>
      </c>
      <c r="D8113" t="s">
        <v>35387</v>
      </c>
      <c r="E8113" t="s">
        <v>35388</v>
      </c>
      <c r="G8113" t="s">
        <v>35389</v>
      </c>
      <c r="L8113" t="s">
        <v>83</v>
      </c>
      <c r="M8113" t="s">
        <v>85</v>
      </c>
      <c r="R8113" t="s">
        <v>35390</v>
      </c>
      <c r="W8113" t="s">
        <v>35388</v>
      </c>
      <c r="X8113" t="s">
        <v>262</v>
      </c>
      <c r="Y8113" t="s">
        <v>91</v>
      </c>
      <c r="Z8113" t="s">
        <v>77</v>
      </c>
      <c r="AA8113" t="str">
        <f>"11373-1329"</f>
        <v>11373-1329</v>
      </c>
      <c r="AB8113" t="s">
        <v>78</v>
      </c>
      <c r="AC8113" t="s">
        <v>79</v>
      </c>
      <c r="AD8113" t="s">
        <v>75</v>
      </c>
      <c r="AE8113" t="s">
        <v>80</v>
      </c>
      <c r="AG8113" t="s">
        <v>81</v>
      </c>
    </row>
    <row r="8114" spans="1:33" x14ac:dyDescent="0.25">
      <c r="A8114" t="str">
        <f>"1225013519"</f>
        <v>1225013519</v>
      </c>
      <c r="B8114" t="str">
        <f>"01425772"</f>
        <v>01425772</v>
      </c>
      <c r="C8114" t="s">
        <v>13436</v>
      </c>
      <c r="D8114" t="s">
        <v>35391</v>
      </c>
      <c r="E8114" t="s">
        <v>35392</v>
      </c>
      <c r="G8114" t="s">
        <v>35393</v>
      </c>
      <c r="L8114" t="s">
        <v>83</v>
      </c>
      <c r="M8114" t="s">
        <v>85</v>
      </c>
      <c r="R8114" t="s">
        <v>35394</v>
      </c>
      <c r="W8114" t="s">
        <v>35392</v>
      </c>
      <c r="X8114" t="s">
        <v>329</v>
      </c>
      <c r="Y8114" t="s">
        <v>97</v>
      </c>
      <c r="Z8114" t="s">
        <v>77</v>
      </c>
      <c r="AA8114" t="str">
        <f>"10029-6500"</f>
        <v>10029-6500</v>
      </c>
      <c r="AB8114" t="s">
        <v>78</v>
      </c>
      <c r="AC8114" t="s">
        <v>79</v>
      </c>
      <c r="AD8114" t="s">
        <v>75</v>
      </c>
      <c r="AE8114" t="s">
        <v>80</v>
      </c>
      <c r="AG8114" t="s">
        <v>81</v>
      </c>
    </row>
    <row r="8115" spans="1:33" x14ac:dyDescent="0.25">
      <c r="B8115" t="str">
        <f>"00244220"</f>
        <v>00244220</v>
      </c>
      <c r="C8115" t="s">
        <v>35395</v>
      </c>
      <c r="D8115" t="s">
        <v>4425</v>
      </c>
      <c r="E8115" t="s">
        <v>4426</v>
      </c>
      <c r="L8115" t="s">
        <v>104</v>
      </c>
      <c r="M8115" t="s">
        <v>85</v>
      </c>
      <c r="W8115" t="s">
        <v>4426</v>
      </c>
      <c r="X8115" t="s">
        <v>35396</v>
      </c>
      <c r="Y8115" t="s">
        <v>87</v>
      </c>
      <c r="Z8115" t="s">
        <v>77</v>
      </c>
      <c r="AA8115" t="str">
        <f>"11224-1406"</f>
        <v>11224-1406</v>
      </c>
      <c r="AB8115" t="s">
        <v>122</v>
      </c>
      <c r="AC8115" t="s">
        <v>79</v>
      </c>
      <c r="AD8115" t="s">
        <v>75</v>
      </c>
      <c r="AE8115" t="s">
        <v>80</v>
      </c>
      <c r="AG8115" t="s">
        <v>81</v>
      </c>
    </row>
    <row r="8116" spans="1:33" x14ac:dyDescent="0.25">
      <c r="A8116" t="str">
        <f>"1497783583"</f>
        <v>1497783583</v>
      </c>
      <c r="B8116" t="str">
        <f>"01457652"</f>
        <v>01457652</v>
      </c>
      <c r="C8116" t="s">
        <v>13436</v>
      </c>
      <c r="D8116" t="s">
        <v>35397</v>
      </c>
      <c r="E8116" t="s">
        <v>35398</v>
      </c>
      <c r="G8116" t="s">
        <v>35399</v>
      </c>
      <c r="L8116" t="s">
        <v>83</v>
      </c>
      <c r="M8116" t="s">
        <v>85</v>
      </c>
      <c r="R8116" t="s">
        <v>35400</v>
      </c>
      <c r="W8116" t="s">
        <v>35398</v>
      </c>
      <c r="Y8116" t="s">
        <v>97</v>
      </c>
      <c r="Z8116" t="s">
        <v>77</v>
      </c>
      <c r="AA8116" t="str">
        <f>"10029-6500"</f>
        <v>10029-6500</v>
      </c>
      <c r="AB8116" t="s">
        <v>78</v>
      </c>
      <c r="AC8116" t="s">
        <v>79</v>
      </c>
      <c r="AD8116" t="s">
        <v>75</v>
      </c>
      <c r="AE8116" t="s">
        <v>80</v>
      </c>
      <c r="AG8116" t="s">
        <v>81</v>
      </c>
    </row>
    <row r="8117" spans="1:33" x14ac:dyDescent="0.25">
      <c r="A8117" t="str">
        <f>"1497817480"</f>
        <v>1497817480</v>
      </c>
      <c r="B8117" t="str">
        <f>"02837878"</f>
        <v>02837878</v>
      </c>
      <c r="C8117" t="s">
        <v>13436</v>
      </c>
      <c r="D8117" t="s">
        <v>35401</v>
      </c>
      <c r="E8117" t="s">
        <v>35402</v>
      </c>
      <c r="G8117" t="s">
        <v>35403</v>
      </c>
      <c r="L8117" t="s">
        <v>84</v>
      </c>
      <c r="M8117" t="s">
        <v>85</v>
      </c>
      <c r="R8117" t="s">
        <v>35404</v>
      </c>
      <c r="W8117" t="s">
        <v>35402</v>
      </c>
      <c r="X8117" t="s">
        <v>329</v>
      </c>
      <c r="Y8117" t="s">
        <v>97</v>
      </c>
      <c r="Z8117" t="s">
        <v>77</v>
      </c>
      <c r="AA8117" t="str">
        <f>"10029-6500"</f>
        <v>10029-6500</v>
      </c>
      <c r="AB8117" t="s">
        <v>78</v>
      </c>
      <c r="AC8117" t="s">
        <v>79</v>
      </c>
      <c r="AD8117" t="s">
        <v>75</v>
      </c>
      <c r="AE8117" t="s">
        <v>80</v>
      </c>
      <c r="AG8117" t="s">
        <v>81</v>
      </c>
    </row>
    <row r="8118" spans="1:33" x14ac:dyDescent="0.25">
      <c r="A8118" t="str">
        <f>"1972712842"</f>
        <v>1972712842</v>
      </c>
      <c r="B8118" t="str">
        <f>"03227089"</f>
        <v>03227089</v>
      </c>
      <c r="C8118" t="s">
        <v>13436</v>
      </c>
      <c r="D8118" t="s">
        <v>35405</v>
      </c>
      <c r="E8118" t="s">
        <v>35406</v>
      </c>
      <c r="L8118" t="s">
        <v>74</v>
      </c>
      <c r="M8118" t="s">
        <v>85</v>
      </c>
      <c r="R8118" t="s">
        <v>35407</v>
      </c>
      <c r="W8118" t="s">
        <v>35406</v>
      </c>
      <c r="X8118" t="s">
        <v>3067</v>
      </c>
      <c r="Y8118" t="s">
        <v>91</v>
      </c>
      <c r="Z8118" t="s">
        <v>77</v>
      </c>
      <c r="AA8118" t="str">
        <f>"11373-1329"</f>
        <v>11373-1329</v>
      </c>
      <c r="AB8118" t="s">
        <v>93</v>
      </c>
      <c r="AC8118" t="s">
        <v>79</v>
      </c>
      <c r="AD8118" t="s">
        <v>75</v>
      </c>
      <c r="AE8118" t="s">
        <v>80</v>
      </c>
      <c r="AG8118" t="s">
        <v>81</v>
      </c>
    </row>
    <row r="8119" spans="1:33" x14ac:dyDescent="0.25">
      <c r="A8119" t="str">
        <f>"1972744977"</f>
        <v>1972744977</v>
      </c>
      <c r="B8119" t="str">
        <f>"03557426"</f>
        <v>03557426</v>
      </c>
      <c r="C8119" t="s">
        <v>13436</v>
      </c>
      <c r="D8119" t="s">
        <v>35408</v>
      </c>
      <c r="E8119" t="s">
        <v>35409</v>
      </c>
      <c r="L8119" t="s">
        <v>74</v>
      </c>
      <c r="M8119" t="s">
        <v>75</v>
      </c>
      <c r="R8119" t="s">
        <v>35410</v>
      </c>
      <c r="W8119" t="s">
        <v>35409</v>
      </c>
      <c r="X8119" t="s">
        <v>4746</v>
      </c>
      <c r="Y8119" t="s">
        <v>1823</v>
      </c>
      <c r="Z8119" t="s">
        <v>77</v>
      </c>
      <c r="AA8119" t="str">
        <f>"10940-2650"</f>
        <v>10940-2650</v>
      </c>
      <c r="AB8119" t="s">
        <v>78</v>
      </c>
      <c r="AC8119" t="s">
        <v>79</v>
      </c>
      <c r="AD8119" t="s">
        <v>75</v>
      </c>
      <c r="AE8119" t="s">
        <v>80</v>
      </c>
      <c r="AG8119" t="s">
        <v>81</v>
      </c>
    </row>
    <row r="8120" spans="1:33" x14ac:dyDescent="0.25">
      <c r="A8120" t="str">
        <f>"1972745875"</f>
        <v>1972745875</v>
      </c>
      <c r="C8120" t="s">
        <v>13436</v>
      </c>
      <c r="K8120" t="s">
        <v>99</v>
      </c>
      <c r="L8120" t="s">
        <v>102</v>
      </c>
      <c r="M8120" t="s">
        <v>75</v>
      </c>
      <c r="R8120" t="s">
        <v>35411</v>
      </c>
      <c r="S8120" t="s">
        <v>35412</v>
      </c>
      <c r="T8120" t="s">
        <v>97</v>
      </c>
      <c r="U8120" t="s">
        <v>77</v>
      </c>
      <c r="V8120" t="str">
        <f>"100296500"</f>
        <v>100296500</v>
      </c>
      <c r="AC8120" t="s">
        <v>79</v>
      </c>
      <c r="AD8120" t="s">
        <v>75</v>
      </c>
      <c r="AE8120" t="s">
        <v>103</v>
      </c>
      <c r="AG8120" t="s">
        <v>81</v>
      </c>
    </row>
    <row r="8121" spans="1:33" x14ac:dyDescent="0.25">
      <c r="A8121" t="str">
        <f>"1972761237"</f>
        <v>1972761237</v>
      </c>
      <c r="B8121" t="str">
        <f>"03447376"</f>
        <v>03447376</v>
      </c>
      <c r="C8121" t="s">
        <v>13436</v>
      </c>
      <c r="D8121" t="s">
        <v>35413</v>
      </c>
      <c r="E8121" t="s">
        <v>35414</v>
      </c>
      <c r="L8121" t="s">
        <v>83</v>
      </c>
      <c r="M8121" t="s">
        <v>85</v>
      </c>
      <c r="R8121" t="s">
        <v>35415</v>
      </c>
      <c r="W8121" t="s">
        <v>35414</v>
      </c>
      <c r="X8121" t="s">
        <v>35416</v>
      </c>
      <c r="Y8121" t="s">
        <v>97</v>
      </c>
      <c r="Z8121" t="s">
        <v>77</v>
      </c>
      <c r="AA8121" t="str">
        <f>"10029-6500"</f>
        <v>10029-6500</v>
      </c>
      <c r="AB8121" t="s">
        <v>78</v>
      </c>
      <c r="AC8121" t="s">
        <v>79</v>
      </c>
      <c r="AD8121" t="s">
        <v>75</v>
      </c>
      <c r="AE8121" t="s">
        <v>80</v>
      </c>
      <c r="AG8121" t="s">
        <v>81</v>
      </c>
    </row>
    <row r="8122" spans="1:33" x14ac:dyDescent="0.25">
      <c r="A8122" t="str">
        <f>"1972763795"</f>
        <v>1972763795</v>
      </c>
      <c r="B8122" t="str">
        <f>"03378714"</f>
        <v>03378714</v>
      </c>
      <c r="C8122" t="s">
        <v>13436</v>
      </c>
      <c r="D8122" t="s">
        <v>35417</v>
      </c>
      <c r="E8122" t="s">
        <v>35418</v>
      </c>
      <c r="G8122" t="s">
        <v>35419</v>
      </c>
      <c r="L8122" t="s">
        <v>84</v>
      </c>
      <c r="M8122" t="s">
        <v>85</v>
      </c>
      <c r="R8122" t="s">
        <v>35420</v>
      </c>
      <c r="W8122" t="s">
        <v>35418</v>
      </c>
      <c r="X8122" t="s">
        <v>11195</v>
      </c>
      <c r="Y8122" t="s">
        <v>97</v>
      </c>
      <c r="Z8122" t="s">
        <v>77</v>
      </c>
      <c r="AA8122" t="str">
        <f>"10029-6030"</f>
        <v>10029-6030</v>
      </c>
      <c r="AB8122" t="s">
        <v>78</v>
      </c>
      <c r="AC8122" t="s">
        <v>79</v>
      </c>
      <c r="AD8122" t="s">
        <v>75</v>
      </c>
      <c r="AE8122" t="s">
        <v>80</v>
      </c>
      <c r="AG8122" t="s">
        <v>81</v>
      </c>
    </row>
    <row r="8123" spans="1:33" x14ac:dyDescent="0.25">
      <c r="A8123" t="str">
        <f>"1952364952"</f>
        <v>1952364952</v>
      </c>
      <c r="B8123" t="str">
        <f>"02175955"</f>
        <v>02175955</v>
      </c>
      <c r="C8123" t="s">
        <v>13436</v>
      </c>
      <c r="D8123" t="s">
        <v>35421</v>
      </c>
      <c r="E8123" t="s">
        <v>35422</v>
      </c>
      <c r="L8123" t="s">
        <v>83</v>
      </c>
      <c r="M8123" t="s">
        <v>85</v>
      </c>
      <c r="R8123" t="s">
        <v>35423</v>
      </c>
      <c r="W8123" t="s">
        <v>35422</v>
      </c>
      <c r="X8123" t="s">
        <v>272</v>
      </c>
      <c r="Y8123" t="s">
        <v>97</v>
      </c>
      <c r="Z8123" t="s">
        <v>77</v>
      </c>
      <c r="AA8123" t="str">
        <f>"10029-6501"</f>
        <v>10029-6501</v>
      </c>
      <c r="AB8123" t="s">
        <v>78</v>
      </c>
      <c r="AC8123" t="s">
        <v>79</v>
      </c>
      <c r="AD8123" t="s">
        <v>75</v>
      </c>
      <c r="AE8123" t="s">
        <v>80</v>
      </c>
      <c r="AG8123" t="s">
        <v>81</v>
      </c>
    </row>
    <row r="8124" spans="1:33" x14ac:dyDescent="0.25">
      <c r="A8124" t="str">
        <f>"1447560628"</f>
        <v>1447560628</v>
      </c>
      <c r="B8124" t="str">
        <f>"03481367"</f>
        <v>03481367</v>
      </c>
      <c r="C8124" t="s">
        <v>13436</v>
      </c>
      <c r="D8124" t="s">
        <v>35424</v>
      </c>
      <c r="E8124" t="s">
        <v>35425</v>
      </c>
      <c r="L8124" t="s">
        <v>74</v>
      </c>
      <c r="M8124" t="s">
        <v>75</v>
      </c>
      <c r="R8124" t="s">
        <v>35426</v>
      </c>
      <c r="W8124" t="s">
        <v>35425</v>
      </c>
      <c r="X8124" t="s">
        <v>3433</v>
      </c>
      <c r="Y8124" t="s">
        <v>97</v>
      </c>
      <c r="Z8124" t="s">
        <v>77</v>
      </c>
      <c r="AA8124" t="str">
        <f>"10003-3805"</f>
        <v>10003-3805</v>
      </c>
      <c r="AB8124" t="s">
        <v>78</v>
      </c>
      <c r="AC8124" t="s">
        <v>79</v>
      </c>
      <c r="AD8124" t="s">
        <v>75</v>
      </c>
      <c r="AE8124" t="s">
        <v>80</v>
      </c>
      <c r="AG8124" t="s">
        <v>81</v>
      </c>
    </row>
    <row r="8125" spans="1:33" x14ac:dyDescent="0.25">
      <c r="A8125" t="str">
        <f>"1457458580"</f>
        <v>1457458580</v>
      </c>
      <c r="B8125" t="str">
        <f>"02922970"</f>
        <v>02922970</v>
      </c>
      <c r="C8125" t="s">
        <v>13436</v>
      </c>
      <c r="D8125" t="s">
        <v>35427</v>
      </c>
      <c r="E8125" t="s">
        <v>35428</v>
      </c>
      <c r="L8125" t="s">
        <v>74</v>
      </c>
      <c r="M8125" t="s">
        <v>75</v>
      </c>
      <c r="R8125" t="s">
        <v>35429</v>
      </c>
      <c r="W8125" t="s">
        <v>35430</v>
      </c>
      <c r="X8125" t="s">
        <v>2587</v>
      </c>
      <c r="Y8125" t="s">
        <v>97</v>
      </c>
      <c r="Z8125" t="s">
        <v>77</v>
      </c>
      <c r="AA8125" t="str">
        <f>"10003-3314"</f>
        <v>10003-3314</v>
      </c>
      <c r="AB8125" t="s">
        <v>78</v>
      </c>
      <c r="AC8125" t="s">
        <v>79</v>
      </c>
      <c r="AD8125" t="s">
        <v>75</v>
      </c>
      <c r="AE8125" t="s">
        <v>80</v>
      </c>
      <c r="AG8125" t="s">
        <v>81</v>
      </c>
    </row>
    <row r="8126" spans="1:33" x14ac:dyDescent="0.25">
      <c r="A8126" t="str">
        <f>"1457667024"</f>
        <v>1457667024</v>
      </c>
      <c r="B8126" t="str">
        <f>"03279467"</f>
        <v>03279467</v>
      </c>
      <c r="C8126" t="s">
        <v>13436</v>
      </c>
      <c r="D8126" t="s">
        <v>35431</v>
      </c>
      <c r="E8126" t="s">
        <v>35432</v>
      </c>
      <c r="L8126" t="s">
        <v>74</v>
      </c>
      <c r="M8126" t="s">
        <v>75</v>
      </c>
      <c r="R8126" t="s">
        <v>35433</v>
      </c>
      <c r="W8126" t="s">
        <v>35432</v>
      </c>
      <c r="X8126" t="s">
        <v>1826</v>
      </c>
      <c r="Y8126" t="s">
        <v>153</v>
      </c>
      <c r="Z8126" t="s">
        <v>77</v>
      </c>
      <c r="AA8126" t="str">
        <f>"12601-1363"</f>
        <v>12601-1363</v>
      </c>
      <c r="AB8126" t="s">
        <v>78</v>
      </c>
      <c r="AC8126" t="s">
        <v>79</v>
      </c>
      <c r="AD8126" t="s">
        <v>75</v>
      </c>
      <c r="AE8126" t="s">
        <v>80</v>
      </c>
      <c r="AG8126" t="s">
        <v>81</v>
      </c>
    </row>
    <row r="8127" spans="1:33" x14ac:dyDescent="0.25">
      <c r="A8127" t="str">
        <f>"1467666222"</f>
        <v>1467666222</v>
      </c>
      <c r="C8127" t="s">
        <v>13436</v>
      </c>
      <c r="K8127" t="s">
        <v>99</v>
      </c>
      <c r="L8127" t="s">
        <v>74</v>
      </c>
      <c r="M8127" t="s">
        <v>75</v>
      </c>
      <c r="R8127" t="s">
        <v>35434</v>
      </c>
      <c r="S8127" t="s">
        <v>35435</v>
      </c>
      <c r="T8127" t="s">
        <v>97</v>
      </c>
      <c r="U8127" t="s">
        <v>77</v>
      </c>
      <c r="V8127" t="str">
        <f>"100033314"</f>
        <v>100033314</v>
      </c>
      <c r="AC8127" t="s">
        <v>79</v>
      </c>
      <c r="AD8127" t="s">
        <v>75</v>
      </c>
      <c r="AE8127" t="s">
        <v>103</v>
      </c>
      <c r="AG8127" t="s">
        <v>81</v>
      </c>
    </row>
    <row r="8128" spans="1:33" x14ac:dyDescent="0.25">
      <c r="A8128" t="str">
        <f>"1477815017"</f>
        <v>1477815017</v>
      </c>
      <c r="B8128" t="str">
        <f>"03775500"</f>
        <v>03775500</v>
      </c>
      <c r="C8128" t="s">
        <v>13436</v>
      </c>
      <c r="D8128" t="s">
        <v>35436</v>
      </c>
      <c r="E8128" t="s">
        <v>35437</v>
      </c>
      <c r="L8128" t="s">
        <v>74</v>
      </c>
      <c r="M8128" t="s">
        <v>75</v>
      </c>
      <c r="R8128" t="s">
        <v>35438</v>
      </c>
      <c r="W8128" t="s">
        <v>35437</v>
      </c>
      <c r="X8128" t="s">
        <v>3433</v>
      </c>
      <c r="Y8128" t="s">
        <v>97</v>
      </c>
      <c r="Z8128" t="s">
        <v>77</v>
      </c>
      <c r="AA8128" t="str">
        <f>"10003-3805"</f>
        <v>10003-3805</v>
      </c>
      <c r="AB8128" t="s">
        <v>78</v>
      </c>
      <c r="AC8128" t="s">
        <v>79</v>
      </c>
      <c r="AD8128" t="s">
        <v>75</v>
      </c>
      <c r="AE8128" t="s">
        <v>80</v>
      </c>
      <c r="AG8128" t="s">
        <v>81</v>
      </c>
    </row>
    <row r="8129" spans="1:33" x14ac:dyDescent="0.25">
      <c r="A8129" t="str">
        <f>"1477854511"</f>
        <v>1477854511</v>
      </c>
      <c r="C8129" t="s">
        <v>13436</v>
      </c>
      <c r="K8129" t="s">
        <v>99</v>
      </c>
      <c r="L8129" t="s">
        <v>102</v>
      </c>
      <c r="M8129" t="s">
        <v>75</v>
      </c>
      <c r="R8129" t="s">
        <v>35439</v>
      </c>
      <c r="S8129" t="s">
        <v>35440</v>
      </c>
      <c r="T8129" t="s">
        <v>97</v>
      </c>
      <c r="U8129" t="s">
        <v>77</v>
      </c>
      <c r="V8129" t="str">
        <f>"100161201"</f>
        <v>100161201</v>
      </c>
      <c r="AC8129" t="s">
        <v>79</v>
      </c>
      <c r="AD8129" t="s">
        <v>75</v>
      </c>
      <c r="AE8129" t="s">
        <v>103</v>
      </c>
      <c r="AG8129" t="s">
        <v>81</v>
      </c>
    </row>
    <row r="8130" spans="1:33" x14ac:dyDescent="0.25">
      <c r="A8130" t="str">
        <f>"1497835953"</f>
        <v>1497835953</v>
      </c>
      <c r="C8130" t="s">
        <v>13436</v>
      </c>
      <c r="K8130" t="s">
        <v>99</v>
      </c>
      <c r="L8130" t="s">
        <v>102</v>
      </c>
      <c r="M8130" t="s">
        <v>75</v>
      </c>
      <c r="R8130" t="s">
        <v>35441</v>
      </c>
      <c r="S8130" t="s">
        <v>35442</v>
      </c>
      <c r="T8130" t="s">
        <v>97</v>
      </c>
      <c r="U8130" t="s">
        <v>77</v>
      </c>
      <c r="V8130" t="str">
        <f>"100168728"</f>
        <v>100168728</v>
      </c>
      <c r="AC8130" t="s">
        <v>79</v>
      </c>
      <c r="AD8130" t="s">
        <v>75</v>
      </c>
      <c r="AE8130" t="s">
        <v>103</v>
      </c>
      <c r="AG8130" t="s">
        <v>81</v>
      </c>
    </row>
    <row r="8131" spans="1:33" x14ac:dyDescent="0.25">
      <c r="A8131" t="str">
        <f>"1831372135"</f>
        <v>1831372135</v>
      </c>
      <c r="B8131" t="str">
        <f>"02932112"</f>
        <v>02932112</v>
      </c>
      <c r="C8131" t="s">
        <v>13436</v>
      </c>
      <c r="D8131" t="s">
        <v>35443</v>
      </c>
      <c r="E8131" t="s">
        <v>35444</v>
      </c>
      <c r="L8131" t="s">
        <v>74</v>
      </c>
      <c r="M8131" t="s">
        <v>85</v>
      </c>
      <c r="R8131" t="s">
        <v>35445</v>
      </c>
      <c r="W8131" t="s">
        <v>35446</v>
      </c>
      <c r="X8131" t="s">
        <v>258</v>
      </c>
      <c r="Y8131" t="s">
        <v>131</v>
      </c>
      <c r="Z8131" t="s">
        <v>77</v>
      </c>
      <c r="AA8131" t="str">
        <f>"10467-2401"</f>
        <v>10467-2401</v>
      </c>
      <c r="AB8131" t="s">
        <v>78</v>
      </c>
      <c r="AC8131" t="s">
        <v>79</v>
      </c>
      <c r="AD8131" t="s">
        <v>75</v>
      </c>
      <c r="AE8131" t="s">
        <v>80</v>
      </c>
      <c r="AG8131" t="s">
        <v>81</v>
      </c>
    </row>
    <row r="8132" spans="1:33" x14ac:dyDescent="0.25">
      <c r="A8132" t="str">
        <f>"1831392372"</f>
        <v>1831392372</v>
      </c>
      <c r="B8132" t="str">
        <f>"03363444"</f>
        <v>03363444</v>
      </c>
      <c r="C8132" t="s">
        <v>13436</v>
      </c>
      <c r="D8132" t="s">
        <v>6090</v>
      </c>
      <c r="E8132" t="s">
        <v>6091</v>
      </c>
      <c r="L8132" t="s">
        <v>83</v>
      </c>
      <c r="M8132" t="s">
        <v>75</v>
      </c>
      <c r="R8132" t="s">
        <v>6091</v>
      </c>
      <c r="W8132" t="s">
        <v>6091</v>
      </c>
      <c r="X8132" t="s">
        <v>258</v>
      </c>
      <c r="Y8132" t="s">
        <v>131</v>
      </c>
      <c r="Z8132" t="s">
        <v>77</v>
      </c>
      <c r="AA8132" t="str">
        <f>"10467-2401"</f>
        <v>10467-2401</v>
      </c>
      <c r="AB8132" t="s">
        <v>78</v>
      </c>
      <c r="AC8132" t="s">
        <v>79</v>
      </c>
      <c r="AD8132" t="s">
        <v>75</v>
      </c>
      <c r="AE8132" t="s">
        <v>80</v>
      </c>
      <c r="AG8132" t="s">
        <v>81</v>
      </c>
    </row>
    <row r="8133" spans="1:33" x14ac:dyDescent="0.25">
      <c r="A8133" t="str">
        <f>"1831395631"</f>
        <v>1831395631</v>
      </c>
      <c r="B8133" t="str">
        <f>"03716603"</f>
        <v>03716603</v>
      </c>
      <c r="C8133" t="s">
        <v>13436</v>
      </c>
      <c r="D8133" t="s">
        <v>35447</v>
      </c>
      <c r="E8133" t="s">
        <v>35448</v>
      </c>
      <c r="G8133" t="s">
        <v>35449</v>
      </c>
      <c r="L8133" t="s">
        <v>83</v>
      </c>
      <c r="M8133" t="s">
        <v>85</v>
      </c>
      <c r="R8133" t="s">
        <v>35450</v>
      </c>
      <c r="W8133" t="s">
        <v>35448</v>
      </c>
      <c r="X8133" t="s">
        <v>1455</v>
      </c>
      <c r="Y8133" t="s">
        <v>91</v>
      </c>
      <c r="Z8133" t="s">
        <v>77</v>
      </c>
      <c r="AA8133" t="str">
        <f>"11373-1329"</f>
        <v>11373-1329</v>
      </c>
      <c r="AB8133" t="s">
        <v>78</v>
      </c>
      <c r="AC8133" t="s">
        <v>79</v>
      </c>
      <c r="AD8133" t="s">
        <v>75</v>
      </c>
      <c r="AE8133" t="s">
        <v>80</v>
      </c>
      <c r="AG8133" t="s">
        <v>81</v>
      </c>
    </row>
    <row r="8134" spans="1:33" x14ac:dyDescent="0.25">
      <c r="A8134" t="str">
        <f>"1831416221"</f>
        <v>1831416221</v>
      </c>
      <c r="B8134" t="str">
        <f>"03624031"</f>
        <v>03624031</v>
      </c>
      <c r="C8134" t="s">
        <v>13436</v>
      </c>
      <c r="D8134" t="s">
        <v>35451</v>
      </c>
      <c r="E8134" t="s">
        <v>35452</v>
      </c>
      <c r="L8134" t="s">
        <v>74</v>
      </c>
      <c r="M8134" t="s">
        <v>85</v>
      </c>
      <c r="R8134" t="s">
        <v>35453</v>
      </c>
      <c r="W8134" t="s">
        <v>35452</v>
      </c>
      <c r="X8134" t="s">
        <v>329</v>
      </c>
      <c r="Y8134" t="s">
        <v>97</v>
      </c>
      <c r="Z8134" t="s">
        <v>77</v>
      </c>
      <c r="AA8134" t="str">
        <f>"10029-6504"</f>
        <v>10029-6504</v>
      </c>
      <c r="AB8134" t="s">
        <v>78</v>
      </c>
      <c r="AC8134" t="s">
        <v>79</v>
      </c>
      <c r="AD8134" t="s">
        <v>75</v>
      </c>
      <c r="AE8134" t="s">
        <v>80</v>
      </c>
      <c r="AG8134" t="s">
        <v>81</v>
      </c>
    </row>
    <row r="8135" spans="1:33" x14ac:dyDescent="0.25">
      <c r="B8135" t="str">
        <f>"00321811"</f>
        <v>00321811</v>
      </c>
      <c r="C8135" t="s">
        <v>35454</v>
      </c>
      <c r="D8135" t="s">
        <v>1270</v>
      </c>
      <c r="E8135" t="s">
        <v>1271</v>
      </c>
      <c r="L8135" t="s">
        <v>1272</v>
      </c>
      <c r="M8135" t="s">
        <v>85</v>
      </c>
      <c r="W8135" t="s">
        <v>3059</v>
      </c>
      <c r="X8135" t="s">
        <v>3060</v>
      </c>
      <c r="Y8135" t="s">
        <v>97</v>
      </c>
      <c r="Z8135" t="s">
        <v>77</v>
      </c>
      <c r="AA8135" t="str">
        <f>"10021-5006"</f>
        <v>10021-5006</v>
      </c>
      <c r="AB8135" t="s">
        <v>98</v>
      </c>
      <c r="AC8135" t="s">
        <v>79</v>
      </c>
      <c r="AD8135" t="s">
        <v>75</v>
      </c>
      <c r="AE8135" t="s">
        <v>80</v>
      </c>
      <c r="AG8135" t="s">
        <v>81</v>
      </c>
    </row>
    <row r="8136" spans="1:33" x14ac:dyDescent="0.25">
      <c r="A8136" t="str">
        <f>"1659798023"</f>
        <v>1659798023</v>
      </c>
      <c r="C8136" t="s">
        <v>13436</v>
      </c>
      <c r="K8136" t="s">
        <v>99</v>
      </c>
      <c r="L8136" t="s">
        <v>102</v>
      </c>
      <c r="M8136" t="s">
        <v>75</v>
      </c>
      <c r="R8136" t="s">
        <v>35455</v>
      </c>
      <c r="S8136" t="s">
        <v>3553</v>
      </c>
      <c r="T8136" t="s">
        <v>97</v>
      </c>
      <c r="U8136" t="s">
        <v>77</v>
      </c>
      <c r="V8136" t="str">
        <f>"100033851"</f>
        <v>100033851</v>
      </c>
      <c r="AC8136" t="s">
        <v>79</v>
      </c>
      <c r="AD8136" t="s">
        <v>75</v>
      </c>
      <c r="AE8136" t="s">
        <v>103</v>
      </c>
      <c r="AG8136" t="s">
        <v>81</v>
      </c>
    </row>
    <row r="8137" spans="1:33" x14ac:dyDescent="0.25">
      <c r="A8137" t="str">
        <f>"1669428025"</f>
        <v>1669428025</v>
      </c>
      <c r="B8137" t="str">
        <f>"01694802"</f>
        <v>01694802</v>
      </c>
      <c r="C8137" t="s">
        <v>13436</v>
      </c>
      <c r="D8137" t="s">
        <v>35456</v>
      </c>
      <c r="E8137" t="s">
        <v>35457</v>
      </c>
      <c r="G8137" t="s">
        <v>35458</v>
      </c>
      <c r="L8137" t="s">
        <v>102</v>
      </c>
      <c r="M8137" t="s">
        <v>75</v>
      </c>
      <c r="R8137" t="s">
        <v>35459</v>
      </c>
      <c r="W8137" t="s">
        <v>35457</v>
      </c>
      <c r="Y8137" t="s">
        <v>97</v>
      </c>
      <c r="Z8137" t="s">
        <v>77</v>
      </c>
      <c r="AA8137" t="str">
        <f>"10029-6500"</f>
        <v>10029-6500</v>
      </c>
      <c r="AB8137" t="s">
        <v>78</v>
      </c>
      <c r="AC8137" t="s">
        <v>79</v>
      </c>
      <c r="AD8137" t="s">
        <v>75</v>
      </c>
      <c r="AE8137" t="s">
        <v>80</v>
      </c>
      <c r="AG8137" t="s">
        <v>81</v>
      </c>
    </row>
    <row r="8138" spans="1:33" x14ac:dyDescent="0.25">
      <c r="B8138" t="str">
        <f>"03105828"</f>
        <v>03105828</v>
      </c>
      <c r="C8138" t="s">
        <v>30523</v>
      </c>
      <c r="D8138" t="s">
        <v>35460</v>
      </c>
      <c r="E8138" t="s">
        <v>35461</v>
      </c>
      <c r="F8138">
        <v>131860451</v>
      </c>
      <c r="G8138" t="s">
        <v>30526</v>
      </c>
      <c r="H8138" t="s">
        <v>5086</v>
      </c>
      <c r="J8138" t="s">
        <v>5087</v>
      </c>
      <c r="L8138" t="s">
        <v>37</v>
      </c>
      <c r="M8138" t="s">
        <v>75</v>
      </c>
      <c r="W8138" t="s">
        <v>35461</v>
      </c>
      <c r="X8138" t="s">
        <v>5212</v>
      </c>
      <c r="Y8138" t="s">
        <v>180</v>
      </c>
      <c r="Z8138" t="s">
        <v>77</v>
      </c>
      <c r="AA8138" t="str">
        <f>"10705-3441"</f>
        <v>10705-3441</v>
      </c>
      <c r="AB8138" t="s">
        <v>98</v>
      </c>
      <c r="AC8138" t="s">
        <v>79</v>
      </c>
      <c r="AD8138" t="s">
        <v>75</v>
      </c>
      <c r="AE8138" t="s">
        <v>80</v>
      </c>
      <c r="AG8138" t="s">
        <v>81</v>
      </c>
    </row>
    <row r="8139" spans="1:33" x14ac:dyDescent="0.25">
      <c r="A8139" t="str">
        <f>"1710957683"</f>
        <v>1710957683</v>
      </c>
      <c r="B8139" t="str">
        <f>"00328074"</f>
        <v>00328074</v>
      </c>
      <c r="C8139" t="s">
        <v>30523</v>
      </c>
      <c r="D8139" t="s">
        <v>35462</v>
      </c>
      <c r="E8139" t="s">
        <v>35461</v>
      </c>
      <c r="G8139" t="s">
        <v>30526</v>
      </c>
      <c r="H8139" t="s">
        <v>5086</v>
      </c>
      <c r="J8139" t="s">
        <v>5087</v>
      </c>
      <c r="L8139" t="s">
        <v>102</v>
      </c>
      <c r="M8139" t="s">
        <v>85</v>
      </c>
      <c r="R8139" t="s">
        <v>35463</v>
      </c>
      <c r="W8139" t="s">
        <v>35461</v>
      </c>
      <c r="X8139" t="s">
        <v>5212</v>
      </c>
      <c r="Y8139" t="s">
        <v>180</v>
      </c>
      <c r="Z8139" t="s">
        <v>77</v>
      </c>
      <c r="AA8139" t="str">
        <f>"10705-3441"</f>
        <v>10705-3441</v>
      </c>
      <c r="AB8139" t="s">
        <v>133</v>
      </c>
      <c r="AC8139" t="s">
        <v>79</v>
      </c>
      <c r="AD8139" t="s">
        <v>75</v>
      </c>
      <c r="AE8139" t="s">
        <v>80</v>
      </c>
      <c r="AG8139" t="s">
        <v>81</v>
      </c>
    </row>
    <row r="8140" spans="1:33" x14ac:dyDescent="0.25">
      <c r="A8140" t="str">
        <f>"1629334883"</f>
        <v>1629334883</v>
      </c>
      <c r="C8140" t="s">
        <v>13436</v>
      </c>
      <c r="K8140" t="s">
        <v>99</v>
      </c>
      <c r="L8140" t="s">
        <v>102</v>
      </c>
      <c r="M8140" t="s">
        <v>75</v>
      </c>
      <c r="R8140" t="s">
        <v>35464</v>
      </c>
      <c r="S8140" t="s">
        <v>35465</v>
      </c>
      <c r="T8140" t="s">
        <v>97</v>
      </c>
      <c r="U8140" t="s">
        <v>77</v>
      </c>
      <c r="V8140" t="str">
        <f>"10025"</f>
        <v>10025</v>
      </c>
      <c r="AC8140" t="s">
        <v>79</v>
      </c>
      <c r="AD8140" t="s">
        <v>75</v>
      </c>
      <c r="AE8140" t="s">
        <v>103</v>
      </c>
      <c r="AG8140" t="s">
        <v>81</v>
      </c>
    </row>
    <row r="8141" spans="1:33" x14ac:dyDescent="0.25">
      <c r="A8141" t="str">
        <f>"1629335427"</f>
        <v>1629335427</v>
      </c>
      <c r="B8141" t="str">
        <f>"03714885"</f>
        <v>03714885</v>
      </c>
      <c r="C8141" t="s">
        <v>13436</v>
      </c>
      <c r="D8141" t="s">
        <v>35466</v>
      </c>
      <c r="E8141" t="s">
        <v>35467</v>
      </c>
      <c r="L8141" t="s">
        <v>74</v>
      </c>
      <c r="M8141" t="s">
        <v>75</v>
      </c>
      <c r="R8141" t="s">
        <v>35468</v>
      </c>
      <c r="W8141" t="s">
        <v>35467</v>
      </c>
      <c r="X8141" t="s">
        <v>329</v>
      </c>
      <c r="Y8141" t="s">
        <v>97</v>
      </c>
      <c r="Z8141" t="s">
        <v>77</v>
      </c>
      <c r="AA8141" t="str">
        <f>"10029-6504"</f>
        <v>10029-6504</v>
      </c>
      <c r="AB8141" t="s">
        <v>78</v>
      </c>
      <c r="AC8141" t="s">
        <v>79</v>
      </c>
      <c r="AD8141" t="s">
        <v>75</v>
      </c>
      <c r="AE8141" t="s">
        <v>80</v>
      </c>
      <c r="AG8141" t="s">
        <v>81</v>
      </c>
    </row>
    <row r="8142" spans="1:33" x14ac:dyDescent="0.25">
      <c r="A8142" t="str">
        <f>"1629336607"</f>
        <v>1629336607</v>
      </c>
      <c r="B8142" t="str">
        <f>"04355313"</f>
        <v>04355313</v>
      </c>
      <c r="C8142" t="s">
        <v>13436</v>
      </c>
      <c r="D8142" t="s">
        <v>35469</v>
      </c>
      <c r="E8142" t="s">
        <v>35470</v>
      </c>
      <c r="G8142" t="s">
        <v>35471</v>
      </c>
      <c r="L8142" t="s">
        <v>102</v>
      </c>
      <c r="M8142" t="s">
        <v>75</v>
      </c>
      <c r="R8142" t="s">
        <v>35470</v>
      </c>
      <c r="W8142" t="s">
        <v>35472</v>
      </c>
      <c r="X8142" t="s">
        <v>329</v>
      </c>
      <c r="Y8142" t="s">
        <v>97</v>
      </c>
      <c r="Z8142" t="s">
        <v>77</v>
      </c>
      <c r="AA8142" t="str">
        <f>"10029-6504"</f>
        <v>10029-6504</v>
      </c>
      <c r="AB8142" t="s">
        <v>78</v>
      </c>
      <c r="AC8142" t="s">
        <v>79</v>
      </c>
      <c r="AD8142" t="s">
        <v>75</v>
      </c>
      <c r="AE8142" t="s">
        <v>80</v>
      </c>
      <c r="AG8142" t="s">
        <v>81</v>
      </c>
    </row>
    <row r="8143" spans="1:33" x14ac:dyDescent="0.25">
      <c r="A8143" t="str">
        <f>"1629343033"</f>
        <v>1629343033</v>
      </c>
      <c r="C8143" t="s">
        <v>13436</v>
      </c>
      <c r="K8143" t="s">
        <v>99</v>
      </c>
      <c r="L8143" t="s">
        <v>102</v>
      </c>
      <c r="M8143" t="s">
        <v>75</v>
      </c>
      <c r="R8143" t="s">
        <v>35473</v>
      </c>
      <c r="S8143" t="s">
        <v>35474</v>
      </c>
      <c r="T8143" t="s">
        <v>4474</v>
      </c>
      <c r="U8143" t="s">
        <v>673</v>
      </c>
      <c r="V8143" t="str">
        <f>"402201124"</f>
        <v>402201124</v>
      </c>
      <c r="AC8143" t="s">
        <v>79</v>
      </c>
      <c r="AD8143" t="s">
        <v>75</v>
      </c>
      <c r="AE8143" t="s">
        <v>103</v>
      </c>
      <c r="AG8143" t="s">
        <v>81</v>
      </c>
    </row>
    <row r="8144" spans="1:33" x14ac:dyDescent="0.25">
      <c r="A8144" t="str">
        <f>"1629344619"</f>
        <v>1629344619</v>
      </c>
      <c r="C8144" t="s">
        <v>13436</v>
      </c>
      <c r="K8144" t="s">
        <v>99</v>
      </c>
      <c r="L8144" t="s">
        <v>102</v>
      </c>
      <c r="M8144" t="s">
        <v>75</v>
      </c>
      <c r="R8144" t="s">
        <v>35475</v>
      </c>
      <c r="S8144" t="s">
        <v>191</v>
      </c>
      <c r="T8144" t="s">
        <v>97</v>
      </c>
      <c r="U8144" t="s">
        <v>77</v>
      </c>
      <c r="V8144" t="str">
        <f>"100191147"</f>
        <v>100191147</v>
      </c>
      <c r="AC8144" t="s">
        <v>79</v>
      </c>
      <c r="AD8144" t="s">
        <v>75</v>
      </c>
      <c r="AE8144" t="s">
        <v>103</v>
      </c>
      <c r="AG8144" t="s">
        <v>81</v>
      </c>
    </row>
    <row r="8145" spans="1:33" x14ac:dyDescent="0.25">
      <c r="A8145" t="str">
        <f>"1629368493"</f>
        <v>1629368493</v>
      </c>
      <c r="C8145" t="s">
        <v>13436</v>
      </c>
      <c r="K8145" t="s">
        <v>99</v>
      </c>
      <c r="L8145" t="s">
        <v>102</v>
      </c>
      <c r="M8145" t="s">
        <v>75</v>
      </c>
      <c r="R8145" t="s">
        <v>35476</v>
      </c>
      <c r="S8145" t="s">
        <v>35477</v>
      </c>
      <c r="T8145" t="s">
        <v>97</v>
      </c>
      <c r="U8145" t="s">
        <v>77</v>
      </c>
      <c r="V8145" t="str">
        <f>"100168639"</f>
        <v>100168639</v>
      </c>
      <c r="AC8145" t="s">
        <v>79</v>
      </c>
      <c r="AD8145" t="s">
        <v>75</v>
      </c>
      <c r="AE8145" t="s">
        <v>103</v>
      </c>
      <c r="AG8145" t="s">
        <v>81</v>
      </c>
    </row>
    <row r="8146" spans="1:33" x14ac:dyDescent="0.25">
      <c r="A8146" t="str">
        <f>"1629392584"</f>
        <v>1629392584</v>
      </c>
      <c r="C8146" t="s">
        <v>13436</v>
      </c>
      <c r="K8146" t="s">
        <v>99</v>
      </c>
      <c r="L8146" t="s">
        <v>102</v>
      </c>
      <c r="M8146" t="s">
        <v>75</v>
      </c>
      <c r="R8146" t="s">
        <v>35478</v>
      </c>
      <c r="S8146" t="s">
        <v>35479</v>
      </c>
      <c r="T8146" t="s">
        <v>131</v>
      </c>
      <c r="U8146" t="s">
        <v>77</v>
      </c>
      <c r="V8146" t="str">
        <f>"104612189"</f>
        <v>104612189</v>
      </c>
      <c r="AC8146" t="s">
        <v>79</v>
      </c>
      <c r="AD8146" t="s">
        <v>75</v>
      </c>
      <c r="AE8146" t="s">
        <v>103</v>
      </c>
      <c r="AG8146" t="s">
        <v>81</v>
      </c>
    </row>
    <row r="8147" spans="1:33" x14ac:dyDescent="0.25">
      <c r="A8147" t="str">
        <f>"1629394150"</f>
        <v>1629394150</v>
      </c>
      <c r="B8147" t="str">
        <f>"04252071"</f>
        <v>04252071</v>
      </c>
      <c r="C8147" t="s">
        <v>13436</v>
      </c>
      <c r="D8147" t="s">
        <v>35480</v>
      </c>
      <c r="E8147" t="s">
        <v>35481</v>
      </c>
      <c r="L8147" t="s">
        <v>74</v>
      </c>
      <c r="M8147" t="s">
        <v>75</v>
      </c>
      <c r="R8147" t="s">
        <v>35482</v>
      </c>
      <c r="W8147" t="s">
        <v>35481</v>
      </c>
      <c r="X8147" t="s">
        <v>35483</v>
      </c>
      <c r="Y8147" t="s">
        <v>161</v>
      </c>
      <c r="Z8147" t="s">
        <v>77</v>
      </c>
      <c r="AA8147" t="str">
        <f>"11042-1118"</f>
        <v>11042-1118</v>
      </c>
      <c r="AB8147" t="s">
        <v>78</v>
      </c>
      <c r="AC8147" t="s">
        <v>79</v>
      </c>
      <c r="AD8147" t="s">
        <v>75</v>
      </c>
      <c r="AE8147" t="s">
        <v>80</v>
      </c>
      <c r="AG8147" t="s">
        <v>81</v>
      </c>
    </row>
    <row r="8148" spans="1:33" x14ac:dyDescent="0.25">
      <c r="A8148" t="str">
        <f>"1629398961"</f>
        <v>1629398961</v>
      </c>
      <c r="B8148" t="str">
        <f>"03823925"</f>
        <v>03823925</v>
      </c>
      <c r="C8148" t="s">
        <v>13436</v>
      </c>
      <c r="D8148" t="s">
        <v>35484</v>
      </c>
      <c r="E8148" t="s">
        <v>35485</v>
      </c>
      <c r="G8148" t="s">
        <v>35486</v>
      </c>
      <c r="L8148" t="s">
        <v>74</v>
      </c>
      <c r="M8148" t="s">
        <v>75</v>
      </c>
      <c r="R8148" t="s">
        <v>35487</v>
      </c>
      <c r="W8148" t="s">
        <v>35488</v>
      </c>
      <c r="X8148" t="s">
        <v>3553</v>
      </c>
      <c r="Y8148" t="s">
        <v>97</v>
      </c>
      <c r="Z8148" t="s">
        <v>77</v>
      </c>
      <c r="AA8148" t="str">
        <f>"10003-3851"</f>
        <v>10003-3851</v>
      </c>
      <c r="AB8148" t="s">
        <v>78</v>
      </c>
      <c r="AC8148" t="s">
        <v>79</v>
      </c>
      <c r="AD8148" t="s">
        <v>75</v>
      </c>
      <c r="AE8148" t="s">
        <v>80</v>
      </c>
      <c r="AG8148" t="s">
        <v>81</v>
      </c>
    </row>
    <row r="8149" spans="1:33" x14ac:dyDescent="0.25">
      <c r="A8149" t="str">
        <f>"1629412341"</f>
        <v>1629412341</v>
      </c>
      <c r="C8149" t="s">
        <v>13436</v>
      </c>
      <c r="K8149" t="s">
        <v>99</v>
      </c>
      <c r="L8149" t="s">
        <v>102</v>
      </c>
      <c r="M8149" t="s">
        <v>75</v>
      </c>
      <c r="R8149" t="s">
        <v>35489</v>
      </c>
      <c r="S8149" t="s">
        <v>191</v>
      </c>
      <c r="T8149" t="s">
        <v>97</v>
      </c>
      <c r="U8149" t="s">
        <v>77</v>
      </c>
      <c r="V8149" t="str">
        <f>"100191147"</f>
        <v>100191147</v>
      </c>
      <c r="AC8149" t="s">
        <v>79</v>
      </c>
      <c r="AD8149" t="s">
        <v>75</v>
      </c>
      <c r="AE8149" t="s">
        <v>103</v>
      </c>
      <c r="AG8149" t="s">
        <v>81</v>
      </c>
    </row>
    <row r="8150" spans="1:33" x14ac:dyDescent="0.25">
      <c r="A8150" t="str">
        <f>"1629414263"</f>
        <v>1629414263</v>
      </c>
      <c r="C8150" t="s">
        <v>13436</v>
      </c>
      <c r="K8150" t="s">
        <v>99</v>
      </c>
      <c r="L8150" t="s">
        <v>102</v>
      </c>
      <c r="M8150" t="s">
        <v>75</v>
      </c>
      <c r="R8150" t="s">
        <v>35490</v>
      </c>
      <c r="S8150" t="s">
        <v>191</v>
      </c>
      <c r="T8150" t="s">
        <v>97</v>
      </c>
      <c r="U8150" t="s">
        <v>77</v>
      </c>
      <c r="V8150" t="str">
        <f>"100191147"</f>
        <v>100191147</v>
      </c>
      <c r="AC8150" t="s">
        <v>79</v>
      </c>
      <c r="AD8150" t="s">
        <v>75</v>
      </c>
      <c r="AE8150" t="s">
        <v>103</v>
      </c>
      <c r="AG8150" t="s">
        <v>81</v>
      </c>
    </row>
    <row r="8151" spans="1:33" x14ac:dyDescent="0.25">
      <c r="A8151" t="str">
        <f>"1740428317"</f>
        <v>1740428317</v>
      </c>
      <c r="B8151" t="str">
        <f>"03483929"</f>
        <v>03483929</v>
      </c>
      <c r="C8151" t="s">
        <v>13436</v>
      </c>
      <c r="D8151" t="s">
        <v>35491</v>
      </c>
      <c r="E8151" t="s">
        <v>35492</v>
      </c>
      <c r="G8151" t="s">
        <v>35493</v>
      </c>
      <c r="L8151" t="s">
        <v>74</v>
      </c>
      <c r="M8151" t="s">
        <v>85</v>
      </c>
      <c r="R8151" t="s">
        <v>35492</v>
      </c>
      <c r="W8151" t="s">
        <v>35494</v>
      </c>
      <c r="X8151" t="s">
        <v>30618</v>
      </c>
      <c r="Y8151" t="s">
        <v>97</v>
      </c>
      <c r="Z8151" t="s">
        <v>77</v>
      </c>
      <c r="AA8151" t="str">
        <f>"10029-0000"</f>
        <v>10029-0000</v>
      </c>
      <c r="AB8151" t="s">
        <v>78</v>
      </c>
      <c r="AC8151" t="s">
        <v>79</v>
      </c>
      <c r="AD8151" t="s">
        <v>75</v>
      </c>
      <c r="AE8151" t="s">
        <v>80</v>
      </c>
      <c r="AG8151" t="s">
        <v>81</v>
      </c>
    </row>
    <row r="8152" spans="1:33" x14ac:dyDescent="0.25">
      <c r="A8152" t="str">
        <f>"1740436062"</f>
        <v>1740436062</v>
      </c>
      <c r="B8152" t="str">
        <f>"03534118"</f>
        <v>03534118</v>
      </c>
      <c r="C8152" t="s">
        <v>13436</v>
      </c>
      <c r="D8152" t="s">
        <v>35495</v>
      </c>
      <c r="E8152" t="s">
        <v>35496</v>
      </c>
      <c r="G8152" t="s">
        <v>35497</v>
      </c>
      <c r="L8152" t="s">
        <v>74</v>
      </c>
      <c r="M8152" t="s">
        <v>75</v>
      </c>
      <c r="R8152" t="s">
        <v>35498</v>
      </c>
      <c r="W8152" t="s">
        <v>35496</v>
      </c>
      <c r="X8152" t="s">
        <v>2926</v>
      </c>
      <c r="Y8152" t="s">
        <v>97</v>
      </c>
      <c r="Z8152" t="s">
        <v>77</v>
      </c>
      <c r="AA8152" t="str">
        <f>"10029-6503"</f>
        <v>10029-6503</v>
      </c>
      <c r="AB8152" t="s">
        <v>78</v>
      </c>
      <c r="AC8152" t="s">
        <v>79</v>
      </c>
      <c r="AD8152" t="s">
        <v>75</v>
      </c>
      <c r="AE8152" t="s">
        <v>80</v>
      </c>
      <c r="AG8152" t="s">
        <v>81</v>
      </c>
    </row>
    <row r="8153" spans="1:33" x14ac:dyDescent="0.25">
      <c r="A8153" t="str">
        <f>"1740447325"</f>
        <v>1740447325</v>
      </c>
      <c r="B8153" t="str">
        <f>"03438502"</f>
        <v>03438502</v>
      </c>
      <c r="C8153" t="s">
        <v>13436</v>
      </c>
      <c r="D8153" t="s">
        <v>35499</v>
      </c>
      <c r="E8153" t="s">
        <v>35500</v>
      </c>
      <c r="G8153" t="s">
        <v>35501</v>
      </c>
      <c r="L8153" t="s">
        <v>83</v>
      </c>
      <c r="M8153" t="s">
        <v>85</v>
      </c>
      <c r="R8153" t="s">
        <v>35502</v>
      </c>
      <c r="W8153" t="s">
        <v>35503</v>
      </c>
      <c r="X8153" t="s">
        <v>11436</v>
      </c>
      <c r="Y8153" t="s">
        <v>97</v>
      </c>
      <c r="Z8153" t="s">
        <v>77</v>
      </c>
      <c r="AA8153" t="str">
        <f>"10029-0000"</f>
        <v>10029-0000</v>
      </c>
      <c r="AB8153" t="s">
        <v>78</v>
      </c>
      <c r="AC8153" t="s">
        <v>79</v>
      </c>
      <c r="AD8153" t="s">
        <v>75</v>
      </c>
      <c r="AE8153" t="s">
        <v>80</v>
      </c>
      <c r="AG8153" t="s">
        <v>81</v>
      </c>
    </row>
    <row r="8154" spans="1:33" x14ac:dyDescent="0.25">
      <c r="A8154" t="str">
        <f>"1740453158"</f>
        <v>1740453158</v>
      </c>
      <c r="C8154" t="s">
        <v>13436</v>
      </c>
      <c r="G8154" t="s">
        <v>35504</v>
      </c>
      <c r="K8154" t="s">
        <v>99</v>
      </c>
      <c r="L8154" t="s">
        <v>102</v>
      </c>
      <c r="M8154" t="s">
        <v>75</v>
      </c>
      <c r="R8154" t="s">
        <v>35505</v>
      </c>
      <c r="S8154" t="s">
        <v>35506</v>
      </c>
      <c r="T8154" t="s">
        <v>97</v>
      </c>
      <c r="U8154" t="s">
        <v>77</v>
      </c>
      <c r="V8154" t="str">
        <f>"100107002"</f>
        <v>100107002</v>
      </c>
      <c r="AC8154" t="s">
        <v>79</v>
      </c>
      <c r="AD8154" t="s">
        <v>75</v>
      </c>
      <c r="AE8154" t="s">
        <v>103</v>
      </c>
      <c r="AG8154" t="s">
        <v>81</v>
      </c>
    </row>
    <row r="8155" spans="1:33" x14ac:dyDescent="0.25">
      <c r="A8155" t="str">
        <f>"1417117011"</f>
        <v>1417117011</v>
      </c>
      <c r="B8155" t="str">
        <f>"03366598"</f>
        <v>03366598</v>
      </c>
      <c r="C8155" t="s">
        <v>13436</v>
      </c>
      <c r="D8155" t="s">
        <v>35507</v>
      </c>
      <c r="E8155" t="s">
        <v>35508</v>
      </c>
      <c r="G8155" t="s">
        <v>35509</v>
      </c>
      <c r="L8155" t="s">
        <v>83</v>
      </c>
      <c r="M8155" t="s">
        <v>85</v>
      </c>
      <c r="R8155" t="s">
        <v>35508</v>
      </c>
      <c r="W8155" t="s">
        <v>35510</v>
      </c>
      <c r="X8155" t="s">
        <v>329</v>
      </c>
      <c r="Y8155" t="s">
        <v>97</v>
      </c>
      <c r="Z8155" t="s">
        <v>77</v>
      </c>
      <c r="AA8155" t="str">
        <f>"10029-6500"</f>
        <v>10029-6500</v>
      </c>
      <c r="AB8155" t="s">
        <v>78</v>
      </c>
      <c r="AC8155" t="s">
        <v>79</v>
      </c>
      <c r="AD8155" t="s">
        <v>75</v>
      </c>
      <c r="AE8155" t="s">
        <v>80</v>
      </c>
      <c r="AG8155" t="s">
        <v>81</v>
      </c>
    </row>
    <row r="8156" spans="1:33" x14ac:dyDescent="0.25">
      <c r="A8156" t="str">
        <f>"1598184483"</f>
        <v>1598184483</v>
      </c>
      <c r="C8156" t="s">
        <v>13436</v>
      </c>
      <c r="K8156" t="s">
        <v>99</v>
      </c>
      <c r="L8156" t="s">
        <v>102</v>
      </c>
      <c r="M8156" t="s">
        <v>75</v>
      </c>
      <c r="R8156" t="s">
        <v>35511</v>
      </c>
      <c r="S8156" t="s">
        <v>191</v>
      </c>
      <c r="T8156" t="s">
        <v>97</v>
      </c>
      <c r="U8156" t="s">
        <v>77</v>
      </c>
      <c r="V8156" t="str">
        <f>"100191147"</f>
        <v>100191147</v>
      </c>
      <c r="AC8156" t="s">
        <v>79</v>
      </c>
      <c r="AD8156" t="s">
        <v>75</v>
      </c>
      <c r="AE8156" t="s">
        <v>103</v>
      </c>
      <c r="AG8156" t="s">
        <v>81</v>
      </c>
    </row>
    <row r="8157" spans="1:33" x14ac:dyDescent="0.25">
      <c r="A8157" t="str">
        <f>"1598719254"</f>
        <v>1598719254</v>
      </c>
      <c r="B8157" t="str">
        <f>"00744569"</f>
        <v>00744569</v>
      </c>
      <c r="C8157" t="s">
        <v>13436</v>
      </c>
      <c r="D8157" t="s">
        <v>35512</v>
      </c>
      <c r="E8157" t="s">
        <v>35513</v>
      </c>
      <c r="G8157" t="s">
        <v>35514</v>
      </c>
      <c r="L8157" t="s">
        <v>74</v>
      </c>
      <c r="M8157" t="s">
        <v>75</v>
      </c>
      <c r="R8157" t="s">
        <v>35515</v>
      </c>
      <c r="W8157" t="s">
        <v>35513</v>
      </c>
      <c r="X8157" t="s">
        <v>33919</v>
      </c>
      <c r="Y8157" t="s">
        <v>97</v>
      </c>
      <c r="Z8157" t="s">
        <v>77</v>
      </c>
      <c r="AA8157" t="str">
        <f>"10029-6503"</f>
        <v>10029-6503</v>
      </c>
      <c r="AB8157" t="s">
        <v>78</v>
      </c>
      <c r="AC8157" t="s">
        <v>79</v>
      </c>
      <c r="AD8157" t="s">
        <v>75</v>
      </c>
      <c r="AE8157" t="s">
        <v>80</v>
      </c>
      <c r="AG8157" t="s">
        <v>81</v>
      </c>
    </row>
    <row r="8158" spans="1:33" x14ac:dyDescent="0.25">
      <c r="A8158" t="str">
        <f>"1598720062"</f>
        <v>1598720062</v>
      </c>
      <c r="B8158" t="str">
        <f>"02533104"</f>
        <v>02533104</v>
      </c>
      <c r="C8158" t="s">
        <v>13436</v>
      </c>
      <c r="D8158" t="s">
        <v>35516</v>
      </c>
      <c r="E8158" t="s">
        <v>35517</v>
      </c>
      <c r="G8158" t="s">
        <v>35518</v>
      </c>
      <c r="L8158" t="s">
        <v>83</v>
      </c>
      <c r="M8158" t="s">
        <v>85</v>
      </c>
      <c r="R8158" t="s">
        <v>35519</v>
      </c>
      <c r="W8158" t="s">
        <v>35517</v>
      </c>
      <c r="X8158" t="s">
        <v>30869</v>
      </c>
      <c r="Y8158" t="s">
        <v>97</v>
      </c>
      <c r="Z8158" t="s">
        <v>77</v>
      </c>
      <c r="AA8158" t="str">
        <f>"10029-0000"</f>
        <v>10029-0000</v>
      </c>
      <c r="AB8158" t="s">
        <v>78</v>
      </c>
      <c r="AC8158" t="s">
        <v>79</v>
      </c>
      <c r="AD8158" t="s">
        <v>75</v>
      </c>
      <c r="AE8158" t="s">
        <v>80</v>
      </c>
      <c r="AG8158" t="s">
        <v>81</v>
      </c>
    </row>
    <row r="8159" spans="1:33" x14ac:dyDescent="0.25">
      <c r="A8159" t="str">
        <f>"1598720435"</f>
        <v>1598720435</v>
      </c>
      <c r="B8159" t="str">
        <f>"01449201"</f>
        <v>01449201</v>
      </c>
      <c r="C8159" t="s">
        <v>13436</v>
      </c>
      <c r="D8159" t="s">
        <v>35520</v>
      </c>
      <c r="E8159" t="s">
        <v>35521</v>
      </c>
      <c r="G8159" t="s">
        <v>35522</v>
      </c>
      <c r="L8159" t="s">
        <v>83</v>
      </c>
      <c r="M8159" t="s">
        <v>85</v>
      </c>
      <c r="R8159" t="s">
        <v>35523</v>
      </c>
      <c r="W8159" t="s">
        <v>35523</v>
      </c>
      <c r="X8159" t="s">
        <v>27352</v>
      </c>
      <c r="Y8159" t="s">
        <v>160</v>
      </c>
      <c r="Z8159" t="s">
        <v>77</v>
      </c>
      <c r="AA8159" t="str">
        <f>"11030-3008"</f>
        <v>11030-3008</v>
      </c>
      <c r="AB8159" t="s">
        <v>78</v>
      </c>
      <c r="AC8159" t="s">
        <v>79</v>
      </c>
      <c r="AD8159" t="s">
        <v>75</v>
      </c>
      <c r="AE8159" t="s">
        <v>80</v>
      </c>
      <c r="AG8159" t="s">
        <v>81</v>
      </c>
    </row>
    <row r="8160" spans="1:33" x14ac:dyDescent="0.25">
      <c r="A8160" t="str">
        <f>"1598721912"</f>
        <v>1598721912</v>
      </c>
      <c r="B8160" t="str">
        <f>"00436902"</f>
        <v>00436902</v>
      </c>
      <c r="C8160" t="s">
        <v>13436</v>
      </c>
      <c r="D8160" t="s">
        <v>35524</v>
      </c>
      <c r="E8160" t="s">
        <v>35525</v>
      </c>
      <c r="G8160" t="s">
        <v>35526</v>
      </c>
      <c r="L8160" t="s">
        <v>74</v>
      </c>
      <c r="M8160" t="s">
        <v>75</v>
      </c>
      <c r="R8160" t="s">
        <v>35527</v>
      </c>
      <c r="W8160" t="s">
        <v>35525</v>
      </c>
      <c r="X8160" t="s">
        <v>6254</v>
      </c>
      <c r="Y8160" t="s">
        <v>227</v>
      </c>
      <c r="Z8160" t="s">
        <v>77</v>
      </c>
      <c r="AA8160" t="str">
        <f>"10601-1712"</f>
        <v>10601-1712</v>
      </c>
      <c r="AB8160" t="s">
        <v>78</v>
      </c>
      <c r="AC8160" t="s">
        <v>79</v>
      </c>
      <c r="AD8160" t="s">
        <v>75</v>
      </c>
      <c r="AE8160" t="s">
        <v>80</v>
      </c>
      <c r="AG8160" t="s">
        <v>81</v>
      </c>
    </row>
    <row r="8161" spans="1:33" x14ac:dyDescent="0.25">
      <c r="A8161" t="str">
        <f>"1598736654"</f>
        <v>1598736654</v>
      </c>
      <c r="B8161" t="str">
        <f>"02530261"</f>
        <v>02530261</v>
      </c>
      <c r="C8161" t="s">
        <v>13436</v>
      </c>
      <c r="D8161" t="s">
        <v>35528</v>
      </c>
      <c r="E8161" t="s">
        <v>35529</v>
      </c>
      <c r="G8161" t="s">
        <v>35530</v>
      </c>
      <c r="L8161" t="s">
        <v>74</v>
      </c>
      <c r="M8161" t="s">
        <v>85</v>
      </c>
      <c r="R8161" t="s">
        <v>35531</v>
      </c>
      <c r="W8161" t="s">
        <v>35529</v>
      </c>
      <c r="X8161" t="s">
        <v>272</v>
      </c>
      <c r="Y8161" t="s">
        <v>97</v>
      </c>
      <c r="Z8161" t="s">
        <v>77</v>
      </c>
      <c r="AA8161" t="str">
        <f>"10029-6501"</f>
        <v>10029-6501</v>
      </c>
      <c r="AB8161" t="s">
        <v>78</v>
      </c>
      <c r="AC8161" t="s">
        <v>79</v>
      </c>
      <c r="AD8161" t="s">
        <v>75</v>
      </c>
      <c r="AE8161" t="s">
        <v>80</v>
      </c>
      <c r="AG8161" t="s">
        <v>81</v>
      </c>
    </row>
    <row r="8162" spans="1:33" x14ac:dyDescent="0.25">
      <c r="A8162" t="str">
        <f>"1598736811"</f>
        <v>1598736811</v>
      </c>
      <c r="B8162" t="str">
        <f>"00181282"</f>
        <v>00181282</v>
      </c>
      <c r="C8162" t="s">
        <v>13436</v>
      </c>
      <c r="D8162" t="s">
        <v>35532</v>
      </c>
      <c r="E8162" t="s">
        <v>35533</v>
      </c>
      <c r="G8162" t="s">
        <v>35534</v>
      </c>
      <c r="L8162" t="s">
        <v>74</v>
      </c>
      <c r="M8162" t="s">
        <v>85</v>
      </c>
      <c r="R8162" t="s">
        <v>35535</v>
      </c>
      <c r="W8162" t="s">
        <v>35533</v>
      </c>
      <c r="X8162" t="s">
        <v>35536</v>
      </c>
      <c r="Y8162" t="s">
        <v>87</v>
      </c>
      <c r="Z8162" t="s">
        <v>77</v>
      </c>
      <c r="AA8162" t="str">
        <f>"11219-2999"</f>
        <v>11219-2999</v>
      </c>
      <c r="AB8162" t="s">
        <v>78</v>
      </c>
      <c r="AC8162" t="s">
        <v>79</v>
      </c>
      <c r="AD8162" t="s">
        <v>75</v>
      </c>
      <c r="AE8162" t="s">
        <v>80</v>
      </c>
      <c r="AG8162" t="s">
        <v>81</v>
      </c>
    </row>
    <row r="8163" spans="1:33" x14ac:dyDescent="0.25">
      <c r="A8163" t="str">
        <f>"1245346139"</f>
        <v>1245346139</v>
      </c>
      <c r="B8163" t="str">
        <f>"01531759"</f>
        <v>01531759</v>
      </c>
      <c r="C8163" t="s">
        <v>13436</v>
      </c>
      <c r="D8163" t="s">
        <v>35537</v>
      </c>
      <c r="E8163" t="s">
        <v>35538</v>
      </c>
      <c r="G8163" t="s">
        <v>35539</v>
      </c>
      <c r="L8163" t="s">
        <v>83</v>
      </c>
      <c r="M8163" t="s">
        <v>85</v>
      </c>
      <c r="R8163" t="s">
        <v>35540</v>
      </c>
      <c r="W8163" t="s">
        <v>35538</v>
      </c>
      <c r="X8163" t="s">
        <v>5557</v>
      </c>
      <c r="Y8163" t="s">
        <v>97</v>
      </c>
      <c r="Z8163" t="s">
        <v>77</v>
      </c>
      <c r="AA8163" t="str">
        <f>"10029-6501"</f>
        <v>10029-6501</v>
      </c>
      <c r="AB8163" t="s">
        <v>78</v>
      </c>
      <c r="AC8163" t="s">
        <v>79</v>
      </c>
      <c r="AD8163" t="s">
        <v>75</v>
      </c>
      <c r="AE8163" t="s">
        <v>80</v>
      </c>
      <c r="AG8163" t="s">
        <v>81</v>
      </c>
    </row>
    <row r="8164" spans="1:33" x14ac:dyDescent="0.25">
      <c r="A8164" t="str">
        <f>"1245403773"</f>
        <v>1245403773</v>
      </c>
      <c r="B8164" t="str">
        <f>"02985793"</f>
        <v>02985793</v>
      </c>
      <c r="C8164" t="s">
        <v>13436</v>
      </c>
      <c r="D8164" t="s">
        <v>35541</v>
      </c>
      <c r="E8164" t="s">
        <v>35542</v>
      </c>
      <c r="G8164" t="s">
        <v>35543</v>
      </c>
      <c r="L8164" t="s">
        <v>74</v>
      </c>
      <c r="M8164" t="s">
        <v>75</v>
      </c>
      <c r="R8164" t="s">
        <v>35542</v>
      </c>
      <c r="W8164" t="s">
        <v>35542</v>
      </c>
      <c r="X8164" t="s">
        <v>3021</v>
      </c>
      <c r="Y8164" t="s">
        <v>182</v>
      </c>
      <c r="Z8164" t="s">
        <v>77</v>
      </c>
      <c r="AA8164" t="str">
        <f>"11501-3957"</f>
        <v>11501-3957</v>
      </c>
      <c r="AB8164" t="s">
        <v>78</v>
      </c>
      <c r="AC8164" t="s">
        <v>79</v>
      </c>
      <c r="AD8164" t="s">
        <v>75</v>
      </c>
      <c r="AE8164" t="s">
        <v>80</v>
      </c>
      <c r="AG8164" t="s">
        <v>81</v>
      </c>
    </row>
    <row r="8165" spans="1:33" x14ac:dyDescent="0.25">
      <c r="A8165" t="str">
        <f>"1245405067"</f>
        <v>1245405067</v>
      </c>
      <c r="B8165" t="str">
        <f>"04339731"</f>
        <v>04339731</v>
      </c>
      <c r="C8165" t="s">
        <v>13436</v>
      </c>
      <c r="D8165" t="s">
        <v>35544</v>
      </c>
      <c r="E8165" t="s">
        <v>35545</v>
      </c>
      <c r="G8165" t="s">
        <v>35546</v>
      </c>
      <c r="L8165" t="s">
        <v>74</v>
      </c>
      <c r="M8165" t="s">
        <v>75</v>
      </c>
      <c r="R8165" t="s">
        <v>35547</v>
      </c>
      <c r="W8165" t="s">
        <v>35545</v>
      </c>
      <c r="X8165" t="s">
        <v>329</v>
      </c>
      <c r="Y8165" t="s">
        <v>97</v>
      </c>
      <c r="Z8165" t="s">
        <v>77</v>
      </c>
      <c r="AA8165" t="str">
        <f>"10029-6504"</f>
        <v>10029-6504</v>
      </c>
      <c r="AB8165" t="s">
        <v>78</v>
      </c>
      <c r="AC8165" t="s">
        <v>79</v>
      </c>
      <c r="AD8165" t="s">
        <v>75</v>
      </c>
      <c r="AE8165" t="s">
        <v>80</v>
      </c>
      <c r="AG8165" t="s">
        <v>81</v>
      </c>
    </row>
    <row r="8166" spans="1:33" x14ac:dyDescent="0.25">
      <c r="A8166" t="str">
        <f>"1245406891"</f>
        <v>1245406891</v>
      </c>
      <c r="B8166" t="str">
        <f>"03084773"</f>
        <v>03084773</v>
      </c>
      <c r="C8166" t="s">
        <v>13436</v>
      </c>
      <c r="D8166" t="s">
        <v>35548</v>
      </c>
      <c r="E8166" t="s">
        <v>35549</v>
      </c>
      <c r="G8166" t="s">
        <v>35550</v>
      </c>
      <c r="L8166" t="s">
        <v>94</v>
      </c>
      <c r="M8166" t="s">
        <v>75</v>
      </c>
      <c r="R8166" t="s">
        <v>35551</v>
      </c>
      <c r="W8166" t="s">
        <v>35549</v>
      </c>
      <c r="X8166" t="s">
        <v>185</v>
      </c>
      <c r="Y8166" t="s">
        <v>97</v>
      </c>
      <c r="Z8166" t="s">
        <v>77</v>
      </c>
      <c r="AA8166" t="str">
        <f>"10035-2709"</f>
        <v>10035-2709</v>
      </c>
      <c r="AB8166" t="s">
        <v>78</v>
      </c>
      <c r="AC8166" t="s">
        <v>79</v>
      </c>
      <c r="AD8166" t="s">
        <v>75</v>
      </c>
      <c r="AE8166" t="s">
        <v>80</v>
      </c>
      <c r="AG8166" t="s">
        <v>81</v>
      </c>
    </row>
    <row r="8167" spans="1:33" x14ac:dyDescent="0.25">
      <c r="A8167" t="str">
        <f>"1245464361"</f>
        <v>1245464361</v>
      </c>
      <c r="B8167" t="str">
        <f>"04499212"</f>
        <v>04499212</v>
      </c>
      <c r="C8167" t="s">
        <v>13436</v>
      </c>
      <c r="D8167" t="s">
        <v>35552</v>
      </c>
      <c r="E8167" t="s">
        <v>35553</v>
      </c>
      <c r="L8167" t="s">
        <v>102</v>
      </c>
      <c r="M8167" t="s">
        <v>75</v>
      </c>
      <c r="R8167" t="s">
        <v>35554</v>
      </c>
      <c r="W8167" t="s">
        <v>35553</v>
      </c>
      <c r="AB8167" t="s">
        <v>78</v>
      </c>
      <c r="AC8167" t="s">
        <v>79</v>
      </c>
      <c r="AD8167" t="s">
        <v>75</v>
      </c>
      <c r="AE8167" t="s">
        <v>80</v>
      </c>
      <c r="AG8167" t="s">
        <v>81</v>
      </c>
    </row>
    <row r="8168" spans="1:33" x14ac:dyDescent="0.25">
      <c r="A8168" t="str">
        <f>"1568608941"</f>
        <v>1568608941</v>
      </c>
      <c r="B8168" t="str">
        <f>"04514985"</f>
        <v>04514985</v>
      </c>
      <c r="C8168" t="s">
        <v>13436</v>
      </c>
      <c r="D8168" t="s">
        <v>35555</v>
      </c>
      <c r="E8168" t="s">
        <v>35556</v>
      </c>
      <c r="G8168" t="s">
        <v>35557</v>
      </c>
      <c r="L8168" t="s">
        <v>102</v>
      </c>
      <c r="M8168" t="s">
        <v>75</v>
      </c>
      <c r="R8168" t="s">
        <v>35558</v>
      </c>
      <c r="W8168" t="s">
        <v>35556</v>
      </c>
      <c r="AB8168" t="s">
        <v>78</v>
      </c>
      <c r="AC8168" t="s">
        <v>79</v>
      </c>
      <c r="AD8168" t="s">
        <v>75</v>
      </c>
      <c r="AE8168" t="s">
        <v>80</v>
      </c>
      <c r="AG8168" t="s">
        <v>81</v>
      </c>
    </row>
    <row r="8169" spans="1:33" x14ac:dyDescent="0.25">
      <c r="A8169" t="str">
        <f>"1568612703"</f>
        <v>1568612703</v>
      </c>
      <c r="B8169" t="str">
        <f>"03228580"</f>
        <v>03228580</v>
      </c>
      <c r="C8169" t="s">
        <v>13436</v>
      </c>
      <c r="D8169" t="s">
        <v>35559</v>
      </c>
      <c r="E8169" t="s">
        <v>35560</v>
      </c>
      <c r="G8169" t="s">
        <v>35561</v>
      </c>
      <c r="L8169" t="s">
        <v>83</v>
      </c>
      <c r="M8169" t="s">
        <v>85</v>
      </c>
      <c r="R8169" t="s">
        <v>35562</v>
      </c>
      <c r="W8169" t="s">
        <v>35560</v>
      </c>
      <c r="X8169" t="s">
        <v>234</v>
      </c>
      <c r="Y8169" t="s">
        <v>97</v>
      </c>
      <c r="Z8169" t="s">
        <v>77</v>
      </c>
      <c r="AA8169" t="str">
        <f>"10032-3729"</f>
        <v>10032-3729</v>
      </c>
      <c r="AB8169" t="s">
        <v>78</v>
      </c>
      <c r="AC8169" t="s">
        <v>79</v>
      </c>
      <c r="AD8169" t="s">
        <v>75</v>
      </c>
      <c r="AE8169" t="s">
        <v>80</v>
      </c>
      <c r="AG8169" t="s">
        <v>81</v>
      </c>
    </row>
    <row r="8170" spans="1:33" x14ac:dyDescent="0.25">
      <c r="A8170" t="str">
        <f>"1679592182"</f>
        <v>1679592182</v>
      </c>
      <c r="B8170" t="str">
        <f>"02759171"</f>
        <v>02759171</v>
      </c>
      <c r="C8170" t="s">
        <v>13436</v>
      </c>
      <c r="D8170" t="s">
        <v>35563</v>
      </c>
      <c r="E8170" t="s">
        <v>35564</v>
      </c>
      <c r="G8170" t="s">
        <v>35565</v>
      </c>
      <c r="L8170" t="s">
        <v>74</v>
      </c>
      <c r="M8170" t="s">
        <v>75</v>
      </c>
      <c r="R8170" t="s">
        <v>35566</v>
      </c>
      <c r="W8170" t="s">
        <v>35567</v>
      </c>
      <c r="X8170" t="s">
        <v>3021</v>
      </c>
      <c r="Y8170" t="s">
        <v>182</v>
      </c>
      <c r="Z8170" t="s">
        <v>77</v>
      </c>
      <c r="AA8170" t="str">
        <f>"11501-3957"</f>
        <v>11501-3957</v>
      </c>
      <c r="AB8170" t="s">
        <v>78</v>
      </c>
      <c r="AC8170" t="s">
        <v>79</v>
      </c>
      <c r="AD8170" t="s">
        <v>75</v>
      </c>
      <c r="AE8170" t="s">
        <v>80</v>
      </c>
      <c r="AG8170" t="s">
        <v>81</v>
      </c>
    </row>
    <row r="8171" spans="1:33" x14ac:dyDescent="0.25">
      <c r="A8171" t="str">
        <f>"1679602965"</f>
        <v>1679602965</v>
      </c>
      <c r="B8171" t="str">
        <f>"02868211"</f>
        <v>02868211</v>
      </c>
      <c r="C8171" t="s">
        <v>13436</v>
      </c>
      <c r="D8171" t="s">
        <v>35568</v>
      </c>
      <c r="E8171" t="s">
        <v>35569</v>
      </c>
      <c r="G8171" t="s">
        <v>35570</v>
      </c>
      <c r="L8171" t="s">
        <v>83</v>
      </c>
      <c r="M8171" t="s">
        <v>85</v>
      </c>
      <c r="R8171" t="s">
        <v>35571</v>
      </c>
      <c r="W8171" t="s">
        <v>35569</v>
      </c>
      <c r="X8171" t="s">
        <v>329</v>
      </c>
      <c r="Y8171" t="s">
        <v>97</v>
      </c>
      <c r="Z8171" t="s">
        <v>77</v>
      </c>
      <c r="AA8171" t="str">
        <f>"10029-6500"</f>
        <v>10029-6500</v>
      </c>
      <c r="AB8171" t="s">
        <v>78</v>
      </c>
      <c r="AC8171" t="s">
        <v>79</v>
      </c>
      <c r="AD8171" t="s">
        <v>75</v>
      </c>
      <c r="AE8171" t="s">
        <v>80</v>
      </c>
      <c r="AG8171" t="s">
        <v>81</v>
      </c>
    </row>
    <row r="8172" spans="1:33" x14ac:dyDescent="0.25">
      <c r="A8172" t="str">
        <f>"1225037039"</f>
        <v>1225037039</v>
      </c>
      <c r="B8172" t="str">
        <f>"02174963"</f>
        <v>02174963</v>
      </c>
      <c r="C8172" t="s">
        <v>13436</v>
      </c>
      <c r="D8172" t="s">
        <v>35572</v>
      </c>
      <c r="E8172" t="s">
        <v>35573</v>
      </c>
      <c r="G8172" t="s">
        <v>35574</v>
      </c>
      <c r="L8172" t="s">
        <v>83</v>
      </c>
      <c r="M8172" t="s">
        <v>85</v>
      </c>
      <c r="R8172" t="s">
        <v>35575</v>
      </c>
      <c r="W8172" t="s">
        <v>35573</v>
      </c>
      <c r="X8172" t="s">
        <v>329</v>
      </c>
      <c r="Y8172" t="s">
        <v>97</v>
      </c>
      <c r="Z8172" t="s">
        <v>77</v>
      </c>
      <c r="AA8172" t="str">
        <f>"10029-6500"</f>
        <v>10029-6500</v>
      </c>
      <c r="AB8172" t="s">
        <v>78</v>
      </c>
      <c r="AC8172" t="s">
        <v>79</v>
      </c>
      <c r="AD8172" t="s">
        <v>75</v>
      </c>
      <c r="AE8172" t="s">
        <v>80</v>
      </c>
      <c r="AG8172" t="s">
        <v>81</v>
      </c>
    </row>
    <row r="8173" spans="1:33" x14ac:dyDescent="0.25">
      <c r="A8173" t="str">
        <f>"1225039951"</f>
        <v>1225039951</v>
      </c>
      <c r="B8173" t="str">
        <f>"02555062"</f>
        <v>02555062</v>
      </c>
      <c r="C8173" t="s">
        <v>13436</v>
      </c>
      <c r="D8173" t="s">
        <v>35576</v>
      </c>
      <c r="E8173" t="s">
        <v>35577</v>
      </c>
      <c r="G8173" t="s">
        <v>35578</v>
      </c>
      <c r="L8173" t="s">
        <v>83</v>
      </c>
      <c r="M8173" t="s">
        <v>85</v>
      </c>
      <c r="R8173" t="s">
        <v>35579</v>
      </c>
      <c r="W8173" t="s">
        <v>35577</v>
      </c>
      <c r="X8173" t="s">
        <v>14502</v>
      </c>
      <c r="Y8173" t="s">
        <v>97</v>
      </c>
      <c r="Z8173" t="s">
        <v>77</v>
      </c>
      <c r="AA8173" t="str">
        <f>"10016-4750"</f>
        <v>10016-4750</v>
      </c>
      <c r="AB8173" t="s">
        <v>78</v>
      </c>
      <c r="AC8173" t="s">
        <v>79</v>
      </c>
      <c r="AD8173" t="s">
        <v>75</v>
      </c>
      <c r="AE8173" t="s">
        <v>80</v>
      </c>
      <c r="AG8173" t="s">
        <v>81</v>
      </c>
    </row>
    <row r="8174" spans="1:33" x14ac:dyDescent="0.25">
      <c r="A8174" t="str">
        <f>"1093733818"</f>
        <v>1093733818</v>
      </c>
      <c r="B8174" t="str">
        <f>"01631194"</f>
        <v>01631194</v>
      </c>
      <c r="C8174" t="s">
        <v>13436</v>
      </c>
      <c r="D8174" t="s">
        <v>35580</v>
      </c>
      <c r="E8174" t="s">
        <v>35581</v>
      </c>
      <c r="G8174" t="s">
        <v>35582</v>
      </c>
      <c r="L8174" t="s">
        <v>84</v>
      </c>
      <c r="M8174" t="s">
        <v>85</v>
      </c>
      <c r="R8174" t="s">
        <v>35583</v>
      </c>
      <c r="W8174" t="s">
        <v>35581</v>
      </c>
      <c r="X8174" t="s">
        <v>5864</v>
      </c>
      <c r="Y8174" t="s">
        <v>97</v>
      </c>
      <c r="Z8174" t="s">
        <v>77</v>
      </c>
      <c r="AA8174" t="str">
        <f>"10029-5208"</f>
        <v>10029-5208</v>
      </c>
      <c r="AB8174" t="s">
        <v>78</v>
      </c>
      <c r="AC8174" t="s">
        <v>79</v>
      </c>
      <c r="AD8174" t="s">
        <v>75</v>
      </c>
      <c r="AE8174" t="s">
        <v>80</v>
      </c>
      <c r="AG8174" t="s">
        <v>81</v>
      </c>
    </row>
    <row r="8175" spans="1:33" x14ac:dyDescent="0.25">
      <c r="A8175" t="str">
        <f>"1093737744"</f>
        <v>1093737744</v>
      </c>
      <c r="B8175" t="str">
        <f>"01761522"</f>
        <v>01761522</v>
      </c>
      <c r="C8175" t="s">
        <v>13436</v>
      </c>
      <c r="D8175" t="s">
        <v>35584</v>
      </c>
      <c r="E8175" t="s">
        <v>35585</v>
      </c>
      <c r="G8175" t="s">
        <v>35586</v>
      </c>
      <c r="L8175" t="s">
        <v>83</v>
      </c>
      <c r="M8175" t="s">
        <v>85</v>
      </c>
      <c r="R8175" t="s">
        <v>35587</v>
      </c>
      <c r="W8175" t="s">
        <v>35585</v>
      </c>
      <c r="X8175" t="s">
        <v>138</v>
      </c>
      <c r="Y8175" t="s">
        <v>139</v>
      </c>
      <c r="Z8175" t="s">
        <v>77</v>
      </c>
      <c r="AA8175" t="str">
        <f>"11355-5045"</f>
        <v>11355-5045</v>
      </c>
      <c r="AB8175" t="s">
        <v>78</v>
      </c>
      <c r="AC8175" t="s">
        <v>79</v>
      </c>
      <c r="AD8175" t="s">
        <v>75</v>
      </c>
      <c r="AE8175" t="s">
        <v>80</v>
      </c>
      <c r="AG8175" t="s">
        <v>81</v>
      </c>
    </row>
    <row r="8176" spans="1:33" x14ac:dyDescent="0.25">
      <c r="A8176" t="str">
        <f>"1780798777"</f>
        <v>1780798777</v>
      </c>
      <c r="B8176" t="str">
        <f>"00905871"</f>
        <v>00905871</v>
      </c>
      <c r="C8176" t="s">
        <v>13436</v>
      </c>
      <c r="D8176" t="s">
        <v>35588</v>
      </c>
      <c r="E8176" t="s">
        <v>35589</v>
      </c>
      <c r="G8176" t="s">
        <v>35590</v>
      </c>
      <c r="L8176" t="s">
        <v>84</v>
      </c>
      <c r="M8176" t="s">
        <v>85</v>
      </c>
      <c r="R8176" t="s">
        <v>35591</v>
      </c>
      <c r="W8176" t="s">
        <v>35589</v>
      </c>
      <c r="X8176" t="s">
        <v>329</v>
      </c>
      <c r="Y8176" t="s">
        <v>97</v>
      </c>
      <c r="Z8176" t="s">
        <v>77</v>
      </c>
      <c r="AA8176" t="str">
        <f>"10029-6504"</f>
        <v>10029-6504</v>
      </c>
      <c r="AB8176" t="s">
        <v>78</v>
      </c>
      <c r="AC8176" t="s">
        <v>79</v>
      </c>
      <c r="AD8176" t="s">
        <v>75</v>
      </c>
      <c r="AE8176" t="s">
        <v>80</v>
      </c>
      <c r="AG8176" t="s">
        <v>81</v>
      </c>
    </row>
    <row r="8177" spans="1:33" x14ac:dyDescent="0.25">
      <c r="A8177" t="str">
        <f>"1982032827"</f>
        <v>1982032827</v>
      </c>
      <c r="B8177" t="str">
        <f>"03802297"</f>
        <v>03802297</v>
      </c>
      <c r="C8177" t="s">
        <v>13436</v>
      </c>
      <c r="D8177" t="s">
        <v>35592</v>
      </c>
      <c r="E8177" t="s">
        <v>35593</v>
      </c>
      <c r="G8177" t="s">
        <v>35594</v>
      </c>
      <c r="L8177" t="s">
        <v>83</v>
      </c>
      <c r="M8177" t="s">
        <v>75</v>
      </c>
      <c r="R8177" t="s">
        <v>35593</v>
      </c>
      <c r="W8177" t="s">
        <v>35593</v>
      </c>
      <c r="X8177" t="s">
        <v>2587</v>
      </c>
      <c r="Y8177" t="s">
        <v>97</v>
      </c>
      <c r="Z8177" t="s">
        <v>77</v>
      </c>
      <c r="AA8177" t="str">
        <f>"10003-3314"</f>
        <v>10003-3314</v>
      </c>
      <c r="AB8177" t="s">
        <v>78</v>
      </c>
      <c r="AC8177" t="s">
        <v>79</v>
      </c>
      <c r="AD8177" t="s">
        <v>75</v>
      </c>
      <c r="AE8177" t="s">
        <v>80</v>
      </c>
      <c r="AG8177" t="s">
        <v>81</v>
      </c>
    </row>
    <row r="8178" spans="1:33" x14ac:dyDescent="0.25">
      <c r="A8178" t="str">
        <f>"1952659922"</f>
        <v>1952659922</v>
      </c>
      <c r="B8178" t="str">
        <f>"03610102"</f>
        <v>03610102</v>
      </c>
      <c r="C8178" t="s">
        <v>13436</v>
      </c>
      <c r="D8178" t="s">
        <v>35595</v>
      </c>
      <c r="E8178" t="s">
        <v>35596</v>
      </c>
      <c r="G8178" t="s">
        <v>35597</v>
      </c>
      <c r="L8178" t="s">
        <v>74</v>
      </c>
      <c r="M8178" t="s">
        <v>75</v>
      </c>
      <c r="R8178" t="s">
        <v>35596</v>
      </c>
      <c r="W8178" t="s">
        <v>35596</v>
      </c>
      <c r="X8178" t="s">
        <v>215</v>
      </c>
      <c r="Y8178" t="s">
        <v>216</v>
      </c>
      <c r="Z8178" t="s">
        <v>77</v>
      </c>
      <c r="AA8178" t="str">
        <f>"11691-4423"</f>
        <v>11691-4423</v>
      </c>
      <c r="AB8178" t="s">
        <v>78</v>
      </c>
      <c r="AC8178" t="s">
        <v>79</v>
      </c>
      <c r="AD8178" t="s">
        <v>75</v>
      </c>
      <c r="AE8178" t="s">
        <v>80</v>
      </c>
      <c r="AG8178" t="s">
        <v>81</v>
      </c>
    </row>
    <row r="8179" spans="1:33" x14ac:dyDescent="0.25">
      <c r="A8179" t="str">
        <f>"1952665606"</f>
        <v>1952665606</v>
      </c>
      <c r="B8179" t="str">
        <f>"04247072"</f>
        <v>04247072</v>
      </c>
      <c r="C8179" t="s">
        <v>13436</v>
      </c>
      <c r="D8179" t="s">
        <v>35598</v>
      </c>
      <c r="E8179" t="s">
        <v>35599</v>
      </c>
      <c r="G8179" t="s">
        <v>35600</v>
      </c>
      <c r="L8179" t="s">
        <v>102</v>
      </c>
      <c r="M8179" t="s">
        <v>75</v>
      </c>
      <c r="R8179" t="s">
        <v>35601</v>
      </c>
      <c r="W8179" t="s">
        <v>35599</v>
      </c>
      <c r="X8179" t="s">
        <v>4799</v>
      </c>
      <c r="Y8179" t="s">
        <v>87</v>
      </c>
      <c r="Z8179" t="s">
        <v>77</v>
      </c>
      <c r="AA8179" t="str">
        <f>"11234-2625"</f>
        <v>11234-2625</v>
      </c>
      <c r="AB8179" t="s">
        <v>78</v>
      </c>
      <c r="AC8179" t="s">
        <v>79</v>
      </c>
      <c r="AD8179" t="s">
        <v>75</v>
      </c>
      <c r="AE8179" t="s">
        <v>80</v>
      </c>
      <c r="AG8179" t="s">
        <v>81</v>
      </c>
    </row>
    <row r="8180" spans="1:33" x14ac:dyDescent="0.25">
      <c r="A8180" t="str">
        <f>"1962593913"</f>
        <v>1962593913</v>
      </c>
      <c r="C8180" t="s">
        <v>13436</v>
      </c>
      <c r="G8180" t="s">
        <v>35602</v>
      </c>
      <c r="K8180" t="s">
        <v>99</v>
      </c>
      <c r="L8180" t="s">
        <v>102</v>
      </c>
      <c r="M8180" t="s">
        <v>75</v>
      </c>
      <c r="R8180" t="s">
        <v>35603</v>
      </c>
      <c r="S8180" t="s">
        <v>35604</v>
      </c>
      <c r="T8180" t="s">
        <v>35605</v>
      </c>
      <c r="U8180" t="s">
        <v>936</v>
      </c>
      <c r="V8180" t="str">
        <f>"379201511"</f>
        <v>379201511</v>
      </c>
      <c r="AC8180" t="s">
        <v>79</v>
      </c>
      <c r="AD8180" t="s">
        <v>75</v>
      </c>
      <c r="AE8180" t="s">
        <v>103</v>
      </c>
      <c r="AG8180" t="s">
        <v>81</v>
      </c>
    </row>
    <row r="8181" spans="1:33" x14ac:dyDescent="0.25">
      <c r="A8181" t="str">
        <f>"1962721894"</f>
        <v>1962721894</v>
      </c>
      <c r="B8181" t="str">
        <f>"03847596"</f>
        <v>03847596</v>
      </c>
      <c r="C8181" t="s">
        <v>13436</v>
      </c>
      <c r="D8181" t="s">
        <v>35606</v>
      </c>
      <c r="E8181" t="s">
        <v>35607</v>
      </c>
      <c r="G8181" t="s">
        <v>35608</v>
      </c>
      <c r="L8181" t="s">
        <v>102</v>
      </c>
      <c r="M8181" t="s">
        <v>75</v>
      </c>
      <c r="R8181" t="s">
        <v>35609</v>
      </c>
      <c r="W8181" t="s">
        <v>35607</v>
      </c>
      <c r="X8181" t="s">
        <v>12648</v>
      </c>
      <c r="Y8181" t="s">
        <v>97</v>
      </c>
      <c r="Z8181" t="s">
        <v>77</v>
      </c>
      <c r="AA8181" t="str">
        <f>"10310-0000"</f>
        <v>10310-0000</v>
      </c>
      <c r="AB8181" t="s">
        <v>78</v>
      </c>
      <c r="AC8181" t="s">
        <v>79</v>
      </c>
      <c r="AD8181" t="s">
        <v>75</v>
      </c>
      <c r="AE8181" t="s">
        <v>80</v>
      </c>
      <c r="AG8181" t="s">
        <v>81</v>
      </c>
    </row>
    <row r="8182" spans="1:33" x14ac:dyDescent="0.25">
      <c r="A8182" t="str">
        <f>"1962722454"</f>
        <v>1962722454</v>
      </c>
      <c r="B8182" t="str">
        <f>"03924256"</f>
        <v>03924256</v>
      </c>
      <c r="C8182" t="s">
        <v>13436</v>
      </c>
      <c r="D8182" t="s">
        <v>35610</v>
      </c>
      <c r="E8182" t="s">
        <v>35611</v>
      </c>
      <c r="G8182" t="s">
        <v>35612</v>
      </c>
      <c r="L8182" t="s">
        <v>84</v>
      </c>
      <c r="M8182" t="s">
        <v>85</v>
      </c>
      <c r="R8182" t="s">
        <v>35613</v>
      </c>
      <c r="W8182" t="s">
        <v>35611</v>
      </c>
      <c r="X8182" t="s">
        <v>19934</v>
      </c>
      <c r="Y8182" t="s">
        <v>97</v>
      </c>
      <c r="Z8182" t="s">
        <v>77</v>
      </c>
      <c r="AA8182" t="str">
        <f>"10019-3211"</f>
        <v>10019-3211</v>
      </c>
      <c r="AB8182" t="s">
        <v>78</v>
      </c>
      <c r="AC8182" t="s">
        <v>79</v>
      </c>
      <c r="AD8182" t="s">
        <v>75</v>
      </c>
      <c r="AE8182" t="s">
        <v>80</v>
      </c>
      <c r="AG8182" t="s">
        <v>81</v>
      </c>
    </row>
    <row r="8183" spans="1:33" x14ac:dyDescent="0.25">
      <c r="A8183" t="str">
        <f>"1972523207"</f>
        <v>1972523207</v>
      </c>
      <c r="B8183" t="str">
        <f>"02621281"</f>
        <v>02621281</v>
      </c>
      <c r="C8183" t="s">
        <v>13436</v>
      </c>
      <c r="D8183" t="s">
        <v>35614</v>
      </c>
      <c r="E8183" t="s">
        <v>35615</v>
      </c>
      <c r="G8183" t="s">
        <v>35616</v>
      </c>
      <c r="L8183" t="s">
        <v>102</v>
      </c>
      <c r="M8183" t="s">
        <v>75</v>
      </c>
      <c r="R8183" t="s">
        <v>35615</v>
      </c>
      <c r="W8183" t="s">
        <v>35615</v>
      </c>
      <c r="X8183" t="s">
        <v>2587</v>
      </c>
      <c r="Y8183" t="s">
        <v>97</v>
      </c>
      <c r="Z8183" t="s">
        <v>77</v>
      </c>
      <c r="AA8183" t="str">
        <f>"10003-3314"</f>
        <v>10003-3314</v>
      </c>
      <c r="AB8183" t="s">
        <v>78</v>
      </c>
      <c r="AC8183" t="s">
        <v>79</v>
      </c>
      <c r="AD8183" t="s">
        <v>75</v>
      </c>
      <c r="AE8183" t="s">
        <v>80</v>
      </c>
      <c r="AG8183" t="s">
        <v>81</v>
      </c>
    </row>
    <row r="8184" spans="1:33" x14ac:dyDescent="0.25">
      <c r="A8184" t="str">
        <f>"1376667279"</f>
        <v>1376667279</v>
      </c>
      <c r="B8184" t="str">
        <f>"02913317"</f>
        <v>02913317</v>
      </c>
      <c r="C8184" t="s">
        <v>13436</v>
      </c>
      <c r="D8184" t="s">
        <v>35617</v>
      </c>
      <c r="E8184" t="s">
        <v>35618</v>
      </c>
      <c r="G8184" t="s">
        <v>35619</v>
      </c>
      <c r="L8184" t="s">
        <v>102</v>
      </c>
      <c r="M8184" t="s">
        <v>75</v>
      </c>
      <c r="R8184" t="s">
        <v>35618</v>
      </c>
      <c r="W8184" t="s">
        <v>35620</v>
      </c>
      <c r="X8184" t="s">
        <v>25370</v>
      </c>
      <c r="Y8184" t="s">
        <v>97</v>
      </c>
      <c r="Z8184" t="s">
        <v>77</v>
      </c>
      <c r="AA8184" t="str">
        <f>"10029-6504"</f>
        <v>10029-6504</v>
      </c>
      <c r="AB8184" t="s">
        <v>78</v>
      </c>
      <c r="AC8184" t="s">
        <v>79</v>
      </c>
      <c r="AD8184" t="s">
        <v>75</v>
      </c>
      <c r="AE8184" t="s">
        <v>80</v>
      </c>
      <c r="AG8184" t="s">
        <v>81</v>
      </c>
    </row>
    <row r="8185" spans="1:33" x14ac:dyDescent="0.25">
      <c r="A8185" t="str">
        <f>"1376714469"</f>
        <v>1376714469</v>
      </c>
      <c r="B8185" t="str">
        <f>"02981166"</f>
        <v>02981166</v>
      </c>
      <c r="C8185" t="s">
        <v>13436</v>
      </c>
      <c r="D8185" t="s">
        <v>35621</v>
      </c>
      <c r="E8185" t="s">
        <v>35622</v>
      </c>
      <c r="G8185" t="s">
        <v>35623</v>
      </c>
      <c r="L8185" t="s">
        <v>83</v>
      </c>
      <c r="M8185" t="s">
        <v>85</v>
      </c>
      <c r="R8185" t="s">
        <v>35624</v>
      </c>
      <c r="W8185" t="s">
        <v>35622</v>
      </c>
      <c r="X8185" t="s">
        <v>35625</v>
      </c>
      <c r="Y8185" t="s">
        <v>2318</v>
      </c>
      <c r="Z8185" t="s">
        <v>77</v>
      </c>
      <c r="AA8185" t="str">
        <f>"11702-3027"</f>
        <v>11702-3027</v>
      </c>
      <c r="AB8185" t="s">
        <v>78</v>
      </c>
      <c r="AC8185" t="s">
        <v>79</v>
      </c>
      <c r="AD8185" t="s">
        <v>75</v>
      </c>
      <c r="AE8185" t="s">
        <v>80</v>
      </c>
      <c r="AG8185" t="s">
        <v>81</v>
      </c>
    </row>
    <row r="8186" spans="1:33" x14ac:dyDescent="0.25">
      <c r="A8186" t="str">
        <f>"1376719104"</f>
        <v>1376719104</v>
      </c>
      <c r="B8186" t="str">
        <f>"03024586"</f>
        <v>03024586</v>
      </c>
      <c r="C8186" t="s">
        <v>13436</v>
      </c>
      <c r="D8186" t="s">
        <v>35626</v>
      </c>
      <c r="E8186" t="s">
        <v>35627</v>
      </c>
      <c r="G8186" t="s">
        <v>35628</v>
      </c>
      <c r="L8186" t="s">
        <v>83</v>
      </c>
      <c r="M8186" t="s">
        <v>85</v>
      </c>
      <c r="R8186" t="s">
        <v>35629</v>
      </c>
      <c r="W8186" t="s">
        <v>35627</v>
      </c>
      <c r="X8186" t="s">
        <v>4029</v>
      </c>
      <c r="Y8186" t="s">
        <v>97</v>
      </c>
      <c r="Z8186" t="s">
        <v>77</v>
      </c>
      <c r="AA8186" t="str">
        <f>"10029-6503"</f>
        <v>10029-6503</v>
      </c>
      <c r="AB8186" t="s">
        <v>78</v>
      </c>
      <c r="AC8186" t="s">
        <v>79</v>
      </c>
      <c r="AD8186" t="s">
        <v>75</v>
      </c>
      <c r="AE8186" t="s">
        <v>80</v>
      </c>
      <c r="AG8186" t="s">
        <v>81</v>
      </c>
    </row>
    <row r="8187" spans="1:33" x14ac:dyDescent="0.25">
      <c r="A8187" t="str">
        <f>"1376733790"</f>
        <v>1376733790</v>
      </c>
      <c r="B8187" t="str">
        <f>"03183240"</f>
        <v>03183240</v>
      </c>
      <c r="C8187" t="s">
        <v>13436</v>
      </c>
      <c r="D8187" t="s">
        <v>35630</v>
      </c>
      <c r="E8187" t="s">
        <v>35631</v>
      </c>
      <c r="G8187" t="s">
        <v>35632</v>
      </c>
      <c r="L8187" t="s">
        <v>74</v>
      </c>
      <c r="M8187" t="s">
        <v>75</v>
      </c>
      <c r="R8187" t="s">
        <v>35633</v>
      </c>
      <c r="W8187" t="s">
        <v>35631</v>
      </c>
      <c r="X8187" t="s">
        <v>3433</v>
      </c>
      <c r="Y8187" t="s">
        <v>97</v>
      </c>
      <c r="Z8187" t="s">
        <v>77</v>
      </c>
      <c r="AA8187" t="str">
        <f>"10003-3805"</f>
        <v>10003-3805</v>
      </c>
      <c r="AB8187" t="s">
        <v>78</v>
      </c>
      <c r="AC8187" t="s">
        <v>79</v>
      </c>
      <c r="AD8187" t="s">
        <v>75</v>
      </c>
      <c r="AE8187" t="s">
        <v>80</v>
      </c>
      <c r="AG8187" t="s">
        <v>81</v>
      </c>
    </row>
    <row r="8188" spans="1:33" x14ac:dyDescent="0.25">
      <c r="A8188" t="str">
        <f>"1376734475"</f>
        <v>1376734475</v>
      </c>
      <c r="B8188" t="str">
        <f>"02986845"</f>
        <v>02986845</v>
      </c>
      <c r="C8188" t="s">
        <v>13436</v>
      </c>
      <c r="D8188" t="s">
        <v>35634</v>
      </c>
      <c r="E8188" t="s">
        <v>35635</v>
      </c>
      <c r="L8188" t="s">
        <v>83</v>
      </c>
      <c r="M8188" t="s">
        <v>75</v>
      </c>
      <c r="R8188" t="s">
        <v>35636</v>
      </c>
      <c r="W8188" t="s">
        <v>35635</v>
      </c>
      <c r="X8188" t="s">
        <v>159</v>
      </c>
      <c r="Y8188" t="s">
        <v>160</v>
      </c>
      <c r="Z8188" t="s">
        <v>77</v>
      </c>
      <c r="AA8188" t="str">
        <f>"11030-3816"</f>
        <v>11030-3816</v>
      </c>
      <c r="AB8188" t="s">
        <v>78</v>
      </c>
      <c r="AC8188" t="s">
        <v>79</v>
      </c>
      <c r="AD8188" t="s">
        <v>75</v>
      </c>
      <c r="AE8188" t="s">
        <v>80</v>
      </c>
      <c r="AG8188" t="s">
        <v>81</v>
      </c>
    </row>
    <row r="8189" spans="1:33" x14ac:dyDescent="0.25">
      <c r="A8189" t="str">
        <f>"1376784314"</f>
        <v>1376784314</v>
      </c>
      <c r="B8189" t="str">
        <f>"03935384"</f>
        <v>03935384</v>
      </c>
      <c r="C8189" t="s">
        <v>13436</v>
      </c>
      <c r="D8189" t="s">
        <v>35637</v>
      </c>
      <c r="E8189" t="s">
        <v>35638</v>
      </c>
      <c r="G8189" t="s">
        <v>35639</v>
      </c>
      <c r="L8189" t="s">
        <v>102</v>
      </c>
      <c r="M8189" t="s">
        <v>75</v>
      </c>
      <c r="R8189" t="s">
        <v>35640</v>
      </c>
      <c r="W8189" t="s">
        <v>35638</v>
      </c>
      <c r="X8189" t="s">
        <v>35641</v>
      </c>
      <c r="Y8189" t="s">
        <v>97</v>
      </c>
      <c r="Z8189" t="s">
        <v>77</v>
      </c>
      <c r="AA8189" t="str">
        <f>"10003-0001"</f>
        <v>10003-0001</v>
      </c>
      <c r="AB8189" t="s">
        <v>78</v>
      </c>
      <c r="AC8189" t="s">
        <v>79</v>
      </c>
      <c r="AD8189" t="s">
        <v>75</v>
      </c>
      <c r="AE8189" t="s">
        <v>80</v>
      </c>
      <c r="AG8189" t="s">
        <v>81</v>
      </c>
    </row>
    <row r="8190" spans="1:33" x14ac:dyDescent="0.25">
      <c r="A8190" t="str">
        <f>"1376789636"</f>
        <v>1376789636</v>
      </c>
      <c r="B8190" t="str">
        <f>"04500698"</f>
        <v>04500698</v>
      </c>
      <c r="C8190" t="s">
        <v>13436</v>
      </c>
      <c r="D8190" t="s">
        <v>35642</v>
      </c>
      <c r="E8190" t="s">
        <v>35643</v>
      </c>
      <c r="L8190" t="s">
        <v>74</v>
      </c>
      <c r="M8190" t="s">
        <v>75</v>
      </c>
      <c r="R8190" t="s">
        <v>35644</v>
      </c>
      <c r="W8190" t="s">
        <v>35643</v>
      </c>
      <c r="AB8190" t="s">
        <v>78</v>
      </c>
      <c r="AC8190" t="s">
        <v>79</v>
      </c>
      <c r="AD8190" t="s">
        <v>75</v>
      </c>
      <c r="AE8190" t="s">
        <v>80</v>
      </c>
      <c r="AG8190" t="s">
        <v>81</v>
      </c>
    </row>
    <row r="8191" spans="1:33" x14ac:dyDescent="0.25">
      <c r="A8191" t="str">
        <f>"1568632909"</f>
        <v>1568632909</v>
      </c>
      <c r="C8191" t="s">
        <v>13436</v>
      </c>
      <c r="G8191" t="s">
        <v>35645</v>
      </c>
      <c r="K8191" t="s">
        <v>99</v>
      </c>
      <c r="L8191" t="s">
        <v>102</v>
      </c>
      <c r="M8191" t="s">
        <v>75</v>
      </c>
      <c r="R8191" t="s">
        <v>35646</v>
      </c>
      <c r="S8191" t="s">
        <v>35647</v>
      </c>
      <c r="T8191" t="s">
        <v>87</v>
      </c>
      <c r="U8191" t="s">
        <v>77</v>
      </c>
      <c r="V8191" t="str">
        <f>"112144622"</f>
        <v>112144622</v>
      </c>
      <c r="AC8191" t="s">
        <v>79</v>
      </c>
      <c r="AD8191" t="s">
        <v>75</v>
      </c>
      <c r="AE8191" t="s">
        <v>103</v>
      </c>
      <c r="AG8191" t="s">
        <v>81</v>
      </c>
    </row>
    <row r="8192" spans="1:33" x14ac:dyDescent="0.25">
      <c r="A8192" t="str">
        <f>"1568702801"</f>
        <v>1568702801</v>
      </c>
      <c r="B8192" t="str">
        <f>"03831418"</f>
        <v>03831418</v>
      </c>
      <c r="C8192" t="s">
        <v>13436</v>
      </c>
      <c r="D8192" t="s">
        <v>35648</v>
      </c>
      <c r="E8192" t="s">
        <v>35649</v>
      </c>
      <c r="G8192" t="s">
        <v>35650</v>
      </c>
      <c r="L8192" t="s">
        <v>74</v>
      </c>
      <c r="M8192" t="s">
        <v>75</v>
      </c>
      <c r="R8192" t="s">
        <v>35651</v>
      </c>
      <c r="W8192" t="s">
        <v>35652</v>
      </c>
      <c r="X8192" t="s">
        <v>11176</v>
      </c>
      <c r="Y8192" t="s">
        <v>97</v>
      </c>
      <c r="Z8192" t="s">
        <v>77</v>
      </c>
      <c r="AA8192" t="str">
        <f>"10029-6542"</f>
        <v>10029-6542</v>
      </c>
      <c r="AB8192" t="s">
        <v>78</v>
      </c>
      <c r="AC8192" t="s">
        <v>79</v>
      </c>
      <c r="AD8192" t="s">
        <v>75</v>
      </c>
      <c r="AE8192" t="s">
        <v>80</v>
      </c>
      <c r="AG8192" t="s">
        <v>81</v>
      </c>
    </row>
    <row r="8193" spans="1:33" x14ac:dyDescent="0.25">
      <c r="A8193" t="str">
        <f>"1568711448"</f>
        <v>1568711448</v>
      </c>
      <c r="C8193" t="s">
        <v>13436</v>
      </c>
      <c r="G8193" t="s">
        <v>35653</v>
      </c>
      <c r="K8193" t="s">
        <v>99</v>
      </c>
      <c r="L8193" t="s">
        <v>102</v>
      </c>
      <c r="M8193" t="s">
        <v>75</v>
      </c>
      <c r="R8193" t="s">
        <v>35654</v>
      </c>
      <c r="S8193" t="s">
        <v>35655</v>
      </c>
      <c r="T8193" t="s">
        <v>35656</v>
      </c>
      <c r="U8193" t="s">
        <v>156</v>
      </c>
      <c r="V8193" t="str">
        <f>"070874994"</f>
        <v>070874994</v>
      </c>
      <c r="AC8193" t="s">
        <v>79</v>
      </c>
      <c r="AD8193" t="s">
        <v>75</v>
      </c>
      <c r="AE8193" t="s">
        <v>103</v>
      </c>
      <c r="AG8193" t="s">
        <v>81</v>
      </c>
    </row>
    <row r="8194" spans="1:33" x14ac:dyDescent="0.25">
      <c r="A8194" t="str">
        <f>"1053471276"</f>
        <v>1053471276</v>
      </c>
      <c r="B8194" t="str">
        <f>"01351606"</f>
        <v>01351606</v>
      </c>
      <c r="C8194" t="s">
        <v>13436</v>
      </c>
      <c r="D8194" t="s">
        <v>35657</v>
      </c>
      <c r="E8194" t="s">
        <v>35658</v>
      </c>
      <c r="G8194" t="s">
        <v>35659</v>
      </c>
      <c r="L8194" t="s">
        <v>74</v>
      </c>
      <c r="M8194" t="s">
        <v>85</v>
      </c>
      <c r="R8194" t="s">
        <v>35660</v>
      </c>
      <c r="W8194" t="s">
        <v>35658</v>
      </c>
      <c r="X8194" t="s">
        <v>14871</v>
      </c>
      <c r="Y8194" t="s">
        <v>97</v>
      </c>
      <c r="Z8194" t="s">
        <v>77</v>
      </c>
      <c r="AA8194" t="str">
        <f>"10003"</f>
        <v>10003</v>
      </c>
      <c r="AB8194" t="s">
        <v>78</v>
      </c>
      <c r="AC8194" t="s">
        <v>79</v>
      </c>
      <c r="AD8194" t="s">
        <v>75</v>
      </c>
      <c r="AE8194" t="s">
        <v>80</v>
      </c>
      <c r="AG8194" t="s">
        <v>81</v>
      </c>
    </row>
    <row r="8195" spans="1:33" x14ac:dyDescent="0.25">
      <c r="A8195" t="str">
        <f>"1053495556"</f>
        <v>1053495556</v>
      </c>
      <c r="B8195" t="str">
        <f>"01733682"</f>
        <v>01733682</v>
      </c>
      <c r="C8195" t="s">
        <v>13436</v>
      </c>
      <c r="D8195" t="s">
        <v>35661</v>
      </c>
      <c r="E8195" t="s">
        <v>35662</v>
      </c>
      <c r="G8195" t="s">
        <v>35663</v>
      </c>
      <c r="L8195" t="s">
        <v>74</v>
      </c>
      <c r="M8195" t="s">
        <v>85</v>
      </c>
      <c r="R8195" t="s">
        <v>35664</v>
      </c>
      <c r="W8195" t="s">
        <v>35662</v>
      </c>
      <c r="X8195" t="s">
        <v>14807</v>
      </c>
      <c r="Y8195" t="s">
        <v>97</v>
      </c>
      <c r="Z8195" t="s">
        <v>77</v>
      </c>
      <c r="AA8195" t="str">
        <f>"10128-7603"</f>
        <v>10128-7603</v>
      </c>
      <c r="AB8195" t="s">
        <v>78</v>
      </c>
      <c r="AC8195" t="s">
        <v>79</v>
      </c>
      <c r="AD8195" t="s">
        <v>75</v>
      </c>
      <c r="AE8195" t="s">
        <v>80</v>
      </c>
      <c r="AG8195" t="s">
        <v>81</v>
      </c>
    </row>
    <row r="8196" spans="1:33" x14ac:dyDescent="0.25">
      <c r="A8196" t="str">
        <f>"1053496620"</f>
        <v>1053496620</v>
      </c>
      <c r="B8196" t="str">
        <f>"01854246"</f>
        <v>01854246</v>
      </c>
      <c r="C8196" t="s">
        <v>13436</v>
      </c>
      <c r="D8196" t="s">
        <v>35665</v>
      </c>
      <c r="E8196" t="s">
        <v>35666</v>
      </c>
      <c r="G8196" t="s">
        <v>35667</v>
      </c>
      <c r="L8196" t="s">
        <v>83</v>
      </c>
      <c r="M8196" t="s">
        <v>85</v>
      </c>
      <c r="R8196" t="s">
        <v>35668</v>
      </c>
      <c r="W8196" t="s">
        <v>35666</v>
      </c>
      <c r="X8196" t="s">
        <v>35669</v>
      </c>
      <c r="Y8196" t="s">
        <v>97</v>
      </c>
      <c r="Z8196" t="s">
        <v>77</v>
      </c>
      <c r="AA8196" t="str">
        <f>"10128-7603"</f>
        <v>10128-7603</v>
      </c>
      <c r="AB8196" t="s">
        <v>78</v>
      </c>
      <c r="AC8196" t="s">
        <v>79</v>
      </c>
      <c r="AD8196" t="s">
        <v>75</v>
      </c>
      <c r="AE8196" t="s">
        <v>80</v>
      </c>
      <c r="AG8196" t="s">
        <v>81</v>
      </c>
    </row>
    <row r="8197" spans="1:33" x14ac:dyDescent="0.25">
      <c r="A8197" t="str">
        <f>"1508015082"</f>
        <v>1508015082</v>
      </c>
      <c r="B8197" t="str">
        <f>"03082473"</f>
        <v>03082473</v>
      </c>
      <c r="C8197" t="s">
        <v>13436</v>
      </c>
      <c r="D8197" t="s">
        <v>35670</v>
      </c>
      <c r="E8197" t="s">
        <v>35671</v>
      </c>
      <c r="L8197" t="s">
        <v>74</v>
      </c>
      <c r="M8197" t="s">
        <v>75</v>
      </c>
      <c r="R8197" t="s">
        <v>35672</v>
      </c>
      <c r="W8197" t="s">
        <v>35671</v>
      </c>
      <c r="X8197" t="s">
        <v>314</v>
      </c>
      <c r="Y8197" t="s">
        <v>315</v>
      </c>
      <c r="Z8197" t="s">
        <v>77</v>
      </c>
      <c r="AA8197" t="str">
        <f>"13045-1206"</f>
        <v>13045-1206</v>
      </c>
      <c r="AB8197" t="s">
        <v>78</v>
      </c>
      <c r="AC8197" t="s">
        <v>79</v>
      </c>
      <c r="AD8197" t="s">
        <v>75</v>
      </c>
      <c r="AE8197" t="s">
        <v>80</v>
      </c>
      <c r="AG8197" t="s">
        <v>81</v>
      </c>
    </row>
    <row r="8198" spans="1:33" x14ac:dyDescent="0.25">
      <c r="A8198" t="str">
        <f>"1508176801"</f>
        <v>1508176801</v>
      </c>
      <c r="B8198" t="str">
        <f>"03742312"</f>
        <v>03742312</v>
      </c>
      <c r="C8198" t="s">
        <v>13436</v>
      </c>
      <c r="D8198" t="s">
        <v>35673</v>
      </c>
      <c r="E8198" t="s">
        <v>35674</v>
      </c>
      <c r="L8198" t="s">
        <v>83</v>
      </c>
      <c r="M8198" t="s">
        <v>75</v>
      </c>
      <c r="R8198" t="s">
        <v>35674</v>
      </c>
      <c r="W8198" t="s">
        <v>35674</v>
      </c>
      <c r="X8198" t="s">
        <v>3433</v>
      </c>
      <c r="Y8198" t="s">
        <v>97</v>
      </c>
      <c r="Z8198" t="s">
        <v>77</v>
      </c>
      <c r="AA8198" t="str">
        <f>"10003-3805"</f>
        <v>10003-3805</v>
      </c>
      <c r="AB8198" t="s">
        <v>78</v>
      </c>
      <c r="AC8198" t="s">
        <v>79</v>
      </c>
      <c r="AD8198" t="s">
        <v>75</v>
      </c>
      <c r="AE8198" t="s">
        <v>80</v>
      </c>
      <c r="AG8198" t="s">
        <v>81</v>
      </c>
    </row>
    <row r="8199" spans="1:33" x14ac:dyDescent="0.25">
      <c r="A8199" t="str">
        <f>"1528354313"</f>
        <v>1528354313</v>
      </c>
      <c r="B8199" t="str">
        <f>"03784094"</f>
        <v>03784094</v>
      </c>
      <c r="C8199" t="s">
        <v>13436</v>
      </c>
      <c r="D8199" t="s">
        <v>35675</v>
      </c>
      <c r="E8199" t="s">
        <v>35676</v>
      </c>
      <c r="L8199" t="s">
        <v>74</v>
      </c>
      <c r="M8199" t="s">
        <v>75</v>
      </c>
      <c r="R8199" t="s">
        <v>35677</v>
      </c>
      <c r="W8199" t="s">
        <v>35676</v>
      </c>
      <c r="X8199" t="s">
        <v>130</v>
      </c>
      <c r="Y8199" t="s">
        <v>131</v>
      </c>
      <c r="Z8199" t="s">
        <v>77</v>
      </c>
      <c r="AA8199" t="str">
        <f>"10461-1119"</f>
        <v>10461-1119</v>
      </c>
      <c r="AB8199" t="s">
        <v>78</v>
      </c>
      <c r="AC8199" t="s">
        <v>79</v>
      </c>
      <c r="AD8199" t="s">
        <v>75</v>
      </c>
      <c r="AE8199" t="s">
        <v>80</v>
      </c>
      <c r="AG8199" t="s">
        <v>81</v>
      </c>
    </row>
    <row r="8200" spans="1:33" x14ac:dyDescent="0.25">
      <c r="A8200" t="str">
        <f>"1730187667"</f>
        <v>1730187667</v>
      </c>
      <c r="B8200" t="str">
        <f>"02414226"</f>
        <v>02414226</v>
      </c>
      <c r="C8200" t="s">
        <v>13436</v>
      </c>
      <c r="D8200" t="s">
        <v>35678</v>
      </c>
      <c r="E8200" t="s">
        <v>35679</v>
      </c>
      <c r="G8200" t="s">
        <v>35680</v>
      </c>
      <c r="L8200" t="s">
        <v>83</v>
      </c>
      <c r="M8200" t="s">
        <v>85</v>
      </c>
      <c r="R8200" t="s">
        <v>35681</v>
      </c>
      <c r="W8200" t="s">
        <v>35679</v>
      </c>
      <c r="X8200" t="s">
        <v>33073</v>
      </c>
      <c r="Y8200" t="s">
        <v>97</v>
      </c>
      <c r="Z8200" t="s">
        <v>77</v>
      </c>
      <c r="AA8200" t="str">
        <f>"10128"</f>
        <v>10128</v>
      </c>
      <c r="AB8200" t="s">
        <v>78</v>
      </c>
      <c r="AC8200" t="s">
        <v>79</v>
      </c>
      <c r="AD8200" t="s">
        <v>75</v>
      </c>
      <c r="AE8200" t="s">
        <v>80</v>
      </c>
      <c r="AG8200" t="s">
        <v>81</v>
      </c>
    </row>
    <row r="8201" spans="1:33" x14ac:dyDescent="0.25">
      <c r="A8201" t="str">
        <f>"1730203886"</f>
        <v>1730203886</v>
      </c>
      <c r="C8201" t="s">
        <v>13436</v>
      </c>
      <c r="G8201" t="s">
        <v>35682</v>
      </c>
      <c r="K8201" t="s">
        <v>99</v>
      </c>
      <c r="L8201" t="s">
        <v>74</v>
      </c>
      <c r="M8201" t="s">
        <v>75</v>
      </c>
      <c r="R8201" t="s">
        <v>35683</v>
      </c>
      <c r="S8201" t="s">
        <v>35684</v>
      </c>
      <c r="T8201" t="s">
        <v>97</v>
      </c>
      <c r="U8201" t="s">
        <v>77</v>
      </c>
      <c r="V8201" t="str">
        <f>"100163063"</f>
        <v>100163063</v>
      </c>
      <c r="AC8201" t="s">
        <v>79</v>
      </c>
      <c r="AD8201" t="s">
        <v>75</v>
      </c>
      <c r="AE8201" t="s">
        <v>103</v>
      </c>
      <c r="AG8201" t="s">
        <v>81</v>
      </c>
    </row>
    <row r="8202" spans="1:33" x14ac:dyDescent="0.25">
      <c r="A8202" t="str">
        <f>"1730229196"</f>
        <v>1730229196</v>
      </c>
      <c r="B8202" t="str">
        <f>"03095512"</f>
        <v>03095512</v>
      </c>
      <c r="C8202" t="s">
        <v>13436</v>
      </c>
      <c r="D8202" t="s">
        <v>5829</v>
      </c>
      <c r="E8202" t="s">
        <v>5830</v>
      </c>
      <c r="L8202" t="s">
        <v>74</v>
      </c>
      <c r="M8202" t="s">
        <v>75</v>
      </c>
      <c r="R8202" t="s">
        <v>5831</v>
      </c>
      <c r="W8202" t="s">
        <v>5831</v>
      </c>
      <c r="X8202" t="s">
        <v>258</v>
      </c>
      <c r="Y8202" t="s">
        <v>131</v>
      </c>
      <c r="Z8202" t="s">
        <v>77</v>
      </c>
      <c r="AA8202" t="str">
        <f>"10467-2401"</f>
        <v>10467-2401</v>
      </c>
      <c r="AB8202" t="s">
        <v>78</v>
      </c>
      <c r="AC8202" t="s">
        <v>79</v>
      </c>
      <c r="AD8202" t="s">
        <v>75</v>
      </c>
      <c r="AE8202" t="s">
        <v>80</v>
      </c>
      <c r="AG8202" t="s">
        <v>81</v>
      </c>
    </row>
    <row r="8203" spans="1:33" x14ac:dyDescent="0.25">
      <c r="A8203" t="str">
        <f>"1730265000"</f>
        <v>1730265000</v>
      </c>
      <c r="B8203" t="str">
        <f>"03797037"</f>
        <v>03797037</v>
      </c>
      <c r="C8203" t="s">
        <v>13436</v>
      </c>
      <c r="D8203" t="s">
        <v>35685</v>
      </c>
      <c r="E8203" t="s">
        <v>35686</v>
      </c>
      <c r="G8203" t="s">
        <v>35687</v>
      </c>
      <c r="L8203" t="s">
        <v>74</v>
      </c>
      <c r="M8203" t="s">
        <v>75</v>
      </c>
      <c r="R8203" t="s">
        <v>35688</v>
      </c>
      <c r="W8203" t="s">
        <v>35686</v>
      </c>
      <c r="X8203" t="s">
        <v>329</v>
      </c>
      <c r="Y8203" t="s">
        <v>97</v>
      </c>
      <c r="Z8203" t="s">
        <v>77</v>
      </c>
      <c r="AA8203" t="str">
        <f>"10029-6504"</f>
        <v>10029-6504</v>
      </c>
      <c r="AB8203" t="s">
        <v>78</v>
      </c>
      <c r="AC8203" t="s">
        <v>79</v>
      </c>
      <c r="AD8203" t="s">
        <v>75</v>
      </c>
      <c r="AE8203" t="s">
        <v>80</v>
      </c>
      <c r="AG8203" t="s">
        <v>81</v>
      </c>
    </row>
    <row r="8204" spans="1:33" x14ac:dyDescent="0.25">
      <c r="B8204" t="str">
        <f>"00921320"</f>
        <v>00921320</v>
      </c>
      <c r="C8204" t="s">
        <v>27836</v>
      </c>
      <c r="D8204" t="s">
        <v>35689</v>
      </c>
      <c r="E8204" t="s">
        <v>35690</v>
      </c>
      <c r="G8204" t="s">
        <v>27839</v>
      </c>
      <c r="H8204" t="s">
        <v>27840</v>
      </c>
      <c r="J8204" t="s">
        <v>27841</v>
      </c>
      <c r="L8204" t="s">
        <v>37</v>
      </c>
      <c r="M8204" t="s">
        <v>85</v>
      </c>
      <c r="W8204" t="s">
        <v>35691</v>
      </c>
      <c r="X8204" t="s">
        <v>27843</v>
      </c>
      <c r="Y8204" t="s">
        <v>87</v>
      </c>
      <c r="Z8204" t="s">
        <v>77</v>
      </c>
      <c r="AA8204" t="str">
        <f>"11206-4661"</f>
        <v>11206-4661</v>
      </c>
      <c r="AB8204" t="s">
        <v>98</v>
      </c>
      <c r="AC8204" t="s">
        <v>79</v>
      </c>
      <c r="AD8204" t="s">
        <v>75</v>
      </c>
      <c r="AE8204" t="s">
        <v>80</v>
      </c>
      <c r="AG8204" t="s">
        <v>81</v>
      </c>
    </row>
    <row r="8205" spans="1:33" x14ac:dyDescent="0.25">
      <c r="B8205" t="str">
        <f>"03356645"</f>
        <v>03356645</v>
      </c>
      <c r="C8205" t="s">
        <v>35692</v>
      </c>
      <c r="D8205" t="s">
        <v>35693</v>
      </c>
      <c r="E8205" t="s">
        <v>35694</v>
      </c>
      <c r="G8205" t="s">
        <v>35695</v>
      </c>
      <c r="H8205" t="s">
        <v>35696</v>
      </c>
      <c r="J8205" t="s">
        <v>35697</v>
      </c>
      <c r="L8205" t="s">
        <v>37</v>
      </c>
      <c r="M8205" t="s">
        <v>85</v>
      </c>
      <c r="W8205" t="s">
        <v>35694</v>
      </c>
      <c r="X8205" t="s">
        <v>35698</v>
      </c>
      <c r="Y8205" t="s">
        <v>87</v>
      </c>
      <c r="Z8205" t="s">
        <v>77</v>
      </c>
      <c r="AA8205" t="str">
        <f>"11207-1840"</f>
        <v>11207-1840</v>
      </c>
      <c r="AB8205" t="s">
        <v>98</v>
      </c>
      <c r="AC8205" t="s">
        <v>79</v>
      </c>
      <c r="AD8205" t="s">
        <v>75</v>
      </c>
      <c r="AE8205" t="s">
        <v>80</v>
      </c>
      <c r="AG8205" t="s">
        <v>81</v>
      </c>
    </row>
    <row r="8206" spans="1:33" x14ac:dyDescent="0.25">
      <c r="A8206" t="str">
        <f>"1710064621"</f>
        <v>1710064621</v>
      </c>
      <c r="B8206" t="str">
        <f>"02726685"</f>
        <v>02726685</v>
      </c>
      <c r="C8206" t="s">
        <v>13436</v>
      </c>
      <c r="D8206" t="s">
        <v>35699</v>
      </c>
      <c r="E8206" t="s">
        <v>35700</v>
      </c>
      <c r="G8206" t="s">
        <v>35701</v>
      </c>
      <c r="L8206" t="s">
        <v>102</v>
      </c>
      <c r="M8206" t="s">
        <v>85</v>
      </c>
      <c r="R8206" t="s">
        <v>35702</v>
      </c>
      <c r="W8206" t="s">
        <v>35700</v>
      </c>
      <c r="X8206" t="s">
        <v>329</v>
      </c>
      <c r="Y8206" t="s">
        <v>97</v>
      </c>
      <c r="Z8206" t="s">
        <v>77</v>
      </c>
      <c r="AA8206" t="str">
        <f>"10029-6500"</f>
        <v>10029-6500</v>
      </c>
      <c r="AB8206" t="s">
        <v>78</v>
      </c>
      <c r="AC8206" t="s">
        <v>79</v>
      </c>
      <c r="AD8206" t="s">
        <v>75</v>
      </c>
      <c r="AE8206" t="s">
        <v>80</v>
      </c>
      <c r="AG8206" t="s">
        <v>81</v>
      </c>
    </row>
    <row r="8207" spans="1:33" x14ac:dyDescent="0.25">
      <c r="A8207" t="str">
        <f>"1710074893"</f>
        <v>1710074893</v>
      </c>
      <c r="B8207" t="str">
        <f>"01586227"</f>
        <v>01586227</v>
      </c>
      <c r="C8207" t="s">
        <v>13436</v>
      </c>
      <c r="D8207" t="s">
        <v>35703</v>
      </c>
      <c r="E8207" t="s">
        <v>35704</v>
      </c>
      <c r="G8207" t="s">
        <v>35705</v>
      </c>
      <c r="L8207" t="s">
        <v>83</v>
      </c>
      <c r="M8207" t="s">
        <v>85</v>
      </c>
      <c r="R8207" t="s">
        <v>35706</v>
      </c>
      <c r="W8207" t="s">
        <v>35704</v>
      </c>
      <c r="X8207" t="s">
        <v>204</v>
      </c>
      <c r="Y8207" t="s">
        <v>97</v>
      </c>
      <c r="Z8207" t="s">
        <v>77</v>
      </c>
      <c r="AA8207" t="str">
        <f>"10065-4870"</f>
        <v>10065-4870</v>
      </c>
      <c r="AB8207" t="s">
        <v>78</v>
      </c>
      <c r="AC8207" t="s">
        <v>79</v>
      </c>
      <c r="AD8207" t="s">
        <v>75</v>
      </c>
      <c r="AE8207" t="s">
        <v>80</v>
      </c>
      <c r="AG8207" t="s">
        <v>81</v>
      </c>
    </row>
    <row r="8208" spans="1:33" x14ac:dyDescent="0.25">
      <c r="A8208" t="str">
        <f>"1659478246"</f>
        <v>1659478246</v>
      </c>
      <c r="B8208" t="str">
        <f>"02976694"</f>
        <v>02976694</v>
      </c>
      <c r="C8208" t="s">
        <v>13436</v>
      </c>
      <c r="D8208" t="s">
        <v>35707</v>
      </c>
      <c r="E8208" t="s">
        <v>35708</v>
      </c>
      <c r="G8208" t="s">
        <v>35709</v>
      </c>
      <c r="L8208" t="s">
        <v>83</v>
      </c>
      <c r="M8208" t="s">
        <v>85</v>
      </c>
      <c r="R8208" t="s">
        <v>35710</v>
      </c>
      <c r="W8208" t="s">
        <v>35711</v>
      </c>
      <c r="X8208" t="s">
        <v>258</v>
      </c>
      <c r="Y8208" t="s">
        <v>131</v>
      </c>
      <c r="Z8208" t="s">
        <v>77</v>
      </c>
      <c r="AA8208" t="str">
        <f>"10467-2401"</f>
        <v>10467-2401</v>
      </c>
      <c r="AB8208" t="s">
        <v>78</v>
      </c>
      <c r="AC8208" t="s">
        <v>79</v>
      </c>
      <c r="AD8208" t="s">
        <v>75</v>
      </c>
      <c r="AE8208" t="s">
        <v>80</v>
      </c>
      <c r="AG8208" t="s">
        <v>81</v>
      </c>
    </row>
    <row r="8209" spans="1:33" x14ac:dyDescent="0.25">
      <c r="A8209" t="str">
        <f>"1659490118"</f>
        <v>1659490118</v>
      </c>
      <c r="B8209" t="str">
        <f>"03994396"</f>
        <v>03994396</v>
      </c>
      <c r="C8209" t="s">
        <v>13436</v>
      </c>
      <c r="D8209" t="s">
        <v>35712</v>
      </c>
      <c r="E8209" t="s">
        <v>35713</v>
      </c>
      <c r="G8209" t="s">
        <v>35714</v>
      </c>
      <c r="L8209" t="s">
        <v>74</v>
      </c>
      <c r="M8209" t="s">
        <v>85</v>
      </c>
      <c r="R8209" t="s">
        <v>35715</v>
      </c>
      <c r="W8209" t="s">
        <v>35713</v>
      </c>
      <c r="X8209" t="s">
        <v>35716</v>
      </c>
      <c r="Y8209" t="s">
        <v>254</v>
      </c>
      <c r="Z8209" t="s">
        <v>77</v>
      </c>
      <c r="AA8209" t="str">
        <f>"11374-3335"</f>
        <v>11374-3335</v>
      </c>
      <c r="AB8209" t="s">
        <v>78</v>
      </c>
      <c r="AC8209" t="s">
        <v>79</v>
      </c>
      <c r="AD8209" t="s">
        <v>75</v>
      </c>
      <c r="AE8209" t="s">
        <v>80</v>
      </c>
      <c r="AG8209" t="s">
        <v>81</v>
      </c>
    </row>
    <row r="8210" spans="1:33" x14ac:dyDescent="0.25">
      <c r="A8210" t="str">
        <f>"1831129246"</f>
        <v>1831129246</v>
      </c>
      <c r="B8210" t="str">
        <f>"01775126"</f>
        <v>01775126</v>
      </c>
      <c r="C8210" t="s">
        <v>13436</v>
      </c>
      <c r="D8210" t="s">
        <v>35717</v>
      </c>
      <c r="E8210" t="s">
        <v>35718</v>
      </c>
      <c r="G8210" t="s">
        <v>35719</v>
      </c>
      <c r="L8210" t="s">
        <v>84</v>
      </c>
      <c r="M8210" t="s">
        <v>85</v>
      </c>
      <c r="R8210" t="s">
        <v>35720</v>
      </c>
      <c r="W8210" t="s">
        <v>35718</v>
      </c>
      <c r="X8210" t="s">
        <v>35721</v>
      </c>
      <c r="Y8210" t="s">
        <v>97</v>
      </c>
      <c r="Z8210" t="s">
        <v>77</v>
      </c>
      <c r="AA8210" t="str">
        <f>"10029-6501"</f>
        <v>10029-6501</v>
      </c>
      <c r="AB8210" t="s">
        <v>78</v>
      </c>
      <c r="AC8210" t="s">
        <v>79</v>
      </c>
      <c r="AD8210" t="s">
        <v>75</v>
      </c>
      <c r="AE8210" t="s">
        <v>80</v>
      </c>
      <c r="AG8210" t="s">
        <v>81</v>
      </c>
    </row>
    <row r="8211" spans="1:33" x14ac:dyDescent="0.25">
      <c r="A8211" t="str">
        <f>"1831138361"</f>
        <v>1831138361</v>
      </c>
      <c r="B8211" t="str">
        <f>"02694388"</f>
        <v>02694388</v>
      </c>
      <c r="C8211" t="s">
        <v>13436</v>
      </c>
      <c r="D8211" t="s">
        <v>35722</v>
      </c>
      <c r="E8211" t="s">
        <v>35723</v>
      </c>
      <c r="G8211" t="s">
        <v>35724</v>
      </c>
      <c r="L8211" t="s">
        <v>83</v>
      </c>
      <c r="M8211" t="s">
        <v>85</v>
      </c>
      <c r="R8211" t="s">
        <v>35725</v>
      </c>
      <c r="W8211" t="s">
        <v>35726</v>
      </c>
      <c r="X8211" t="s">
        <v>35727</v>
      </c>
      <c r="Y8211" t="s">
        <v>236</v>
      </c>
      <c r="Z8211" t="s">
        <v>77</v>
      </c>
      <c r="AA8211" t="str">
        <f>"11105-2892"</f>
        <v>11105-2892</v>
      </c>
      <c r="AB8211" t="s">
        <v>78</v>
      </c>
      <c r="AC8211" t="s">
        <v>79</v>
      </c>
      <c r="AD8211" t="s">
        <v>75</v>
      </c>
      <c r="AE8211" t="s">
        <v>80</v>
      </c>
      <c r="AG8211" t="s">
        <v>81</v>
      </c>
    </row>
    <row r="8212" spans="1:33" x14ac:dyDescent="0.25">
      <c r="A8212" t="str">
        <f>"1831152883"</f>
        <v>1831152883</v>
      </c>
      <c r="B8212" t="str">
        <f>"03473810"</f>
        <v>03473810</v>
      </c>
      <c r="C8212" t="s">
        <v>13436</v>
      </c>
      <c r="D8212" t="s">
        <v>35728</v>
      </c>
      <c r="E8212" t="s">
        <v>35729</v>
      </c>
      <c r="L8212" t="s">
        <v>83</v>
      </c>
      <c r="M8212" t="s">
        <v>85</v>
      </c>
      <c r="R8212" t="s">
        <v>35729</v>
      </c>
      <c r="W8212" t="s">
        <v>35729</v>
      </c>
      <c r="X8212" t="s">
        <v>272</v>
      </c>
      <c r="Y8212" t="s">
        <v>97</v>
      </c>
      <c r="Z8212" t="s">
        <v>77</v>
      </c>
      <c r="AA8212" t="str">
        <f>"10029-6501"</f>
        <v>10029-6501</v>
      </c>
      <c r="AB8212" t="s">
        <v>78</v>
      </c>
      <c r="AC8212" t="s">
        <v>79</v>
      </c>
      <c r="AD8212" t="s">
        <v>75</v>
      </c>
      <c r="AE8212" t="s">
        <v>80</v>
      </c>
      <c r="AG8212" t="s">
        <v>81</v>
      </c>
    </row>
    <row r="8213" spans="1:33" x14ac:dyDescent="0.25">
      <c r="A8213" t="str">
        <f>"1811964596"</f>
        <v>1811964596</v>
      </c>
      <c r="B8213" t="str">
        <f>"00906818"</f>
        <v>00906818</v>
      </c>
      <c r="C8213" t="s">
        <v>13436</v>
      </c>
      <c r="D8213" t="s">
        <v>35730</v>
      </c>
      <c r="E8213" t="s">
        <v>35731</v>
      </c>
      <c r="G8213" t="s">
        <v>35732</v>
      </c>
      <c r="L8213" t="s">
        <v>74</v>
      </c>
      <c r="M8213" t="s">
        <v>85</v>
      </c>
      <c r="R8213" t="s">
        <v>35733</v>
      </c>
      <c r="W8213" t="s">
        <v>35731</v>
      </c>
      <c r="Y8213" t="s">
        <v>97</v>
      </c>
      <c r="Z8213" t="s">
        <v>77</v>
      </c>
      <c r="AA8213" t="str">
        <f>"10011-8305"</f>
        <v>10011-8305</v>
      </c>
      <c r="AB8213" t="s">
        <v>78</v>
      </c>
      <c r="AC8213" t="s">
        <v>79</v>
      </c>
      <c r="AD8213" t="s">
        <v>75</v>
      </c>
      <c r="AE8213" t="s">
        <v>80</v>
      </c>
      <c r="AG8213" t="s">
        <v>81</v>
      </c>
    </row>
    <row r="8214" spans="1:33" x14ac:dyDescent="0.25">
      <c r="A8214" t="str">
        <f>"1811968613"</f>
        <v>1811968613</v>
      </c>
      <c r="B8214" t="str">
        <f>"02278417"</f>
        <v>02278417</v>
      </c>
      <c r="C8214" t="s">
        <v>13436</v>
      </c>
      <c r="D8214" t="s">
        <v>35734</v>
      </c>
      <c r="E8214" t="s">
        <v>35735</v>
      </c>
      <c r="L8214" t="s">
        <v>83</v>
      </c>
      <c r="M8214" t="s">
        <v>85</v>
      </c>
      <c r="R8214" t="s">
        <v>35736</v>
      </c>
      <c r="W8214" t="s">
        <v>35735</v>
      </c>
      <c r="X8214" t="s">
        <v>31173</v>
      </c>
      <c r="Y8214" t="s">
        <v>97</v>
      </c>
      <c r="Z8214" t="s">
        <v>77</v>
      </c>
      <c r="AA8214" t="str">
        <f>"10029-6500"</f>
        <v>10029-6500</v>
      </c>
      <c r="AB8214" t="s">
        <v>78</v>
      </c>
      <c r="AC8214" t="s">
        <v>79</v>
      </c>
      <c r="AD8214" t="s">
        <v>75</v>
      </c>
      <c r="AE8214" t="s">
        <v>80</v>
      </c>
      <c r="AG8214" t="s">
        <v>81</v>
      </c>
    </row>
    <row r="8215" spans="1:33" x14ac:dyDescent="0.25">
      <c r="A8215" t="str">
        <f>"1700048741"</f>
        <v>1700048741</v>
      </c>
      <c r="B8215" t="str">
        <f>"03721359"</f>
        <v>03721359</v>
      </c>
      <c r="C8215" t="s">
        <v>13436</v>
      </c>
      <c r="D8215" t="s">
        <v>35737</v>
      </c>
      <c r="E8215" t="s">
        <v>35738</v>
      </c>
      <c r="G8215" t="s">
        <v>35739</v>
      </c>
      <c r="L8215" t="s">
        <v>83</v>
      </c>
      <c r="M8215" t="s">
        <v>85</v>
      </c>
      <c r="R8215" t="s">
        <v>35740</v>
      </c>
      <c r="W8215" t="s">
        <v>35738</v>
      </c>
      <c r="X8215" t="s">
        <v>11195</v>
      </c>
      <c r="Y8215" t="s">
        <v>97</v>
      </c>
      <c r="Z8215" t="s">
        <v>77</v>
      </c>
      <c r="AA8215" t="str">
        <f>"10029-6030"</f>
        <v>10029-6030</v>
      </c>
      <c r="AB8215" t="s">
        <v>78</v>
      </c>
      <c r="AC8215" t="s">
        <v>79</v>
      </c>
      <c r="AD8215" t="s">
        <v>75</v>
      </c>
      <c r="AE8215" t="s">
        <v>80</v>
      </c>
      <c r="AG8215" t="s">
        <v>81</v>
      </c>
    </row>
    <row r="8216" spans="1:33" x14ac:dyDescent="0.25">
      <c r="A8216" t="str">
        <f>"1700052685"</f>
        <v>1700052685</v>
      </c>
      <c r="B8216" t="str">
        <f>"03249034"</f>
        <v>03249034</v>
      </c>
      <c r="C8216" t="s">
        <v>13436</v>
      </c>
      <c r="D8216" t="s">
        <v>35741</v>
      </c>
      <c r="E8216" t="s">
        <v>35742</v>
      </c>
      <c r="G8216" t="s">
        <v>35743</v>
      </c>
      <c r="L8216" t="s">
        <v>83</v>
      </c>
      <c r="M8216" t="s">
        <v>85</v>
      </c>
      <c r="R8216" t="s">
        <v>35744</v>
      </c>
      <c r="W8216" t="s">
        <v>35742</v>
      </c>
      <c r="X8216" t="s">
        <v>2627</v>
      </c>
      <c r="Y8216" t="s">
        <v>238</v>
      </c>
      <c r="Z8216" t="s">
        <v>77</v>
      </c>
      <c r="AA8216" t="str">
        <f>"11576-1347"</f>
        <v>11576-1347</v>
      </c>
      <c r="AB8216" t="s">
        <v>78</v>
      </c>
      <c r="AC8216" t="s">
        <v>79</v>
      </c>
      <c r="AD8216" t="s">
        <v>75</v>
      </c>
      <c r="AE8216" t="s">
        <v>80</v>
      </c>
      <c r="AG8216" t="s">
        <v>81</v>
      </c>
    </row>
    <row r="8217" spans="1:33" x14ac:dyDescent="0.25">
      <c r="A8217" t="str">
        <f>"1700075413"</f>
        <v>1700075413</v>
      </c>
      <c r="B8217" t="str">
        <f>"02966723"</f>
        <v>02966723</v>
      </c>
      <c r="C8217" t="s">
        <v>13436</v>
      </c>
      <c r="D8217" t="s">
        <v>35745</v>
      </c>
      <c r="E8217" t="s">
        <v>35746</v>
      </c>
      <c r="G8217" t="s">
        <v>35747</v>
      </c>
      <c r="L8217" t="s">
        <v>74</v>
      </c>
      <c r="M8217" t="s">
        <v>75</v>
      </c>
      <c r="R8217" t="s">
        <v>35748</v>
      </c>
      <c r="W8217" t="s">
        <v>35746</v>
      </c>
      <c r="X8217" t="s">
        <v>235</v>
      </c>
      <c r="Y8217" t="s">
        <v>236</v>
      </c>
      <c r="Z8217" t="s">
        <v>77</v>
      </c>
      <c r="AA8217" t="str">
        <f>"11102-2448"</f>
        <v>11102-2448</v>
      </c>
      <c r="AB8217" t="s">
        <v>78</v>
      </c>
      <c r="AC8217" t="s">
        <v>79</v>
      </c>
      <c r="AD8217" t="s">
        <v>75</v>
      </c>
      <c r="AE8217" t="s">
        <v>80</v>
      </c>
      <c r="AG8217" t="s">
        <v>81</v>
      </c>
    </row>
    <row r="8218" spans="1:33" x14ac:dyDescent="0.25">
      <c r="A8218" t="str">
        <f>"1700084985"</f>
        <v>1700084985</v>
      </c>
      <c r="B8218" t="str">
        <f>"02900892"</f>
        <v>02900892</v>
      </c>
      <c r="C8218" t="s">
        <v>13436</v>
      </c>
      <c r="D8218" t="s">
        <v>35749</v>
      </c>
      <c r="E8218" t="s">
        <v>35750</v>
      </c>
      <c r="G8218" t="s">
        <v>35751</v>
      </c>
      <c r="L8218" t="s">
        <v>83</v>
      </c>
      <c r="M8218" t="s">
        <v>75</v>
      </c>
      <c r="R8218" t="s">
        <v>35752</v>
      </c>
      <c r="W8218" t="s">
        <v>35750</v>
      </c>
      <c r="X8218" t="s">
        <v>234</v>
      </c>
      <c r="Y8218" t="s">
        <v>97</v>
      </c>
      <c r="Z8218" t="s">
        <v>77</v>
      </c>
      <c r="AA8218" t="str">
        <f>"10032-3729"</f>
        <v>10032-3729</v>
      </c>
      <c r="AB8218" t="s">
        <v>78</v>
      </c>
      <c r="AC8218" t="s">
        <v>79</v>
      </c>
      <c r="AD8218" t="s">
        <v>75</v>
      </c>
      <c r="AE8218" t="s">
        <v>80</v>
      </c>
      <c r="AG8218" t="s">
        <v>81</v>
      </c>
    </row>
    <row r="8219" spans="1:33" x14ac:dyDescent="0.25">
      <c r="A8219" t="str">
        <f>"1700088580"</f>
        <v>1700088580</v>
      </c>
      <c r="B8219" t="str">
        <f>"02899109"</f>
        <v>02899109</v>
      </c>
      <c r="C8219" t="s">
        <v>13436</v>
      </c>
      <c r="D8219" t="s">
        <v>35753</v>
      </c>
      <c r="E8219" t="s">
        <v>35754</v>
      </c>
      <c r="G8219" t="s">
        <v>35755</v>
      </c>
      <c r="L8219" t="s">
        <v>83</v>
      </c>
      <c r="M8219" t="s">
        <v>75</v>
      </c>
      <c r="R8219" t="s">
        <v>35756</v>
      </c>
      <c r="W8219" t="s">
        <v>35757</v>
      </c>
      <c r="X8219" t="s">
        <v>35758</v>
      </c>
      <c r="Y8219" t="s">
        <v>31888</v>
      </c>
      <c r="Z8219" t="s">
        <v>1214</v>
      </c>
      <c r="AA8219" t="str">
        <f>"28501-1584"</f>
        <v>28501-1584</v>
      </c>
      <c r="AB8219" t="s">
        <v>78</v>
      </c>
      <c r="AC8219" t="s">
        <v>79</v>
      </c>
      <c r="AD8219" t="s">
        <v>75</v>
      </c>
      <c r="AE8219" t="s">
        <v>80</v>
      </c>
      <c r="AG8219" t="s">
        <v>81</v>
      </c>
    </row>
    <row r="8220" spans="1:33" x14ac:dyDescent="0.25">
      <c r="A8220" t="str">
        <f>"1700102738"</f>
        <v>1700102738</v>
      </c>
      <c r="C8220" t="s">
        <v>13436</v>
      </c>
      <c r="K8220" t="s">
        <v>99</v>
      </c>
      <c r="L8220" t="s">
        <v>102</v>
      </c>
      <c r="M8220" t="s">
        <v>75</v>
      </c>
      <c r="R8220" t="s">
        <v>35759</v>
      </c>
      <c r="S8220" t="s">
        <v>35760</v>
      </c>
      <c r="T8220" t="s">
        <v>97</v>
      </c>
      <c r="U8220" t="s">
        <v>77</v>
      </c>
      <c r="V8220" t="str">
        <f>"101283839"</f>
        <v>101283839</v>
      </c>
      <c r="AC8220" t="s">
        <v>79</v>
      </c>
      <c r="AD8220" t="s">
        <v>75</v>
      </c>
      <c r="AE8220" t="s">
        <v>103</v>
      </c>
      <c r="AG8220" t="s">
        <v>81</v>
      </c>
    </row>
    <row r="8221" spans="1:33" x14ac:dyDescent="0.25">
      <c r="A8221" t="str">
        <f>"1629485545"</f>
        <v>1629485545</v>
      </c>
      <c r="C8221" t="s">
        <v>13436</v>
      </c>
      <c r="K8221" t="s">
        <v>99</v>
      </c>
      <c r="L8221" t="s">
        <v>102</v>
      </c>
      <c r="M8221" t="s">
        <v>75</v>
      </c>
      <c r="R8221" t="s">
        <v>35761</v>
      </c>
      <c r="S8221" t="s">
        <v>181</v>
      </c>
      <c r="T8221" t="s">
        <v>97</v>
      </c>
      <c r="U8221" t="s">
        <v>77</v>
      </c>
      <c r="V8221" t="str">
        <f>"100251716"</f>
        <v>100251716</v>
      </c>
      <c r="AC8221" t="s">
        <v>79</v>
      </c>
      <c r="AD8221" t="s">
        <v>75</v>
      </c>
      <c r="AE8221" t="s">
        <v>103</v>
      </c>
      <c r="AG8221" t="s">
        <v>81</v>
      </c>
    </row>
    <row r="8222" spans="1:33" x14ac:dyDescent="0.25">
      <c r="A8222" t="str">
        <f>"1629491675"</f>
        <v>1629491675</v>
      </c>
      <c r="C8222" t="s">
        <v>13436</v>
      </c>
      <c r="G8222" t="s">
        <v>35762</v>
      </c>
      <c r="K8222" t="s">
        <v>99</v>
      </c>
      <c r="L8222" t="s">
        <v>102</v>
      </c>
      <c r="M8222" t="s">
        <v>75</v>
      </c>
      <c r="R8222" t="s">
        <v>35763</v>
      </c>
      <c r="S8222" t="s">
        <v>35764</v>
      </c>
      <c r="T8222" t="s">
        <v>3877</v>
      </c>
      <c r="U8222" t="s">
        <v>3878</v>
      </c>
      <c r="V8222" t="str">
        <f>"782293931"</f>
        <v>782293931</v>
      </c>
      <c r="AC8222" t="s">
        <v>79</v>
      </c>
      <c r="AD8222" t="s">
        <v>75</v>
      </c>
      <c r="AE8222" t="s">
        <v>103</v>
      </c>
      <c r="AG8222" t="s">
        <v>81</v>
      </c>
    </row>
    <row r="8223" spans="1:33" x14ac:dyDescent="0.25">
      <c r="A8223" t="str">
        <f>"1629495056"</f>
        <v>1629495056</v>
      </c>
      <c r="C8223" t="s">
        <v>13436</v>
      </c>
      <c r="K8223" t="s">
        <v>99</v>
      </c>
      <c r="L8223" t="s">
        <v>102</v>
      </c>
      <c r="M8223" t="s">
        <v>75</v>
      </c>
      <c r="R8223" t="s">
        <v>35765</v>
      </c>
      <c r="S8223" t="s">
        <v>35766</v>
      </c>
      <c r="T8223" t="s">
        <v>97</v>
      </c>
      <c r="U8223" t="s">
        <v>77</v>
      </c>
      <c r="V8223" t="str">
        <f>"100033805"</f>
        <v>100033805</v>
      </c>
      <c r="AC8223" t="s">
        <v>79</v>
      </c>
      <c r="AD8223" t="s">
        <v>75</v>
      </c>
      <c r="AE8223" t="s">
        <v>103</v>
      </c>
      <c r="AG8223" t="s">
        <v>81</v>
      </c>
    </row>
    <row r="8224" spans="1:33" x14ac:dyDescent="0.25">
      <c r="A8224" t="str">
        <f>"1700136066"</f>
        <v>1700136066</v>
      </c>
      <c r="C8224" t="s">
        <v>13436</v>
      </c>
      <c r="G8224" t="s">
        <v>35767</v>
      </c>
      <c r="K8224" t="s">
        <v>99</v>
      </c>
      <c r="L8224" t="s">
        <v>74</v>
      </c>
      <c r="M8224" t="s">
        <v>75</v>
      </c>
      <c r="R8224" t="s">
        <v>5323</v>
      </c>
      <c r="S8224" t="s">
        <v>5324</v>
      </c>
      <c r="T8224" t="s">
        <v>97</v>
      </c>
      <c r="U8224" t="s">
        <v>77</v>
      </c>
      <c r="V8224" t="str">
        <f>"100296500"</f>
        <v>100296500</v>
      </c>
      <c r="AC8224" t="s">
        <v>79</v>
      </c>
      <c r="AD8224" t="s">
        <v>75</v>
      </c>
      <c r="AE8224" t="s">
        <v>103</v>
      </c>
      <c r="AG8224" t="s">
        <v>81</v>
      </c>
    </row>
    <row r="8225" spans="1:33" x14ac:dyDescent="0.25">
      <c r="A8225" t="str">
        <f>"1689867319"</f>
        <v>1689867319</v>
      </c>
      <c r="B8225" t="str">
        <f>"03852408"</f>
        <v>03852408</v>
      </c>
      <c r="C8225" t="s">
        <v>35768</v>
      </c>
      <c r="D8225" t="s">
        <v>35769</v>
      </c>
      <c r="E8225" t="s">
        <v>35770</v>
      </c>
      <c r="G8225" t="s">
        <v>35771</v>
      </c>
      <c r="H8225" t="s">
        <v>35772</v>
      </c>
      <c r="J8225" t="s">
        <v>35773</v>
      </c>
      <c r="L8225" t="s">
        <v>84</v>
      </c>
      <c r="M8225" t="s">
        <v>75</v>
      </c>
      <c r="R8225" t="s">
        <v>35774</v>
      </c>
      <c r="W8225" t="s">
        <v>35770</v>
      </c>
      <c r="X8225" t="s">
        <v>7478</v>
      </c>
      <c r="Y8225" t="s">
        <v>97</v>
      </c>
      <c r="Z8225" t="s">
        <v>77</v>
      </c>
      <c r="AA8225" t="str">
        <f>"10027-5250"</f>
        <v>10027-5250</v>
      </c>
      <c r="AB8225" t="s">
        <v>78</v>
      </c>
      <c r="AC8225" t="s">
        <v>79</v>
      </c>
      <c r="AD8225" t="s">
        <v>75</v>
      </c>
      <c r="AE8225" t="s">
        <v>80</v>
      </c>
      <c r="AG8225" t="s">
        <v>81</v>
      </c>
    </row>
    <row r="8226" spans="1:33" x14ac:dyDescent="0.25">
      <c r="A8226" t="str">
        <f>"1649213745"</f>
        <v>1649213745</v>
      </c>
      <c r="B8226" t="str">
        <f>"01937402"</f>
        <v>01937402</v>
      </c>
      <c r="C8226" t="s">
        <v>35768</v>
      </c>
      <c r="D8226" t="s">
        <v>1702</v>
      </c>
      <c r="E8226" t="s">
        <v>1703</v>
      </c>
      <c r="G8226" t="s">
        <v>35775</v>
      </c>
      <c r="H8226" t="s">
        <v>35772</v>
      </c>
      <c r="J8226" t="s">
        <v>35773</v>
      </c>
      <c r="L8226" t="s">
        <v>83</v>
      </c>
      <c r="M8226" t="s">
        <v>75</v>
      </c>
      <c r="R8226" t="s">
        <v>1704</v>
      </c>
      <c r="W8226" t="s">
        <v>1703</v>
      </c>
      <c r="X8226" t="s">
        <v>1705</v>
      </c>
      <c r="Y8226" t="s">
        <v>91</v>
      </c>
      <c r="Z8226" t="s">
        <v>77</v>
      </c>
      <c r="AA8226" t="str">
        <f>"11373"</f>
        <v>11373</v>
      </c>
      <c r="AB8226" t="s">
        <v>78</v>
      </c>
      <c r="AC8226" t="s">
        <v>79</v>
      </c>
      <c r="AD8226" t="s">
        <v>75</v>
      </c>
      <c r="AE8226" t="s">
        <v>80</v>
      </c>
      <c r="AG8226" t="s">
        <v>81</v>
      </c>
    </row>
    <row r="8227" spans="1:33" x14ac:dyDescent="0.25">
      <c r="C8227" t="s">
        <v>35776</v>
      </c>
      <c r="G8227" t="s">
        <v>35777</v>
      </c>
      <c r="H8227" t="s">
        <v>35778</v>
      </c>
      <c r="K8227" t="s">
        <v>99</v>
      </c>
      <c r="L8227" t="s">
        <v>100</v>
      </c>
      <c r="M8227" t="s">
        <v>75</v>
      </c>
      <c r="AC8227" t="s">
        <v>79</v>
      </c>
      <c r="AD8227" t="s">
        <v>75</v>
      </c>
      <c r="AE8227" t="s">
        <v>101</v>
      </c>
      <c r="AG8227" t="s">
        <v>81</v>
      </c>
    </row>
    <row r="8228" spans="1:33" x14ac:dyDescent="0.25">
      <c r="A8228" t="str">
        <f>"1679816334"</f>
        <v>1679816334</v>
      </c>
      <c r="C8228" t="s">
        <v>35779</v>
      </c>
      <c r="G8228" t="s">
        <v>35780</v>
      </c>
      <c r="H8228" t="s">
        <v>35781</v>
      </c>
      <c r="J8228" t="s">
        <v>35782</v>
      </c>
      <c r="K8228" t="s">
        <v>99</v>
      </c>
      <c r="L8228" t="s">
        <v>102</v>
      </c>
      <c r="M8228" t="s">
        <v>75</v>
      </c>
      <c r="R8228" t="s">
        <v>35783</v>
      </c>
      <c r="S8228" t="s">
        <v>35784</v>
      </c>
      <c r="T8228" t="s">
        <v>87</v>
      </c>
      <c r="U8228" t="s">
        <v>77</v>
      </c>
      <c r="V8228" t="str">
        <f>"112014405"</f>
        <v>112014405</v>
      </c>
      <c r="AC8228" t="s">
        <v>79</v>
      </c>
      <c r="AD8228" t="s">
        <v>75</v>
      </c>
      <c r="AE8228" t="s">
        <v>103</v>
      </c>
      <c r="AG8228" t="s">
        <v>81</v>
      </c>
    </row>
    <row r="8229" spans="1:33" x14ac:dyDescent="0.25">
      <c r="A8229" t="str">
        <f>"1588797021"</f>
        <v>1588797021</v>
      </c>
      <c r="B8229" t="str">
        <f>"00825461"</f>
        <v>00825461</v>
      </c>
      <c r="C8229" t="s">
        <v>35785</v>
      </c>
      <c r="D8229" t="s">
        <v>35786</v>
      </c>
      <c r="E8229" t="s">
        <v>35787</v>
      </c>
      <c r="G8229" t="s">
        <v>35788</v>
      </c>
      <c r="H8229" t="s">
        <v>35789</v>
      </c>
      <c r="J8229" t="s">
        <v>35790</v>
      </c>
      <c r="L8229" t="s">
        <v>84</v>
      </c>
      <c r="M8229" t="s">
        <v>75</v>
      </c>
      <c r="R8229" t="s">
        <v>35791</v>
      </c>
      <c r="W8229" t="s">
        <v>35787</v>
      </c>
      <c r="X8229" t="s">
        <v>35792</v>
      </c>
      <c r="Y8229" t="s">
        <v>87</v>
      </c>
      <c r="Z8229" t="s">
        <v>77</v>
      </c>
      <c r="AA8229" t="str">
        <f>"11212-3132"</f>
        <v>11212-3132</v>
      </c>
      <c r="AB8229" t="s">
        <v>78</v>
      </c>
      <c r="AC8229" t="s">
        <v>79</v>
      </c>
      <c r="AD8229" t="s">
        <v>75</v>
      </c>
      <c r="AE8229" t="s">
        <v>80</v>
      </c>
      <c r="AG8229" t="s">
        <v>81</v>
      </c>
    </row>
    <row r="8230" spans="1:33" x14ac:dyDescent="0.25">
      <c r="A8230" t="str">
        <f>"1962726372"</f>
        <v>1962726372</v>
      </c>
      <c r="B8230" t="str">
        <f>"03512521"</f>
        <v>03512521</v>
      </c>
      <c r="C8230" t="s">
        <v>35793</v>
      </c>
      <c r="D8230" t="s">
        <v>35794</v>
      </c>
      <c r="E8230" t="s">
        <v>35795</v>
      </c>
      <c r="G8230" t="s">
        <v>7218</v>
      </c>
      <c r="H8230" t="s">
        <v>6801</v>
      </c>
      <c r="J8230" t="s">
        <v>7219</v>
      </c>
      <c r="L8230" t="s">
        <v>74</v>
      </c>
      <c r="M8230" t="s">
        <v>75</v>
      </c>
      <c r="R8230" t="s">
        <v>35795</v>
      </c>
      <c r="W8230" t="s">
        <v>35795</v>
      </c>
      <c r="X8230" t="s">
        <v>8686</v>
      </c>
      <c r="Y8230" t="s">
        <v>145</v>
      </c>
      <c r="Z8230" t="s">
        <v>77</v>
      </c>
      <c r="AA8230" t="str">
        <f>"11361-3241"</f>
        <v>11361-3241</v>
      </c>
      <c r="AB8230" t="s">
        <v>113</v>
      </c>
      <c r="AC8230" t="s">
        <v>79</v>
      </c>
      <c r="AD8230" t="s">
        <v>75</v>
      </c>
      <c r="AE8230" t="s">
        <v>80</v>
      </c>
      <c r="AG8230" t="s">
        <v>81</v>
      </c>
    </row>
    <row r="8231" spans="1:33" x14ac:dyDescent="0.25">
      <c r="A8231" t="str">
        <f>"1972930022"</f>
        <v>1972930022</v>
      </c>
      <c r="C8231" t="s">
        <v>35796</v>
      </c>
      <c r="G8231" t="s">
        <v>7218</v>
      </c>
      <c r="H8231" t="s">
        <v>6801</v>
      </c>
      <c r="J8231" t="s">
        <v>7219</v>
      </c>
      <c r="K8231" t="s">
        <v>99</v>
      </c>
      <c r="L8231" t="s">
        <v>102</v>
      </c>
      <c r="M8231" t="s">
        <v>75</v>
      </c>
      <c r="R8231" t="s">
        <v>35797</v>
      </c>
      <c r="S8231" t="s">
        <v>35798</v>
      </c>
      <c r="T8231" t="s">
        <v>97</v>
      </c>
      <c r="U8231" t="s">
        <v>77</v>
      </c>
      <c r="V8231" t="str">
        <f>"10001"</f>
        <v>10001</v>
      </c>
      <c r="AC8231" t="s">
        <v>79</v>
      </c>
      <c r="AD8231" t="s">
        <v>75</v>
      </c>
      <c r="AE8231" t="s">
        <v>103</v>
      </c>
      <c r="AG8231" t="s">
        <v>81</v>
      </c>
    </row>
    <row r="8232" spans="1:33" x14ac:dyDescent="0.25">
      <c r="A8232" t="str">
        <f>"1992121925"</f>
        <v>1992121925</v>
      </c>
      <c r="C8232" t="s">
        <v>35799</v>
      </c>
      <c r="G8232" t="s">
        <v>7218</v>
      </c>
      <c r="H8232" t="s">
        <v>6801</v>
      </c>
      <c r="J8232" t="s">
        <v>7219</v>
      </c>
      <c r="K8232" t="s">
        <v>99</v>
      </c>
      <c r="L8232" t="s">
        <v>74</v>
      </c>
      <c r="M8232" t="s">
        <v>75</v>
      </c>
      <c r="R8232" t="s">
        <v>35800</v>
      </c>
      <c r="S8232" t="s">
        <v>35798</v>
      </c>
      <c r="T8232" t="s">
        <v>97</v>
      </c>
      <c r="U8232" t="s">
        <v>77</v>
      </c>
      <c r="V8232" t="str">
        <f>"10001"</f>
        <v>10001</v>
      </c>
      <c r="AC8232" t="s">
        <v>79</v>
      </c>
      <c r="AD8232" t="s">
        <v>75</v>
      </c>
      <c r="AE8232" t="s">
        <v>103</v>
      </c>
      <c r="AG8232" t="s">
        <v>81</v>
      </c>
    </row>
    <row r="8233" spans="1:33" x14ac:dyDescent="0.25">
      <c r="A8233" t="str">
        <f>"1992869416"</f>
        <v>1992869416</v>
      </c>
      <c r="C8233" t="s">
        <v>35801</v>
      </c>
      <c r="G8233" t="s">
        <v>7218</v>
      </c>
      <c r="H8233" t="s">
        <v>6801</v>
      </c>
      <c r="J8233" t="s">
        <v>7219</v>
      </c>
      <c r="K8233" t="s">
        <v>99</v>
      </c>
      <c r="L8233" t="s">
        <v>102</v>
      </c>
      <c r="M8233" t="s">
        <v>75</v>
      </c>
      <c r="AC8233" t="s">
        <v>79</v>
      </c>
      <c r="AD8233" t="s">
        <v>75</v>
      </c>
      <c r="AE8233" t="s">
        <v>103</v>
      </c>
      <c r="AG8233" t="s">
        <v>81</v>
      </c>
    </row>
    <row r="8234" spans="1:33" x14ac:dyDescent="0.25">
      <c r="A8234" t="str">
        <f>"1992946545"</f>
        <v>1992946545</v>
      </c>
      <c r="C8234" t="s">
        <v>35802</v>
      </c>
      <c r="G8234" t="s">
        <v>7218</v>
      </c>
      <c r="H8234" t="s">
        <v>6801</v>
      </c>
      <c r="J8234" t="s">
        <v>7219</v>
      </c>
      <c r="K8234" t="s">
        <v>99</v>
      </c>
      <c r="L8234" t="s">
        <v>102</v>
      </c>
      <c r="M8234" t="s">
        <v>75</v>
      </c>
      <c r="R8234" t="s">
        <v>35803</v>
      </c>
      <c r="S8234" t="s">
        <v>3538</v>
      </c>
      <c r="T8234" t="s">
        <v>131</v>
      </c>
      <c r="U8234" t="s">
        <v>77</v>
      </c>
      <c r="V8234" t="str">
        <f>"104615726"</f>
        <v>104615726</v>
      </c>
      <c r="AC8234" t="s">
        <v>79</v>
      </c>
      <c r="AD8234" t="s">
        <v>75</v>
      </c>
      <c r="AE8234" t="s">
        <v>103</v>
      </c>
      <c r="AG8234" t="s">
        <v>81</v>
      </c>
    </row>
    <row r="8235" spans="1:33" x14ac:dyDescent="0.25">
      <c r="A8235" t="str">
        <f>"1811972656"</f>
        <v>1811972656</v>
      </c>
      <c r="B8235" t="str">
        <f>"00958347"</f>
        <v>00958347</v>
      </c>
      <c r="C8235" t="s">
        <v>13436</v>
      </c>
      <c r="D8235" t="s">
        <v>35804</v>
      </c>
      <c r="E8235" t="s">
        <v>35805</v>
      </c>
      <c r="L8235" t="s">
        <v>74</v>
      </c>
      <c r="M8235" t="s">
        <v>85</v>
      </c>
      <c r="R8235" t="s">
        <v>35806</v>
      </c>
      <c r="W8235" t="s">
        <v>35807</v>
      </c>
      <c r="X8235" t="s">
        <v>329</v>
      </c>
      <c r="Y8235" t="s">
        <v>97</v>
      </c>
      <c r="Z8235" t="s">
        <v>77</v>
      </c>
      <c r="AA8235" t="str">
        <f>"10029-6500"</f>
        <v>10029-6500</v>
      </c>
      <c r="AB8235" t="s">
        <v>78</v>
      </c>
      <c r="AC8235" t="s">
        <v>79</v>
      </c>
      <c r="AD8235" t="s">
        <v>75</v>
      </c>
      <c r="AE8235" t="s">
        <v>80</v>
      </c>
      <c r="AG8235" t="s">
        <v>81</v>
      </c>
    </row>
    <row r="8236" spans="1:33" x14ac:dyDescent="0.25">
      <c r="A8236" t="str">
        <f>"1922077718"</f>
        <v>1922077718</v>
      </c>
      <c r="B8236" t="str">
        <f>"01761568"</f>
        <v>01761568</v>
      </c>
      <c r="C8236" t="s">
        <v>13436</v>
      </c>
      <c r="D8236" t="s">
        <v>35808</v>
      </c>
      <c r="E8236" t="s">
        <v>35809</v>
      </c>
      <c r="L8236" t="s">
        <v>102</v>
      </c>
      <c r="M8236" t="s">
        <v>85</v>
      </c>
      <c r="R8236" t="s">
        <v>35810</v>
      </c>
      <c r="W8236" t="s">
        <v>35809</v>
      </c>
      <c r="Y8236" t="s">
        <v>97</v>
      </c>
      <c r="Z8236" t="s">
        <v>77</v>
      </c>
      <c r="AA8236" t="str">
        <f>"10029-6501"</f>
        <v>10029-6501</v>
      </c>
      <c r="AB8236" t="s">
        <v>78</v>
      </c>
      <c r="AC8236" t="s">
        <v>79</v>
      </c>
      <c r="AD8236" t="s">
        <v>75</v>
      </c>
      <c r="AE8236" t="s">
        <v>80</v>
      </c>
      <c r="AG8236" t="s">
        <v>81</v>
      </c>
    </row>
    <row r="8237" spans="1:33" x14ac:dyDescent="0.25">
      <c r="A8237" t="str">
        <f>"1922083211"</f>
        <v>1922083211</v>
      </c>
      <c r="B8237" t="str">
        <f>"01133128"</f>
        <v>01133128</v>
      </c>
      <c r="C8237" t="s">
        <v>13436</v>
      </c>
      <c r="D8237" t="s">
        <v>35811</v>
      </c>
      <c r="E8237" t="s">
        <v>35812</v>
      </c>
      <c r="L8237" t="s">
        <v>83</v>
      </c>
      <c r="M8237" t="s">
        <v>85</v>
      </c>
      <c r="R8237" t="s">
        <v>35813</v>
      </c>
      <c r="W8237" t="s">
        <v>35812</v>
      </c>
      <c r="X8237" t="s">
        <v>329</v>
      </c>
      <c r="Y8237" t="s">
        <v>97</v>
      </c>
      <c r="Z8237" t="s">
        <v>77</v>
      </c>
      <c r="AA8237" t="str">
        <f>"10029-6500"</f>
        <v>10029-6500</v>
      </c>
      <c r="AB8237" t="s">
        <v>78</v>
      </c>
      <c r="AC8237" t="s">
        <v>79</v>
      </c>
      <c r="AD8237" t="s">
        <v>75</v>
      </c>
      <c r="AE8237" t="s">
        <v>80</v>
      </c>
      <c r="AG8237" t="s">
        <v>81</v>
      </c>
    </row>
    <row r="8238" spans="1:33" x14ac:dyDescent="0.25">
      <c r="A8238" t="str">
        <f>"1922092188"</f>
        <v>1922092188</v>
      </c>
      <c r="B8238" t="str">
        <f>"03918958"</f>
        <v>03918958</v>
      </c>
      <c r="C8238" t="s">
        <v>13436</v>
      </c>
      <c r="D8238" t="s">
        <v>35814</v>
      </c>
      <c r="E8238" t="s">
        <v>35815</v>
      </c>
      <c r="G8238" t="s">
        <v>35816</v>
      </c>
      <c r="L8238" t="s">
        <v>74</v>
      </c>
      <c r="M8238" t="s">
        <v>85</v>
      </c>
      <c r="R8238" t="s">
        <v>35817</v>
      </c>
      <c r="W8238" t="s">
        <v>35815</v>
      </c>
      <c r="X8238" t="s">
        <v>35818</v>
      </c>
      <c r="Y8238" t="s">
        <v>97</v>
      </c>
      <c r="Z8238" t="s">
        <v>77</v>
      </c>
      <c r="AA8238" t="str">
        <f>"10003-3805"</f>
        <v>10003-3805</v>
      </c>
      <c r="AB8238" t="s">
        <v>78</v>
      </c>
      <c r="AC8238" t="s">
        <v>79</v>
      </c>
      <c r="AD8238" t="s">
        <v>75</v>
      </c>
      <c r="AE8238" t="s">
        <v>80</v>
      </c>
      <c r="AG8238" t="s">
        <v>81</v>
      </c>
    </row>
    <row r="8239" spans="1:33" x14ac:dyDescent="0.25">
      <c r="A8239" t="str">
        <f>"1922093624"</f>
        <v>1922093624</v>
      </c>
      <c r="B8239" t="str">
        <f>"00840868"</f>
        <v>00840868</v>
      </c>
      <c r="C8239" t="s">
        <v>13436</v>
      </c>
      <c r="D8239" t="s">
        <v>35819</v>
      </c>
      <c r="E8239" t="s">
        <v>35820</v>
      </c>
      <c r="L8239" t="s">
        <v>74</v>
      </c>
      <c r="M8239" t="s">
        <v>85</v>
      </c>
      <c r="R8239" t="s">
        <v>35821</v>
      </c>
      <c r="W8239" t="s">
        <v>35820</v>
      </c>
      <c r="X8239" t="s">
        <v>272</v>
      </c>
      <c r="Y8239" t="s">
        <v>97</v>
      </c>
      <c r="Z8239" t="s">
        <v>77</v>
      </c>
      <c r="AA8239" t="str">
        <f>"10029-6501"</f>
        <v>10029-6501</v>
      </c>
      <c r="AB8239" t="s">
        <v>78</v>
      </c>
      <c r="AC8239" t="s">
        <v>79</v>
      </c>
      <c r="AD8239" t="s">
        <v>75</v>
      </c>
      <c r="AE8239" t="s">
        <v>80</v>
      </c>
      <c r="AG8239" t="s">
        <v>81</v>
      </c>
    </row>
    <row r="8240" spans="1:33" x14ac:dyDescent="0.25">
      <c r="A8240" t="str">
        <f>"1922097245"</f>
        <v>1922097245</v>
      </c>
      <c r="B8240" t="str">
        <f>"00390652"</f>
        <v>00390652</v>
      </c>
      <c r="C8240" t="s">
        <v>13436</v>
      </c>
      <c r="D8240" t="s">
        <v>35822</v>
      </c>
      <c r="E8240" t="s">
        <v>35823</v>
      </c>
      <c r="L8240" t="s">
        <v>83</v>
      </c>
      <c r="M8240" t="s">
        <v>85</v>
      </c>
      <c r="R8240" t="s">
        <v>35824</v>
      </c>
      <c r="W8240" t="s">
        <v>35823</v>
      </c>
      <c r="Y8240" t="s">
        <v>97</v>
      </c>
      <c r="Z8240" t="s">
        <v>77</v>
      </c>
      <c r="AA8240" t="str">
        <f>"10029-6500"</f>
        <v>10029-6500</v>
      </c>
      <c r="AB8240" t="s">
        <v>78</v>
      </c>
      <c r="AC8240" t="s">
        <v>79</v>
      </c>
      <c r="AD8240" t="s">
        <v>75</v>
      </c>
      <c r="AE8240" t="s">
        <v>80</v>
      </c>
      <c r="AG8240" t="s">
        <v>81</v>
      </c>
    </row>
    <row r="8241" spans="1:33" x14ac:dyDescent="0.25">
      <c r="A8241" t="str">
        <f>"1922100486"</f>
        <v>1922100486</v>
      </c>
      <c r="B8241" t="str">
        <f>"01156192"</f>
        <v>01156192</v>
      </c>
      <c r="C8241" t="s">
        <v>13436</v>
      </c>
      <c r="D8241" t="s">
        <v>35825</v>
      </c>
      <c r="E8241" t="s">
        <v>35826</v>
      </c>
      <c r="L8241" t="s">
        <v>74</v>
      </c>
      <c r="M8241" t="s">
        <v>85</v>
      </c>
      <c r="R8241" t="s">
        <v>35827</v>
      </c>
      <c r="W8241" t="s">
        <v>35826</v>
      </c>
      <c r="X8241" t="s">
        <v>35828</v>
      </c>
      <c r="Y8241" t="s">
        <v>97</v>
      </c>
      <c r="Z8241" t="s">
        <v>77</v>
      </c>
      <c r="AA8241" t="str">
        <f>"10128-1152"</f>
        <v>10128-1152</v>
      </c>
      <c r="AB8241" t="s">
        <v>78</v>
      </c>
      <c r="AC8241" t="s">
        <v>79</v>
      </c>
      <c r="AD8241" t="s">
        <v>75</v>
      </c>
      <c r="AE8241" t="s">
        <v>80</v>
      </c>
      <c r="AG8241" t="s">
        <v>81</v>
      </c>
    </row>
    <row r="8242" spans="1:33" x14ac:dyDescent="0.25">
      <c r="A8242" t="str">
        <f>"1922135045"</f>
        <v>1922135045</v>
      </c>
      <c r="B8242" t="str">
        <f>"02862953"</f>
        <v>02862953</v>
      </c>
      <c r="C8242" t="s">
        <v>13436</v>
      </c>
      <c r="D8242" t="s">
        <v>35829</v>
      </c>
      <c r="E8242" t="s">
        <v>35830</v>
      </c>
      <c r="L8242" t="s">
        <v>83</v>
      </c>
      <c r="M8242" t="s">
        <v>85</v>
      </c>
      <c r="R8242" t="s">
        <v>35830</v>
      </c>
      <c r="W8242" t="s">
        <v>35830</v>
      </c>
      <c r="X8242" t="s">
        <v>900</v>
      </c>
      <c r="Y8242" t="s">
        <v>97</v>
      </c>
      <c r="Z8242" t="s">
        <v>77</v>
      </c>
      <c r="AA8242" t="str">
        <f>"10032-3725"</f>
        <v>10032-3725</v>
      </c>
      <c r="AB8242" t="s">
        <v>78</v>
      </c>
      <c r="AC8242" t="s">
        <v>79</v>
      </c>
      <c r="AD8242" t="s">
        <v>75</v>
      </c>
      <c r="AE8242" t="s">
        <v>80</v>
      </c>
      <c r="AG8242" t="s">
        <v>81</v>
      </c>
    </row>
    <row r="8243" spans="1:33" x14ac:dyDescent="0.25">
      <c r="A8243" t="str">
        <f>"1922153428"</f>
        <v>1922153428</v>
      </c>
      <c r="B8243" t="str">
        <f>"02219969"</f>
        <v>02219969</v>
      </c>
      <c r="C8243" t="s">
        <v>13436</v>
      </c>
      <c r="D8243" t="s">
        <v>35831</v>
      </c>
      <c r="E8243" t="s">
        <v>35832</v>
      </c>
      <c r="G8243" t="s">
        <v>35833</v>
      </c>
      <c r="L8243" t="s">
        <v>74</v>
      </c>
      <c r="M8243" t="s">
        <v>85</v>
      </c>
      <c r="R8243" t="s">
        <v>35834</v>
      </c>
      <c r="W8243" t="s">
        <v>35832</v>
      </c>
      <c r="X8243" t="s">
        <v>35835</v>
      </c>
      <c r="Y8243" t="s">
        <v>97</v>
      </c>
      <c r="Z8243" t="s">
        <v>77</v>
      </c>
      <c r="AA8243" t="str">
        <f>"10011"</f>
        <v>10011</v>
      </c>
      <c r="AB8243" t="s">
        <v>78</v>
      </c>
      <c r="AC8243" t="s">
        <v>79</v>
      </c>
      <c r="AD8243" t="s">
        <v>75</v>
      </c>
      <c r="AE8243" t="s">
        <v>80</v>
      </c>
      <c r="AG8243" t="s">
        <v>81</v>
      </c>
    </row>
    <row r="8244" spans="1:33" x14ac:dyDescent="0.25">
      <c r="A8244" t="str">
        <f>"1922176072"</f>
        <v>1922176072</v>
      </c>
      <c r="B8244" t="str">
        <f>"01873270"</f>
        <v>01873270</v>
      </c>
      <c r="C8244" t="s">
        <v>13436</v>
      </c>
      <c r="D8244" t="s">
        <v>35836</v>
      </c>
      <c r="E8244" t="s">
        <v>35837</v>
      </c>
      <c r="L8244" t="s">
        <v>83</v>
      </c>
      <c r="M8244" t="s">
        <v>85</v>
      </c>
      <c r="R8244" t="s">
        <v>35838</v>
      </c>
      <c r="W8244" t="s">
        <v>35837</v>
      </c>
      <c r="Y8244" t="s">
        <v>97</v>
      </c>
      <c r="Z8244" t="s">
        <v>77</v>
      </c>
      <c r="AA8244" t="str">
        <f>"10032-3720"</f>
        <v>10032-3720</v>
      </c>
      <c r="AB8244" t="s">
        <v>78</v>
      </c>
      <c r="AC8244" t="s">
        <v>79</v>
      </c>
      <c r="AD8244" t="s">
        <v>75</v>
      </c>
      <c r="AE8244" t="s">
        <v>80</v>
      </c>
      <c r="AG8244" t="s">
        <v>81</v>
      </c>
    </row>
    <row r="8245" spans="1:33" x14ac:dyDescent="0.25">
      <c r="A8245" t="str">
        <f>"1922191931"</f>
        <v>1922191931</v>
      </c>
      <c r="B8245" t="str">
        <f>"02975771"</f>
        <v>02975771</v>
      </c>
      <c r="C8245" t="s">
        <v>13436</v>
      </c>
      <c r="D8245" t="s">
        <v>35839</v>
      </c>
      <c r="E8245" t="s">
        <v>35840</v>
      </c>
      <c r="L8245" t="s">
        <v>83</v>
      </c>
      <c r="M8245" t="s">
        <v>85</v>
      </c>
      <c r="R8245" t="s">
        <v>35841</v>
      </c>
      <c r="W8245" t="s">
        <v>35840</v>
      </c>
      <c r="X8245" t="s">
        <v>11436</v>
      </c>
      <c r="Y8245" t="s">
        <v>97</v>
      </c>
      <c r="Z8245" t="s">
        <v>77</v>
      </c>
      <c r="AA8245" t="str">
        <f>"10029"</f>
        <v>10029</v>
      </c>
      <c r="AB8245" t="s">
        <v>78</v>
      </c>
      <c r="AC8245" t="s">
        <v>79</v>
      </c>
      <c r="AD8245" t="s">
        <v>75</v>
      </c>
      <c r="AE8245" t="s">
        <v>80</v>
      </c>
      <c r="AG8245" t="s">
        <v>81</v>
      </c>
    </row>
    <row r="8246" spans="1:33" x14ac:dyDescent="0.25">
      <c r="A8246" t="str">
        <f>"1922194521"</f>
        <v>1922194521</v>
      </c>
      <c r="B8246" t="str">
        <f>"03181537"</f>
        <v>03181537</v>
      </c>
      <c r="C8246" t="s">
        <v>13436</v>
      </c>
      <c r="D8246" t="s">
        <v>35842</v>
      </c>
      <c r="E8246" t="s">
        <v>35843</v>
      </c>
      <c r="G8246" t="s">
        <v>35844</v>
      </c>
      <c r="L8246" t="s">
        <v>84</v>
      </c>
      <c r="M8246" t="s">
        <v>85</v>
      </c>
      <c r="R8246" t="s">
        <v>35845</v>
      </c>
      <c r="W8246" t="s">
        <v>35846</v>
      </c>
      <c r="X8246" t="s">
        <v>181</v>
      </c>
      <c r="Y8246" t="s">
        <v>97</v>
      </c>
      <c r="Z8246" t="s">
        <v>77</v>
      </c>
      <c r="AA8246" t="str">
        <f>"10025-1716"</f>
        <v>10025-1716</v>
      </c>
      <c r="AB8246" t="s">
        <v>78</v>
      </c>
      <c r="AC8246" t="s">
        <v>79</v>
      </c>
      <c r="AD8246" t="s">
        <v>75</v>
      </c>
      <c r="AE8246" t="s">
        <v>80</v>
      </c>
      <c r="AG8246" t="s">
        <v>81</v>
      </c>
    </row>
    <row r="8247" spans="1:33" x14ac:dyDescent="0.25">
      <c r="A8247" t="str">
        <f>"1578528105"</f>
        <v>1578528105</v>
      </c>
      <c r="B8247" t="str">
        <f>"01481685"</f>
        <v>01481685</v>
      </c>
      <c r="C8247" t="s">
        <v>13436</v>
      </c>
      <c r="D8247" t="s">
        <v>35847</v>
      </c>
      <c r="E8247" t="s">
        <v>35848</v>
      </c>
      <c r="G8247" t="s">
        <v>35849</v>
      </c>
      <c r="L8247" t="s">
        <v>84</v>
      </c>
      <c r="M8247" t="s">
        <v>85</v>
      </c>
      <c r="R8247" t="s">
        <v>35850</v>
      </c>
      <c r="W8247" t="s">
        <v>35848</v>
      </c>
      <c r="X8247" t="s">
        <v>4911</v>
      </c>
      <c r="Y8247" t="s">
        <v>164</v>
      </c>
      <c r="Z8247" t="s">
        <v>77</v>
      </c>
      <c r="AA8247" t="str">
        <f>"11554-1859"</f>
        <v>11554-1859</v>
      </c>
      <c r="AB8247" t="s">
        <v>78</v>
      </c>
      <c r="AC8247" t="s">
        <v>79</v>
      </c>
      <c r="AD8247" t="s">
        <v>75</v>
      </c>
      <c r="AE8247" t="s">
        <v>80</v>
      </c>
      <c r="AG8247" t="s">
        <v>81</v>
      </c>
    </row>
    <row r="8248" spans="1:33" x14ac:dyDescent="0.25">
      <c r="A8248" t="str">
        <f>"1578536348"</f>
        <v>1578536348</v>
      </c>
      <c r="C8248" t="s">
        <v>13436</v>
      </c>
      <c r="G8248" t="s">
        <v>35851</v>
      </c>
      <c r="K8248" t="s">
        <v>99</v>
      </c>
      <c r="L8248" t="s">
        <v>74</v>
      </c>
      <c r="M8248" t="s">
        <v>75</v>
      </c>
      <c r="R8248" t="s">
        <v>35852</v>
      </c>
      <c r="S8248" t="s">
        <v>35853</v>
      </c>
      <c r="T8248" t="s">
        <v>2262</v>
      </c>
      <c r="U8248" t="s">
        <v>123</v>
      </c>
      <c r="V8248" t="str">
        <f>"02114"</f>
        <v>02114</v>
      </c>
      <c r="AC8248" t="s">
        <v>79</v>
      </c>
      <c r="AD8248" t="s">
        <v>75</v>
      </c>
      <c r="AE8248" t="s">
        <v>103</v>
      </c>
      <c r="AG8248" t="s">
        <v>81</v>
      </c>
    </row>
    <row r="8249" spans="1:33" x14ac:dyDescent="0.25">
      <c r="A8249" t="str">
        <f>"1588633135"</f>
        <v>1588633135</v>
      </c>
      <c r="B8249" t="str">
        <f>"02587424"</f>
        <v>02587424</v>
      </c>
      <c r="C8249" t="s">
        <v>13436</v>
      </c>
      <c r="D8249" t="s">
        <v>35854</v>
      </c>
      <c r="E8249" t="s">
        <v>35855</v>
      </c>
      <c r="G8249" t="s">
        <v>35856</v>
      </c>
      <c r="L8249" t="s">
        <v>83</v>
      </c>
      <c r="M8249" t="s">
        <v>85</v>
      </c>
      <c r="R8249" t="s">
        <v>35857</v>
      </c>
      <c r="W8249" t="s">
        <v>35855</v>
      </c>
      <c r="X8249" t="s">
        <v>35858</v>
      </c>
      <c r="Y8249" t="s">
        <v>87</v>
      </c>
      <c r="Z8249" t="s">
        <v>77</v>
      </c>
      <c r="AA8249" t="str">
        <f>"11214-1108"</f>
        <v>11214-1108</v>
      </c>
      <c r="AB8249" t="s">
        <v>78</v>
      </c>
      <c r="AC8249" t="s">
        <v>79</v>
      </c>
      <c r="AD8249" t="s">
        <v>75</v>
      </c>
      <c r="AE8249" t="s">
        <v>80</v>
      </c>
      <c r="AG8249" t="s">
        <v>81</v>
      </c>
    </row>
    <row r="8250" spans="1:33" x14ac:dyDescent="0.25">
      <c r="A8250" t="str">
        <f>"1588736268"</f>
        <v>1588736268</v>
      </c>
      <c r="B8250" t="str">
        <f>"02583604"</f>
        <v>02583604</v>
      </c>
      <c r="C8250" t="s">
        <v>13436</v>
      </c>
      <c r="D8250" t="s">
        <v>35859</v>
      </c>
      <c r="E8250" t="s">
        <v>35860</v>
      </c>
      <c r="G8250" t="s">
        <v>35861</v>
      </c>
      <c r="L8250" t="s">
        <v>83</v>
      </c>
      <c r="M8250" t="s">
        <v>85</v>
      </c>
      <c r="R8250" t="s">
        <v>35862</v>
      </c>
      <c r="W8250" t="s">
        <v>35860</v>
      </c>
      <c r="X8250" t="s">
        <v>1782</v>
      </c>
      <c r="Y8250" t="s">
        <v>97</v>
      </c>
      <c r="Z8250" t="s">
        <v>77</v>
      </c>
      <c r="AA8250" t="str">
        <f>"10019-3211"</f>
        <v>10019-3211</v>
      </c>
      <c r="AB8250" t="s">
        <v>78</v>
      </c>
      <c r="AC8250" t="s">
        <v>79</v>
      </c>
      <c r="AD8250" t="s">
        <v>75</v>
      </c>
      <c r="AE8250" t="s">
        <v>80</v>
      </c>
      <c r="AG8250" t="s">
        <v>81</v>
      </c>
    </row>
    <row r="8251" spans="1:33" x14ac:dyDescent="0.25">
      <c r="A8251" t="str">
        <f>"1598717589"</f>
        <v>1598717589</v>
      </c>
      <c r="B8251" t="str">
        <f>"02233594"</f>
        <v>02233594</v>
      </c>
      <c r="C8251" t="s">
        <v>13436</v>
      </c>
      <c r="D8251" t="s">
        <v>35863</v>
      </c>
      <c r="E8251" t="s">
        <v>35864</v>
      </c>
      <c r="G8251" t="s">
        <v>35865</v>
      </c>
      <c r="L8251" t="s">
        <v>83</v>
      </c>
      <c r="M8251" t="s">
        <v>85</v>
      </c>
      <c r="R8251" t="s">
        <v>35866</v>
      </c>
      <c r="W8251" t="s">
        <v>35864</v>
      </c>
      <c r="X8251" t="s">
        <v>35864</v>
      </c>
      <c r="Y8251" t="s">
        <v>227</v>
      </c>
      <c r="Z8251" t="s">
        <v>77</v>
      </c>
      <c r="AA8251" t="str">
        <f>"10605-1238"</f>
        <v>10605-1238</v>
      </c>
      <c r="AB8251" t="s">
        <v>78</v>
      </c>
      <c r="AC8251" t="s">
        <v>79</v>
      </c>
      <c r="AD8251" t="s">
        <v>75</v>
      </c>
      <c r="AE8251" t="s">
        <v>80</v>
      </c>
      <c r="AG8251" t="s">
        <v>81</v>
      </c>
    </row>
    <row r="8252" spans="1:33" x14ac:dyDescent="0.25">
      <c r="A8252" t="str">
        <f>"1598793713"</f>
        <v>1598793713</v>
      </c>
      <c r="B8252" t="str">
        <f>"02383264"</f>
        <v>02383264</v>
      </c>
      <c r="C8252" t="s">
        <v>13436</v>
      </c>
      <c r="D8252" t="s">
        <v>35867</v>
      </c>
      <c r="E8252" t="s">
        <v>35868</v>
      </c>
      <c r="G8252" t="s">
        <v>35869</v>
      </c>
      <c r="L8252" t="s">
        <v>83</v>
      </c>
      <c r="M8252" t="s">
        <v>85</v>
      </c>
      <c r="R8252" t="s">
        <v>35870</v>
      </c>
      <c r="W8252" t="s">
        <v>35868</v>
      </c>
      <c r="X8252" t="s">
        <v>35871</v>
      </c>
      <c r="Y8252" t="s">
        <v>284</v>
      </c>
      <c r="Z8252" t="s">
        <v>77</v>
      </c>
      <c r="AA8252" t="str">
        <f>"11414-0000"</f>
        <v>11414-0000</v>
      </c>
      <c r="AB8252" t="s">
        <v>78</v>
      </c>
      <c r="AC8252" t="s">
        <v>79</v>
      </c>
      <c r="AD8252" t="s">
        <v>75</v>
      </c>
      <c r="AE8252" t="s">
        <v>80</v>
      </c>
      <c r="AG8252" t="s">
        <v>81</v>
      </c>
    </row>
    <row r="8253" spans="1:33" x14ac:dyDescent="0.25">
      <c r="A8253" t="str">
        <f>"1598821514"</f>
        <v>1598821514</v>
      </c>
      <c r="B8253" t="str">
        <f>"01839156"</f>
        <v>01839156</v>
      </c>
      <c r="C8253" t="s">
        <v>13436</v>
      </c>
      <c r="D8253" t="s">
        <v>35872</v>
      </c>
      <c r="E8253" t="s">
        <v>35873</v>
      </c>
      <c r="G8253" t="s">
        <v>35874</v>
      </c>
      <c r="L8253" t="s">
        <v>83</v>
      </c>
      <c r="M8253" t="s">
        <v>85</v>
      </c>
      <c r="R8253" t="s">
        <v>35875</v>
      </c>
      <c r="W8253" t="s">
        <v>35873</v>
      </c>
      <c r="X8253" t="s">
        <v>35873</v>
      </c>
      <c r="Y8253" t="s">
        <v>97</v>
      </c>
      <c r="Z8253" t="s">
        <v>77</v>
      </c>
      <c r="AA8253" t="str">
        <f>"10019-3158"</f>
        <v>10019-3158</v>
      </c>
      <c r="AB8253" t="s">
        <v>78</v>
      </c>
      <c r="AC8253" t="s">
        <v>79</v>
      </c>
      <c r="AD8253" t="s">
        <v>75</v>
      </c>
      <c r="AE8253" t="s">
        <v>80</v>
      </c>
      <c r="AG8253" t="s">
        <v>81</v>
      </c>
    </row>
    <row r="8254" spans="1:33" x14ac:dyDescent="0.25">
      <c r="A8254" t="str">
        <f>"1528226339"</f>
        <v>1528226339</v>
      </c>
      <c r="B8254" t="str">
        <f>"03461736"</f>
        <v>03461736</v>
      </c>
      <c r="C8254" t="s">
        <v>13436</v>
      </c>
      <c r="D8254" t="s">
        <v>35876</v>
      </c>
      <c r="E8254" t="s">
        <v>35877</v>
      </c>
      <c r="G8254" t="s">
        <v>35878</v>
      </c>
      <c r="L8254" t="s">
        <v>83</v>
      </c>
      <c r="M8254" t="s">
        <v>85</v>
      </c>
      <c r="R8254" t="s">
        <v>35879</v>
      </c>
      <c r="W8254" t="s">
        <v>35877</v>
      </c>
      <c r="X8254" t="s">
        <v>14992</v>
      </c>
      <c r="Y8254" t="s">
        <v>97</v>
      </c>
      <c r="Z8254" t="s">
        <v>77</v>
      </c>
      <c r="AA8254" t="str">
        <f>"10029-6503"</f>
        <v>10029-6503</v>
      </c>
      <c r="AB8254" t="s">
        <v>78</v>
      </c>
      <c r="AC8254" t="s">
        <v>79</v>
      </c>
      <c r="AD8254" t="s">
        <v>75</v>
      </c>
      <c r="AE8254" t="s">
        <v>80</v>
      </c>
      <c r="AG8254" t="s">
        <v>81</v>
      </c>
    </row>
    <row r="8255" spans="1:33" x14ac:dyDescent="0.25">
      <c r="A8255" t="str">
        <f>"1528227394"</f>
        <v>1528227394</v>
      </c>
      <c r="C8255" t="s">
        <v>13436</v>
      </c>
      <c r="K8255" t="s">
        <v>99</v>
      </c>
      <c r="L8255" t="s">
        <v>102</v>
      </c>
      <c r="M8255" t="s">
        <v>75</v>
      </c>
      <c r="R8255" t="s">
        <v>35880</v>
      </c>
      <c r="S8255" t="s">
        <v>35881</v>
      </c>
      <c r="T8255" t="s">
        <v>97</v>
      </c>
      <c r="U8255" t="s">
        <v>77</v>
      </c>
      <c r="V8255" t="str">
        <f>"100296500"</f>
        <v>100296500</v>
      </c>
      <c r="AC8255" t="s">
        <v>79</v>
      </c>
      <c r="AD8255" t="s">
        <v>75</v>
      </c>
      <c r="AE8255" t="s">
        <v>103</v>
      </c>
      <c r="AG8255" t="s">
        <v>81</v>
      </c>
    </row>
    <row r="8256" spans="1:33" x14ac:dyDescent="0.25">
      <c r="A8256" t="str">
        <f>"1114366317"</f>
        <v>1114366317</v>
      </c>
      <c r="C8256" t="s">
        <v>13436</v>
      </c>
      <c r="G8256" t="s">
        <v>35882</v>
      </c>
      <c r="K8256" t="s">
        <v>99</v>
      </c>
      <c r="L8256" t="s">
        <v>102</v>
      </c>
      <c r="M8256" t="s">
        <v>75</v>
      </c>
      <c r="R8256" t="s">
        <v>35883</v>
      </c>
      <c r="S8256" t="s">
        <v>13901</v>
      </c>
      <c r="T8256" t="s">
        <v>97</v>
      </c>
      <c r="U8256" t="s">
        <v>77</v>
      </c>
      <c r="V8256" t="str">
        <f>"100353832"</f>
        <v>100353832</v>
      </c>
      <c r="AC8256" t="s">
        <v>79</v>
      </c>
      <c r="AD8256" t="s">
        <v>75</v>
      </c>
      <c r="AE8256" t="s">
        <v>103</v>
      </c>
      <c r="AG8256" t="s">
        <v>81</v>
      </c>
    </row>
    <row r="8257" spans="1:33" x14ac:dyDescent="0.25">
      <c r="A8257" t="str">
        <f>"1114367463"</f>
        <v>1114367463</v>
      </c>
      <c r="C8257" t="s">
        <v>13436</v>
      </c>
      <c r="K8257" t="s">
        <v>99</v>
      </c>
      <c r="L8257" t="s">
        <v>102</v>
      </c>
      <c r="M8257" t="s">
        <v>75</v>
      </c>
      <c r="R8257" t="s">
        <v>35884</v>
      </c>
      <c r="S8257" t="s">
        <v>35885</v>
      </c>
      <c r="T8257" t="s">
        <v>97</v>
      </c>
      <c r="U8257" t="s">
        <v>77</v>
      </c>
      <c r="V8257" t="str">
        <f>"100191047"</f>
        <v>100191047</v>
      </c>
      <c r="AC8257" t="s">
        <v>79</v>
      </c>
      <c r="AD8257" t="s">
        <v>75</v>
      </c>
      <c r="AE8257" t="s">
        <v>103</v>
      </c>
      <c r="AG8257" t="s">
        <v>81</v>
      </c>
    </row>
    <row r="8258" spans="1:33" x14ac:dyDescent="0.25">
      <c r="A8258" t="str">
        <f>"1114902467"</f>
        <v>1114902467</v>
      </c>
      <c r="B8258" t="str">
        <f>"02662453"</f>
        <v>02662453</v>
      </c>
      <c r="C8258" t="s">
        <v>13436</v>
      </c>
      <c r="D8258" t="s">
        <v>35886</v>
      </c>
      <c r="E8258" t="s">
        <v>35887</v>
      </c>
      <c r="G8258" t="s">
        <v>35888</v>
      </c>
      <c r="L8258" t="s">
        <v>83</v>
      </c>
      <c r="M8258" t="s">
        <v>85</v>
      </c>
      <c r="R8258" t="s">
        <v>35889</v>
      </c>
      <c r="W8258" t="s">
        <v>35887</v>
      </c>
      <c r="X8258" t="s">
        <v>329</v>
      </c>
      <c r="Y8258" t="s">
        <v>97</v>
      </c>
      <c r="Z8258" t="s">
        <v>77</v>
      </c>
      <c r="AA8258" t="str">
        <f>"10029-6500"</f>
        <v>10029-6500</v>
      </c>
      <c r="AB8258" t="s">
        <v>78</v>
      </c>
      <c r="AC8258" t="s">
        <v>79</v>
      </c>
      <c r="AD8258" t="s">
        <v>75</v>
      </c>
      <c r="AE8258" t="s">
        <v>80</v>
      </c>
      <c r="AG8258" t="s">
        <v>81</v>
      </c>
    </row>
    <row r="8259" spans="1:33" x14ac:dyDescent="0.25">
      <c r="A8259" t="str">
        <f>"1043501455"</f>
        <v>1043501455</v>
      </c>
      <c r="C8259" t="s">
        <v>13436</v>
      </c>
      <c r="K8259" t="s">
        <v>99</v>
      </c>
      <c r="L8259" t="s">
        <v>102</v>
      </c>
      <c r="M8259" t="s">
        <v>75</v>
      </c>
      <c r="R8259" t="s">
        <v>35890</v>
      </c>
      <c r="S8259" t="s">
        <v>181</v>
      </c>
      <c r="T8259" t="s">
        <v>97</v>
      </c>
      <c r="U8259" t="s">
        <v>77</v>
      </c>
      <c r="V8259" t="str">
        <f>"100251716"</f>
        <v>100251716</v>
      </c>
      <c r="AC8259" t="s">
        <v>79</v>
      </c>
      <c r="AD8259" t="s">
        <v>75</v>
      </c>
      <c r="AE8259" t="s">
        <v>103</v>
      </c>
      <c r="AG8259" t="s">
        <v>81</v>
      </c>
    </row>
    <row r="8260" spans="1:33" x14ac:dyDescent="0.25">
      <c r="A8260" t="str">
        <f>"1043509912"</f>
        <v>1043509912</v>
      </c>
      <c r="C8260" t="s">
        <v>13436</v>
      </c>
      <c r="K8260" t="s">
        <v>99</v>
      </c>
      <c r="L8260" t="s">
        <v>102</v>
      </c>
      <c r="M8260" t="s">
        <v>75</v>
      </c>
      <c r="R8260" t="s">
        <v>35891</v>
      </c>
      <c r="S8260" t="s">
        <v>35892</v>
      </c>
      <c r="T8260" t="s">
        <v>97</v>
      </c>
      <c r="U8260" t="s">
        <v>77</v>
      </c>
      <c r="V8260" t="str">
        <f>"100210012"</f>
        <v>100210012</v>
      </c>
      <c r="AC8260" t="s">
        <v>79</v>
      </c>
      <c r="AD8260" t="s">
        <v>75</v>
      </c>
      <c r="AE8260" t="s">
        <v>103</v>
      </c>
      <c r="AG8260" t="s">
        <v>81</v>
      </c>
    </row>
    <row r="8261" spans="1:33" x14ac:dyDescent="0.25">
      <c r="A8261" t="str">
        <f>"1043531973"</f>
        <v>1043531973</v>
      </c>
      <c r="B8261" t="str">
        <f>"04415225"</f>
        <v>04415225</v>
      </c>
      <c r="C8261" t="s">
        <v>13436</v>
      </c>
      <c r="D8261" t="s">
        <v>35893</v>
      </c>
      <c r="E8261" t="s">
        <v>35894</v>
      </c>
      <c r="G8261" t="s">
        <v>35895</v>
      </c>
      <c r="L8261" t="s">
        <v>105</v>
      </c>
      <c r="M8261" t="s">
        <v>75</v>
      </c>
      <c r="R8261" t="s">
        <v>35896</v>
      </c>
      <c r="W8261" t="s">
        <v>35894</v>
      </c>
      <c r="X8261" t="s">
        <v>5911</v>
      </c>
      <c r="Y8261" t="s">
        <v>97</v>
      </c>
      <c r="Z8261" t="s">
        <v>77</v>
      </c>
      <c r="AA8261" t="str">
        <f>"10025-1737"</f>
        <v>10025-1737</v>
      </c>
      <c r="AB8261" t="s">
        <v>78</v>
      </c>
      <c r="AC8261" t="s">
        <v>79</v>
      </c>
      <c r="AD8261" t="s">
        <v>75</v>
      </c>
      <c r="AE8261" t="s">
        <v>80</v>
      </c>
      <c r="AG8261" t="s">
        <v>81</v>
      </c>
    </row>
    <row r="8262" spans="1:33" x14ac:dyDescent="0.25">
      <c r="A8262" t="str">
        <f>"1043534910"</f>
        <v>1043534910</v>
      </c>
      <c r="B8262" t="str">
        <f>"03713435"</f>
        <v>03713435</v>
      </c>
      <c r="C8262" t="s">
        <v>13436</v>
      </c>
      <c r="D8262" t="s">
        <v>35897</v>
      </c>
      <c r="E8262" t="s">
        <v>35898</v>
      </c>
      <c r="L8262" t="s">
        <v>74</v>
      </c>
      <c r="M8262" t="s">
        <v>85</v>
      </c>
      <c r="R8262" t="s">
        <v>35899</v>
      </c>
      <c r="W8262" t="s">
        <v>35898</v>
      </c>
      <c r="X8262" t="s">
        <v>11073</v>
      </c>
      <c r="Y8262" t="s">
        <v>97</v>
      </c>
      <c r="Z8262" t="s">
        <v>77</v>
      </c>
      <c r="AA8262" t="str">
        <f>"10029-6504"</f>
        <v>10029-6504</v>
      </c>
      <c r="AB8262" t="s">
        <v>78</v>
      </c>
      <c r="AC8262" t="s">
        <v>79</v>
      </c>
      <c r="AD8262" t="s">
        <v>75</v>
      </c>
      <c r="AE8262" t="s">
        <v>80</v>
      </c>
      <c r="AG8262" t="s">
        <v>81</v>
      </c>
    </row>
    <row r="8263" spans="1:33" x14ac:dyDescent="0.25">
      <c r="A8263" t="str">
        <f>"1043552953"</f>
        <v>1043552953</v>
      </c>
      <c r="C8263" t="s">
        <v>13436</v>
      </c>
      <c r="K8263" t="s">
        <v>99</v>
      </c>
      <c r="L8263" t="s">
        <v>102</v>
      </c>
      <c r="M8263" t="s">
        <v>75</v>
      </c>
      <c r="R8263" t="s">
        <v>35900</v>
      </c>
      <c r="S8263" t="s">
        <v>35901</v>
      </c>
      <c r="T8263" t="s">
        <v>35902</v>
      </c>
      <c r="U8263" t="s">
        <v>4544</v>
      </c>
      <c r="V8263" t="str">
        <f>"483223352"</f>
        <v>483223352</v>
      </c>
      <c r="AC8263" t="s">
        <v>79</v>
      </c>
      <c r="AD8263" t="s">
        <v>75</v>
      </c>
      <c r="AE8263" t="s">
        <v>103</v>
      </c>
      <c r="AG8263" t="s">
        <v>81</v>
      </c>
    </row>
    <row r="8264" spans="1:33" x14ac:dyDescent="0.25">
      <c r="A8264" t="str">
        <f>"1043553985"</f>
        <v>1043553985</v>
      </c>
      <c r="C8264" t="s">
        <v>13436</v>
      </c>
      <c r="K8264" t="s">
        <v>99</v>
      </c>
      <c r="L8264" t="s">
        <v>102</v>
      </c>
      <c r="M8264" t="s">
        <v>75</v>
      </c>
      <c r="R8264" t="s">
        <v>35903</v>
      </c>
      <c r="S8264" t="s">
        <v>35904</v>
      </c>
      <c r="T8264" t="s">
        <v>97</v>
      </c>
      <c r="U8264" t="s">
        <v>77</v>
      </c>
      <c r="V8264" t="str">
        <f>"100191147"</f>
        <v>100191147</v>
      </c>
      <c r="AC8264" t="s">
        <v>79</v>
      </c>
      <c r="AD8264" t="s">
        <v>75</v>
      </c>
      <c r="AE8264" t="s">
        <v>103</v>
      </c>
      <c r="AG8264" t="s">
        <v>81</v>
      </c>
    </row>
    <row r="8265" spans="1:33" x14ac:dyDescent="0.25">
      <c r="A8265" t="str">
        <f>"1225459969"</f>
        <v>1225459969</v>
      </c>
      <c r="C8265" t="s">
        <v>13436</v>
      </c>
      <c r="K8265" t="s">
        <v>99</v>
      </c>
      <c r="L8265" t="s">
        <v>102</v>
      </c>
      <c r="M8265" t="s">
        <v>75</v>
      </c>
      <c r="R8265" t="s">
        <v>35905</v>
      </c>
      <c r="S8265" t="s">
        <v>35906</v>
      </c>
      <c r="T8265" t="s">
        <v>97</v>
      </c>
      <c r="U8265" t="s">
        <v>77</v>
      </c>
      <c r="V8265" t="str">
        <f>"10003"</f>
        <v>10003</v>
      </c>
      <c r="AC8265" t="s">
        <v>79</v>
      </c>
      <c r="AD8265" t="s">
        <v>75</v>
      </c>
      <c r="AE8265" t="s">
        <v>103</v>
      </c>
      <c r="AG8265" t="s">
        <v>81</v>
      </c>
    </row>
    <row r="8266" spans="1:33" x14ac:dyDescent="0.25">
      <c r="A8266" t="str">
        <f>"1225464290"</f>
        <v>1225464290</v>
      </c>
      <c r="C8266" t="s">
        <v>13436</v>
      </c>
      <c r="K8266" t="s">
        <v>99</v>
      </c>
      <c r="L8266" t="s">
        <v>102</v>
      </c>
      <c r="M8266" t="s">
        <v>75</v>
      </c>
      <c r="R8266" t="s">
        <v>35907</v>
      </c>
      <c r="S8266" t="s">
        <v>35908</v>
      </c>
      <c r="T8266" t="s">
        <v>35909</v>
      </c>
      <c r="U8266" t="s">
        <v>285</v>
      </c>
      <c r="V8266" t="str">
        <f>"605276686"</f>
        <v>605276686</v>
      </c>
      <c r="AC8266" t="s">
        <v>79</v>
      </c>
      <c r="AD8266" t="s">
        <v>75</v>
      </c>
      <c r="AE8266" t="s">
        <v>103</v>
      </c>
      <c r="AG8266" t="s">
        <v>81</v>
      </c>
    </row>
    <row r="8267" spans="1:33" x14ac:dyDescent="0.25">
      <c r="A8267" t="str">
        <f>"1225466394"</f>
        <v>1225466394</v>
      </c>
      <c r="B8267" t="str">
        <f>"03791417"</f>
        <v>03791417</v>
      </c>
      <c r="C8267" t="s">
        <v>13436</v>
      </c>
      <c r="D8267" t="s">
        <v>35910</v>
      </c>
      <c r="E8267" t="s">
        <v>35911</v>
      </c>
      <c r="G8267" t="s">
        <v>35912</v>
      </c>
      <c r="L8267" t="s">
        <v>74</v>
      </c>
      <c r="M8267" t="s">
        <v>75</v>
      </c>
      <c r="R8267" t="s">
        <v>35913</v>
      </c>
      <c r="W8267" t="s">
        <v>35911</v>
      </c>
      <c r="X8267" t="s">
        <v>11436</v>
      </c>
      <c r="Y8267" t="s">
        <v>97</v>
      </c>
      <c r="Z8267" t="s">
        <v>77</v>
      </c>
      <c r="AA8267" t="str">
        <f>"10027-6503"</f>
        <v>10027-6503</v>
      </c>
      <c r="AB8267" t="s">
        <v>78</v>
      </c>
      <c r="AC8267" t="s">
        <v>79</v>
      </c>
      <c r="AD8267" t="s">
        <v>75</v>
      </c>
      <c r="AE8267" t="s">
        <v>80</v>
      </c>
      <c r="AG8267" t="s">
        <v>81</v>
      </c>
    </row>
    <row r="8268" spans="1:33" x14ac:dyDescent="0.25">
      <c r="A8268" t="str">
        <f>"1225473267"</f>
        <v>1225473267</v>
      </c>
      <c r="C8268" t="s">
        <v>13436</v>
      </c>
      <c r="K8268" t="s">
        <v>99</v>
      </c>
      <c r="L8268" t="s">
        <v>102</v>
      </c>
      <c r="M8268" t="s">
        <v>75</v>
      </c>
      <c r="R8268" t="s">
        <v>35914</v>
      </c>
      <c r="S8268" t="s">
        <v>35915</v>
      </c>
      <c r="T8268" t="s">
        <v>131</v>
      </c>
      <c r="U8268" t="s">
        <v>77</v>
      </c>
      <c r="V8268" t="str">
        <f>"104611138"</f>
        <v>104611138</v>
      </c>
      <c r="AC8268" t="s">
        <v>79</v>
      </c>
      <c r="AD8268" t="s">
        <v>75</v>
      </c>
      <c r="AE8268" t="s">
        <v>103</v>
      </c>
      <c r="AG8268" t="s">
        <v>81</v>
      </c>
    </row>
    <row r="8269" spans="1:33" x14ac:dyDescent="0.25">
      <c r="A8269" t="str">
        <f>"1144660671"</f>
        <v>1144660671</v>
      </c>
      <c r="C8269" t="s">
        <v>13436</v>
      </c>
      <c r="K8269" t="s">
        <v>99</v>
      </c>
      <c r="L8269" t="s">
        <v>102</v>
      </c>
      <c r="M8269" t="s">
        <v>75</v>
      </c>
      <c r="R8269" t="s">
        <v>35916</v>
      </c>
      <c r="S8269" t="s">
        <v>2838</v>
      </c>
      <c r="T8269" t="s">
        <v>97</v>
      </c>
      <c r="U8269" t="s">
        <v>77</v>
      </c>
      <c r="V8269" t="str">
        <f>"100033105"</f>
        <v>100033105</v>
      </c>
      <c r="AC8269" t="s">
        <v>79</v>
      </c>
      <c r="AD8269" t="s">
        <v>75</v>
      </c>
      <c r="AE8269" t="s">
        <v>103</v>
      </c>
      <c r="AG8269" t="s">
        <v>81</v>
      </c>
    </row>
    <row r="8270" spans="1:33" x14ac:dyDescent="0.25">
      <c r="A8270" t="str">
        <f>"1144667510"</f>
        <v>1144667510</v>
      </c>
      <c r="C8270" t="s">
        <v>13436</v>
      </c>
      <c r="K8270" t="s">
        <v>99</v>
      </c>
      <c r="L8270" t="s">
        <v>102</v>
      </c>
      <c r="M8270" t="s">
        <v>75</v>
      </c>
      <c r="R8270" t="s">
        <v>35917</v>
      </c>
      <c r="S8270" t="s">
        <v>33478</v>
      </c>
      <c r="T8270" t="s">
        <v>97</v>
      </c>
      <c r="U8270" t="s">
        <v>77</v>
      </c>
      <c r="V8270" t="str">
        <f>"100251737"</f>
        <v>100251737</v>
      </c>
      <c r="AC8270" t="s">
        <v>79</v>
      </c>
      <c r="AD8270" t="s">
        <v>75</v>
      </c>
      <c r="AE8270" t="s">
        <v>103</v>
      </c>
      <c r="AG8270" t="s">
        <v>81</v>
      </c>
    </row>
    <row r="8271" spans="1:33" x14ac:dyDescent="0.25">
      <c r="A8271" t="str">
        <f>"1154303535"</f>
        <v>1154303535</v>
      </c>
      <c r="B8271" t="str">
        <f>"02568454"</f>
        <v>02568454</v>
      </c>
      <c r="C8271" t="s">
        <v>13436</v>
      </c>
      <c r="D8271" t="s">
        <v>35918</v>
      </c>
      <c r="E8271" t="s">
        <v>35919</v>
      </c>
      <c r="G8271" t="s">
        <v>35920</v>
      </c>
      <c r="L8271" t="s">
        <v>83</v>
      </c>
      <c r="M8271" t="s">
        <v>85</v>
      </c>
      <c r="R8271" t="s">
        <v>35921</v>
      </c>
      <c r="W8271" t="s">
        <v>35919</v>
      </c>
      <c r="X8271" t="s">
        <v>329</v>
      </c>
      <c r="Y8271" t="s">
        <v>97</v>
      </c>
      <c r="Z8271" t="s">
        <v>77</v>
      </c>
      <c r="AA8271" t="str">
        <f>"10029-6500"</f>
        <v>10029-6500</v>
      </c>
      <c r="AB8271" t="s">
        <v>78</v>
      </c>
      <c r="AC8271" t="s">
        <v>79</v>
      </c>
      <c r="AD8271" t="s">
        <v>75</v>
      </c>
      <c r="AE8271" t="s">
        <v>80</v>
      </c>
      <c r="AG8271" t="s">
        <v>81</v>
      </c>
    </row>
    <row r="8272" spans="1:33" x14ac:dyDescent="0.25">
      <c r="A8272" t="str">
        <f>"1154330793"</f>
        <v>1154330793</v>
      </c>
      <c r="B8272" t="str">
        <f>"01766105"</f>
        <v>01766105</v>
      </c>
      <c r="C8272" t="s">
        <v>13436</v>
      </c>
      <c r="D8272" t="s">
        <v>35922</v>
      </c>
      <c r="E8272" t="s">
        <v>35923</v>
      </c>
      <c r="G8272" t="s">
        <v>35924</v>
      </c>
      <c r="L8272" t="s">
        <v>102</v>
      </c>
      <c r="M8272" t="s">
        <v>75</v>
      </c>
      <c r="R8272" t="s">
        <v>35925</v>
      </c>
      <c r="W8272" t="s">
        <v>35923</v>
      </c>
      <c r="X8272" t="s">
        <v>1328</v>
      </c>
      <c r="Y8272" t="s">
        <v>227</v>
      </c>
      <c r="Z8272" t="s">
        <v>77</v>
      </c>
      <c r="AA8272" t="str">
        <f>"10605-1504"</f>
        <v>10605-1504</v>
      </c>
      <c r="AB8272" t="s">
        <v>78</v>
      </c>
      <c r="AC8272" t="s">
        <v>79</v>
      </c>
      <c r="AD8272" t="s">
        <v>75</v>
      </c>
      <c r="AE8272" t="s">
        <v>80</v>
      </c>
      <c r="AG8272" t="s">
        <v>81</v>
      </c>
    </row>
    <row r="8273" spans="1:33" x14ac:dyDescent="0.25">
      <c r="A8273" t="str">
        <f>"1083913008"</f>
        <v>1083913008</v>
      </c>
      <c r="B8273" t="str">
        <f>"03822520"</f>
        <v>03822520</v>
      </c>
      <c r="C8273" t="s">
        <v>13436</v>
      </c>
      <c r="D8273" t="s">
        <v>35926</v>
      </c>
      <c r="E8273" t="s">
        <v>35927</v>
      </c>
      <c r="G8273" t="s">
        <v>35928</v>
      </c>
      <c r="L8273" t="s">
        <v>102</v>
      </c>
      <c r="M8273" t="s">
        <v>75</v>
      </c>
      <c r="R8273" t="s">
        <v>35929</v>
      </c>
      <c r="W8273" t="s">
        <v>35927</v>
      </c>
      <c r="X8273" t="s">
        <v>11181</v>
      </c>
      <c r="Y8273" t="s">
        <v>97</v>
      </c>
      <c r="Z8273" t="s">
        <v>77</v>
      </c>
      <c r="AA8273" t="str">
        <f>"10029-6504"</f>
        <v>10029-6504</v>
      </c>
      <c r="AB8273" t="s">
        <v>78</v>
      </c>
      <c r="AC8273" t="s">
        <v>79</v>
      </c>
      <c r="AD8273" t="s">
        <v>75</v>
      </c>
      <c r="AE8273" t="s">
        <v>80</v>
      </c>
      <c r="AG8273" t="s">
        <v>81</v>
      </c>
    </row>
    <row r="8274" spans="1:33" x14ac:dyDescent="0.25">
      <c r="A8274" t="str">
        <f>"1700140498"</f>
        <v>1700140498</v>
      </c>
      <c r="C8274" t="s">
        <v>13436</v>
      </c>
      <c r="K8274" t="s">
        <v>99</v>
      </c>
      <c r="L8274" t="s">
        <v>102</v>
      </c>
      <c r="M8274" t="s">
        <v>75</v>
      </c>
      <c r="R8274" t="s">
        <v>35930</v>
      </c>
      <c r="S8274" t="s">
        <v>35931</v>
      </c>
      <c r="T8274" t="s">
        <v>97</v>
      </c>
      <c r="U8274" t="s">
        <v>77</v>
      </c>
      <c r="V8274" t="str">
        <f>"100013821"</f>
        <v>100013821</v>
      </c>
      <c r="AC8274" t="s">
        <v>79</v>
      </c>
      <c r="AD8274" t="s">
        <v>75</v>
      </c>
      <c r="AE8274" t="s">
        <v>103</v>
      </c>
      <c r="AG8274" t="s">
        <v>81</v>
      </c>
    </row>
    <row r="8275" spans="1:33" x14ac:dyDescent="0.25">
      <c r="A8275" t="str">
        <f>"1700142213"</f>
        <v>1700142213</v>
      </c>
      <c r="C8275" t="s">
        <v>13436</v>
      </c>
      <c r="K8275" t="s">
        <v>99</v>
      </c>
      <c r="L8275" t="s">
        <v>102</v>
      </c>
      <c r="M8275" t="s">
        <v>75</v>
      </c>
      <c r="R8275" t="s">
        <v>35932</v>
      </c>
      <c r="S8275" t="s">
        <v>35933</v>
      </c>
      <c r="T8275" t="s">
        <v>2227</v>
      </c>
      <c r="U8275" t="s">
        <v>123</v>
      </c>
      <c r="V8275" t="str">
        <f>"018050001"</f>
        <v>018050001</v>
      </c>
      <c r="AC8275" t="s">
        <v>79</v>
      </c>
      <c r="AD8275" t="s">
        <v>75</v>
      </c>
      <c r="AE8275" t="s">
        <v>103</v>
      </c>
      <c r="AG8275" t="s">
        <v>81</v>
      </c>
    </row>
    <row r="8276" spans="1:33" x14ac:dyDescent="0.25">
      <c r="A8276" t="str">
        <f>"1700149077"</f>
        <v>1700149077</v>
      </c>
      <c r="C8276" t="s">
        <v>13436</v>
      </c>
      <c r="K8276" t="s">
        <v>99</v>
      </c>
      <c r="L8276" t="s">
        <v>102</v>
      </c>
      <c r="M8276" t="s">
        <v>75</v>
      </c>
      <c r="R8276" t="s">
        <v>35934</v>
      </c>
      <c r="S8276" t="s">
        <v>35935</v>
      </c>
      <c r="T8276" t="s">
        <v>35936</v>
      </c>
      <c r="U8276" t="s">
        <v>123</v>
      </c>
      <c r="V8276" t="str">
        <f>"023023308"</f>
        <v>023023308</v>
      </c>
      <c r="AC8276" t="s">
        <v>79</v>
      </c>
      <c r="AD8276" t="s">
        <v>75</v>
      </c>
      <c r="AE8276" t="s">
        <v>103</v>
      </c>
      <c r="AG8276" t="s">
        <v>81</v>
      </c>
    </row>
    <row r="8277" spans="1:33" x14ac:dyDescent="0.25">
      <c r="A8277" t="str">
        <f>"1376543959"</f>
        <v>1376543959</v>
      </c>
      <c r="B8277" t="str">
        <f>"00904898"</f>
        <v>00904898</v>
      </c>
      <c r="C8277" t="s">
        <v>13436</v>
      </c>
      <c r="D8277" t="s">
        <v>35937</v>
      </c>
      <c r="E8277" t="s">
        <v>35938</v>
      </c>
      <c r="G8277" t="s">
        <v>35939</v>
      </c>
      <c r="L8277" t="s">
        <v>83</v>
      </c>
      <c r="M8277" t="s">
        <v>75</v>
      </c>
      <c r="R8277" t="s">
        <v>35938</v>
      </c>
      <c r="W8277" t="s">
        <v>35938</v>
      </c>
      <c r="X8277" t="s">
        <v>7665</v>
      </c>
      <c r="Y8277" t="s">
        <v>87</v>
      </c>
      <c r="Z8277" t="s">
        <v>77</v>
      </c>
      <c r="AA8277" t="str">
        <f>"11219-2923"</f>
        <v>11219-2923</v>
      </c>
      <c r="AB8277" t="s">
        <v>78</v>
      </c>
      <c r="AC8277" t="s">
        <v>79</v>
      </c>
      <c r="AD8277" t="s">
        <v>75</v>
      </c>
      <c r="AE8277" t="s">
        <v>80</v>
      </c>
      <c r="AG8277" t="s">
        <v>81</v>
      </c>
    </row>
    <row r="8278" spans="1:33" x14ac:dyDescent="0.25">
      <c r="A8278" t="str">
        <f>"1376733345"</f>
        <v>1376733345</v>
      </c>
      <c r="B8278" t="str">
        <f>"03211209"</f>
        <v>03211209</v>
      </c>
      <c r="C8278" t="s">
        <v>13436</v>
      </c>
      <c r="D8278" t="s">
        <v>35940</v>
      </c>
      <c r="E8278" t="s">
        <v>35941</v>
      </c>
      <c r="G8278" t="s">
        <v>35942</v>
      </c>
      <c r="L8278" t="s">
        <v>83</v>
      </c>
      <c r="M8278" t="s">
        <v>85</v>
      </c>
      <c r="R8278" t="s">
        <v>35941</v>
      </c>
      <c r="W8278" t="s">
        <v>35941</v>
      </c>
      <c r="X8278" t="s">
        <v>35943</v>
      </c>
      <c r="Y8278" t="s">
        <v>87</v>
      </c>
      <c r="Z8278" t="s">
        <v>77</v>
      </c>
      <c r="AA8278" t="str">
        <f>"11203-1822"</f>
        <v>11203-1822</v>
      </c>
      <c r="AB8278" t="s">
        <v>78</v>
      </c>
      <c r="AC8278" t="s">
        <v>79</v>
      </c>
      <c r="AD8278" t="s">
        <v>75</v>
      </c>
      <c r="AE8278" t="s">
        <v>80</v>
      </c>
      <c r="AG8278" t="s">
        <v>81</v>
      </c>
    </row>
    <row r="8279" spans="1:33" x14ac:dyDescent="0.25">
      <c r="A8279" t="str">
        <f>"1376780551"</f>
        <v>1376780551</v>
      </c>
      <c r="C8279" t="s">
        <v>13436</v>
      </c>
      <c r="G8279" t="s">
        <v>35944</v>
      </c>
      <c r="K8279" t="s">
        <v>99</v>
      </c>
      <c r="L8279" t="s">
        <v>74</v>
      </c>
      <c r="M8279" t="s">
        <v>75</v>
      </c>
      <c r="R8279" t="s">
        <v>35945</v>
      </c>
      <c r="S8279" t="s">
        <v>35946</v>
      </c>
      <c r="T8279" t="s">
        <v>87</v>
      </c>
      <c r="U8279" t="s">
        <v>77</v>
      </c>
      <c r="V8279" t="str">
        <f>"112153609"</f>
        <v>112153609</v>
      </c>
      <c r="AC8279" t="s">
        <v>79</v>
      </c>
      <c r="AD8279" t="s">
        <v>75</v>
      </c>
      <c r="AE8279" t="s">
        <v>103</v>
      </c>
      <c r="AG8279" t="s">
        <v>81</v>
      </c>
    </row>
    <row r="8280" spans="1:33" x14ac:dyDescent="0.25">
      <c r="A8280" t="str">
        <f>"1386788404"</f>
        <v>1386788404</v>
      </c>
      <c r="B8280" t="str">
        <f>"01579602"</f>
        <v>01579602</v>
      </c>
      <c r="C8280" t="s">
        <v>13436</v>
      </c>
      <c r="D8280" t="s">
        <v>35947</v>
      </c>
      <c r="E8280" t="s">
        <v>35948</v>
      </c>
      <c r="G8280" t="s">
        <v>35949</v>
      </c>
      <c r="L8280" t="s">
        <v>105</v>
      </c>
      <c r="M8280" t="s">
        <v>75</v>
      </c>
      <c r="R8280" t="s">
        <v>35948</v>
      </c>
      <c r="W8280" t="s">
        <v>35948</v>
      </c>
      <c r="X8280" t="s">
        <v>35950</v>
      </c>
      <c r="Y8280" t="s">
        <v>1960</v>
      </c>
      <c r="Z8280" t="s">
        <v>77</v>
      </c>
      <c r="AA8280" t="str">
        <f>"11598-1526"</f>
        <v>11598-1526</v>
      </c>
      <c r="AB8280" t="s">
        <v>78</v>
      </c>
      <c r="AC8280" t="s">
        <v>79</v>
      </c>
      <c r="AD8280" t="s">
        <v>75</v>
      </c>
      <c r="AE8280" t="s">
        <v>80</v>
      </c>
      <c r="AG8280" t="s">
        <v>81</v>
      </c>
    </row>
    <row r="8281" spans="1:33" x14ac:dyDescent="0.25">
      <c r="A8281" t="str">
        <f>"1396887873"</f>
        <v>1396887873</v>
      </c>
      <c r="B8281" t="str">
        <f>"02481221"</f>
        <v>02481221</v>
      </c>
      <c r="C8281" t="s">
        <v>13436</v>
      </c>
      <c r="D8281" t="s">
        <v>35951</v>
      </c>
      <c r="E8281" t="s">
        <v>35952</v>
      </c>
      <c r="G8281" t="s">
        <v>35953</v>
      </c>
      <c r="L8281" t="s">
        <v>105</v>
      </c>
      <c r="M8281" t="s">
        <v>75</v>
      </c>
      <c r="R8281" t="s">
        <v>35954</v>
      </c>
      <c r="W8281" t="s">
        <v>35955</v>
      </c>
      <c r="X8281" t="s">
        <v>35952</v>
      </c>
      <c r="Y8281" t="s">
        <v>97</v>
      </c>
      <c r="Z8281" t="s">
        <v>77</v>
      </c>
      <c r="AA8281" t="str">
        <f>"10003-2925"</f>
        <v>10003-2925</v>
      </c>
      <c r="AB8281" t="s">
        <v>125</v>
      </c>
      <c r="AC8281" t="s">
        <v>79</v>
      </c>
      <c r="AD8281" t="s">
        <v>75</v>
      </c>
      <c r="AE8281" t="s">
        <v>80</v>
      </c>
      <c r="AG8281" t="s">
        <v>81</v>
      </c>
    </row>
    <row r="8282" spans="1:33" x14ac:dyDescent="0.25">
      <c r="A8282" t="str">
        <f>"1407052988"</f>
        <v>1407052988</v>
      </c>
      <c r="B8282" t="str">
        <f>"02922778"</f>
        <v>02922778</v>
      </c>
      <c r="C8282" t="s">
        <v>13436</v>
      </c>
      <c r="D8282" t="s">
        <v>35956</v>
      </c>
      <c r="E8282" t="s">
        <v>35957</v>
      </c>
      <c r="G8282" t="s">
        <v>35958</v>
      </c>
      <c r="L8282" t="s">
        <v>84</v>
      </c>
      <c r="M8282" t="s">
        <v>85</v>
      </c>
      <c r="R8282" t="s">
        <v>35959</v>
      </c>
      <c r="W8282" t="s">
        <v>35960</v>
      </c>
      <c r="X8282" t="s">
        <v>7306</v>
      </c>
      <c r="Y8282" t="s">
        <v>87</v>
      </c>
      <c r="Z8282" t="s">
        <v>77</v>
      </c>
      <c r="AA8282" t="str">
        <f>"11249-7823"</f>
        <v>11249-7823</v>
      </c>
      <c r="AB8282" t="s">
        <v>78</v>
      </c>
      <c r="AC8282" t="s">
        <v>79</v>
      </c>
      <c r="AD8282" t="s">
        <v>75</v>
      </c>
      <c r="AE8282" t="s">
        <v>80</v>
      </c>
      <c r="AG8282" t="s">
        <v>81</v>
      </c>
    </row>
    <row r="8283" spans="1:33" x14ac:dyDescent="0.25">
      <c r="A8283" t="str">
        <f>"1407872302"</f>
        <v>1407872302</v>
      </c>
      <c r="B8283" t="str">
        <f>"01716334"</f>
        <v>01716334</v>
      </c>
      <c r="C8283" t="s">
        <v>13436</v>
      </c>
      <c r="D8283" t="s">
        <v>35961</v>
      </c>
      <c r="E8283" t="s">
        <v>35962</v>
      </c>
      <c r="G8283" t="s">
        <v>35963</v>
      </c>
      <c r="L8283" t="s">
        <v>83</v>
      </c>
      <c r="M8283" t="s">
        <v>75</v>
      </c>
      <c r="R8283" t="s">
        <v>35964</v>
      </c>
      <c r="W8283" t="s">
        <v>35965</v>
      </c>
      <c r="X8283" t="s">
        <v>35966</v>
      </c>
      <c r="Y8283" t="s">
        <v>97</v>
      </c>
      <c r="Z8283" t="s">
        <v>77</v>
      </c>
      <c r="AA8283" t="str">
        <f>"10003-4515"</f>
        <v>10003-4515</v>
      </c>
      <c r="AB8283" t="s">
        <v>128</v>
      </c>
      <c r="AC8283" t="s">
        <v>79</v>
      </c>
      <c r="AD8283" t="s">
        <v>75</v>
      </c>
      <c r="AE8283" t="s">
        <v>80</v>
      </c>
      <c r="AG8283" t="s">
        <v>81</v>
      </c>
    </row>
    <row r="8284" spans="1:33" x14ac:dyDescent="0.25">
      <c r="A8284" t="str">
        <f>"1417986878"</f>
        <v>1417986878</v>
      </c>
      <c r="B8284" t="str">
        <f>"01878326"</f>
        <v>01878326</v>
      </c>
      <c r="C8284" t="s">
        <v>13436</v>
      </c>
      <c r="D8284" t="s">
        <v>35967</v>
      </c>
      <c r="E8284" t="s">
        <v>35968</v>
      </c>
      <c r="G8284" t="s">
        <v>35969</v>
      </c>
      <c r="L8284" t="s">
        <v>84</v>
      </c>
      <c r="M8284" t="s">
        <v>75</v>
      </c>
      <c r="R8284" t="s">
        <v>35970</v>
      </c>
      <c r="W8284" t="s">
        <v>35968</v>
      </c>
      <c r="X8284" t="s">
        <v>35971</v>
      </c>
      <c r="Y8284" t="s">
        <v>87</v>
      </c>
      <c r="Z8284" t="s">
        <v>77</v>
      </c>
      <c r="AA8284" t="str">
        <f>"11235-6320"</f>
        <v>11235-6320</v>
      </c>
      <c r="AB8284" t="s">
        <v>78</v>
      </c>
      <c r="AC8284" t="s">
        <v>79</v>
      </c>
      <c r="AD8284" t="s">
        <v>75</v>
      </c>
      <c r="AE8284" t="s">
        <v>80</v>
      </c>
      <c r="AG8284" t="s">
        <v>81</v>
      </c>
    </row>
    <row r="8285" spans="1:33" x14ac:dyDescent="0.25">
      <c r="A8285" t="str">
        <f>"1457456162"</f>
        <v>1457456162</v>
      </c>
      <c r="B8285" t="str">
        <f>"03970312"</f>
        <v>03970312</v>
      </c>
      <c r="C8285" t="s">
        <v>13436</v>
      </c>
      <c r="D8285" t="s">
        <v>6207</v>
      </c>
      <c r="E8285" t="s">
        <v>6208</v>
      </c>
      <c r="G8285" t="s">
        <v>35972</v>
      </c>
      <c r="L8285" t="s">
        <v>83</v>
      </c>
      <c r="M8285" t="s">
        <v>75</v>
      </c>
      <c r="R8285" t="s">
        <v>6209</v>
      </c>
      <c r="W8285" t="s">
        <v>6208</v>
      </c>
      <c r="X8285" t="s">
        <v>1432</v>
      </c>
      <c r="Y8285" t="s">
        <v>131</v>
      </c>
      <c r="Z8285" t="s">
        <v>77</v>
      </c>
      <c r="AA8285" t="str">
        <f>"10461-2700"</f>
        <v>10461-2700</v>
      </c>
      <c r="AB8285" t="s">
        <v>78</v>
      </c>
      <c r="AC8285" t="s">
        <v>79</v>
      </c>
      <c r="AD8285" t="s">
        <v>75</v>
      </c>
      <c r="AE8285" t="s">
        <v>80</v>
      </c>
      <c r="AG8285" t="s">
        <v>81</v>
      </c>
    </row>
    <row r="8286" spans="1:33" x14ac:dyDescent="0.25">
      <c r="A8286" t="str">
        <f>"1497738157"</f>
        <v>1497738157</v>
      </c>
      <c r="B8286" t="str">
        <f>"00944445"</f>
        <v>00944445</v>
      </c>
      <c r="C8286" t="s">
        <v>13436</v>
      </c>
      <c r="D8286" t="s">
        <v>35973</v>
      </c>
      <c r="E8286" t="s">
        <v>35974</v>
      </c>
      <c r="G8286" t="s">
        <v>35975</v>
      </c>
      <c r="L8286" t="s">
        <v>83</v>
      </c>
      <c r="M8286" t="s">
        <v>75</v>
      </c>
      <c r="R8286" t="s">
        <v>35976</v>
      </c>
      <c r="W8286" t="s">
        <v>35974</v>
      </c>
      <c r="X8286" t="s">
        <v>35977</v>
      </c>
      <c r="Y8286" t="s">
        <v>97</v>
      </c>
      <c r="Z8286" t="s">
        <v>77</v>
      </c>
      <c r="AA8286" t="str">
        <f>"10016-8538"</f>
        <v>10016-8538</v>
      </c>
      <c r="AB8286" t="s">
        <v>128</v>
      </c>
      <c r="AC8286" t="s">
        <v>79</v>
      </c>
      <c r="AD8286" t="s">
        <v>75</v>
      </c>
      <c r="AE8286" t="s">
        <v>80</v>
      </c>
      <c r="AG8286" t="s">
        <v>81</v>
      </c>
    </row>
    <row r="8287" spans="1:33" x14ac:dyDescent="0.25">
      <c r="A8287" t="str">
        <f>"1609166867"</f>
        <v>1609166867</v>
      </c>
      <c r="B8287" t="str">
        <f>"03972621"</f>
        <v>03972621</v>
      </c>
      <c r="C8287" t="s">
        <v>13436</v>
      </c>
      <c r="D8287" t="s">
        <v>35978</v>
      </c>
      <c r="E8287" t="s">
        <v>35979</v>
      </c>
      <c r="G8287" t="s">
        <v>35980</v>
      </c>
      <c r="L8287" t="s">
        <v>94</v>
      </c>
      <c r="M8287" t="s">
        <v>75</v>
      </c>
      <c r="R8287" t="s">
        <v>35979</v>
      </c>
      <c r="W8287" t="s">
        <v>35981</v>
      </c>
      <c r="X8287" t="s">
        <v>329</v>
      </c>
      <c r="Y8287" t="s">
        <v>97</v>
      </c>
      <c r="Z8287" t="s">
        <v>77</v>
      </c>
      <c r="AA8287" t="str">
        <f>"10029-6504"</f>
        <v>10029-6504</v>
      </c>
      <c r="AB8287" t="s">
        <v>78</v>
      </c>
      <c r="AC8287" t="s">
        <v>79</v>
      </c>
      <c r="AD8287" t="s">
        <v>75</v>
      </c>
      <c r="AE8287" t="s">
        <v>80</v>
      </c>
      <c r="AG8287" t="s">
        <v>81</v>
      </c>
    </row>
    <row r="8288" spans="1:33" x14ac:dyDescent="0.25">
      <c r="A8288" t="str">
        <f>"1609169788"</f>
        <v>1609169788</v>
      </c>
      <c r="C8288" t="s">
        <v>13436</v>
      </c>
      <c r="K8288" t="s">
        <v>99</v>
      </c>
      <c r="L8288" t="s">
        <v>102</v>
      </c>
      <c r="M8288" t="s">
        <v>75</v>
      </c>
      <c r="R8288" t="s">
        <v>35982</v>
      </c>
      <c r="S8288" t="s">
        <v>329</v>
      </c>
      <c r="T8288" t="s">
        <v>97</v>
      </c>
      <c r="U8288" t="s">
        <v>77</v>
      </c>
      <c r="V8288" t="str">
        <f>"100296500"</f>
        <v>100296500</v>
      </c>
      <c r="AC8288" t="s">
        <v>79</v>
      </c>
      <c r="AD8288" t="s">
        <v>75</v>
      </c>
      <c r="AE8288" t="s">
        <v>103</v>
      </c>
      <c r="AG8288" t="s">
        <v>81</v>
      </c>
    </row>
    <row r="8289" spans="1:33" x14ac:dyDescent="0.25">
      <c r="A8289" t="str">
        <f>"1609171032"</f>
        <v>1609171032</v>
      </c>
      <c r="B8289" t="str">
        <f>"03829967"</f>
        <v>03829967</v>
      </c>
      <c r="C8289" t="s">
        <v>13436</v>
      </c>
      <c r="D8289" t="s">
        <v>35983</v>
      </c>
      <c r="E8289" t="s">
        <v>35984</v>
      </c>
      <c r="L8289" t="s">
        <v>102</v>
      </c>
      <c r="M8289" t="s">
        <v>75</v>
      </c>
      <c r="R8289" t="s">
        <v>35985</v>
      </c>
      <c r="W8289" t="s">
        <v>35984</v>
      </c>
      <c r="X8289" t="s">
        <v>35986</v>
      </c>
      <c r="Y8289" t="s">
        <v>165</v>
      </c>
      <c r="Z8289" t="s">
        <v>77</v>
      </c>
      <c r="AA8289" t="str">
        <f>"11004-1150"</f>
        <v>11004-1150</v>
      </c>
      <c r="AB8289" t="s">
        <v>78</v>
      </c>
      <c r="AC8289" t="s">
        <v>79</v>
      </c>
      <c r="AD8289" t="s">
        <v>75</v>
      </c>
      <c r="AE8289" t="s">
        <v>80</v>
      </c>
      <c r="AG8289" t="s">
        <v>81</v>
      </c>
    </row>
    <row r="8290" spans="1:33" x14ac:dyDescent="0.25">
      <c r="A8290" t="str">
        <f>"1609175306"</f>
        <v>1609175306</v>
      </c>
      <c r="C8290" t="s">
        <v>13436</v>
      </c>
      <c r="G8290" t="s">
        <v>35987</v>
      </c>
      <c r="K8290" t="s">
        <v>99</v>
      </c>
      <c r="L8290" t="s">
        <v>74</v>
      </c>
      <c r="M8290" t="s">
        <v>75</v>
      </c>
      <c r="R8290" t="s">
        <v>35988</v>
      </c>
      <c r="S8290" t="s">
        <v>191</v>
      </c>
      <c r="T8290" t="s">
        <v>97</v>
      </c>
      <c r="U8290" t="s">
        <v>77</v>
      </c>
      <c r="V8290" t="str">
        <f>"100191147"</f>
        <v>100191147</v>
      </c>
      <c r="AC8290" t="s">
        <v>79</v>
      </c>
      <c r="AD8290" t="s">
        <v>75</v>
      </c>
      <c r="AE8290" t="s">
        <v>103</v>
      </c>
      <c r="AG8290" t="s">
        <v>81</v>
      </c>
    </row>
    <row r="8291" spans="1:33" x14ac:dyDescent="0.25">
      <c r="A8291" t="str">
        <f>"1104905470"</f>
        <v>1104905470</v>
      </c>
      <c r="B8291" t="str">
        <f>"03041403"</f>
        <v>03041403</v>
      </c>
      <c r="C8291" t="s">
        <v>35989</v>
      </c>
      <c r="D8291" t="s">
        <v>3788</v>
      </c>
      <c r="E8291" t="s">
        <v>3789</v>
      </c>
      <c r="G8291" t="s">
        <v>32379</v>
      </c>
      <c r="H8291" t="s">
        <v>183</v>
      </c>
      <c r="J8291" t="s">
        <v>184</v>
      </c>
      <c r="L8291" t="s">
        <v>102</v>
      </c>
      <c r="M8291" t="s">
        <v>75</v>
      </c>
      <c r="R8291" t="s">
        <v>3790</v>
      </c>
      <c r="W8291" t="s">
        <v>3789</v>
      </c>
      <c r="X8291" t="s">
        <v>3791</v>
      </c>
      <c r="Y8291" t="s">
        <v>87</v>
      </c>
      <c r="Z8291" t="s">
        <v>77</v>
      </c>
      <c r="AA8291" t="str">
        <f>"11224-3604"</f>
        <v>11224-3604</v>
      </c>
      <c r="AB8291" t="s">
        <v>113</v>
      </c>
      <c r="AC8291" t="s">
        <v>79</v>
      </c>
      <c r="AD8291" t="s">
        <v>75</v>
      </c>
      <c r="AE8291" t="s">
        <v>80</v>
      </c>
      <c r="AG8291" t="s">
        <v>81</v>
      </c>
    </row>
    <row r="8292" spans="1:33" x14ac:dyDescent="0.25">
      <c r="A8292" t="str">
        <f>"1730506007"</f>
        <v>1730506007</v>
      </c>
      <c r="C8292" t="s">
        <v>13436</v>
      </c>
      <c r="K8292" t="s">
        <v>99</v>
      </c>
      <c r="L8292" t="s">
        <v>102</v>
      </c>
      <c r="M8292" t="s">
        <v>75</v>
      </c>
      <c r="R8292" t="s">
        <v>35990</v>
      </c>
      <c r="S8292" t="s">
        <v>3553</v>
      </c>
      <c r="T8292" t="s">
        <v>97</v>
      </c>
      <c r="U8292" t="s">
        <v>77</v>
      </c>
      <c r="V8292" t="str">
        <f>"100033851"</f>
        <v>100033851</v>
      </c>
      <c r="AC8292" t="s">
        <v>79</v>
      </c>
      <c r="AD8292" t="s">
        <v>75</v>
      </c>
      <c r="AE8292" t="s">
        <v>103</v>
      </c>
      <c r="AG8292" t="s">
        <v>81</v>
      </c>
    </row>
    <row r="8293" spans="1:33" x14ac:dyDescent="0.25">
      <c r="A8293" t="str">
        <f>"1730507799"</f>
        <v>1730507799</v>
      </c>
      <c r="C8293" t="s">
        <v>13436</v>
      </c>
      <c r="K8293" t="s">
        <v>99</v>
      </c>
      <c r="L8293" t="s">
        <v>102</v>
      </c>
      <c r="M8293" t="s">
        <v>75</v>
      </c>
      <c r="R8293" t="s">
        <v>35991</v>
      </c>
      <c r="S8293" t="s">
        <v>35992</v>
      </c>
      <c r="T8293" t="s">
        <v>97</v>
      </c>
      <c r="U8293" t="s">
        <v>77</v>
      </c>
      <c r="V8293" t="str">
        <f>"100191147"</f>
        <v>100191147</v>
      </c>
      <c r="AC8293" t="s">
        <v>79</v>
      </c>
      <c r="AD8293" t="s">
        <v>75</v>
      </c>
      <c r="AE8293" t="s">
        <v>103</v>
      </c>
      <c r="AG8293" t="s">
        <v>81</v>
      </c>
    </row>
    <row r="8294" spans="1:33" x14ac:dyDescent="0.25">
      <c r="A8294" t="str">
        <f>"1730513789"</f>
        <v>1730513789</v>
      </c>
      <c r="C8294" t="s">
        <v>13436</v>
      </c>
      <c r="G8294" t="s">
        <v>35993</v>
      </c>
      <c r="K8294" t="s">
        <v>99</v>
      </c>
      <c r="L8294" t="s">
        <v>102</v>
      </c>
      <c r="M8294" t="s">
        <v>75</v>
      </c>
      <c r="R8294" t="s">
        <v>35994</v>
      </c>
      <c r="S8294" t="s">
        <v>35995</v>
      </c>
      <c r="T8294" t="s">
        <v>131</v>
      </c>
      <c r="U8294" t="s">
        <v>77</v>
      </c>
      <c r="V8294" t="str">
        <f>"104653870"</f>
        <v>104653870</v>
      </c>
      <c r="AC8294" t="s">
        <v>79</v>
      </c>
      <c r="AD8294" t="s">
        <v>75</v>
      </c>
      <c r="AE8294" t="s">
        <v>103</v>
      </c>
      <c r="AG8294" t="s">
        <v>81</v>
      </c>
    </row>
    <row r="8295" spans="1:33" x14ac:dyDescent="0.25">
      <c r="A8295" t="str">
        <f>"1700111382"</f>
        <v>1700111382</v>
      </c>
      <c r="B8295" t="str">
        <f>"04180829"</f>
        <v>04180829</v>
      </c>
      <c r="C8295" t="s">
        <v>13436</v>
      </c>
      <c r="D8295" t="s">
        <v>35996</v>
      </c>
      <c r="E8295" t="s">
        <v>35997</v>
      </c>
      <c r="L8295" t="s">
        <v>74</v>
      </c>
      <c r="M8295" t="s">
        <v>75</v>
      </c>
      <c r="R8295" t="s">
        <v>35997</v>
      </c>
      <c r="W8295" t="s">
        <v>35997</v>
      </c>
      <c r="X8295" t="s">
        <v>35998</v>
      </c>
      <c r="Y8295" t="s">
        <v>97</v>
      </c>
      <c r="Z8295" t="s">
        <v>77</v>
      </c>
      <c r="AA8295" t="str">
        <f>"10003-3314"</f>
        <v>10003-3314</v>
      </c>
      <c r="AB8295" t="s">
        <v>78</v>
      </c>
      <c r="AC8295" t="s">
        <v>79</v>
      </c>
      <c r="AD8295" t="s">
        <v>75</v>
      </c>
      <c r="AE8295" t="s">
        <v>80</v>
      </c>
      <c r="AG8295" t="s">
        <v>81</v>
      </c>
    </row>
    <row r="8296" spans="1:33" x14ac:dyDescent="0.25">
      <c r="A8296" t="str">
        <f>"1700126018"</f>
        <v>1700126018</v>
      </c>
      <c r="B8296" t="str">
        <f>"03706030"</f>
        <v>03706030</v>
      </c>
      <c r="C8296" t="s">
        <v>13436</v>
      </c>
      <c r="D8296" t="s">
        <v>35999</v>
      </c>
      <c r="E8296" t="s">
        <v>36000</v>
      </c>
      <c r="G8296" t="s">
        <v>36001</v>
      </c>
      <c r="L8296" t="s">
        <v>102</v>
      </c>
      <c r="M8296" t="s">
        <v>75</v>
      </c>
      <c r="R8296" t="s">
        <v>36002</v>
      </c>
      <c r="W8296" t="s">
        <v>36003</v>
      </c>
      <c r="X8296" t="s">
        <v>3021</v>
      </c>
      <c r="Y8296" t="s">
        <v>182</v>
      </c>
      <c r="Z8296" t="s">
        <v>77</v>
      </c>
      <c r="AA8296" t="str">
        <f>"11501-3957"</f>
        <v>11501-3957</v>
      </c>
      <c r="AB8296" t="s">
        <v>78</v>
      </c>
      <c r="AC8296" t="s">
        <v>79</v>
      </c>
      <c r="AD8296" t="s">
        <v>75</v>
      </c>
      <c r="AE8296" t="s">
        <v>80</v>
      </c>
      <c r="AG8296" t="s">
        <v>81</v>
      </c>
    </row>
    <row r="8297" spans="1:33" x14ac:dyDescent="0.25">
      <c r="A8297" t="str">
        <f>"1700132669"</f>
        <v>1700132669</v>
      </c>
      <c r="C8297" t="s">
        <v>13436</v>
      </c>
      <c r="G8297" t="s">
        <v>36004</v>
      </c>
      <c r="K8297" t="s">
        <v>99</v>
      </c>
      <c r="L8297" t="s">
        <v>102</v>
      </c>
      <c r="M8297" t="s">
        <v>75</v>
      </c>
      <c r="R8297" t="s">
        <v>36005</v>
      </c>
      <c r="S8297" t="s">
        <v>36006</v>
      </c>
      <c r="T8297" t="s">
        <v>97</v>
      </c>
      <c r="U8297" t="s">
        <v>77</v>
      </c>
      <c r="V8297" t="str">
        <f>"100296500"</f>
        <v>100296500</v>
      </c>
      <c r="AC8297" t="s">
        <v>79</v>
      </c>
      <c r="AD8297" t="s">
        <v>75</v>
      </c>
      <c r="AE8297" t="s">
        <v>103</v>
      </c>
      <c r="AG8297" t="s">
        <v>81</v>
      </c>
    </row>
    <row r="8298" spans="1:33" x14ac:dyDescent="0.25">
      <c r="A8298" t="str">
        <f>"1700135563"</f>
        <v>1700135563</v>
      </c>
      <c r="B8298" t="str">
        <f>"03742303"</f>
        <v>03742303</v>
      </c>
      <c r="C8298" t="s">
        <v>13436</v>
      </c>
      <c r="D8298" t="s">
        <v>36007</v>
      </c>
      <c r="E8298" t="s">
        <v>36008</v>
      </c>
      <c r="G8298" t="s">
        <v>36009</v>
      </c>
      <c r="L8298" t="s">
        <v>74</v>
      </c>
      <c r="M8298" t="s">
        <v>75</v>
      </c>
      <c r="R8298" t="s">
        <v>36010</v>
      </c>
      <c r="W8298" t="s">
        <v>36008</v>
      </c>
      <c r="X8298" t="s">
        <v>3433</v>
      </c>
      <c r="Y8298" t="s">
        <v>97</v>
      </c>
      <c r="Z8298" t="s">
        <v>77</v>
      </c>
      <c r="AA8298" t="str">
        <f>"10003-3805"</f>
        <v>10003-3805</v>
      </c>
      <c r="AB8298" t="s">
        <v>78</v>
      </c>
      <c r="AC8298" t="s">
        <v>79</v>
      </c>
      <c r="AD8298" t="s">
        <v>75</v>
      </c>
      <c r="AE8298" t="s">
        <v>80</v>
      </c>
      <c r="AG8298" t="s">
        <v>81</v>
      </c>
    </row>
    <row r="8299" spans="1:33" x14ac:dyDescent="0.25">
      <c r="A8299" t="str">
        <f>"1487941779"</f>
        <v>1487941779</v>
      </c>
      <c r="B8299" t="str">
        <f>"04015927"</f>
        <v>04015927</v>
      </c>
      <c r="C8299" t="s">
        <v>13436</v>
      </c>
      <c r="D8299" t="s">
        <v>36011</v>
      </c>
      <c r="E8299" t="s">
        <v>36012</v>
      </c>
      <c r="L8299" t="s">
        <v>74</v>
      </c>
      <c r="M8299" t="s">
        <v>75</v>
      </c>
      <c r="R8299" t="s">
        <v>36012</v>
      </c>
      <c r="W8299" t="s">
        <v>36013</v>
      </c>
      <c r="X8299" t="s">
        <v>258</v>
      </c>
      <c r="Y8299" t="s">
        <v>131</v>
      </c>
      <c r="Z8299" t="s">
        <v>77</v>
      </c>
      <c r="AA8299" t="str">
        <f>"10467-2401"</f>
        <v>10467-2401</v>
      </c>
      <c r="AB8299" t="s">
        <v>78</v>
      </c>
      <c r="AC8299" t="s">
        <v>79</v>
      </c>
      <c r="AD8299" t="s">
        <v>75</v>
      </c>
      <c r="AE8299" t="s">
        <v>80</v>
      </c>
      <c r="AG8299" t="s">
        <v>81</v>
      </c>
    </row>
    <row r="8300" spans="1:33" x14ac:dyDescent="0.25">
      <c r="A8300" t="str">
        <f>"1487942108"</f>
        <v>1487942108</v>
      </c>
      <c r="B8300" t="str">
        <f>"04531095"</f>
        <v>04531095</v>
      </c>
      <c r="C8300" t="s">
        <v>13436</v>
      </c>
      <c r="D8300" t="s">
        <v>36014</v>
      </c>
      <c r="E8300" t="s">
        <v>36015</v>
      </c>
      <c r="L8300" t="s">
        <v>102</v>
      </c>
      <c r="M8300" t="s">
        <v>75</v>
      </c>
      <c r="R8300" t="s">
        <v>36016</v>
      </c>
      <c r="W8300" t="s">
        <v>36015</v>
      </c>
      <c r="AB8300" t="s">
        <v>78</v>
      </c>
      <c r="AC8300" t="s">
        <v>79</v>
      </c>
      <c r="AD8300" t="s">
        <v>75</v>
      </c>
      <c r="AE8300" t="s">
        <v>80</v>
      </c>
      <c r="AG8300" t="s">
        <v>81</v>
      </c>
    </row>
    <row r="8301" spans="1:33" x14ac:dyDescent="0.25">
      <c r="A8301" t="str">
        <f>"1487945465"</f>
        <v>1487945465</v>
      </c>
      <c r="B8301" t="str">
        <f>"04060082"</f>
        <v>04060082</v>
      </c>
      <c r="C8301" t="s">
        <v>13436</v>
      </c>
      <c r="D8301" t="s">
        <v>36017</v>
      </c>
      <c r="E8301" t="s">
        <v>36018</v>
      </c>
      <c r="L8301" t="s">
        <v>102</v>
      </c>
      <c r="M8301" t="s">
        <v>75</v>
      </c>
      <c r="R8301" t="s">
        <v>36019</v>
      </c>
      <c r="W8301" t="s">
        <v>36018</v>
      </c>
      <c r="X8301" t="s">
        <v>36020</v>
      </c>
      <c r="Y8301" t="s">
        <v>91</v>
      </c>
      <c r="Z8301" t="s">
        <v>77</v>
      </c>
      <c r="AA8301" t="str">
        <f>"11373-1329"</f>
        <v>11373-1329</v>
      </c>
      <c r="AB8301" t="s">
        <v>78</v>
      </c>
      <c r="AC8301" t="s">
        <v>79</v>
      </c>
      <c r="AD8301" t="s">
        <v>75</v>
      </c>
      <c r="AE8301" t="s">
        <v>80</v>
      </c>
      <c r="AG8301" t="s">
        <v>81</v>
      </c>
    </row>
    <row r="8302" spans="1:33" x14ac:dyDescent="0.25">
      <c r="A8302" t="str">
        <f>"1487945473"</f>
        <v>1487945473</v>
      </c>
      <c r="B8302" t="str">
        <f>"03937157"</f>
        <v>03937157</v>
      </c>
      <c r="C8302" t="s">
        <v>13436</v>
      </c>
      <c r="D8302" t="s">
        <v>36021</v>
      </c>
      <c r="E8302" t="s">
        <v>36022</v>
      </c>
      <c r="G8302" t="s">
        <v>36023</v>
      </c>
      <c r="L8302" t="s">
        <v>83</v>
      </c>
      <c r="M8302" t="s">
        <v>75</v>
      </c>
      <c r="R8302" t="s">
        <v>36022</v>
      </c>
      <c r="W8302" t="s">
        <v>36022</v>
      </c>
      <c r="X8302" t="s">
        <v>181</v>
      </c>
      <c r="Y8302" t="s">
        <v>97</v>
      </c>
      <c r="Z8302" t="s">
        <v>77</v>
      </c>
      <c r="AA8302" t="str">
        <f>"10025-1716"</f>
        <v>10025-1716</v>
      </c>
      <c r="AB8302" t="s">
        <v>78</v>
      </c>
      <c r="AC8302" t="s">
        <v>79</v>
      </c>
      <c r="AD8302" t="s">
        <v>75</v>
      </c>
      <c r="AE8302" t="s">
        <v>80</v>
      </c>
      <c r="AG8302" t="s">
        <v>81</v>
      </c>
    </row>
    <row r="8303" spans="1:33" x14ac:dyDescent="0.25">
      <c r="A8303" t="str">
        <f>"1487957429"</f>
        <v>1487957429</v>
      </c>
      <c r="B8303" t="str">
        <f>"03791499"</f>
        <v>03791499</v>
      </c>
      <c r="C8303" t="s">
        <v>13436</v>
      </c>
      <c r="D8303" t="s">
        <v>36024</v>
      </c>
      <c r="E8303" t="s">
        <v>36025</v>
      </c>
      <c r="L8303" t="s">
        <v>74</v>
      </c>
      <c r="M8303" t="s">
        <v>75</v>
      </c>
      <c r="R8303" t="s">
        <v>36025</v>
      </c>
      <c r="W8303" t="s">
        <v>36025</v>
      </c>
      <c r="X8303" t="s">
        <v>235</v>
      </c>
      <c r="Y8303" t="s">
        <v>190</v>
      </c>
      <c r="Z8303" t="s">
        <v>77</v>
      </c>
      <c r="AA8303" t="str">
        <f>"11102-2448"</f>
        <v>11102-2448</v>
      </c>
      <c r="AB8303" t="s">
        <v>78</v>
      </c>
      <c r="AC8303" t="s">
        <v>79</v>
      </c>
      <c r="AD8303" t="s">
        <v>75</v>
      </c>
      <c r="AE8303" t="s">
        <v>80</v>
      </c>
      <c r="AG8303" t="s">
        <v>81</v>
      </c>
    </row>
    <row r="8304" spans="1:33" x14ac:dyDescent="0.25">
      <c r="A8304" t="str">
        <f>"1487965216"</f>
        <v>1487965216</v>
      </c>
      <c r="B8304" t="str">
        <f>"03617856"</f>
        <v>03617856</v>
      </c>
      <c r="C8304" t="s">
        <v>13436</v>
      </c>
      <c r="D8304" t="s">
        <v>36026</v>
      </c>
      <c r="E8304" t="s">
        <v>36027</v>
      </c>
      <c r="G8304" t="s">
        <v>36028</v>
      </c>
      <c r="L8304" t="s">
        <v>83</v>
      </c>
      <c r="M8304" t="s">
        <v>85</v>
      </c>
      <c r="R8304" t="s">
        <v>36029</v>
      </c>
      <c r="W8304" t="s">
        <v>36027</v>
      </c>
      <c r="X8304" t="s">
        <v>329</v>
      </c>
      <c r="Y8304" t="s">
        <v>97</v>
      </c>
      <c r="Z8304" t="s">
        <v>77</v>
      </c>
      <c r="AA8304" t="str">
        <f>"10029-6504"</f>
        <v>10029-6504</v>
      </c>
      <c r="AB8304" t="s">
        <v>78</v>
      </c>
      <c r="AC8304" t="s">
        <v>79</v>
      </c>
      <c r="AD8304" t="s">
        <v>75</v>
      </c>
      <c r="AE8304" t="s">
        <v>80</v>
      </c>
      <c r="AG8304" t="s">
        <v>81</v>
      </c>
    </row>
    <row r="8305" spans="1:33" x14ac:dyDescent="0.25">
      <c r="A8305" t="str">
        <f>"1487971164"</f>
        <v>1487971164</v>
      </c>
      <c r="B8305" t="str">
        <f>"04208522"</f>
        <v>04208522</v>
      </c>
      <c r="C8305" t="s">
        <v>13436</v>
      </c>
      <c r="D8305" t="s">
        <v>36030</v>
      </c>
      <c r="E8305" t="s">
        <v>36031</v>
      </c>
      <c r="L8305" t="s">
        <v>74</v>
      </c>
      <c r="M8305" t="s">
        <v>75</v>
      </c>
      <c r="R8305" t="s">
        <v>36031</v>
      </c>
      <c r="W8305" t="s">
        <v>36032</v>
      </c>
      <c r="X8305" t="s">
        <v>36033</v>
      </c>
      <c r="Y8305" t="s">
        <v>209</v>
      </c>
      <c r="Z8305" t="s">
        <v>77</v>
      </c>
      <c r="AA8305" t="str">
        <f>"11794-8191"</f>
        <v>11794-8191</v>
      </c>
      <c r="AB8305" t="s">
        <v>78</v>
      </c>
      <c r="AC8305" t="s">
        <v>79</v>
      </c>
      <c r="AD8305" t="s">
        <v>75</v>
      </c>
      <c r="AE8305" t="s">
        <v>80</v>
      </c>
      <c r="AG8305" t="s">
        <v>81</v>
      </c>
    </row>
    <row r="8306" spans="1:33" x14ac:dyDescent="0.25">
      <c r="A8306" t="str">
        <f>"1598784902"</f>
        <v>1598784902</v>
      </c>
      <c r="B8306" t="str">
        <f>"01712289"</f>
        <v>01712289</v>
      </c>
      <c r="C8306" t="s">
        <v>13436</v>
      </c>
      <c r="D8306" t="s">
        <v>36034</v>
      </c>
      <c r="E8306" t="s">
        <v>36035</v>
      </c>
      <c r="G8306" t="s">
        <v>36036</v>
      </c>
      <c r="L8306" t="s">
        <v>83</v>
      </c>
      <c r="M8306" t="s">
        <v>75</v>
      </c>
      <c r="R8306" t="s">
        <v>36037</v>
      </c>
      <c r="W8306" t="s">
        <v>36035</v>
      </c>
      <c r="X8306" t="s">
        <v>4616</v>
      </c>
      <c r="Y8306" t="s">
        <v>2012</v>
      </c>
      <c r="Z8306" t="s">
        <v>77</v>
      </c>
      <c r="AA8306" t="str">
        <f>"14048-1437"</f>
        <v>14048-1437</v>
      </c>
      <c r="AB8306" t="s">
        <v>78</v>
      </c>
      <c r="AC8306" t="s">
        <v>79</v>
      </c>
      <c r="AD8306" t="s">
        <v>75</v>
      </c>
      <c r="AE8306" t="s">
        <v>80</v>
      </c>
      <c r="AG8306" t="s">
        <v>81</v>
      </c>
    </row>
    <row r="8307" spans="1:33" x14ac:dyDescent="0.25">
      <c r="A8307" t="str">
        <f>"1598795890"</f>
        <v>1598795890</v>
      </c>
      <c r="B8307" t="str">
        <f>"03420326"</f>
        <v>03420326</v>
      </c>
      <c r="C8307" t="s">
        <v>13436</v>
      </c>
      <c r="D8307" t="s">
        <v>36038</v>
      </c>
      <c r="E8307" t="s">
        <v>36039</v>
      </c>
      <c r="G8307" t="s">
        <v>36040</v>
      </c>
      <c r="L8307" t="s">
        <v>74</v>
      </c>
      <c r="M8307" t="s">
        <v>85</v>
      </c>
      <c r="R8307" t="s">
        <v>36041</v>
      </c>
      <c r="W8307" t="s">
        <v>36039</v>
      </c>
      <c r="X8307" t="s">
        <v>11195</v>
      </c>
      <c r="Y8307" t="s">
        <v>97</v>
      </c>
      <c r="Z8307" t="s">
        <v>77</v>
      </c>
      <c r="AA8307" t="str">
        <f>"10029-6030"</f>
        <v>10029-6030</v>
      </c>
      <c r="AB8307" t="s">
        <v>78</v>
      </c>
      <c r="AC8307" t="s">
        <v>79</v>
      </c>
      <c r="AD8307" t="s">
        <v>75</v>
      </c>
      <c r="AE8307" t="s">
        <v>80</v>
      </c>
      <c r="AG8307" t="s">
        <v>81</v>
      </c>
    </row>
    <row r="8308" spans="1:33" x14ac:dyDescent="0.25">
      <c r="A8308" t="str">
        <f>"1730376963"</f>
        <v>1730376963</v>
      </c>
      <c r="B8308" t="str">
        <f>"03738176"</f>
        <v>03738176</v>
      </c>
      <c r="C8308" t="s">
        <v>13436</v>
      </c>
      <c r="D8308" t="s">
        <v>36042</v>
      </c>
      <c r="E8308" t="s">
        <v>36043</v>
      </c>
      <c r="G8308" t="s">
        <v>36044</v>
      </c>
      <c r="L8308" t="s">
        <v>102</v>
      </c>
      <c r="M8308" t="s">
        <v>75</v>
      </c>
      <c r="R8308" t="s">
        <v>36045</v>
      </c>
      <c r="W8308" t="s">
        <v>36043</v>
      </c>
      <c r="X8308" t="s">
        <v>36046</v>
      </c>
      <c r="Y8308" t="s">
        <v>97</v>
      </c>
      <c r="Z8308" t="s">
        <v>77</v>
      </c>
      <c r="AA8308" t="str">
        <f>"10029-6501"</f>
        <v>10029-6501</v>
      </c>
      <c r="AB8308" t="s">
        <v>78</v>
      </c>
      <c r="AC8308" t="s">
        <v>79</v>
      </c>
      <c r="AD8308" t="s">
        <v>75</v>
      </c>
      <c r="AE8308" t="s">
        <v>80</v>
      </c>
      <c r="AG8308" t="s">
        <v>81</v>
      </c>
    </row>
    <row r="8309" spans="1:33" x14ac:dyDescent="0.25">
      <c r="A8309" t="str">
        <f>"1730383308"</f>
        <v>1730383308</v>
      </c>
      <c r="B8309" t="str">
        <f>"03490035"</f>
        <v>03490035</v>
      </c>
      <c r="C8309" t="s">
        <v>13436</v>
      </c>
      <c r="D8309" t="s">
        <v>36047</v>
      </c>
      <c r="E8309" t="s">
        <v>36048</v>
      </c>
      <c r="G8309" t="s">
        <v>36049</v>
      </c>
      <c r="L8309" t="s">
        <v>83</v>
      </c>
      <c r="M8309" t="s">
        <v>85</v>
      </c>
      <c r="R8309" t="s">
        <v>36050</v>
      </c>
      <c r="W8309" t="s">
        <v>36048</v>
      </c>
      <c r="X8309" t="s">
        <v>200</v>
      </c>
      <c r="Y8309" t="s">
        <v>97</v>
      </c>
      <c r="Z8309" t="s">
        <v>77</v>
      </c>
      <c r="AA8309" t="str">
        <f>"10032-3720"</f>
        <v>10032-3720</v>
      </c>
      <c r="AB8309" t="s">
        <v>78</v>
      </c>
      <c r="AC8309" t="s">
        <v>79</v>
      </c>
      <c r="AD8309" t="s">
        <v>75</v>
      </c>
      <c r="AE8309" t="s">
        <v>80</v>
      </c>
      <c r="AG8309" t="s">
        <v>81</v>
      </c>
    </row>
    <row r="8310" spans="1:33" x14ac:dyDescent="0.25">
      <c r="A8310" t="str">
        <f>"1730393760"</f>
        <v>1730393760</v>
      </c>
      <c r="B8310" t="str">
        <f>"03110134"</f>
        <v>03110134</v>
      </c>
      <c r="C8310" t="s">
        <v>13436</v>
      </c>
      <c r="D8310" t="s">
        <v>36051</v>
      </c>
      <c r="E8310" t="s">
        <v>36052</v>
      </c>
      <c r="G8310" t="s">
        <v>36053</v>
      </c>
      <c r="L8310" t="s">
        <v>84</v>
      </c>
      <c r="M8310" t="s">
        <v>85</v>
      </c>
      <c r="R8310" t="s">
        <v>36054</v>
      </c>
      <c r="W8310" t="s">
        <v>36055</v>
      </c>
      <c r="X8310" t="s">
        <v>6317</v>
      </c>
      <c r="Y8310" t="s">
        <v>97</v>
      </c>
      <c r="Z8310" t="s">
        <v>77</v>
      </c>
      <c r="AA8310" t="str">
        <f>"10128-1735"</f>
        <v>10128-1735</v>
      </c>
      <c r="AB8310" t="s">
        <v>78</v>
      </c>
      <c r="AC8310" t="s">
        <v>79</v>
      </c>
      <c r="AD8310" t="s">
        <v>75</v>
      </c>
      <c r="AE8310" t="s">
        <v>80</v>
      </c>
      <c r="AG8310" t="s">
        <v>81</v>
      </c>
    </row>
    <row r="8311" spans="1:33" x14ac:dyDescent="0.25">
      <c r="A8311" t="str">
        <f>"1447502984"</f>
        <v>1447502984</v>
      </c>
      <c r="C8311" t="s">
        <v>13436</v>
      </c>
      <c r="K8311" t="s">
        <v>99</v>
      </c>
      <c r="L8311" t="s">
        <v>102</v>
      </c>
      <c r="M8311" t="s">
        <v>75</v>
      </c>
      <c r="R8311" t="s">
        <v>36056</v>
      </c>
      <c r="S8311" t="s">
        <v>12648</v>
      </c>
      <c r="T8311" t="s">
        <v>97</v>
      </c>
      <c r="U8311" t="s">
        <v>77</v>
      </c>
      <c r="V8311" t="str">
        <f>"100033851"</f>
        <v>100033851</v>
      </c>
      <c r="AC8311" t="s">
        <v>79</v>
      </c>
      <c r="AD8311" t="s">
        <v>75</v>
      </c>
      <c r="AE8311" t="s">
        <v>103</v>
      </c>
      <c r="AG8311" t="s">
        <v>81</v>
      </c>
    </row>
    <row r="8312" spans="1:33" x14ac:dyDescent="0.25">
      <c r="A8312" t="str">
        <f>"1992834212"</f>
        <v>1992834212</v>
      </c>
      <c r="B8312" t="str">
        <f>"03399171"</f>
        <v>03399171</v>
      </c>
      <c r="C8312" t="s">
        <v>13436</v>
      </c>
      <c r="D8312" t="s">
        <v>36057</v>
      </c>
      <c r="E8312" t="s">
        <v>36058</v>
      </c>
      <c r="G8312" t="s">
        <v>36059</v>
      </c>
      <c r="L8312" t="s">
        <v>74</v>
      </c>
      <c r="M8312" t="s">
        <v>85</v>
      </c>
      <c r="R8312" t="s">
        <v>36060</v>
      </c>
      <c r="W8312" t="s">
        <v>36058</v>
      </c>
      <c r="X8312" t="s">
        <v>225</v>
      </c>
      <c r="Y8312" t="s">
        <v>131</v>
      </c>
      <c r="Z8312" t="s">
        <v>77</v>
      </c>
      <c r="AA8312" t="str">
        <f>"10457-2545"</f>
        <v>10457-2545</v>
      </c>
      <c r="AB8312" t="s">
        <v>82</v>
      </c>
      <c r="AC8312" t="s">
        <v>79</v>
      </c>
      <c r="AD8312" t="s">
        <v>75</v>
      </c>
      <c r="AE8312" t="s">
        <v>80</v>
      </c>
      <c r="AG8312" t="s">
        <v>81</v>
      </c>
    </row>
    <row r="8313" spans="1:33" x14ac:dyDescent="0.25">
      <c r="A8313" t="str">
        <f>"1992892871"</f>
        <v>1992892871</v>
      </c>
      <c r="B8313" t="str">
        <f>"01421012"</f>
        <v>01421012</v>
      </c>
      <c r="C8313" t="s">
        <v>13436</v>
      </c>
      <c r="D8313" t="s">
        <v>36061</v>
      </c>
      <c r="E8313" t="s">
        <v>36062</v>
      </c>
      <c r="G8313" t="s">
        <v>36063</v>
      </c>
      <c r="L8313" t="s">
        <v>83</v>
      </c>
      <c r="M8313" t="s">
        <v>85</v>
      </c>
      <c r="R8313" t="s">
        <v>36064</v>
      </c>
      <c r="W8313" t="s">
        <v>36064</v>
      </c>
      <c r="X8313" t="s">
        <v>32967</v>
      </c>
      <c r="Y8313" t="s">
        <v>97</v>
      </c>
      <c r="Z8313" t="s">
        <v>77</v>
      </c>
      <c r="AA8313" t="str">
        <f>"10003-0000"</f>
        <v>10003-0000</v>
      </c>
      <c r="AB8313" t="s">
        <v>78</v>
      </c>
      <c r="AC8313" t="s">
        <v>79</v>
      </c>
      <c r="AD8313" t="s">
        <v>75</v>
      </c>
      <c r="AE8313" t="s">
        <v>80</v>
      </c>
      <c r="AG8313" t="s">
        <v>81</v>
      </c>
    </row>
    <row r="8314" spans="1:33" x14ac:dyDescent="0.25">
      <c r="A8314" t="str">
        <f>"1992931299"</f>
        <v>1992931299</v>
      </c>
      <c r="B8314" t="str">
        <f>"03350121"</f>
        <v>03350121</v>
      </c>
      <c r="C8314" t="s">
        <v>13436</v>
      </c>
      <c r="D8314" t="s">
        <v>36065</v>
      </c>
      <c r="E8314" t="s">
        <v>36066</v>
      </c>
      <c r="G8314" t="s">
        <v>36067</v>
      </c>
      <c r="L8314" t="s">
        <v>83</v>
      </c>
      <c r="M8314" t="s">
        <v>85</v>
      </c>
      <c r="R8314" t="s">
        <v>36068</v>
      </c>
      <c r="W8314" t="s">
        <v>36066</v>
      </c>
      <c r="X8314" t="s">
        <v>36069</v>
      </c>
      <c r="Y8314" t="s">
        <v>97</v>
      </c>
      <c r="Z8314" t="s">
        <v>77</v>
      </c>
      <c r="AA8314" t="str">
        <f>"11354-4263"</f>
        <v>11354-4263</v>
      </c>
      <c r="AB8314" t="s">
        <v>78</v>
      </c>
      <c r="AC8314" t="s">
        <v>79</v>
      </c>
      <c r="AD8314" t="s">
        <v>75</v>
      </c>
      <c r="AE8314" t="s">
        <v>80</v>
      </c>
      <c r="AG8314" t="s">
        <v>81</v>
      </c>
    </row>
    <row r="8315" spans="1:33" x14ac:dyDescent="0.25">
      <c r="A8315" t="str">
        <f>"1992931307"</f>
        <v>1992931307</v>
      </c>
      <c r="B8315" t="str">
        <f>"03643863"</f>
        <v>03643863</v>
      </c>
      <c r="C8315" t="s">
        <v>13436</v>
      </c>
      <c r="D8315" t="s">
        <v>36070</v>
      </c>
      <c r="E8315" t="s">
        <v>36071</v>
      </c>
      <c r="L8315" t="s">
        <v>74</v>
      </c>
      <c r="M8315" t="s">
        <v>75</v>
      </c>
      <c r="R8315" t="s">
        <v>36072</v>
      </c>
      <c r="W8315" t="s">
        <v>36071</v>
      </c>
      <c r="X8315" t="s">
        <v>2926</v>
      </c>
      <c r="Y8315" t="s">
        <v>97</v>
      </c>
      <c r="Z8315" t="s">
        <v>77</v>
      </c>
      <c r="AA8315" t="str">
        <f>"10029-6503"</f>
        <v>10029-6503</v>
      </c>
      <c r="AB8315" t="s">
        <v>78</v>
      </c>
      <c r="AC8315" t="s">
        <v>79</v>
      </c>
      <c r="AD8315" t="s">
        <v>75</v>
      </c>
      <c r="AE8315" t="s">
        <v>80</v>
      </c>
      <c r="AG8315" t="s">
        <v>81</v>
      </c>
    </row>
    <row r="8316" spans="1:33" x14ac:dyDescent="0.25">
      <c r="A8316" t="str">
        <f>"1992942429"</f>
        <v>1992942429</v>
      </c>
      <c r="B8316" t="str">
        <f>"03499332"</f>
        <v>03499332</v>
      </c>
      <c r="C8316" t="s">
        <v>13436</v>
      </c>
      <c r="D8316" t="s">
        <v>36073</v>
      </c>
      <c r="E8316" t="s">
        <v>36074</v>
      </c>
      <c r="L8316" t="s">
        <v>83</v>
      </c>
      <c r="M8316" t="s">
        <v>85</v>
      </c>
      <c r="R8316" t="s">
        <v>36075</v>
      </c>
      <c r="W8316" t="s">
        <v>36074</v>
      </c>
      <c r="X8316" t="s">
        <v>11195</v>
      </c>
      <c r="Y8316" t="s">
        <v>97</v>
      </c>
      <c r="Z8316" t="s">
        <v>77</v>
      </c>
      <c r="AA8316" t="str">
        <f>"10029-6030"</f>
        <v>10029-6030</v>
      </c>
      <c r="AB8316" t="s">
        <v>78</v>
      </c>
      <c r="AC8316" t="s">
        <v>79</v>
      </c>
      <c r="AD8316" t="s">
        <v>75</v>
      </c>
      <c r="AE8316" t="s">
        <v>80</v>
      </c>
      <c r="AG8316" t="s">
        <v>81</v>
      </c>
    </row>
    <row r="8317" spans="1:33" x14ac:dyDescent="0.25">
      <c r="A8317" t="str">
        <f>"1992963300"</f>
        <v>1992963300</v>
      </c>
      <c r="B8317" t="str">
        <f>"03453683"</f>
        <v>03453683</v>
      </c>
      <c r="C8317" t="s">
        <v>13436</v>
      </c>
      <c r="D8317" t="s">
        <v>36076</v>
      </c>
      <c r="E8317" t="s">
        <v>36077</v>
      </c>
      <c r="L8317" t="s">
        <v>94</v>
      </c>
      <c r="M8317" t="s">
        <v>75</v>
      </c>
      <c r="R8317" t="s">
        <v>36078</v>
      </c>
      <c r="W8317" t="s">
        <v>36077</v>
      </c>
      <c r="X8317" t="s">
        <v>36079</v>
      </c>
      <c r="Y8317" t="s">
        <v>97</v>
      </c>
      <c r="Z8317" t="s">
        <v>77</v>
      </c>
      <c r="AA8317" t="str">
        <f>"10027-4439"</f>
        <v>10027-4439</v>
      </c>
      <c r="AB8317" t="s">
        <v>78</v>
      </c>
      <c r="AC8317" t="s">
        <v>79</v>
      </c>
      <c r="AD8317" t="s">
        <v>75</v>
      </c>
      <c r="AE8317" t="s">
        <v>80</v>
      </c>
      <c r="AG8317" t="s">
        <v>81</v>
      </c>
    </row>
    <row r="8318" spans="1:33" x14ac:dyDescent="0.25">
      <c r="A8318" t="str">
        <f>"1992964035"</f>
        <v>1992964035</v>
      </c>
      <c r="B8318" t="str">
        <f>"03238300"</f>
        <v>03238300</v>
      </c>
      <c r="C8318" t="s">
        <v>13436</v>
      </c>
      <c r="D8318" t="s">
        <v>36080</v>
      </c>
      <c r="E8318" t="s">
        <v>36081</v>
      </c>
      <c r="L8318" t="s">
        <v>83</v>
      </c>
      <c r="M8318" t="s">
        <v>85</v>
      </c>
      <c r="R8318" t="s">
        <v>36082</v>
      </c>
      <c r="W8318" t="s">
        <v>36083</v>
      </c>
      <c r="X8318" t="s">
        <v>835</v>
      </c>
      <c r="Y8318" t="s">
        <v>97</v>
      </c>
      <c r="Z8318" t="s">
        <v>77</v>
      </c>
      <c r="AA8318" t="str">
        <f>"10029-6501"</f>
        <v>10029-6501</v>
      </c>
      <c r="AB8318" t="s">
        <v>78</v>
      </c>
      <c r="AC8318" t="s">
        <v>79</v>
      </c>
      <c r="AD8318" t="s">
        <v>75</v>
      </c>
      <c r="AE8318" t="s">
        <v>80</v>
      </c>
      <c r="AG8318" t="s">
        <v>81</v>
      </c>
    </row>
    <row r="8319" spans="1:33" x14ac:dyDescent="0.25">
      <c r="A8319" t="str">
        <f>"1992965271"</f>
        <v>1992965271</v>
      </c>
      <c r="B8319" t="str">
        <f>"03039521"</f>
        <v>03039521</v>
      </c>
      <c r="C8319" t="s">
        <v>13436</v>
      </c>
      <c r="D8319" t="s">
        <v>36084</v>
      </c>
      <c r="E8319" t="s">
        <v>36085</v>
      </c>
      <c r="G8319" t="s">
        <v>36086</v>
      </c>
      <c r="L8319" t="s">
        <v>83</v>
      </c>
      <c r="M8319" t="s">
        <v>85</v>
      </c>
      <c r="R8319" t="s">
        <v>36085</v>
      </c>
      <c r="W8319" t="s">
        <v>36087</v>
      </c>
      <c r="X8319" t="s">
        <v>181</v>
      </c>
      <c r="Y8319" t="s">
        <v>97</v>
      </c>
      <c r="Z8319" t="s">
        <v>77</v>
      </c>
      <c r="AA8319" t="str">
        <f>"10025-1716"</f>
        <v>10025-1716</v>
      </c>
      <c r="AB8319" t="s">
        <v>78</v>
      </c>
      <c r="AC8319" t="s">
        <v>79</v>
      </c>
      <c r="AD8319" t="s">
        <v>75</v>
      </c>
      <c r="AE8319" t="s">
        <v>80</v>
      </c>
      <c r="AG8319" t="s">
        <v>81</v>
      </c>
    </row>
    <row r="8320" spans="1:33" x14ac:dyDescent="0.25">
      <c r="A8320" t="str">
        <f>"1992965974"</f>
        <v>1992965974</v>
      </c>
      <c r="B8320" t="str">
        <f>"03508789"</f>
        <v>03508789</v>
      </c>
      <c r="C8320" t="s">
        <v>13436</v>
      </c>
      <c r="D8320" t="s">
        <v>36088</v>
      </c>
      <c r="E8320" t="s">
        <v>36089</v>
      </c>
      <c r="G8320" t="s">
        <v>36090</v>
      </c>
      <c r="L8320" t="s">
        <v>83</v>
      </c>
      <c r="M8320" t="s">
        <v>85</v>
      </c>
      <c r="R8320" t="s">
        <v>36089</v>
      </c>
      <c r="W8320" t="s">
        <v>36089</v>
      </c>
      <c r="X8320" t="s">
        <v>790</v>
      </c>
      <c r="Y8320" t="s">
        <v>236</v>
      </c>
      <c r="Z8320" t="s">
        <v>77</v>
      </c>
      <c r="AA8320" t="str">
        <f>"11102-1874"</f>
        <v>11102-1874</v>
      </c>
      <c r="AB8320" t="s">
        <v>78</v>
      </c>
      <c r="AC8320" t="s">
        <v>79</v>
      </c>
      <c r="AD8320" t="s">
        <v>75</v>
      </c>
      <c r="AE8320" t="s">
        <v>80</v>
      </c>
      <c r="AG8320" t="s">
        <v>81</v>
      </c>
    </row>
    <row r="8321" spans="1:33" x14ac:dyDescent="0.25">
      <c r="A8321" t="str">
        <f>"1992976385"</f>
        <v>1992976385</v>
      </c>
      <c r="B8321" t="str">
        <f>"02964932"</f>
        <v>02964932</v>
      </c>
      <c r="C8321" t="s">
        <v>13436</v>
      </c>
      <c r="D8321" t="s">
        <v>36091</v>
      </c>
      <c r="E8321" t="s">
        <v>36092</v>
      </c>
      <c r="G8321" t="s">
        <v>36093</v>
      </c>
      <c r="L8321" t="s">
        <v>84</v>
      </c>
      <c r="M8321" t="s">
        <v>85</v>
      </c>
      <c r="R8321" t="s">
        <v>36092</v>
      </c>
      <c r="W8321" t="s">
        <v>36094</v>
      </c>
      <c r="X8321" t="s">
        <v>12595</v>
      </c>
      <c r="Y8321" t="s">
        <v>236</v>
      </c>
      <c r="Z8321" t="s">
        <v>77</v>
      </c>
      <c r="AA8321" t="str">
        <f>"11102-2445"</f>
        <v>11102-2445</v>
      </c>
      <c r="AB8321" t="s">
        <v>78</v>
      </c>
      <c r="AC8321" t="s">
        <v>79</v>
      </c>
      <c r="AD8321" t="s">
        <v>75</v>
      </c>
      <c r="AE8321" t="s">
        <v>80</v>
      </c>
      <c r="AG8321" t="s">
        <v>81</v>
      </c>
    </row>
    <row r="8322" spans="1:33" x14ac:dyDescent="0.25">
      <c r="A8322" t="str">
        <f>"1720379753"</f>
        <v>1720379753</v>
      </c>
      <c r="C8322" t="s">
        <v>13436</v>
      </c>
      <c r="G8322" t="s">
        <v>36095</v>
      </c>
      <c r="K8322" t="s">
        <v>99</v>
      </c>
      <c r="L8322" t="s">
        <v>102</v>
      </c>
      <c r="M8322" t="s">
        <v>75</v>
      </c>
      <c r="R8322" t="s">
        <v>36096</v>
      </c>
      <c r="S8322" t="s">
        <v>36097</v>
      </c>
      <c r="T8322" t="s">
        <v>4503</v>
      </c>
      <c r="U8322" t="s">
        <v>4546</v>
      </c>
      <c r="V8322" t="str">
        <f>"850084973"</f>
        <v>850084973</v>
      </c>
      <c r="AC8322" t="s">
        <v>79</v>
      </c>
      <c r="AD8322" t="s">
        <v>75</v>
      </c>
      <c r="AE8322" t="s">
        <v>103</v>
      </c>
      <c r="AG8322" t="s">
        <v>81</v>
      </c>
    </row>
    <row r="8323" spans="1:33" x14ac:dyDescent="0.25">
      <c r="A8323" t="str">
        <f>"1053304980"</f>
        <v>1053304980</v>
      </c>
      <c r="B8323" t="str">
        <f>"01755917"</f>
        <v>01755917</v>
      </c>
      <c r="C8323" t="s">
        <v>13436</v>
      </c>
      <c r="D8323" t="s">
        <v>36098</v>
      </c>
      <c r="E8323" t="s">
        <v>36099</v>
      </c>
      <c r="G8323" t="s">
        <v>36100</v>
      </c>
      <c r="L8323" t="s">
        <v>83</v>
      </c>
      <c r="M8323" t="s">
        <v>85</v>
      </c>
      <c r="R8323" t="s">
        <v>36101</v>
      </c>
      <c r="W8323" t="s">
        <v>36102</v>
      </c>
      <c r="X8323" t="s">
        <v>36103</v>
      </c>
      <c r="Y8323" t="s">
        <v>3818</v>
      </c>
      <c r="Z8323" t="s">
        <v>77</v>
      </c>
      <c r="AA8323" t="str">
        <f>"11714-5769"</f>
        <v>11714-5769</v>
      </c>
      <c r="AB8323" t="s">
        <v>78</v>
      </c>
      <c r="AC8323" t="s">
        <v>79</v>
      </c>
      <c r="AD8323" t="s">
        <v>75</v>
      </c>
      <c r="AE8323" t="s">
        <v>80</v>
      </c>
      <c r="AG8323" t="s">
        <v>81</v>
      </c>
    </row>
    <row r="8324" spans="1:33" x14ac:dyDescent="0.25">
      <c r="A8324" t="str">
        <f>"1053310805"</f>
        <v>1053310805</v>
      </c>
      <c r="B8324" t="str">
        <f>"02352752"</f>
        <v>02352752</v>
      </c>
      <c r="C8324" t="s">
        <v>13436</v>
      </c>
      <c r="D8324" t="s">
        <v>36104</v>
      </c>
      <c r="E8324" t="s">
        <v>36105</v>
      </c>
      <c r="G8324" t="s">
        <v>36106</v>
      </c>
      <c r="L8324" t="s">
        <v>83</v>
      </c>
      <c r="M8324" t="s">
        <v>85</v>
      </c>
      <c r="W8324" t="s">
        <v>36105</v>
      </c>
      <c r="X8324" t="s">
        <v>36107</v>
      </c>
      <c r="Y8324" t="s">
        <v>97</v>
      </c>
      <c r="Z8324" t="s">
        <v>77</v>
      </c>
      <c r="AA8324" t="str">
        <f>"10029"</f>
        <v>10029</v>
      </c>
      <c r="AB8324" t="s">
        <v>78</v>
      </c>
      <c r="AC8324" t="s">
        <v>79</v>
      </c>
      <c r="AD8324" t="s">
        <v>75</v>
      </c>
      <c r="AE8324" t="s">
        <v>80</v>
      </c>
      <c r="AG8324" t="s">
        <v>81</v>
      </c>
    </row>
    <row r="8325" spans="1:33" x14ac:dyDescent="0.25">
      <c r="A8325" t="str">
        <f>"1053322198"</f>
        <v>1053322198</v>
      </c>
      <c r="B8325" t="str">
        <f>"03108505"</f>
        <v>03108505</v>
      </c>
      <c r="C8325" t="s">
        <v>13436</v>
      </c>
      <c r="D8325" t="s">
        <v>36108</v>
      </c>
      <c r="E8325" t="s">
        <v>36109</v>
      </c>
      <c r="G8325" t="s">
        <v>36110</v>
      </c>
      <c r="L8325" t="s">
        <v>83</v>
      </c>
      <c r="M8325" t="s">
        <v>75</v>
      </c>
      <c r="R8325" t="s">
        <v>36111</v>
      </c>
      <c r="W8325" t="s">
        <v>36112</v>
      </c>
      <c r="X8325" t="s">
        <v>36113</v>
      </c>
      <c r="Y8325" t="s">
        <v>87</v>
      </c>
      <c r="Z8325" t="s">
        <v>77</v>
      </c>
      <c r="AA8325" t="str">
        <f>"11228-3232"</f>
        <v>11228-3232</v>
      </c>
      <c r="AB8325" t="s">
        <v>78</v>
      </c>
      <c r="AC8325" t="s">
        <v>79</v>
      </c>
      <c r="AD8325" t="s">
        <v>75</v>
      </c>
      <c r="AE8325" t="s">
        <v>80</v>
      </c>
      <c r="AG8325" t="s">
        <v>81</v>
      </c>
    </row>
    <row r="8326" spans="1:33" x14ac:dyDescent="0.25">
      <c r="A8326" t="str">
        <f>"1053327015"</f>
        <v>1053327015</v>
      </c>
      <c r="B8326" t="str">
        <f>"02414717"</f>
        <v>02414717</v>
      </c>
      <c r="C8326" t="s">
        <v>13436</v>
      </c>
      <c r="D8326" t="s">
        <v>36114</v>
      </c>
      <c r="E8326" t="s">
        <v>36115</v>
      </c>
      <c r="G8326" t="s">
        <v>36116</v>
      </c>
      <c r="L8326" t="s">
        <v>83</v>
      </c>
      <c r="M8326" t="s">
        <v>85</v>
      </c>
      <c r="R8326" t="s">
        <v>36117</v>
      </c>
      <c r="W8326" t="s">
        <v>36115</v>
      </c>
      <c r="X8326" t="s">
        <v>11945</v>
      </c>
      <c r="Y8326" t="s">
        <v>2128</v>
      </c>
      <c r="Z8326" t="s">
        <v>77</v>
      </c>
      <c r="AA8326" t="str">
        <f>"11743-2779"</f>
        <v>11743-2779</v>
      </c>
      <c r="AB8326" t="s">
        <v>78</v>
      </c>
      <c r="AC8326" t="s">
        <v>79</v>
      </c>
      <c r="AD8326" t="s">
        <v>75</v>
      </c>
      <c r="AE8326" t="s">
        <v>80</v>
      </c>
      <c r="AG8326" t="s">
        <v>81</v>
      </c>
    </row>
    <row r="8327" spans="1:33" x14ac:dyDescent="0.25">
      <c r="A8327" t="str">
        <f>"1457328858"</f>
        <v>1457328858</v>
      </c>
      <c r="B8327" t="str">
        <f>"00915191"</f>
        <v>00915191</v>
      </c>
      <c r="C8327" t="s">
        <v>13436</v>
      </c>
      <c r="D8327" t="s">
        <v>36118</v>
      </c>
      <c r="E8327" t="s">
        <v>36119</v>
      </c>
      <c r="G8327" t="s">
        <v>36120</v>
      </c>
      <c r="L8327" t="s">
        <v>74</v>
      </c>
      <c r="M8327" t="s">
        <v>85</v>
      </c>
      <c r="R8327" t="s">
        <v>36121</v>
      </c>
      <c r="W8327" t="s">
        <v>36119</v>
      </c>
      <c r="X8327" t="s">
        <v>17583</v>
      </c>
      <c r="Y8327" t="s">
        <v>97</v>
      </c>
      <c r="Z8327" t="s">
        <v>77</v>
      </c>
      <c r="AA8327" t="str">
        <f>"10029-6501"</f>
        <v>10029-6501</v>
      </c>
      <c r="AB8327" t="s">
        <v>78</v>
      </c>
      <c r="AC8327" t="s">
        <v>79</v>
      </c>
      <c r="AD8327" t="s">
        <v>75</v>
      </c>
      <c r="AE8327" t="s">
        <v>80</v>
      </c>
      <c r="AG8327" t="s">
        <v>81</v>
      </c>
    </row>
    <row r="8328" spans="1:33" x14ac:dyDescent="0.25">
      <c r="A8328" t="str">
        <f>"1457351975"</f>
        <v>1457351975</v>
      </c>
      <c r="B8328" t="str">
        <f>"01850619"</f>
        <v>01850619</v>
      </c>
      <c r="C8328" t="s">
        <v>13436</v>
      </c>
      <c r="D8328" t="s">
        <v>36122</v>
      </c>
      <c r="E8328" t="s">
        <v>36123</v>
      </c>
      <c r="G8328" t="s">
        <v>36124</v>
      </c>
      <c r="L8328" t="s">
        <v>83</v>
      </c>
      <c r="M8328" t="s">
        <v>75</v>
      </c>
      <c r="R8328" t="s">
        <v>36125</v>
      </c>
      <c r="W8328" t="s">
        <v>36123</v>
      </c>
      <c r="X8328" t="s">
        <v>15724</v>
      </c>
      <c r="Y8328" t="s">
        <v>97</v>
      </c>
      <c r="Z8328" t="s">
        <v>77</v>
      </c>
      <c r="AA8328" t="str">
        <f>"10011-2202"</f>
        <v>10011-2202</v>
      </c>
      <c r="AB8328" t="s">
        <v>78</v>
      </c>
      <c r="AC8328" t="s">
        <v>79</v>
      </c>
      <c r="AD8328" t="s">
        <v>75</v>
      </c>
      <c r="AE8328" t="s">
        <v>80</v>
      </c>
      <c r="AG8328" t="s">
        <v>81</v>
      </c>
    </row>
    <row r="8329" spans="1:33" x14ac:dyDescent="0.25">
      <c r="A8329" t="str">
        <f>"1457397606"</f>
        <v>1457397606</v>
      </c>
      <c r="B8329" t="str">
        <f>"02677067"</f>
        <v>02677067</v>
      </c>
      <c r="C8329" t="s">
        <v>13436</v>
      </c>
      <c r="D8329" t="s">
        <v>36126</v>
      </c>
      <c r="E8329" t="s">
        <v>36127</v>
      </c>
      <c r="G8329" t="s">
        <v>36128</v>
      </c>
      <c r="L8329" t="s">
        <v>83</v>
      </c>
      <c r="M8329" t="s">
        <v>85</v>
      </c>
      <c r="R8329" t="s">
        <v>36129</v>
      </c>
      <c r="W8329" t="s">
        <v>36127</v>
      </c>
      <c r="X8329" t="s">
        <v>7961</v>
      </c>
      <c r="Y8329" t="s">
        <v>97</v>
      </c>
      <c r="Z8329" t="s">
        <v>77</v>
      </c>
      <c r="AA8329" t="str">
        <f>"10029-6501"</f>
        <v>10029-6501</v>
      </c>
      <c r="AB8329" t="s">
        <v>78</v>
      </c>
      <c r="AC8329" t="s">
        <v>79</v>
      </c>
      <c r="AD8329" t="s">
        <v>75</v>
      </c>
      <c r="AE8329" t="s">
        <v>80</v>
      </c>
      <c r="AG8329" t="s">
        <v>81</v>
      </c>
    </row>
    <row r="8330" spans="1:33" x14ac:dyDescent="0.25">
      <c r="A8330" t="str">
        <f>"1457411571"</f>
        <v>1457411571</v>
      </c>
      <c r="B8330" t="str">
        <f>"02980289"</f>
        <v>02980289</v>
      </c>
      <c r="C8330" t="s">
        <v>13436</v>
      </c>
      <c r="D8330" t="s">
        <v>36130</v>
      </c>
      <c r="E8330" t="s">
        <v>36131</v>
      </c>
      <c r="L8330" t="s">
        <v>84</v>
      </c>
      <c r="M8330" t="s">
        <v>85</v>
      </c>
      <c r="R8330" t="s">
        <v>36132</v>
      </c>
      <c r="W8330" t="s">
        <v>36133</v>
      </c>
      <c r="X8330" t="s">
        <v>193</v>
      </c>
      <c r="Y8330" t="s">
        <v>171</v>
      </c>
      <c r="Z8330" t="s">
        <v>77</v>
      </c>
      <c r="AA8330" t="str">
        <f>"11418-2832"</f>
        <v>11418-2832</v>
      </c>
      <c r="AB8330" t="s">
        <v>78</v>
      </c>
      <c r="AC8330" t="s">
        <v>79</v>
      </c>
      <c r="AD8330" t="s">
        <v>75</v>
      </c>
      <c r="AE8330" t="s">
        <v>80</v>
      </c>
      <c r="AG8330" t="s">
        <v>81</v>
      </c>
    </row>
    <row r="8331" spans="1:33" x14ac:dyDescent="0.25">
      <c r="A8331" t="str">
        <f>"1629246376"</f>
        <v>1629246376</v>
      </c>
      <c r="B8331" t="str">
        <f>"04013925"</f>
        <v>04013925</v>
      </c>
      <c r="C8331" t="s">
        <v>13436</v>
      </c>
      <c r="D8331" t="s">
        <v>3847</v>
      </c>
      <c r="E8331" t="s">
        <v>3848</v>
      </c>
      <c r="G8331" t="s">
        <v>36134</v>
      </c>
      <c r="L8331" t="s">
        <v>74</v>
      </c>
      <c r="M8331" t="s">
        <v>75</v>
      </c>
      <c r="R8331" t="s">
        <v>3849</v>
      </c>
      <c r="W8331" t="s">
        <v>3848</v>
      </c>
      <c r="X8331" t="s">
        <v>3664</v>
      </c>
      <c r="Y8331" t="s">
        <v>87</v>
      </c>
      <c r="Z8331" t="s">
        <v>77</v>
      </c>
      <c r="AA8331" t="str">
        <f>"11204-6081"</f>
        <v>11204-6081</v>
      </c>
      <c r="AB8331" t="s">
        <v>78</v>
      </c>
      <c r="AC8331" t="s">
        <v>79</v>
      </c>
      <c r="AD8331" t="s">
        <v>75</v>
      </c>
      <c r="AE8331" t="s">
        <v>80</v>
      </c>
      <c r="AG8331" t="s">
        <v>81</v>
      </c>
    </row>
    <row r="8332" spans="1:33" x14ac:dyDescent="0.25">
      <c r="A8332" t="str">
        <f>"1134340086"</f>
        <v>1134340086</v>
      </c>
      <c r="B8332" t="str">
        <f>"03747977"</f>
        <v>03747977</v>
      </c>
      <c r="C8332" t="s">
        <v>13436</v>
      </c>
      <c r="D8332" t="s">
        <v>36135</v>
      </c>
      <c r="E8332" t="s">
        <v>36136</v>
      </c>
      <c r="G8332" t="s">
        <v>36137</v>
      </c>
      <c r="L8332" t="s">
        <v>74</v>
      </c>
      <c r="M8332" t="s">
        <v>75</v>
      </c>
      <c r="R8332" t="s">
        <v>36138</v>
      </c>
      <c r="W8332" t="s">
        <v>36136</v>
      </c>
      <c r="X8332" t="s">
        <v>25370</v>
      </c>
      <c r="Y8332" t="s">
        <v>97</v>
      </c>
      <c r="Z8332" t="s">
        <v>77</v>
      </c>
      <c r="AA8332" t="str">
        <f>"10029-6504"</f>
        <v>10029-6504</v>
      </c>
      <c r="AB8332" t="s">
        <v>78</v>
      </c>
      <c r="AC8332" t="s">
        <v>79</v>
      </c>
      <c r="AD8332" t="s">
        <v>75</v>
      </c>
      <c r="AE8332" t="s">
        <v>80</v>
      </c>
      <c r="AG8332" t="s">
        <v>81</v>
      </c>
    </row>
    <row r="8333" spans="1:33" x14ac:dyDescent="0.25">
      <c r="A8333" t="str">
        <f>"1891778072"</f>
        <v>1891778072</v>
      </c>
      <c r="B8333" t="str">
        <f>"01132585"</f>
        <v>01132585</v>
      </c>
      <c r="C8333" t="s">
        <v>13436</v>
      </c>
      <c r="D8333" t="s">
        <v>36139</v>
      </c>
      <c r="E8333" t="s">
        <v>36140</v>
      </c>
      <c r="L8333" t="s">
        <v>83</v>
      </c>
      <c r="M8333" t="s">
        <v>85</v>
      </c>
      <c r="R8333" t="s">
        <v>36141</v>
      </c>
      <c r="W8333" t="s">
        <v>36142</v>
      </c>
      <c r="Y8333" t="s">
        <v>97</v>
      </c>
      <c r="Z8333" t="s">
        <v>77</v>
      </c>
      <c r="AA8333" t="str">
        <f>"10029-6500"</f>
        <v>10029-6500</v>
      </c>
      <c r="AB8333" t="s">
        <v>78</v>
      </c>
      <c r="AC8333" t="s">
        <v>79</v>
      </c>
      <c r="AD8333" t="s">
        <v>75</v>
      </c>
      <c r="AE8333" t="s">
        <v>80</v>
      </c>
      <c r="AG8333" t="s">
        <v>81</v>
      </c>
    </row>
    <row r="8334" spans="1:33" x14ac:dyDescent="0.25">
      <c r="A8334" t="str">
        <f>"1891808291"</f>
        <v>1891808291</v>
      </c>
      <c r="B8334" t="str">
        <f>"02360938"</f>
        <v>02360938</v>
      </c>
      <c r="C8334" t="s">
        <v>13436</v>
      </c>
      <c r="D8334" t="s">
        <v>36143</v>
      </c>
      <c r="E8334" t="s">
        <v>36144</v>
      </c>
      <c r="G8334" t="s">
        <v>36145</v>
      </c>
      <c r="L8334" t="s">
        <v>84</v>
      </c>
      <c r="M8334" t="s">
        <v>85</v>
      </c>
      <c r="R8334" t="s">
        <v>36146</v>
      </c>
      <c r="W8334" t="s">
        <v>36144</v>
      </c>
      <c r="X8334" t="s">
        <v>329</v>
      </c>
      <c r="Y8334" t="s">
        <v>97</v>
      </c>
      <c r="Z8334" t="s">
        <v>77</v>
      </c>
      <c r="AA8334" t="str">
        <f>"10029-6500"</f>
        <v>10029-6500</v>
      </c>
      <c r="AB8334" t="s">
        <v>78</v>
      </c>
      <c r="AC8334" t="s">
        <v>79</v>
      </c>
      <c r="AD8334" t="s">
        <v>75</v>
      </c>
      <c r="AE8334" t="s">
        <v>80</v>
      </c>
      <c r="AG8334" t="s">
        <v>81</v>
      </c>
    </row>
    <row r="8335" spans="1:33" x14ac:dyDescent="0.25">
      <c r="A8335" t="str">
        <f>"1891860672"</f>
        <v>1891860672</v>
      </c>
      <c r="B8335" t="str">
        <f>"02155388"</f>
        <v>02155388</v>
      </c>
      <c r="C8335" t="s">
        <v>13436</v>
      </c>
      <c r="D8335" t="s">
        <v>6193</v>
      </c>
      <c r="E8335" t="s">
        <v>6194</v>
      </c>
      <c r="G8335" t="s">
        <v>36147</v>
      </c>
      <c r="L8335" t="s">
        <v>83</v>
      </c>
      <c r="M8335" t="s">
        <v>85</v>
      </c>
      <c r="R8335" t="s">
        <v>6195</v>
      </c>
      <c r="W8335" t="s">
        <v>6194</v>
      </c>
      <c r="X8335" t="s">
        <v>258</v>
      </c>
      <c r="Y8335" t="s">
        <v>131</v>
      </c>
      <c r="Z8335" t="s">
        <v>77</v>
      </c>
      <c r="AA8335" t="str">
        <f>"10467-2401"</f>
        <v>10467-2401</v>
      </c>
      <c r="AB8335" t="s">
        <v>78</v>
      </c>
      <c r="AC8335" t="s">
        <v>79</v>
      </c>
      <c r="AD8335" t="s">
        <v>75</v>
      </c>
      <c r="AE8335" t="s">
        <v>80</v>
      </c>
      <c r="AG8335" t="s">
        <v>81</v>
      </c>
    </row>
    <row r="8336" spans="1:33" x14ac:dyDescent="0.25">
      <c r="A8336" t="str">
        <f>"1659646016"</f>
        <v>1659646016</v>
      </c>
      <c r="C8336" t="s">
        <v>13436</v>
      </c>
      <c r="K8336" t="s">
        <v>99</v>
      </c>
      <c r="L8336" t="s">
        <v>102</v>
      </c>
      <c r="M8336" t="s">
        <v>75</v>
      </c>
      <c r="R8336" t="s">
        <v>36148</v>
      </c>
      <c r="S8336" t="s">
        <v>36149</v>
      </c>
      <c r="T8336" t="s">
        <v>97</v>
      </c>
      <c r="U8336" t="s">
        <v>77</v>
      </c>
      <c r="V8336" t="str">
        <f>"100296508"</f>
        <v>100296508</v>
      </c>
      <c r="AC8336" t="s">
        <v>79</v>
      </c>
      <c r="AD8336" t="s">
        <v>75</v>
      </c>
      <c r="AE8336" t="s">
        <v>103</v>
      </c>
      <c r="AG8336" t="s">
        <v>81</v>
      </c>
    </row>
    <row r="8337" spans="1:33" x14ac:dyDescent="0.25">
      <c r="A8337" t="str">
        <f>"1659669133"</f>
        <v>1659669133</v>
      </c>
      <c r="B8337" t="str">
        <f>"03737193"</f>
        <v>03737193</v>
      </c>
      <c r="C8337" t="s">
        <v>13436</v>
      </c>
      <c r="D8337" t="s">
        <v>36150</v>
      </c>
      <c r="E8337" t="s">
        <v>36151</v>
      </c>
      <c r="G8337" t="s">
        <v>36152</v>
      </c>
      <c r="L8337" t="s">
        <v>102</v>
      </c>
      <c r="M8337" t="s">
        <v>75</v>
      </c>
      <c r="R8337" t="s">
        <v>36153</v>
      </c>
      <c r="W8337" t="s">
        <v>36151</v>
      </c>
      <c r="X8337" t="s">
        <v>329</v>
      </c>
      <c r="Y8337" t="s">
        <v>97</v>
      </c>
      <c r="Z8337" t="s">
        <v>77</v>
      </c>
      <c r="AA8337" t="str">
        <f>"10029-6504"</f>
        <v>10029-6504</v>
      </c>
      <c r="AB8337" t="s">
        <v>78</v>
      </c>
      <c r="AC8337" t="s">
        <v>79</v>
      </c>
      <c r="AD8337" t="s">
        <v>75</v>
      </c>
      <c r="AE8337" t="s">
        <v>80</v>
      </c>
      <c r="AG8337" t="s">
        <v>81</v>
      </c>
    </row>
    <row r="8338" spans="1:33" x14ac:dyDescent="0.25">
      <c r="A8338" t="str">
        <f>"1659670396"</f>
        <v>1659670396</v>
      </c>
      <c r="B8338" t="str">
        <f>"03795113"</f>
        <v>03795113</v>
      </c>
      <c r="C8338" t="s">
        <v>13436</v>
      </c>
      <c r="D8338" t="s">
        <v>36154</v>
      </c>
      <c r="E8338" t="s">
        <v>36155</v>
      </c>
      <c r="L8338" t="s">
        <v>74</v>
      </c>
      <c r="M8338" t="s">
        <v>75</v>
      </c>
      <c r="R8338" t="s">
        <v>36156</v>
      </c>
      <c r="W8338" t="s">
        <v>36155</v>
      </c>
      <c r="X8338" t="s">
        <v>12304</v>
      </c>
      <c r="Y8338" t="s">
        <v>97</v>
      </c>
      <c r="Z8338" t="s">
        <v>77</v>
      </c>
      <c r="AA8338" t="str">
        <f>"10003-4201"</f>
        <v>10003-4201</v>
      </c>
      <c r="AB8338" t="s">
        <v>78</v>
      </c>
      <c r="AC8338" t="s">
        <v>79</v>
      </c>
      <c r="AD8338" t="s">
        <v>75</v>
      </c>
      <c r="AE8338" t="s">
        <v>80</v>
      </c>
      <c r="AG8338" t="s">
        <v>81</v>
      </c>
    </row>
    <row r="8339" spans="1:33" x14ac:dyDescent="0.25">
      <c r="A8339" t="str">
        <f>"1659675320"</f>
        <v>1659675320</v>
      </c>
      <c r="C8339" t="s">
        <v>13436</v>
      </c>
      <c r="G8339" t="s">
        <v>36157</v>
      </c>
      <c r="K8339" t="s">
        <v>99</v>
      </c>
      <c r="L8339" t="s">
        <v>102</v>
      </c>
      <c r="M8339" t="s">
        <v>75</v>
      </c>
      <c r="R8339" t="s">
        <v>36158</v>
      </c>
      <c r="S8339" t="s">
        <v>36159</v>
      </c>
      <c r="T8339" t="s">
        <v>97</v>
      </c>
      <c r="U8339" t="s">
        <v>77</v>
      </c>
      <c r="V8339" t="str">
        <f>"100296501"</f>
        <v>100296501</v>
      </c>
      <c r="AC8339" t="s">
        <v>79</v>
      </c>
      <c r="AD8339" t="s">
        <v>75</v>
      </c>
      <c r="AE8339" t="s">
        <v>103</v>
      </c>
      <c r="AG8339" t="s">
        <v>81</v>
      </c>
    </row>
    <row r="8340" spans="1:33" x14ac:dyDescent="0.25">
      <c r="A8340" t="str">
        <f>"1659682854"</f>
        <v>1659682854</v>
      </c>
      <c r="C8340" t="s">
        <v>13436</v>
      </c>
      <c r="G8340" t="s">
        <v>36160</v>
      </c>
      <c r="K8340" t="s">
        <v>99</v>
      </c>
      <c r="L8340" t="s">
        <v>102</v>
      </c>
      <c r="M8340" t="s">
        <v>75</v>
      </c>
      <c r="R8340" t="s">
        <v>36161</v>
      </c>
      <c r="S8340" t="s">
        <v>36162</v>
      </c>
      <c r="T8340" t="s">
        <v>26501</v>
      </c>
      <c r="U8340" t="s">
        <v>2595</v>
      </c>
      <c r="V8340" t="str">
        <f>"946124304"</f>
        <v>946124304</v>
      </c>
      <c r="AC8340" t="s">
        <v>79</v>
      </c>
      <c r="AD8340" t="s">
        <v>75</v>
      </c>
      <c r="AE8340" t="s">
        <v>103</v>
      </c>
      <c r="AG8340" t="s">
        <v>81</v>
      </c>
    </row>
    <row r="8341" spans="1:33" x14ac:dyDescent="0.25">
      <c r="A8341" t="str">
        <f>"1659695187"</f>
        <v>1659695187</v>
      </c>
      <c r="B8341" t="str">
        <f>"03965148"</f>
        <v>03965148</v>
      </c>
      <c r="C8341" t="s">
        <v>13436</v>
      </c>
      <c r="D8341" t="s">
        <v>36163</v>
      </c>
      <c r="E8341" t="s">
        <v>36164</v>
      </c>
      <c r="G8341" t="s">
        <v>36165</v>
      </c>
      <c r="L8341" t="s">
        <v>74</v>
      </c>
      <c r="M8341" t="s">
        <v>75</v>
      </c>
      <c r="R8341" t="s">
        <v>36166</v>
      </c>
      <c r="W8341" t="s">
        <v>36164</v>
      </c>
      <c r="X8341" t="s">
        <v>2926</v>
      </c>
      <c r="Y8341" t="s">
        <v>97</v>
      </c>
      <c r="Z8341" t="s">
        <v>77</v>
      </c>
      <c r="AA8341" t="str">
        <f>"10029-6503"</f>
        <v>10029-6503</v>
      </c>
      <c r="AB8341" t="s">
        <v>78</v>
      </c>
      <c r="AC8341" t="s">
        <v>79</v>
      </c>
      <c r="AD8341" t="s">
        <v>75</v>
      </c>
      <c r="AE8341" t="s">
        <v>80</v>
      </c>
      <c r="AG8341" t="s">
        <v>81</v>
      </c>
    </row>
    <row r="8342" spans="1:33" x14ac:dyDescent="0.25">
      <c r="A8342" t="str">
        <f>"1659714103"</f>
        <v>1659714103</v>
      </c>
      <c r="C8342" t="s">
        <v>13436</v>
      </c>
      <c r="K8342" t="s">
        <v>99</v>
      </c>
      <c r="L8342" t="s">
        <v>102</v>
      </c>
      <c r="M8342" t="s">
        <v>75</v>
      </c>
      <c r="R8342" t="s">
        <v>36167</v>
      </c>
      <c r="S8342" t="s">
        <v>36168</v>
      </c>
      <c r="T8342" t="s">
        <v>97</v>
      </c>
      <c r="U8342" t="s">
        <v>77</v>
      </c>
      <c r="V8342" t="str">
        <f>"100293143"</f>
        <v>100293143</v>
      </c>
      <c r="AC8342" t="s">
        <v>79</v>
      </c>
      <c r="AD8342" t="s">
        <v>75</v>
      </c>
      <c r="AE8342" t="s">
        <v>103</v>
      </c>
      <c r="AG8342" t="s">
        <v>81</v>
      </c>
    </row>
    <row r="8343" spans="1:33" x14ac:dyDescent="0.25">
      <c r="A8343" t="str">
        <f>"1659718047"</f>
        <v>1659718047</v>
      </c>
      <c r="C8343" t="s">
        <v>13436</v>
      </c>
      <c r="K8343" t="s">
        <v>99</v>
      </c>
      <c r="L8343" t="s">
        <v>102</v>
      </c>
      <c r="M8343" t="s">
        <v>75</v>
      </c>
      <c r="R8343" t="s">
        <v>36169</v>
      </c>
      <c r="S8343" t="s">
        <v>168</v>
      </c>
      <c r="T8343" t="s">
        <v>155</v>
      </c>
      <c r="U8343" t="s">
        <v>77</v>
      </c>
      <c r="V8343" t="str">
        <f>"103101664"</f>
        <v>103101664</v>
      </c>
      <c r="AC8343" t="s">
        <v>79</v>
      </c>
      <c r="AD8343" t="s">
        <v>75</v>
      </c>
      <c r="AE8343" t="s">
        <v>103</v>
      </c>
      <c r="AG8343" t="s">
        <v>81</v>
      </c>
    </row>
    <row r="8344" spans="1:33" x14ac:dyDescent="0.25">
      <c r="A8344" t="str">
        <f>"1154335842"</f>
        <v>1154335842</v>
      </c>
      <c r="B8344" t="str">
        <f>"01612977"</f>
        <v>01612977</v>
      </c>
      <c r="C8344" t="s">
        <v>13436</v>
      </c>
      <c r="D8344" t="s">
        <v>36170</v>
      </c>
      <c r="E8344" t="s">
        <v>36171</v>
      </c>
      <c r="G8344" t="s">
        <v>36172</v>
      </c>
      <c r="L8344" t="s">
        <v>83</v>
      </c>
      <c r="M8344" t="s">
        <v>85</v>
      </c>
      <c r="R8344" t="s">
        <v>36173</v>
      </c>
      <c r="W8344" t="s">
        <v>36171</v>
      </c>
      <c r="X8344" t="s">
        <v>2525</v>
      </c>
      <c r="Y8344" t="s">
        <v>227</v>
      </c>
      <c r="Z8344" t="s">
        <v>77</v>
      </c>
      <c r="AA8344" t="str">
        <f>"10601-1712"</f>
        <v>10601-1712</v>
      </c>
      <c r="AB8344" t="s">
        <v>78</v>
      </c>
      <c r="AC8344" t="s">
        <v>79</v>
      </c>
      <c r="AD8344" t="s">
        <v>75</v>
      </c>
      <c r="AE8344" t="s">
        <v>80</v>
      </c>
      <c r="AG8344" t="s">
        <v>81</v>
      </c>
    </row>
    <row r="8345" spans="1:33" x14ac:dyDescent="0.25">
      <c r="A8345" t="str">
        <f>"1083921183"</f>
        <v>1083921183</v>
      </c>
      <c r="B8345" t="str">
        <f>"03924054"</f>
        <v>03924054</v>
      </c>
      <c r="C8345" t="s">
        <v>13436</v>
      </c>
      <c r="D8345" t="s">
        <v>36174</v>
      </c>
      <c r="E8345" t="s">
        <v>36175</v>
      </c>
      <c r="G8345" t="s">
        <v>36176</v>
      </c>
      <c r="L8345" t="s">
        <v>74</v>
      </c>
      <c r="M8345" t="s">
        <v>75</v>
      </c>
      <c r="R8345" t="s">
        <v>36175</v>
      </c>
      <c r="W8345" t="s">
        <v>36175</v>
      </c>
      <c r="X8345" t="s">
        <v>181</v>
      </c>
      <c r="Y8345" t="s">
        <v>97</v>
      </c>
      <c r="Z8345" t="s">
        <v>77</v>
      </c>
      <c r="AA8345" t="str">
        <f>"10025-1716"</f>
        <v>10025-1716</v>
      </c>
      <c r="AB8345" t="s">
        <v>78</v>
      </c>
      <c r="AC8345" t="s">
        <v>79</v>
      </c>
      <c r="AD8345" t="s">
        <v>75</v>
      </c>
      <c r="AE8345" t="s">
        <v>80</v>
      </c>
      <c r="AG8345" t="s">
        <v>81</v>
      </c>
    </row>
    <row r="8346" spans="1:33" x14ac:dyDescent="0.25">
      <c r="A8346" t="str">
        <f>"1134495575"</f>
        <v>1134495575</v>
      </c>
      <c r="C8346" t="s">
        <v>13436</v>
      </c>
      <c r="K8346" t="s">
        <v>99</v>
      </c>
      <c r="L8346" t="s">
        <v>102</v>
      </c>
      <c r="M8346" t="s">
        <v>75</v>
      </c>
      <c r="R8346" t="s">
        <v>36177</v>
      </c>
      <c r="S8346" t="s">
        <v>36178</v>
      </c>
      <c r="T8346" t="s">
        <v>14555</v>
      </c>
      <c r="U8346" t="s">
        <v>3878</v>
      </c>
      <c r="V8346" t="str">
        <f>"787035543"</f>
        <v>787035543</v>
      </c>
      <c r="AC8346" t="s">
        <v>79</v>
      </c>
      <c r="AD8346" t="s">
        <v>75</v>
      </c>
      <c r="AE8346" t="s">
        <v>103</v>
      </c>
      <c r="AG8346" t="s">
        <v>81</v>
      </c>
    </row>
    <row r="8347" spans="1:33" x14ac:dyDescent="0.25">
      <c r="A8347" t="str">
        <f>"1134536600"</f>
        <v>1134536600</v>
      </c>
      <c r="C8347" t="s">
        <v>13436</v>
      </c>
      <c r="G8347" t="s">
        <v>36179</v>
      </c>
      <c r="K8347" t="s">
        <v>99</v>
      </c>
      <c r="L8347" t="s">
        <v>102</v>
      </c>
      <c r="M8347" t="s">
        <v>75</v>
      </c>
      <c r="R8347" t="s">
        <v>36180</v>
      </c>
      <c r="S8347" t="s">
        <v>36181</v>
      </c>
      <c r="T8347" t="s">
        <v>131</v>
      </c>
      <c r="U8347" t="s">
        <v>77</v>
      </c>
      <c r="V8347" t="str">
        <f>"104683904"</f>
        <v>104683904</v>
      </c>
      <c r="AC8347" t="s">
        <v>79</v>
      </c>
      <c r="AD8347" t="s">
        <v>75</v>
      </c>
      <c r="AE8347" t="s">
        <v>103</v>
      </c>
      <c r="AG8347" t="s">
        <v>81</v>
      </c>
    </row>
    <row r="8348" spans="1:33" x14ac:dyDescent="0.25">
      <c r="A8348" t="str">
        <f>"1134536782"</f>
        <v>1134536782</v>
      </c>
      <c r="C8348" t="s">
        <v>13436</v>
      </c>
      <c r="K8348" t="s">
        <v>99</v>
      </c>
      <c r="L8348" t="s">
        <v>102</v>
      </c>
      <c r="M8348" t="s">
        <v>75</v>
      </c>
      <c r="R8348" t="s">
        <v>36182</v>
      </c>
      <c r="S8348" t="s">
        <v>191</v>
      </c>
      <c r="T8348" t="s">
        <v>97</v>
      </c>
      <c r="U8348" t="s">
        <v>77</v>
      </c>
      <c r="V8348" t="str">
        <f>"100191147"</f>
        <v>100191147</v>
      </c>
      <c r="AC8348" t="s">
        <v>79</v>
      </c>
      <c r="AD8348" t="s">
        <v>75</v>
      </c>
      <c r="AE8348" t="s">
        <v>103</v>
      </c>
      <c r="AG8348" t="s">
        <v>81</v>
      </c>
    </row>
    <row r="8349" spans="1:33" x14ac:dyDescent="0.25">
      <c r="A8349" t="str">
        <f>"1134539984"</f>
        <v>1134539984</v>
      </c>
      <c r="C8349" t="s">
        <v>13436</v>
      </c>
      <c r="K8349" t="s">
        <v>99</v>
      </c>
      <c r="L8349" t="s">
        <v>102</v>
      </c>
      <c r="M8349" t="s">
        <v>75</v>
      </c>
      <c r="R8349" t="s">
        <v>36183</v>
      </c>
      <c r="S8349" t="s">
        <v>36184</v>
      </c>
      <c r="T8349" t="s">
        <v>97</v>
      </c>
      <c r="U8349" t="s">
        <v>77</v>
      </c>
      <c r="V8349" t="str">
        <f>"10029"</f>
        <v>10029</v>
      </c>
      <c r="AC8349" t="s">
        <v>79</v>
      </c>
      <c r="AD8349" t="s">
        <v>75</v>
      </c>
      <c r="AE8349" t="s">
        <v>103</v>
      </c>
      <c r="AG8349" t="s">
        <v>81</v>
      </c>
    </row>
    <row r="8350" spans="1:33" x14ac:dyDescent="0.25">
      <c r="A8350" t="str">
        <f>"1134546195"</f>
        <v>1134546195</v>
      </c>
      <c r="C8350" t="s">
        <v>13436</v>
      </c>
      <c r="K8350" t="s">
        <v>99</v>
      </c>
      <c r="L8350" t="s">
        <v>102</v>
      </c>
      <c r="M8350" t="s">
        <v>75</v>
      </c>
      <c r="R8350" t="s">
        <v>36185</v>
      </c>
      <c r="S8350" t="s">
        <v>11602</v>
      </c>
      <c r="T8350" t="s">
        <v>97</v>
      </c>
      <c r="U8350" t="s">
        <v>77</v>
      </c>
      <c r="V8350" t="str">
        <f>"100295204"</f>
        <v>100295204</v>
      </c>
      <c r="AC8350" t="s">
        <v>79</v>
      </c>
      <c r="AD8350" t="s">
        <v>75</v>
      </c>
      <c r="AE8350" t="s">
        <v>103</v>
      </c>
      <c r="AG8350" t="s">
        <v>81</v>
      </c>
    </row>
    <row r="8351" spans="1:33" x14ac:dyDescent="0.25">
      <c r="A8351" t="str">
        <f>"1134546203"</f>
        <v>1134546203</v>
      </c>
      <c r="C8351" t="s">
        <v>13436</v>
      </c>
      <c r="K8351" t="s">
        <v>99</v>
      </c>
      <c r="L8351" t="s">
        <v>102</v>
      </c>
      <c r="M8351" t="s">
        <v>75</v>
      </c>
      <c r="R8351" t="s">
        <v>36186</v>
      </c>
      <c r="S8351" t="s">
        <v>36187</v>
      </c>
      <c r="T8351" t="s">
        <v>36188</v>
      </c>
      <c r="U8351" t="s">
        <v>2595</v>
      </c>
      <c r="V8351" t="str">
        <f>"943032473"</f>
        <v>943032473</v>
      </c>
      <c r="AC8351" t="s">
        <v>79</v>
      </c>
      <c r="AD8351" t="s">
        <v>75</v>
      </c>
      <c r="AE8351" t="s">
        <v>103</v>
      </c>
      <c r="AG8351" t="s">
        <v>81</v>
      </c>
    </row>
    <row r="8352" spans="1:33" x14ac:dyDescent="0.25">
      <c r="A8352" t="str">
        <f>"1134546427"</f>
        <v>1134546427</v>
      </c>
      <c r="C8352" t="s">
        <v>13436</v>
      </c>
      <c r="K8352" t="s">
        <v>99</v>
      </c>
      <c r="L8352" t="s">
        <v>102</v>
      </c>
      <c r="M8352" t="s">
        <v>75</v>
      </c>
      <c r="R8352" t="s">
        <v>36189</v>
      </c>
      <c r="S8352" t="s">
        <v>3553</v>
      </c>
      <c r="T8352" t="s">
        <v>97</v>
      </c>
      <c r="U8352" t="s">
        <v>77</v>
      </c>
      <c r="V8352" t="str">
        <f>"100033851"</f>
        <v>100033851</v>
      </c>
      <c r="AC8352" t="s">
        <v>79</v>
      </c>
      <c r="AD8352" t="s">
        <v>75</v>
      </c>
      <c r="AE8352" t="s">
        <v>103</v>
      </c>
      <c r="AG8352" t="s">
        <v>81</v>
      </c>
    </row>
    <row r="8353" spans="1:33" x14ac:dyDescent="0.25">
      <c r="A8353" t="str">
        <f>"1134547243"</f>
        <v>1134547243</v>
      </c>
      <c r="C8353" t="s">
        <v>13436</v>
      </c>
      <c r="K8353" t="s">
        <v>99</v>
      </c>
      <c r="L8353" t="s">
        <v>102</v>
      </c>
      <c r="M8353" t="s">
        <v>75</v>
      </c>
      <c r="R8353" t="s">
        <v>36190</v>
      </c>
      <c r="S8353" t="s">
        <v>36191</v>
      </c>
      <c r="T8353" t="s">
        <v>36192</v>
      </c>
      <c r="U8353" t="s">
        <v>156</v>
      </c>
      <c r="V8353" t="str">
        <f>"070244119"</f>
        <v>070244119</v>
      </c>
      <c r="AC8353" t="s">
        <v>79</v>
      </c>
      <c r="AD8353" t="s">
        <v>75</v>
      </c>
      <c r="AE8353" t="s">
        <v>103</v>
      </c>
      <c r="AG8353" t="s">
        <v>81</v>
      </c>
    </row>
    <row r="8354" spans="1:33" x14ac:dyDescent="0.25">
      <c r="A8354" t="str">
        <f>"1134547805"</f>
        <v>1134547805</v>
      </c>
      <c r="C8354" t="s">
        <v>13436</v>
      </c>
      <c r="K8354" t="s">
        <v>99</v>
      </c>
      <c r="L8354" t="s">
        <v>102</v>
      </c>
      <c r="M8354" t="s">
        <v>75</v>
      </c>
      <c r="R8354" t="s">
        <v>36193</v>
      </c>
      <c r="S8354" t="s">
        <v>258</v>
      </c>
      <c r="T8354" t="s">
        <v>131</v>
      </c>
      <c r="U8354" t="s">
        <v>77</v>
      </c>
      <c r="V8354" t="str">
        <f>"104672401"</f>
        <v>104672401</v>
      </c>
      <c r="AC8354" t="s">
        <v>79</v>
      </c>
      <c r="AD8354" t="s">
        <v>75</v>
      </c>
      <c r="AE8354" t="s">
        <v>103</v>
      </c>
      <c r="AG8354" t="s">
        <v>81</v>
      </c>
    </row>
    <row r="8355" spans="1:33" x14ac:dyDescent="0.25">
      <c r="A8355" t="str">
        <f>"1134569544"</f>
        <v>1134569544</v>
      </c>
      <c r="C8355" t="s">
        <v>13436</v>
      </c>
      <c r="K8355" t="s">
        <v>99</v>
      </c>
      <c r="L8355" t="s">
        <v>102</v>
      </c>
      <c r="M8355" t="s">
        <v>75</v>
      </c>
      <c r="R8355" t="s">
        <v>36194</v>
      </c>
      <c r="S8355" t="s">
        <v>36195</v>
      </c>
      <c r="T8355" t="s">
        <v>97</v>
      </c>
      <c r="U8355" t="s">
        <v>77</v>
      </c>
      <c r="V8355" t="str">
        <f>"100033821"</f>
        <v>100033821</v>
      </c>
      <c r="AC8355" t="s">
        <v>79</v>
      </c>
      <c r="AD8355" t="s">
        <v>75</v>
      </c>
      <c r="AE8355" t="s">
        <v>103</v>
      </c>
      <c r="AG8355" t="s">
        <v>81</v>
      </c>
    </row>
    <row r="8356" spans="1:33" x14ac:dyDescent="0.25">
      <c r="A8356" t="str">
        <f>"1407289200"</f>
        <v>1407289200</v>
      </c>
      <c r="B8356" t="str">
        <f>"04209909"</f>
        <v>04209909</v>
      </c>
      <c r="C8356" t="s">
        <v>13436</v>
      </c>
      <c r="D8356" t="s">
        <v>36196</v>
      </c>
      <c r="E8356" t="s">
        <v>36197</v>
      </c>
      <c r="G8356" t="s">
        <v>36198</v>
      </c>
      <c r="L8356" t="s">
        <v>83</v>
      </c>
      <c r="M8356" t="s">
        <v>75</v>
      </c>
      <c r="R8356" t="s">
        <v>36199</v>
      </c>
      <c r="W8356" t="s">
        <v>36200</v>
      </c>
      <c r="X8356" t="s">
        <v>1010</v>
      </c>
      <c r="Y8356" t="s">
        <v>97</v>
      </c>
      <c r="Z8356" t="s">
        <v>77</v>
      </c>
      <c r="AA8356" t="str">
        <f>"10035-3832"</f>
        <v>10035-3832</v>
      </c>
      <c r="AB8356" t="s">
        <v>78</v>
      </c>
      <c r="AC8356" t="s">
        <v>79</v>
      </c>
      <c r="AD8356" t="s">
        <v>75</v>
      </c>
      <c r="AE8356" t="s">
        <v>80</v>
      </c>
      <c r="AG8356" t="s">
        <v>81</v>
      </c>
    </row>
    <row r="8357" spans="1:33" x14ac:dyDescent="0.25">
      <c r="A8357" t="str">
        <f>"1407292329"</f>
        <v>1407292329</v>
      </c>
      <c r="C8357" t="s">
        <v>13436</v>
      </c>
      <c r="K8357" t="s">
        <v>99</v>
      </c>
      <c r="L8357" t="s">
        <v>102</v>
      </c>
      <c r="M8357" t="s">
        <v>75</v>
      </c>
      <c r="R8357" t="s">
        <v>36201</v>
      </c>
      <c r="S8357" t="s">
        <v>36202</v>
      </c>
      <c r="T8357" t="s">
        <v>97</v>
      </c>
      <c r="U8357" t="s">
        <v>77</v>
      </c>
      <c r="V8357" t="str">
        <f>"100251716"</f>
        <v>100251716</v>
      </c>
      <c r="AC8357" t="s">
        <v>79</v>
      </c>
      <c r="AD8357" t="s">
        <v>75</v>
      </c>
      <c r="AE8357" t="s">
        <v>103</v>
      </c>
      <c r="AG8357" t="s">
        <v>81</v>
      </c>
    </row>
    <row r="8358" spans="1:33" x14ac:dyDescent="0.25">
      <c r="A8358" t="str">
        <f>"1407913130"</f>
        <v>1407913130</v>
      </c>
      <c r="B8358" t="str">
        <f>"01426420"</f>
        <v>01426420</v>
      </c>
      <c r="C8358" t="s">
        <v>13436</v>
      </c>
      <c r="D8358" t="s">
        <v>36203</v>
      </c>
      <c r="E8358" t="s">
        <v>36204</v>
      </c>
      <c r="G8358" t="s">
        <v>36205</v>
      </c>
      <c r="L8358" t="s">
        <v>84</v>
      </c>
      <c r="M8358" t="s">
        <v>85</v>
      </c>
      <c r="R8358" t="s">
        <v>36206</v>
      </c>
      <c r="W8358" t="s">
        <v>36207</v>
      </c>
      <c r="X8358" t="s">
        <v>36208</v>
      </c>
      <c r="Y8358" t="s">
        <v>87</v>
      </c>
      <c r="Z8358" t="s">
        <v>77</v>
      </c>
      <c r="AA8358" t="str">
        <f>"11211-8006"</f>
        <v>11211-8006</v>
      </c>
      <c r="AB8358" t="s">
        <v>78</v>
      </c>
      <c r="AC8358" t="s">
        <v>79</v>
      </c>
      <c r="AD8358" t="s">
        <v>75</v>
      </c>
      <c r="AE8358" t="s">
        <v>80</v>
      </c>
      <c r="AG8358" t="s">
        <v>81</v>
      </c>
    </row>
    <row r="8359" spans="1:33" x14ac:dyDescent="0.25">
      <c r="A8359" t="str">
        <f>"1407920465"</f>
        <v>1407920465</v>
      </c>
      <c r="B8359" t="str">
        <f>"01768469"</f>
        <v>01768469</v>
      </c>
      <c r="C8359" t="s">
        <v>13436</v>
      </c>
      <c r="D8359" t="s">
        <v>36209</v>
      </c>
      <c r="E8359" t="s">
        <v>36210</v>
      </c>
      <c r="G8359" t="s">
        <v>36211</v>
      </c>
      <c r="L8359" t="s">
        <v>83</v>
      </c>
      <c r="M8359" t="s">
        <v>85</v>
      </c>
      <c r="R8359" t="s">
        <v>36212</v>
      </c>
      <c r="W8359" t="s">
        <v>36210</v>
      </c>
      <c r="Y8359" t="s">
        <v>97</v>
      </c>
      <c r="Z8359" t="s">
        <v>77</v>
      </c>
      <c r="AA8359" t="str">
        <f>"10032-3720"</f>
        <v>10032-3720</v>
      </c>
      <c r="AB8359" t="s">
        <v>78</v>
      </c>
      <c r="AC8359" t="s">
        <v>79</v>
      </c>
      <c r="AD8359" t="s">
        <v>75</v>
      </c>
      <c r="AE8359" t="s">
        <v>80</v>
      </c>
      <c r="AG8359" t="s">
        <v>81</v>
      </c>
    </row>
    <row r="8360" spans="1:33" x14ac:dyDescent="0.25">
      <c r="A8360" t="str">
        <f>"1407938582"</f>
        <v>1407938582</v>
      </c>
      <c r="B8360" t="str">
        <f>"02811796"</f>
        <v>02811796</v>
      </c>
      <c r="C8360" t="s">
        <v>13436</v>
      </c>
      <c r="D8360" t="s">
        <v>3584</v>
      </c>
      <c r="E8360" t="s">
        <v>3585</v>
      </c>
      <c r="L8360" t="s">
        <v>83</v>
      </c>
      <c r="M8360" t="s">
        <v>85</v>
      </c>
      <c r="R8360" t="s">
        <v>3586</v>
      </c>
      <c r="W8360" t="s">
        <v>3585</v>
      </c>
      <c r="X8360" t="s">
        <v>432</v>
      </c>
      <c r="Y8360" t="s">
        <v>97</v>
      </c>
      <c r="Z8360" t="s">
        <v>77</v>
      </c>
      <c r="AA8360" t="str">
        <f>"10034-1159"</f>
        <v>10034-1159</v>
      </c>
      <c r="AB8360" t="s">
        <v>78</v>
      </c>
      <c r="AC8360" t="s">
        <v>79</v>
      </c>
      <c r="AD8360" t="s">
        <v>75</v>
      </c>
      <c r="AE8360" t="s">
        <v>80</v>
      </c>
      <c r="AG8360" t="s">
        <v>81</v>
      </c>
    </row>
    <row r="8361" spans="1:33" x14ac:dyDescent="0.25">
      <c r="A8361" t="str">
        <f>"1407946593"</f>
        <v>1407946593</v>
      </c>
      <c r="B8361" t="str">
        <f>"01214126"</f>
        <v>01214126</v>
      </c>
      <c r="C8361" t="s">
        <v>13436</v>
      </c>
      <c r="D8361" t="s">
        <v>36213</v>
      </c>
      <c r="E8361" t="s">
        <v>36214</v>
      </c>
      <c r="G8361" t="s">
        <v>36215</v>
      </c>
      <c r="L8361" t="s">
        <v>102</v>
      </c>
      <c r="M8361" t="s">
        <v>75</v>
      </c>
      <c r="R8361" t="s">
        <v>36216</v>
      </c>
      <c r="W8361" t="s">
        <v>36214</v>
      </c>
      <c r="X8361" t="s">
        <v>36217</v>
      </c>
      <c r="Y8361" t="s">
        <v>124</v>
      </c>
      <c r="Z8361" t="s">
        <v>77</v>
      </c>
      <c r="AA8361" t="str">
        <f>"14642-0001"</f>
        <v>14642-0001</v>
      </c>
      <c r="AB8361" t="s">
        <v>78</v>
      </c>
      <c r="AC8361" t="s">
        <v>79</v>
      </c>
      <c r="AD8361" t="s">
        <v>75</v>
      </c>
      <c r="AE8361" t="s">
        <v>80</v>
      </c>
      <c r="AG8361" t="s">
        <v>81</v>
      </c>
    </row>
    <row r="8362" spans="1:33" x14ac:dyDescent="0.25">
      <c r="A8362" t="str">
        <f>"1407962509"</f>
        <v>1407962509</v>
      </c>
      <c r="B8362" t="str">
        <f>"01083081"</f>
        <v>01083081</v>
      </c>
      <c r="C8362" t="s">
        <v>13436</v>
      </c>
      <c r="D8362" t="s">
        <v>36218</v>
      </c>
      <c r="E8362" t="s">
        <v>36219</v>
      </c>
      <c r="G8362" t="s">
        <v>36220</v>
      </c>
      <c r="L8362" t="s">
        <v>74</v>
      </c>
      <c r="M8362" t="s">
        <v>85</v>
      </c>
      <c r="R8362" t="s">
        <v>36221</v>
      </c>
      <c r="W8362" t="s">
        <v>36222</v>
      </c>
      <c r="X8362" t="s">
        <v>26712</v>
      </c>
      <c r="Y8362" t="s">
        <v>97</v>
      </c>
      <c r="Z8362" t="s">
        <v>77</v>
      </c>
      <c r="AA8362" t="str">
        <f>"10024-6003"</f>
        <v>10024-6003</v>
      </c>
      <c r="AB8362" t="s">
        <v>78</v>
      </c>
      <c r="AC8362" t="s">
        <v>79</v>
      </c>
      <c r="AD8362" t="s">
        <v>75</v>
      </c>
      <c r="AE8362" t="s">
        <v>80</v>
      </c>
      <c r="AG8362" t="s">
        <v>81</v>
      </c>
    </row>
    <row r="8363" spans="1:33" x14ac:dyDescent="0.25">
      <c r="A8363" t="str">
        <f>"1407969603"</f>
        <v>1407969603</v>
      </c>
      <c r="B8363" t="str">
        <f>"02797304"</f>
        <v>02797304</v>
      </c>
      <c r="C8363" t="s">
        <v>13436</v>
      </c>
      <c r="D8363" t="s">
        <v>36223</v>
      </c>
      <c r="E8363" t="s">
        <v>36224</v>
      </c>
      <c r="L8363" t="s">
        <v>84</v>
      </c>
      <c r="M8363" t="s">
        <v>85</v>
      </c>
      <c r="R8363" t="s">
        <v>36225</v>
      </c>
      <c r="W8363" t="s">
        <v>36224</v>
      </c>
      <c r="X8363" t="s">
        <v>289</v>
      </c>
      <c r="Y8363" t="s">
        <v>283</v>
      </c>
      <c r="Z8363" t="s">
        <v>77</v>
      </c>
      <c r="AA8363" t="str">
        <f>"11418-2618"</f>
        <v>11418-2618</v>
      </c>
      <c r="AB8363" t="s">
        <v>78</v>
      </c>
      <c r="AC8363" t="s">
        <v>79</v>
      </c>
      <c r="AD8363" t="s">
        <v>75</v>
      </c>
      <c r="AE8363" t="s">
        <v>80</v>
      </c>
      <c r="AG8363" t="s">
        <v>81</v>
      </c>
    </row>
    <row r="8364" spans="1:33" x14ac:dyDescent="0.25">
      <c r="A8364" t="str">
        <f>"1407989775"</f>
        <v>1407989775</v>
      </c>
      <c r="B8364" t="str">
        <f>"03107586"</f>
        <v>03107586</v>
      </c>
      <c r="C8364" t="s">
        <v>13436</v>
      </c>
      <c r="D8364" t="s">
        <v>36226</v>
      </c>
      <c r="E8364" t="s">
        <v>36227</v>
      </c>
      <c r="G8364" t="s">
        <v>36228</v>
      </c>
      <c r="L8364" t="s">
        <v>74</v>
      </c>
      <c r="M8364" t="s">
        <v>75</v>
      </c>
      <c r="R8364" t="s">
        <v>36229</v>
      </c>
      <c r="W8364" t="s">
        <v>36227</v>
      </c>
      <c r="X8364" t="s">
        <v>26553</v>
      </c>
      <c r="Y8364" t="s">
        <v>87</v>
      </c>
      <c r="Z8364" t="s">
        <v>77</v>
      </c>
      <c r="AA8364" t="str">
        <f>"11201-2776"</f>
        <v>11201-2776</v>
      </c>
      <c r="AB8364" t="s">
        <v>78</v>
      </c>
      <c r="AC8364" t="s">
        <v>79</v>
      </c>
      <c r="AD8364" t="s">
        <v>75</v>
      </c>
      <c r="AE8364" t="s">
        <v>80</v>
      </c>
      <c r="AG8364" t="s">
        <v>81</v>
      </c>
    </row>
    <row r="8365" spans="1:33" x14ac:dyDescent="0.25">
      <c r="A8365" t="str">
        <f>"1417023367"</f>
        <v>1417023367</v>
      </c>
      <c r="B8365" t="str">
        <f>"02793960"</f>
        <v>02793960</v>
      </c>
      <c r="C8365" t="s">
        <v>13436</v>
      </c>
      <c r="D8365" t="s">
        <v>36230</v>
      </c>
      <c r="E8365" t="s">
        <v>36231</v>
      </c>
      <c r="G8365" t="s">
        <v>36232</v>
      </c>
      <c r="L8365" t="s">
        <v>74</v>
      </c>
      <c r="M8365" t="s">
        <v>85</v>
      </c>
      <c r="R8365" t="s">
        <v>36233</v>
      </c>
      <c r="W8365" t="s">
        <v>36234</v>
      </c>
      <c r="X8365" t="s">
        <v>11460</v>
      </c>
      <c r="Y8365" t="s">
        <v>97</v>
      </c>
      <c r="Z8365" t="s">
        <v>77</v>
      </c>
      <c r="AA8365" t="str">
        <f>"10029-6501"</f>
        <v>10029-6501</v>
      </c>
      <c r="AB8365" t="s">
        <v>78</v>
      </c>
      <c r="AC8365" t="s">
        <v>79</v>
      </c>
      <c r="AD8365" t="s">
        <v>75</v>
      </c>
      <c r="AE8365" t="s">
        <v>80</v>
      </c>
      <c r="AG8365" t="s">
        <v>81</v>
      </c>
    </row>
    <row r="8366" spans="1:33" x14ac:dyDescent="0.25">
      <c r="A8366" t="str">
        <f>"1417057209"</f>
        <v>1417057209</v>
      </c>
      <c r="B8366" t="str">
        <f>"02282300"</f>
        <v>02282300</v>
      </c>
      <c r="C8366" t="s">
        <v>13436</v>
      </c>
      <c r="D8366" t="s">
        <v>36235</v>
      </c>
      <c r="E8366" t="s">
        <v>36236</v>
      </c>
      <c r="G8366" t="s">
        <v>36237</v>
      </c>
      <c r="L8366" t="s">
        <v>94</v>
      </c>
      <c r="M8366" t="s">
        <v>85</v>
      </c>
      <c r="R8366" t="s">
        <v>36238</v>
      </c>
      <c r="W8366" t="s">
        <v>36236</v>
      </c>
      <c r="X8366" t="s">
        <v>329</v>
      </c>
      <c r="Y8366" t="s">
        <v>97</v>
      </c>
      <c r="Z8366" t="s">
        <v>77</v>
      </c>
      <c r="AA8366" t="str">
        <f>"10029-6504"</f>
        <v>10029-6504</v>
      </c>
      <c r="AB8366" t="s">
        <v>78</v>
      </c>
      <c r="AC8366" t="s">
        <v>79</v>
      </c>
      <c r="AD8366" t="s">
        <v>75</v>
      </c>
      <c r="AE8366" t="s">
        <v>80</v>
      </c>
      <c r="AG8366" t="s">
        <v>81</v>
      </c>
    </row>
    <row r="8367" spans="1:33" x14ac:dyDescent="0.25">
      <c r="A8367" t="str">
        <f>"1417059577"</f>
        <v>1417059577</v>
      </c>
      <c r="B8367" t="str">
        <f>"00608806"</f>
        <v>00608806</v>
      </c>
      <c r="C8367" t="s">
        <v>13436</v>
      </c>
      <c r="D8367" t="s">
        <v>36239</v>
      </c>
      <c r="E8367" t="s">
        <v>36240</v>
      </c>
      <c r="G8367" t="s">
        <v>36241</v>
      </c>
      <c r="L8367" t="s">
        <v>74</v>
      </c>
      <c r="M8367" t="s">
        <v>75</v>
      </c>
      <c r="R8367" t="s">
        <v>36242</v>
      </c>
      <c r="W8367" t="s">
        <v>36243</v>
      </c>
      <c r="X8367" t="s">
        <v>1010</v>
      </c>
      <c r="Y8367" t="s">
        <v>97</v>
      </c>
      <c r="Z8367" t="s">
        <v>77</v>
      </c>
      <c r="AA8367" t="str">
        <f>"10035-3832"</f>
        <v>10035-3832</v>
      </c>
      <c r="AB8367" t="s">
        <v>82</v>
      </c>
      <c r="AC8367" t="s">
        <v>79</v>
      </c>
      <c r="AD8367" t="s">
        <v>75</v>
      </c>
      <c r="AE8367" t="s">
        <v>80</v>
      </c>
      <c r="AG8367" t="s">
        <v>81</v>
      </c>
    </row>
    <row r="8368" spans="1:33" x14ac:dyDescent="0.25">
      <c r="A8368" t="str">
        <f>"1417076084"</f>
        <v>1417076084</v>
      </c>
      <c r="C8368" t="s">
        <v>13436</v>
      </c>
      <c r="G8368" t="s">
        <v>36244</v>
      </c>
      <c r="K8368" t="s">
        <v>99</v>
      </c>
      <c r="L8368" t="s">
        <v>102</v>
      </c>
      <c r="M8368" t="s">
        <v>75</v>
      </c>
      <c r="R8368" t="s">
        <v>36245</v>
      </c>
      <c r="S8368" t="s">
        <v>36246</v>
      </c>
      <c r="T8368" t="s">
        <v>97</v>
      </c>
      <c r="U8368" t="s">
        <v>77</v>
      </c>
      <c r="V8368" t="str">
        <f>"10029"</f>
        <v>10029</v>
      </c>
      <c r="AC8368" t="s">
        <v>79</v>
      </c>
      <c r="AD8368" t="s">
        <v>75</v>
      </c>
      <c r="AE8368" t="s">
        <v>103</v>
      </c>
      <c r="AG8368" t="s">
        <v>81</v>
      </c>
    </row>
    <row r="8369" spans="1:33" x14ac:dyDescent="0.25">
      <c r="A8369" t="str">
        <f>"1417101411"</f>
        <v>1417101411</v>
      </c>
      <c r="B8369" t="str">
        <f>"03463921"</f>
        <v>03463921</v>
      </c>
      <c r="C8369" t="s">
        <v>13436</v>
      </c>
      <c r="D8369" t="s">
        <v>36247</v>
      </c>
      <c r="E8369" t="s">
        <v>36248</v>
      </c>
      <c r="G8369" t="s">
        <v>36249</v>
      </c>
      <c r="L8369" t="s">
        <v>83</v>
      </c>
      <c r="M8369" t="s">
        <v>85</v>
      </c>
      <c r="R8369" t="s">
        <v>36250</v>
      </c>
      <c r="W8369" t="s">
        <v>36248</v>
      </c>
      <c r="X8369" t="s">
        <v>30770</v>
      </c>
      <c r="Y8369" t="s">
        <v>97</v>
      </c>
      <c r="Z8369" t="s">
        <v>77</v>
      </c>
      <c r="AA8369" t="str">
        <f>"10029-6504"</f>
        <v>10029-6504</v>
      </c>
      <c r="AB8369" t="s">
        <v>78</v>
      </c>
      <c r="AC8369" t="s">
        <v>79</v>
      </c>
      <c r="AD8369" t="s">
        <v>75</v>
      </c>
      <c r="AE8369" t="s">
        <v>80</v>
      </c>
      <c r="AG8369" t="s">
        <v>81</v>
      </c>
    </row>
    <row r="8370" spans="1:33" x14ac:dyDescent="0.25">
      <c r="A8370" t="str">
        <f>"1659349520"</f>
        <v>1659349520</v>
      </c>
      <c r="B8370" t="str">
        <f>"01571291"</f>
        <v>01571291</v>
      </c>
      <c r="C8370" t="s">
        <v>13436</v>
      </c>
      <c r="D8370" t="s">
        <v>36251</v>
      </c>
      <c r="E8370" t="s">
        <v>36252</v>
      </c>
      <c r="G8370" t="s">
        <v>36253</v>
      </c>
      <c r="L8370" t="s">
        <v>83</v>
      </c>
      <c r="M8370" t="s">
        <v>85</v>
      </c>
      <c r="R8370" t="s">
        <v>36254</v>
      </c>
      <c r="W8370" t="s">
        <v>36252</v>
      </c>
      <c r="X8370" t="s">
        <v>36255</v>
      </c>
      <c r="Y8370" t="s">
        <v>97</v>
      </c>
      <c r="Z8370" t="s">
        <v>77</v>
      </c>
      <c r="AA8370" t="str">
        <f>"10029-6501"</f>
        <v>10029-6501</v>
      </c>
      <c r="AB8370" t="s">
        <v>78</v>
      </c>
      <c r="AC8370" t="s">
        <v>79</v>
      </c>
      <c r="AD8370" t="s">
        <v>75</v>
      </c>
      <c r="AE8370" t="s">
        <v>80</v>
      </c>
      <c r="AG8370" t="s">
        <v>81</v>
      </c>
    </row>
    <row r="8371" spans="1:33" x14ac:dyDescent="0.25">
      <c r="A8371" t="str">
        <f>"1659349603"</f>
        <v>1659349603</v>
      </c>
      <c r="B8371" t="str">
        <f>"01591895"</f>
        <v>01591895</v>
      </c>
      <c r="C8371" t="s">
        <v>13436</v>
      </c>
      <c r="D8371" t="s">
        <v>36256</v>
      </c>
      <c r="E8371" t="s">
        <v>36257</v>
      </c>
      <c r="G8371" t="s">
        <v>36258</v>
      </c>
      <c r="L8371" t="s">
        <v>83</v>
      </c>
      <c r="M8371" t="s">
        <v>85</v>
      </c>
      <c r="R8371" t="s">
        <v>36259</v>
      </c>
      <c r="W8371" t="s">
        <v>36257</v>
      </c>
      <c r="X8371" t="s">
        <v>4891</v>
      </c>
      <c r="Y8371" t="s">
        <v>97</v>
      </c>
      <c r="Z8371" t="s">
        <v>77</v>
      </c>
      <c r="AA8371" t="str">
        <f>"10029-6500"</f>
        <v>10029-6500</v>
      </c>
      <c r="AB8371" t="s">
        <v>78</v>
      </c>
      <c r="AC8371" t="s">
        <v>79</v>
      </c>
      <c r="AD8371" t="s">
        <v>75</v>
      </c>
      <c r="AE8371" t="s">
        <v>80</v>
      </c>
      <c r="AG8371" t="s">
        <v>81</v>
      </c>
    </row>
    <row r="8372" spans="1:33" x14ac:dyDescent="0.25">
      <c r="A8372" t="str">
        <f>"1659350684"</f>
        <v>1659350684</v>
      </c>
      <c r="B8372" t="str">
        <f>"02386969"</f>
        <v>02386969</v>
      </c>
      <c r="C8372" t="s">
        <v>13436</v>
      </c>
      <c r="D8372" t="s">
        <v>36260</v>
      </c>
      <c r="E8372" t="s">
        <v>36261</v>
      </c>
      <c r="G8372" t="s">
        <v>36262</v>
      </c>
      <c r="L8372" t="s">
        <v>83</v>
      </c>
      <c r="M8372" t="s">
        <v>75</v>
      </c>
      <c r="R8372" t="s">
        <v>36263</v>
      </c>
      <c r="W8372" t="s">
        <v>36261</v>
      </c>
      <c r="X8372" t="s">
        <v>4029</v>
      </c>
      <c r="Y8372" t="s">
        <v>97</v>
      </c>
      <c r="Z8372" t="s">
        <v>77</v>
      </c>
      <c r="AA8372" t="str">
        <f>"10029-6503"</f>
        <v>10029-6503</v>
      </c>
      <c r="AB8372" t="s">
        <v>78</v>
      </c>
      <c r="AC8372" t="s">
        <v>79</v>
      </c>
      <c r="AD8372" t="s">
        <v>75</v>
      </c>
      <c r="AE8372" t="s">
        <v>80</v>
      </c>
      <c r="AG8372" t="s">
        <v>81</v>
      </c>
    </row>
    <row r="8373" spans="1:33" x14ac:dyDescent="0.25">
      <c r="A8373" t="str">
        <f>"1710302187"</f>
        <v>1710302187</v>
      </c>
      <c r="C8373" t="s">
        <v>13436</v>
      </c>
      <c r="G8373" t="s">
        <v>36264</v>
      </c>
      <c r="K8373" t="s">
        <v>99</v>
      </c>
      <c r="L8373" t="s">
        <v>102</v>
      </c>
      <c r="M8373" t="s">
        <v>75</v>
      </c>
      <c r="R8373" t="s">
        <v>36265</v>
      </c>
      <c r="S8373" t="s">
        <v>36266</v>
      </c>
      <c r="T8373" t="s">
        <v>131</v>
      </c>
      <c r="U8373" t="s">
        <v>77</v>
      </c>
      <c r="V8373" t="str">
        <f>"104683904"</f>
        <v>104683904</v>
      </c>
      <c r="AC8373" t="s">
        <v>79</v>
      </c>
      <c r="AD8373" t="s">
        <v>75</v>
      </c>
      <c r="AE8373" t="s">
        <v>103</v>
      </c>
      <c r="AG8373" t="s">
        <v>81</v>
      </c>
    </row>
    <row r="8374" spans="1:33" x14ac:dyDescent="0.25">
      <c r="A8374" t="str">
        <f>"1710306428"</f>
        <v>1710306428</v>
      </c>
      <c r="C8374" t="s">
        <v>13436</v>
      </c>
      <c r="K8374" t="s">
        <v>99</v>
      </c>
      <c r="L8374" t="s">
        <v>102</v>
      </c>
      <c r="M8374" t="s">
        <v>75</v>
      </c>
      <c r="R8374" t="s">
        <v>36267</v>
      </c>
      <c r="S8374" t="s">
        <v>329</v>
      </c>
      <c r="T8374" t="s">
        <v>97</v>
      </c>
      <c r="U8374" t="s">
        <v>77</v>
      </c>
      <c r="V8374" t="str">
        <f>"100296504"</f>
        <v>100296504</v>
      </c>
      <c r="AC8374" t="s">
        <v>79</v>
      </c>
      <c r="AD8374" t="s">
        <v>75</v>
      </c>
      <c r="AE8374" t="s">
        <v>103</v>
      </c>
      <c r="AG8374" t="s">
        <v>81</v>
      </c>
    </row>
    <row r="8375" spans="1:33" x14ac:dyDescent="0.25">
      <c r="A8375" t="str">
        <f>"1811287949"</f>
        <v>1811287949</v>
      </c>
      <c r="B8375" t="str">
        <f>"03568403"</f>
        <v>03568403</v>
      </c>
      <c r="C8375" t="s">
        <v>13436</v>
      </c>
      <c r="D8375" t="s">
        <v>36268</v>
      </c>
      <c r="E8375" t="s">
        <v>36269</v>
      </c>
      <c r="G8375" t="s">
        <v>36270</v>
      </c>
      <c r="L8375" t="s">
        <v>102</v>
      </c>
      <c r="M8375" t="s">
        <v>75</v>
      </c>
      <c r="R8375" t="s">
        <v>36271</v>
      </c>
      <c r="W8375" t="s">
        <v>36269</v>
      </c>
      <c r="X8375" t="s">
        <v>1076</v>
      </c>
      <c r="Y8375" t="s">
        <v>97</v>
      </c>
      <c r="Z8375" t="s">
        <v>77</v>
      </c>
      <c r="AA8375" t="str">
        <f>"10025-1737"</f>
        <v>10025-1737</v>
      </c>
      <c r="AB8375" t="s">
        <v>125</v>
      </c>
      <c r="AC8375" t="s">
        <v>79</v>
      </c>
      <c r="AD8375" t="s">
        <v>75</v>
      </c>
      <c r="AE8375" t="s">
        <v>80</v>
      </c>
      <c r="AG8375" t="s">
        <v>81</v>
      </c>
    </row>
    <row r="8376" spans="1:33" x14ac:dyDescent="0.25">
      <c r="A8376" t="str">
        <f>"1811293301"</f>
        <v>1811293301</v>
      </c>
      <c r="C8376" t="s">
        <v>13436</v>
      </c>
      <c r="G8376" t="s">
        <v>36272</v>
      </c>
      <c r="K8376" t="s">
        <v>99</v>
      </c>
      <c r="L8376" t="s">
        <v>102</v>
      </c>
      <c r="M8376" t="s">
        <v>85</v>
      </c>
      <c r="R8376" t="s">
        <v>36273</v>
      </c>
      <c r="S8376" t="s">
        <v>191</v>
      </c>
      <c r="T8376" t="s">
        <v>97</v>
      </c>
      <c r="U8376" t="s">
        <v>77</v>
      </c>
      <c r="V8376" t="str">
        <f>"100191147"</f>
        <v>100191147</v>
      </c>
      <c r="AC8376" t="s">
        <v>79</v>
      </c>
      <c r="AD8376" t="s">
        <v>75</v>
      </c>
      <c r="AE8376" t="s">
        <v>103</v>
      </c>
      <c r="AG8376" t="s">
        <v>81</v>
      </c>
    </row>
    <row r="8377" spans="1:33" x14ac:dyDescent="0.25">
      <c r="A8377" t="str">
        <f>"1790704542"</f>
        <v>1790704542</v>
      </c>
      <c r="B8377" t="str">
        <f>"02490297"</f>
        <v>02490297</v>
      </c>
      <c r="C8377" t="s">
        <v>13436</v>
      </c>
      <c r="D8377" t="s">
        <v>36274</v>
      </c>
      <c r="E8377" t="s">
        <v>36275</v>
      </c>
      <c r="G8377" t="s">
        <v>36276</v>
      </c>
      <c r="L8377" t="s">
        <v>74</v>
      </c>
      <c r="M8377" t="s">
        <v>75</v>
      </c>
      <c r="R8377" t="s">
        <v>36275</v>
      </c>
      <c r="W8377" t="s">
        <v>36275</v>
      </c>
      <c r="X8377" t="s">
        <v>1076</v>
      </c>
      <c r="Y8377" t="s">
        <v>97</v>
      </c>
      <c r="Z8377" t="s">
        <v>77</v>
      </c>
      <c r="AA8377" t="str">
        <f>"10025-1737"</f>
        <v>10025-1737</v>
      </c>
      <c r="AB8377" t="s">
        <v>125</v>
      </c>
      <c r="AC8377" t="s">
        <v>79</v>
      </c>
      <c r="AD8377" t="s">
        <v>75</v>
      </c>
      <c r="AE8377" t="s">
        <v>80</v>
      </c>
      <c r="AG8377" t="s">
        <v>81</v>
      </c>
    </row>
    <row r="8378" spans="1:33" x14ac:dyDescent="0.25">
      <c r="A8378" t="str">
        <f>"1790712271"</f>
        <v>1790712271</v>
      </c>
      <c r="B8378" t="str">
        <f>"02236675"</f>
        <v>02236675</v>
      </c>
      <c r="C8378" t="s">
        <v>13436</v>
      </c>
      <c r="D8378" t="s">
        <v>36277</v>
      </c>
      <c r="E8378" t="s">
        <v>36278</v>
      </c>
      <c r="L8378" t="s">
        <v>83</v>
      </c>
      <c r="M8378" t="s">
        <v>85</v>
      </c>
      <c r="R8378" t="s">
        <v>36279</v>
      </c>
      <c r="W8378" t="s">
        <v>36279</v>
      </c>
      <c r="X8378" t="s">
        <v>26007</v>
      </c>
      <c r="Y8378" t="s">
        <v>97</v>
      </c>
      <c r="Z8378" t="s">
        <v>77</v>
      </c>
      <c r="AA8378" t="str">
        <f>"10029-6508"</f>
        <v>10029-6508</v>
      </c>
      <c r="AB8378" t="s">
        <v>78</v>
      </c>
      <c r="AC8378" t="s">
        <v>79</v>
      </c>
      <c r="AD8378" t="s">
        <v>75</v>
      </c>
      <c r="AE8378" t="s">
        <v>80</v>
      </c>
      <c r="AG8378" t="s">
        <v>81</v>
      </c>
    </row>
    <row r="8379" spans="1:33" x14ac:dyDescent="0.25">
      <c r="A8379" t="str">
        <f>"1790727972"</f>
        <v>1790727972</v>
      </c>
      <c r="B8379" t="str">
        <f>"00392241"</f>
        <v>00392241</v>
      </c>
      <c r="C8379" t="s">
        <v>13436</v>
      </c>
      <c r="D8379" t="s">
        <v>36280</v>
      </c>
      <c r="E8379" t="s">
        <v>36281</v>
      </c>
      <c r="G8379" t="s">
        <v>36282</v>
      </c>
      <c r="L8379" t="s">
        <v>74</v>
      </c>
      <c r="M8379" t="s">
        <v>75</v>
      </c>
      <c r="R8379" t="s">
        <v>36283</v>
      </c>
      <c r="W8379" t="s">
        <v>36281</v>
      </c>
      <c r="X8379" t="s">
        <v>329</v>
      </c>
      <c r="Y8379" t="s">
        <v>97</v>
      </c>
      <c r="Z8379" t="s">
        <v>77</v>
      </c>
      <c r="AA8379" t="str">
        <f>"10029-6500"</f>
        <v>10029-6500</v>
      </c>
      <c r="AB8379" t="s">
        <v>78</v>
      </c>
      <c r="AC8379" t="s">
        <v>79</v>
      </c>
      <c r="AD8379" t="s">
        <v>75</v>
      </c>
      <c r="AE8379" t="s">
        <v>80</v>
      </c>
      <c r="AG8379" t="s">
        <v>81</v>
      </c>
    </row>
    <row r="8380" spans="1:33" x14ac:dyDescent="0.25">
      <c r="A8380" t="str">
        <f>"1790753135"</f>
        <v>1790753135</v>
      </c>
      <c r="B8380" t="str">
        <f>"01737746"</f>
        <v>01737746</v>
      </c>
      <c r="C8380" t="s">
        <v>13436</v>
      </c>
      <c r="D8380" t="s">
        <v>36284</v>
      </c>
      <c r="E8380" t="s">
        <v>36285</v>
      </c>
      <c r="G8380" t="s">
        <v>36286</v>
      </c>
      <c r="L8380" t="s">
        <v>74</v>
      </c>
      <c r="M8380" t="s">
        <v>85</v>
      </c>
      <c r="R8380" t="s">
        <v>36287</v>
      </c>
      <c r="W8380" t="s">
        <v>36285</v>
      </c>
      <c r="X8380" t="s">
        <v>25827</v>
      </c>
      <c r="Y8380" t="s">
        <v>97</v>
      </c>
      <c r="Z8380" t="s">
        <v>77</v>
      </c>
      <c r="AA8380" t="str">
        <f>"10029-6542"</f>
        <v>10029-6542</v>
      </c>
      <c r="AB8380" t="s">
        <v>78</v>
      </c>
      <c r="AC8380" t="s">
        <v>79</v>
      </c>
      <c r="AD8380" t="s">
        <v>75</v>
      </c>
      <c r="AE8380" t="s">
        <v>80</v>
      </c>
      <c r="AG8380" t="s">
        <v>81</v>
      </c>
    </row>
    <row r="8381" spans="1:33" x14ac:dyDescent="0.25">
      <c r="A8381" t="str">
        <f>"1790766848"</f>
        <v>1790766848</v>
      </c>
      <c r="B8381" t="str">
        <f>"00598852"</f>
        <v>00598852</v>
      </c>
      <c r="C8381" t="s">
        <v>13436</v>
      </c>
      <c r="D8381" t="s">
        <v>36288</v>
      </c>
      <c r="E8381" t="s">
        <v>36289</v>
      </c>
      <c r="G8381" t="s">
        <v>36290</v>
      </c>
      <c r="L8381" t="s">
        <v>83</v>
      </c>
      <c r="M8381" t="s">
        <v>75</v>
      </c>
      <c r="R8381" t="s">
        <v>36291</v>
      </c>
      <c r="W8381" t="s">
        <v>36291</v>
      </c>
      <c r="X8381" t="s">
        <v>36292</v>
      </c>
      <c r="Y8381" t="s">
        <v>97</v>
      </c>
      <c r="Z8381" t="s">
        <v>77</v>
      </c>
      <c r="AA8381" t="str">
        <f>"10016-6402"</f>
        <v>10016-6402</v>
      </c>
      <c r="AB8381" t="s">
        <v>78</v>
      </c>
      <c r="AC8381" t="s">
        <v>79</v>
      </c>
      <c r="AD8381" t="s">
        <v>75</v>
      </c>
      <c r="AE8381" t="s">
        <v>80</v>
      </c>
      <c r="AG8381" t="s">
        <v>81</v>
      </c>
    </row>
    <row r="8382" spans="1:33" x14ac:dyDescent="0.25">
      <c r="A8382" t="str">
        <f>"1558609453"</f>
        <v>1558609453</v>
      </c>
      <c r="C8382" t="s">
        <v>13436</v>
      </c>
      <c r="G8382" t="s">
        <v>36293</v>
      </c>
      <c r="K8382" t="s">
        <v>99</v>
      </c>
      <c r="L8382" t="s">
        <v>102</v>
      </c>
      <c r="M8382" t="s">
        <v>75</v>
      </c>
      <c r="R8382" t="s">
        <v>36294</v>
      </c>
      <c r="S8382" t="s">
        <v>36295</v>
      </c>
      <c r="T8382" t="s">
        <v>97</v>
      </c>
      <c r="U8382" t="s">
        <v>77</v>
      </c>
      <c r="V8382" t="str">
        <f>"100296508"</f>
        <v>100296508</v>
      </c>
      <c r="AC8382" t="s">
        <v>79</v>
      </c>
      <c r="AD8382" t="s">
        <v>75</v>
      </c>
      <c r="AE8382" t="s">
        <v>103</v>
      </c>
      <c r="AG8382" t="s">
        <v>81</v>
      </c>
    </row>
    <row r="8383" spans="1:33" x14ac:dyDescent="0.25">
      <c r="A8383" t="str">
        <f>"1578518270"</f>
        <v>1578518270</v>
      </c>
      <c r="B8383" t="str">
        <f>"01131846"</f>
        <v>01131846</v>
      </c>
      <c r="C8383" t="s">
        <v>13436</v>
      </c>
      <c r="D8383" t="s">
        <v>36296</v>
      </c>
      <c r="E8383" t="s">
        <v>36297</v>
      </c>
      <c r="G8383" t="s">
        <v>36298</v>
      </c>
      <c r="L8383" t="s">
        <v>74</v>
      </c>
      <c r="M8383" t="s">
        <v>75</v>
      </c>
      <c r="R8383" t="s">
        <v>36299</v>
      </c>
      <c r="W8383" t="s">
        <v>36297</v>
      </c>
      <c r="X8383" t="s">
        <v>228</v>
      </c>
      <c r="Y8383" t="s">
        <v>91</v>
      </c>
      <c r="Z8383" t="s">
        <v>77</v>
      </c>
      <c r="AA8383" t="str">
        <f>"11373-1329"</f>
        <v>11373-1329</v>
      </c>
      <c r="AB8383" t="s">
        <v>78</v>
      </c>
      <c r="AC8383" t="s">
        <v>79</v>
      </c>
      <c r="AD8383" t="s">
        <v>75</v>
      </c>
      <c r="AE8383" t="s">
        <v>80</v>
      </c>
      <c r="AG8383" t="s">
        <v>81</v>
      </c>
    </row>
    <row r="8384" spans="1:33" x14ac:dyDescent="0.25">
      <c r="A8384" t="str">
        <f>"1083020804"</f>
        <v>1083020804</v>
      </c>
      <c r="B8384" t="str">
        <f>"04554514"</f>
        <v>04554514</v>
      </c>
      <c r="C8384" t="s">
        <v>13436</v>
      </c>
      <c r="D8384" t="s">
        <v>36300</v>
      </c>
      <c r="E8384" t="s">
        <v>36301</v>
      </c>
      <c r="G8384" t="s">
        <v>36302</v>
      </c>
      <c r="L8384" t="s">
        <v>74</v>
      </c>
      <c r="M8384" t="s">
        <v>75</v>
      </c>
      <c r="R8384" t="s">
        <v>36303</v>
      </c>
      <c r="W8384" t="s">
        <v>36301</v>
      </c>
      <c r="AB8384" t="s">
        <v>78</v>
      </c>
      <c r="AC8384" t="s">
        <v>79</v>
      </c>
      <c r="AD8384" t="s">
        <v>75</v>
      </c>
      <c r="AE8384" t="s">
        <v>80</v>
      </c>
      <c r="AG8384" t="s">
        <v>81</v>
      </c>
    </row>
    <row r="8385" spans="1:33" x14ac:dyDescent="0.25">
      <c r="A8385" t="str">
        <f>"1316182512"</f>
        <v>1316182512</v>
      </c>
      <c r="B8385" t="str">
        <f>"03916630"</f>
        <v>03916630</v>
      </c>
      <c r="C8385" t="s">
        <v>13436</v>
      </c>
      <c r="D8385" t="s">
        <v>36304</v>
      </c>
      <c r="E8385" t="s">
        <v>36305</v>
      </c>
      <c r="G8385" t="s">
        <v>36306</v>
      </c>
      <c r="L8385" t="s">
        <v>74</v>
      </c>
      <c r="M8385" t="s">
        <v>75</v>
      </c>
      <c r="R8385" t="s">
        <v>36307</v>
      </c>
      <c r="W8385" t="s">
        <v>36305</v>
      </c>
      <c r="X8385" t="s">
        <v>203</v>
      </c>
      <c r="Y8385" t="s">
        <v>87</v>
      </c>
      <c r="Z8385" t="s">
        <v>77</v>
      </c>
      <c r="AA8385" t="str">
        <f>"11203-2054"</f>
        <v>11203-2054</v>
      </c>
      <c r="AB8385" t="s">
        <v>125</v>
      </c>
      <c r="AC8385" t="s">
        <v>79</v>
      </c>
      <c r="AD8385" t="s">
        <v>75</v>
      </c>
      <c r="AE8385" t="s">
        <v>80</v>
      </c>
      <c r="AG8385" t="s">
        <v>81</v>
      </c>
    </row>
    <row r="8386" spans="1:33" x14ac:dyDescent="0.25">
      <c r="A8386" t="str">
        <f>"1639460660"</f>
        <v>1639460660</v>
      </c>
      <c r="B8386" t="str">
        <f>"04410977"</f>
        <v>04410977</v>
      </c>
      <c r="C8386" t="s">
        <v>13436</v>
      </c>
      <c r="D8386" t="s">
        <v>36308</v>
      </c>
      <c r="E8386" t="s">
        <v>36309</v>
      </c>
      <c r="L8386" t="s">
        <v>102</v>
      </c>
      <c r="M8386" t="s">
        <v>75</v>
      </c>
      <c r="R8386" t="s">
        <v>36310</v>
      </c>
      <c r="W8386" t="s">
        <v>36309</v>
      </c>
      <c r="X8386" t="s">
        <v>36311</v>
      </c>
      <c r="Y8386" t="s">
        <v>182</v>
      </c>
      <c r="Z8386" t="s">
        <v>77</v>
      </c>
      <c r="AA8386" t="str">
        <f>"11501-4237"</f>
        <v>11501-4237</v>
      </c>
      <c r="AB8386" t="s">
        <v>78</v>
      </c>
      <c r="AC8386" t="s">
        <v>79</v>
      </c>
      <c r="AD8386" t="s">
        <v>75</v>
      </c>
      <c r="AE8386" t="s">
        <v>80</v>
      </c>
      <c r="AG8386" t="s">
        <v>81</v>
      </c>
    </row>
    <row r="8387" spans="1:33" x14ac:dyDescent="0.25">
      <c r="A8387" t="str">
        <f>"1639468010"</f>
        <v>1639468010</v>
      </c>
      <c r="B8387" t="str">
        <f>"04270288"</f>
        <v>04270288</v>
      </c>
      <c r="C8387" t="s">
        <v>13436</v>
      </c>
      <c r="D8387" t="s">
        <v>36312</v>
      </c>
      <c r="E8387" t="s">
        <v>36313</v>
      </c>
      <c r="G8387" t="s">
        <v>36314</v>
      </c>
      <c r="L8387" t="s">
        <v>74</v>
      </c>
      <c r="M8387" t="s">
        <v>75</v>
      </c>
      <c r="R8387" t="s">
        <v>36315</v>
      </c>
      <c r="W8387" t="s">
        <v>36313</v>
      </c>
      <c r="X8387" t="s">
        <v>15449</v>
      </c>
      <c r="Y8387" t="s">
        <v>97</v>
      </c>
      <c r="Z8387" t="s">
        <v>77</v>
      </c>
      <c r="AA8387" t="str">
        <f>"10019-3211"</f>
        <v>10019-3211</v>
      </c>
      <c r="AB8387" t="s">
        <v>78</v>
      </c>
      <c r="AC8387" t="s">
        <v>79</v>
      </c>
      <c r="AD8387" t="s">
        <v>75</v>
      </c>
      <c r="AE8387" t="s">
        <v>80</v>
      </c>
      <c r="AG8387" t="s">
        <v>81</v>
      </c>
    </row>
    <row r="8388" spans="1:33" x14ac:dyDescent="0.25">
      <c r="A8388" t="str">
        <f>"1639469794"</f>
        <v>1639469794</v>
      </c>
      <c r="C8388" t="s">
        <v>13436</v>
      </c>
      <c r="K8388" t="s">
        <v>99</v>
      </c>
      <c r="L8388" t="s">
        <v>102</v>
      </c>
      <c r="M8388" t="s">
        <v>75</v>
      </c>
      <c r="R8388" t="s">
        <v>36316</v>
      </c>
      <c r="S8388" t="s">
        <v>36317</v>
      </c>
      <c r="T8388" t="s">
        <v>36318</v>
      </c>
      <c r="U8388" t="s">
        <v>77</v>
      </c>
      <c r="V8388" t="str">
        <f>"10003"</f>
        <v>10003</v>
      </c>
      <c r="AC8388" t="s">
        <v>79</v>
      </c>
      <c r="AD8388" t="s">
        <v>75</v>
      </c>
      <c r="AE8388" t="s">
        <v>103</v>
      </c>
      <c r="AG8388" t="s">
        <v>81</v>
      </c>
    </row>
    <row r="8389" spans="1:33" x14ac:dyDescent="0.25">
      <c r="A8389" t="str">
        <f>"1639484587"</f>
        <v>1639484587</v>
      </c>
      <c r="B8389" t="str">
        <f>"03284640"</f>
        <v>03284640</v>
      </c>
      <c r="C8389" t="s">
        <v>13436</v>
      </c>
      <c r="D8389" t="s">
        <v>36319</v>
      </c>
      <c r="E8389" t="s">
        <v>36320</v>
      </c>
      <c r="L8389" t="s">
        <v>83</v>
      </c>
      <c r="M8389" t="s">
        <v>85</v>
      </c>
      <c r="R8389" t="s">
        <v>36320</v>
      </c>
      <c r="W8389" t="s">
        <v>36320</v>
      </c>
      <c r="X8389" t="s">
        <v>6041</v>
      </c>
      <c r="Y8389" t="s">
        <v>97</v>
      </c>
      <c r="Z8389" t="s">
        <v>77</v>
      </c>
      <c r="AA8389" t="str">
        <f>"10029-6504"</f>
        <v>10029-6504</v>
      </c>
      <c r="AB8389" t="s">
        <v>78</v>
      </c>
      <c r="AC8389" t="s">
        <v>79</v>
      </c>
      <c r="AD8389" t="s">
        <v>75</v>
      </c>
      <c r="AE8389" t="s">
        <v>80</v>
      </c>
      <c r="AG8389" t="s">
        <v>81</v>
      </c>
    </row>
    <row r="8390" spans="1:33" x14ac:dyDescent="0.25">
      <c r="A8390" t="str">
        <f>"1639494685"</f>
        <v>1639494685</v>
      </c>
      <c r="B8390" t="str">
        <f>"03552325"</f>
        <v>03552325</v>
      </c>
      <c r="C8390" t="s">
        <v>13436</v>
      </c>
      <c r="D8390" t="s">
        <v>36321</v>
      </c>
      <c r="E8390" t="s">
        <v>36322</v>
      </c>
      <c r="G8390" t="s">
        <v>36323</v>
      </c>
      <c r="L8390" t="s">
        <v>74</v>
      </c>
      <c r="M8390" t="s">
        <v>75</v>
      </c>
      <c r="R8390" t="s">
        <v>36324</v>
      </c>
      <c r="W8390" t="s">
        <v>36322</v>
      </c>
      <c r="X8390" t="s">
        <v>272</v>
      </c>
      <c r="Y8390" t="s">
        <v>97</v>
      </c>
      <c r="Z8390" t="s">
        <v>77</v>
      </c>
      <c r="AA8390" t="str">
        <f>"10029-6501"</f>
        <v>10029-6501</v>
      </c>
      <c r="AB8390" t="s">
        <v>78</v>
      </c>
      <c r="AC8390" t="s">
        <v>79</v>
      </c>
      <c r="AD8390" t="s">
        <v>75</v>
      </c>
      <c r="AE8390" t="s">
        <v>80</v>
      </c>
      <c r="AG8390" t="s">
        <v>81</v>
      </c>
    </row>
    <row r="8391" spans="1:33" x14ac:dyDescent="0.25">
      <c r="A8391" t="str">
        <f>"1639494784"</f>
        <v>1639494784</v>
      </c>
      <c r="C8391" t="s">
        <v>13436</v>
      </c>
      <c r="K8391" t="s">
        <v>99</v>
      </c>
      <c r="L8391" t="s">
        <v>102</v>
      </c>
      <c r="M8391" t="s">
        <v>75</v>
      </c>
      <c r="R8391" t="s">
        <v>36325</v>
      </c>
      <c r="S8391" t="s">
        <v>36326</v>
      </c>
      <c r="T8391" t="s">
        <v>97</v>
      </c>
      <c r="U8391" t="s">
        <v>77</v>
      </c>
      <c r="V8391" t="str">
        <f>"100033821"</f>
        <v>100033821</v>
      </c>
      <c r="AC8391" t="s">
        <v>79</v>
      </c>
      <c r="AD8391" t="s">
        <v>75</v>
      </c>
      <c r="AE8391" t="s">
        <v>103</v>
      </c>
      <c r="AG8391" t="s">
        <v>81</v>
      </c>
    </row>
    <row r="8392" spans="1:33" x14ac:dyDescent="0.25">
      <c r="A8392" t="str">
        <f>"1639515596"</f>
        <v>1639515596</v>
      </c>
      <c r="C8392" t="s">
        <v>13436</v>
      </c>
      <c r="K8392" t="s">
        <v>99</v>
      </c>
      <c r="L8392" t="s">
        <v>102</v>
      </c>
      <c r="M8392" t="s">
        <v>75</v>
      </c>
      <c r="R8392" t="s">
        <v>36327</v>
      </c>
      <c r="S8392" t="s">
        <v>181</v>
      </c>
      <c r="T8392" t="s">
        <v>97</v>
      </c>
      <c r="U8392" t="s">
        <v>77</v>
      </c>
      <c r="V8392" t="str">
        <f>"100251716"</f>
        <v>100251716</v>
      </c>
      <c r="AC8392" t="s">
        <v>79</v>
      </c>
      <c r="AD8392" t="s">
        <v>75</v>
      </c>
      <c r="AE8392" t="s">
        <v>103</v>
      </c>
      <c r="AG8392" t="s">
        <v>81</v>
      </c>
    </row>
    <row r="8393" spans="1:33" x14ac:dyDescent="0.25">
      <c r="A8393" t="str">
        <f>"1639585078"</f>
        <v>1639585078</v>
      </c>
      <c r="C8393" t="s">
        <v>13436</v>
      </c>
      <c r="K8393" t="s">
        <v>99</v>
      </c>
      <c r="L8393" t="s">
        <v>102</v>
      </c>
      <c r="M8393" t="s">
        <v>75</v>
      </c>
      <c r="R8393" t="s">
        <v>36328</v>
      </c>
      <c r="S8393" t="s">
        <v>36329</v>
      </c>
      <c r="T8393" t="s">
        <v>97</v>
      </c>
      <c r="U8393" t="s">
        <v>77</v>
      </c>
      <c r="V8393" t="str">
        <f>"10019"</f>
        <v>10019</v>
      </c>
      <c r="AC8393" t="s">
        <v>79</v>
      </c>
      <c r="AD8393" t="s">
        <v>75</v>
      </c>
      <c r="AE8393" t="s">
        <v>103</v>
      </c>
      <c r="AG8393" t="s">
        <v>81</v>
      </c>
    </row>
    <row r="8394" spans="1:33" x14ac:dyDescent="0.25">
      <c r="A8394" t="str">
        <f>"1114295219"</f>
        <v>1114295219</v>
      </c>
      <c r="B8394" t="str">
        <f>"03468251"</f>
        <v>03468251</v>
      </c>
      <c r="C8394" t="s">
        <v>13436</v>
      </c>
      <c r="D8394" t="s">
        <v>36330</v>
      </c>
      <c r="E8394" t="s">
        <v>36331</v>
      </c>
      <c r="L8394" t="s">
        <v>74</v>
      </c>
      <c r="M8394" t="s">
        <v>75</v>
      </c>
      <c r="R8394" t="s">
        <v>36332</v>
      </c>
      <c r="W8394" t="s">
        <v>36331</v>
      </c>
      <c r="X8394" t="s">
        <v>3433</v>
      </c>
      <c r="Y8394" t="s">
        <v>97</v>
      </c>
      <c r="Z8394" t="s">
        <v>77</v>
      </c>
      <c r="AA8394" t="str">
        <f>"10003-3805"</f>
        <v>10003-3805</v>
      </c>
      <c r="AB8394" t="s">
        <v>78</v>
      </c>
      <c r="AC8394" t="s">
        <v>79</v>
      </c>
      <c r="AD8394" t="s">
        <v>75</v>
      </c>
      <c r="AE8394" t="s">
        <v>80</v>
      </c>
      <c r="AG8394" t="s">
        <v>81</v>
      </c>
    </row>
    <row r="8395" spans="1:33" x14ac:dyDescent="0.25">
      <c r="A8395" t="str">
        <f>"1497835987"</f>
        <v>1497835987</v>
      </c>
      <c r="B8395" t="str">
        <f>"02697469"</f>
        <v>02697469</v>
      </c>
      <c r="C8395" t="s">
        <v>13436</v>
      </c>
      <c r="D8395" t="s">
        <v>36333</v>
      </c>
      <c r="E8395" t="s">
        <v>36334</v>
      </c>
      <c r="G8395" t="s">
        <v>36335</v>
      </c>
      <c r="L8395" t="s">
        <v>83</v>
      </c>
      <c r="M8395" t="s">
        <v>85</v>
      </c>
      <c r="R8395" t="s">
        <v>36336</v>
      </c>
      <c r="W8395" t="s">
        <v>36337</v>
      </c>
      <c r="X8395" t="s">
        <v>36338</v>
      </c>
      <c r="Y8395" t="s">
        <v>131</v>
      </c>
      <c r="Z8395" t="s">
        <v>77</v>
      </c>
      <c r="AA8395" t="str">
        <f>"10467-2490"</f>
        <v>10467-2490</v>
      </c>
      <c r="AB8395" t="s">
        <v>78</v>
      </c>
      <c r="AC8395" t="s">
        <v>79</v>
      </c>
      <c r="AD8395" t="s">
        <v>75</v>
      </c>
      <c r="AE8395" t="s">
        <v>80</v>
      </c>
      <c r="AG8395" t="s">
        <v>81</v>
      </c>
    </row>
    <row r="8396" spans="1:33" x14ac:dyDescent="0.25">
      <c r="A8396" t="str">
        <f>"1497843312"</f>
        <v>1497843312</v>
      </c>
      <c r="B8396" t="str">
        <f>"00279823"</f>
        <v>00279823</v>
      </c>
      <c r="C8396" t="s">
        <v>13436</v>
      </c>
      <c r="D8396" t="s">
        <v>36339</v>
      </c>
      <c r="E8396" t="s">
        <v>36340</v>
      </c>
      <c r="G8396" t="s">
        <v>36341</v>
      </c>
      <c r="L8396" t="s">
        <v>74</v>
      </c>
      <c r="M8396" t="s">
        <v>85</v>
      </c>
      <c r="R8396" t="s">
        <v>36342</v>
      </c>
      <c r="W8396" t="s">
        <v>36340</v>
      </c>
      <c r="X8396" t="s">
        <v>14029</v>
      </c>
      <c r="Y8396" t="s">
        <v>97</v>
      </c>
      <c r="Z8396" t="s">
        <v>77</v>
      </c>
      <c r="AA8396" t="str">
        <f>"10029-6501"</f>
        <v>10029-6501</v>
      </c>
      <c r="AB8396" t="s">
        <v>78</v>
      </c>
      <c r="AC8396" t="s">
        <v>79</v>
      </c>
      <c r="AD8396" t="s">
        <v>75</v>
      </c>
      <c r="AE8396" t="s">
        <v>80</v>
      </c>
      <c r="AG8396" t="s">
        <v>81</v>
      </c>
    </row>
    <row r="8397" spans="1:33" x14ac:dyDescent="0.25">
      <c r="A8397" t="str">
        <f>"1659508448"</f>
        <v>1659508448</v>
      </c>
      <c r="B8397" t="str">
        <f>"03484948"</f>
        <v>03484948</v>
      </c>
      <c r="C8397" t="s">
        <v>13436</v>
      </c>
      <c r="D8397" t="s">
        <v>36343</v>
      </c>
      <c r="E8397" t="s">
        <v>36344</v>
      </c>
      <c r="G8397" t="s">
        <v>36345</v>
      </c>
      <c r="L8397" t="s">
        <v>94</v>
      </c>
      <c r="M8397" t="s">
        <v>75</v>
      </c>
      <c r="R8397" t="s">
        <v>36344</v>
      </c>
      <c r="W8397" t="s">
        <v>36346</v>
      </c>
      <c r="X8397" t="s">
        <v>330</v>
      </c>
      <c r="Y8397" t="s">
        <v>97</v>
      </c>
      <c r="Z8397" t="s">
        <v>77</v>
      </c>
      <c r="AA8397" t="str">
        <f>"10029-5204"</f>
        <v>10029-5204</v>
      </c>
      <c r="AB8397" t="s">
        <v>78</v>
      </c>
      <c r="AC8397" t="s">
        <v>79</v>
      </c>
      <c r="AD8397" t="s">
        <v>75</v>
      </c>
      <c r="AE8397" t="s">
        <v>80</v>
      </c>
      <c r="AG8397" t="s">
        <v>81</v>
      </c>
    </row>
    <row r="8398" spans="1:33" x14ac:dyDescent="0.25">
      <c r="A8398" t="str">
        <f>"1659513919"</f>
        <v>1659513919</v>
      </c>
      <c r="C8398" t="s">
        <v>13436</v>
      </c>
      <c r="K8398" t="s">
        <v>99</v>
      </c>
      <c r="L8398" t="s">
        <v>74</v>
      </c>
      <c r="M8398" t="s">
        <v>75</v>
      </c>
      <c r="R8398" t="s">
        <v>4554</v>
      </c>
      <c r="S8398" t="s">
        <v>36347</v>
      </c>
      <c r="T8398" t="s">
        <v>36348</v>
      </c>
      <c r="U8398" t="s">
        <v>351</v>
      </c>
      <c r="V8398" t="str">
        <f>"325032339"</f>
        <v>325032339</v>
      </c>
      <c r="AC8398" t="s">
        <v>79</v>
      </c>
      <c r="AD8398" t="s">
        <v>75</v>
      </c>
      <c r="AE8398" t="s">
        <v>103</v>
      </c>
      <c r="AG8398" t="s">
        <v>81</v>
      </c>
    </row>
    <row r="8399" spans="1:33" x14ac:dyDescent="0.25">
      <c r="A8399" t="str">
        <f>"1659526085"</f>
        <v>1659526085</v>
      </c>
      <c r="B8399" t="str">
        <f>"03487890"</f>
        <v>03487890</v>
      </c>
      <c r="C8399" t="s">
        <v>13436</v>
      </c>
      <c r="D8399" t="s">
        <v>36349</v>
      </c>
      <c r="E8399" t="s">
        <v>36350</v>
      </c>
      <c r="L8399" t="s">
        <v>83</v>
      </c>
      <c r="M8399" t="s">
        <v>75</v>
      </c>
      <c r="R8399" t="s">
        <v>36351</v>
      </c>
      <c r="W8399" t="s">
        <v>36350</v>
      </c>
      <c r="X8399" t="s">
        <v>36352</v>
      </c>
      <c r="Y8399" t="s">
        <v>131</v>
      </c>
      <c r="Z8399" t="s">
        <v>77</v>
      </c>
      <c r="AA8399" t="str">
        <f>"10457-2545"</f>
        <v>10457-2545</v>
      </c>
      <c r="AB8399" t="s">
        <v>78</v>
      </c>
      <c r="AC8399" t="s">
        <v>79</v>
      </c>
      <c r="AD8399" t="s">
        <v>75</v>
      </c>
      <c r="AE8399" t="s">
        <v>80</v>
      </c>
      <c r="AG8399" t="s">
        <v>81</v>
      </c>
    </row>
    <row r="8400" spans="1:33" x14ac:dyDescent="0.25">
      <c r="A8400" t="str">
        <f>"1659531671"</f>
        <v>1659531671</v>
      </c>
      <c r="B8400" t="str">
        <f>"03035792"</f>
        <v>03035792</v>
      </c>
      <c r="C8400" t="s">
        <v>13436</v>
      </c>
      <c r="D8400" t="s">
        <v>36353</v>
      </c>
      <c r="E8400" t="s">
        <v>36354</v>
      </c>
      <c r="L8400" t="s">
        <v>83</v>
      </c>
      <c r="M8400" t="s">
        <v>85</v>
      </c>
      <c r="R8400" t="s">
        <v>36355</v>
      </c>
      <c r="W8400" t="s">
        <v>36354</v>
      </c>
      <c r="X8400" t="s">
        <v>36356</v>
      </c>
      <c r="Y8400" t="s">
        <v>97</v>
      </c>
      <c r="Z8400" t="s">
        <v>77</v>
      </c>
      <c r="AA8400" t="str">
        <f>"10029-6203"</f>
        <v>10029-6203</v>
      </c>
      <c r="AB8400" t="s">
        <v>78</v>
      </c>
      <c r="AC8400" t="s">
        <v>79</v>
      </c>
      <c r="AD8400" t="s">
        <v>75</v>
      </c>
      <c r="AE8400" t="s">
        <v>80</v>
      </c>
      <c r="AG8400" t="s">
        <v>81</v>
      </c>
    </row>
    <row r="8401" spans="1:33" x14ac:dyDescent="0.25">
      <c r="A8401" t="str">
        <f>"1659537439"</f>
        <v>1659537439</v>
      </c>
      <c r="B8401" t="str">
        <f>"03938910"</f>
        <v>03938910</v>
      </c>
      <c r="C8401" t="s">
        <v>13436</v>
      </c>
      <c r="D8401" t="s">
        <v>36357</v>
      </c>
      <c r="E8401" t="s">
        <v>36358</v>
      </c>
      <c r="G8401" t="s">
        <v>36359</v>
      </c>
      <c r="L8401" t="s">
        <v>83</v>
      </c>
      <c r="M8401" t="s">
        <v>75</v>
      </c>
      <c r="R8401" t="s">
        <v>36360</v>
      </c>
      <c r="W8401" t="s">
        <v>36361</v>
      </c>
      <c r="X8401" t="s">
        <v>5557</v>
      </c>
      <c r="Y8401" t="s">
        <v>97</v>
      </c>
      <c r="Z8401" t="s">
        <v>77</v>
      </c>
      <c r="AA8401" t="str">
        <f>"10029-6501"</f>
        <v>10029-6501</v>
      </c>
      <c r="AB8401" t="s">
        <v>78</v>
      </c>
      <c r="AC8401" t="s">
        <v>79</v>
      </c>
      <c r="AD8401" t="s">
        <v>75</v>
      </c>
      <c r="AE8401" t="s">
        <v>80</v>
      </c>
      <c r="AG8401" t="s">
        <v>81</v>
      </c>
    </row>
    <row r="8402" spans="1:33" x14ac:dyDescent="0.25">
      <c r="A8402" t="str">
        <f>"1659538684"</f>
        <v>1659538684</v>
      </c>
      <c r="B8402" t="str">
        <f>"03866002"</f>
        <v>03866002</v>
      </c>
      <c r="C8402" t="s">
        <v>13436</v>
      </c>
      <c r="D8402" t="s">
        <v>36362</v>
      </c>
      <c r="E8402" t="s">
        <v>36363</v>
      </c>
      <c r="L8402" t="s">
        <v>84</v>
      </c>
      <c r="M8402" t="s">
        <v>75</v>
      </c>
      <c r="R8402" t="s">
        <v>36364</v>
      </c>
      <c r="W8402" t="s">
        <v>36363</v>
      </c>
      <c r="X8402" t="s">
        <v>4446</v>
      </c>
      <c r="Y8402" t="s">
        <v>131</v>
      </c>
      <c r="Z8402" t="s">
        <v>77</v>
      </c>
      <c r="AA8402" t="str">
        <f>"10453-6018"</f>
        <v>10453-6018</v>
      </c>
      <c r="AB8402" t="s">
        <v>78</v>
      </c>
      <c r="AC8402" t="s">
        <v>79</v>
      </c>
      <c r="AD8402" t="s">
        <v>75</v>
      </c>
      <c r="AE8402" t="s">
        <v>80</v>
      </c>
      <c r="AG8402" t="s">
        <v>81</v>
      </c>
    </row>
    <row r="8403" spans="1:33" x14ac:dyDescent="0.25">
      <c r="A8403" t="str">
        <f>"1659547982"</f>
        <v>1659547982</v>
      </c>
      <c r="B8403" t="str">
        <f>"02988329"</f>
        <v>02988329</v>
      </c>
      <c r="C8403" t="s">
        <v>13436</v>
      </c>
      <c r="D8403" t="s">
        <v>36365</v>
      </c>
      <c r="E8403" t="s">
        <v>36366</v>
      </c>
      <c r="G8403" t="s">
        <v>36367</v>
      </c>
      <c r="L8403" t="s">
        <v>83</v>
      </c>
      <c r="M8403" t="s">
        <v>85</v>
      </c>
      <c r="R8403" t="s">
        <v>36368</v>
      </c>
      <c r="W8403" t="s">
        <v>36366</v>
      </c>
      <c r="X8403" t="s">
        <v>329</v>
      </c>
      <c r="Y8403" t="s">
        <v>97</v>
      </c>
      <c r="Z8403" t="s">
        <v>77</v>
      </c>
      <c r="AA8403" t="str">
        <f>"10029-6500"</f>
        <v>10029-6500</v>
      </c>
      <c r="AB8403" t="s">
        <v>78</v>
      </c>
      <c r="AC8403" t="s">
        <v>79</v>
      </c>
      <c r="AD8403" t="s">
        <v>75</v>
      </c>
      <c r="AE8403" t="s">
        <v>80</v>
      </c>
      <c r="AG8403" t="s">
        <v>81</v>
      </c>
    </row>
    <row r="8404" spans="1:33" x14ac:dyDescent="0.25">
      <c r="A8404" t="str">
        <f>"1295065993"</f>
        <v>1295065993</v>
      </c>
      <c r="B8404" t="str">
        <f>"03994676"</f>
        <v>03994676</v>
      </c>
      <c r="C8404" t="s">
        <v>13436</v>
      </c>
      <c r="D8404" t="s">
        <v>36369</v>
      </c>
      <c r="E8404" t="s">
        <v>36370</v>
      </c>
      <c r="L8404" t="s">
        <v>83</v>
      </c>
      <c r="M8404" t="s">
        <v>75</v>
      </c>
      <c r="R8404" t="s">
        <v>36370</v>
      </c>
      <c r="W8404" t="s">
        <v>36370</v>
      </c>
      <c r="X8404" t="s">
        <v>365</v>
      </c>
      <c r="Y8404" t="s">
        <v>190</v>
      </c>
      <c r="Z8404" t="s">
        <v>77</v>
      </c>
      <c r="AA8404" t="str">
        <f>"11102-2448"</f>
        <v>11102-2448</v>
      </c>
      <c r="AB8404" t="s">
        <v>78</v>
      </c>
      <c r="AC8404" t="s">
        <v>79</v>
      </c>
      <c r="AD8404" t="s">
        <v>75</v>
      </c>
      <c r="AE8404" t="s">
        <v>80</v>
      </c>
      <c r="AG8404" t="s">
        <v>81</v>
      </c>
    </row>
    <row r="8405" spans="1:33" x14ac:dyDescent="0.25">
      <c r="A8405" t="str">
        <f>"1730107574"</f>
        <v>1730107574</v>
      </c>
      <c r="B8405" t="str">
        <f>"00964512"</f>
        <v>00964512</v>
      </c>
      <c r="C8405" t="s">
        <v>13436</v>
      </c>
      <c r="D8405" t="s">
        <v>36371</v>
      </c>
      <c r="E8405" t="s">
        <v>36372</v>
      </c>
      <c r="G8405" t="s">
        <v>36373</v>
      </c>
      <c r="L8405" t="s">
        <v>84</v>
      </c>
      <c r="M8405" t="s">
        <v>85</v>
      </c>
      <c r="R8405" t="s">
        <v>36374</v>
      </c>
      <c r="W8405" t="s">
        <v>36372</v>
      </c>
      <c r="X8405" t="s">
        <v>2770</v>
      </c>
      <c r="Y8405" t="s">
        <v>97</v>
      </c>
      <c r="Z8405" t="s">
        <v>77</v>
      </c>
      <c r="AA8405" t="str">
        <f>"10003-2674"</f>
        <v>10003-2674</v>
      </c>
      <c r="AB8405" t="s">
        <v>78</v>
      </c>
      <c r="AC8405" t="s">
        <v>79</v>
      </c>
      <c r="AD8405" t="s">
        <v>75</v>
      </c>
      <c r="AE8405" t="s">
        <v>80</v>
      </c>
      <c r="AG8405" t="s">
        <v>81</v>
      </c>
    </row>
    <row r="8406" spans="1:33" x14ac:dyDescent="0.25">
      <c r="A8406" t="str">
        <f>"1730110743"</f>
        <v>1730110743</v>
      </c>
      <c r="B8406" t="str">
        <f>"02231294"</f>
        <v>02231294</v>
      </c>
      <c r="C8406" t="s">
        <v>13436</v>
      </c>
      <c r="D8406" t="s">
        <v>36375</v>
      </c>
      <c r="E8406" t="s">
        <v>36376</v>
      </c>
      <c r="G8406" t="s">
        <v>36377</v>
      </c>
      <c r="L8406" t="s">
        <v>94</v>
      </c>
      <c r="M8406" t="s">
        <v>85</v>
      </c>
      <c r="R8406" t="s">
        <v>36378</v>
      </c>
      <c r="W8406" t="s">
        <v>36376</v>
      </c>
      <c r="X8406" t="s">
        <v>329</v>
      </c>
      <c r="Y8406" t="s">
        <v>97</v>
      </c>
      <c r="Z8406" t="s">
        <v>77</v>
      </c>
      <c r="AA8406" t="str">
        <f>"10029-6504"</f>
        <v>10029-6504</v>
      </c>
      <c r="AB8406" t="s">
        <v>78</v>
      </c>
      <c r="AC8406" t="s">
        <v>79</v>
      </c>
      <c r="AD8406" t="s">
        <v>75</v>
      </c>
      <c r="AE8406" t="s">
        <v>80</v>
      </c>
      <c r="AG8406" t="s">
        <v>81</v>
      </c>
    </row>
    <row r="8407" spans="1:33" x14ac:dyDescent="0.25">
      <c r="A8407" t="str">
        <f>"1730150947"</f>
        <v>1730150947</v>
      </c>
      <c r="B8407" t="str">
        <f>"00894922"</f>
        <v>00894922</v>
      </c>
      <c r="C8407" t="s">
        <v>13436</v>
      </c>
      <c r="D8407" t="s">
        <v>36379</v>
      </c>
      <c r="E8407" t="s">
        <v>36380</v>
      </c>
      <c r="G8407" t="s">
        <v>36381</v>
      </c>
      <c r="L8407" t="s">
        <v>74</v>
      </c>
      <c r="M8407" t="s">
        <v>85</v>
      </c>
      <c r="R8407" t="s">
        <v>36382</v>
      </c>
      <c r="W8407" t="s">
        <v>36383</v>
      </c>
      <c r="Y8407" t="s">
        <v>97</v>
      </c>
      <c r="Z8407" t="s">
        <v>77</v>
      </c>
      <c r="AA8407" t="str">
        <f>"10029-6500"</f>
        <v>10029-6500</v>
      </c>
      <c r="AB8407" t="s">
        <v>78</v>
      </c>
      <c r="AC8407" t="s">
        <v>79</v>
      </c>
      <c r="AD8407" t="s">
        <v>75</v>
      </c>
      <c r="AE8407" t="s">
        <v>80</v>
      </c>
      <c r="AG8407" t="s">
        <v>81</v>
      </c>
    </row>
    <row r="8408" spans="1:33" x14ac:dyDescent="0.25">
      <c r="A8408" t="str">
        <f>"1730180795"</f>
        <v>1730180795</v>
      </c>
      <c r="B8408" t="str">
        <f>"00399651"</f>
        <v>00399651</v>
      </c>
      <c r="C8408" t="s">
        <v>13436</v>
      </c>
      <c r="D8408" t="s">
        <v>36384</v>
      </c>
      <c r="E8408" t="s">
        <v>36385</v>
      </c>
      <c r="G8408" t="s">
        <v>36386</v>
      </c>
      <c r="L8408" t="s">
        <v>83</v>
      </c>
      <c r="M8408" t="s">
        <v>85</v>
      </c>
      <c r="R8408" t="s">
        <v>36387</v>
      </c>
      <c r="W8408" t="s">
        <v>36388</v>
      </c>
      <c r="X8408" t="s">
        <v>845</v>
      </c>
      <c r="Y8408" t="s">
        <v>87</v>
      </c>
      <c r="Z8408" t="s">
        <v>77</v>
      </c>
      <c r="AA8408" t="str">
        <f>"11223-2251"</f>
        <v>11223-2251</v>
      </c>
      <c r="AB8408" t="s">
        <v>78</v>
      </c>
      <c r="AC8408" t="s">
        <v>79</v>
      </c>
      <c r="AD8408" t="s">
        <v>75</v>
      </c>
      <c r="AE8408" t="s">
        <v>80</v>
      </c>
      <c r="AG8408" t="s">
        <v>81</v>
      </c>
    </row>
    <row r="8409" spans="1:33" x14ac:dyDescent="0.25">
      <c r="A8409" t="str">
        <f>"1659790301"</f>
        <v>1659790301</v>
      </c>
      <c r="C8409" t="s">
        <v>13436</v>
      </c>
      <c r="K8409" t="s">
        <v>99</v>
      </c>
      <c r="L8409" t="s">
        <v>102</v>
      </c>
      <c r="M8409" t="s">
        <v>75</v>
      </c>
      <c r="R8409" t="s">
        <v>36389</v>
      </c>
      <c r="S8409" t="s">
        <v>191</v>
      </c>
      <c r="T8409" t="s">
        <v>97</v>
      </c>
      <c r="U8409" t="s">
        <v>77</v>
      </c>
      <c r="V8409" t="str">
        <f>"100191147"</f>
        <v>100191147</v>
      </c>
      <c r="AC8409" t="s">
        <v>79</v>
      </c>
      <c r="AD8409" t="s">
        <v>75</v>
      </c>
      <c r="AE8409" t="s">
        <v>103</v>
      </c>
      <c r="AG8409" t="s">
        <v>81</v>
      </c>
    </row>
    <row r="8410" spans="1:33" x14ac:dyDescent="0.25">
      <c r="A8410" t="str">
        <f>"1659791069"</f>
        <v>1659791069</v>
      </c>
      <c r="C8410" t="s">
        <v>13436</v>
      </c>
      <c r="K8410" t="s">
        <v>99</v>
      </c>
      <c r="L8410" t="s">
        <v>102</v>
      </c>
      <c r="M8410" t="s">
        <v>75</v>
      </c>
      <c r="R8410" t="s">
        <v>36390</v>
      </c>
      <c r="S8410" t="s">
        <v>13457</v>
      </c>
      <c r="T8410" t="s">
        <v>97</v>
      </c>
      <c r="U8410" t="s">
        <v>77</v>
      </c>
      <c r="V8410" t="str">
        <f>"100191147"</f>
        <v>100191147</v>
      </c>
      <c r="AC8410" t="s">
        <v>79</v>
      </c>
      <c r="AD8410" t="s">
        <v>75</v>
      </c>
      <c r="AE8410" t="s">
        <v>103</v>
      </c>
      <c r="AG8410" t="s">
        <v>81</v>
      </c>
    </row>
    <row r="8411" spans="1:33" x14ac:dyDescent="0.25">
      <c r="A8411" t="str">
        <f>"1134485709"</f>
        <v>1134485709</v>
      </c>
      <c r="C8411" t="s">
        <v>13436</v>
      </c>
      <c r="K8411" t="s">
        <v>99</v>
      </c>
      <c r="L8411" t="s">
        <v>102</v>
      </c>
      <c r="M8411" t="s">
        <v>75</v>
      </c>
      <c r="R8411" t="s">
        <v>36391</v>
      </c>
      <c r="S8411" t="s">
        <v>329</v>
      </c>
      <c r="T8411" t="s">
        <v>97</v>
      </c>
      <c r="U8411" t="s">
        <v>77</v>
      </c>
      <c r="V8411" t="str">
        <f>"100296500"</f>
        <v>100296500</v>
      </c>
      <c r="AC8411" t="s">
        <v>79</v>
      </c>
      <c r="AD8411" t="s">
        <v>75</v>
      </c>
      <c r="AE8411" t="s">
        <v>103</v>
      </c>
      <c r="AG8411" t="s">
        <v>81</v>
      </c>
    </row>
    <row r="8412" spans="1:33" x14ac:dyDescent="0.25">
      <c r="A8412" t="str">
        <f>"1134485741"</f>
        <v>1134485741</v>
      </c>
      <c r="C8412" t="s">
        <v>13436</v>
      </c>
      <c r="K8412" t="s">
        <v>99</v>
      </c>
      <c r="L8412" t="s">
        <v>102</v>
      </c>
      <c r="M8412" t="s">
        <v>75</v>
      </c>
      <c r="R8412" t="s">
        <v>36392</v>
      </c>
      <c r="S8412" t="s">
        <v>191</v>
      </c>
      <c r="T8412" t="s">
        <v>97</v>
      </c>
      <c r="U8412" t="s">
        <v>77</v>
      </c>
      <c r="V8412" t="str">
        <f>"100191147"</f>
        <v>100191147</v>
      </c>
      <c r="AC8412" t="s">
        <v>79</v>
      </c>
      <c r="AD8412" t="s">
        <v>75</v>
      </c>
      <c r="AE8412" t="s">
        <v>103</v>
      </c>
      <c r="AG8412" t="s">
        <v>81</v>
      </c>
    </row>
    <row r="8413" spans="1:33" x14ac:dyDescent="0.25">
      <c r="A8413" t="str">
        <f>"1417387572"</f>
        <v>1417387572</v>
      </c>
      <c r="C8413" t="s">
        <v>13436</v>
      </c>
      <c r="K8413" t="s">
        <v>99</v>
      </c>
      <c r="L8413" t="s">
        <v>102</v>
      </c>
      <c r="M8413" t="s">
        <v>75</v>
      </c>
      <c r="R8413" t="s">
        <v>36393</v>
      </c>
      <c r="S8413" t="s">
        <v>36394</v>
      </c>
      <c r="T8413" t="s">
        <v>97</v>
      </c>
      <c r="U8413" t="s">
        <v>77</v>
      </c>
      <c r="V8413" t="str">
        <f>"100382609"</f>
        <v>100382609</v>
      </c>
      <c r="AC8413" t="s">
        <v>79</v>
      </c>
      <c r="AD8413" t="s">
        <v>75</v>
      </c>
      <c r="AE8413" t="s">
        <v>103</v>
      </c>
      <c r="AG8413" t="s">
        <v>81</v>
      </c>
    </row>
    <row r="8414" spans="1:33" x14ac:dyDescent="0.25">
      <c r="A8414" t="str">
        <f>"1417389339"</f>
        <v>1417389339</v>
      </c>
      <c r="C8414" t="s">
        <v>13436</v>
      </c>
      <c r="G8414" t="s">
        <v>36395</v>
      </c>
      <c r="K8414" t="s">
        <v>99</v>
      </c>
      <c r="L8414" t="s">
        <v>102</v>
      </c>
      <c r="M8414" t="s">
        <v>75</v>
      </c>
      <c r="R8414" t="s">
        <v>36396</v>
      </c>
      <c r="S8414" t="s">
        <v>28006</v>
      </c>
      <c r="T8414" t="s">
        <v>5537</v>
      </c>
      <c r="U8414" t="s">
        <v>156</v>
      </c>
      <c r="V8414" t="str">
        <f>"079606136"</f>
        <v>079606136</v>
      </c>
      <c r="AC8414" t="s">
        <v>79</v>
      </c>
      <c r="AD8414" t="s">
        <v>75</v>
      </c>
      <c r="AE8414" t="s">
        <v>103</v>
      </c>
      <c r="AG8414" t="s">
        <v>81</v>
      </c>
    </row>
    <row r="8415" spans="1:33" x14ac:dyDescent="0.25">
      <c r="A8415" t="str">
        <f>"1417391558"</f>
        <v>1417391558</v>
      </c>
      <c r="C8415" t="s">
        <v>13436</v>
      </c>
      <c r="K8415" t="s">
        <v>99</v>
      </c>
      <c r="L8415" t="s">
        <v>102</v>
      </c>
      <c r="M8415" t="s">
        <v>75</v>
      </c>
      <c r="R8415" t="s">
        <v>36397</v>
      </c>
      <c r="S8415" t="s">
        <v>36398</v>
      </c>
      <c r="T8415" t="s">
        <v>97</v>
      </c>
      <c r="U8415" t="s">
        <v>77</v>
      </c>
      <c r="V8415" t="str">
        <f>"100191147"</f>
        <v>100191147</v>
      </c>
      <c r="AC8415" t="s">
        <v>79</v>
      </c>
      <c r="AD8415" t="s">
        <v>75</v>
      </c>
      <c r="AE8415" t="s">
        <v>103</v>
      </c>
      <c r="AG8415" t="s">
        <v>81</v>
      </c>
    </row>
    <row r="8416" spans="1:33" x14ac:dyDescent="0.25">
      <c r="A8416" t="str">
        <f>"1417399379"</f>
        <v>1417399379</v>
      </c>
      <c r="C8416" t="s">
        <v>13436</v>
      </c>
      <c r="K8416" t="s">
        <v>99</v>
      </c>
      <c r="L8416" t="s">
        <v>102</v>
      </c>
      <c r="M8416" t="s">
        <v>75</v>
      </c>
      <c r="R8416" t="s">
        <v>36399</v>
      </c>
      <c r="S8416" t="s">
        <v>36400</v>
      </c>
      <c r="T8416" t="s">
        <v>97</v>
      </c>
      <c r="U8416" t="s">
        <v>77</v>
      </c>
      <c r="V8416" t="str">
        <f>"100033821"</f>
        <v>100033821</v>
      </c>
      <c r="AC8416" t="s">
        <v>79</v>
      </c>
      <c r="AD8416" t="s">
        <v>75</v>
      </c>
      <c r="AE8416" t="s">
        <v>103</v>
      </c>
      <c r="AG8416" t="s">
        <v>81</v>
      </c>
    </row>
    <row r="8417" spans="1:33" x14ac:dyDescent="0.25">
      <c r="A8417" t="str">
        <f>"1417919135"</f>
        <v>1417919135</v>
      </c>
      <c r="B8417" t="str">
        <f>"00121348"</f>
        <v>00121348</v>
      </c>
      <c r="C8417" t="s">
        <v>13436</v>
      </c>
      <c r="D8417" t="s">
        <v>36401</v>
      </c>
      <c r="E8417" t="s">
        <v>36402</v>
      </c>
      <c r="G8417" t="s">
        <v>36403</v>
      </c>
      <c r="L8417" t="s">
        <v>83</v>
      </c>
      <c r="M8417" t="s">
        <v>85</v>
      </c>
      <c r="R8417" t="s">
        <v>36404</v>
      </c>
      <c r="W8417" t="s">
        <v>36405</v>
      </c>
      <c r="X8417" t="s">
        <v>272</v>
      </c>
      <c r="Y8417" t="s">
        <v>97</v>
      </c>
      <c r="Z8417" t="s">
        <v>77</v>
      </c>
      <c r="AA8417" t="str">
        <f>"10029-6501"</f>
        <v>10029-6501</v>
      </c>
      <c r="AB8417" t="s">
        <v>78</v>
      </c>
      <c r="AC8417" t="s">
        <v>79</v>
      </c>
      <c r="AD8417" t="s">
        <v>75</v>
      </c>
      <c r="AE8417" t="s">
        <v>80</v>
      </c>
      <c r="AG8417" t="s">
        <v>81</v>
      </c>
    </row>
    <row r="8418" spans="1:33" x14ac:dyDescent="0.25">
      <c r="A8418" t="str">
        <f>"1417928896"</f>
        <v>1417928896</v>
      </c>
      <c r="B8418" t="str">
        <f>"00806386"</f>
        <v>00806386</v>
      </c>
      <c r="C8418" t="s">
        <v>13436</v>
      </c>
      <c r="D8418" t="s">
        <v>36406</v>
      </c>
      <c r="E8418" t="s">
        <v>36407</v>
      </c>
      <c r="G8418" t="s">
        <v>36408</v>
      </c>
      <c r="L8418" t="s">
        <v>74</v>
      </c>
      <c r="M8418" t="s">
        <v>85</v>
      </c>
      <c r="R8418" t="s">
        <v>36409</v>
      </c>
      <c r="W8418" t="s">
        <v>36410</v>
      </c>
      <c r="X8418" t="s">
        <v>36411</v>
      </c>
      <c r="Y8418" t="s">
        <v>97</v>
      </c>
      <c r="Z8418" t="s">
        <v>77</v>
      </c>
      <c r="AA8418" t="str">
        <f>"10029-5204"</f>
        <v>10029-5204</v>
      </c>
      <c r="AB8418" t="s">
        <v>78</v>
      </c>
      <c r="AC8418" t="s">
        <v>79</v>
      </c>
      <c r="AD8418" t="s">
        <v>75</v>
      </c>
      <c r="AE8418" t="s">
        <v>80</v>
      </c>
      <c r="AG8418" t="s">
        <v>81</v>
      </c>
    </row>
    <row r="8419" spans="1:33" x14ac:dyDescent="0.25">
      <c r="A8419" t="str">
        <f>"1417945767"</f>
        <v>1417945767</v>
      </c>
      <c r="B8419" t="str">
        <f>"02995568"</f>
        <v>02995568</v>
      </c>
      <c r="C8419" t="s">
        <v>13436</v>
      </c>
      <c r="D8419" t="s">
        <v>36412</v>
      </c>
      <c r="E8419" t="s">
        <v>36413</v>
      </c>
      <c r="G8419" t="s">
        <v>36414</v>
      </c>
      <c r="L8419" t="s">
        <v>83</v>
      </c>
      <c r="M8419" t="s">
        <v>75</v>
      </c>
      <c r="R8419" t="s">
        <v>36415</v>
      </c>
      <c r="W8419" t="s">
        <v>36416</v>
      </c>
      <c r="X8419" t="s">
        <v>31277</v>
      </c>
      <c r="Y8419" t="s">
        <v>131</v>
      </c>
      <c r="Z8419" t="s">
        <v>77</v>
      </c>
      <c r="AA8419" t="str">
        <f>"10463-3224"</f>
        <v>10463-3224</v>
      </c>
      <c r="AB8419" t="s">
        <v>93</v>
      </c>
      <c r="AC8419" t="s">
        <v>79</v>
      </c>
      <c r="AD8419" t="s">
        <v>75</v>
      </c>
      <c r="AE8419" t="s">
        <v>80</v>
      </c>
      <c r="AG8419" t="s">
        <v>81</v>
      </c>
    </row>
    <row r="8420" spans="1:33" x14ac:dyDescent="0.25">
      <c r="A8420" t="str">
        <f>"1417963455"</f>
        <v>1417963455</v>
      </c>
      <c r="B8420" t="str">
        <f>"01188976"</f>
        <v>01188976</v>
      </c>
      <c r="C8420" t="s">
        <v>13436</v>
      </c>
      <c r="D8420" t="s">
        <v>36417</v>
      </c>
      <c r="E8420" t="s">
        <v>36418</v>
      </c>
      <c r="G8420" t="s">
        <v>36419</v>
      </c>
      <c r="L8420" t="s">
        <v>83</v>
      </c>
      <c r="M8420" t="s">
        <v>85</v>
      </c>
      <c r="R8420" t="s">
        <v>36420</v>
      </c>
      <c r="W8420" t="s">
        <v>36418</v>
      </c>
      <c r="X8420" t="s">
        <v>11945</v>
      </c>
      <c r="Y8420" t="s">
        <v>2128</v>
      </c>
      <c r="Z8420" t="s">
        <v>77</v>
      </c>
      <c r="AA8420" t="str">
        <f>"11743-2779"</f>
        <v>11743-2779</v>
      </c>
      <c r="AB8420" t="s">
        <v>78</v>
      </c>
      <c r="AC8420" t="s">
        <v>79</v>
      </c>
      <c r="AD8420" t="s">
        <v>75</v>
      </c>
      <c r="AE8420" t="s">
        <v>80</v>
      </c>
      <c r="AG8420" t="s">
        <v>81</v>
      </c>
    </row>
    <row r="8421" spans="1:33" x14ac:dyDescent="0.25">
      <c r="A8421" t="str">
        <f>"1366483166"</f>
        <v>1366483166</v>
      </c>
      <c r="B8421" t="str">
        <f>"01263327"</f>
        <v>01263327</v>
      </c>
      <c r="C8421" t="s">
        <v>13436</v>
      </c>
      <c r="D8421" t="s">
        <v>36421</v>
      </c>
      <c r="E8421" t="s">
        <v>36422</v>
      </c>
      <c r="G8421" t="s">
        <v>36423</v>
      </c>
      <c r="L8421" t="s">
        <v>83</v>
      </c>
      <c r="M8421" t="s">
        <v>85</v>
      </c>
      <c r="R8421" t="s">
        <v>36424</v>
      </c>
      <c r="W8421" t="s">
        <v>36422</v>
      </c>
      <c r="X8421" t="s">
        <v>329</v>
      </c>
      <c r="Y8421" t="s">
        <v>97</v>
      </c>
      <c r="Z8421" t="s">
        <v>77</v>
      </c>
      <c r="AA8421" t="str">
        <f>"10029-6500"</f>
        <v>10029-6500</v>
      </c>
      <c r="AB8421" t="s">
        <v>78</v>
      </c>
      <c r="AC8421" t="s">
        <v>79</v>
      </c>
      <c r="AD8421" t="s">
        <v>75</v>
      </c>
      <c r="AE8421" t="s">
        <v>80</v>
      </c>
      <c r="AG8421" t="s">
        <v>81</v>
      </c>
    </row>
    <row r="8422" spans="1:33" x14ac:dyDescent="0.25">
      <c r="A8422" t="str">
        <f>"1366492126"</f>
        <v>1366492126</v>
      </c>
      <c r="B8422" t="str">
        <f>"02312398"</f>
        <v>02312398</v>
      </c>
      <c r="C8422" t="s">
        <v>13436</v>
      </c>
      <c r="D8422" t="s">
        <v>36425</v>
      </c>
      <c r="E8422" t="s">
        <v>36426</v>
      </c>
      <c r="L8422" t="s">
        <v>83</v>
      </c>
      <c r="M8422" t="s">
        <v>75</v>
      </c>
      <c r="R8422" t="s">
        <v>36427</v>
      </c>
      <c r="W8422" t="s">
        <v>36426</v>
      </c>
      <c r="Y8422" t="s">
        <v>97</v>
      </c>
      <c r="Z8422" t="s">
        <v>77</v>
      </c>
      <c r="AA8422" t="str">
        <f>"10128-5604"</f>
        <v>10128-5604</v>
      </c>
      <c r="AB8422" t="s">
        <v>78</v>
      </c>
      <c r="AC8422" t="s">
        <v>79</v>
      </c>
      <c r="AD8422" t="s">
        <v>75</v>
      </c>
      <c r="AE8422" t="s">
        <v>80</v>
      </c>
      <c r="AG8422" t="s">
        <v>81</v>
      </c>
    </row>
    <row r="8423" spans="1:33" x14ac:dyDescent="0.25">
      <c r="A8423" t="str">
        <f>"1366499873"</f>
        <v>1366499873</v>
      </c>
      <c r="B8423" t="str">
        <f>"02589751"</f>
        <v>02589751</v>
      </c>
      <c r="C8423" t="s">
        <v>13436</v>
      </c>
      <c r="D8423" t="s">
        <v>839</v>
      </c>
      <c r="E8423" t="s">
        <v>840</v>
      </c>
      <c r="L8423" t="s">
        <v>84</v>
      </c>
      <c r="M8423" t="s">
        <v>75</v>
      </c>
      <c r="R8423" t="s">
        <v>838</v>
      </c>
      <c r="W8423" t="s">
        <v>840</v>
      </c>
      <c r="X8423" t="s">
        <v>841</v>
      </c>
      <c r="Y8423" t="s">
        <v>97</v>
      </c>
      <c r="Z8423" t="s">
        <v>77</v>
      </c>
      <c r="AA8423" t="str">
        <f>"10029-6810"</f>
        <v>10029-6810</v>
      </c>
      <c r="AB8423" t="s">
        <v>78</v>
      </c>
      <c r="AC8423" t="s">
        <v>79</v>
      </c>
      <c r="AD8423" t="s">
        <v>75</v>
      </c>
      <c r="AE8423" t="s">
        <v>80</v>
      </c>
      <c r="AG8423" t="s">
        <v>81</v>
      </c>
    </row>
    <row r="8424" spans="1:33" x14ac:dyDescent="0.25">
      <c r="A8424" t="str">
        <f>"1366504433"</f>
        <v>1366504433</v>
      </c>
      <c r="B8424" t="str">
        <f>"02589980"</f>
        <v>02589980</v>
      </c>
      <c r="C8424" t="s">
        <v>13436</v>
      </c>
      <c r="D8424" t="s">
        <v>36428</v>
      </c>
      <c r="E8424" t="s">
        <v>36429</v>
      </c>
      <c r="G8424" t="s">
        <v>36430</v>
      </c>
      <c r="L8424" t="s">
        <v>74</v>
      </c>
      <c r="M8424" t="s">
        <v>85</v>
      </c>
      <c r="R8424" t="s">
        <v>36431</v>
      </c>
      <c r="W8424" t="s">
        <v>36429</v>
      </c>
      <c r="X8424" t="s">
        <v>2926</v>
      </c>
      <c r="Y8424" t="s">
        <v>97</v>
      </c>
      <c r="Z8424" t="s">
        <v>77</v>
      </c>
      <c r="AA8424" t="str">
        <f>"10029-6503"</f>
        <v>10029-6503</v>
      </c>
      <c r="AB8424" t="s">
        <v>78</v>
      </c>
      <c r="AC8424" t="s">
        <v>79</v>
      </c>
      <c r="AD8424" t="s">
        <v>75</v>
      </c>
      <c r="AE8424" t="s">
        <v>80</v>
      </c>
      <c r="AG8424" t="s">
        <v>81</v>
      </c>
    </row>
    <row r="8425" spans="1:33" x14ac:dyDescent="0.25">
      <c r="A8425" t="str">
        <f>"1366542284"</f>
        <v>1366542284</v>
      </c>
      <c r="B8425" t="str">
        <f>"03064582"</f>
        <v>03064582</v>
      </c>
      <c r="C8425" t="s">
        <v>13436</v>
      </c>
      <c r="D8425" t="s">
        <v>3386</v>
      </c>
      <c r="E8425" t="s">
        <v>3387</v>
      </c>
      <c r="G8425" t="s">
        <v>36432</v>
      </c>
      <c r="L8425" t="s">
        <v>83</v>
      </c>
      <c r="M8425" t="s">
        <v>85</v>
      </c>
      <c r="R8425" t="s">
        <v>3388</v>
      </c>
      <c r="W8425" t="s">
        <v>3387</v>
      </c>
      <c r="X8425" t="s">
        <v>3389</v>
      </c>
      <c r="Y8425" t="s">
        <v>97</v>
      </c>
      <c r="Z8425" t="s">
        <v>77</v>
      </c>
      <c r="AA8425" t="str">
        <f>"10029-0000"</f>
        <v>10029-0000</v>
      </c>
      <c r="AB8425" t="s">
        <v>78</v>
      </c>
      <c r="AC8425" t="s">
        <v>79</v>
      </c>
      <c r="AD8425" t="s">
        <v>75</v>
      </c>
      <c r="AE8425" t="s">
        <v>80</v>
      </c>
      <c r="AG8425" t="s">
        <v>81</v>
      </c>
    </row>
    <row r="8426" spans="1:33" x14ac:dyDescent="0.25">
      <c r="A8426" t="str">
        <f>"1366542656"</f>
        <v>1366542656</v>
      </c>
      <c r="B8426" t="str">
        <f>"02912756"</f>
        <v>02912756</v>
      </c>
      <c r="C8426" t="s">
        <v>13436</v>
      </c>
      <c r="D8426" t="s">
        <v>36433</v>
      </c>
      <c r="E8426" t="s">
        <v>36434</v>
      </c>
      <c r="G8426" t="s">
        <v>36435</v>
      </c>
      <c r="L8426" t="s">
        <v>74</v>
      </c>
      <c r="M8426" t="s">
        <v>85</v>
      </c>
      <c r="R8426" t="s">
        <v>36436</v>
      </c>
      <c r="W8426" t="s">
        <v>36434</v>
      </c>
      <c r="X8426" t="s">
        <v>234</v>
      </c>
      <c r="Y8426" t="s">
        <v>97</v>
      </c>
      <c r="Z8426" t="s">
        <v>77</v>
      </c>
      <c r="AA8426" t="str">
        <f>"10032-3729"</f>
        <v>10032-3729</v>
      </c>
      <c r="AB8426" t="s">
        <v>78</v>
      </c>
      <c r="AC8426" t="s">
        <v>79</v>
      </c>
      <c r="AD8426" t="s">
        <v>75</v>
      </c>
      <c r="AE8426" t="s">
        <v>80</v>
      </c>
      <c r="AG8426" t="s">
        <v>81</v>
      </c>
    </row>
    <row r="8427" spans="1:33" x14ac:dyDescent="0.25">
      <c r="A8427" t="str">
        <f>"1366571622"</f>
        <v>1366571622</v>
      </c>
      <c r="B8427" t="str">
        <f>"03955479"</f>
        <v>03955479</v>
      </c>
      <c r="C8427" t="s">
        <v>13436</v>
      </c>
      <c r="D8427" t="s">
        <v>36437</v>
      </c>
      <c r="E8427" t="s">
        <v>36438</v>
      </c>
      <c r="G8427" t="s">
        <v>36439</v>
      </c>
      <c r="L8427" t="s">
        <v>74</v>
      </c>
      <c r="M8427" t="s">
        <v>75</v>
      </c>
      <c r="R8427" t="s">
        <v>36438</v>
      </c>
      <c r="W8427" t="s">
        <v>36438</v>
      </c>
      <c r="X8427" t="s">
        <v>138</v>
      </c>
      <c r="Y8427" t="s">
        <v>139</v>
      </c>
      <c r="Z8427" t="s">
        <v>77</v>
      </c>
      <c r="AA8427" t="str">
        <f>"11355-5045"</f>
        <v>11355-5045</v>
      </c>
      <c r="AB8427" t="s">
        <v>78</v>
      </c>
      <c r="AC8427" t="s">
        <v>79</v>
      </c>
      <c r="AD8427" t="s">
        <v>75</v>
      </c>
      <c r="AE8427" t="s">
        <v>80</v>
      </c>
      <c r="AG8427" t="s">
        <v>81</v>
      </c>
    </row>
    <row r="8428" spans="1:33" x14ac:dyDescent="0.25">
      <c r="A8428" t="str">
        <f>"1417110735"</f>
        <v>1417110735</v>
      </c>
      <c r="B8428" t="str">
        <f>"03617810"</f>
        <v>03617810</v>
      </c>
      <c r="C8428" t="s">
        <v>13436</v>
      </c>
      <c r="D8428" t="s">
        <v>36440</v>
      </c>
      <c r="E8428" t="s">
        <v>36441</v>
      </c>
      <c r="G8428" t="s">
        <v>36442</v>
      </c>
      <c r="L8428" t="s">
        <v>83</v>
      </c>
      <c r="M8428" t="s">
        <v>85</v>
      </c>
      <c r="R8428" t="s">
        <v>36443</v>
      </c>
      <c r="W8428" t="s">
        <v>36441</v>
      </c>
      <c r="X8428" t="s">
        <v>329</v>
      </c>
      <c r="Y8428" t="s">
        <v>97</v>
      </c>
      <c r="Z8428" t="s">
        <v>77</v>
      </c>
      <c r="AA8428" t="str">
        <f>"10029-6504"</f>
        <v>10029-6504</v>
      </c>
      <c r="AB8428" t="s">
        <v>78</v>
      </c>
      <c r="AC8428" t="s">
        <v>79</v>
      </c>
      <c r="AD8428" t="s">
        <v>75</v>
      </c>
      <c r="AE8428" t="s">
        <v>80</v>
      </c>
      <c r="AG8428" t="s">
        <v>81</v>
      </c>
    </row>
    <row r="8429" spans="1:33" x14ac:dyDescent="0.25">
      <c r="A8429" t="str">
        <f>"1427054584"</f>
        <v>1427054584</v>
      </c>
      <c r="B8429" t="str">
        <f>"01970790"</f>
        <v>01970790</v>
      </c>
      <c r="C8429" t="s">
        <v>13436</v>
      </c>
      <c r="D8429" t="s">
        <v>36444</v>
      </c>
      <c r="E8429" t="s">
        <v>36445</v>
      </c>
      <c r="G8429" t="s">
        <v>36446</v>
      </c>
      <c r="L8429" t="s">
        <v>74</v>
      </c>
      <c r="M8429" t="s">
        <v>85</v>
      </c>
      <c r="R8429" t="s">
        <v>36447</v>
      </c>
      <c r="W8429" t="s">
        <v>36445</v>
      </c>
      <c r="X8429" t="s">
        <v>27352</v>
      </c>
      <c r="Y8429" t="s">
        <v>160</v>
      </c>
      <c r="Z8429" t="s">
        <v>77</v>
      </c>
      <c r="AA8429" t="str">
        <f>"11030-3008"</f>
        <v>11030-3008</v>
      </c>
      <c r="AB8429" t="s">
        <v>78</v>
      </c>
      <c r="AC8429" t="s">
        <v>79</v>
      </c>
      <c r="AD8429" t="s">
        <v>75</v>
      </c>
      <c r="AE8429" t="s">
        <v>80</v>
      </c>
      <c r="AG8429" t="s">
        <v>81</v>
      </c>
    </row>
    <row r="8430" spans="1:33" x14ac:dyDescent="0.25">
      <c r="A8430" t="str">
        <f>"1427064302"</f>
        <v>1427064302</v>
      </c>
      <c r="B8430" t="str">
        <f>"02229830"</f>
        <v>02229830</v>
      </c>
      <c r="C8430" t="s">
        <v>13436</v>
      </c>
      <c r="D8430" t="s">
        <v>36448</v>
      </c>
      <c r="E8430" t="s">
        <v>36449</v>
      </c>
      <c r="G8430" t="s">
        <v>36450</v>
      </c>
      <c r="L8430" t="s">
        <v>74</v>
      </c>
      <c r="M8430" t="s">
        <v>85</v>
      </c>
      <c r="R8430" t="s">
        <v>36451</v>
      </c>
      <c r="W8430" t="s">
        <v>36449</v>
      </c>
      <c r="X8430" t="s">
        <v>11945</v>
      </c>
      <c r="Y8430" t="s">
        <v>2128</v>
      </c>
      <c r="Z8430" t="s">
        <v>77</v>
      </c>
      <c r="AA8430" t="str">
        <f>"11743-2779"</f>
        <v>11743-2779</v>
      </c>
      <c r="AB8430" t="s">
        <v>78</v>
      </c>
      <c r="AC8430" t="s">
        <v>79</v>
      </c>
      <c r="AD8430" t="s">
        <v>75</v>
      </c>
      <c r="AE8430" t="s">
        <v>80</v>
      </c>
      <c r="AG8430" t="s">
        <v>81</v>
      </c>
    </row>
    <row r="8431" spans="1:33" x14ac:dyDescent="0.25">
      <c r="A8431" t="str">
        <f>"1427098342"</f>
        <v>1427098342</v>
      </c>
      <c r="B8431" t="str">
        <f>"03441238"</f>
        <v>03441238</v>
      </c>
      <c r="C8431" t="s">
        <v>13436</v>
      </c>
      <c r="D8431" t="s">
        <v>36452</v>
      </c>
      <c r="E8431" t="s">
        <v>36453</v>
      </c>
      <c r="G8431" t="s">
        <v>36454</v>
      </c>
      <c r="L8431" t="s">
        <v>83</v>
      </c>
      <c r="M8431" t="s">
        <v>85</v>
      </c>
      <c r="R8431" t="s">
        <v>36453</v>
      </c>
      <c r="W8431" t="s">
        <v>36453</v>
      </c>
      <c r="X8431" t="s">
        <v>329</v>
      </c>
      <c r="Y8431" t="s">
        <v>97</v>
      </c>
      <c r="Z8431" t="s">
        <v>77</v>
      </c>
      <c r="AA8431" t="str">
        <f>"10029-6500"</f>
        <v>10029-6500</v>
      </c>
      <c r="AB8431" t="s">
        <v>78</v>
      </c>
      <c r="AC8431" t="s">
        <v>79</v>
      </c>
      <c r="AD8431" t="s">
        <v>75</v>
      </c>
      <c r="AE8431" t="s">
        <v>80</v>
      </c>
      <c r="AG8431" t="s">
        <v>81</v>
      </c>
    </row>
    <row r="8432" spans="1:33" x14ac:dyDescent="0.25">
      <c r="A8432" t="str">
        <f>"1427102490"</f>
        <v>1427102490</v>
      </c>
      <c r="B8432" t="str">
        <f>"03136216"</f>
        <v>03136216</v>
      </c>
      <c r="C8432" t="s">
        <v>13436</v>
      </c>
      <c r="D8432" t="s">
        <v>36455</v>
      </c>
      <c r="E8432" t="s">
        <v>36456</v>
      </c>
      <c r="G8432" t="s">
        <v>36457</v>
      </c>
      <c r="L8432" t="s">
        <v>74</v>
      </c>
      <c r="M8432" t="s">
        <v>85</v>
      </c>
      <c r="R8432" t="s">
        <v>36458</v>
      </c>
      <c r="W8432" t="s">
        <v>36459</v>
      </c>
      <c r="X8432" t="s">
        <v>4029</v>
      </c>
      <c r="Y8432" t="s">
        <v>97</v>
      </c>
      <c r="Z8432" t="s">
        <v>77</v>
      </c>
      <c r="AA8432" t="str">
        <f>"10029-6503"</f>
        <v>10029-6503</v>
      </c>
      <c r="AB8432" t="s">
        <v>78</v>
      </c>
      <c r="AC8432" t="s">
        <v>79</v>
      </c>
      <c r="AD8432" t="s">
        <v>75</v>
      </c>
      <c r="AE8432" t="s">
        <v>80</v>
      </c>
      <c r="AG8432" t="s">
        <v>81</v>
      </c>
    </row>
    <row r="8433" spans="1:33" x14ac:dyDescent="0.25">
      <c r="A8433" t="str">
        <f>"1427156967"</f>
        <v>1427156967</v>
      </c>
      <c r="B8433" t="str">
        <f>"02601861"</f>
        <v>02601861</v>
      </c>
      <c r="C8433" t="s">
        <v>13436</v>
      </c>
      <c r="D8433" t="s">
        <v>36460</v>
      </c>
      <c r="E8433" t="s">
        <v>36461</v>
      </c>
      <c r="G8433" t="s">
        <v>36462</v>
      </c>
      <c r="L8433" t="s">
        <v>74</v>
      </c>
      <c r="M8433" t="s">
        <v>85</v>
      </c>
      <c r="R8433" t="s">
        <v>36463</v>
      </c>
      <c r="W8433" t="s">
        <v>36461</v>
      </c>
      <c r="Y8433" t="s">
        <v>2604</v>
      </c>
      <c r="Z8433" t="s">
        <v>77</v>
      </c>
      <c r="AA8433" t="str">
        <f>"10901-4869"</f>
        <v>10901-4869</v>
      </c>
      <c r="AB8433" t="s">
        <v>78</v>
      </c>
      <c r="AC8433" t="s">
        <v>79</v>
      </c>
      <c r="AD8433" t="s">
        <v>75</v>
      </c>
      <c r="AE8433" t="s">
        <v>80</v>
      </c>
      <c r="AG8433" t="s">
        <v>81</v>
      </c>
    </row>
    <row r="8434" spans="1:33" x14ac:dyDescent="0.25">
      <c r="A8434" t="str">
        <f>"1558660340"</f>
        <v>1558660340</v>
      </c>
      <c r="C8434" t="s">
        <v>13436</v>
      </c>
      <c r="K8434" t="s">
        <v>99</v>
      </c>
      <c r="L8434" t="s">
        <v>102</v>
      </c>
      <c r="M8434" t="s">
        <v>75</v>
      </c>
      <c r="R8434" t="s">
        <v>36464</v>
      </c>
      <c r="S8434" t="s">
        <v>36465</v>
      </c>
      <c r="T8434" t="s">
        <v>4483</v>
      </c>
      <c r="U8434" t="s">
        <v>1842</v>
      </c>
      <c r="V8434" t="str">
        <f>"065102715"</f>
        <v>065102715</v>
      </c>
      <c r="AC8434" t="s">
        <v>79</v>
      </c>
      <c r="AD8434" t="s">
        <v>75</v>
      </c>
      <c r="AE8434" t="s">
        <v>103</v>
      </c>
      <c r="AG8434" t="s">
        <v>81</v>
      </c>
    </row>
    <row r="8435" spans="1:33" x14ac:dyDescent="0.25">
      <c r="A8435" t="str">
        <f>"1427036524"</f>
        <v>1427036524</v>
      </c>
      <c r="B8435" t="str">
        <f>"00571348"</f>
        <v>00571348</v>
      </c>
      <c r="C8435" t="s">
        <v>36466</v>
      </c>
      <c r="D8435" t="s">
        <v>36467</v>
      </c>
      <c r="E8435" t="s">
        <v>36468</v>
      </c>
      <c r="G8435" t="s">
        <v>36469</v>
      </c>
      <c r="H8435" t="s">
        <v>36470</v>
      </c>
      <c r="J8435" t="s">
        <v>36471</v>
      </c>
      <c r="L8435" t="s">
        <v>36472</v>
      </c>
      <c r="M8435" t="s">
        <v>85</v>
      </c>
      <c r="R8435" t="s">
        <v>36473</v>
      </c>
      <c r="W8435" t="s">
        <v>36468</v>
      </c>
      <c r="X8435" t="s">
        <v>36474</v>
      </c>
      <c r="Y8435" t="s">
        <v>97</v>
      </c>
      <c r="Z8435" t="s">
        <v>77</v>
      </c>
      <c r="AA8435" t="str">
        <f>"10029-2210"</f>
        <v>10029-2210</v>
      </c>
      <c r="AB8435" t="s">
        <v>93</v>
      </c>
      <c r="AC8435" t="s">
        <v>79</v>
      </c>
      <c r="AD8435" t="s">
        <v>75</v>
      </c>
      <c r="AE8435" t="s">
        <v>80</v>
      </c>
      <c r="AG8435" t="s">
        <v>81</v>
      </c>
    </row>
    <row r="8436" spans="1:33" x14ac:dyDescent="0.25">
      <c r="A8436" t="str">
        <f>"1447208558"</f>
        <v>1447208558</v>
      </c>
      <c r="B8436" t="str">
        <f>"03267021"</f>
        <v>03267021</v>
      </c>
      <c r="C8436" t="s">
        <v>4787</v>
      </c>
      <c r="D8436" t="s">
        <v>4788</v>
      </c>
      <c r="E8436" t="s">
        <v>4789</v>
      </c>
      <c r="H8436" t="s">
        <v>6312</v>
      </c>
      <c r="L8436" t="s">
        <v>83</v>
      </c>
      <c r="M8436" t="s">
        <v>85</v>
      </c>
      <c r="R8436" t="s">
        <v>4790</v>
      </c>
      <c r="W8436" t="s">
        <v>4789</v>
      </c>
      <c r="X8436" t="s">
        <v>223</v>
      </c>
      <c r="Y8436" t="s">
        <v>131</v>
      </c>
      <c r="Z8436" t="s">
        <v>77</v>
      </c>
      <c r="AA8436" t="str">
        <f>"10467-2403"</f>
        <v>10467-2403</v>
      </c>
      <c r="AB8436" t="s">
        <v>78</v>
      </c>
      <c r="AC8436" t="s">
        <v>79</v>
      </c>
      <c r="AD8436" t="s">
        <v>75</v>
      </c>
      <c r="AE8436" t="s">
        <v>80</v>
      </c>
      <c r="AG8436" t="s">
        <v>81</v>
      </c>
    </row>
    <row r="8437" spans="1:33" x14ac:dyDescent="0.25">
      <c r="A8437" t="str">
        <f>"1457650392"</f>
        <v>1457650392</v>
      </c>
      <c r="B8437" t="str">
        <f>"03368018"</f>
        <v>03368018</v>
      </c>
      <c r="C8437" t="s">
        <v>4434</v>
      </c>
      <c r="D8437" t="s">
        <v>36475</v>
      </c>
      <c r="E8437" t="s">
        <v>4438</v>
      </c>
      <c r="F8437">
        <v>112777066</v>
      </c>
      <c r="G8437" t="s">
        <v>27118</v>
      </c>
      <c r="H8437" t="s">
        <v>27119</v>
      </c>
      <c r="J8437" t="s">
        <v>27120</v>
      </c>
      <c r="L8437" t="s">
        <v>37</v>
      </c>
      <c r="M8437" t="s">
        <v>85</v>
      </c>
      <c r="R8437" t="s">
        <v>4438</v>
      </c>
      <c r="W8437" t="s">
        <v>4438</v>
      </c>
      <c r="X8437" t="s">
        <v>36476</v>
      </c>
      <c r="Y8437" t="s">
        <v>131</v>
      </c>
      <c r="Z8437" t="s">
        <v>77</v>
      </c>
      <c r="AA8437" t="str">
        <f>"10466-5851"</f>
        <v>10466-5851</v>
      </c>
      <c r="AB8437" t="s">
        <v>107</v>
      </c>
      <c r="AC8437" t="s">
        <v>79</v>
      </c>
      <c r="AD8437" t="s">
        <v>75</v>
      </c>
      <c r="AE8437" t="s">
        <v>80</v>
      </c>
      <c r="AG8437" t="s">
        <v>81</v>
      </c>
    </row>
    <row r="8438" spans="1:33" x14ac:dyDescent="0.25">
      <c r="A8438" t="str">
        <f>"1538379573"</f>
        <v>1538379573</v>
      </c>
      <c r="B8438" t="str">
        <f>"01350509"</f>
        <v>01350509</v>
      </c>
      <c r="C8438" t="s">
        <v>36477</v>
      </c>
      <c r="D8438" t="s">
        <v>36478</v>
      </c>
      <c r="E8438" t="s">
        <v>36479</v>
      </c>
      <c r="G8438" t="s">
        <v>36480</v>
      </c>
      <c r="H8438" t="s">
        <v>36481</v>
      </c>
      <c r="J8438" t="s">
        <v>36482</v>
      </c>
      <c r="L8438" t="s">
        <v>35</v>
      </c>
      <c r="M8438" t="s">
        <v>85</v>
      </c>
      <c r="R8438" t="s">
        <v>36479</v>
      </c>
      <c r="W8438" t="s">
        <v>36479</v>
      </c>
      <c r="X8438" t="s">
        <v>36483</v>
      </c>
      <c r="Y8438" t="s">
        <v>97</v>
      </c>
      <c r="Z8438" t="s">
        <v>77</v>
      </c>
      <c r="AA8438" t="str">
        <f>"10012-3233"</f>
        <v>10012-3233</v>
      </c>
      <c r="AB8438" t="s">
        <v>98</v>
      </c>
      <c r="AC8438" t="s">
        <v>79</v>
      </c>
      <c r="AD8438" t="s">
        <v>75</v>
      </c>
      <c r="AE8438" t="s">
        <v>80</v>
      </c>
      <c r="AG8438" t="s">
        <v>81</v>
      </c>
    </row>
    <row r="8439" spans="1:33" x14ac:dyDescent="0.25">
      <c r="A8439" t="str">
        <f>"1588638084"</f>
        <v>1588638084</v>
      </c>
      <c r="B8439" t="str">
        <f>"01814997"</f>
        <v>01814997</v>
      </c>
      <c r="C8439" t="s">
        <v>5465</v>
      </c>
      <c r="D8439" t="s">
        <v>5466</v>
      </c>
      <c r="E8439" t="s">
        <v>5467</v>
      </c>
      <c r="G8439" t="s">
        <v>36484</v>
      </c>
      <c r="H8439" t="s">
        <v>1403</v>
      </c>
      <c r="J8439" t="s">
        <v>4893</v>
      </c>
      <c r="L8439" t="s">
        <v>105</v>
      </c>
      <c r="M8439" t="s">
        <v>75</v>
      </c>
      <c r="R8439" t="s">
        <v>5468</v>
      </c>
      <c r="W8439" t="s">
        <v>5469</v>
      </c>
      <c r="X8439" t="s">
        <v>5470</v>
      </c>
      <c r="Y8439" t="s">
        <v>97</v>
      </c>
      <c r="Z8439" t="s">
        <v>77</v>
      </c>
      <c r="AA8439" t="str">
        <f>"10023-1689"</f>
        <v>10023-1689</v>
      </c>
      <c r="AB8439" t="s">
        <v>78</v>
      </c>
      <c r="AC8439" t="s">
        <v>79</v>
      </c>
      <c r="AD8439" t="s">
        <v>75</v>
      </c>
      <c r="AE8439" t="s">
        <v>80</v>
      </c>
      <c r="AG8439" t="s">
        <v>81</v>
      </c>
    </row>
    <row r="8440" spans="1:33" x14ac:dyDescent="0.25">
      <c r="A8440" t="str">
        <f>"1598921728"</f>
        <v>1598921728</v>
      </c>
      <c r="B8440" t="str">
        <f>"03189526"</f>
        <v>03189526</v>
      </c>
      <c r="C8440" t="s">
        <v>36485</v>
      </c>
      <c r="D8440" t="s">
        <v>3335</v>
      </c>
      <c r="E8440" t="s">
        <v>3336</v>
      </c>
      <c r="G8440" t="s">
        <v>2708</v>
      </c>
      <c r="H8440" t="s">
        <v>868</v>
      </c>
      <c r="J8440" t="s">
        <v>2709</v>
      </c>
      <c r="L8440" t="s">
        <v>83</v>
      </c>
      <c r="M8440" t="s">
        <v>85</v>
      </c>
      <c r="R8440" t="s">
        <v>3337</v>
      </c>
      <c r="W8440" t="s">
        <v>3336</v>
      </c>
      <c r="X8440" t="s">
        <v>2832</v>
      </c>
      <c r="Y8440" t="s">
        <v>171</v>
      </c>
      <c r="Z8440" t="s">
        <v>77</v>
      </c>
      <c r="AA8440" t="str">
        <f>"11435-4721"</f>
        <v>11435-4721</v>
      </c>
      <c r="AB8440" t="s">
        <v>82</v>
      </c>
      <c r="AC8440" t="s">
        <v>79</v>
      </c>
      <c r="AD8440" t="s">
        <v>75</v>
      </c>
      <c r="AE8440" t="s">
        <v>80</v>
      </c>
      <c r="AG8440" t="s">
        <v>81</v>
      </c>
    </row>
    <row r="8441" spans="1:33" x14ac:dyDescent="0.25">
      <c r="A8441" t="str">
        <f>"1619119237"</f>
        <v>1619119237</v>
      </c>
      <c r="B8441" t="str">
        <f>"01683114"</f>
        <v>01683114</v>
      </c>
      <c r="C8441" t="s">
        <v>36486</v>
      </c>
      <c r="D8441" t="s">
        <v>36487</v>
      </c>
      <c r="E8441" t="s">
        <v>36488</v>
      </c>
      <c r="F8441">
        <v>112141197</v>
      </c>
      <c r="G8441" t="s">
        <v>36489</v>
      </c>
      <c r="H8441" t="s">
        <v>36490</v>
      </c>
      <c r="J8441" t="s">
        <v>36491</v>
      </c>
      <c r="L8441" t="s">
        <v>35</v>
      </c>
      <c r="M8441" t="s">
        <v>85</v>
      </c>
      <c r="R8441" t="s">
        <v>36492</v>
      </c>
      <c r="W8441" t="s">
        <v>36488</v>
      </c>
      <c r="X8441" t="s">
        <v>36493</v>
      </c>
      <c r="Y8441" t="s">
        <v>199</v>
      </c>
      <c r="Z8441" t="s">
        <v>77</v>
      </c>
      <c r="AA8441" t="str">
        <f>"11706-7948"</f>
        <v>11706-7948</v>
      </c>
      <c r="AB8441" t="s">
        <v>98</v>
      </c>
      <c r="AC8441" t="s">
        <v>79</v>
      </c>
      <c r="AD8441" t="s">
        <v>75</v>
      </c>
      <c r="AE8441" t="s">
        <v>80</v>
      </c>
      <c r="AG8441" t="s">
        <v>81</v>
      </c>
    </row>
    <row r="8442" spans="1:33" x14ac:dyDescent="0.25">
      <c r="A8442" t="str">
        <f>"1083971253"</f>
        <v>1083971253</v>
      </c>
      <c r="B8442" t="str">
        <f>"04382041"</f>
        <v>04382041</v>
      </c>
      <c r="C8442" t="s">
        <v>13436</v>
      </c>
      <c r="D8442" t="s">
        <v>36494</v>
      </c>
      <c r="E8442" t="s">
        <v>36495</v>
      </c>
      <c r="L8442" t="s">
        <v>102</v>
      </c>
      <c r="M8442" t="s">
        <v>75</v>
      </c>
      <c r="R8442" t="s">
        <v>36496</v>
      </c>
      <c r="W8442" t="s">
        <v>36495</v>
      </c>
      <c r="X8442" t="s">
        <v>329</v>
      </c>
      <c r="Y8442" t="s">
        <v>97</v>
      </c>
      <c r="Z8442" t="s">
        <v>77</v>
      </c>
      <c r="AA8442" t="str">
        <f>"10029-6504"</f>
        <v>10029-6504</v>
      </c>
      <c r="AB8442" t="s">
        <v>78</v>
      </c>
      <c r="AC8442" t="s">
        <v>79</v>
      </c>
      <c r="AD8442" t="s">
        <v>75</v>
      </c>
      <c r="AE8442" t="s">
        <v>80</v>
      </c>
      <c r="AG8442" t="s">
        <v>81</v>
      </c>
    </row>
    <row r="8443" spans="1:33" x14ac:dyDescent="0.25">
      <c r="A8443" t="str">
        <f>"1083971733"</f>
        <v>1083971733</v>
      </c>
      <c r="B8443" t="str">
        <f>"04475072"</f>
        <v>04475072</v>
      </c>
      <c r="C8443" t="s">
        <v>13436</v>
      </c>
      <c r="D8443" t="s">
        <v>36497</v>
      </c>
      <c r="E8443" t="s">
        <v>36498</v>
      </c>
      <c r="L8443" t="s">
        <v>102</v>
      </c>
      <c r="M8443" t="s">
        <v>75</v>
      </c>
      <c r="R8443" t="s">
        <v>36499</v>
      </c>
      <c r="W8443" t="s">
        <v>36498</v>
      </c>
      <c r="AB8443" t="s">
        <v>78</v>
      </c>
      <c r="AC8443" t="s">
        <v>79</v>
      </c>
      <c r="AD8443" t="s">
        <v>75</v>
      </c>
      <c r="AE8443" t="s">
        <v>80</v>
      </c>
      <c r="AG8443" t="s">
        <v>81</v>
      </c>
    </row>
    <row r="8444" spans="1:33" x14ac:dyDescent="0.25">
      <c r="A8444" t="str">
        <f>"1083977375"</f>
        <v>1083977375</v>
      </c>
      <c r="B8444" t="str">
        <f>"04344670"</f>
        <v>04344670</v>
      </c>
      <c r="C8444" t="s">
        <v>13436</v>
      </c>
      <c r="D8444" t="s">
        <v>36500</v>
      </c>
      <c r="E8444" t="s">
        <v>36501</v>
      </c>
      <c r="G8444" t="s">
        <v>36502</v>
      </c>
      <c r="L8444" t="s">
        <v>74</v>
      </c>
      <c r="M8444" t="s">
        <v>75</v>
      </c>
      <c r="R8444" t="s">
        <v>26360</v>
      </c>
      <c r="W8444" t="s">
        <v>36501</v>
      </c>
      <c r="X8444" t="s">
        <v>181</v>
      </c>
      <c r="Y8444" t="s">
        <v>97</v>
      </c>
      <c r="Z8444" t="s">
        <v>77</v>
      </c>
      <c r="AA8444" t="str">
        <f>"10025-1716"</f>
        <v>10025-1716</v>
      </c>
      <c r="AB8444" t="s">
        <v>125</v>
      </c>
      <c r="AC8444" t="s">
        <v>79</v>
      </c>
      <c r="AD8444" t="s">
        <v>75</v>
      </c>
      <c r="AE8444" t="s">
        <v>80</v>
      </c>
      <c r="AG8444" t="s">
        <v>81</v>
      </c>
    </row>
    <row r="8445" spans="1:33" x14ac:dyDescent="0.25">
      <c r="A8445" t="str">
        <f>"1083980023"</f>
        <v>1083980023</v>
      </c>
      <c r="B8445" t="str">
        <f>"04504523"</f>
        <v>04504523</v>
      </c>
      <c r="C8445" t="s">
        <v>13436</v>
      </c>
      <c r="D8445" t="s">
        <v>36503</v>
      </c>
      <c r="E8445" t="s">
        <v>36504</v>
      </c>
      <c r="L8445" t="s">
        <v>102</v>
      </c>
      <c r="M8445" t="s">
        <v>75</v>
      </c>
      <c r="R8445" t="s">
        <v>36504</v>
      </c>
      <c r="W8445" t="s">
        <v>36504</v>
      </c>
      <c r="AB8445" t="s">
        <v>78</v>
      </c>
      <c r="AC8445" t="s">
        <v>79</v>
      </c>
      <c r="AD8445" t="s">
        <v>75</v>
      </c>
      <c r="AE8445" t="s">
        <v>80</v>
      </c>
      <c r="AG8445" t="s">
        <v>81</v>
      </c>
    </row>
    <row r="8446" spans="1:33" x14ac:dyDescent="0.25">
      <c r="A8446" t="str">
        <f>"1225124704"</f>
        <v>1225124704</v>
      </c>
      <c r="B8446" t="str">
        <f>"01692626"</f>
        <v>01692626</v>
      </c>
      <c r="C8446" t="s">
        <v>13436</v>
      </c>
      <c r="D8446" t="s">
        <v>36505</v>
      </c>
      <c r="E8446" t="s">
        <v>36506</v>
      </c>
      <c r="G8446" t="s">
        <v>36507</v>
      </c>
      <c r="L8446" t="s">
        <v>84</v>
      </c>
      <c r="M8446" t="s">
        <v>75</v>
      </c>
      <c r="R8446" t="s">
        <v>36508</v>
      </c>
      <c r="W8446" t="s">
        <v>36509</v>
      </c>
      <c r="X8446" t="s">
        <v>2374</v>
      </c>
      <c r="Y8446" t="s">
        <v>97</v>
      </c>
      <c r="Z8446" t="s">
        <v>77</v>
      </c>
      <c r="AA8446" t="str">
        <f>"10128-1234"</f>
        <v>10128-1234</v>
      </c>
      <c r="AB8446" t="s">
        <v>78</v>
      </c>
      <c r="AC8446" t="s">
        <v>79</v>
      </c>
      <c r="AD8446" t="s">
        <v>75</v>
      </c>
      <c r="AE8446" t="s">
        <v>80</v>
      </c>
      <c r="AG8446" t="s">
        <v>81</v>
      </c>
    </row>
    <row r="8447" spans="1:33" x14ac:dyDescent="0.25">
      <c r="A8447" t="str">
        <f>"1235110123"</f>
        <v>1235110123</v>
      </c>
      <c r="B8447" t="str">
        <f>"01667216"</f>
        <v>01667216</v>
      </c>
      <c r="C8447" t="s">
        <v>13436</v>
      </c>
      <c r="D8447" t="s">
        <v>36510</v>
      </c>
      <c r="E8447" t="s">
        <v>36511</v>
      </c>
      <c r="G8447" t="s">
        <v>36512</v>
      </c>
      <c r="L8447" t="s">
        <v>83</v>
      </c>
      <c r="M8447" t="s">
        <v>85</v>
      </c>
      <c r="R8447" t="s">
        <v>36513</v>
      </c>
      <c r="W8447" t="s">
        <v>36511</v>
      </c>
      <c r="X8447" t="s">
        <v>36514</v>
      </c>
      <c r="Y8447" t="s">
        <v>97</v>
      </c>
      <c r="Z8447" t="s">
        <v>77</v>
      </c>
      <c r="AA8447" t="str">
        <f>"10003-3314"</f>
        <v>10003-3314</v>
      </c>
      <c r="AB8447" t="s">
        <v>114</v>
      </c>
      <c r="AC8447" t="s">
        <v>79</v>
      </c>
      <c r="AD8447" t="s">
        <v>75</v>
      </c>
      <c r="AE8447" t="s">
        <v>80</v>
      </c>
      <c r="AG8447" t="s">
        <v>81</v>
      </c>
    </row>
    <row r="8448" spans="1:33" x14ac:dyDescent="0.25">
      <c r="A8448" t="str">
        <f>"1245263649"</f>
        <v>1245263649</v>
      </c>
      <c r="B8448" t="str">
        <f>"02986345"</f>
        <v>02986345</v>
      </c>
      <c r="C8448" t="s">
        <v>13436</v>
      </c>
      <c r="D8448" t="s">
        <v>36515</v>
      </c>
      <c r="E8448" t="s">
        <v>36516</v>
      </c>
      <c r="G8448" t="s">
        <v>36517</v>
      </c>
      <c r="L8448" t="s">
        <v>83</v>
      </c>
      <c r="M8448" t="s">
        <v>85</v>
      </c>
      <c r="R8448" t="s">
        <v>36518</v>
      </c>
      <c r="W8448" t="s">
        <v>36519</v>
      </c>
      <c r="X8448" t="s">
        <v>2926</v>
      </c>
      <c r="Y8448" t="s">
        <v>97</v>
      </c>
      <c r="Z8448" t="s">
        <v>77</v>
      </c>
      <c r="AA8448" t="str">
        <f>"10029-6503"</f>
        <v>10029-6503</v>
      </c>
      <c r="AB8448" t="s">
        <v>78</v>
      </c>
      <c r="AC8448" t="s">
        <v>79</v>
      </c>
      <c r="AD8448" t="s">
        <v>75</v>
      </c>
      <c r="AE8448" t="s">
        <v>80</v>
      </c>
      <c r="AG8448" t="s">
        <v>81</v>
      </c>
    </row>
    <row r="8449" spans="1:33" x14ac:dyDescent="0.25">
      <c r="A8449" t="str">
        <f>"1265523252"</f>
        <v>1265523252</v>
      </c>
      <c r="B8449" t="str">
        <f>"00884491"</f>
        <v>00884491</v>
      </c>
      <c r="C8449" t="s">
        <v>13436</v>
      </c>
      <c r="D8449" t="s">
        <v>36520</v>
      </c>
      <c r="E8449" t="s">
        <v>36521</v>
      </c>
      <c r="G8449" t="s">
        <v>36522</v>
      </c>
      <c r="L8449" t="s">
        <v>83</v>
      </c>
      <c r="M8449" t="s">
        <v>75</v>
      </c>
      <c r="R8449" t="s">
        <v>36523</v>
      </c>
      <c r="W8449" t="s">
        <v>36524</v>
      </c>
      <c r="X8449" t="s">
        <v>36525</v>
      </c>
      <c r="Y8449" t="s">
        <v>87</v>
      </c>
      <c r="Z8449" t="s">
        <v>77</v>
      </c>
      <c r="AA8449" t="str">
        <f>"11204-1933"</f>
        <v>11204-1933</v>
      </c>
      <c r="AB8449" t="s">
        <v>78</v>
      </c>
      <c r="AC8449" t="s">
        <v>79</v>
      </c>
      <c r="AD8449" t="s">
        <v>75</v>
      </c>
      <c r="AE8449" t="s">
        <v>80</v>
      </c>
      <c r="AG8449" t="s">
        <v>81</v>
      </c>
    </row>
    <row r="8450" spans="1:33" x14ac:dyDescent="0.25">
      <c r="A8450" t="str">
        <f>"1265608202"</f>
        <v>1265608202</v>
      </c>
      <c r="B8450" t="str">
        <f>"03946623"</f>
        <v>03946623</v>
      </c>
      <c r="C8450" t="s">
        <v>13436</v>
      </c>
      <c r="D8450" t="s">
        <v>36526</v>
      </c>
      <c r="E8450" t="s">
        <v>36527</v>
      </c>
      <c r="G8450" t="s">
        <v>36528</v>
      </c>
      <c r="L8450" t="s">
        <v>74</v>
      </c>
      <c r="M8450" t="s">
        <v>75</v>
      </c>
      <c r="R8450" t="s">
        <v>36527</v>
      </c>
      <c r="W8450" t="s">
        <v>36529</v>
      </c>
      <c r="X8450" t="s">
        <v>36530</v>
      </c>
      <c r="Y8450" t="s">
        <v>97</v>
      </c>
      <c r="Z8450" t="s">
        <v>77</v>
      </c>
      <c r="AA8450" t="str">
        <f>"10032-3720"</f>
        <v>10032-3720</v>
      </c>
      <c r="AB8450" t="s">
        <v>78</v>
      </c>
      <c r="AC8450" t="s">
        <v>79</v>
      </c>
      <c r="AD8450" t="s">
        <v>75</v>
      </c>
      <c r="AE8450" t="s">
        <v>80</v>
      </c>
      <c r="AG8450" t="s">
        <v>81</v>
      </c>
    </row>
    <row r="8451" spans="1:33" x14ac:dyDescent="0.25">
      <c r="A8451" t="str">
        <f>"1275664757"</f>
        <v>1275664757</v>
      </c>
      <c r="B8451" t="str">
        <f>"00175044"</f>
        <v>00175044</v>
      </c>
      <c r="C8451" t="s">
        <v>13436</v>
      </c>
      <c r="D8451" t="s">
        <v>36531</v>
      </c>
      <c r="E8451" t="s">
        <v>36532</v>
      </c>
      <c r="G8451" t="s">
        <v>36533</v>
      </c>
      <c r="L8451" t="s">
        <v>83</v>
      </c>
      <c r="M8451" t="s">
        <v>75</v>
      </c>
      <c r="R8451" t="s">
        <v>36534</v>
      </c>
      <c r="W8451" t="s">
        <v>36532</v>
      </c>
      <c r="X8451" t="s">
        <v>32749</v>
      </c>
      <c r="Y8451" t="s">
        <v>87</v>
      </c>
      <c r="Z8451" t="s">
        <v>77</v>
      </c>
      <c r="AA8451" t="str">
        <f>"11205-1631"</f>
        <v>11205-1631</v>
      </c>
      <c r="AB8451" t="s">
        <v>78</v>
      </c>
      <c r="AC8451" t="s">
        <v>79</v>
      </c>
      <c r="AD8451" t="s">
        <v>75</v>
      </c>
      <c r="AE8451" t="s">
        <v>80</v>
      </c>
      <c r="AG8451" t="s">
        <v>81</v>
      </c>
    </row>
    <row r="8452" spans="1:33" x14ac:dyDescent="0.25">
      <c r="A8452" t="str">
        <f>"1053556852"</f>
        <v>1053556852</v>
      </c>
      <c r="B8452" t="str">
        <f>"03393386"</f>
        <v>03393386</v>
      </c>
      <c r="C8452" t="s">
        <v>13436</v>
      </c>
      <c r="D8452" t="s">
        <v>36535</v>
      </c>
      <c r="E8452" t="s">
        <v>36536</v>
      </c>
      <c r="G8452" t="s">
        <v>36537</v>
      </c>
      <c r="L8452" t="s">
        <v>74</v>
      </c>
      <c r="M8452" t="s">
        <v>85</v>
      </c>
      <c r="R8452" t="s">
        <v>36536</v>
      </c>
      <c r="W8452" t="s">
        <v>36536</v>
      </c>
      <c r="X8452" t="s">
        <v>330</v>
      </c>
      <c r="Y8452" t="s">
        <v>97</v>
      </c>
      <c r="Z8452" t="s">
        <v>77</v>
      </c>
      <c r="AA8452" t="str">
        <f>"10029-5204"</f>
        <v>10029-5204</v>
      </c>
      <c r="AB8452" t="s">
        <v>78</v>
      </c>
      <c r="AC8452" t="s">
        <v>79</v>
      </c>
      <c r="AD8452" t="s">
        <v>75</v>
      </c>
      <c r="AE8452" t="s">
        <v>80</v>
      </c>
      <c r="AG8452" t="s">
        <v>81</v>
      </c>
    </row>
    <row r="8453" spans="1:33" x14ac:dyDescent="0.25">
      <c r="A8453" t="str">
        <f>"1053566547"</f>
        <v>1053566547</v>
      </c>
      <c r="C8453" t="s">
        <v>13436</v>
      </c>
      <c r="K8453" t="s">
        <v>99</v>
      </c>
      <c r="L8453" t="s">
        <v>102</v>
      </c>
      <c r="M8453" t="s">
        <v>75</v>
      </c>
      <c r="R8453" t="s">
        <v>36538</v>
      </c>
      <c r="S8453" t="s">
        <v>36539</v>
      </c>
      <c r="T8453" t="s">
        <v>97</v>
      </c>
      <c r="U8453" t="s">
        <v>77</v>
      </c>
      <c r="V8453" t="str">
        <f>"10003"</f>
        <v>10003</v>
      </c>
      <c r="AC8453" t="s">
        <v>79</v>
      </c>
      <c r="AD8453" t="s">
        <v>75</v>
      </c>
      <c r="AE8453" t="s">
        <v>103</v>
      </c>
      <c r="AG8453" t="s">
        <v>81</v>
      </c>
    </row>
    <row r="8454" spans="1:33" x14ac:dyDescent="0.25">
      <c r="A8454" t="str">
        <f>"1053331397"</f>
        <v>1053331397</v>
      </c>
      <c r="B8454" t="str">
        <f>"01957560"</f>
        <v>01957560</v>
      </c>
      <c r="C8454" t="s">
        <v>13436</v>
      </c>
      <c r="D8454" t="s">
        <v>36540</v>
      </c>
      <c r="E8454" t="s">
        <v>36541</v>
      </c>
      <c r="G8454" t="s">
        <v>36542</v>
      </c>
      <c r="L8454" t="s">
        <v>83</v>
      </c>
      <c r="M8454" t="s">
        <v>85</v>
      </c>
      <c r="R8454" t="s">
        <v>36543</v>
      </c>
      <c r="W8454" t="s">
        <v>36541</v>
      </c>
      <c r="X8454" t="s">
        <v>5753</v>
      </c>
      <c r="Y8454" t="s">
        <v>419</v>
      </c>
      <c r="Z8454" t="s">
        <v>77</v>
      </c>
      <c r="AA8454" t="str">
        <f>"10522-1924"</f>
        <v>10522-1924</v>
      </c>
      <c r="AB8454" t="s">
        <v>78</v>
      </c>
      <c r="AC8454" t="s">
        <v>79</v>
      </c>
      <c r="AD8454" t="s">
        <v>75</v>
      </c>
      <c r="AE8454" t="s">
        <v>80</v>
      </c>
      <c r="AG8454" t="s">
        <v>81</v>
      </c>
    </row>
    <row r="8455" spans="1:33" x14ac:dyDescent="0.25">
      <c r="A8455" t="str">
        <f>"1215348594"</f>
        <v>1215348594</v>
      </c>
      <c r="C8455" t="s">
        <v>13436</v>
      </c>
      <c r="K8455" t="s">
        <v>99</v>
      </c>
      <c r="L8455" t="s">
        <v>102</v>
      </c>
      <c r="M8455" t="s">
        <v>75</v>
      </c>
      <c r="R8455" t="s">
        <v>36544</v>
      </c>
      <c r="S8455" t="s">
        <v>14477</v>
      </c>
      <c r="T8455" t="s">
        <v>97</v>
      </c>
      <c r="U8455" t="s">
        <v>77</v>
      </c>
      <c r="V8455" t="str">
        <f>"100033804"</f>
        <v>100033804</v>
      </c>
      <c r="AC8455" t="s">
        <v>79</v>
      </c>
      <c r="AD8455" t="s">
        <v>75</v>
      </c>
      <c r="AE8455" t="s">
        <v>103</v>
      </c>
      <c r="AG8455" t="s">
        <v>81</v>
      </c>
    </row>
    <row r="8456" spans="1:33" x14ac:dyDescent="0.25">
      <c r="A8456" t="str">
        <f>"1215354485"</f>
        <v>1215354485</v>
      </c>
      <c r="C8456" t="s">
        <v>13436</v>
      </c>
      <c r="K8456" t="s">
        <v>99</v>
      </c>
      <c r="L8456" t="s">
        <v>102</v>
      </c>
      <c r="M8456" t="s">
        <v>75</v>
      </c>
      <c r="R8456" t="s">
        <v>36545</v>
      </c>
      <c r="S8456" t="s">
        <v>32043</v>
      </c>
      <c r="T8456" t="s">
        <v>97</v>
      </c>
      <c r="U8456" t="s">
        <v>77</v>
      </c>
      <c r="V8456" t="str">
        <f>"100296504"</f>
        <v>100296504</v>
      </c>
      <c r="AC8456" t="s">
        <v>79</v>
      </c>
      <c r="AD8456" t="s">
        <v>75</v>
      </c>
      <c r="AE8456" t="s">
        <v>103</v>
      </c>
      <c r="AG8456" t="s">
        <v>81</v>
      </c>
    </row>
    <row r="8457" spans="1:33" x14ac:dyDescent="0.25">
      <c r="A8457" t="str">
        <f>"1215355060"</f>
        <v>1215355060</v>
      </c>
      <c r="C8457" t="s">
        <v>13436</v>
      </c>
      <c r="K8457" t="s">
        <v>99</v>
      </c>
      <c r="L8457" t="s">
        <v>102</v>
      </c>
      <c r="M8457" t="s">
        <v>75</v>
      </c>
      <c r="R8457" t="s">
        <v>36546</v>
      </c>
      <c r="S8457" t="s">
        <v>14063</v>
      </c>
      <c r="T8457" t="s">
        <v>97</v>
      </c>
      <c r="U8457" t="s">
        <v>77</v>
      </c>
      <c r="V8457" t="str">
        <f>"100296574"</f>
        <v>100296574</v>
      </c>
      <c r="AC8457" t="s">
        <v>79</v>
      </c>
      <c r="AD8457" t="s">
        <v>75</v>
      </c>
      <c r="AE8457" t="s">
        <v>103</v>
      </c>
      <c r="AG8457" t="s">
        <v>81</v>
      </c>
    </row>
    <row r="8458" spans="1:33" x14ac:dyDescent="0.25">
      <c r="A8458" t="str">
        <f>"1215355136"</f>
        <v>1215355136</v>
      </c>
      <c r="C8458" t="s">
        <v>13436</v>
      </c>
      <c r="K8458" t="s">
        <v>99</v>
      </c>
      <c r="L8458" t="s">
        <v>102</v>
      </c>
      <c r="M8458" t="s">
        <v>75</v>
      </c>
      <c r="R8458" t="s">
        <v>36547</v>
      </c>
      <c r="S8458" t="s">
        <v>11602</v>
      </c>
      <c r="T8458" t="s">
        <v>97</v>
      </c>
      <c r="U8458" t="s">
        <v>77</v>
      </c>
      <c r="V8458" t="str">
        <f>"100295204"</f>
        <v>100295204</v>
      </c>
      <c r="AC8458" t="s">
        <v>79</v>
      </c>
      <c r="AD8458" t="s">
        <v>75</v>
      </c>
      <c r="AE8458" t="s">
        <v>103</v>
      </c>
      <c r="AG8458" t="s">
        <v>81</v>
      </c>
    </row>
    <row r="8459" spans="1:33" x14ac:dyDescent="0.25">
      <c r="A8459" t="str">
        <f>"1215355383"</f>
        <v>1215355383</v>
      </c>
      <c r="C8459" t="s">
        <v>13436</v>
      </c>
      <c r="K8459" t="s">
        <v>99</v>
      </c>
      <c r="L8459" t="s">
        <v>102</v>
      </c>
      <c r="M8459" t="s">
        <v>75</v>
      </c>
      <c r="R8459" t="s">
        <v>36548</v>
      </c>
      <c r="S8459" t="s">
        <v>14477</v>
      </c>
      <c r="T8459" t="s">
        <v>97</v>
      </c>
      <c r="U8459" t="s">
        <v>77</v>
      </c>
      <c r="V8459" t="str">
        <f>"100033804"</f>
        <v>100033804</v>
      </c>
      <c r="AC8459" t="s">
        <v>79</v>
      </c>
      <c r="AD8459" t="s">
        <v>75</v>
      </c>
      <c r="AE8459" t="s">
        <v>103</v>
      </c>
      <c r="AG8459" t="s">
        <v>81</v>
      </c>
    </row>
    <row r="8460" spans="1:33" x14ac:dyDescent="0.25">
      <c r="A8460" t="str">
        <f>"1992761076"</f>
        <v>1992761076</v>
      </c>
      <c r="B8460" t="str">
        <f>"00961308"</f>
        <v>00961308</v>
      </c>
      <c r="C8460" t="s">
        <v>13436</v>
      </c>
      <c r="D8460" t="s">
        <v>36549</v>
      </c>
      <c r="E8460" t="s">
        <v>36550</v>
      </c>
      <c r="L8460" t="s">
        <v>83</v>
      </c>
      <c r="M8460" t="s">
        <v>85</v>
      </c>
      <c r="R8460" t="s">
        <v>36551</v>
      </c>
      <c r="W8460" t="s">
        <v>36550</v>
      </c>
      <c r="X8460" t="s">
        <v>260</v>
      </c>
      <c r="Y8460" t="s">
        <v>182</v>
      </c>
      <c r="Z8460" t="s">
        <v>77</v>
      </c>
      <c r="AA8460" t="str">
        <f>"11501-3957"</f>
        <v>11501-3957</v>
      </c>
      <c r="AB8460" t="s">
        <v>78</v>
      </c>
      <c r="AC8460" t="s">
        <v>79</v>
      </c>
      <c r="AD8460" t="s">
        <v>75</v>
      </c>
      <c r="AE8460" t="s">
        <v>80</v>
      </c>
      <c r="AG8460" t="s">
        <v>81</v>
      </c>
    </row>
    <row r="8461" spans="1:33" x14ac:dyDescent="0.25">
      <c r="A8461" t="str">
        <f>"1992763767"</f>
        <v>1992763767</v>
      </c>
      <c r="B8461" t="str">
        <f>"01055792"</f>
        <v>01055792</v>
      </c>
      <c r="C8461" t="s">
        <v>13436</v>
      </c>
      <c r="D8461" t="s">
        <v>36552</v>
      </c>
      <c r="E8461" t="s">
        <v>36553</v>
      </c>
      <c r="G8461" t="s">
        <v>36554</v>
      </c>
      <c r="L8461" t="s">
        <v>83</v>
      </c>
      <c r="M8461" t="s">
        <v>85</v>
      </c>
      <c r="R8461" t="s">
        <v>36555</v>
      </c>
      <c r="W8461" t="s">
        <v>36553</v>
      </c>
      <c r="X8461" t="s">
        <v>3067</v>
      </c>
      <c r="Y8461" t="s">
        <v>91</v>
      </c>
      <c r="Z8461" t="s">
        <v>77</v>
      </c>
      <c r="AA8461" t="str">
        <f>"11373-1329"</f>
        <v>11373-1329</v>
      </c>
      <c r="AB8461" t="s">
        <v>78</v>
      </c>
      <c r="AC8461" t="s">
        <v>79</v>
      </c>
      <c r="AD8461" t="s">
        <v>75</v>
      </c>
      <c r="AE8461" t="s">
        <v>80</v>
      </c>
      <c r="AG8461" t="s">
        <v>81</v>
      </c>
    </row>
    <row r="8462" spans="1:33" x14ac:dyDescent="0.25">
      <c r="A8462" t="str">
        <f>"1992780415"</f>
        <v>1992780415</v>
      </c>
      <c r="B8462" t="str">
        <f>"01019245"</f>
        <v>01019245</v>
      </c>
      <c r="C8462" t="s">
        <v>13436</v>
      </c>
      <c r="D8462" t="s">
        <v>36556</v>
      </c>
      <c r="E8462" t="s">
        <v>36557</v>
      </c>
      <c r="L8462" t="s">
        <v>83</v>
      </c>
      <c r="M8462" t="s">
        <v>85</v>
      </c>
      <c r="R8462" t="s">
        <v>36558</v>
      </c>
      <c r="W8462" t="s">
        <v>36559</v>
      </c>
      <c r="X8462" t="s">
        <v>329</v>
      </c>
      <c r="Y8462" t="s">
        <v>97</v>
      </c>
      <c r="Z8462" t="s">
        <v>77</v>
      </c>
      <c r="AA8462" t="str">
        <f>"10029-6500"</f>
        <v>10029-6500</v>
      </c>
      <c r="AB8462" t="s">
        <v>78</v>
      </c>
      <c r="AC8462" t="s">
        <v>79</v>
      </c>
      <c r="AD8462" t="s">
        <v>75</v>
      </c>
      <c r="AE8462" t="s">
        <v>80</v>
      </c>
      <c r="AG8462" t="s">
        <v>81</v>
      </c>
    </row>
    <row r="8463" spans="1:33" x14ac:dyDescent="0.25">
      <c r="A8463" t="str">
        <f>"1700218476"</f>
        <v>1700218476</v>
      </c>
      <c r="C8463" t="s">
        <v>13436</v>
      </c>
      <c r="K8463" t="s">
        <v>99</v>
      </c>
      <c r="L8463" t="s">
        <v>102</v>
      </c>
      <c r="M8463" t="s">
        <v>75</v>
      </c>
      <c r="R8463" t="s">
        <v>36560</v>
      </c>
      <c r="S8463" t="s">
        <v>191</v>
      </c>
      <c r="T8463" t="s">
        <v>97</v>
      </c>
      <c r="U8463" t="s">
        <v>77</v>
      </c>
      <c r="V8463" t="str">
        <f>"100191147"</f>
        <v>100191147</v>
      </c>
      <c r="AC8463" t="s">
        <v>79</v>
      </c>
      <c r="AD8463" t="s">
        <v>75</v>
      </c>
      <c r="AE8463" t="s">
        <v>103</v>
      </c>
      <c r="AG8463" t="s">
        <v>81</v>
      </c>
    </row>
    <row r="8464" spans="1:33" x14ac:dyDescent="0.25">
      <c r="A8464" t="str">
        <f>"1700220605"</f>
        <v>1700220605</v>
      </c>
      <c r="C8464" t="s">
        <v>13436</v>
      </c>
      <c r="K8464" t="s">
        <v>99</v>
      </c>
      <c r="L8464" t="s">
        <v>102</v>
      </c>
      <c r="M8464" t="s">
        <v>75</v>
      </c>
      <c r="R8464" t="s">
        <v>36561</v>
      </c>
      <c r="S8464" t="s">
        <v>191</v>
      </c>
      <c r="T8464" t="s">
        <v>97</v>
      </c>
      <c r="U8464" t="s">
        <v>77</v>
      </c>
      <c r="V8464" t="str">
        <f>"100191147"</f>
        <v>100191147</v>
      </c>
      <c r="AC8464" t="s">
        <v>79</v>
      </c>
      <c r="AD8464" t="s">
        <v>75</v>
      </c>
      <c r="AE8464" t="s">
        <v>103</v>
      </c>
      <c r="AG8464" t="s">
        <v>81</v>
      </c>
    </row>
    <row r="8465" spans="1:33" x14ac:dyDescent="0.25">
      <c r="A8465" t="str">
        <f>"1881852564"</f>
        <v>1881852564</v>
      </c>
      <c r="B8465" t="str">
        <f>"03466075"</f>
        <v>03466075</v>
      </c>
      <c r="C8465" t="s">
        <v>13436</v>
      </c>
      <c r="D8465" t="s">
        <v>36562</v>
      </c>
      <c r="E8465" t="s">
        <v>36563</v>
      </c>
      <c r="G8465" t="s">
        <v>36564</v>
      </c>
      <c r="L8465" t="s">
        <v>83</v>
      </c>
      <c r="M8465" t="s">
        <v>75</v>
      </c>
      <c r="R8465" t="s">
        <v>36565</v>
      </c>
      <c r="W8465" t="s">
        <v>36563</v>
      </c>
      <c r="X8465" t="s">
        <v>5292</v>
      </c>
      <c r="Y8465" t="s">
        <v>635</v>
      </c>
      <c r="Z8465" t="s">
        <v>77</v>
      </c>
      <c r="AA8465" t="str">
        <f>"10591-5563"</f>
        <v>10591-5563</v>
      </c>
      <c r="AB8465" t="s">
        <v>78</v>
      </c>
      <c r="AC8465" t="s">
        <v>79</v>
      </c>
      <c r="AD8465" t="s">
        <v>75</v>
      </c>
      <c r="AE8465" t="s">
        <v>80</v>
      </c>
      <c r="AG8465" t="s">
        <v>81</v>
      </c>
    </row>
    <row r="8466" spans="1:33" x14ac:dyDescent="0.25">
      <c r="A8466" t="str">
        <f>"1043356264"</f>
        <v>1043356264</v>
      </c>
      <c r="C8466" t="s">
        <v>13436</v>
      </c>
      <c r="G8466" t="s">
        <v>36566</v>
      </c>
      <c r="K8466" t="s">
        <v>99</v>
      </c>
      <c r="L8466" t="s">
        <v>102</v>
      </c>
      <c r="M8466" t="s">
        <v>75</v>
      </c>
      <c r="R8466" t="s">
        <v>36567</v>
      </c>
      <c r="S8466" t="s">
        <v>329</v>
      </c>
      <c r="T8466" t="s">
        <v>97</v>
      </c>
      <c r="U8466" t="s">
        <v>77</v>
      </c>
      <c r="V8466" t="str">
        <f>"100296500"</f>
        <v>100296500</v>
      </c>
      <c r="AC8466" t="s">
        <v>79</v>
      </c>
      <c r="AD8466" t="s">
        <v>75</v>
      </c>
      <c r="AE8466" t="s">
        <v>103</v>
      </c>
      <c r="AG8466" t="s">
        <v>81</v>
      </c>
    </row>
    <row r="8467" spans="1:33" x14ac:dyDescent="0.25">
      <c r="A8467" t="str">
        <f>"1851403133"</f>
        <v>1851403133</v>
      </c>
      <c r="B8467" t="str">
        <f>"03231147"</f>
        <v>03231147</v>
      </c>
      <c r="C8467" t="s">
        <v>13436</v>
      </c>
      <c r="D8467" t="s">
        <v>36568</v>
      </c>
      <c r="E8467" t="s">
        <v>36569</v>
      </c>
      <c r="G8467" t="s">
        <v>36570</v>
      </c>
      <c r="L8467" t="s">
        <v>74</v>
      </c>
      <c r="M8467" t="s">
        <v>75</v>
      </c>
      <c r="R8467" t="s">
        <v>36571</v>
      </c>
      <c r="W8467" t="s">
        <v>36569</v>
      </c>
      <c r="X8467" t="s">
        <v>86</v>
      </c>
      <c r="Y8467" t="s">
        <v>87</v>
      </c>
      <c r="Z8467" t="s">
        <v>77</v>
      </c>
      <c r="AA8467" t="str">
        <f>"11220-2559"</f>
        <v>11220-2559</v>
      </c>
      <c r="AB8467" t="s">
        <v>109</v>
      </c>
      <c r="AC8467" t="s">
        <v>79</v>
      </c>
      <c r="AD8467" t="s">
        <v>75</v>
      </c>
      <c r="AE8467" t="s">
        <v>80</v>
      </c>
      <c r="AG8467" t="s">
        <v>81</v>
      </c>
    </row>
    <row r="8468" spans="1:33" x14ac:dyDescent="0.25">
      <c r="A8468" t="str">
        <f>"1992747182"</f>
        <v>1992747182</v>
      </c>
      <c r="C8468" t="s">
        <v>13436</v>
      </c>
      <c r="G8468" t="s">
        <v>36572</v>
      </c>
      <c r="K8468" t="s">
        <v>99</v>
      </c>
      <c r="L8468" t="s">
        <v>102</v>
      </c>
      <c r="M8468" t="s">
        <v>75</v>
      </c>
      <c r="R8468" t="s">
        <v>36573</v>
      </c>
      <c r="S8468" t="s">
        <v>36574</v>
      </c>
      <c r="T8468" t="s">
        <v>1752</v>
      </c>
      <c r="U8468" t="s">
        <v>156</v>
      </c>
      <c r="V8468" t="str">
        <f>"070392940"</f>
        <v>070392940</v>
      </c>
      <c r="AC8468" t="s">
        <v>79</v>
      </c>
      <c r="AD8468" t="s">
        <v>75</v>
      </c>
      <c r="AE8468" t="s">
        <v>103</v>
      </c>
      <c r="AG8468" t="s">
        <v>81</v>
      </c>
    </row>
    <row r="8469" spans="1:33" x14ac:dyDescent="0.25">
      <c r="A8469" t="str">
        <f>"1730185679"</f>
        <v>1730185679</v>
      </c>
      <c r="B8469" t="str">
        <f>"01695225"</f>
        <v>01695225</v>
      </c>
      <c r="C8469" t="s">
        <v>13436</v>
      </c>
      <c r="D8469" t="s">
        <v>36575</v>
      </c>
      <c r="E8469" t="s">
        <v>36576</v>
      </c>
      <c r="G8469" t="s">
        <v>36577</v>
      </c>
      <c r="L8469" t="s">
        <v>74</v>
      </c>
      <c r="M8469" t="s">
        <v>85</v>
      </c>
      <c r="R8469" t="s">
        <v>36578</v>
      </c>
      <c r="W8469" t="s">
        <v>36576</v>
      </c>
      <c r="X8469" t="s">
        <v>36579</v>
      </c>
      <c r="Y8469" t="s">
        <v>295</v>
      </c>
      <c r="Z8469" t="s">
        <v>77</v>
      </c>
      <c r="AA8469" t="str">
        <f>"11001-2100"</f>
        <v>11001-2100</v>
      </c>
      <c r="AB8469" t="s">
        <v>78</v>
      </c>
      <c r="AC8469" t="s">
        <v>79</v>
      </c>
      <c r="AD8469" t="s">
        <v>75</v>
      </c>
      <c r="AE8469" t="s">
        <v>80</v>
      </c>
      <c r="AG8469" t="s">
        <v>81</v>
      </c>
    </row>
    <row r="8470" spans="1:33" x14ac:dyDescent="0.25">
      <c r="A8470" t="str">
        <f>"1730187519"</f>
        <v>1730187519</v>
      </c>
      <c r="B8470" t="str">
        <f>"01707217"</f>
        <v>01707217</v>
      </c>
      <c r="C8470" t="s">
        <v>13436</v>
      </c>
      <c r="D8470" t="s">
        <v>36580</v>
      </c>
      <c r="E8470" t="s">
        <v>36581</v>
      </c>
      <c r="G8470" t="s">
        <v>36582</v>
      </c>
      <c r="L8470" t="s">
        <v>83</v>
      </c>
      <c r="M8470" t="s">
        <v>85</v>
      </c>
      <c r="R8470" t="s">
        <v>36583</v>
      </c>
      <c r="W8470" t="s">
        <v>36581</v>
      </c>
      <c r="X8470" t="s">
        <v>36584</v>
      </c>
      <c r="Y8470" t="s">
        <v>97</v>
      </c>
      <c r="Z8470" t="s">
        <v>77</v>
      </c>
      <c r="AA8470" t="str">
        <f>"10128"</f>
        <v>10128</v>
      </c>
      <c r="AB8470" t="s">
        <v>78</v>
      </c>
      <c r="AC8470" t="s">
        <v>79</v>
      </c>
      <c r="AD8470" t="s">
        <v>75</v>
      </c>
      <c r="AE8470" t="s">
        <v>80</v>
      </c>
      <c r="AG8470" t="s">
        <v>81</v>
      </c>
    </row>
    <row r="8471" spans="1:33" x14ac:dyDescent="0.25">
      <c r="A8471" t="str">
        <f>"1730187543"</f>
        <v>1730187543</v>
      </c>
      <c r="B8471" t="str">
        <f>"02156430"</f>
        <v>02156430</v>
      </c>
      <c r="C8471" t="s">
        <v>13436</v>
      </c>
      <c r="D8471" t="s">
        <v>36585</v>
      </c>
      <c r="E8471" t="s">
        <v>36586</v>
      </c>
      <c r="G8471" t="s">
        <v>36587</v>
      </c>
      <c r="L8471" t="s">
        <v>83</v>
      </c>
      <c r="M8471" t="s">
        <v>85</v>
      </c>
      <c r="R8471" t="s">
        <v>36588</v>
      </c>
      <c r="W8471" t="s">
        <v>36586</v>
      </c>
      <c r="X8471" t="s">
        <v>329</v>
      </c>
      <c r="Y8471" t="s">
        <v>97</v>
      </c>
      <c r="Z8471" t="s">
        <v>77</v>
      </c>
      <c r="AA8471" t="str">
        <f>"10029-6500"</f>
        <v>10029-6500</v>
      </c>
      <c r="AB8471" t="s">
        <v>78</v>
      </c>
      <c r="AC8471" t="s">
        <v>79</v>
      </c>
      <c r="AD8471" t="s">
        <v>75</v>
      </c>
      <c r="AE8471" t="s">
        <v>80</v>
      </c>
      <c r="AG8471" t="s">
        <v>81</v>
      </c>
    </row>
    <row r="8472" spans="1:33" x14ac:dyDescent="0.25">
      <c r="A8472" t="str">
        <f>"1881917060"</f>
        <v>1881917060</v>
      </c>
      <c r="B8472" t="str">
        <f>"03625858"</f>
        <v>03625858</v>
      </c>
      <c r="C8472" t="s">
        <v>13436</v>
      </c>
      <c r="D8472" t="s">
        <v>36589</v>
      </c>
      <c r="E8472" t="s">
        <v>36590</v>
      </c>
      <c r="L8472" t="s">
        <v>83</v>
      </c>
      <c r="M8472" t="s">
        <v>85</v>
      </c>
      <c r="R8472" t="s">
        <v>36591</v>
      </c>
      <c r="W8472" t="s">
        <v>36590</v>
      </c>
      <c r="X8472" t="s">
        <v>235</v>
      </c>
      <c r="Y8472" t="s">
        <v>236</v>
      </c>
      <c r="Z8472" t="s">
        <v>77</v>
      </c>
      <c r="AA8472" t="str">
        <f>"11102-2448"</f>
        <v>11102-2448</v>
      </c>
      <c r="AB8472" t="s">
        <v>78</v>
      </c>
      <c r="AC8472" t="s">
        <v>79</v>
      </c>
      <c r="AD8472" t="s">
        <v>75</v>
      </c>
      <c r="AE8472" t="s">
        <v>80</v>
      </c>
      <c r="AG8472" t="s">
        <v>81</v>
      </c>
    </row>
    <row r="8473" spans="1:33" x14ac:dyDescent="0.25">
      <c r="A8473" t="str">
        <f>"1881926905"</f>
        <v>1881926905</v>
      </c>
      <c r="B8473" t="str">
        <f>"03376881"</f>
        <v>03376881</v>
      </c>
      <c r="C8473" t="s">
        <v>13436</v>
      </c>
      <c r="D8473" t="s">
        <v>36592</v>
      </c>
      <c r="E8473" t="s">
        <v>36593</v>
      </c>
      <c r="L8473" t="s">
        <v>83</v>
      </c>
      <c r="M8473" t="s">
        <v>85</v>
      </c>
      <c r="R8473" t="s">
        <v>36594</v>
      </c>
      <c r="W8473" t="s">
        <v>36593</v>
      </c>
      <c r="X8473" t="s">
        <v>4029</v>
      </c>
      <c r="Y8473" t="s">
        <v>97</v>
      </c>
      <c r="Z8473" t="s">
        <v>77</v>
      </c>
      <c r="AA8473" t="str">
        <f>"10029-6503"</f>
        <v>10029-6503</v>
      </c>
      <c r="AB8473" t="s">
        <v>78</v>
      </c>
      <c r="AC8473" t="s">
        <v>79</v>
      </c>
      <c r="AD8473" t="s">
        <v>75</v>
      </c>
      <c r="AE8473" t="s">
        <v>80</v>
      </c>
      <c r="AG8473" t="s">
        <v>81</v>
      </c>
    </row>
    <row r="8474" spans="1:33" x14ac:dyDescent="0.25">
      <c r="A8474" t="str">
        <f>"1891019642"</f>
        <v>1891019642</v>
      </c>
      <c r="B8474" t="str">
        <f>"03972305"</f>
        <v>03972305</v>
      </c>
      <c r="C8474" t="s">
        <v>13436</v>
      </c>
      <c r="D8474" t="s">
        <v>36595</v>
      </c>
      <c r="E8474" t="s">
        <v>36596</v>
      </c>
      <c r="L8474" t="s">
        <v>74</v>
      </c>
      <c r="M8474" t="s">
        <v>75</v>
      </c>
      <c r="R8474" t="s">
        <v>36597</v>
      </c>
      <c r="W8474" t="s">
        <v>36598</v>
      </c>
      <c r="X8474" t="s">
        <v>36599</v>
      </c>
      <c r="Y8474" t="s">
        <v>190</v>
      </c>
      <c r="Z8474" t="s">
        <v>77</v>
      </c>
      <c r="AA8474" t="str">
        <f>"11106-4520"</f>
        <v>11106-4520</v>
      </c>
      <c r="AB8474" t="s">
        <v>78</v>
      </c>
      <c r="AC8474" t="s">
        <v>79</v>
      </c>
      <c r="AD8474" t="s">
        <v>75</v>
      </c>
      <c r="AE8474" t="s">
        <v>80</v>
      </c>
      <c r="AG8474" t="s">
        <v>81</v>
      </c>
    </row>
    <row r="8475" spans="1:33" x14ac:dyDescent="0.25">
      <c r="A8475" t="str">
        <f>"1891060166"</f>
        <v>1891060166</v>
      </c>
      <c r="C8475" t="s">
        <v>13436</v>
      </c>
      <c r="K8475" t="s">
        <v>99</v>
      </c>
      <c r="L8475" t="s">
        <v>102</v>
      </c>
      <c r="M8475" t="s">
        <v>75</v>
      </c>
      <c r="R8475" t="s">
        <v>36600</v>
      </c>
      <c r="S8475" t="s">
        <v>36601</v>
      </c>
      <c r="T8475" t="s">
        <v>33545</v>
      </c>
      <c r="U8475" t="s">
        <v>156</v>
      </c>
      <c r="V8475" t="str">
        <f>"076481407"</f>
        <v>076481407</v>
      </c>
      <c r="AC8475" t="s">
        <v>79</v>
      </c>
      <c r="AD8475" t="s">
        <v>75</v>
      </c>
      <c r="AE8475" t="s">
        <v>103</v>
      </c>
      <c r="AG8475" t="s">
        <v>81</v>
      </c>
    </row>
    <row r="8476" spans="1:33" x14ac:dyDescent="0.25">
      <c r="A8476" t="str">
        <f>"1306264577"</f>
        <v>1306264577</v>
      </c>
      <c r="C8476" t="s">
        <v>13436</v>
      </c>
      <c r="K8476" t="s">
        <v>99</v>
      </c>
      <c r="L8476" t="s">
        <v>102</v>
      </c>
      <c r="M8476" t="s">
        <v>75</v>
      </c>
      <c r="R8476" t="s">
        <v>36602</v>
      </c>
      <c r="S8476" t="s">
        <v>36603</v>
      </c>
      <c r="T8476" t="s">
        <v>4459</v>
      </c>
      <c r="U8476" t="s">
        <v>1842</v>
      </c>
      <c r="V8476" t="str">
        <f>"064783105"</f>
        <v>064783105</v>
      </c>
      <c r="AC8476" t="s">
        <v>79</v>
      </c>
      <c r="AD8476" t="s">
        <v>75</v>
      </c>
      <c r="AE8476" t="s">
        <v>103</v>
      </c>
      <c r="AG8476" t="s">
        <v>81</v>
      </c>
    </row>
    <row r="8477" spans="1:33" x14ac:dyDescent="0.25">
      <c r="A8477" t="str">
        <f>"1306265087"</f>
        <v>1306265087</v>
      </c>
      <c r="C8477" t="s">
        <v>13436</v>
      </c>
      <c r="K8477" t="s">
        <v>99</v>
      </c>
      <c r="L8477" t="s">
        <v>102</v>
      </c>
      <c r="M8477" t="s">
        <v>75</v>
      </c>
      <c r="R8477" t="s">
        <v>36604</v>
      </c>
      <c r="S8477" t="s">
        <v>36605</v>
      </c>
      <c r="T8477" t="s">
        <v>97</v>
      </c>
      <c r="U8477" t="s">
        <v>77</v>
      </c>
      <c r="V8477" t="str">
        <f>"100251716"</f>
        <v>100251716</v>
      </c>
      <c r="AC8477" t="s">
        <v>79</v>
      </c>
      <c r="AD8477" t="s">
        <v>75</v>
      </c>
      <c r="AE8477" t="s">
        <v>103</v>
      </c>
      <c r="AG8477" t="s">
        <v>81</v>
      </c>
    </row>
    <row r="8478" spans="1:33" x14ac:dyDescent="0.25">
      <c r="A8478" t="str">
        <f>"1306266481"</f>
        <v>1306266481</v>
      </c>
      <c r="C8478" t="s">
        <v>13436</v>
      </c>
      <c r="K8478" t="s">
        <v>99</v>
      </c>
      <c r="L8478" t="s">
        <v>102</v>
      </c>
      <c r="M8478" t="s">
        <v>75</v>
      </c>
      <c r="R8478" t="s">
        <v>36606</v>
      </c>
      <c r="S8478" t="s">
        <v>193</v>
      </c>
      <c r="T8478" t="s">
        <v>171</v>
      </c>
      <c r="U8478" t="s">
        <v>77</v>
      </c>
      <c r="V8478" t="str">
        <f>"114182832"</f>
        <v>114182832</v>
      </c>
      <c r="AC8478" t="s">
        <v>79</v>
      </c>
      <c r="AD8478" t="s">
        <v>75</v>
      </c>
      <c r="AE8478" t="s">
        <v>103</v>
      </c>
      <c r="AG8478" t="s">
        <v>81</v>
      </c>
    </row>
    <row r="8479" spans="1:33" x14ac:dyDescent="0.25">
      <c r="A8479" t="str">
        <f>"1306269485"</f>
        <v>1306269485</v>
      </c>
      <c r="C8479" t="s">
        <v>13436</v>
      </c>
      <c r="G8479" t="s">
        <v>36607</v>
      </c>
      <c r="K8479" t="s">
        <v>99</v>
      </c>
      <c r="L8479" t="s">
        <v>102</v>
      </c>
      <c r="M8479" t="s">
        <v>75</v>
      </c>
      <c r="R8479" t="s">
        <v>36608</v>
      </c>
      <c r="S8479" t="s">
        <v>36609</v>
      </c>
      <c r="T8479" t="s">
        <v>36610</v>
      </c>
      <c r="U8479" t="s">
        <v>4647</v>
      </c>
      <c r="V8479" t="str">
        <f>"300054261"</f>
        <v>300054261</v>
      </c>
      <c r="AC8479" t="s">
        <v>79</v>
      </c>
      <c r="AD8479" t="s">
        <v>75</v>
      </c>
      <c r="AE8479" t="s">
        <v>103</v>
      </c>
      <c r="AG8479" t="s">
        <v>81</v>
      </c>
    </row>
    <row r="8480" spans="1:33" x14ac:dyDescent="0.25">
      <c r="A8480" t="str">
        <f>"1184949711"</f>
        <v>1184949711</v>
      </c>
      <c r="C8480" t="s">
        <v>13436</v>
      </c>
      <c r="K8480" t="s">
        <v>99</v>
      </c>
      <c r="L8480" t="s">
        <v>102</v>
      </c>
      <c r="M8480" t="s">
        <v>75</v>
      </c>
      <c r="R8480" t="s">
        <v>36611</v>
      </c>
      <c r="S8480" t="s">
        <v>36612</v>
      </c>
      <c r="T8480" t="s">
        <v>5785</v>
      </c>
      <c r="U8480" t="s">
        <v>2595</v>
      </c>
      <c r="V8480" t="str">
        <f>"900341702"</f>
        <v>900341702</v>
      </c>
      <c r="AC8480" t="s">
        <v>79</v>
      </c>
      <c r="AD8480" t="s">
        <v>75</v>
      </c>
      <c r="AE8480" t="s">
        <v>103</v>
      </c>
      <c r="AG8480" t="s">
        <v>81</v>
      </c>
    </row>
    <row r="8481" spans="1:33" x14ac:dyDescent="0.25">
      <c r="A8481" t="str">
        <f>"1710092234"</f>
        <v>1710092234</v>
      </c>
      <c r="B8481" t="str">
        <f>"02719919"</f>
        <v>02719919</v>
      </c>
      <c r="C8481" t="s">
        <v>13436</v>
      </c>
      <c r="D8481" t="s">
        <v>36613</v>
      </c>
      <c r="E8481" t="s">
        <v>36614</v>
      </c>
      <c r="G8481" t="s">
        <v>36615</v>
      </c>
      <c r="L8481" t="s">
        <v>84</v>
      </c>
      <c r="M8481" t="s">
        <v>85</v>
      </c>
      <c r="R8481" t="s">
        <v>36616</v>
      </c>
      <c r="W8481" t="s">
        <v>36614</v>
      </c>
      <c r="X8481" t="s">
        <v>6014</v>
      </c>
      <c r="Y8481" t="s">
        <v>180</v>
      </c>
      <c r="Z8481" t="s">
        <v>77</v>
      </c>
      <c r="AA8481" t="str">
        <f>"10701-1303"</f>
        <v>10701-1303</v>
      </c>
      <c r="AB8481" t="s">
        <v>78</v>
      </c>
      <c r="AC8481" t="s">
        <v>79</v>
      </c>
      <c r="AD8481" t="s">
        <v>75</v>
      </c>
      <c r="AE8481" t="s">
        <v>80</v>
      </c>
      <c r="AG8481" t="s">
        <v>81</v>
      </c>
    </row>
    <row r="8482" spans="1:33" x14ac:dyDescent="0.25">
      <c r="A8482" t="str">
        <f>"1710113766"</f>
        <v>1710113766</v>
      </c>
      <c r="C8482" t="s">
        <v>13436</v>
      </c>
      <c r="K8482" t="s">
        <v>99</v>
      </c>
      <c r="L8482" t="s">
        <v>102</v>
      </c>
      <c r="M8482" t="s">
        <v>75</v>
      </c>
      <c r="R8482" t="s">
        <v>36617</v>
      </c>
      <c r="S8482" t="s">
        <v>36618</v>
      </c>
      <c r="T8482" t="s">
        <v>97</v>
      </c>
      <c r="U8482" t="s">
        <v>77</v>
      </c>
      <c r="V8482" t="str">
        <f>"100033314"</f>
        <v>100033314</v>
      </c>
      <c r="AC8482" t="s">
        <v>79</v>
      </c>
      <c r="AD8482" t="s">
        <v>75</v>
      </c>
      <c r="AE8482" t="s">
        <v>103</v>
      </c>
      <c r="AG8482" t="s">
        <v>81</v>
      </c>
    </row>
    <row r="8483" spans="1:33" x14ac:dyDescent="0.25">
      <c r="A8483" t="str">
        <f>"1710116447"</f>
        <v>1710116447</v>
      </c>
      <c r="B8483" t="str">
        <f>"04339942"</f>
        <v>04339942</v>
      </c>
      <c r="C8483" t="s">
        <v>13436</v>
      </c>
      <c r="D8483" t="s">
        <v>36619</v>
      </c>
      <c r="E8483" t="s">
        <v>36620</v>
      </c>
      <c r="L8483" t="s">
        <v>74</v>
      </c>
      <c r="M8483" t="s">
        <v>75</v>
      </c>
      <c r="R8483" t="s">
        <v>36621</v>
      </c>
      <c r="W8483" t="s">
        <v>36620</v>
      </c>
      <c r="X8483" t="s">
        <v>191</v>
      </c>
      <c r="Y8483" t="s">
        <v>97</v>
      </c>
      <c r="Z8483" t="s">
        <v>77</v>
      </c>
      <c r="AA8483" t="str">
        <f>"10019-1147"</f>
        <v>10019-1147</v>
      </c>
      <c r="AB8483" t="s">
        <v>78</v>
      </c>
      <c r="AC8483" t="s">
        <v>79</v>
      </c>
      <c r="AD8483" t="s">
        <v>75</v>
      </c>
      <c r="AE8483" t="s">
        <v>80</v>
      </c>
      <c r="AG8483" t="s">
        <v>81</v>
      </c>
    </row>
    <row r="8484" spans="1:33" x14ac:dyDescent="0.25">
      <c r="A8484" t="str">
        <f>"1710121934"</f>
        <v>1710121934</v>
      </c>
      <c r="B8484" t="str">
        <f>"03296339"</f>
        <v>03296339</v>
      </c>
      <c r="C8484" t="s">
        <v>13436</v>
      </c>
      <c r="D8484" t="s">
        <v>36622</v>
      </c>
      <c r="E8484" t="s">
        <v>36623</v>
      </c>
      <c r="G8484" t="s">
        <v>36624</v>
      </c>
      <c r="L8484" t="s">
        <v>83</v>
      </c>
      <c r="M8484" t="s">
        <v>85</v>
      </c>
      <c r="R8484" t="s">
        <v>36625</v>
      </c>
      <c r="W8484" t="s">
        <v>36623</v>
      </c>
      <c r="X8484" t="s">
        <v>4386</v>
      </c>
      <c r="Y8484" t="s">
        <v>2128</v>
      </c>
      <c r="Z8484" t="s">
        <v>77</v>
      </c>
      <c r="AA8484" t="str">
        <f>"11743-2924"</f>
        <v>11743-2924</v>
      </c>
      <c r="AB8484" t="s">
        <v>78</v>
      </c>
      <c r="AC8484" t="s">
        <v>79</v>
      </c>
      <c r="AD8484" t="s">
        <v>75</v>
      </c>
      <c r="AE8484" t="s">
        <v>80</v>
      </c>
      <c r="AG8484" t="s">
        <v>81</v>
      </c>
    </row>
    <row r="8485" spans="1:33" x14ac:dyDescent="0.25">
      <c r="A8485" t="str">
        <f>"1710122767"</f>
        <v>1710122767</v>
      </c>
      <c r="B8485" t="str">
        <f>"03762338"</f>
        <v>03762338</v>
      </c>
      <c r="C8485" t="s">
        <v>13436</v>
      </c>
      <c r="D8485" t="s">
        <v>36626</v>
      </c>
      <c r="E8485" t="s">
        <v>36627</v>
      </c>
      <c r="G8485" t="s">
        <v>36628</v>
      </c>
      <c r="L8485" t="s">
        <v>74</v>
      </c>
      <c r="M8485" t="s">
        <v>75</v>
      </c>
      <c r="R8485" t="s">
        <v>36629</v>
      </c>
      <c r="W8485" t="s">
        <v>36627</v>
      </c>
      <c r="X8485" t="s">
        <v>36630</v>
      </c>
      <c r="Y8485" t="s">
        <v>97</v>
      </c>
      <c r="Z8485" t="s">
        <v>77</v>
      </c>
      <c r="AA8485" t="str">
        <f>"10029-6501"</f>
        <v>10029-6501</v>
      </c>
      <c r="AB8485" t="s">
        <v>78</v>
      </c>
      <c r="AC8485" t="s">
        <v>79</v>
      </c>
      <c r="AD8485" t="s">
        <v>75</v>
      </c>
      <c r="AE8485" t="s">
        <v>80</v>
      </c>
      <c r="AG8485" t="s">
        <v>81</v>
      </c>
    </row>
    <row r="8486" spans="1:33" x14ac:dyDescent="0.25">
      <c r="A8486" t="str">
        <f>"1710127345"</f>
        <v>1710127345</v>
      </c>
      <c r="C8486" t="s">
        <v>13436</v>
      </c>
      <c r="G8486" t="s">
        <v>36631</v>
      </c>
      <c r="K8486" t="s">
        <v>99</v>
      </c>
      <c r="L8486" t="s">
        <v>102</v>
      </c>
      <c r="M8486" t="s">
        <v>75</v>
      </c>
      <c r="R8486" t="s">
        <v>36632</v>
      </c>
      <c r="S8486" t="s">
        <v>36633</v>
      </c>
      <c r="T8486" t="s">
        <v>87</v>
      </c>
      <c r="U8486" t="s">
        <v>77</v>
      </c>
      <c r="V8486" t="str">
        <f>"112235552"</f>
        <v>112235552</v>
      </c>
      <c r="AC8486" t="s">
        <v>79</v>
      </c>
      <c r="AD8486" t="s">
        <v>75</v>
      </c>
      <c r="AE8486" t="s">
        <v>103</v>
      </c>
      <c r="AG8486" t="s">
        <v>81</v>
      </c>
    </row>
    <row r="8487" spans="1:33" x14ac:dyDescent="0.25">
      <c r="A8487" t="str">
        <f>"1710128657"</f>
        <v>1710128657</v>
      </c>
      <c r="C8487" t="s">
        <v>13436</v>
      </c>
      <c r="K8487" t="s">
        <v>99</v>
      </c>
      <c r="L8487" t="s">
        <v>102</v>
      </c>
      <c r="M8487" t="s">
        <v>75</v>
      </c>
      <c r="R8487" t="s">
        <v>36634</v>
      </c>
      <c r="S8487" t="s">
        <v>36635</v>
      </c>
      <c r="T8487" t="s">
        <v>33216</v>
      </c>
      <c r="U8487" t="s">
        <v>351</v>
      </c>
      <c r="V8487" t="str">
        <f>"334072047"</f>
        <v>334072047</v>
      </c>
      <c r="AC8487" t="s">
        <v>79</v>
      </c>
      <c r="AD8487" t="s">
        <v>75</v>
      </c>
      <c r="AE8487" t="s">
        <v>103</v>
      </c>
      <c r="AG8487" t="s">
        <v>81</v>
      </c>
    </row>
    <row r="8488" spans="1:33" x14ac:dyDescent="0.25">
      <c r="A8488" t="str">
        <f>"1710130893"</f>
        <v>1710130893</v>
      </c>
      <c r="B8488" t="str">
        <f>"03582285"</f>
        <v>03582285</v>
      </c>
      <c r="C8488" t="s">
        <v>13436</v>
      </c>
      <c r="D8488" t="s">
        <v>36636</v>
      </c>
      <c r="E8488" t="s">
        <v>36637</v>
      </c>
      <c r="G8488" t="s">
        <v>36638</v>
      </c>
      <c r="L8488" t="s">
        <v>74</v>
      </c>
      <c r="M8488" t="s">
        <v>85</v>
      </c>
      <c r="R8488" t="s">
        <v>36637</v>
      </c>
      <c r="W8488" t="s">
        <v>36637</v>
      </c>
      <c r="X8488" t="s">
        <v>1787</v>
      </c>
      <c r="Y8488" t="s">
        <v>97</v>
      </c>
      <c r="Z8488" t="s">
        <v>77</v>
      </c>
      <c r="AA8488" t="str">
        <f>"10029-6501"</f>
        <v>10029-6501</v>
      </c>
      <c r="AB8488" t="s">
        <v>78</v>
      </c>
      <c r="AC8488" t="s">
        <v>79</v>
      </c>
      <c r="AD8488" t="s">
        <v>75</v>
      </c>
      <c r="AE8488" t="s">
        <v>80</v>
      </c>
      <c r="AG8488" t="s">
        <v>81</v>
      </c>
    </row>
    <row r="8489" spans="1:33" x14ac:dyDescent="0.25">
      <c r="A8489" t="str">
        <f>"1710131412"</f>
        <v>1710131412</v>
      </c>
      <c r="C8489" t="s">
        <v>13436</v>
      </c>
      <c r="G8489" t="s">
        <v>36639</v>
      </c>
      <c r="K8489" t="s">
        <v>99</v>
      </c>
      <c r="L8489" t="s">
        <v>102</v>
      </c>
      <c r="M8489" t="s">
        <v>75</v>
      </c>
      <c r="R8489" t="s">
        <v>36640</v>
      </c>
      <c r="S8489" t="s">
        <v>36641</v>
      </c>
      <c r="T8489" t="s">
        <v>2068</v>
      </c>
      <c r="U8489" t="s">
        <v>77</v>
      </c>
      <c r="V8489" t="str">
        <f>"117254332"</f>
        <v>117254332</v>
      </c>
      <c r="AC8489" t="s">
        <v>79</v>
      </c>
      <c r="AD8489" t="s">
        <v>75</v>
      </c>
      <c r="AE8489" t="s">
        <v>103</v>
      </c>
      <c r="AG8489" t="s">
        <v>81</v>
      </c>
    </row>
    <row r="8490" spans="1:33" x14ac:dyDescent="0.25">
      <c r="A8490" t="str">
        <f>"1710135165"</f>
        <v>1710135165</v>
      </c>
      <c r="B8490" t="str">
        <f>"03796178"</f>
        <v>03796178</v>
      </c>
      <c r="C8490" t="s">
        <v>13436</v>
      </c>
      <c r="D8490" t="s">
        <v>36642</v>
      </c>
      <c r="E8490" t="s">
        <v>36643</v>
      </c>
      <c r="G8490" t="s">
        <v>36644</v>
      </c>
      <c r="L8490" t="s">
        <v>102</v>
      </c>
      <c r="M8490" t="s">
        <v>75</v>
      </c>
      <c r="R8490" t="s">
        <v>36645</v>
      </c>
      <c r="W8490" t="s">
        <v>36643</v>
      </c>
      <c r="X8490" t="s">
        <v>13562</v>
      </c>
      <c r="Y8490" t="s">
        <v>97</v>
      </c>
      <c r="Z8490" t="s">
        <v>77</v>
      </c>
      <c r="AA8490" t="str">
        <f>"10029-6508"</f>
        <v>10029-6508</v>
      </c>
      <c r="AB8490" t="s">
        <v>78</v>
      </c>
      <c r="AC8490" t="s">
        <v>79</v>
      </c>
      <c r="AD8490" t="s">
        <v>75</v>
      </c>
      <c r="AE8490" t="s">
        <v>80</v>
      </c>
      <c r="AG8490" t="s">
        <v>81</v>
      </c>
    </row>
    <row r="8491" spans="1:33" x14ac:dyDescent="0.25">
      <c r="A8491" t="str">
        <f>"1710135173"</f>
        <v>1710135173</v>
      </c>
      <c r="B8491" t="str">
        <f>"03763797"</f>
        <v>03763797</v>
      </c>
      <c r="C8491" t="s">
        <v>13436</v>
      </c>
      <c r="D8491" t="s">
        <v>36646</v>
      </c>
      <c r="E8491" t="s">
        <v>36647</v>
      </c>
      <c r="G8491" t="s">
        <v>36648</v>
      </c>
      <c r="L8491" t="s">
        <v>74</v>
      </c>
      <c r="M8491" t="s">
        <v>75</v>
      </c>
      <c r="R8491" t="s">
        <v>36649</v>
      </c>
      <c r="W8491" t="s">
        <v>36647</v>
      </c>
      <c r="X8491" t="s">
        <v>4029</v>
      </c>
      <c r="Y8491" t="s">
        <v>97</v>
      </c>
      <c r="Z8491" t="s">
        <v>77</v>
      </c>
      <c r="AA8491" t="str">
        <f>"10029-6503"</f>
        <v>10029-6503</v>
      </c>
      <c r="AB8491" t="s">
        <v>78</v>
      </c>
      <c r="AC8491" t="s">
        <v>79</v>
      </c>
      <c r="AD8491" t="s">
        <v>75</v>
      </c>
      <c r="AE8491" t="s">
        <v>80</v>
      </c>
      <c r="AG8491" t="s">
        <v>81</v>
      </c>
    </row>
    <row r="8492" spans="1:33" x14ac:dyDescent="0.25">
      <c r="A8492" t="str">
        <f>"1487795225"</f>
        <v>1487795225</v>
      </c>
      <c r="B8492" t="str">
        <f>"00349606"</f>
        <v>00349606</v>
      </c>
      <c r="C8492" t="s">
        <v>13436</v>
      </c>
      <c r="D8492" t="s">
        <v>36650</v>
      </c>
      <c r="E8492" t="s">
        <v>36651</v>
      </c>
      <c r="G8492" t="s">
        <v>36652</v>
      </c>
      <c r="L8492" t="s">
        <v>83</v>
      </c>
      <c r="M8492" t="s">
        <v>85</v>
      </c>
      <c r="R8492" t="s">
        <v>36653</v>
      </c>
      <c r="W8492" t="s">
        <v>36651</v>
      </c>
      <c r="X8492" t="s">
        <v>36654</v>
      </c>
      <c r="Y8492" t="s">
        <v>97</v>
      </c>
      <c r="Z8492" t="s">
        <v>77</v>
      </c>
      <c r="AA8492" t="str">
        <f>"10128-1308"</f>
        <v>10128-1308</v>
      </c>
      <c r="AB8492" t="s">
        <v>78</v>
      </c>
      <c r="AC8492" t="s">
        <v>79</v>
      </c>
      <c r="AD8492" t="s">
        <v>75</v>
      </c>
      <c r="AE8492" t="s">
        <v>80</v>
      </c>
      <c r="AG8492" t="s">
        <v>81</v>
      </c>
    </row>
    <row r="8493" spans="1:33" x14ac:dyDescent="0.25">
      <c r="A8493" t="str">
        <f>"1487831582"</f>
        <v>1487831582</v>
      </c>
      <c r="B8493" t="str">
        <f>"03012966"</f>
        <v>03012966</v>
      </c>
      <c r="C8493" t="s">
        <v>13436</v>
      </c>
      <c r="D8493" t="s">
        <v>36655</v>
      </c>
      <c r="E8493" t="s">
        <v>36656</v>
      </c>
      <c r="G8493" t="s">
        <v>36657</v>
      </c>
      <c r="L8493" t="s">
        <v>83</v>
      </c>
      <c r="M8493" t="s">
        <v>85</v>
      </c>
      <c r="R8493" t="s">
        <v>36658</v>
      </c>
      <c r="W8493" t="s">
        <v>36659</v>
      </c>
      <c r="X8493" t="s">
        <v>200</v>
      </c>
      <c r="Y8493" t="s">
        <v>97</v>
      </c>
      <c r="Z8493" t="s">
        <v>77</v>
      </c>
      <c r="AA8493" t="str">
        <f>"10032-3720"</f>
        <v>10032-3720</v>
      </c>
      <c r="AB8493" t="s">
        <v>78</v>
      </c>
      <c r="AC8493" t="s">
        <v>79</v>
      </c>
      <c r="AD8493" t="s">
        <v>75</v>
      </c>
      <c r="AE8493" t="s">
        <v>80</v>
      </c>
      <c r="AG8493" t="s">
        <v>81</v>
      </c>
    </row>
    <row r="8494" spans="1:33" x14ac:dyDescent="0.25">
      <c r="A8494" t="str">
        <f>"1487834776"</f>
        <v>1487834776</v>
      </c>
      <c r="B8494" t="str">
        <f>"03066988"</f>
        <v>03066988</v>
      </c>
      <c r="C8494" t="s">
        <v>13436</v>
      </c>
      <c r="D8494" t="s">
        <v>36660</v>
      </c>
      <c r="E8494" t="s">
        <v>36661</v>
      </c>
      <c r="G8494" t="s">
        <v>36662</v>
      </c>
      <c r="L8494" t="s">
        <v>102</v>
      </c>
      <c r="M8494" t="s">
        <v>75</v>
      </c>
      <c r="R8494" t="s">
        <v>36663</v>
      </c>
      <c r="W8494" t="s">
        <v>36661</v>
      </c>
      <c r="X8494" t="s">
        <v>13562</v>
      </c>
      <c r="Y8494" t="s">
        <v>97</v>
      </c>
      <c r="Z8494" t="s">
        <v>77</v>
      </c>
      <c r="AA8494" t="str">
        <f>"10029-6508"</f>
        <v>10029-6508</v>
      </c>
      <c r="AB8494" t="s">
        <v>78</v>
      </c>
      <c r="AC8494" t="s">
        <v>79</v>
      </c>
      <c r="AD8494" t="s">
        <v>75</v>
      </c>
      <c r="AE8494" t="s">
        <v>80</v>
      </c>
      <c r="AG8494" t="s">
        <v>81</v>
      </c>
    </row>
    <row r="8495" spans="1:33" x14ac:dyDescent="0.25">
      <c r="A8495" t="str">
        <f>"1487844973"</f>
        <v>1487844973</v>
      </c>
      <c r="B8495" t="str">
        <f>"02923462"</f>
        <v>02923462</v>
      </c>
      <c r="C8495" t="s">
        <v>13436</v>
      </c>
      <c r="D8495" t="s">
        <v>36664</v>
      </c>
      <c r="E8495" t="s">
        <v>36665</v>
      </c>
      <c r="L8495" t="s">
        <v>83</v>
      </c>
      <c r="M8495" t="s">
        <v>75</v>
      </c>
      <c r="R8495" t="s">
        <v>36666</v>
      </c>
      <c r="W8495" t="s">
        <v>36667</v>
      </c>
      <c r="X8495" t="s">
        <v>612</v>
      </c>
      <c r="Y8495" t="s">
        <v>450</v>
      </c>
      <c r="Z8495" t="s">
        <v>77</v>
      </c>
      <c r="AA8495" t="str">
        <f>"11423-2511"</f>
        <v>11423-2511</v>
      </c>
      <c r="AB8495" t="s">
        <v>78</v>
      </c>
      <c r="AC8495" t="s">
        <v>79</v>
      </c>
      <c r="AD8495" t="s">
        <v>75</v>
      </c>
      <c r="AE8495" t="s">
        <v>80</v>
      </c>
      <c r="AG8495" t="s">
        <v>81</v>
      </c>
    </row>
    <row r="8496" spans="1:33" x14ac:dyDescent="0.25">
      <c r="A8496" t="str">
        <f>"1366580631"</f>
        <v>1366580631</v>
      </c>
      <c r="B8496" t="str">
        <f>"02888782"</f>
        <v>02888782</v>
      </c>
      <c r="C8496" t="s">
        <v>13436</v>
      </c>
      <c r="D8496" t="s">
        <v>36668</v>
      </c>
      <c r="E8496" t="s">
        <v>36669</v>
      </c>
      <c r="G8496" t="s">
        <v>36670</v>
      </c>
      <c r="L8496" t="s">
        <v>74</v>
      </c>
      <c r="M8496" t="s">
        <v>85</v>
      </c>
      <c r="R8496" t="s">
        <v>36671</v>
      </c>
      <c r="W8496" t="s">
        <v>36669</v>
      </c>
      <c r="X8496" t="s">
        <v>272</v>
      </c>
      <c r="Y8496" t="s">
        <v>97</v>
      </c>
      <c r="Z8496" t="s">
        <v>77</v>
      </c>
      <c r="AA8496" t="str">
        <f>"10029-6501"</f>
        <v>10029-6501</v>
      </c>
      <c r="AB8496" t="s">
        <v>78</v>
      </c>
      <c r="AC8496" t="s">
        <v>79</v>
      </c>
      <c r="AD8496" t="s">
        <v>75</v>
      </c>
      <c r="AE8496" t="s">
        <v>80</v>
      </c>
      <c r="AG8496" t="s">
        <v>81</v>
      </c>
    </row>
    <row r="8497" spans="1:33" x14ac:dyDescent="0.25">
      <c r="A8497" t="str">
        <f>"1366600769"</f>
        <v>1366600769</v>
      </c>
      <c r="B8497" t="str">
        <f>"04020100"</f>
        <v>04020100</v>
      </c>
      <c r="C8497" t="s">
        <v>13436</v>
      </c>
      <c r="D8497" t="s">
        <v>36672</v>
      </c>
      <c r="E8497" t="s">
        <v>36673</v>
      </c>
      <c r="G8497" t="s">
        <v>36674</v>
      </c>
      <c r="L8497" t="s">
        <v>83</v>
      </c>
      <c r="M8497" t="s">
        <v>75</v>
      </c>
      <c r="R8497" t="s">
        <v>36675</v>
      </c>
      <c r="W8497" t="s">
        <v>36673</v>
      </c>
      <c r="X8497" t="s">
        <v>272</v>
      </c>
      <c r="Y8497" t="s">
        <v>97</v>
      </c>
      <c r="Z8497" t="s">
        <v>77</v>
      </c>
      <c r="AA8497" t="str">
        <f>"10029-6501"</f>
        <v>10029-6501</v>
      </c>
      <c r="AB8497" t="s">
        <v>78</v>
      </c>
      <c r="AC8497" t="s">
        <v>79</v>
      </c>
      <c r="AD8497" t="s">
        <v>75</v>
      </c>
      <c r="AE8497" t="s">
        <v>80</v>
      </c>
      <c r="AG8497" t="s">
        <v>81</v>
      </c>
    </row>
    <row r="8498" spans="1:33" x14ac:dyDescent="0.25">
      <c r="A8498" t="str">
        <f>"1366607681"</f>
        <v>1366607681</v>
      </c>
      <c r="C8498" t="s">
        <v>13436</v>
      </c>
      <c r="G8498" t="s">
        <v>36676</v>
      </c>
      <c r="K8498" t="s">
        <v>99</v>
      </c>
      <c r="L8498" t="s">
        <v>74</v>
      </c>
      <c r="M8498" t="s">
        <v>75</v>
      </c>
      <c r="R8498" t="s">
        <v>36677</v>
      </c>
      <c r="S8498" t="s">
        <v>36678</v>
      </c>
      <c r="T8498" t="s">
        <v>313</v>
      </c>
      <c r="U8498" t="s">
        <v>77</v>
      </c>
      <c r="V8498" t="str">
        <f>"114292225"</f>
        <v>114292225</v>
      </c>
      <c r="AC8498" t="s">
        <v>79</v>
      </c>
      <c r="AD8498" t="s">
        <v>75</v>
      </c>
      <c r="AE8498" t="s">
        <v>103</v>
      </c>
      <c r="AG8498" t="s">
        <v>81</v>
      </c>
    </row>
    <row r="8499" spans="1:33" x14ac:dyDescent="0.25">
      <c r="A8499" t="str">
        <f>"1689902215"</f>
        <v>1689902215</v>
      </c>
      <c r="B8499" t="str">
        <f>"03742789"</f>
        <v>03742789</v>
      </c>
      <c r="C8499" t="s">
        <v>13436</v>
      </c>
      <c r="D8499" t="s">
        <v>36679</v>
      </c>
      <c r="E8499" t="s">
        <v>36680</v>
      </c>
      <c r="G8499" t="s">
        <v>36681</v>
      </c>
      <c r="L8499" t="s">
        <v>102</v>
      </c>
      <c r="M8499" t="s">
        <v>75</v>
      </c>
      <c r="R8499" t="s">
        <v>36682</v>
      </c>
      <c r="W8499" t="s">
        <v>36680</v>
      </c>
      <c r="X8499" t="s">
        <v>329</v>
      </c>
      <c r="Y8499" t="s">
        <v>97</v>
      </c>
      <c r="Z8499" t="s">
        <v>77</v>
      </c>
      <c r="AA8499" t="str">
        <f>"10029-6574"</f>
        <v>10029-6574</v>
      </c>
      <c r="AB8499" t="s">
        <v>78</v>
      </c>
      <c r="AC8499" t="s">
        <v>79</v>
      </c>
      <c r="AD8499" t="s">
        <v>75</v>
      </c>
      <c r="AE8499" t="s">
        <v>80</v>
      </c>
      <c r="AG8499" t="s">
        <v>81</v>
      </c>
    </row>
    <row r="8500" spans="1:33" x14ac:dyDescent="0.25">
      <c r="A8500" t="str">
        <f>"1295722395"</f>
        <v>1295722395</v>
      </c>
      <c r="B8500" t="str">
        <f>"01038595"</f>
        <v>01038595</v>
      </c>
      <c r="C8500" t="s">
        <v>13436</v>
      </c>
      <c r="D8500" t="s">
        <v>36683</v>
      </c>
      <c r="E8500" t="s">
        <v>36684</v>
      </c>
      <c r="G8500" t="s">
        <v>36685</v>
      </c>
      <c r="L8500" t="s">
        <v>83</v>
      </c>
      <c r="M8500" t="s">
        <v>85</v>
      </c>
      <c r="R8500" t="s">
        <v>36686</v>
      </c>
      <c r="W8500" t="s">
        <v>36684</v>
      </c>
      <c r="X8500" t="s">
        <v>3006</v>
      </c>
      <c r="Y8500" t="s">
        <v>131</v>
      </c>
      <c r="Z8500" t="s">
        <v>77</v>
      </c>
      <c r="AA8500" t="str">
        <f>"10457"</f>
        <v>10457</v>
      </c>
      <c r="AB8500" t="s">
        <v>78</v>
      </c>
      <c r="AC8500" t="s">
        <v>79</v>
      </c>
      <c r="AD8500" t="s">
        <v>75</v>
      </c>
      <c r="AE8500" t="s">
        <v>80</v>
      </c>
      <c r="AG8500" t="s">
        <v>81</v>
      </c>
    </row>
    <row r="8501" spans="1:33" x14ac:dyDescent="0.25">
      <c r="A8501" t="str">
        <f>"1023356805"</f>
        <v>1023356805</v>
      </c>
      <c r="C8501" t="s">
        <v>13436</v>
      </c>
      <c r="G8501" t="s">
        <v>36687</v>
      </c>
      <c r="K8501" t="s">
        <v>99</v>
      </c>
      <c r="L8501" t="s">
        <v>102</v>
      </c>
      <c r="M8501" t="s">
        <v>75</v>
      </c>
      <c r="R8501" t="s">
        <v>36688</v>
      </c>
      <c r="S8501" t="s">
        <v>14964</v>
      </c>
      <c r="T8501" t="s">
        <v>1783</v>
      </c>
      <c r="U8501" t="s">
        <v>1784</v>
      </c>
      <c r="V8501" t="str">
        <f>"191413018"</f>
        <v>191413018</v>
      </c>
      <c r="AC8501" t="s">
        <v>79</v>
      </c>
      <c r="AD8501" t="s">
        <v>75</v>
      </c>
      <c r="AE8501" t="s">
        <v>103</v>
      </c>
      <c r="AG8501" t="s">
        <v>81</v>
      </c>
    </row>
    <row r="8502" spans="1:33" x14ac:dyDescent="0.25">
      <c r="A8502" t="str">
        <f>"1023370400"</f>
        <v>1023370400</v>
      </c>
      <c r="C8502" t="s">
        <v>13436</v>
      </c>
      <c r="K8502" t="s">
        <v>99</v>
      </c>
      <c r="L8502" t="s">
        <v>102</v>
      </c>
      <c r="M8502" t="s">
        <v>75</v>
      </c>
      <c r="R8502" t="s">
        <v>36689</v>
      </c>
      <c r="S8502" t="s">
        <v>36690</v>
      </c>
      <c r="T8502" t="s">
        <v>97</v>
      </c>
      <c r="U8502" t="s">
        <v>77</v>
      </c>
      <c r="V8502" t="str">
        <f>"100296503"</f>
        <v>100296503</v>
      </c>
      <c r="AC8502" t="s">
        <v>79</v>
      </c>
      <c r="AD8502" t="s">
        <v>75</v>
      </c>
      <c r="AE8502" t="s">
        <v>103</v>
      </c>
      <c r="AG8502" t="s">
        <v>81</v>
      </c>
    </row>
    <row r="8503" spans="1:33" x14ac:dyDescent="0.25">
      <c r="A8503" t="str">
        <f>"1023374469"</f>
        <v>1023374469</v>
      </c>
      <c r="C8503" t="s">
        <v>13436</v>
      </c>
      <c r="K8503" t="s">
        <v>99</v>
      </c>
      <c r="L8503" t="s">
        <v>102</v>
      </c>
      <c r="M8503" t="s">
        <v>75</v>
      </c>
      <c r="R8503" t="s">
        <v>36691</v>
      </c>
      <c r="S8503" t="s">
        <v>19122</v>
      </c>
      <c r="T8503" t="s">
        <v>97</v>
      </c>
      <c r="U8503" t="s">
        <v>77</v>
      </c>
      <c r="V8503" t="str">
        <f>"100191147"</f>
        <v>100191147</v>
      </c>
      <c r="AC8503" t="s">
        <v>79</v>
      </c>
      <c r="AD8503" t="s">
        <v>75</v>
      </c>
      <c r="AE8503" t="s">
        <v>103</v>
      </c>
      <c r="AG8503" t="s">
        <v>81</v>
      </c>
    </row>
    <row r="8504" spans="1:33" x14ac:dyDescent="0.25">
      <c r="A8504" t="str">
        <f>"1023376738"</f>
        <v>1023376738</v>
      </c>
      <c r="C8504" t="s">
        <v>13436</v>
      </c>
      <c r="K8504" t="s">
        <v>99</v>
      </c>
      <c r="L8504" t="s">
        <v>102</v>
      </c>
      <c r="M8504" t="s">
        <v>75</v>
      </c>
      <c r="R8504" t="s">
        <v>36692</v>
      </c>
      <c r="S8504" t="s">
        <v>12670</v>
      </c>
      <c r="T8504" t="s">
        <v>97</v>
      </c>
      <c r="U8504" t="s">
        <v>77</v>
      </c>
      <c r="V8504" t="str">
        <f>"100033821"</f>
        <v>100033821</v>
      </c>
      <c r="AC8504" t="s">
        <v>79</v>
      </c>
      <c r="AD8504" t="s">
        <v>75</v>
      </c>
      <c r="AE8504" t="s">
        <v>103</v>
      </c>
      <c r="AG8504" t="s">
        <v>81</v>
      </c>
    </row>
    <row r="8505" spans="1:33" x14ac:dyDescent="0.25">
      <c r="A8505" t="str">
        <f>"1023379195"</f>
        <v>1023379195</v>
      </c>
      <c r="B8505" t="str">
        <f>"04390745"</f>
        <v>04390745</v>
      </c>
      <c r="C8505" t="s">
        <v>13436</v>
      </c>
      <c r="D8505" t="s">
        <v>36693</v>
      </c>
      <c r="E8505" t="s">
        <v>36694</v>
      </c>
      <c r="L8505" t="s">
        <v>74</v>
      </c>
      <c r="M8505" t="s">
        <v>75</v>
      </c>
      <c r="R8505" t="s">
        <v>36695</v>
      </c>
      <c r="W8505" t="s">
        <v>36694</v>
      </c>
      <c r="X8505" t="s">
        <v>4566</v>
      </c>
      <c r="Y8505" t="s">
        <v>139</v>
      </c>
      <c r="Z8505" t="s">
        <v>77</v>
      </c>
      <c r="AA8505" t="str">
        <f>"11355-5045"</f>
        <v>11355-5045</v>
      </c>
      <c r="AB8505" t="s">
        <v>78</v>
      </c>
      <c r="AC8505" t="s">
        <v>79</v>
      </c>
      <c r="AD8505" t="s">
        <v>75</v>
      </c>
      <c r="AE8505" t="s">
        <v>80</v>
      </c>
      <c r="AG8505" t="s">
        <v>81</v>
      </c>
    </row>
    <row r="8506" spans="1:33" x14ac:dyDescent="0.25">
      <c r="A8506" t="str">
        <f>"1023395043"</f>
        <v>1023395043</v>
      </c>
      <c r="B8506" t="str">
        <f>"03808660"</f>
        <v>03808660</v>
      </c>
      <c r="C8506" t="s">
        <v>13436</v>
      </c>
      <c r="D8506" t="s">
        <v>36696</v>
      </c>
      <c r="E8506" t="s">
        <v>36697</v>
      </c>
      <c r="G8506" t="s">
        <v>36698</v>
      </c>
      <c r="L8506" t="s">
        <v>102</v>
      </c>
      <c r="M8506" t="s">
        <v>75</v>
      </c>
      <c r="R8506" t="s">
        <v>36697</v>
      </c>
      <c r="W8506" t="s">
        <v>36697</v>
      </c>
      <c r="X8506" t="s">
        <v>329</v>
      </c>
      <c r="Y8506" t="s">
        <v>97</v>
      </c>
      <c r="Z8506" t="s">
        <v>77</v>
      </c>
      <c r="AA8506" t="str">
        <f>"10029-6504"</f>
        <v>10029-6504</v>
      </c>
      <c r="AB8506" t="s">
        <v>78</v>
      </c>
      <c r="AC8506" t="s">
        <v>79</v>
      </c>
      <c r="AD8506" t="s">
        <v>75</v>
      </c>
      <c r="AE8506" t="s">
        <v>80</v>
      </c>
      <c r="AG8506" t="s">
        <v>81</v>
      </c>
    </row>
    <row r="8507" spans="1:33" x14ac:dyDescent="0.25">
      <c r="A8507" t="str">
        <f>"1073807681"</f>
        <v>1073807681</v>
      </c>
      <c r="B8507" t="str">
        <f>"03873489"</f>
        <v>03873489</v>
      </c>
      <c r="C8507" t="s">
        <v>13436</v>
      </c>
      <c r="D8507" t="s">
        <v>36699</v>
      </c>
      <c r="E8507" t="s">
        <v>36700</v>
      </c>
      <c r="G8507" t="s">
        <v>36701</v>
      </c>
      <c r="L8507" t="s">
        <v>74</v>
      </c>
      <c r="M8507" t="s">
        <v>75</v>
      </c>
      <c r="R8507" t="s">
        <v>36702</v>
      </c>
      <c r="W8507" t="s">
        <v>36700</v>
      </c>
      <c r="X8507" t="s">
        <v>330</v>
      </c>
      <c r="Y8507" t="s">
        <v>97</v>
      </c>
      <c r="Z8507" t="s">
        <v>77</v>
      </c>
      <c r="AA8507" t="str">
        <f>"10029-5204"</f>
        <v>10029-5204</v>
      </c>
      <c r="AB8507" t="s">
        <v>78</v>
      </c>
      <c r="AC8507" t="s">
        <v>79</v>
      </c>
      <c r="AD8507" t="s">
        <v>75</v>
      </c>
      <c r="AE8507" t="s">
        <v>80</v>
      </c>
      <c r="AG8507" t="s">
        <v>81</v>
      </c>
    </row>
    <row r="8508" spans="1:33" x14ac:dyDescent="0.25">
      <c r="A8508" t="str">
        <f>"1073838132"</f>
        <v>1073838132</v>
      </c>
      <c r="C8508" t="s">
        <v>13436</v>
      </c>
      <c r="K8508" t="s">
        <v>99</v>
      </c>
      <c r="L8508" t="s">
        <v>102</v>
      </c>
      <c r="M8508" t="s">
        <v>75</v>
      </c>
      <c r="R8508" t="s">
        <v>36703</v>
      </c>
      <c r="S8508" t="s">
        <v>36704</v>
      </c>
      <c r="T8508" t="s">
        <v>97</v>
      </c>
      <c r="U8508" t="s">
        <v>77</v>
      </c>
      <c r="V8508" t="str">
        <f>"100295204"</f>
        <v>100295204</v>
      </c>
      <c r="AC8508" t="s">
        <v>79</v>
      </c>
      <c r="AD8508" t="s">
        <v>75</v>
      </c>
      <c r="AE8508" t="s">
        <v>103</v>
      </c>
      <c r="AG8508" t="s">
        <v>81</v>
      </c>
    </row>
    <row r="8509" spans="1:33" x14ac:dyDescent="0.25">
      <c r="A8509" t="str">
        <f>"1073856183"</f>
        <v>1073856183</v>
      </c>
      <c r="C8509" t="s">
        <v>13436</v>
      </c>
      <c r="K8509" t="s">
        <v>99</v>
      </c>
      <c r="L8509" t="s">
        <v>102</v>
      </c>
      <c r="M8509" t="s">
        <v>75</v>
      </c>
      <c r="R8509" t="s">
        <v>36705</v>
      </c>
      <c r="S8509" t="s">
        <v>36706</v>
      </c>
      <c r="T8509" t="s">
        <v>4484</v>
      </c>
      <c r="U8509" t="s">
        <v>1800</v>
      </c>
      <c r="V8509" t="str">
        <f>"800112824"</f>
        <v>800112824</v>
      </c>
      <c r="AC8509" t="s">
        <v>79</v>
      </c>
      <c r="AD8509" t="s">
        <v>75</v>
      </c>
      <c r="AE8509" t="s">
        <v>103</v>
      </c>
      <c r="AG8509" t="s">
        <v>81</v>
      </c>
    </row>
    <row r="8510" spans="1:33" x14ac:dyDescent="0.25">
      <c r="A8510" t="str">
        <f>"1073864732"</f>
        <v>1073864732</v>
      </c>
      <c r="C8510" t="s">
        <v>13436</v>
      </c>
      <c r="G8510" t="s">
        <v>36707</v>
      </c>
      <c r="K8510" t="s">
        <v>99</v>
      </c>
      <c r="L8510" t="s">
        <v>102</v>
      </c>
      <c r="M8510" t="s">
        <v>75</v>
      </c>
      <c r="R8510" t="s">
        <v>36708</v>
      </c>
      <c r="S8510" t="s">
        <v>36709</v>
      </c>
      <c r="T8510" t="s">
        <v>97</v>
      </c>
      <c r="U8510" t="s">
        <v>77</v>
      </c>
      <c r="V8510" t="str">
        <f>"100283003"</f>
        <v>100283003</v>
      </c>
      <c r="AC8510" t="s">
        <v>79</v>
      </c>
      <c r="AD8510" t="s">
        <v>75</v>
      </c>
      <c r="AE8510" t="s">
        <v>103</v>
      </c>
      <c r="AG8510" t="s">
        <v>81</v>
      </c>
    </row>
    <row r="8511" spans="1:33" x14ac:dyDescent="0.25">
      <c r="A8511" t="str">
        <f>"1679558696"</f>
        <v>1679558696</v>
      </c>
      <c r="B8511" t="str">
        <f>"00248857"</f>
        <v>00248857</v>
      </c>
      <c r="C8511" t="s">
        <v>13436</v>
      </c>
      <c r="D8511" t="s">
        <v>36710</v>
      </c>
      <c r="E8511" t="s">
        <v>36711</v>
      </c>
      <c r="G8511" t="s">
        <v>36712</v>
      </c>
      <c r="L8511" t="s">
        <v>83</v>
      </c>
      <c r="M8511" t="s">
        <v>85</v>
      </c>
      <c r="R8511" t="s">
        <v>36713</v>
      </c>
      <c r="W8511" t="s">
        <v>36711</v>
      </c>
      <c r="X8511" t="s">
        <v>329</v>
      </c>
      <c r="Y8511" t="s">
        <v>97</v>
      </c>
      <c r="Z8511" t="s">
        <v>77</v>
      </c>
      <c r="AA8511" t="str">
        <f>"10029-6500"</f>
        <v>10029-6500</v>
      </c>
      <c r="AB8511" t="s">
        <v>78</v>
      </c>
      <c r="AC8511" t="s">
        <v>79</v>
      </c>
      <c r="AD8511" t="s">
        <v>75</v>
      </c>
      <c r="AE8511" t="s">
        <v>80</v>
      </c>
      <c r="AG8511" t="s">
        <v>81</v>
      </c>
    </row>
    <row r="8512" spans="1:33" x14ac:dyDescent="0.25">
      <c r="A8512" t="str">
        <f>"1679576110"</f>
        <v>1679576110</v>
      </c>
      <c r="B8512" t="str">
        <f>"02497083"</f>
        <v>02497083</v>
      </c>
      <c r="C8512" t="s">
        <v>13436</v>
      </c>
      <c r="D8512" t="s">
        <v>36714</v>
      </c>
      <c r="E8512" t="s">
        <v>36715</v>
      </c>
      <c r="G8512" t="s">
        <v>36716</v>
      </c>
      <c r="L8512" t="s">
        <v>83</v>
      </c>
      <c r="M8512" t="s">
        <v>85</v>
      </c>
      <c r="R8512" t="s">
        <v>36717</v>
      </c>
      <c r="W8512" t="s">
        <v>36715</v>
      </c>
      <c r="X8512" t="s">
        <v>36718</v>
      </c>
      <c r="Y8512" t="s">
        <v>97</v>
      </c>
      <c r="Z8512" t="s">
        <v>77</v>
      </c>
      <c r="AA8512" t="str">
        <f>"10065-4870"</f>
        <v>10065-4870</v>
      </c>
      <c r="AB8512" t="s">
        <v>78</v>
      </c>
      <c r="AC8512" t="s">
        <v>79</v>
      </c>
      <c r="AD8512" t="s">
        <v>75</v>
      </c>
      <c r="AE8512" t="s">
        <v>80</v>
      </c>
      <c r="AG8512" t="s">
        <v>81</v>
      </c>
    </row>
    <row r="8513" spans="1:33" x14ac:dyDescent="0.25">
      <c r="A8513" t="str">
        <f>"1023436235"</f>
        <v>1023436235</v>
      </c>
      <c r="C8513" t="s">
        <v>13436</v>
      </c>
      <c r="K8513" t="s">
        <v>99</v>
      </c>
      <c r="L8513" t="s">
        <v>102</v>
      </c>
      <c r="M8513" t="s">
        <v>75</v>
      </c>
      <c r="R8513" t="s">
        <v>36719</v>
      </c>
      <c r="S8513" t="s">
        <v>36720</v>
      </c>
      <c r="T8513" t="s">
        <v>2589</v>
      </c>
      <c r="U8513" t="s">
        <v>156</v>
      </c>
      <c r="V8513" t="str">
        <f>"073028517"</f>
        <v>073028517</v>
      </c>
      <c r="AC8513" t="s">
        <v>79</v>
      </c>
      <c r="AD8513" t="s">
        <v>75</v>
      </c>
      <c r="AE8513" t="s">
        <v>103</v>
      </c>
      <c r="AG8513" t="s">
        <v>81</v>
      </c>
    </row>
    <row r="8514" spans="1:33" x14ac:dyDescent="0.25">
      <c r="A8514" t="str">
        <f>"1235172602"</f>
        <v>1235172602</v>
      </c>
      <c r="B8514" t="str">
        <f>"00376710"</f>
        <v>00376710</v>
      </c>
      <c r="C8514" t="s">
        <v>13436</v>
      </c>
      <c r="D8514" t="s">
        <v>36721</v>
      </c>
      <c r="E8514" t="s">
        <v>36722</v>
      </c>
      <c r="G8514" t="s">
        <v>36723</v>
      </c>
      <c r="L8514" t="s">
        <v>84</v>
      </c>
      <c r="M8514" t="s">
        <v>75</v>
      </c>
      <c r="R8514" t="s">
        <v>36724</v>
      </c>
      <c r="W8514" t="s">
        <v>36722</v>
      </c>
      <c r="X8514" t="s">
        <v>36725</v>
      </c>
      <c r="Y8514" t="s">
        <v>217</v>
      </c>
      <c r="Z8514" t="s">
        <v>77</v>
      </c>
      <c r="AA8514" t="str">
        <f>"11557-1619"</f>
        <v>11557-1619</v>
      </c>
      <c r="AB8514" t="s">
        <v>78</v>
      </c>
      <c r="AC8514" t="s">
        <v>79</v>
      </c>
      <c r="AD8514" t="s">
        <v>75</v>
      </c>
      <c r="AE8514" t="s">
        <v>80</v>
      </c>
      <c r="AG8514" t="s">
        <v>81</v>
      </c>
    </row>
    <row r="8515" spans="1:33" x14ac:dyDescent="0.25">
      <c r="A8515" t="str">
        <f>"1083980189"</f>
        <v>1083980189</v>
      </c>
      <c r="C8515" t="s">
        <v>13436</v>
      </c>
      <c r="K8515" t="s">
        <v>99</v>
      </c>
      <c r="L8515" t="s">
        <v>102</v>
      </c>
      <c r="M8515" t="s">
        <v>75</v>
      </c>
      <c r="R8515" t="s">
        <v>36726</v>
      </c>
      <c r="S8515" t="s">
        <v>11602</v>
      </c>
      <c r="T8515" t="s">
        <v>97</v>
      </c>
      <c r="U8515" t="s">
        <v>77</v>
      </c>
      <c r="V8515" t="str">
        <f>"100295204"</f>
        <v>100295204</v>
      </c>
      <c r="AC8515" t="s">
        <v>79</v>
      </c>
      <c r="AD8515" t="s">
        <v>75</v>
      </c>
      <c r="AE8515" t="s">
        <v>103</v>
      </c>
      <c r="AG8515" t="s">
        <v>81</v>
      </c>
    </row>
    <row r="8516" spans="1:33" x14ac:dyDescent="0.25">
      <c r="A8516" t="str">
        <f>"1083998108"</f>
        <v>1083998108</v>
      </c>
      <c r="B8516" t="str">
        <f>"03784723"</f>
        <v>03784723</v>
      </c>
      <c r="C8516" t="s">
        <v>13436</v>
      </c>
      <c r="D8516" t="s">
        <v>36727</v>
      </c>
      <c r="E8516" t="s">
        <v>36728</v>
      </c>
      <c r="G8516" t="s">
        <v>36729</v>
      </c>
      <c r="L8516" t="s">
        <v>83</v>
      </c>
      <c r="M8516" t="s">
        <v>85</v>
      </c>
      <c r="R8516" t="s">
        <v>36730</v>
      </c>
      <c r="W8516" t="s">
        <v>36728</v>
      </c>
      <c r="X8516" t="s">
        <v>329</v>
      </c>
      <c r="Y8516" t="s">
        <v>97</v>
      </c>
      <c r="Z8516" t="s">
        <v>77</v>
      </c>
      <c r="AA8516" t="str">
        <f>"10029-6504"</f>
        <v>10029-6504</v>
      </c>
      <c r="AB8516" t="s">
        <v>78</v>
      </c>
      <c r="AC8516" t="s">
        <v>79</v>
      </c>
      <c r="AD8516" t="s">
        <v>75</v>
      </c>
      <c r="AE8516" t="s">
        <v>80</v>
      </c>
      <c r="AG8516" t="s">
        <v>81</v>
      </c>
    </row>
    <row r="8517" spans="1:33" x14ac:dyDescent="0.25">
      <c r="A8517" t="str">
        <f>"1093003998"</f>
        <v>1093003998</v>
      </c>
      <c r="B8517" t="str">
        <f>"03690806"</f>
        <v>03690806</v>
      </c>
      <c r="C8517" t="s">
        <v>13436</v>
      </c>
      <c r="D8517" t="s">
        <v>36731</v>
      </c>
      <c r="E8517" t="s">
        <v>36732</v>
      </c>
      <c r="L8517" t="s">
        <v>74</v>
      </c>
      <c r="M8517" t="s">
        <v>75</v>
      </c>
      <c r="R8517" t="s">
        <v>36733</v>
      </c>
      <c r="W8517" t="s">
        <v>36732</v>
      </c>
      <c r="X8517" t="s">
        <v>329</v>
      </c>
      <c r="Y8517" t="s">
        <v>97</v>
      </c>
      <c r="Z8517" t="s">
        <v>77</v>
      </c>
      <c r="AA8517" t="str">
        <f>"10029-6574"</f>
        <v>10029-6574</v>
      </c>
      <c r="AB8517" t="s">
        <v>78</v>
      </c>
      <c r="AC8517" t="s">
        <v>79</v>
      </c>
      <c r="AD8517" t="s">
        <v>75</v>
      </c>
      <c r="AE8517" t="s">
        <v>80</v>
      </c>
      <c r="AG8517" t="s">
        <v>81</v>
      </c>
    </row>
    <row r="8518" spans="1:33" x14ac:dyDescent="0.25">
      <c r="A8518" t="str">
        <f>"1114902707"</f>
        <v>1114902707</v>
      </c>
      <c r="B8518" t="str">
        <f>"00857685"</f>
        <v>00857685</v>
      </c>
      <c r="C8518" t="s">
        <v>13436</v>
      </c>
      <c r="D8518" t="s">
        <v>6038</v>
      </c>
      <c r="E8518" t="s">
        <v>6039</v>
      </c>
      <c r="G8518" t="s">
        <v>36734</v>
      </c>
      <c r="L8518" t="s">
        <v>83</v>
      </c>
      <c r="M8518" t="s">
        <v>85</v>
      </c>
      <c r="R8518" t="s">
        <v>6040</v>
      </c>
      <c r="W8518" t="s">
        <v>6039</v>
      </c>
      <c r="X8518" t="s">
        <v>258</v>
      </c>
      <c r="Y8518" t="s">
        <v>131</v>
      </c>
      <c r="Z8518" t="s">
        <v>77</v>
      </c>
      <c r="AA8518" t="str">
        <f>"10467-2401"</f>
        <v>10467-2401</v>
      </c>
      <c r="AB8518" t="s">
        <v>78</v>
      </c>
      <c r="AC8518" t="s">
        <v>79</v>
      </c>
      <c r="AD8518" t="s">
        <v>75</v>
      </c>
      <c r="AE8518" t="s">
        <v>80</v>
      </c>
      <c r="AG8518" t="s">
        <v>81</v>
      </c>
    </row>
    <row r="8519" spans="1:33" x14ac:dyDescent="0.25">
      <c r="A8519" t="str">
        <f>"1114902863"</f>
        <v>1114902863</v>
      </c>
      <c r="B8519" t="str">
        <f>"01248273"</f>
        <v>01248273</v>
      </c>
      <c r="C8519" t="s">
        <v>13436</v>
      </c>
      <c r="D8519" t="s">
        <v>36735</v>
      </c>
      <c r="E8519" t="s">
        <v>36736</v>
      </c>
      <c r="G8519" t="s">
        <v>36737</v>
      </c>
      <c r="L8519" t="s">
        <v>74</v>
      </c>
      <c r="M8519" t="s">
        <v>85</v>
      </c>
      <c r="W8519" t="s">
        <v>36736</v>
      </c>
      <c r="X8519" t="s">
        <v>329</v>
      </c>
      <c r="Y8519" t="s">
        <v>97</v>
      </c>
      <c r="Z8519" t="s">
        <v>77</v>
      </c>
      <c r="AA8519" t="str">
        <f>"10029-6500"</f>
        <v>10029-6500</v>
      </c>
      <c r="AB8519" t="s">
        <v>78</v>
      </c>
      <c r="AC8519" t="s">
        <v>79</v>
      </c>
      <c r="AD8519" t="s">
        <v>75</v>
      </c>
      <c r="AE8519" t="s">
        <v>80</v>
      </c>
      <c r="AG8519" t="s">
        <v>81</v>
      </c>
    </row>
    <row r="8520" spans="1:33" x14ac:dyDescent="0.25">
      <c r="A8520" t="str">
        <f>"1114920766"</f>
        <v>1114920766</v>
      </c>
      <c r="B8520" t="str">
        <f>"01990041"</f>
        <v>01990041</v>
      </c>
      <c r="C8520" t="s">
        <v>13436</v>
      </c>
      <c r="D8520" t="s">
        <v>36738</v>
      </c>
      <c r="E8520" t="s">
        <v>36739</v>
      </c>
      <c r="L8520" t="s">
        <v>83</v>
      </c>
      <c r="M8520" t="s">
        <v>85</v>
      </c>
      <c r="R8520" t="s">
        <v>36740</v>
      </c>
      <c r="W8520" t="s">
        <v>36739</v>
      </c>
      <c r="X8520" t="s">
        <v>36741</v>
      </c>
      <c r="Y8520" t="s">
        <v>2182</v>
      </c>
      <c r="Z8520" t="s">
        <v>77</v>
      </c>
      <c r="AA8520" t="str">
        <f>"10567-4146"</f>
        <v>10567-4146</v>
      </c>
      <c r="AB8520" t="s">
        <v>78</v>
      </c>
      <c r="AC8520" t="s">
        <v>79</v>
      </c>
      <c r="AD8520" t="s">
        <v>75</v>
      </c>
      <c r="AE8520" t="s">
        <v>80</v>
      </c>
      <c r="AG8520" t="s">
        <v>81</v>
      </c>
    </row>
    <row r="8521" spans="1:33" x14ac:dyDescent="0.25">
      <c r="A8521" t="str">
        <f>"1265777890"</f>
        <v>1265777890</v>
      </c>
      <c r="B8521" t="str">
        <f>"03714578"</f>
        <v>03714578</v>
      </c>
      <c r="C8521" t="s">
        <v>13436</v>
      </c>
      <c r="D8521" t="s">
        <v>36742</v>
      </c>
      <c r="E8521" t="s">
        <v>36743</v>
      </c>
      <c r="G8521" t="s">
        <v>36744</v>
      </c>
      <c r="L8521" t="s">
        <v>102</v>
      </c>
      <c r="M8521" t="s">
        <v>75</v>
      </c>
      <c r="R8521" t="s">
        <v>36745</v>
      </c>
      <c r="W8521" t="s">
        <v>36743</v>
      </c>
      <c r="X8521" t="s">
        <v>329</v>
      </c>
      <c r="Y8521" t="s">
        <v>97</v>
      </c>
      <c r="Z8521" t="s">
        <v>77</v>
      </c>
      <c r="AA8521" t="str">
        <f>"10029-6504"</f>
        <v>10029-6504</v>
      </c>
      <c r="AB8521" t="s">
        <v>78</v>
      </c>
      <c r="AC8521" t="s">
        <v>79</v>
      </c>
      <c r="AD8521" t="s">
        <v>75</v>
      </c>
      <c r="AE8521" t="s">
        <v>80</v>
      </c>
      <c r="AG8521" t="s">
        <v>81</v>
      </c>
    </row>
    <row r="8522" spans="1:33" x14ac:dyDescent="0.25">
      <c r="A8522" t="str">
        <f>"1265780233"</f>
        <v>1265780233</v>
      </c>
      <c r="B8522" t="str">
        <f>"03518701"</f>
        <v>03518701</v>
      </c>
      <c r="C8522" t="s">
        <v>13436</v>
      </c>
      <c r="D8522" t="s">
        <v>36746</v>
      </c>
      <c r="E8522" t="s">
        <v>36747</v>
      </c>
      <c r="L8522" t="s">
        <v>102</v>
      </c>
      <c r="M8522" t="s">
        <v>75</v>
      </c>
      <c r="R8522" t="s">
        <v>36748</v>
      </c>
      <c r="W8522" t="s">
        <v>36747</v>
      </c>
      <c r="X8522" t="s">
        <v>193</v>
      </c>
      <c r="Y8522" t="s">
        <v>171</v>
      </c>
      <c r="Z8522" t="s">
        <v>77</v>
      </c>
      <c r="AA8522" t="str">
        <f>"11418-2832"</f>
        <v>11418-2832</v>
      </c>
      <c r="AB8522" t="s">
        <v>78</v>
      </c>
      <c r="AC8522" t="s">
        <v>79</v>
      </c>
      <c r="AD8522" t="s">
        <v>75</v>
      </c>
      <c r="AE8522" t="s">
        <v>80</v>
      </c>
      <c r="AG8522" t="s">
        <v>81</v>
      </c>
    </row>
    <row r="8523" spans="1:33" x14ac:dyDescent="0.25">
      <c r="A8523" t="str">
        <f>"1205095064"</f>
        <v>1205095064</v>
      </c>
      <c r="B8523" t="str">
        <f>"03584136"</f>
        <v>03584136</v>
      </c>
      <c r="C8523" t="s">
        <v>13436</v>
      </c>
      <c r="D8523" t="s">
        <v>36749</v>
      </c>
      <c r="E8523" t="s">
        <v>36750</v>
      </c>
      <c r="G8523" t="s">
        <v>36751</v>
      </c>
      <c r="L8523" t="s">
        <v>74</v>
      </c>
      <c r="M8523" t="s">
        <v>85</v>
      </c>
      <c r="R8523" t="s">
        <v>36752</v>
      </c>
      <c r="W8523" t="s">
        <v>36750</v>
      </c>
      <c r="X8523" t="s">
        <v>329</v>
      </c>
      <c r="Y8523" t="s">
        <v>97</v>
      </c>
      <c r="Z8523" t="s">
        <v>77</v>
      </c>
      <c r="AA8523" t="str">
        <f>"10029-6504"</f>
        <v>10029-6504</v>
      </c>
      <c r="AB8523" t="s">
        <v>78</v>
      </c>
      <c r="AC8523" t="s">
        <v>79</v>
      </c>
      <c r="AD8523" t="s">
        <v>75</v>
      </c>
      <c r="AE8523" t="s">
        <v>80</v>
      </c>
      <c r="AG8523" t="s">
        <v>81</v>
      </c>
    </row>
    <row r="8524" spans="1:33" x14ac:dyDescent="0.25">
      <c r="A8524" t="str">
        <f>"1205097581"</f>
        <v>1205097581</v>
      </c>
      <c r="C8524" t="s">
        <v>13436</v>
      </c>
      <c r="K8524" t="s">
        <v>99</v>
      </c>
      <c r="L8524" t="s">
        <v>102</v>
      </c>
      <c r="M8524" t="s">
        <v>75</v>
      </c>
      <c r="R8524" t="s">
        <v>36753</v>
      </c>
      <c r="S8524" t="s">
        <v>36754</v>
      </c>
      <c r="T8524" t="s">
        <v>36755</v>
      </c>
      <c r="U8524" t="s">
        <v>156</v>
      </c>
      <c r="V8524" t="str">
        <f>"077406303"</f>
        <v>077406303</v>
      </c>
      <c r="AC8524" t="s">
        <v>79</v>
      </c>
      <c r="AD8524" t="s">
        <v>75</v>
      </c>
      <c r="AE8524" t="s">
        <v>103</v>
      </c>
      <c r="AG8524" t="s">
        <v>81</v>
      </c>
    </row>
    <row r="8525" spans="1:33" x14ac:dyDescent="0.25">
      <c r="A8525" t="str">
        <f>"1356324743"</f>
        <v>1356324743</v>
      </c>
      <c r="B8525" t="str">
        <f>"00978285"</f>
        <v>00978285</v>
      </c>
      <c r="C8525" t="s">
        <v>13436</v>
      </c>
      <c r="D8525" t="s">
        <v>36756</v>
      </c>
      <c r="E8525" t="s">
        <v>36757</v>
      </c>
      <c r="G8525" t="s">
        <v>36758</v>
      </c>
      <c r="L8525" t="s">
        <v>83</v>
      </c>
      <c r="M8525" t="s">
        <v>85</v>
      </c>
      <c r="R8525" t="s">
        <v>36759</v>
      </c>
      <c r="W8525" t="s">
        <v>36760</v>
      </c>
      <c r="X8525" t="s">
        <v>2586</v>
      </c>
      <c r="Y8525" t="s">
        <v>131</v>
      </c>
      <c r="Z8525" t="s">
        <v>77</v>
      </c>
      <c r="AA8525" t="str">
        <f>"10467-2490"</f>
        <v>10467-2490</v>
      </c>
      <c r="AB8525" t="s">
        <v>78</v>
      </c>
      <c r="AC8525" t="s">
        <v>79</v>
      </c>
      <c r="AD8525" t="s">
        <v>75</v>
      </c>
      <c r="AE8525" t="s">
        <v>80</v>
      </c>
      <c r="AG8525" t="s">
        <v>81</v>
      </c>
    </row>
    <row r="8526" spans="1:33" x14ac:dyDescent="0.25">
      <c r="A8526" t="str">
        <f>"1578815957"</f>
        <v>1578815957</v>
      </c>
      <c r="C8526" t="s">
        <v>13436</v>
      </c>
      <c r="G8526" t="s">
        <v>36761</v>
      </c>
      <c r="K8526" t="s">
        <v>99</v>
      </c>
      <c r="L8526" t="s">
        <v>102</v>
      </c>
      <c r="M8526" t="s">
        <v>75</v>
      </c>
      <c r="R8526" t="s">
        <v>36762</v>
      </c>
      <c r="S8526" t="s">
        <v>36763</v>
      </c>
      <c r="T8526" t="s">
        <v>4861</v>
      </c>
      <c r="U8526" t="s">
        <v>156</v>
      </c>
      <c r="V8526" t="str">
        <f>"076312432"</f>
        <v>076312432</v>
      </c>
      <c r="AC8526" t="s">
        <v>79</v>
      </c>
      <c r="AD8526" t="s">
        <v>75</v>
      </c>
      <c r="AE8526" t="s">
        <v>103</v>
      </c>
      <c r="AG8526" t="s">
        <v>81</v>
      </c>
    </row>
    <row r="8527" spans="1:33" x14ac:dyDescent="0.25">
      <c r="A8527" t="str">
        <f>"1578820361"</f>
        <v>1578820361</v>
      </c>
      <c r="B8527" t="str">
        <f>"04637927"</f>
        <v>04637927</v>
      </c>
      <c r="C8527" t="s">
        <v>13436</v>
      </c>
      <c r="D8527" t="s">
        <v>36764</v>
      </c>
      <c r="E8527" t="s">
        <v>36765</v>
      </c>
      <c r="L8527" t="s">
        <v>74</v>
      </c>
      <c r="M8527" t="s">
        <v>75</v>
      </c>
      <c r="R8527" t="s">
        <v>36766</v>
      </c>
      <c r="W8527" t="s">
        <v>36765</v>
      </c>
      <c r="AB8527" t="s">
        <v>78</v>
      </c>
      <c r="AC8527" t="s">
        <v>79</v>
      </c>
      <c r="AD8527" t="s">
        <v>75</v>
      </c>
      <c r="AE8527" t="s">
        <v>80</v>
      </c>
      <c r="AG8527" t="s">
        <v>81</v>
      </c>
    </row>
    <row r="8528" spans="1:33" x14ac:dyDescent="0.25">
      <c r="A8528" t="str">
        <f>"1578823860"</f>
        <v>1578823860</v>
      </c>
      <c r="B8528" t="str">
        <f>"04481581"</f>
        <v>04481581</v>
      </c>
      <c r="C8528" t="s">
        <v>13436</v>
      </c>
      <c r="D8528" t="s">
        <v>36767</v>
      </c>
      <c r="E8528" t="s">
        <v>36768</v>
      </c>
      <c r="L8528" t="s">
        <v>102</v>
      </c>
      <c r="M8528" t="s">
        <v>75</v>
      </c>
      <c r="R8528" t="s">
        <v>36769</v>
      </c>
      <c r="W8528" t="s">
        <v>36768</v>
      </c>
      <c r="AB8528" t="s">
        <v>78</v>
      </c>
      <c r="AC8528" t="s">
        <v>79</v>
      </c>
      <c r="AD8528" t="s">
        <v>75</v>
      </c>
      <c r="AE8528" t="s">
        <v>80</v>
      </c>
      <c r="AG8528" t="s">
        <v>81</v>
      </c>
    </row>
    <row r="8529" spans="1:33" x14ac:dyDescent="0.25">
      <c r="A8529" t="str">
        <f>"1578829248"</f>
        <v>1578829248</v>
      </c>
      <c r="C8529" t="s">
        <v>13436</v>
      </c>
      <c r="K8529" t="s">
        <v>99</v>
      </c>
      <c r="L8529" t="s">
        <v>102</v>
      </c>
      <c r="M8529" t="s">
        <v>75</v>
      </c>
      <c r="R8529" t="s">
        <v>36770</v>
      </c>
      <c r="S8529" t="s">
        <v>36771</v>
      </c>
      <c r="T8529" t="s">
        <v>5256</v>
      </c>
      <c r="U8529" t="s">
        <v>156</v>
      </c>
      <c r="V8529" t="str">
        <f>"080343908"</f>
        <v>080343908</v>
      </c>
      <c r="AC8529" t="s">
        <v>79</v>
      </c>
      <c r="AD8529" t="s">
        <v>75</v>
      </c>
      <c r="AE8529" t="s">
        <v>103</v>
      </c>
      <c r="AG8529" t="s">
        <v>81</v>
      </c>
    </row>
    <row r="8530" spans="1:33" x14ac:dyDescent="0.25">
      <c r="A8530" t="str">
        <f>"1578838652"</f>
        <v>1578838652</v>
      </c>
      <c r="C8530" t="s">
        <v>13436</v>
      </c>
      <c r="K8530" t="s">
        <v>99</v>
      </c>
      <c r="L8530" t="s">
        <v>102</v>
      </c>
      <c r="M8530" t="s">
        <v>75</v>
      </c>
      <c r="R8530" t="s">
        <v>36772</v>
      </c>
      <c r="S8530" t="s">
        <v>34831</v>
      </c>
      <c r="T8530" t="s">
        <v>1783</v>
      </c>
      <c r="U8530" t="s">
        <v>1784</v>
      </c>
      <c r="V8530" t="str">
        <f>"191044238"</f>
        <v>191044238</v>
      </c>
      <c r="AC8530" t="s">
        <v>79</v>
      </c>
      <c r="AD8530" t="s">
        <v>75</v>
      </c>
      <c r="AE8530" t="s">
        <v>103</v>
      </c>
      <c r="AG8530" t="s">
        <v>81</v>
      </c>
    </row>
    <row r="8531" spans="1:33" x14ac:dyDescent="0.25">
      <c r="A8531" t="str">
        <f>"1578839098"</f>
        <v>1578839098</v>
      </c>
      <c r="B8531" t="str">
        <f>"04018324"</f>
        <v>04018324</v>
      </c>
      <c r="C8531" t="s">
        <v>13436</v>
      </c>
      <c r="D8531" t="s">
        <v>36773</v>
      </c>
      <c r="E8531" t="s">
        <v>36774</v>
      </c>
      <c r="L8531" t="s">
        <v>102</v>
      </c>
      <c r="M8531" t="s">
        <v>75</v>
      </c>
      <c r="R8531" t="s">
        <v>36775</v>
      </c>
      <c r="W8531" t="s">
        <v>36774</v>
      </c>
      <c r="X8531" t="s">
        <v>3553</v>
      </c>
      <c r="Y8531" t="s">
        <v>97</v>
      </c>
      <c r="Z8531" t="s">
        <v>77</v>
      </c>
      <c r="AA8531" t="str">
        <f>"10003-3851"</f>
        <v>10003-3851</v>
      </c>
      <c r="AB8531" t="s">
        <v>78</v>
      </c>
      <c r="AC8531" t="s">
        <v>79</v>
      </c>
      <c r="AD8531" t="s">
        <v>75</v>
      </c>
      <c r="AE8531" t="s">
        <v>80</v>
      </c>
      <c r="AG8531" t="s">
        <v>81</v>
      </c>
    </row>
    <row r="8532" spans="1:33" x14ac:dyDescent="0.25">
      <c r="A8532" t="str">
        <f>"1235408600"</f>
        <v>1235408600</v>
      </c>
      <c r="B8532" t="str">
        <f>"03748689"</f>
        <v>03748689</v>
      </c>
      <c r="C8532" t="s">
        <v>13436</v>
      </c>
      <c r="D8532" t="s">
        <v>36776</v>
      </c>
      <c r="E8532" t="s">
        <v>36777</v>
      </c>
      <c r="G8532" t="s">
        <v>36778</v>
      </c>
      <c r="L8532" t="s">
        <v>74</v>
      </c>
      <c r="M8532" t="s">
        <v>75</v>
      </c>
      <c r="R8532" t="s">
        <v>36777</v>
      </c>
      <c r="W8532" t="s">
        <v>36777</v>
      </c>
      <c r="X8532" t="s">
        <v>329</v>
      </c>
      <c r="Y8532" t="s">
        <v>97</v>
      </c>
      <c r="Z8532" t="s">
        <v>77</v>
      </c>
      <c r="AA8532" t="str">
        <f>"10029-6504"</f>
        <v>10029-6504</v>
      </c>
      <c r="AB8532" t="s">
        <v>78</v>
      </c>
      <c r="AC8532" t="s">
        <v>79</v>
      </c>
      <c r="AD8532" t="s">
        <v>75</v>
      </c>
      <c r="AE8532" t="s">
        <v>80</v>
      </c>
      <c r="AG8532" t="s">
        <v>81</v>
      </c>
    </row>
    <row r="8533" spans="1:33" x14ac:dyDescent="0.25">
      <c r="A8533" t="str">
        <f>"1427323823"</f>
        <v>1427323823</v>
      </c>
      <c r="B8533" t="str">
        <f>"04193091"</f>
        <v>04193091</v>
      </c>
      <c r="C8533" t="s">
        <v>13436</v>
      </c>
      <c r="D8533" t="s">
        <v>36779</v>
      </c>
      <c r="E8533" t="s">
        <v>36780</v>
      </c>
      <c r="L8533" t="s">
        <v>74</v>
      </c>
      <c r="M8533" t="s">
        <v>75</v>
      </c>
      <c r="R8533" t="s">
        <v>36781</v>
      </c>
      <c r="W8533" t="s">
        <v>36780</v>
      </c>
      <c r="X8533" t="s">
        <v>35483</v>
      </c>
      <c r="Y8533" t="s">
        <v>161</v>
      </c>
      <c r="Z8533" t="s">
        <v>77</v>
      </c>
      <c r="AA8533" t="str">
        <f>"11042-1118"</f>
        <v>11042-1118</v>
      </c>
      <c r="AB8533" t="s">
        <v>78</v>
      </c>
      <c r="AC8533" t="s">
        <v>79</v>
      </c>
      <c r="AD8533" t="s">
        <v>75</v>
      </c>
      <c r="AE8533" t="s">
        <v>80</v>
      </c>
      <c r="AG8533" t="s">
        <v>81</v>
      </c>
    </row>
    <row r="8534" spans="1:33" x14ac:dyDescent="0.25">
      <c r="A8534" t="str">
        <f>"1730522533"</f>
        <v>1730522533</v>
      </c>
      <c r="C8534" t="s">
        <v>13436</v>
      </c>
      <c r="K8534" t="s">
        <v>99</v>
      </c>
      <c r="L8534" t="s">
        <v>102</v>
      </c>
      <c r="M8534" t="s">
        <v>75</v>
      </c>
      <c r="R8534" t="s">
        <v>36782</v>
      </c>
      <c r="S8534" t="s">
        <v>36783</v>
      </c>
      <c r="T8534" t="s">
        <v>190</v>
      </c>
      <c r="U8534" t="s">
        <v>77</v>
      </c>
      <c r="V8534" t="str">
        <f>"111015457"</f>
        <v>111015457</v>
      </c>
      <c r="AC8534" t="s">
        <v>79</v>
      </c>
      <c r="AD8534" t="s">
        <v>75</v>
      </c>
      <c r="AE8534" t="s">
        <v>103</v>
      </c>
      <c r="AG8534" t="s">
        <v>81</v>
      </c>
    </row>
    <row r="8535" spans="1:33" x14ac:dyDescent="0.25">
      <c r="A8535" t="str">
        <f>"1730523077"</f>
        <v>1730523077</v>
      </c>
      <c r="C8535" t="s">
        <v>13436</v>
      </c>
      <c r="K8535" t="s">
        <v>99</v>
      </c>
      <c r="L8535" t="s">
        <v>102</v>
      </c>
      <c r="M8535" t="s">
        <v>75</v>
      </c>
      <c r="R8535" t="s">
        <v>36784</v>
      </c>
      <c r="S8535" t="s">
        <v>32123</v>
      </c>
      <c r="T8535" t="s">
        <v>97</v>
      </c>
      <c r="U8535" t="s">
        <v>77</v>
      </c>
      <c r="V8535" t="str">
        <f>"100191147"</f>
        <v>100191147</v>
      </c>
      <c r="AC8535" t="s">
        <v>79</v>
      </c>
      <c r="AD8535" t="s">
        <v>75</v>
      </c>
      <c r="AE8535" t="s">
        <v>103</v>
      </c>
      <c r="AG8535" t="s">
        <v>81</v>
      </c>
    </row>
    <row r="8536" spans="1:33" x14ac:dyDescent="0.25">
      <c r="A8536" t="str">
        <f>"1740200021"</f>
        <v>1740200021</v>
      </c>
      <c r="B8536" t="str">
        <f>"02423476"</f>
        <v>02423476</v>
      </c>
      <c r="C8536" t="s">
        <v>13436</v>
      </c>
      <c r="D8536" t="s">
        <v>36785</v>
      </c>
      <c r="E8536" t="s">
        <v>36786</v>
      </c>
      <c r="G8536" t="s">
        <v>36787</v>
      </c>
      <c r="L8536" t="s">
        <v>83</v>
      </c>
      <c r="M8536" t="s">
        <v>85</v>
      </c>
      <c r="R8536" t="s">
        <v>36788</v>
      </c>
      <c r="W8536" t="s">
        <v>36786</v>
      </c>
      <c r="X8536" t="s">
        <v>5753</v>
      </c>
      <c r="Y8536" t="s">
        <v>419</v>
      </c>
      <c r="Z8536" t="s">
        <v>77</v>
      </c>
      <c r="AA8536" t="str">
        <f>"10522-1924"</f>
        <v>10522-1924</v>
      </c>
      <c r="AB8536" t="s">
        <v>78</v>
      </c>
      <c r="AC8536" t="s">
        <v>79</v>
      </c>
      <c r="AD8536" t="s">
        <v>75</v>
      </c>
      <c r="AE8536" t="s">
        <v>80</v>
      </c>
      <c r="AG8536" t="s">
        <v>81</v>
      </c>
    </row>
    <row r="8537" spans="1:33" x14ac:dyDescent="0.25">
      <c r="A8537" t="str">
        <f>"1952628422"</f>
        <v>1952628422</v>
      </c>
      <c r="B8537" t="str">
        <f>"03732496"</f>
        <v>03732496</v>
      </c>
      <c r="C8537" t="s">
        <v>13436</v>
      </c>
      <c r="D8537" t="s">
        <v>36789</v>
      </c>
      <c r="E8537" t="s">
        <v>36790</v>
      </c>
      <c r="L8537" t="s">
        <v>84</v>
      </c>
      <c r="M8537" t="s">
        <v>85</v>
      </c>
      <c r="R8537" t="s">
        <v>36791</v>
      </c>
      <c r="W8537" t="s">
        <v>36790</v>
      </c>
      <c r="X8537" t="s">
        <v>36792</v>
      </c>
      <c r="Y8537" t="s">
        <v>131</v>
      </c>
      <c r="Z8537" t="s">
        <v>77</v>
      </c>
      <c r="AA8537" t="str">
        <f>"10452-7929"</f>
        <v>10452-7929</v>
      </c>
      <c r="AB8537" t="s">
        <v>78</v>
      </c>
      <c r="AC8537" t="s">
        <v>79</v>
      </c>
      <c r="AD8537" t="s">
        <v>75</v>
      </c>
      <c r="AE8537" t="s">
        <v>80</v>
      </c>
      <c r="AG8537" t="s">
        <v>81</v>
      </c>
    </row>
    <row r="8538" spans="1:33" x14ac:dyDescent="0.25">
      <c r="A8538" t="str">
        <f>"1558430835"</f>
        <v>1558430835</v>
      </c>
      <c r="B8538" t="str">
        <f>"01105628"</f>
        <v>01105628</v>
      </c>
      <c r="C8538" t="s">
        <v>13436</v>
      </c>
      <c r="D8538" t="s">
        <v>36793</v>
      </c>
      <c r="E8538" t="s">
        <v>36794</v>
      </c>
      <c r="G8538" t="s">
        <v>36795</v>
      </c>
      <c r="L8538" t="s">
        <v>83</v>
      </c>
      <c r="M8538" t="s">
        <v>75</v>
      </c>
      <c r="R8538" t="s">
        <v>36796</v>
      </c>
      <c r="W8538" t="s">
        <v>36794</v>
      </c>
      <c r="X8538" t="s">
        <v>187</v>
      </c>
      <c r="Y8538" t="s">
        <v>161</v>
      </c>
      <c r="Z8538" t="s">
        <v>77</v>
      </c>
      <c r="AA8538" t="str">
        <f>"11040-1402"</f>
        <v>11040-1402</v>
      </c>
      <c r="AB8538" t="s">
        <v>78</v>
      </c>
      <c r="AC8538" t="s">
        <v>79</v>
      </c>
      <c r="AD8538" t="s">
        <v>75</v>
      </c>
      <c r="AE8538" t="s">
        <v>80</v>
      </c>
      <c r="AG8538" t="s">
        <v>81</v>
      </c>
    </row>
    <row r="8539" spans="1:33" x14ac:dyDescent="0.25">
      <c r="A8539" t="str">
        <f>"1215338546"</f>
        <v>1215338546</v>
      </c>
      <c r="B8539" t="str">
        <f>"04064146"</f>
        <v>04064146</v>
      </c>
      <c r="C8539" t="s">
        <v>13436</v>
      </c>
      <c r="D8539" t="s">
        <v>36797</v>
      </c>
      <c r="E8539" t="s">
        <v>36798</v>
      </c>
      <c r="G8539" t="s">
        <v>36799</v>
      </c>
      <c r="L8539" t="s">
        <v>74</v>
      </c>
      <c r="M8539" t="s">
        <v>75</v>
      </c>
      <c r="R8539" t="s">
        <v>36800</v>
      </c>
      <c r="W8539" t="s">
        <v>36798</v>
      </c>
      <c r="X8539" t="s">
        <v>200</v>
      </c>
      <c r="Y8539" t="s">
        <v>97</v>
      </c>
      <c r="Z8539" t="s">
        <v>77</v>
      </c>
      <c r="AA8539" t="str">
        <f>"10032-3720"</f>
        <v>10032-3720</v>
      </c>
      <c r="AB8539" t="s">
        <v>78</v>
      </c>
      <c r="AC8539" t="s">
        <v>79</v>
      </c>
      <c r="AD8539" t="s">
        <v>75</v>
      </c>
      <c r="AE8539" t="s">
        <v>80</v>
      </c>
      <c r="AG8539" t="s">
        <v>81</v>
      </c>
    </row>
    <row r="8540" spans="1:33" x14ac:dyDescent="0.25">
      <c r="A8540" t="str">
        <f>"1205263548"</f>
        <v>1205263548</v>
      </c>
      <c r="C8540" t="s">
        <v>13436</v>
      </c>
      <c r="G8540" t="s">
        <v>36801</v>
      </c>
      <c r="K8540" t="s">
        <v>99</v>
      </c>
      <c r="L8540" t="s">
        <v>102</v>
      </c>
      <c r="M8540" t="s">
        <v>75</v>
      </c>
      <c r="R8540" t="s">
        <v>36802</v>
      </c>
      <c r="S8540" t="s">
        <v>36803</v>
      </c>
      <c r="T8540" t="s">
        <v>87</v>
      </c>
      <c r="U8540" t="s">
        <v>77</v>
      </c>
      <c r="V8540" t="str">
        <f>"11201"</f>
        <v>11201</v>
      </c>
      <c r="AC8540" t="s">
        <v>79</v>
      </c>
      <c r="AD8540" t="s">
        <v>75</v>
      </c>
      <c r="AE8540" t="s">
        <v>103</v>
      </c>
      <c r="AG8540" t="s">
        <v>81</v>
      </c>
    </row>
    <row r="8541" spans="1:33" x14ac:dyDescent="0.25">
      <c r="A8541" t="str">
        <f>"1740606920"</f>
        <v>1740606920</v>
      </c>
      <c r="C8541" t="s">
        <v>13436</v>
      </c>
      <c r="G8541" t="s">
        <v>36804</v>
      </c>
      <c r="K8541" t="s">
        <v>99</v>
      </c>
      <c r="L8541" t="s">
        <v>74</v>
      </c>
      <c r="M8541" t="s">
        <v>75</v>
      </c>
      <c r="R8541" t="s">
        <v>36805</v>
      </c>
      <c r="S8541" t="s">
        <v>329</v>
      </c>
      <c r="T8541" t="s">
        <v>97</v>
      </c>
      <c r="U8541" t="s">
        <v>77</v>
      </c>
      <c r="V8541" t="str">
        <f>"100296504"</f>
        <v>100296504</v>
      </c>
      <c r="AC8541" t="s">
        <v>79</v>
      </c>
      <c r="AD8541" t="s">
        <v>75</v>
      </c>
      <c r="AE8541" t="s">
        <v>103</v>
      </c>
      <c r="AG8541" t="s">
        <v>81</v>
      </c>
    </row>
    <row r="8542" spans="1:33" x14ac:dyDescent="0.25">
      <c r="A8542" t="str">
        <f>"1740607068"</f>
        <v>1740607068</v>
      </c>
      <c r="C8542" t="s">
        <v>13436</v>
      </c>
      <c r="K8542" t="s">
        <v>99</v>
      </c>
      <c r="L8542" t="s">
        <v>102</v>
      </c>
      <c r="M8542" t="s">
        <v>75</v>
      </c>
      <c r="R8542" t="s">
        <v>36806</v>
      </c>
      <c r="S8542" t="s">
        <v>36807</v>
      </c>
      <c r="T8542" t="s">
        <v>97</v>
      </c>
      <c r="U8542" t="s">
        <v>77</v>
      </c>
      <c r="V8542" t="str">
        <f>"100033821"</f>
        <v>100033821</v>
      </c>
      <c r="AC8542" t="s">
        <v>79</v>
      </c>
      <c r="AD8542" t="s">
        <v>75</v>
      </c>
      <c r="AE8542" t="s">
        <v>103</v>
      </c>
      <c r="AG8542" t="s">
        <v>81</v>
      </c>
    </row>
    <row r="8543" spans="1:33" x14ac:dyDescent="0.25">
      <c r="A8543" t="str">
        <f>"1740608199"</f>
        <v>1740608199</v>
      </c>
      <c r="C8543" t="s">
        <v>13436</v>
      </c>
      <c r="K8543" t="s">
        <v>99</v>
      </c>
      <c r="L8543" t="s">
        <v>102</v>
      </c>
      <c r="M8543" t="s">
        <v>75</v>
      </c>
      <c r="R8543" t="s">
        <v>36808</v>
      </c>
      <c r="S8543" t="s">
        <v>36809</v>
      </c>
      <c r="T8543" t="s">
        <v>97</v>
      </c>
      <c r="U8543" t="s">
        <v>77</v>
      </c>
      <c r="V8543" t="str">
        <f>"100191047"</f>
        <v>100191047</v>
      </c>
      <c r="AC8543" t="s">
        <v>79</v>
      </c>
      <c r="AD8543" t="s">
        <v>75</v>
      </c>
      <c r="AE8543" t="s">
        <v>103</v>
      </c>
      <c r="AG8543" t="s">
        <v>81</v>
      </c>
    </row>
    <row r="8544" spans="1:33" x14ac:dyDescent="0.25">
      <c r="A8544" t="str">
        <f>"1740613603"</f>
        <v>1740613603</v>
      </c>
      <c r="C8544" t="s">
        <v>13436</v>
      </c>
      <c r="K8544" t="s">
        <v>99</v>
      </c>
      <c r="L8544" t="s">
        <v>102</v>
      </c>
      <c r="M8544" t="s">
        <v>75</v>
      </c>
      <c r="R8544" t="s">
        <v>36810</v>
      </c>
      <c r="S8544" t="s">
        <v>191</v>
      </c>
      <c r="T8544" t="s">
        <v>97</v>
      </c>
      <c r="U8544" t="s">
        <v>77</v>
      </c>
      <c r="V8544" t="str">
        <f>"100191147"</f>
        <v>100191147</v>
      </c>
      <c r="AC8544" t="s">
        <v>79</v>
      </c>
      <c r="AD8544" t="s">
        <v>75</v>
      </c>
      <c r="AE8544" t="s">
        <v>103</v>
      </c>
      <c r="AG8544" t="s">
        <v>81</v>
      </c>
    </row>
    <row r="8545" spans="1:33" x14ac:dyDescent="0.25">
      <c r="A8545" t="str">
        <f>"1740616408"</f>
        <v>1740616408</v>
      </c>
      <c r="B8545" t="str">
        <f>"03797266"</f>
        <v>03797266</v>
      </c>
      <c r="C8545" t="s">
        <v>13436</v>
      </c>
      <c r="D8545" t="s">
        <v>36811</v>
      </c>
      <c r="E8545" t="s">
        <v>36812</v>
      </c>
      <c r="G8545" t="s">
        <v>36813</v>
      </c>
      <c r="L8545" t="s">
        <v>102</v>
      </c>
      <c r="M8545" t="s">
        <v>75</v>
      </c>
      <c r="R8545" t="s">
        <v>36814</v>
      </c>
      <c r="W8545" t="s">
        <v>36812</v>
      </c>
      <c r="X8545" t="s">
        <v>329</v>
      </c>
      <c r="Y8545" t="s">
        <v>97</v>
      </c>
      <c r="Z8545" t="s">
        <v>77</v>
      </c>
      <c r="AA8545" t="str">
        <f>"10029-6504"</f>
        <v>10029-6504</v>
      </c>
      <c r="AB8545" t="s">
        <v>78</v>
      </c>
      <c r="AC8545" t="s">
        <v>79</v>
      </c>
      <c r="AD8545" t="s">
        <v>75</v>
      </c>
      <c r="AE8545" t="s">
        <v>80</v>
      </c>
      <c r="AG8545" t="s">
        <v>81</v>
      </c>
    </row>
    <row r="8546" spans="1:33" x14ac:dyDescent="0.25">
      <c r="A8546" t="str">
        <f>"1740625656"</f>
        <v>1740625656</v>
      </c>
      <c r="B8546" t="str">
        <f>"04388074"</f>
        <v>04388074</v>
      </c>
      <c r="C8546" t="s">
        <v>13436</v>
      </c>
      <c r="D8546" t="s">
        <v>36815</v>
      </c>
      <c r="E8546" t="s">
        <v>36816</v>
      </c>
      <c r="L8546" t="s">
        <v>74</v>
      </c>
      <c r="M8546" t="s">
        <v>75</v>
      </c>
      <c r="R8546" t="s">
        <v>36816</v>
      </c>
      <c r="W8546" t="s">
        <v>36816</v>
      </c>
      <c r="X8546" t="s">
        <v>11436</v>
      </c>
      <c r="Y8546" t="s">
        <v>97</v>
      </c>
      <c r="Z8546" t="s">
        <v>77</v>
      </c>
      <c r="AA8546" t="str">
        <f>"10029-6503"</f>
        <v>10029-6503</v>
      </c>
      <c r="AB8546" t="s">
        <v>78</v>
      </c>
      <c r="AC8546" t="s">
        <v>79</v>
      </c>
      <c r="AD8546" t="s">
        <v>75</v>
      </c>
      <c r="AE8546" t="s">
        <v>80</v>
      </c>
      <c r="AG8546" t="s">
        <v>81</v>
      </c>
    </row>
    <row r="8547" spans="1:33" x14ac:dyDescent="0.25">
      <c r="A8547" t="str">
        <f>"1740629559"</f>
        <v>1740629559</v>
      </c>
      <c r="C8547" t="s">
        <v>13436</v>
      </c>
      <c r="K8547" t="s">
        <v>99</v>
      </c>
      <c r="L8547" t="s">
        <v>102</v>
      </c>
      <c r="M8547" t="s">
        <v>75</v>
      </c>
      <c r="R8547" t="s">
        <v>36817</v>
      </c>
      <c r="S8547" t="s">
        <v>1714</v>
      </c>
      <c r="T8547" t="s">
        <v>316</v>
      </c>
      <c r="U8547" t="s">
        <v>77</v>
      </c>
      <c r="V8547" t="str">
        <f>"108015502"</f>
        <v>108015502</v>
      </c>
      <c r="AC8547" t="s">
        <v>79</v>
      </c>
      <c r="AD8547" t="s">
        <v>75</v>
      </c>
      <c r="AE8547" t="s">
        <v>103</v>
      </c>
      <c r="AG8547" t="s">
        <v>81</v>
      </c>
    </row>
    <row r="8548" spans="1:33" x14ac:dyDescent="0.25">
      <c r="A8548" t="str">
        <f>"1184862179"</f>
        <v>1184862179</v>
      </c>
      <c r="B8548" t="str">
        <f>"02391880"</f>
        <v>02391880</v>
      </c>
      <c r="C8548" t="s">
        <v>36818</v>
      </c>
      <c r="D8548" t="s">
        <v>5523</v>
      </c>
      <c r="E8548" t="s">
        <v>5524</v>
      </c>
      <c r="G8548" t="s">
        <v>35048</v>
      </c>
      <c r="H8548" t="s">
        <v>35049</v>
      </c>
      <c r="J8548" t="s">
        <v>35050</v>
      </c>
      <c r="L8548" t="s">
        <v>83</v>
      </c>
      <c r="M8548" t="s">
        <v>75</v>
      </c>
      <c r="R8548" t="s">
        <v>5525</v>
      </c>
      <c r="W8548" t="s">
        <v>5524</v>
      </c>
      <c r="X8548" t="s">
        <v>5526</v>
      </c>
      <c r="Y8548" t="s">
        <v>87</v>
      </c>
      <c r="Z8548" t="s">
        <v>77</v>
      </c>
      <c r="AA8548" t="str">
        <f>"11201-3605"</f>
        <v>11201-3605</v>
      </c>
      <c r="AB8548" t="s">
        <v>78</v>
      </c>
      <c r="AC8548" t="s">
        <v>79</v>
      </c>
      <c r="AD8548" t="s">
        <v>75</v>
      </c>
      <c r="AE8548" t="s">
        <v>80</v>
      </c>
      <c r="AG8548" t="s">
        <v>81</v>
      </c>
    </row>
    <row r="8549" spans="1:33" x14ac:dyDescent="0.25">
      <c r="A8549" t="str">
        <f>"1427110725"</f>
        <v>1427110725</v>
      </c>
      <c r="B8549" t="str">
        <f>"02674495"</f>
        <v>02674495</v>
      </c>
      <c r="C8549" t="s">
        <v>36819</v>
      </c>
      <c r="D8549" t="s">
        <v>36820</v>
      </c>
      <c r="E8549" t="s">
        <v>36821</v>
      </c>
      <c r="G8549" t="s">
        <v>35048</v>
      </c>
      <c r="H8549" t="s">
        <v>35049</v>
      </c>
      <c r="J8549" t="s">
        <v>35050</v>
      </c>
      <c r="L8549" t="s">
        <v>83</v>
      </c>
      <c r="M8549" t="s">
        <v>75</v>
      </c>
      <c r="R8549" t="s">
        <v>36821</v>
      </c>
      <c r="W8549" t="s">
        <v>36822</v>
      </c>
      <c r="X8549" t="s">
        <v>272</v>
      </c>
      <c r="Y8549" t="s">
        <v>97</v>
      </c>
      <c r="Z8549" t="s">
        <v>77</v>
      </c>
      <c r="AA8549" t="str">
        <f>"10029-6501"</f>
        <v>10029-6501</v>
      </c>
      <c r="AB8549" t="s">
        <v>78</v>
      </c>
      <c r="AC8549" t="s">
        <v>79</v>
      </c>
      <c r="AD8549" t="s">
        <v>75</v>
      </c>
      <c r="AE8549" t="s">
        <v>80</v>
      </c>
      <c r="AG8549" t="s">
        <v>81</v>
      </c>
    </row>
    <row r="8550" spans="1:33" x14ac:dyDescent="0.25">
      <c r="A8550" t="str">
        <f>"1245291418"</f>
        <v>1245291418</v>
      </c>
      <c r="B8550" t="str">
        <f>"02739302"</f>
        <v>02739302</v>
      </c>
      <c r="C8550" t="s">
        <v>36823</v>
      </c>
      <c r="D8550" t="s">
        <v>1458</v>
      </c>
      <c r="E8550" t="s">
        <v>1459</v>
      </c>
      <c r="G8550" t="s">
        <v>36824</v>
      </c>
      <c r="H8550" t="s">
        <v>36825</v>
      </c>
      <c r="J8550" t="s">
        <v>36826</v>
      </c>
      <c r="L8550" t="s">
        <v>115</v>
      </c>
      <c r="M8550" t="s">
        <v>75</v>
      </c>
      <c r="R8550" t="s">
        <v>1457</v>
      </c>
      <c r="W8550" t="s">
        <v>1459</v>
      </c>
      <c r="X8550" t="s">
        <v>1460</v>
      </c>
      <c r="Y8550" t="s">
        <v>139</v>
      </c>
      <c r="Z8550" t="s">
        <v>77</v>
      </c>
      <c r="AA8550" t="str">
        <f>"11354-1096"</f>
        <v>11354-1096</v>
      </c>
      <c r="AB8550" t="s">
        <v>122</v>
      </c>
      <c r="AC8550" t="s">
        <v>79</v>
      </c>
      <c r="AD8550" t="s">
        <v>75</v>
      </c>
      <c r="AE8550" t="s">
        <v>80</v>
      </c>
      <c r="AG8550" t="s">
        <v>81</v>
      </c>
    </row>
    <row r="8551" spans="1:33" x14ac:dyDescent="0.25">
      <c r="A8551" t="str">
        <f>"1396732921"</f>
        <v>1396732921</v>
      </c>
      <c r="B8551" t="str">
        <f>"00308934"</f>
        <v>00308934</v>
      </c>
      <c r="C8551" t="s">
        <v>36827</v>
      </c>
      <c r="D8551" t="s">
        <v>1467</v>
      </c>
      <c r="E8551" t="s">
        <v>1468</v>
      </c>
      <c r="G8551" t="s">
        <v>36824</v>
      </c>
      <c r="H8551" t="s">
        <v>36828</v>
      </c>
      <c r="J8551" t="s">
        <v>36826</v>
      </c>
      <c r="L8551" t="s">
        <v>106</v>
      </c>
      <c r="M8551" t="s">
        <v>85</v>
      </c>
      <c r="R8551" t="s">
        <v>1466</v>
      </c>
      <c r="W8551" t="s">
        <v>1468</v>
      </c>
      <c r="X8551" t="s">
        <v>1469</v>
      </c>
      <c r="Y8551" t="s">
        <v>152</v>
      </c>
      <c r="Z8551" t="s">
        <v>77</v>
      </c>
      <c r="AA8551" t="str">
        <f>"11375-4844"</f>
        <v>11375-4844</v>
      </c>
      <c r="AB8551" t="s">
        <v>107</v>
      </c>
      <c r="AC8551" t="s">
        <v>79</v>
      </c>
      <c r="AD8551" t="s">
        <v>75</v>
      </c>
      <c r="AE8551" t="s">
        <v>80</v>
      </c>
      <c r="AG8551" t="s">
        <v>81</v>
      </c>
    </row>
    <row r="8552" spans="1:33" x14ac:dyDescent="0.25">
      <c r="A8552" t="str">
        <f>"1629065255"</f>
        <v>1629065255</v>
      </c>
      <c r="B8552" t="str">
        <f>"01854659"</f>
        <v>01854659</v>
      </c>
      <c r="C8552" t="s">
        <v>36829</v>
      </c>
      <c r="D8552" t="s">
        <v>1384</v>
      </c>
      <c r="E8552" t="s">
        <v>1385</v>
      </c>
      <c r="G8552" t="s">
        <v>36824</v>
      </c>
      <c r="H8552" t="s">
        <v>36830</v>
      </c>
      <c r="J8552" t="s">
        <v>36826</v>
      </c>
      <c r="L8552" t="s">
        <v>37</v>
      </c>
      <c r="M8552" t="s">
        <v>75</v>
      </c>
      <c r="R8552" t="s">
        <v>1386</v>
      </c>
      <c r="W8552" t="s">
        <v>1385</v>
      </c>
      <c r="X8552" t="s">
        <v>1387</v>
      </c>
      <c r="Y8552" t="s">
        <v>1388</v>
      </c>
      <c r="Z8552" t="s">
        <v>77</v>
      </c>
      <c r="AA8552" t="str">
        <f>"11096-1344"</f>
        <v>11096-1344</v>
      </c>
      <c r="AB8552" t="s">
        <v>107</v>
      </c>
      <c r="AC8552" t="s">
        <v>79</v>
      </c>
      <c r="AD8552" t="s">
        <v>75</v>
      </c>
      <c r="AE8552" t="s">
        <v>80</v>
      </c>
      <c r="AG8552" t="s">
        <v>81</v>
      </c>
    </row>
    <row r="8553" spans="1:33" x14ac:dyDescent="0.25">
      <c r="A8553" t="str">
        <f>"1982607081"</f>
        <v>1982607081</v>
      </c>
      <c r="B8553" t="str">
        <f>"01610306"</f>
        <v>01610306</v>
      </c>
      <c r="C8553" t="s">
        <v>36831</v>
      </c>
      <c r="D8553" t="s">
        <v>36832</v>
      </c>
      <c r="E8553" t="s">
        <v>36833</v>
      </c>
      <c r="G8553" t="s">
        <v>36824</v>
      </c>
      <c r="H8553" t="s">
        <v>36834</v>
      </c>
      <c r="J8553" t="s">
        <v>36826</v>
      </c>
      <c r="L8553" t="s">
        <v>83</v>
      </c>
      <c r="M8553" t="s">
        <v>75</v>
      </c>
      <c r="R8553" t="s">
        <v>36835</v>
      </c>
      <c r="W8553" t="s">
        <v>36833</v>
      </c>
      <c r="X8553" t="s">
        <v>36836</v>
      </c>
      <c r="Y8553" t="s">
        <v>160</v>
      </c>
      <c r="Z8553" t="s">
        <v>77</v>
      </c>
      <c r="AA8553" t="str">
        <f>"11030-2331"</f>
        <v>11030-2331</v>
      </c>
      <c r="AB8553" t="s">
        <v>78</v>
      </c>
      <c r="AC8553" t="s">
        <v>79</v>
      </c>
      <c r="AD8553" t="s">
        <v>75</v>
      </c>
      <c r="AE8553" t="s">
        <v>80</v>
      </c>
      <c r="AG8553" t="s">
        <v>81</v>
      </c>
    </row>
    <row r="8554" spans="1:33" x14ac:dyDescent="0.25">
      <c r="A8554" t="str">
        <f>"1295046225"</f>
        <v>1295046225</v>
      </c>
      <c r="B8554" t="str">
        <f>"03261658"</f>
        <v>03261658</v>
      </c>
      <c r="C8554" t="s">
        <v>36837</v>
      </c>
      <c r="D8554" t="s">
        <v>36838</v>
      </c>
      <c r="E8554" t="s">
        <v>36839</v>
      </c>
      <c r="G8554" t="s">
        <v>36840</v>
      </c>
      <c r="H8554" t="s">
        <v>36841</v>
      </c>
      <c r="J8554" t="s">
        <v>36842</v>
      </c>
      <c r="L8554" t="s">
        <v>10</v>
      </c>
      <c r="M8554" t="s">
        <v>85</v>
      </c>
      <c r="R8554" t="s">
        <v>36843</v>
      </c>
      <c r="W8554" t="s">
        <v>36844</v>
      </c>
      <c r="X8554" t="s">
        <v>36845</v>
      </c>
      <c r="Y8554" t="s">
        <v>97</v>
      </c>
      <c r="Z8554" t="s">
        <v>77</v>
      </c>
      <c r="AA8554" t="str">
        <f>"10009-8127"</f>
        <v>10009-8127</v>
      </c>
      <c r="AB8554" t="s">
        <v>93</v>
      </c>
      <c r="AC8554" t="s">
        <v>79</v>
      </c>
      <c r="AD8554" t="s">
        <v>75</v>
      </c>
      <c r="AE8554" t="s">
        <v>80</v>
      </c>
      <c r="AG8554" t="s">
        <v>81</v>
      </c>
    </row>
    <row r="8555" spans="1:33" x14ac:dyDescent="0.25">
      <c r="C8555" t="s">
        <v>36846</v>
      </c>
      <c r="G8555" t="s">
        <v>36840</v>
      </c>
      <c r="H8555" t="s">
        <v>36841</v>
      </c>
      <c r="J8555" t="s">
        <v>36842</v>
      </c>
      <c r="K8555" t="s">
        <v>99</v>
      </c>
      <c r="L8555" t="s">
        <v>100</v>
      </c>
      <c r="M8555" t="s">
        <v>75</v>
      </c>
      <c r="N8555" t="s">
        <v>6410</v>
      </c>
      <c r="O8555" t="s">
        <v>77</v>
      </c>
      <c r="P8555">
        <v>10002</v>
      </c>
      <c r="AC8555" t="s">
        <v>79</v>
      </c>
      <c r="AD8555" t="s">
        <v>75</v>
      </c>
      <c r="AE8555" t="s">
        <v>101</v>
      </c>
      <c r="AG8555" t="s">
        <v>81</v>
      </c>
    </row>
    <row r="8556" spans="1:33" x14ac:dyDescent="0.25">
      <c r="C8556" t="s">
        <v>36847</v>
      </c>
      <c r="G8556" t="s">
        <v>36840</v>
      </c>
      <c r="H8556" t="s">
        <v>36841</v>
      </c>
      <c r="J8556" t="s">
        <v>36842</v>
      </c>
      <c r="K8556" t="s">
        <v>99</v>
      </c>
      <c r="L8556" t="s">
        <v>100</v>
      </c>
      <c r="M8556" t="s">
        <v>75</v>
      </c>
      <c r="N8556" t="s">
        <v>6410</v>
      </c>
      <c r="O8556" t="s">
        <v>77</v>
      </c>
      <c r="P8556">
        <v>10032</v>
      </c>
      <c r="AC8556" t="s">
        <v>79</v>
      </c>
      <c r="AD8556" t="s">
        <v>75</v>
      </c>
      <c r="AE8556" t="s">
        <v>101</v>
      </c>
      <c r="AG8556" t="s">
        <v>81</v>
      </c>
    </row>
    <row r="8557" spans="1:33" x14ac:dyDescent="0.25">
      <c r="C8557" t="s">
        <v>36848</v>
      </c>
      <c r="G8557" t="s">
        <v>36840</v>
      </c>
      <c r="H8557" t="s">
        <v>36841</v>
      </c>
      <c r="J8557" t="s">
        <v>36842</v>
      </c>
      <c r="K8557" t="s">
        <v>99</v>
      </c>
      <c r="L8557" t="s">
        <v>100</v>
      </c>
      <c r="M8557" t="s">
        <v>75</v>
      </c>
      <c r="N8557" t="s">
        <v>431</v>
      </c>
      <c r="O8557" t="s">
        <v>77</v>
      </c>
      <c r="P8557">
        <v>11217</v>
      </c>
      <c r="AC8557" t="s">
        <v>79</v>
      </c>
      <c r="AD8557" t="s">
        <v>75</v>
      </c>
      <c r="AE8557" t="s">
        <v>101</v>
      </c>
      <c r="AG8557" t="s">
        <v>81</v>
      </c>
    </row>
    <row r="8558" spans="1:33" x14ac:dyDescent="0.25">
      <c r="A8558" t="str">
        <f>"1487910501"</f>
        <v>1487910501</v>
      </c>
      <c r="B8558" t="str">
        <f>"04492893"</f>
        <v>04492893</v>
      </c>
      <c r="C8558" t="s">
        <v>13436</v>
      </c>
      <c r="D8558" t="s">
        <v>36849</v>
      </c>
      <c r="E8558" t="s">
        <v>36850</v>
      </c>
      <c r="L8558" t="s">
        <v>102</v>
      </c>
      <c r="M8558" t="s">
        <v>75</v>
      </c>
      <c r="R8558" t="s">
        <v>36851</v>
      </c>
      <c r="W8558" t="s">
        <v>36852</v>
      </c>
      <c r="AB8558" t="s">
        <v>78</v>
      </c>
      <c r="AC8558" t="s">
        <v>79</v>
      </c>
      <c r="AD8558" t="s">
        <v>75</v>
      </c>
      <c r="AE8558" t="s">
        <v>80</v>
      </c>
      <c r="AG8558" t="s">
        <v>81</v>
      </c>
    </row>
    <row r="8559" spans="1:33" x14ac:dyDescent="0.25">
      <c r="A8559" t="str">
        <f>"1487911517"</f>
        <v>1487911517</v>
      </c>
      <c r="C8559" t="s">
        <v>13436</v>
      </c>
      <c r="K8559" t="s">
        <v>99</v>
      </c>
      <c r="L8559" t="s">
        <v>102</v>
      </c>
      <c r="M8559" t="s">
        <v>75</v>
      </c>
      <c r="R8559" t="s">
        <v>36853</v>
      </c>
      <c r="S8559" t="s">
        <v>12670</v>
      </c>
      <c r="T8559" t="s">
        <v>97</v>
      </c>
      <c r="U8559" t="s">
        <v>77</v>
      </c>
      <c r="V8559" t="str">
        <f>"100033821"</f>
        <v>100033821</v>
      </c>
      <c r="AC8559" t="s">
        <v>79</v>
      </c>
      <c r="AD8559" t="s">
        <v>75</v>
      </c>
      <c r="AE8559" t="s">
        <v>103</v>
      </c>
      <c r="AG8559" t="s">
        <v>81</v>
      </c>
    </row>
    <row r="8560" spans="1:33" x14ac:dyDescent="0.25">
      <c r="A8560" t="str">
        <f>"1487917530"</f>
        <v>1487917530</v>
      </c>
      <c r="C8560" t="s">
        <v>13436</v>
      </c>
      <c r="K8560" t="s">
        <v>99</v>
      </c>
      <c r="L8560" t="s">
        <v>102</v>
      </c>
      <c r="M8560" t="s">
        <v>75</v>
      </c>
      <c r="R8560" t="s">
        <v>36854</v>
      </c>
      <c r="S8560" t="s">
        <v>36855</v>
      </c>
      <c r="T8560" t="s">
        <v>36856</v>
      </c>
      <c r="U8560" t="s">
        <v>1784</v>
      </c>
      <c r="V8560" t="str">
        <f>"190013720"</f>
        <v>190013720</v>
      </c>
      <c r="AC8560" t="s">
        <v>79</v>
      </c>
      <c r="AD8560" t="s">
        <v>75</v>
      </c>
      <c r="AE8560" t="s">
        <v>103</v>
      </c>
      <c r="AG8560" t="s">
        <v>81</v>
      </c>
    </row>
    <row r="8561" spans="1:33" x14ac:dyDescent="0.25">
      <c r="A8561" t="str">
        <f>"1487932885"</f>
        <v>1487932885</v>
      </c>
      <c r="C8561" t="s">
        <v>13436</v>
      </c>
      <c r="K8561" t="s">
        <v>99</v>
      </c>
      <c r="L8561" t="s">
        <v>102</v>
      </c>
      <c r="M8561" t="s">
        <v>75</v>
      </c>
      <c r="R8561" t="s">
        <v>36857</v>
      </c>
      <c r="S8561" t="s">
        <v>36858</v>
      </c>
      <c r="T8561" t="s">
        <v>97</v>
      </c>
      <c r="U8561" t="s">
        <v>77</v>
      </c>
      <c r="V8561" t="str">
        <f>"100191047"</f>
        <v>100191047</v>
      </c>
      <c r="AC8561" t="s">
        <v>79</v>
      </c>
      <c r="AD8561" t="s">
        <v>75</v>
      </c>
      <c r="AE8561" t="s">
        <v>103</v>
      </c>
      <c r="AG8561" t="s">
        <v>81</v>
      </c>
    </row>
    <row r="8562" spans="1:33" x14ac:dyDescent="0.25">
      <c r="A8562" t="str">
        <f>"1184701146"</f>
        <v>1184701146</v>
      </c>
      <c r="B8562" t="str">
        <f>"03813985"</f>
        <v>03813985</v>
      </c>
      <c r="C8562" t="s">
        <v>13436</v>
      </c>
      <c r="D8562" t="s">
        <v>36859</v>
      </c>
      <c r="E8562" t="s">
        <v>36860</v>
      </c>
      <c r="G8562" t="s">
        <v>36861</v>
      </c>
      <c r="L8562" t="s">
        <v>74</v>
      </c>
      <c r="M8562" t="s">
        <v>75</v>
      </c>
      <c r="R8562" t="s">
        <v>36862</v>
      </c>
      <c r="W8562" t="s">
        <v>36860</v>
      </c>
      <c r="X8562" t="s">
        <v>25552</v>
      </c>
      <c r="Y8562" t="s">
        <v>97</v>
      </c>
      <c r="Z8562" t="s">
        <v>77</v>
      </c>
      <c r="AA8562" t="str">
        <f>"10029-6501"</f>
        <v>10029-6501</v>
      </c>
      <c r="AB8562" t="s">
        <v>78</v>
      </c>
      <c r="AC8562" t="s">
        <v>79</v>
      </c>
      <c r="AD8562" t="s">
        <v>75</v>
      </c>
      <c r="AE8562" t="s">
        <v>80</v>
      </c>
      <c r="AG8562" t="s">
        <v>81</v>
      </c>
    </row>
    <row r="8563" spans="1:33" x14ac:dyDescent="0.25">
      <c r="A8563" t="str">
        <f>"1184724213"</f>
        <v>1184724213</v>
      </c>
      <c r="B8563" t="str">
        <f>"02425776"</f>
        <v>02425776</v>
      </c>
      <c r="C8563" t="s">
        <v>13436</v>
      </c>
      <c r="D8563" t="s">
        <v>4772</v>
      </c>
      <c r="E8563" t="s">
        <v>4773</v>
      </c>
      <c r="L8563" t="s">
        <v>143</v>
      </c>
      <c r="M8563" t="s">
        <v>85</v>
      </c>
      <c r="R8563" t="s">
        <v>4774</v>
      </c>
      <c r="W8563" t="s">
        <v>4773</v>
      </c>
      <c r="X8563" t="s">
        <v>4775</v>
      </c>
      <c r="Y8563" t="s">
        <v>97</v>
      </c>
      <c r="Z8563" t="s">
        <v>77</v>
      </c>
      <c r="AA8563" t="str">
        <f>"10029"</f>
        <v>10029</v>
      </c>
      <c r="AB8563" t="s">
        <v>78</v>
      </c>
      <c r="AC8563" t="s">
        <v>79</v>
      </c>
      <c r="AD8563" t="s">
        <v>75</v>
      </c>
      <c r="AE8563" t="s">
        <v>80</v>
      </c>
      <c r="AG8563" t="s">
        <v>81</v>
      </c>
    </row>
    <row r="8564" spans="1:33" x14ac:dyDescent="0.25">
      <c r="A8564" t="str">
        <f>"1184731119"</f>
        <v>1184731119</v>
      </c>
      <c r="B8564" t="str">
        <f>"02890137"</f>
        <v>02890137</v>
      </c>
      <c r="C8564" t="s">
        <v>13436</v>
      </c>
      <c r="D8564" t="s">
        <v>36863</v>
      </c>
      <c r="E8564" t="s">
        <v>36864</v>
      </c>
      <c r="G8564" t="s">
        <v>36865</v>
      </c>
      <c r="L8564" t="s">
        <v>84</v>
      </c>
      <c r="M8564" t="s">
        <v>85</v>
      </c>
      <c r="R8564" t="s">
        <v>36866</v>
      </c>
      <c r="W8564" t="s">
        <v>36864</v>
      </c>
      <c r="X8564" t="s">
        <v>36867</v>
      </c>
      <c r="Y8564" t="s">
        <v>87</v>
      </c>
      <c r="Z8564" t="s">
        <v>77</v>
      </c>
      <c r="AA8564" t="str">
        <f>"11209-1204"</f>
        <v>11209-1204</v>
      </c>
      <c r="AB8564" t="s">
        <v>78</v>
      </c>
      <c r="AC8564" t="s">
        <v>79</v>
      </c>
      <c r="AD8564" t="s">
        <v>75</v>
      </c>
      <c r="AE8564" t="s">
        <v>80</v>
      </c>
      <c r="AG8564" t="s">
        <v>81</v>
      </c>
    </row>
    <row r="8565" spans="1:33" x14ac:dyDescent="0.25">
      <c r="A8565" t="str">
        <f>"1184749053"</f>
        <v>1184749053</v>
      </c>
      <c r="B8565" t="str">
        <f>"03785559"</f>
        <v>03785559</v>
      </c>
      <c r="C8565" t="s">
        <v>13436</v>
      </c>
      <c r="D8565" t="s">
        <v>36868</v>
      </c>
      <c r="E8565" t="s">
        <v>36869</v>
      </c>
      <c r="G8565" t="s">
        <v>36870</v>
      </c>
      <c r="L8565" t="s">
        <v>74</v>
      </c>
      <c r="M8565" t="s">
        <v>75</v>
      </c>
      <c r="R8565" t="s">
        <v>36871</v>
      </c>
      <c r="W8565" t="s">
        <v>36869</v>
      </c>
      <c r="X8565" t="s">
        <v>12961</v>
      </c>
      <c r="Y8565" t="s">
        <v>1965</v>
      </c>
      <c r="Z8565" t="s">
        <v>77</v>
      </c>
      <c r="AA8565" t="str">
        <f>"11767-1090"</f>
        <v>11767-1090</v>
      </c>
      <c r="AB8565" t="s">
        <v>78</v>
      </c>
      <c r="AC8565" t="s">
        <v>79</v>
      </c>
      <c r="AD8565" t="s">
        <v>75</v>
      </c>
      <c r="AE8565" t="s">
        <v>80</v>
      </c>
      <c r="AG8565" t="s">
        <v>81</v>
      </c>
    </row>
    <row r="8566" spans="1:33" x14ac:dyDescent="0.25">
      <c r="A8566" t="str">
        <f>"1184761389"</f>
        <v>1184761389</v>
      </c>
      <c r="B8566" t="str">
        <f>"02877952"</f>
        <v>02877952</v>
      </c>
      <c r="C8566" t="s">
        <v>13436</v>
      </c>
      <c r="D8566" t="s">
        <v>36872</v>
      </c>
      <c r="E8566" t="s">
        <v>36873</v>
      </c>
      <c r="G8566" t="s">
        <v>36874</v>
      </c>
      <c r="L8566" t="s">
        <v>74</v>
      </c>
      <c r="M8566" t="s">
        <v>85</v>
      </c>
      <c r="R8566" t="s">
        <v>36875</v>
      </c>
      <c r="W8566" t="s">
        <v>36873</v>
      </c>
      <c r="X8566" t="s">
        <v>329</v>
      </c>
      <c r="Y8566" t="s">
        <v>97</v>
      </c>
      <c r="Z8566" t="s">
        <v>77</v>
      </c>
      <c r="AA8566" t="str">
        <f>"10029-6500"</f>
        <v>10029-6500</v>
      </c>
      <c r="AB8566" t="s">
        <v>78</v>
      </c>
      <c r="AC8566" t="s">
        <v>79</v>
      </c>
      <c r="AD8566" t="s">
        <v>75</v>
      </c>
      <c r="AE8566" t="s">
        <v>80</v>
      </c>
      <c r="AG8566" t="s">
        <v>81</v>
      </c>
    </row>
    <row r="8567" spans="1:33" x14ac:dyDescent="0.25">
      <c r="A8567" t="str">
        <f>"1134266885"</f>
        <v>1134266885</v>
      </c>
      <c r="C8567" t="s">
        <v>13436</v>
      </c>
      <c r="G8567" t="s">
        <v>36876</v>
      </c>
      <c r="K8567" t="s">
        <v>99</v>
      </c>
      <c r="L8567" t="s">
        <v>74</v>
      </c>
      <c r="M8567" t="s">
        <v>85</v>
      </c>
      <c r="R8567" t="s">
        <v>36877</v>
      </c>
      <c r="S8567" t="s">
        <v>36878</v>
      </c>
      <c r="T8567" t="s">
        <v>97</v>
      </c>
      <c r="U8567" t="s">
        <v>77</v>
      </c>
      <c r="V8567" t="str">
        <f>"100296574"</f>
        <v>100296574</v>
      </c>
      <c r="AC8567" t="s">
        <v>79</v>
      </c>
      <c r="AD8567" t="s">
        <v>75</v>
      </c>
      <c r="AE8567" t="s">
        <v>103</v>
      </c>
      <c r="AG8567" t="s">
        <v>81</v>
      </c>
    </row>
    <row r="8568" spans="1:33" x14ac:dyDescent="0.25">
      <c r="A8568" t="str">
        <f>"1134322167"</f>
        <v>1134322167</v>
      </c>
      <c r="C8568" t="s">
        <v>13436</v>
      </c>
      <c r="G8568" t="s">
        <v>36879</v>
      </c>
      <c r="K8568" t="s">
        <v>99</v>
      </c>
      <c r="L8568" t="s">
        <v>102</v>
      </c>
      <c r="M8568" t="s">
        <v>75</v>
      </c>
      <c r="R8568" t="s">
        <v>36880</v>
      </c>
      <c r="S8568" t="s">
        <v>36881</v>
      </c>
      <c r="T8568" t="s">
        <v>4487</v>
      </c>
      <c r="U8568" t="s">
        <v>351</v>
      </c>
      <c r="V8568" t="str">
        <f>"331554000"</f>
        <v>331554000</v>
      </c>
      <c r="AC8568" t="s">
        <v>79</v>
      </c>
      <c r="AD8568" t="s">
        <v>75</v>
      </c>
      <c r="AE8568" t="s">
        <v>103</v>
      </c>
      <c r="AG8568" t="s">
        <v>81</v>
      </c>
    </row>
    <row r="8569" spans="1:33" x14ac:dyDescent="0.25">
      <c r="A8569" t="str">
        <f>"1285900332"</f>
        <v>1285900332</v>
      </c>
      <c r="B8569" t="str">
        <f>"04251525"</f>
        <v>04251525</v>
      </c>
      <c r="C8569" t="s">
        <v>13436</v>
      </c>
      <c r="D8569" t="s">
        <v>36882</v>
      </c>
      <c r="E8569" t="s">
        <v>36883</v>
      </c>
      <c r="L8569" t="s">
        <v>94</v>
      </c>
      <c r="M8569" t="s">
        <v>75</v>
      </c>
      <c r="R8569" t="s">
        <v>36883</v>
      </c>
      <c r="W8569" t="s">
        <v>36883</v>
      </c>
      <c r="X8569" t="s">
        <v>15016</v>
      </c>
      <c r="Y8569" t="s">
        <v>190</v>
      </c>
      <c r="Z8569" t="s">
        <v>77</v>
      </c>
      <c r="AA8569" t="str">
        <f>"11102-2448"</f>
        <v>11102-2448</v>
      </c>
      <c r="AB8569" t="s">
        <v>78</v>
      </c>
      <c r="AC8569" t="s">
        <v>79</v>
      </c>
      <c r="AD8569" t="s">
        <v>75</v>
      </c>
      <c r="AE8569" t="s">
        <v>80</v>
      </c>
      <c r="AG8569" t="s">
        <v>81</v>
      </c>
    </row>
    <row r="8570" spans="1:33" x14ac:dyDescent="0.25">
      <c r="A8570" t="str">
        <f>"1306005145"</f>
        <v>1306005145</v>
      </c>
      <c r="B8570" t="str">
        <f>"03226919"</f>
        <v>03226919</v>
      </c>
      <c r="C8570" t="s">
        <v>13436</v>
      </c>
      <c r="D8570" t="s">
        <v>36884</v>
      </c>
      <c r="E8570" t="s">
        <v>36885</v>
      </c>
      <c r="G8570" t="s">
        <v>36886</v>
      </c>
      <c r="L8570" t="s">
        <v>83</v>
      </c>
      <c r="M8570" t="s">
        <v>85</v>
      </c>
      <c r="R8570" t="s">
        <v>36887</v>
      </c>
      <c r="W8570" t="s">
        <v>36888</v>
      </c>
      <c r="X8570" t="s">
        <v>3776</v>
      </c>
      <c r="Y8570" t="s">
        <v>97</v>
      </c>
      <c r="Z8570" t="s">
        <v>77</v>
      </c>
      <c r="AA8570" t="str">
        <f>"10029-6503"</f>
        <v>10029-6503</v>
      </c>
      <c r="AB8570" t="s">
        <v>78</v>
      </c>
      <c r="AC8570" t="s">
        <v>79</v>
      </c>
      <c r="AD8570" t="s">
        <v>75</v>
      </c>
      <c r="AE8570" t="s">
        <v>80</v>
      </c>
      <c r="AG8570" t="s">
        <v>81</v>
      </c>
    </row>
    <row r="8571" spans="1:33" x14ac:dyDescent="0.25">
      <c r="A8571" t="str">
        <f>"1306007570"</f>
        <v>1306007570</v>
      </c>
      <c r="B8571" t="str">
        <f>"04247081"</f>
        <v>04247081</v>
      </c>
      <c r="C8571" t="s">
        <v>13436</v>
      </c>
      <c r="D8571" t="s">
        <v>36889</v>
      </c>
      <c r="E8571" t="s">
        <v>36890</v>
      </c>
      <c r="G8571" t="s">
        <v>36891</v>
      </c>
      <c r="L8571" t="s">
        <v>74</v>
      </c>
      <c r="M8571" t="s">
        <v>75</v>
      </c>
      <c r="R8571" t="s">
        <v>36892</v>
      </c>
      <c r="W8571" t="s">
        <v>36893</v>
      </c>
      <c r="X8571" t="s">
        <v>4799</v>
      </c>
      <c r="Y8571" t="s">
        <v>87</v>
      </c>
      <c r="Z8571" t="s">
        <v>77</v>
      </c>
      <c r="AA8571" t="str">
        <f>"11234-2625"</f>
        <v>11234-2625</v>
      </c>
      <c r="AB8571" t="s">
        <v>78</v>
      </c>
      <c r="AC8571" t="s">
        <v>79</v>
      </c>
      <c r="AD8571" t="s">
        <v>75</v>
      </c>
      <c r="AE8571" t="s">
        <v>80</v>
      </c>
      <c r="AG8571" t="s">
        <v>81</v>
      </c>
    </row>
    <row r="8572" spans="1:33" x14ac:dyDescent="0.25">
      <c r="A8572" t="str">
        <f>"1306008701"</f>
        <v>1306008701</v>
      </c>
      <c r="B8572" t="str">
        <f>"03949406"</f>
        <v>03949406</v>
      </c>
      <c r="C8572" t="s">
        <v>13436</v>
      </c>
      <c r="D8572" t="s">
        <v>36894</v>
      </c>
      <c r="E8572" t="s">
        <v>36895</v>
      </c>
      <c r="G8572" t="s">
        <v>36896</v>
      </c>
      <c r="L8572" t="s">
        <v>74</v>
      </c>
      <c r="M8572" t="s">
        <v>75</v>
      </c>
      <c r="R8572" t="s">
        <v>36897</v>
      </c>
      <c r="W8572" t="s">
        <v>36898</v>
      </c>
      <c r="X8572" t="s">
        <v>11195</v>
      </c>
      <c r="Y8572" t="s">
        <v>97</v>
      </c>
      <c r="Z8572" t="s">
        <v>77</v>
      </c>
      <c r="AA8572" t="str">
        <f>"10029-6030"</f>
        <v>10029-6030</v>
      </c>
      <c r="AB8572" t="s">
        <v>78</v>
      </c>
      <c r="AC8572" t="s">
        <v>79</v>
      </c>
      <c r="AD8572" t="s">
        <v>75</v>
      </c>
      <c r="AE8572" t="s">
        <v>80</v>
      </c>
      <c r="AG8572" t="s">
        <v>81</v>
      </c>
    </row>
    <row r="8573" spans="1:33" x14ac:dyDescent="0.25">
      <c r="A8573" t="str">
        <f>"1306011325"</f>
        <v>1306011325</v>
      </c>
      <c r="B8573" t="str">
        <f>"03770463"</f>
        <v>03770463</v>
      </c>
      <c r="C8573" t="s">
        <v>13436</v>
      </c>
      <c r="D8573" t="s">
        <v>36899</v>
      </c>
      <c r="E8573" t="s">
        <v>36900</v>
      </c>
      <c r="G8573" t="s">
        <v>36901</v>
      </c>
      <c r="L8573" t="s">
        <v>102</v>
      </c>
      <c r="M8573" t="s">
        <v>75</v>
      </c>
      <c r="R8573" t="s">
        <v>36902</v>
      </c>
      <c r="W8573" t="s">
        <v>36900</v>
      </c>
      <c r="X8573" t="s">
        <v>329</v>
      </c>
      <c r="Y8573" t="s">
        <v>97</v>
      </c>
      <c r="Z8573" t="s">
        <v>77</v>
      </c>
      <c r="AA8573" t="str">
        <f>"10029-6504"</f>
        <v>10029-6504</v>
      </c>
      <c r="AB8573" t="s">
        <v>78</v>
      </c>
      <c r="AC8573" t="s">
        <v>79</v>
      </c>
      <c r="AD8573" t="s">
        <v>75</v>
      </c>
      <c r="AE8573" t="s">
        <v>80</v>
      </c>
      <c r="AG8573" t="s">
        <v>81</v>
      </c>
    </row>
    <row r="8574" spans="1:33" x14ac:dyDescent="0.25">
      <c r="A8574" t="str">
        <f>"1306048665"</f>
        <v>1306048665</v>
      </c>
      <c r="B8574" t="str">
        <f>"03356012"</f>
        <v>03356012</v>
      </c>
      <c r="C8574" t="s">
        <v>13436</v>
      </c>
      <c r="D8574" t="s">
        <v>36903</v>
      </c>
      <c r="E8574" t="s">
        <v>36904</v>
      </c>
      <c r="G8574" t="s">
        <v>36905</v>
      </c>
      <c r="L8574" t="s">
        <v>84</v>
      </c>
      <c r="M8574" t="s">
        <v>75</v>
      </c>
      <c r="R8574" t="s">
        <v>36906</v>
      </c>
      <c r="W8574" t="s">
        <v>36904</v>
      </c>
      <c r="X8574" t="s">
        <v>36907</v>
      </c>
      <c r="Y8574" t="s">
        <v>720</v>
      </c>
      <c r="Z8574" t="s">
        <v>77</v>
      </c>
      <c r="AA8574" t="str">
        <f>"11435-1866"</f>
        <v>11435-1866</v>
      </c>
      <c r="AB8574" t="s">
        <v>78</v>
      </c>
      <c r="AC8574" t="s">
        <v>79</v>
      </c>
      <c r="AD8574" t="s">
        <v>75</v>
      </c>
      <c r="AE8574" t="s">
        <v>80</v>
      </c>
      <c r="AG8574" t="s">
        <v>81</v>
      </c>
    </row>
    <row r="8575" spans="1:33" x14ac:dyDescent="0.25">
      <c r="A8575" t="str">
        <f>"1467710756"</f>
        <v>1467710756</v>
      </c>
      <c r="C8575" t="s">
        <v>13436</v>
      </c>
      <c r="K8575" t="s">
        <v>99</v>
      </c>
      <c r="L8575" t="s">
        <v>102</v>
      </c>
      <c r="M8575" t="s">
        <v>75</v>
      </c>
      <c r="R8575" t="s">
        <v>36908</v>
      </c>
      <c r="S8575" t="s">
        <v>36909</v>
      </c>
      <c r="T8575" t="s">
        <v>1141</v>
      </c>
      <c r="U8575" t="s">
        <v>156</v>
      </c>
      <c r="V8575" t="str">
        <f>"075032621"</f>
        <v>075032621</v>
      </c>
      <c r="AC8575" t="s">
        <v>79</v>
      </c>
      <c r="AD8575" t="s">
        <v>75</v>
      </c>
      <c r="AE8575" t="s">
        <v>103</v>
      </c>
      <c r="AG8575" t="s">
        <v>81</v>
      </c>
    </row>
    <row r="8576" spans="1:33" x14ac:dyDescent="0.25">
      <c r="A8576" t="str">
        <f>"1467718486"</f>
        <v>1467718486</v>
      </c>
      <c r="C8576" t="s">
        <v>13436</v>
      </c>
      <c r="K8576" t="s">
        <v>99</v>
      </c>
      <c r="L8576" t="s">
        <v>102</v>
      </c>
      <c r="M8576" t="s">
        <v>75</v>
      </c>
      <c r="R8576" t="s">
        <v>36910</v>
      </c>
      <c r="S8576" t="s">
        <v>36911</v>
      </c>
      <c r="T8576" t="s">
        <v>36912</v>
      </c>
      <c r="U8576" t="s">
        <v>2595</v>
      </c>
      <c r="V8576" t="str">
        <f>"917903940"</f>
        <v>917903940</v>
      </c>
      <c r="AC8576" t="s">
        <v>79</v>
      </c>
      <c r="AD8576" t="s">
        <v>75</v>
      </c>
      <c r="AE8576" t="s">
        <v>103</v>
      </c>
      <c r="AG8576" t="s">
        <v>81</v>
      </c>
    </row>
    <row r="8577" spans="1:33" x14ac:dyDescent="0.25">
      <c r="A8577" t="str">
        <f>"1467718684"</f>
        <v>1467718684</v>
      </c>
      <c r="B8577" t="str">
        <f>"04359404"</f>
        <v>04359404</v>
      </c>
      <c r="C8577" t="s">
        <v>13436</v>
      </c>
      <c r="D8577" t="s">
        <v>36913</v>
      </c>
      <c r="E8577" t="s">
        <v>36914</v>
      </c>
      <c r="L8577" t="s">
        <v>102</v>
      </c>
      <c r="M8577" t="s">
        <v>75</v>
      </c>
      <c r="R8577" t="s">
        <v>36915</v>
      </c>
      <c r="W8577" t="s">
        <v>36914</v>
      </c>
      <c r="X8577" t="s">
        <v>1809</v>
      </c>
      <c r="Y8577" t="s">
        <v>140</v>
      </c>
      <c r="Z8577" t="s">
        <v>77</v>
      </c>
      <c r="AA8577" t="str">
        <f>"11772-4870"</f>
        <v>11772-4870</v>
      </c>
      <c r="AB8577" t="s">
        <v>78</v>
      </c>
      <c r="AC8577" t="s">
        <v>79</v>
      </c>
      <c r="AD8577" t="s">
        <v>75</v>
      </c>
      <c r="AE8577" t="s">
        <v>80</v>
      </c>
      <c r="AG8577" t="s">
        <v>81</v>
      </c>
    </row>
    <row r="8578" spans="1:33" x14ac:dyDescent="0.25">
      <c r="A8578" t="str">
        <f>"1467719088"</f>
        <v>1467719088</v>
      </c>
      <c r="B8578" t="str">
        <f>"04209858"</f>
        <v>04209858</v>
      </c>
      <c r="C8578" t="s">
        <v>13436</v>
      </c>
      <c r="D8578" t="s">
        <v>36916</v>
      </c>
      <c r="E8578" t="s">
        <v>36917</v>
      </c>
      <c r="L8578" t="s">
        <v>83</v>
      </c>
      <c r="M8578" t="s">
        <v>75</v>
      </c>
      <c r="R8578" t="s">
        <v>36917</v>
      </c>
      <c r="W8578" t="s">
        <v>36918</v>
      </c>
      <c r="X8578" t="s">
        <v>11098</v>
      </c>
      <c r="Y8578" t="s">
        <v>97</v>
      </c>
      <c r="Z8578" t="s">
        <v>77</v>
      </c>
      <c r="AA8578" t="str">
        <f>"10025-6901"</f>
        <v>10025-6901</v>
      </c>
      <c r="AB8578" t="s">
        <v>78</v>
      </c>
      <c r="AC8578" t="s">
        <v>79</v>
      </c>
      <c r="AD8578" t="s">
        <v>75</v>
      </c>
      <c r="AE8578" t="s">
        <v>80</v>
      </c>
      <c r="AG8578" t="s">
        <v>81</v>
      </c>
    </row>
    <row r="8579" spans="1:33" x14ac:dyDescent="0.25">
      <c r="A8579" t="str">
        <f>"1306072418"</f>
        <v>1306072418</v>
      </c>
      <c r="B8579" t="str">
        <f>"03484159"</f>
        <v>03484159</v>
      </c>
      <c r="C8579" t="s">
        <v>13436</v>
      </c>
      <c r="D8579" t="s">
        <v>36919</v>
      </c>
      <c r="E8579" t="s">
        <v>36920</v>
      </c>
      <c r="G8579" t="s">
        <v>36921</v>
      </c>
      <c r="L8579" t="s">
        <v>83</v>
      </c>
      <c r="M8579" t="s">
        <v>85</v>
      </c>
      <c r="R8579" t="s">
        <v>36922</v>
      </c>
      <c r="W8579" t="s">
        <v>36920</v>
      </c>
      <c r="X8579" t="s">
        <v>330</v>
      </c>
      <c r="Y8579" t="s">
        <v>97</v>
      </c>
      <c r="Z8579" t="s">
        <v>77</v>
      </c>
      <c r="AA8579" t="str">
        <f>"10029-5204"</f>
        <v>10029-5204</v>
      </c>
      <c r="AB8579" t="s">
        <v>78</v>
      </c>
      <c r="AC8579" t="s">
        <v>79</v>
      </c>
      <c r="AD8579" t="s">
        <v>75</v>
      </c>
      <c r="AE8579" t="s">
        <v>80</v>
      </c>
      <c r="AG8579" t="s">
        <v>81</v>
      </c>
    </row>
    <row r="8580" spans="1:33" x14ac:dyDescent="0.25">
      <c r="A8580" t="str">
        <f>"1306093893"</f>
        <v>1306093893</v>
      </c>
      <c r="B8580" t="str">
        <f>"03052715"</f>
        <v>03052715</v>
      </c>
      <c r="C8580" t="s">
        <v>13436</v>
      </c>
      <c r="D8580" t="s">
        <v>36923</v>
      </c>
      <c r="E8580" t="s">
        <v>36924</v>
      </c>
      <c r="G8580" t="s">
        <v>36925</v>
      </c>
      <c r="L8580" t="s">
        <v>83</v>
      </c>
      <c r="M8580" t="s">
        <v>85</v>
      </c>
      <c r="R8580" t="s">
        <v>36926</v>
      </c>
      <c r="W8580" t="s">
        <v>36927</v>
      </c>
      <c r="X8580" t="s">
        <v>36928</v>
      </c>
      <c r="Y8580" t="s">
        <v>131</v>
      </c>
      <c r="Z8580" t="s">
        <v>77</v>
      </c>
      <c r="AA8580" t="str">
        <f>"10473-0000"</f>
        <v>10473-0000</v>
      </c>
      <c r="AB8580" t="s">
        <v>78</v>
      </c>
      <c r="AC8580" t="s">
        <v>79</v>
      </c>
      <c r="AD8580" t="s">
        <v>75</v>
      </c>
      <c r="AE8580" t="s">
        <v>80</v>
      </c>
      <c r="AG8580" t="s">
        <v>81</v>
      </c>
    </row>
    <row r="8581" spans="1:33" x14ac:dyDescent="0.25">
      <c r="A8581" t="str">
        <f>"1306108659"</f>
        <v>1306108659</v>
      </c>
      <c r="C8581" t="s">
        <v>13436</v>
      </c>
      <c r="K8581" t="s">
        <v>99</v>
      </c>
      <c r="L8581" t="s">
        <v>102</v>
      </c>
      <c r="M8581" t="s">
        <v>75</v>
      </c>
      <c r="R8581" t="s">
        <v>36929</v>
      </c>
      <c r="S8581" t="s">
        <v>12670</v>
      </c>
      <c r="T8581" t="s">
        <v>97</v>
      </c>
      <c r="U8581" t="s">
        <v>77</v>
      </c>
      <c r="V8581" t="str">
        <f>"100033821"</f>
        <v>100033821</v>
      </c>
      <c r="AC8581" t="s">
        <v>79</v>
      </c>
      <c r="AD8581" t="s">
        <v>75</v>
      </c>
      <c r="AE8581" t="s">
        <v>103</v>
      </c>
      <c r="AG8581" t="s">
        <v>81</v>
      </c>
    </row>
    <row r="8582" spans="1:33" x14ac:dyDescent="0.25">
      <c r="A8582" t="str">
        <f>"1306116934"</f>
        <v>1306116934</v>
      </c>
      <c r="C8582" t="s">
        <v>13436</v>
      </c>
      <c r="K8582" t="s">
        <v>99</v>
      </c>
      <c r="L8582" t="s">
        <v>102</v>
      </c>
      <c r="M8582" t="s">
        <v>75</v>
      </c>
      <c r="R8582" t="s">
        <v>5684</v>
      </c>
      <c r="S8582" t="s">
        <v>36930</v>
      </c>
      <c r="T8582" t="s">
        <v>139</v>
      </c>
      <c r="U8582" t="s">
        <v>77</v>
      </c>
      <c r="V8582" t="str">
        <f>"113552205"</f>
        <v>113552205</v>
      </c>
      <c r="AC8582" t="s">
        <v>79</v>
      </c>
      <c r="AD8582" t="s">
        <v>75</v>
      </c>
      <c r="AE8582" t="s">
        <v>103</v>
      </c>
      <c r="AG8582" t="s">
        <v>81</v>
      </c>
    </row>
    <row r="8583" spans="1:33" x14ac:dyDescent="0.25">
      <c r="A8583" t="str">
        <f>"1386079796"</f>
        <v>1386079796</v>
      </c>
      <c r="C8583" t="s">
        <v>13436</v>
      </c>
      <c r="G8583" t="s">
        <v>36931</v>
      </c>
      <c r="K8583" t="s">
        <v>99</v>
      </c>
      <c r="L8583" t="s">
        <v>102</v>
      </c>
      <c r="M8583" t="s">
        <v>75</v>
      </c>
      <c r="R8583" t="s">
        <v>36932</v>
      </c>
      <c r="S8583" t="s">
        <v>12595</v>
      </c>
      <c r="T8583" t="s">
        <v>236</v>
      </c>
      <c r="U8583" t="s">
        <v>77</v>
      </c>
      <c r="V8583" t="str">
        <f>"111022445"</f>
        <v>111022445</v>
      </c>
      <c r="AC8583" t="s">
        <v>79</v>
      </c>
      <c r="AD8583" t="s">
        <v>75</v>
      </c>
      <c r="AE8583" t="s">
        <v>103</v>
      </c>
      <c r="AG8583" t="s">
        <v>81</v>
      </c>
    </row>
    <row r="8584" spans="1:33" x14ac:dyDescent="0.25">
      <c r="A8584" t="str">
        <f>"1386087062"</f>
        <v>1386087062</v>
      </c>
      <c r="C8584" t="s">
        <v>13436</v>
      </c>
      <c r="K8584" t="s">
        <v>99</v>
      </c>
      <c r="L8584" t="s">
        <v>102</v>
      </c>
      <c r="M8584" t="s">
        <v>75</v>
      </c>
      <c r="R8584" t="s">
        <v>36933</v>
      </c>
      <c r="S8584" t="s">
        <v>24381</v>
      </c>
      <c r="T8584" t="s">
        <v>97</v>
      </c>
      <c r="U8584" t="s">
        <v>77</v>
      </c>
      <c r="V8584" t="str">
        <f>"100296503"</f>
        <v>100296503</v>
      </c>
      <c r="AC8584" t="s">
        <v>79</v>
      </c>
      <c r="AD8584" t="s">
        <v>75</v>
      </c>
      <c r="AE8584" t="s">
        <v>103</v>
      </c>
      <c r="AG8584" t="s">
        <v>81</v>
      </c>
    </row>
    <row r="8585" spans="1:33" x14ac:dyDescent="0.25">
      <c r="A8585" t="str">
        <f>"1235174053"</f>
        <v>1235174053</v>
      </c>
      <c r="B8585" t="str">
        <f>"02830380"</f>
        <v>02830380</v>
      </c>
      <c r="C8585" t="s">
        <v>13436</v>
      </c>
      <c r="D8585" t="s">
        <v>36934</v>
      </c>
      <c r="E8585" t="s">
        <v>36935</v>
      </c>
      <c r="G8585" t="s">
        <v>36936</v>
      </c>
      <c r="L8585" t="s">
        <v>83</v>
      </c>
      <c r="M8585" t="s">
        <v>75</v>
      </c>
      <c r="R8585" t="s">
        <v>36937</v>
      </c>
      <c r="W8585" t="s">
        <v>36935</v>
      </c>
      <c r="X8585" t="s">
        <v>267</v>
      </c>
      <c r="Y8585" t="s">
        <v>91</v>
      </c>
      <c r="Z8585" t="s">
        <v>77</v>
      </c>
      <c r="AA8585" t="str">
        <f>"11373-1329"</f>
        <v>11373-1329</v>
      </c>
      <c r="AB8585" t="s">
        <v>78</v>
      </c>
      <c r="AC8585" t="s">
        <v>79</v>
      </c>
      <c r="AD8585" t="s">
        <v>75</v>
      </c>
      <c r="AE8585" t="s">
        <v>80</v>
      </c>
      <c r="AG8585" t="s">
        <v>81</v>
      </c>
    </row>
    <row r="8586" spans="1:33" x14ac:dyDescent="0.25">
      <c r="A8586" t="str">
        <f>"1235196825"</f>
        <v>1235196825</v>
      </c>
      <c r="B8586" t="str">
        <f>"02368445"</f>
        <v>02368445</v>
      </c>
      <c r="C8586" t="s">
        <v>13436</v>
      </c>
      <c r="D8586" t="s">
        <v>36938</v>
      </c>
      <c r="E8586" t="s">
        <v>36939</v>
      </c>
      <c r="G8586" t="s">
        <v>36940</v>
      </c>
      <c r="L8586" t="s">
        <v>83</v>
      </c>
      <c r="M8586" t="s">
        <v>85</v>
      </c>
      <c r="R8586" t="s">
        <v>36941</v>
      </c>
      <c r="W8586" t="s">
        <v>36939</v>
      </c>
      <c r="X8586" t="s">
        <v>36942</v>
      </c>
      <c r="Y8586" t="s">
        <v>97</v>
      </c>
      <c r="Z8586" t="s">
        <v>77</v>
      </c>
      <c r="AA8586" t="str">
        <f>"10003-3314"</f>
        <v>10003-3314</v>
      </c>
      <c r="AB8586" t="s">
        <v>78</v>
      </c>
      <c r="AC8586" t="s">
        <v>79</v>
      </c>
      <c r="AD8586" t="s">
        <v>75</v>
      </c>
      <c r="AE8586" t="s">
        <v>80</v>
      </c>
      <c r="AG8586" t="s">
        <v>81</v>
      </c>
    </row>
    <row r="8587" spans="1:33" x14ac:dyDescent="0.25">
      <c r="A8587" t="str">
        <f>"1235250820"</f>
        <v>1235250820</v>
      </c>
      <c r="B8587" t="str">
        <f>"03526450"</f>
        <v>03526450</v>
      </c>
      <c r="C8587" t="s">
        <v>13436</v>
      </c>
      <c r="D8587" t="s">
        <v>36943</v>
      </c>
      <c r="E8587" t="s">
        <v>36944</v>
      </c>
      <c r="G8587" t="s">
        <v>36945</v>
      </c>
      <c r="L8587" t="s">
        <v>83</v>
      </c>
      <c r="M8587" t="s">
        <v>85</v>
      </c>
      <c r="R8587" t="s">
        <v>36946</v>
      </c>
      <c r="W8587" t="s">
        <v>36944</v>
      </c>
      <c r="X8587" t="s">
        <v>330</v>
      </c>
      <c r="Y8587" t="s">
        <v>97</v>
      </c>
      <c r="Z8587" t="s">
        <v>77</v>
      </c>
      <c r="AA8587" t="str">
        <f>"10029-5204"</f>
        <v>10029-5204</v>
      </c>
      <c r="AB8587" t="s">
        <v>78</v>
      </c>
      <c r="AC8587" t="s">
        <v>79</v>
      </c>
      <c r="AD8587" t="s">
        <v>75</v>
      </c>
      <c r="AE8587" t="s">
        <v>80</v>
      </c>
      <c r="AG8587" t="s">
        <v>81</v>
      </c>
    </row>
    <row r="8588" spans="1:33" x14ac:dyDescent="0.25">
      <c r="A8588" t="str">
        <f>"1235295643"</f>
        <v>1235295643</v>
      </c>
      <c r="B8588" t="str">
        <f>"03241421"</f>
        <v>03241421</v>
      </c>
      <c r="C8588" t="s">
        <v>13436</v>
      </c>
      <c r="D8588" t="s">
        <v>36947</v>
      </c>
      <c r="E8588" t="s">
        <v>36948</v>
      </c>
      <c r="L8588" t="s">
        <v>74</v>
      </c>
      <c r="M8588" t="s">
        <v>75</v>
      </c>
      <c r="R8588" t="s">
        <v>36948</v>
      </c>
      <c r="W8588" t="s">
        <v>36948</v>
      </c>
      <c r="X8588" t="s">
        <v>4799</v>
      </c>
      <c r="Y8588" t="s">
        <v>87</v>
      </c>
      <c r="Z8588" t="s">
        <v>77</v>
      </c>
      <c r="AA8588" t="str">
        <f>"11234-2625"</f>
        <v>11234-2625</v>
      </c>
      <c r="AB8588" t="s">
        <v>78</v>
      </c>
      <c r="AC8588" t="s">
        <v>79</v>
      </c>
      <c r="AD8588" t="s">
        <v>75</v>
      </c>
      <c r="AE8588" t="s">
        <v>80</v>
      </c>
      <c r="AG8588" t="s">
        <v>81</v>
      </c>
    </row>
    <row r="8589" spans="1:33" x14ac:dyDescent="0.25">
      <c r="A8589" t="str">
        <f>"1235302738"</f>
        <v>1235302738</v>
      </c>
      <c r="B8589" t="str">
        <f>"03104469"</f>
        <v>03104469</v>
      </c>
      <c r="C8589" t="s">
        <v>13436</v>
      </c>
      <c r="D8589" t="s">
        <v>5372</v>
      </c>
      <c r="E8589" t="s">
        <v>5373</v>
      </c>
      <c r="L8589" t="s">
        <v>74</v>
      </c>
      <c r="M8589" t="s">
        <v>75</v>
      </c>
      <c r="R8589" t="s">
        <v>5374</v>
      </c>
      <c r="W8589" t="s">
        <v>5375</v>
      </c>
      <c r="X8589" t="s">
        <v>235</v>
      </c>
      <c r="Y8589" t="s">
        <v>190</v>
      </c>
      <c r="Z8589" t="s">
        <v>77</v>
      </c>
      <c r="AA8589" t="str">
        <f>"11102-2448"</f>
        <v>11102-2448</v>
      </c>
      <c r="AB8589" t="s">
        <v>78</v>
      </c>
      <c r="AC8589" t="s">
        <v>79</v>
      </c>
      <c r="AD8589" t="s">
        <v>75</v>
      </c>
      <c r="AE8589" t="s">
        <v>80</v>
      </c>
      <c r="AG8589" t="s">
        <v>81</v>
      </c>
    </row>
    <row r="8590" spans="1:33" x14ac:dyDescent="0.25">
      <c r="A8590" t="str">
        <f>"1235320755"</f>
        <v>1235320755</v>
      </c>
      <c r="C8590" t="s">
        <v>13436</v>
      </c>
      <c r="K8590" t="s">
        <v>99</v>
      </c>
      <c r="L8590" t="s">
        <v>74</v>
      </c>
      <c r="M8590" t="s">
        <v>75</v>
      </c>
      <c r="R8590" t="s">
        <v>36949</v>
      </c>
      <c r="S8590" t="s">
        <v>36950</v>
      </c>
      <c r="T8590" t="s">
        <v>97</v>
      </c>
      <c r="U8590" t="s">
        <v>77</v>
      </c>
      <c r="V8590" t="str">
        <f>"100252942"</f>
        <v>100252942</v>
      </c>
      <c r="AC8590" t="s">
        <v>79</v>
      </c>
      <c r="AD8590" t="s">
        <v>75</v>
      </c>
      <c r="AE8590" t="s">
        <v>103</v>
      </c>
      <c r="AG8590" t="s">
        <v>81</v>
      </c>
    </row>
    <row r="8591" spans="1:33" x14ac:dyDescent="0.25">
      <c r="A8591" t="str">
        <f>"1235325093"</f>
        <v>1235325093</v>
      </c>
      <c r="B8591" t="str">
        <f>"03262580"</f>
        <v>03262580</v>
      </c>
      <c r="C8591" t="s">
        <v>13436</v>
      </c>
      <c r="D8591" t="s">
        <v>36951</v>
      </c>
      <c r="E8591" t="s">
        <v>36952</v>
      </c>
      <c r="G8591" t="s">
        <v>36953</v>
      </c>
      <c r="L8591" t="s">
        <v>74</v>
      </c>
      <c r="M8591" t="s">
        <v>85</v>
      </c>
      <c r="R8591" t="s">
        <v>36954</v>
      </c>
      <c r="W8591" t="s">
        <v>36952</v>
      </c>
      <c r="X8591" t="s">
        <v>329</v>
      </c>
      <c r="Y8591" t="s">
        <v>97</v>
      </c>
      <c r="Z8591" t="s">
        <v>77</v>
      </c>
      <c r="AA8591" t="str">
        <f>"10029-6504"</f>
        <v>10029-6504</v>
      </c>
      <c r="AB8591" t="s">
        <v>78</v>
      </c>
      <c r="AC8591" t="s">
        <v>79</v>
      </c>
      <c r="AD8591" t="s">
        <v>75</v>
      </c>
      <c r="AE8591" t="s">
        <v>80</v>
      </c>
      <c r="AG8591" t="s">
        <v>81</v>
      </c>
    </row>
    <row r="8592" spans="1:33" x14ac:dyDescent="0.25">
      <c r="A8592" t="str">
        <f>"1235331497"</f>
        <v>1235331497</v>
      </c>
      <c r="B8592" t="str">
        <f>"03718774"</f>
        <v>03718774</v>
      </c>
      <c r="C8592" t="s">
        <v>13436</v>
      </c>
      <c r="D8592" t="s">
        <v>36955</v>
      </c>
      <c r="E8592" t="s">
        <v>36956</v>
      </c>
      <c r="G8592" t="s">
        <v>36957</v>
      </c>
      <c r="L8592" t="s">
        <v>83</v>
      </c>
      <c r="M8592" t="s">
        <v>75</v>
      </c>
      <c r="R8592" t="s">
        <v>36958</v>
      </c>
      <c r="W8592" t="s">
        <v>36956</v>
      </c>
      <c r="X8592" t="s">
        <v>36959</v>
      </c>
      <c r="Y8592" t="s">
        <v>97</v>
      </c>
      <c r="Z8592" t="s">
        <v>77</v>
      </c>
      <c r="AA8592" t="str">
        <f>"10029-6504"</f>
        <v>10029-6504</v>
      </c>
      <c r="AB8592" t="s">
        <v>78</v>
      </c>
      <c r="AC8592" t="s">
        <v>79</v>
      </c>
      <c r="AD8592" t="s">
        <v>75</v>
      </c>
      <c r="AE8592" t="s">
        <v>80</v>
      </c>
      <c r="AG8592" t="s">
        <v>81</v>
      </c>
    </row>
    <row r="8593" spans="1:33" x14ac:dyDescent="0.25">
      <c r="A8593" t="str">
        <f>"1154677995"</f>
        <v>1154677995</v>
      </c>
      <c r="C8593" t="s">
        <v>13436</v>
      </c>
      <c r="K8593" t="s">
        <v>99</v>
      </c>
      <c r="L8593" t="s">
        <v>102</v>
      </c>
      <c r="M8593" t="s">
        <v>75</v>
      </c>
      <c r="R8593" t="s">
        <v>36960</v>
      </c>
      <c r="S8593" t="s">
        <v>26543</v>
      </c>
      <c r="T8593" t="s">
        <v>124</v>
      </c>
      <c r="U8593" t="s">
        <v>2395</v>
      </c>
      <c r="V8593" t="str">
        <f>"559050001"</f>
        <v>559050001</v>
      </c>
      <c r="AC8593" t="s">
        <v>79</v>
      </c>
      <c r="AD8593" t="s">
        <v>75</v>
      </c>
      <c r="AE8593" t="s">
        <v>103</v>
      </c>
      <c r="AG8593" t="s">
        <v>81</v>
      </c>
    </row>
    <row r="8594" spans="1:33" x14ac:dyDescent="0.25">
      <c r="A8594" t="str">
        <f>"1154681526"</f>
        <v>1154681526</v>
      </c>
      <c r="C8594" t="s">
        <v>13436</v>
      </c>
      <c r="K8594" t="s">
        <v>99</v>
      </c>
      <c r="L8594" t="s">
        <v>102</v>
      </c>
      <c r="M8594" t="s">
        <v>75</v>
      </c>
      <c r="R8594" t="s">
        <v>36961</v>
      </c>
      <c r="S8594" t="s">
        <v>181</v>
      </c>
      <c r="T8594" t="s">
        <v>97</v>
      </c>
      <c r="U8594" t="s">
        <v>77</v>
      </c>
      <c r="V8594" t="str">
        <f>"100251716"</f>
        <v>100251716</v>
      </c>
      <c r="AC8594" t="s">
        <v>79</v>
      </c>
      <c r="AD8594" t="s">
        <v>75</v>
      </c>
      <c r="AE8594" t="s">
        <v>103</v>
      </c>
      <c r="AG8594" t="s">
        <v>81</v>
      </c>
    </row>
    <row r="8595" spans="1:33" x14ac:dyDescent="0.25">
      <c r="A8595" t="str">
        <f>"1134378805"</f>
        <v>1134378805</v>
      </c>
      <c r="B8595" t="str">
        <f>"03972429"</f>
        <v>03972429</v>
      </c>
      <c r="C8595" t="s">
        <v>13436</v>
      </c>
      <c r="D8595" t="s">
        <v>36962</v>
      </c>
      <c r="E8595" t="s">
        <v>36963</v>
      </c>
      <c r="G8595" t="s">
        <v>36964</v>
      </c>
      <c r="L8595" t="s">
        <v>83</v>
      </c>
      <c r="M8595" t="s">
        <v>75</v>
      </c>
      <c r="R8595" t="s">
        <v>36965</v>
      </c>
      <c r="W8595" t="s">
        <v>36966</v>
      </c>
      <c r="X8595" t="s">
        <v>23664</v>
      </c>
      <c r="Y8595" t="s">
        <v>97</v>
      </c>
      <c r="Z8595" t="s">
        <v>77</v>
      </c>
      <c r="AA8595" t="str">
        <f>"10029-6574"</f>
        <v>10029-6574</v>
      </c>
      <c r="AB8595" t="s">
        <v>78</v>
      </c>
      <c r="AC8595" t="s">
        <v>79</v>
      </c>
      <c r="AD8595" t="s">
        <v>75</v>
      </c>
      <c r="AE8595" t="s">
        <v>80</v>
      </c>
      <c r="AG8595" t="s">
        <v>81</v>
      </c>
    </row>
    <row r="8596" spans="1:33" x14ac:dyDescent="0.25">
      <c r="A8596" t="str">
        <f>"1134385842"</f>
        <v>1134385842</v>
      </c>
      <c r="B8596" t="str">
        <f>"03039530"</f>
        <v>03039530</v>
      </c>
      <c r="C8596" t="s">
        <v>13436</v>
      </c>
      <c r="D8596" t="s">
        <v>36967</v>
      </c>
      <c r="E8596" t="s">
        <v>36968</v>
      </c>
      <c r="G8596" t="s">
        <v>36969</v>
      </c>
      <c r="L8596" t="s">
        <v>134</v>
      </c>
      <c r="M8596" t="s">
        <v>85</v>
      </c>
      <c r="R8596" t="s">
        <v>36968</v>
      </c>
      <c r="W8596" t="s">
        <v>36968</v>
      </c>
      <c r="X8596" t="s">
        <v>258</v>
      </c>
      <c r="Y8596" t="s">
        <v>131</v>
      </c>
      <c r="Z8596" t="s">
        <v>77</v>
      </c>
      <c r="AA8596" t="str">
        <f>"10467-2401"</f>
        <v>10467-2401</v>
      </c>
      <c r="AB8596" t="s">
        <v>78</v>
      </c>
      <c r="AC8596" t="s">
        <v>79</v>
      </c>
      <c r="AD8596" t="s">
        <v>75</v>
      </c>
      <c r="AE8596" t="s">
        <v>80</v>
      </c>
      <c r="AG8596" t="s">
        <v>81</v>
      </c>
    </row>
    <row r="8597" spans="1:33" x14ac:dyDescent="0.25">
      <c r="A8597" t="str">
        <f>"1134387822"</f>
        <v>1134387822</v>
      </c>
      <c r="B8597" t="str">
        <f>"03113760"</f>
        <v>03113760</v>
      </c>
      <c r="C8597" t="s">
        <v>13436</v>
      </c>
      <c r="D8597" t="s">
        <v>36970</v>
      </c>
      <c r="E8597" t="s">
        <v>36971</v>
      </c>
      <c r="G8597" t="s">
        <v>36972</v>
      </c>
      <c r="L8597" t="s">
        <v>83</v>
      </c>
      <c r="M8597" t="s">
        <v>85</v>
      </c>
      <c r="R8597" t="s">
        <v>36973</v>
      </c>
      <c r="W8597" t="s">
        <v>36974</v>
      </c>
      <c r="X8597" t="s">
        <v>36975</v>
      </c>
      <c r="Y8597" t="s">
        <v>2674</v>
      </c>
      <c r="Z8597" t="s">
        <v>77</v>
      </c>
      <c r="AA8597" t="str">
        <f>"11733-4046"</f>
        <v>11733-4046</v>
      </c>
      <c r="AB8597" t="s">
        <v>78</v>
      </c>
      <c r="AC8597" t="s">
        <v>79</v>
      </c>
      <c r="AD8597" t="s">
        <v>75</v>
      </c>
      <c r="AE8597" t="s">
        <v>80</v>
      </c>
      <c r="AG8597" t="s">
        <v>81</v>
      </c>
    </row>
    <row r="8598" spans="1:33" x14ac:dyDescent="0.25">
      <c r="A8598" t="str">
        <f>"1134407745"</f>
        <v>1134407745</v>
      </c>
      <c r="C8598" t="s">
        <v>13436</v>
      </c>
      <c r="K8598" t="s">
        <v>99</v>
      </c>
      <c r="L8598" t="s">
        <v>102</v>
      </c>
      <c r="M8598" t="s">
        <v>75</v>
      </c>
      <c r="R8598" t="s">
        <v>36976</v>
      </c>
      <c r="S8598" t="s">
        <v>36977</v>
      </c>
      <c r="T8598" t="s">
        <v>469</v>
      </c>
      <c r="U8598" t="s">
        <v>123</v>
      </c>
      <c r="V8598" t="str">
        <f>"016081216"</f>
        <v>016081216</v>
      </c>
      <c r="AC8598" t="s">
        <v>79</v>
      </c>
      <c r="AD8598" t="s">
        <v>75</v>
      </c>
      <c r="AE8598" t="s">
        <v>103</v>
      </c>
      <c r="AG8598" t="s">
        <v>81</v>
      </c>
    </row>
    <row r="8599" spans="1:33" x14ac:dyDescent="0.25">
      <c r="A8599" t="str">
        <f>"1790986479"</f>
        <v>1790986479</v>
      </c>
      <c r="B8599" t="str">
        <f>"02789540"</f>
        <v>02789540</v>
      </c>
      <c r="C8599" t="s">
        <v>13436</v>
      </c>
      <c r="D8599" t="s">
        <v>36978</v>
      </c>
      <c r="E8599" t="s">
        <v>36979</v>
      </c>
      <c r="G8599" t="s">
        <v>36980</v>
      </c>
      <c r="L8599" t="s">
        <v>74</v>
      </c>
      <c r="M8599" t="s">
        <v>75</v>
      </c>
      <c r="R8599" t="s">
        <v>36979</v>
      </c>
      <c r="W8599" t="s">
        <v>36979</v>
      </c>
      <c r="X8599" t="s">
        <v>36981</v>
      </c>
      <c r="Y8599" t="s">
        <v>97</v>
      </c>
      <c r="Z8599" t="s">
        <v>77</v>
      </c>
      <c r="AA8599" t="str">
        <f>"10025"</f>
        <v>10025</v>
      </c>
      <c r="AB8599" t="s">
        <v>78</v>
      </c>
      <c r="AC8599" t="s">
        <v>79</v>
      </c>
      <c r="AD8599" t="s">
        <v>75</v>
      </c>
      <c r="AE8599" t="s">
        <v>80</v>
      </c>
      <c r="AG8599" t="s">
        <v>81</v>
      </c>
    </row>
    <row r="8600" spans="1:33" x14ac:dyDescent="0.25">
      <c r="A8600" t="str">
        <f>"1174524474"</f>
        <v>1174524474</v>
      </c>
      <c r="B8600" t="str">
        <f>"02140352"</f>
        <v>02140352</v>
      </c>
      <c r="C8600" t="s">
        <v>13436</v>
      </c>
      <c r="D8600" t="s">
        <v>36982</v>
      </c>
      <c r="E8600" t="s">
        <v>36983</v>
      </c>
      <c r="G8600" t="s">
        <v>36984</v>
      </c>
      <c r="L8600" t="s">
        <v>83</v>
      </c>
      <c r="M8600" t="s">
        <v>85</v>
      </c>
      <c r="R8600" t="s">
        <v>36985</v>
      </c>
      <c r="W8600" t="s">
        <v>36983</v>
      </c>
      <c r="X8600" t="s">
        <v>24256</v>
      </c>
      <c r="Y8600" t="s">
        <v>97</v>
      </c>
      <c r="Z8600" t="s">
        <v>77</v>
      </c>
      <c r="AA8600" t="str">
        <f>"10032-3720"</f>
        <v>10032-3720</v>
      </c>
      <c r="AB8600" t="s">
        <v>78</v>
      </c>
      <c r="AC8600" t="s">
        <v>79</v>
      </c>
      <c r="AD8600" t="s">
        <v>75</v>
      </c>
      <c r="AE8600" t="s">
        <v>80</v>
      </c>
      <c r="AG8600" t="s">
        <v>81</v>
      </c>
    </row>
    <row r="8601" spans="1:33" x14ac:dyDescent="0.25">
      <c r="A8601" t="str">
        <f>"1316957707"</f>
        <v>1316957707</v>
      </c>
      <c r="B8601" t="str">
        <f>"03308472"</f>
        <v>03308472</v>
      </c>
      <c r="C8601" t="s">
        <v>13436</v>
      </c>
      <c r="D8601" t="s">
        <v>36986</v>
      </c>
      <c r="E8601" t="s">
        <v>36987</v>
      </c>
      <c r="G8601" t="s">
        <v>36988</v>
      </c>
      <c r="L8601" t="s">
        <v>83</v>
      </c>
      <c r="M8601" t="s">
        <v>85</v>
      </c>
      <c r="R8601" t="s">
        <v>36989</v>
      </c>
      <c r="W8601" t="s">
        <v>36987</v>
      </c>
      <c r="X8601" t="s">
        <v>12961</v>
      </c>
      <c r="Y8601" t="s">
        <v>1965</v>
      </c>
      <c r="Z8601" t="s">
        <v>77</v>
      </c>
      <c r="AA8601" t="str">
        <f>"11767-1090"</f>
        <v>11767-1090</v>
      </c>
      <c r="AB8601" t="s">
        <v>78</v>
      </c>
      <c r="AC8601" t="s">
        <v>79</v>
      </c>
      <c r="AD8601" t="s">
        <v>75</v>
      </c>
      <c r="AE8601" t="s">
        <v>80</v>
      </c>
      <c r="AG8601" t="s">
        <v>81</v>
      </c>
    </row>
    <row r="8602" spans="1:33" x14ac:dyDescent="0.25">
      <c r="A8602" t="str">
        <f>"1326007535"</f>
        <v>1326007535</v>
      </c>
      <c r="B8602" t="str">
        <f>"02056953"</f>
        <v>02056953</v>
      </c>
      <c r="C8602" t="s">
        <v>13436</v>
      </c>
      <c r="D8602" t="s">
        <v>36990</v>
      </c>
      <c r="E8602" t="s">
        <v>36991</v>
      </c>
      <c r="G8602" t="s">
        <v>36992</v>
      </c>
      <c r="L8602" t="s">
        <v>84</v>
      </c>
      <c r="M8602" t="s">
        <v>85</v>
      </c>
      <c r="R8602" t="s">
        <v>36993</v>
      </c>
      <c r="W8602" t="s">
        <v>36991</v>
      </c>
      <c r="X8602" t="s">
        <v>329</v>
      </c>
      <c r="Y8602" t="s">
        <v>97</v>
      </c>
      <c r="Z8602" t="s">
        <v>77</v>
      </c>
      <c r="AA8602" t="str">
        <f>"10029-6504"</f>
        <v>10029-6504</v>
      </c>
      <c r="AB8602" t="s">
        <v>78</v>
      </c>
      <c r="AC8602" t="s">
        <v>79</v>
      </c>
      <c r="AD8602" t="s">
        <v>75</v>
      </c>
      <c r="AE8602" t="s">
        <v>80</v>
      </c>
      <c r="AG8602" t="s">
        <v>81</v>
      </c>
    </row>
    <row r="8603" spans="1:33" x14ac:dyDescent="0.25">
      <c r="A8603" t="str">
        <f>"1326014119"</f>
        <v>1326014119</v>
      </c>
      <c r="B8603" t="str">
        <f>"02393373"</f>
        <v>02393373</v>
      </c>
      <c r="C8603" t="s">
        <v>13436</v>
      </c>
      <c r="D8603" t="s">
        <v>36994</v>
      </c>
      <c r="E8603" t="s">
        <v>36995</v>
      </c>
      <c r="G8603" t="s">
        <v>36996</v>
      </c>
      <c r="L8603" t="s">
        <v>83</v>
      </c>
      <c r="M8603" t="s">
        <v>85</v>
      </c>
      <c r="R8603" t="s">
        <v>36997</v>
      </c>
      <c r="W8603" t="s">
        <v>36995</v>
      </c>
      <c r="X8603" t="s">
        <v>272</v>
      </c>
      <c r="Y8603" t="s">
        <v>97</v>
      </c>
      <c r="Z8603" t="s">
        <v>77</v>
      </c>
      <c r="AA8603" t="str">
        <f>"10029-6501"</f>
        <v>10029-6501</v>
      </c>
      <c r="AB8603" t="s">
        <v>78</v>
      </c>
      <c r="AC8603" t="s">
        <v>79</v>
      </c>
      <c r="AD8603" t="s">
        <v>75</v>
      </c>
      <c r="AE8603" t="s">
        <v>80</v>
      </c>
      <c r="AG8603" t="s">
        <v>81</v>
      </c>
    </row>
    <row r="8604" spans="1:33" x14ac:dyDescent="0.25">
      <c r="A8604" t="str">
        <f>"1326016254"</f>
        <v>1326016254</v>
      </c>
      <c r="B8604" t="str">
        <f>"01460484"</f>
        <v>01460484</v>
      </c>
      <c r="C8604" t="s">
        <v>13436</v>
      </c>
      <c r="D8604" t="s">
        <v>36998</v>
      </c>
      <c r="E8604" t="s">
        <v>36999</v>
      </c>
      <c r="G8604" t="s">
        <v>37000</v>
      </c>
      <c r="L8604" t="s">
        <v>74</v>
      </c>
      <c r="M8604" t="s">
        <v>85</v>
      </c>
      <c r="R8604" t="s">
        <v>37001</v>
      </c>
      <c r="W8604" t="s">
        <v>36999</v>
      </c>
      <c r="X8604" t="s">
        <v>272</v>
      </c>
      <c r="Y8604" t="s">
        <v>97</v>
      </c>
      <c r="Z8604" t="s">
        <v>77</v>
      </c>
      <c r="AA8604" t="str">
        <f>"10029-6501"</f>
        <v>10029-6501</v>
      </c>
      <c r="AB8604" t="s">
        <v>78</v>
      </c>
      <c r="AC8604" t="s">
        <v>79</v>
      </c>
      <c r="AD8604" t="s">
        <v>75</v>
      </c>
      <c r="AE8604" t="s">
        <v>80</v>
      </c>
      <c r="AG8604" t="s">
        <v>81</v>
      </c>
    </row>
    <row r="8605" spans="1:33" x14ac:dyDescent="0.25">
      <c r="A8605" t="str">
        <f>"1326019118"</f>
        <v>1326019118</v>
      </c>
      <c r="B8605" t="str">
        <f>"00747902"</f>
        <v>00747902</v>
      </c>
      <c r="C8605" t="s">
        <v>13436</v>
      </c>
      <c r="D8605" t="s">
        <v>37002</v>
      </c>
      <c r="E8605" t="s">
        <v>37003</v>
      </c>
      <c r="G8605" t="s">
        <v>37004</v>
      </c>
      <c r="L8605" t="s">
        <v>83</v>
      </c>
      <c r="M8605" t="s">
        <v>85</v>
      </c>
      <c r="R8605" t="s">
        <v>37005</v>
      </c>
      <c r="W8605" t="s">
        <v>37006</v>
      </c>
      <c r="X8605" t="s">
        <v>37007</v>
      </c>
      <c r="Y8605" t="s">
        <v>97</v>
      </c>
      <c r="Z8605" t="s">
        <v>77</v>
      </c>
      <c r="AA8605" t="str">
        <f>"10029-0000"</f>
        <v>10029-0000</v>
      </c>
      <c r="AB8605" t="s">
        <v>78</v>
      </c>
      <c r="AC8605" t="s">
        <v>79</v>
      </c>
      <c r="AD8605" t="s">
        <v>75</v>
      </c>
      <c r="AE8605" t="s">
        <v>80</v>
      </c>
      <c r="AG8605" t="s">
        <v>81</v>
      </c>
    </row>
    <row r="8606" spans="1:33" x14ac:dyDescent="0.25">
      <c r="A8606" t="str">
        <f>"1326021783"</f>
        <v>1326021783</v>
      </c>
      <c r="B8606" t="str">
        <f>"00876206"</f>
        <v>00876206</v>
      </c>
      <c r="C8606" t="s">
        <v>13436</v>
      </c>
      <c r="D8606" t="s">
        <v>37008</v>
      </c>
      <c r="E8606" t="s">
        <v>37009</v>
      </c>
      <c r="G8606" t="s">
        <v>37010</v>
      </c>
      <c r="L8606" t="s">
        <v>83</v>
      </c>
      <c r="M8606" t="s">
        <v>85</v>
      </c>
      <c r="R8606" t="s">
        <v>37011</v>
      </c>
      <c r="W8606" t="s">
        <v>37012</v>
      </c>
      <c r="X8606" t="s">
        <v>329</v>
      </c>
      <c r="Y8606" t="s">
        <v>97</v>
      </c>
      <c r="Z8606" t="s">
        <v>77</v>
      </c>
      <c r="AA8606" t="str">
        <f>"10029-6500"</f>
        <v>10029-6500</v>
      </c>
      <c r="AB8606" t="s">
        <v>78</v>
      </c>
      <c r="AC8606" t="s">
        <v>79</v>
      </c>
      <c r="AD8606" t="s">
        <v>75</v>
      </c>
      <c r="AE8606" t="s">
        <v>80</v>
      </c>
      <c r="AG8606" t="s">
        <v>81</v>
      </c>
    </row>
    <row r="8607" spans="1:33" x14ac:dyDescent="0.25">
      <c r="A8607" t="str">
        <f>"1427324300"</f>
        <v>1427324300</v>
      </c>
      <c r="C8607" t="s">
        <v>13436</v>
      </c>
      <c r="K8607" t="s">
        <v>99</v>
      </c>
      <c r="L8607" t="s">
        <v>102</v>
      </c>
      <c r="M8607" t="s">
        <v>75</v>
      </c>
      <c r="R8607" t="s">
        <v>37013</v>
      </c>
      <c r="S8607" t="s">
        <v>37014</v>
      </c>
      <c r="T8607" t="s">
        <v>1783</v>
      </c>
      <c r="U8607" t="s">
        <v>1784</v>
      </c>
      <c r="V8607" t="str">
        <f>"191075002"</f>
        <v>191075002</v>
      </c>
      <c r="AC8607" t="s">
        <v>79</v>
      </c>
      <c r="AD8607" t="s">
        <v>75</v>
      </c>
      <c r="AE8607" t="s">
        <v>103</v>
      </c>
      <c r="AG8607" t="s">
        <v>81</v>
      </c>
    </row>
    <row r="8608" spans="1:33" x14ac:dyDescent="0.25">
      <c r="A8608" t="str">
        <f>"1427324516"</f>
        <v>1427324516</v>
      </c>
      <c r="C8608" t="s">
        <v>13436</v>
      </c>
      <c r="K8608" t="s">
        <v>99</v>
      </c>
      <c r="L8608" t="s">
        <v>102</v>
      </c>
      <c r="M8608" t="s">
        <v>75</v>
      </c>
      <c r="R8608" t="s">
        <v>37015</v>
      </c>
      <c r="S8608" t="s">
        <v>37016</v>
      </c>
      <c r="T8608" t="s">
        <v>97</v>
      </c>
      <c r="U8608" t="s">
        <v>77</v>
      </c>
      <c r="V8608" t="str">
        <f>"100295204"</f>
        <v>100295204</v>
      </c>
      <c r="AC8608" t="s">
        <v>79</v>
      </c>
      <c r="AD8608" t="s">
        <v>75</v>
      </c>
      <c r="AE8608" t="s">
        <v>103</v>
      </c>
      <c r="AG8608" t="s">
        <v>81</v>
      </c>
    </row>
    <row r="8609" spans="1:33" x14ac:dyDescent="0.25">
      <c r="A8609" t="str">
        <f>"1427324821"</f>
        <v>1427324821</v>
      </c>
      <c r="C8609" t="s">
        <v>13436</v>
      </c>
      <c r="K8609" t="s">
        <v>99</v>
      </c>
      <c r="L8609" t="s">
        <v>102</v>
      </c>
      <c r="M8609" t="s">
        <v>75</v>
      </c>
      <c r="R8609" t="s">
        <v>37017</v>
      </c>
      <c r="S8609" t="s">
        <v>37018</v>
      </c>
      <c r="T8609" t="s">
        <v>97</v>
      </c>
      <c r="U8609" t="s">
        <v>77</v>
      </c>
      <c r="V8609" t="str">
        <f>"100191147"</f>
        <v>100191147</v>
      </c>
      <c r="AC8609" t="s">
        <v>79</v>
      </c>
      <c r="AD8609" t="s">
        <v>75</v>
      </c>
      <c r="AE8609" t="s">
        <v>103</v>
      </c>
      <c r="AG8609" t="s">
        <v>81</v>
      </c>
    </row>
    <row r="8610" spans="1:33" x14ac:dyDescent="0.25">
      <c r="A8610" t="str">
        <f>"1427326552"</f>
        <v>1427326552</v>
      </c>
      <c r="B8610" t="str">
        <f>"03416259"</f>
        <v>03416259</v>
      </c>
      <c r="C8610" t="s">
        <v>13436</v>
      </c>
      <c r="D8610" t="s">
        <v>37019</v>
      </c>
      <c r="E8610" t="s">
        <v>37020</v>
      </c>
      <c r="G8610" t="s">
        <v>37021</v>
      </c>
      <c r="L8610" t="s">
        <v>74</v>
      </c>
      <c r="M8610" t="s">
        <v>75</v>
      </c>
      <c r="R8610" t="s">
        <v>37022</v>
      </c>
      <c r="W8610" t="s">
        <v>37020</v>
      </c>
      <c r="X8610" t="s">
        <v>4029</v>
      </c>
      <c r="Y8610" t="s">
        <v>97</v>
      </c>
      <c r="Z8610" t="s">
        <v>77</v>
      </c>
      <c r="AA8610" t="str">
        <f>"10029-6503"</f>
        <v>10029-6503</v>
      </c>
      <c r="AB8610" t="s">
        <v>78</v>
      </c>
      <c r="AC8610" t="s">
        <v>79</v>
      </c>
      <c r="AD8610" t="s">
        <v>75</v>
      </c>
      <c r="AE8610" t="s">
        <v>80</v>
      </c>
      <c r="AG8610" t="s">
        <v>81</v>
      </c>
    </row>
    <row r="8611" spans="1:33" x14ac:dyDescent="0.25">
      <c r="A8611" t="str">
        <f>"1427332188"</f>
        <v>1427332188</v>
      </c>
      <c r="B8611" t="str">
        <f>"03718747"</f>
        <v>03718747</v>
      </c>
      <c r="C8611" t="s">
        <v>13436</v>
      </c>
      <c r="D8611" t="s">
        <v>37023</v>
      </c>
      <c r="E8611" t="s">
        <v>37024</v>
      </c>
      <c r="G8611" t="s">
        <v>37025</v>
      </c>
      <c r="L8611" t="s">
        <v>102</v>
      </c>
      <c r="M8611" t="s">
        <v>75</v>
      </c>
      <c r="R8611" t="s">
        <v>37024</v>
      </c>
      <c r="W8611" t="s">
        <v>37024</v>
      </c>
      <c r="X8611" t="s">
        <v>36959</v>
      </c>
      <c r="Y8611" t="s">
        <v>97</v>
      </c>
      <c r="Z8611" t="s">
        <v>77</v>
      </c>
      <c r="AA8611" t="str">
        <f>"10029-6504"</f>
        <v>10029-6504</v>
      </c>
      <c r="AB8611" t="s">
        <v>78</v>
      </c>
      <c r="AC8611" t="s">
        <v>79</v>
      </c>
      <c r="AD8611" t="s">
        <v>75</v>
      </c>
      <c r="AE8611" t="s">
        <v>80</v>
      </c>
      <c r="AG8611" t="s">
        <v>81</v>
      </c>
    </row>
    <row r="8612" spans="1:33" x14ac:dyDescent="0.25">
      <c r="A8612" t="str">
        <f>"1427334366"</f>
        <v>1427334366</v>
      </c>
      <c r="B8612" t="str">
        <f>"03650382"</f>
        <v>03650382</v>
      </c>
      <c r="C8612" t="s">
        <v>13436</v>
      </c>
      <c r="D8612" t="s">
        <v>37026</v>
      </c>
      <c r="E8612" t="s">
        <v>37027</v>
      </c>
      <c r="L8612" t="s">
        <v>74</v>
      </c>
      <c r="M8612" t="s">
        <v>75</v>
      </c>
      <c r="R8612" t="s">
        <v>37028</v>
      </c>
      <c r="W8612" t="s">
        <v>37029</v>
      </c>
      <c r="X8612" t="s">
        <v>333</v>
      </c>
      <c r="Y8612" t="s">
        <v>97</v>
      </c>
      <c r="Z8612" t="s">
        <v>77</v>
      </c>
      <c r="AA8612" t="str">
        <f>"10016-9196"</f>
        <v>10016-9196</v>
      </c>
      <c r="AB8612" t="s">
        <v>78</v>
      </c>
      <c r="AC8612" t="s">
        <v>79</v>
      </c>
      <c r="AD8612" t="s">
        <v>75</v>
      </c>
      <c r="AE8612" t="s">
        <v>80</v>
      </c>
      <c r="AG8612" t="s">
        <v>81</v>
      </c>
    </row>
    <row r="8613" spans="1:33" x14ac:dyDescent="0.25">
      <c r="A8613" t="str">
        <f>"1427341387"</f>
        <v>1427341387</v>
      </c>
      <c r="C8613" t="s">
        <v>13436</v>
      </c>
      <c r="K8613" t="s">
        <v>99</v>
      </c>
      <c r="L8613" t="s">
        <v>102</v>
      </c>
      <c r="M8613" t="s">
        <v>75</v>
      </c>
      <c r="R8613" t="s">
        <v>37030</v>
      </c>
      <c r="S8613" t="s">
        <v>37031</v>
      </c>
      <c r="T8613" t="s">
        <v>28502</v>
      </c>
      <c r="U8613" t="s">
        <v>739</v>
      </c>
      <c r="V8613" t="str">
        <f>"430171436"</f>
        <v>430171436</v>
      </c>
      <c r="AC8613" t="s">
        <v>79</v>
      </c>
      <c r="AD8613" t="s">
        <v>75</v>
      </c>
      <c r="AE8613" t="s">
        <v>103</v>
      </c>
      <c r="AG8613" t="s">
        <v>81</v>
      </c>
    </row>
    <row r="8614" spans="1:33" x14ac:dyDescent="0.25">
      <c r="A8614" t="str">
        <f>"1346401726"</f>
        <v>1346401726</v>
      </c>
      <c r="B8614" t="str">
        <f>"03464028"</f>
        <v>03464028</v>
      </c>
      <c r="C8614" t="s">
        <v>13436</v>
      </c>
      <c r="D8614" t="s">
        <v>37032</v>
      </c>
      <c r="E8614" t="s">
        <v>37033</v>
      </c>
      <c r="G8614" t="s">
        <v>37034</v>
      </c>
      <c r="L8614" t="s">
        <v>83</v>
      </c>
      <c r="M8614" t="s">
        <v>85</v>
      </c>
      <c r="R8614" t="s">
        <v>37035</v>
      </c>
      <c r="W8614" t="s">
        <v>37033</v>
      </c>
      <c r="X8614" t="s">
        <v>11972</v>
      </c>
      <c r="Y8614" t="s">
        <v>97</v>
      </c>
      <c r="Z8614" t="s">
        <v>77</v>
      </c>
      <c r="AA8614" t="str">
        <f>"10029-6501"</f>
        <v>10029-6501</v>
      </c>
      <c r="AB8614" t="s">
        <v>78</v>
      </c>
      <c r="AC8614" t="s">
        <v>79</v>
      </c>
      <c r="AD8614" t="s">
        <v>75</v>
      </c>
      <c r="AE8614" t="s">
        <v>80</v>
      </c>
      <c r="AG8614" t="s">
        <v>81</v>
      </c>
    </row>
    <row r="8615" spans="1:33" x14ac:dyDescent="0.25">
      <c r="A8615" t="str">
        <f>"1346405610"</f>
        <v>1346405610</v>
      </c>
      <c r="B8615" t="str">
        <f>"03026217"</f>
        <v>03026217</v>
      </c>
      <c r="C8615" t="s">
        <v>13436</v>
      </c>
      <c r="D8615" t="s">
        <v>37036</v>
      </c>
      <c r="E8615" t="s">
        <v>37037</v>
      </c>
      <c r="G8615" t="s">
        <v>37038</v>
      </c>
      <c r="L8615" t="s">
        <v>83</v>
      </c>
      <c r="M8615" t="s">
        <v>85</v>
      </c>
      <c r="R8615" t="s">
        <v>37039</v>
      </c>
      <c r="W8615" t="s">
        <v>37037</v>
      </c>
      <c r="X8615" t="s">
        <v>1822</v>
      </c>
      <c r="Y8615" t="s">
        <v>1823</v>
      </c>
      <c r="Z8615" t="s">
        <v>77</v>
      </c>
      <c r="AA8615" t="str">
        <f>"10941-4028"</f>
        <v>10941-4028</v>
      </c>
      <c r="AB8615" t="s">
        <v>78</v>
      </c>
      <c r="AC8615" t="s">
        <v>79</v>
      </c>
      <c r="AD8615" t="s">
        <v>75</v>
      </c>
      <c r="AE8615" t="s">
        <v>80</v>
      </c>
      <c r="AG8615" t="s">
        <v>81</v>
      </c>
    </row>
    <row r="8616" spans="1:33" x14ac:dyDescent="0.25">
      <c r="A8616" t="str">
        <f>"1346414497"</f>
        <v>1346414497</v>
      </c>
      <c r="B8616" t="str">
        <f>"04424571"</f>
        <v>04424571</v>
      </c>
      <c r="C8616" t="s">
        <v>13436</v>
      </c>
      <c r="D8616" t="s">
        <v>37040</v>
      </c>
      <c r="E8616" t="s">
        <v>37041</v>
      </c>
      <c r="G8616" t="s">
        <v>37042</v>
      </c>
      <c r="L8616" t="s">
        <v>74</v>
      </c>
      <c r="M8616" t="s">
        <v>85</v>
      </c>
      <c r="R8616" t="s">
        <v>37041</v>
      </c>
      <c r="W8616" t="s">
        <v>37041</v>
      </c>
      <c r="X8616" t="s">
        <v>11844</v>
      </c>
      <c r="Y8616" t="s">
        <v>97</v>
      </c>
      <c r="Z8616" t="s">
        <v>77</v>
      </c>
      <c r="AA8616" t="str">
        <f>"10029-6501"</f>
        <v>10029-6501</v>
      </c>
      <c r="AB8616" t="s">
        <v>78</v>
      </c>
      <c r="AC8616" t="s">
        <v>79</v>
      </c>
      <c r="AD8616" t="s">
        <v>75</v>
      </c>
      <c r="AE8616" t="s">
        <v>80</v>
      </c>
      <c r="AG8616" t="s">
        <v>81</v>
      </c>
    </row>
    <row r="8617" spans="1:33" x14ac:dyDescent="0.25">
      <c r="A8617" t="str">
        <f>"1285900100"</f>
        <v>1285900100</v>
      </c>
      <c r="B8617" t="str">
        <f>"04389566"</f>
        <v>04389566</v>
      </c>
      <c r="C8617" t="s">
        <v>13436</v>
      </c>
      <c r="D8617" t="s">
        <v>37043</v>
      </c>
      <c r="E8617" t="s">
        <v>37044</v>
      </c>
      <c r="L8617" t="s">
        <v>102</v>
      </c>
      <c r="M8617" t="s">
        <v>75</v>
      </c>
      <c r="R8617" t="s">
        <v>37045</v>
      </c>
      <c r="W8617" t="s">
        <v>37044</v>
      </c>
      <c r="X8617" t="s">
        <v>6074</v>
      </c>
      <c r="Y8617" t="s">
        <v>91</v>
      </c>
      <c r="Z8617" t="s">
        <v>77</v>
      </c>
      <c r="AA8617" t="str">
        <f>"11373-1329"</f>
        <v>11373-1329</v>
      </c>
      <c r="AB8617" t="s">
        <v>78</v>
      </c>
      <c r="AC8617" t="s">
        <v>79</v>
      </c>
      <c r="AD8617" t="s">
        <v>75</v>
      </c>
      <c r="AE8617" t="s">
        <v>80</v>
      </c>
      <c r="AG8617" t="s">
        <v>81</v>
      </c>
    </row>
    <row r="8618" spans="1:33" x14ac:dyDescent="0.25">
      <c r="A8618" t="str">
        <f>"1497042105"</f>
        <v>1497042105</v>
      </c>
      <c r="C8618" t="s">
        <v>13436</v>
      </c>
      <c r="K8618" t="s">
        <v>99</v>
      </c>
      <c r="L8618" t="s">
        <v>102</v>
      </c>
      <c r="M8618" t="s">
        <v>75</v>
      </c>
      <c r="R8618" t="s">
        <v>37046</v>
      </c>
      <c r="S8618" t="s">
        <v>37047</v>
      </c>
      <c r="T8618" t="s">
        <v>97</v>
      </c>
      <c r="U8618" t="s">
        <v>77</v>
      </c>
      <c r="V8618" t="str">
        <f>"100191147"</f>
        <v>100191147</v>
      </c>
      <c r="AC8618" t="s">
        <v>79</v>
      </c>
      <c r="AD8618" t="s">
        <v>75</v>
      </c>
      <c r="AE8618" t="s">
        <v>103</v>
      </c>
      <c r="AG8618" t="s">
        <v>81</v>
      </c>
    </row>
    <row r="8619" spans="1:33" x14ac:dyDescent="0.25">
      <c r="A8619" t="str">
        <f>"1285954321"</f>
        <v>1285954321</v>
      </c>
      <c r="C8619" t="s">
        <v>13436</v>
      </c>
      <c r="K8619" t="s">
        <v>99</v>
      </c>
      <c r="L8619" t="s">
        <v>102</v>
      </c>
      <c r="M8619" t="s">
        <v>75</v>
      </c>
      <c r="R8619" t="s">
        <v>37048</v>
      </c>
      <c r="S8619" t="s">
        <v>37049</v>
      </c>
      <c r="T8619" t="s">
        <v>27345</v>
      </c>
      <c r="U8619" t="s">
        <v>1784</v>
      </c>
      <c r="V8619" t="str">
        <f>"191076130"</f>
        <v>191076130</v>
      </c>
      <c r="AC8619" t="s">
        <v>79</v>
      </c>
      <c r="AD8619" t="s">
        <v>75</v>
      </c>
      <c r="AE8619" t="s">
        <v>103</v>
      </c>
      <c r="AG8619" t="s">
        <v>81</v>
      </c>
    </row>
    <row r="8620" spans="1:33" x14ac:dyDescent="0.25">
      <c r="A8620" t="str">
        <f>"1285957464"</f>
        <v>1285957464</v>
      </c>
      <c r="B8620" t="str">
        <f>"03583608"</f>
        <v>03583608</v>
      </c>
      <c r="C8620" t="s">
        <v>13436</v>
      </c>
      <c r="D8620" t="s">
        <v>37050</v>
      </c>
      <c r="E8620" t="s">
        <v>37051</v>
      </c>
      <c r="G8620" t="s">
        <v>37052</v>
      </c>
      <c r="L8620" t="s">
        <v>74</v>
      </c>
      <c r="M8620" t="s">
        <v>85</v>
      </c>
      <c r="R8620" t="s">
        <v>37053</v>
      </c>
      <c r="W8620" t="s">
        <v>37054</v>
      </c>
      <c r="X8620" t="s">
        <v>11073</v>
      </c>
      <c r="Y8620" t="s">
        <v>97</v>
      </c>
      <c r="Z8620" t="s">
        <v>77</v>
      </c>
      <c r="AA8620" t="str">
        <f>"10029-6504"</f>
        <v>10029-6504</v>
      </c>
      <c r="AB8620" t="s">
        <v>78</v>
      </c>
      <c r="AC8620" t="s">
        <v>79</v>
      </c>
      <c r="AD8620" t="s">
        <v>75</v>
      </c>
      <c r="AE8620" t="s">
        <v>80</v>
      </c>
      <c r="AG8620" t="s">
        <v>81</v>
      </c>
    </row>
    <row r="8621" spans="1:33" x14ac:dyDescent="0.25">
      <c r="A8621" t="str">
        <f>"1285958082"</f>
        <v>1285958082</v>
      </c>
      <c r="B8621" t="str">
        <f>"03641265"</f>
        <v>03641265</v>
      </c>
      <c r="C8621" t="s">
        <v>13436</v>
      </c>
      <c r="D8621" t="s">
        <v>37055</v>
      </c>
      <c r="E8621" t="s">
        <v>37056</v>
      </c>
      <c r="G8621" t="s">
        <v>37057</v>
      </c>
      <c r="L8621" t="s">
        <v>74</v>
      </c>
      <c r="M8621" t="s">
        <v>85</v>
      </c>
      <c r="R8621" t="s">
        <v>37058</v>
      </c>
      <c r="W8621" t="s">
        <v>37056</v>
      </c>
      <c r="X8621" t="s">
        <v>235</v>
      </c>
      <c r="Y8621" t="s">
        <v>190</v>
      </c>
      <c r="Z8621" t="s">
        <v>77</v>
      </c>
      <c r="AA8621" t="str">
        <f>"11102-2448"</f>
        <v>11102-2448</v>
      </c>
      <c r="AB8621" t="s">
        <v>78</v>
      </c>
      <c r="AC8621" t="s">
        <v>79</v>
      </c>
      <c r="AD8621" t="s">
        <v>75</v>
      </c>
      <c r="AE8621" t="s">
        <v>80</v>
      </c>
      <c r="AG8621" t="s">
        <v>81</v>
      </c>
    </row>
    <row r="8622" spans="1:33" x14ac:dyDescent="0.25">
      <c r="A8622" t="str">
        <f>"1285959510"</f>
        <v>1285959510</v>
      </c>
      <c r="C8622" t="s">
        <v>13436</v>
      </c>
      <c r="K8622" t="s">
        <v>99</v>
      </c>
      <c r="L8622" t="s">
        <v>102</v>
      </c>
      <c r="M8622" t="s">
        <v>75</v>
      </c>
      <c r="R8622" t="s">
        <v>37059</v>
      </c>
      <c r="S8622" t="s">
        <v>5246</v>
      </c>
      <c r="T8622" t="s">
        <v>5247</v>
      </c>
      <c r="U8622" t="s">
        <v>1842</v>
      </c>
      <c r="V8622" t="str">
        <f>"067082613"</f>
        <v>067082613</v>
      </c>
      <c r="AC8622" t="s">
        <v>79</v>
      </c>
      <c r="AD8622" t="s">
        <v>75</v>
      </c>
      <c r="AE8622" t="s">
        <v>103</v>
      </c>
      <c r="AG8622" t="s">
        <v>81</v>
      </c>
    </row>
    <row r="8623" spans="1:33" x14ac:dyDescent="0.25">
      <c r="A8623" t="str">
        <f>"1285976738"</f>
        <v>1285976738</v>
      </c>
      <c r="C8623" t="s">
        <v>13436</v>
      </c>
      <c r="K8623" t="s">
        <v>99</v>
      </c>
      <c r="L8623" t="s">
        <v>102</v>
      </c>
      <c r="M8623" t="s">
        <v>75</v>
      </c>
      <c r="R8623" t="s">
        <v>37060</v>
      </c>
      <c r="S8623" t="s">
        <v>37061</v>
      </c>
      <c r="T8623" t="s">
        <v>11614</v>
      </c>
      <c r="U8623" t="s">
        <v>11615</v>
      </c>
      <c r="V8623" t="str">
        <f>"200371581"</f>
        <v>200371581</v>
      </c>
      <c r="AC8623" t="s">
        <v>79</v>
      </c>
      <c r="AD8623" t="s">
        <v>75</v>
      </c>
      <c r="AE8623" t="s">
        <v>103</v>
      </c>
      <c r="AG8623" t="s">
        <v>81</v>
      </c>
    </row>
    <row r="8624" spans="1:33" x14ac:dyDescent="0.25">
      <c r="A8624" t="str">
        <f>"1285977512"</f>
        <v>1285977512</v>
      </c>
      <c r="C8624" t="s">
        <v>13436</v>
      </c>
      <c r="K8624" t="s">
        <v>99</v>
      </c>
      <c r="L8624" t="s">
        <v>102</v>
      </c>
      <c r="M8624" t="s">
        <v>75</v>
      </c>
      <c r="R8624" t="s">
        <v>37062</v>
      </c>
      <c r="S8624" t="s">
        <v>12670</v>
      </c>
      <c r="T8624" t="s">
        <v>97</v>
      </c>
      <c r="U8624" t="s">
        <v>77</v>
      </c>
      <c r="V8624" t="str">
        <f>"100033821"</f>
        <v>100033821</v>
      </c>
      <c r="AC8624" t="s">
        <v>79</v>
      </c>
      <c r="AD8624" t="s">
        <v>75</v>
      </c>
      <c r="AE8624" t="s">
        <v>103</v>
      </c>
      <c r="AG8624" t="s">
        <v>81</v>
      </c>
    </row>
    <row r="8625" spans="1:33" x14ac:dyDescent="0.25">
      <c r="A8625" t="str">
        <f>"1285977744"</f>
        <v>1285977744</v>
      </c>
      <c r="B8625" t="str">
        <f>"03584618"</f>
        <v>03584618</v>
      </c>
      <c r="C8625" t="s">
        <v>13436</v>
      </c>
      <c r="D8625" t="s">
        <v>37063</v>
      </c>
      <c r="E8625" t="s">
        <v>37064</v>
      </c>
      <c r="G8625" t="s">
        <v>37065</v>
      </c>
      <c r="L8625" t="s">
        <v>83</v>
      </c>
      <c r="M8625" t="s">
        <v>75</v>
      </c>
      <c r="R8625" t="s">
        <v>37064</v>
      </c>
      <c r="W8625" t="s">
        <v>37064</v>
      </c>
      <c r="X8625" t="s">
        <v>2926</v>
      </c>
      <c r="Y8625" t="s">
        <v>97</v>
      </c>
      <c r="Z8625" t="s">
        <v>77</v>
      </c>
      <c r="AA8625" t="str">
        <f>"10029-6503"</f>
        <v>10029-6503</v>
      </c>
      <c r="AB8625" t="s">
        <v>114</v>
      </c>
      <c r="AC8625" t="s">
        <v>79</v>
      </c>
      <c r="AD8625" t="s">
        <v>75</v>
      </c>
      <c r="AE8625" t="s">
        <v>80</v>
      </c>
      <c r="AG8625" t="s">
        <v>81</v>
      </c>
    </row>
    <row r="8626" spans="1:33" x14ac:dyDescent="0.25">
      <c r="A8626" t="str">
        <f>"1285990960"</f>
        <v>1285990960</v>
      </c>
      <c r="B8626" t="str">
        <f>"04130329"</f>
        <v>04130329</v>
      </c>
      <c r="C8626" t="s">
        <v>13436</v>
      </c>
      <c r="D8626" t="s">
        <v>37066</v>
      </c>
      <c r="E8626" t="s">
        <v>37067</v>
      </c>
      <c r="L8626" t="s">
        <v>74</v>
      </c>
      <c r="M8626" t="s">
        <v>75</v>
      </c>
      <c r="R8626" t="s">
        <v>37068</v>
      </c>
      <c r="W8626" t="s">
        <v>37067</v>
      </c>
      <c r="X8626" t="s">
        <v>4445</v>
      </c>
      <c r="Y8626" t="s">
        <v>87</v>
      </c>
      <c r="Z8626" t="s">
        <v>77</v>
      </c>
      <c r="AA8626" t="str">
        <f>"11201-5809"</f>
        <v>11201-5809</v>
      </c>
      <c r="AB8626" t="s">
        <v>78</v>
      </c>
      <c r="AC8626" t="s">
        <v>79</v>
      </c>
      <c r="AD8626" t="s">
        <v>75</v>
      </c>
      <c r="AE8626" t="s">
        <v>80</v>
      </c>
      <c r="AG8626" t="s">
        <v>81</v>
      </c>
    </row>
    <row r="8627" spans="1:33" x14ac:dyDescent="0.25">
      <c r="A8627" t="str">
        <f>"1285992305"</f>
        <v>1285992305</v>
      </c>
      <c r="C8627" t="s">
        <v>13436</v>
      </c>
      <c r="K8627" t="s">
        <v>99</v>
      </c>
      <c r="L8627" t="s">
        <v>102</v>
      </c>
      <c r="M8627" t="s">
        <v>75</v>
      </c>
      <c r="R8627" t="s">
        <v>37069</v>
      </c>
      <c r="S8627" t="s">
        <v>14132</v>
      </c>
      <c r="T8627" t="s">
        <v>97</v>
      </c>
      <c r="U8627" t="s">
        <v>77</v>
      </c>
      <c r="V8627" t="str">
        <f>"100033804"</f>
        <v>100033804</v>
      </c>
      <c r="AC8627" t="s">
        <v>79</v>
      </c>
      <c r="AD8627" t="s">
        <v>75</v>
      </c>
      <c r="AE8627" t="s">
        <v>103</v>
      </c>
      <c r="AG8627" t="s">
        <v>81</v>
      </c>
    </row>
    <row r="8628" spans="1:33" x14ac:dyDescent="0.25">
      <c r="A8628" t="str">
        <f>"1285992552"</f>
        <v>1285992552</v>
      </c>
      <c r="C8628" t="s">
        <v>13436</v>
      </c>
      <c r="K8628" t="s">
        <v>99</v>
      </c>
      <c r="L8628" t="s">
        <v>102</v>
      </c>
      <c r="M8628" t="s">
        <v>75</v>
      </c>
      <c r="R8628" t="s">
        <v>37070</v>
      </c>
      <c r="S8628" t="s">
        <v>37071</v>
      </c>
      <c r="T8628" t="s">
        <v>11614</v>
      </c>
      <c r="U8628" t="s">
        <v>11615</v>
      </c>
      <c r="V8628" t="str">
        <f>"200072722"</f>
        <v>200072722</v>
      </c>
      <c r="AC8628" t="s">
        <v>79</v>
      </c>
      <c r="AD8628" t="s">
        <v>75</v>
      </c>
      <c r="AE8628" t="s">
        <v>103</v>
      </c>
      <c r="AG8628" t="s">
        <v>81</v>
      </c>
    </row>
    <row r="8629" spans="1:33" x14ac:dyDescent="0.25">
      <c r="A8629" t="str">
        <f>"1295000453"</f>
        <v>1295000453</v>
      </c>
      <c r="C8629" t="s">
        <v>13436</v>
      </c>
      <c r="K8629" t="s">
        <v>99</v>
      </c>
      <c r="L8629" t="s">
        <v>102</v>
      </c>
      <c r="M8629" t="s">
        <v>75</v>
      </c>
      <c r="R8629" t="s">
        <v>37072</v>
      </c>
      <c r="S8629" t="s">
        <v>37073</v>
      </c>
      <c r="T8629" t="s">
        <v>97</v>
      </c>
      <c r="U8629" t="s">
        <v>77</v>
      </c>
      <c r="V8629" t="str">
        <f>"100033805"</f>
        <v>100033805</v>
      </c>
      <c r="AC8629" t="s">
        <v>79</v>
      </c>
      <c r="AD8629" t="s">
        <v>75</v>
      </c>
      <c r="AE8629" t="s">
        <v>103</v>
      </c>
      <c r="AG8629" t="s">
        <v>81</v>
      </c>
    </row>
    <row r="8630" spans="1:33" x14ac:dyDescent="0.25">
      <c r="A8630" t="str">
        <f>"1295000511"</f>
        <v>1295000511</v>
      </c>
      <c r="B8630" t="str">
        <f>"04130365"</f>
        <v>04130365</v>
      </c>
      <c r="C8630" t="s">
        <v>13436</v>
      </c>
      <c r="D8630" t="s">
        <v>37074</v>
      </c>
      <c r="E8630" t="s">
        <v>37075</v>
      </c>
      <c r="L8630" t="s">
        <v>74</v>
      </c>
      <c r="M8630" t="s">
        <v>75</v>
      </c>
      <c r="R8630" t="s">
        <v>37076</v>
      </c>
      <c r="W8630" t="s">
        <v>37075</v>
      </c>
      <c r="X8630" t="s">
        <v>329</v>
      </c>
      <c r="Y8630" t="s">
        <v>97</v>
      </c>
      <c r="Z8630" t="s">
        <v>77</v>
      </c>
      <c r="AA8630" t="str">
        <f>"10029-6504"</f>
        <v>10029-6504</v>
      </c>
      <c r="AB8630" t="s">
        <v>78</v>
      </c>
      <c r="AC8630" t="s">
        <v>79</v>
      </c>
      <c r="AD8630" t="s">
        <v>75</v>
      </c>
      <c r="AE8630" t="s">
        <v>80</v>
      </c>
      <c r="AG8630" t="s">
        <v>81</v>
      </c>
    </row>
    <row r="8631" spans="1:33" x14ac:dyDescent="0.25">
      <c r="A8631" t="str">
        <f>"1790773299"</f>
        <v>1790773299</v>
      </c>
      <c r="B8631" t="str">
        <f>"01546529"</f>
        <v>01546529</v>
      </c>
      <c r="C8631" t="s">
        <v>13436</v>
      </c>
      <c r="D8631" t="s">
        <v>37077</v>
      </c>
      <c r="E8631" t="s">
        <v>37078</v>
      </c>
      <c r="G8631" t="s">
        <v>37079</v>
      </c>
      <c r="L8631" t="s">
        <v>83</v>
      </c>
      <c r="M8631" t="s">
        <v>75</v>
      </c>
      <c r="R8631" t="s">
        <v>37080</v>
      </c>
      <c r="W8631" t="s">
        <v>37081</v>
      </c>
      <c r="X8631" t="s">
        <v>1107</v>
      </c>
      <c r="Y8631" t="s">
        <v>97</v>
      </c>
      <c r="Z8631" t="s">
        <v>77</v>
      </c>
      <c r="AA8631" t="str">
        <f>"10011-4612"</f>
        <v>10011-4612</v>
      </c>
      <c r="AB8631" t="s">
        <v>78</v>
      </c>
      <c r="AC8631" t="s">
        <v>79</v>
      </c>
      <c r="AD8631" t="s">
        <v>75</v>
      </c>
      <c r="AE8631" t="s">
        <v>80</v>
      </c>
      <c r="AG8631" t="s">
        <v>81</v>
      </c>
    </row>
    <row r="8632" spans="1:33" x14ac:dyDescent="0.25">
      <c r="A8632" t="str">
        <f>"1619989514"</f>
        <v>1619989514</v>
      </c>
      <c r="B8632" t="str">
        <f>"01729588"</f>
        <v>01729588</v>
      </c>
      <c r="C8632" t="s">
        <v>13436</v>
      </c>
      <c r="D8632" t="s">
        <v>1475</v>
      </c>
      <c r="E8632" t="s">
        <v>1476</v>
      </c>
      <c r="G8632" t="s">
        <v>37082</v>
      </c>
      <c r="L8632" t="s">
        <v>84</v>
      </c>
      <c r="M8632" t="s">
        <v>85</v>
      </c>
      <c r="R8632" t="s">
        <v>1474</v>
      </c>
      <c r="W8632" t="s">
        <v>1476</v>
      </c>
      <c r="X8632" t="s">
        <v>1477</v>
      </c>
      <c r="Y8632" t="s">
        <v>87</v>
      </c>
      <c r="Z8632" t="s">
        <v>77</v>
      </c>
      <c r="AA8632" t="str">
        <f>"11220-2559"</f>
        <v>11220-2559</v>
      </c>
      <c r="AB8632" t="s">
        <v>78</v>
      </c>
      <c r="AC8632" t="s">
        <v>79</v>
      </c>
      <c r="AD8632" t="s">
        <v>75</v>
      </c>
      <c r="AE8632" t="s">
        <v>80</v>
      </c>
      <c r="AG8632" t="s">
        <v>81</v>
      </c>
    </row>
    <row r="8633" spans="1:33" x14ac:dyDescent="0.25">
      <c r="A8633" t="str">
        <f>"1639139355"</f>
        <v>1639139355</v>
      </c>
      <c r="B8633" t="str">
        <f>"02959713"</f>
        <v>02959713</v>
      </c>
      <c r="C8633" t="s">
        <v>13436</v>
      </c>
      <c r="D8633" t="s">
        <v>37083</v>
      </c>
      <c r="E8633" t="s">
        <v>37084</v>
      </c>
      <c r="G8633" t="s">
        <v>37085</v>
      </c>
      <c r="L8633" t="s">
        <v>74</v>
      </c>
      <c r="M8633" t="s">
        <v>75</v>
      </c>
      <c r="R8633" t="s">
        <v>37086</v>
      </c>
      <c r="W8633" t="s">
        <v>37087</v>
      </c>
      <c r="X8633" t="s">
        <v>2587</v>
      </c>
      <c r="Y8633" t="s">
        <v>97</v>
      </c>
      <c r="Z8633" t="s">
        <v>77</v>
      </c>
      <c r="AA8633" t="str">
        <f>"10003-3314"</f>
        <v>10003-3314</v>
      </c>
      <c r="AB8633" t="s">
        <v>128</v>
      </c>
      <c r="AC8633" t="s">
        <v>79</v>
      </c>
      <c r="AD8633" t="s">
        <v>75</v>
      </c>
      <c r="AE8633" t="s">
        <v>80</v>
      </c>
      <c r="AG8633" t="s">
        <v>81</v>
      </c>
    </row>
    <row r="8634" spans="1:33" x14ac:dyDescent="0.25">
      <c r="A8634" t="str">
        <f>"1679866255"</f>
        <v>1679866255</v>
      </c>
      <c r="C8634" t="s">
        <v>13436</v>
      </c>
      <c r="K8634" t="s">
        <v>99</v>
      </c>
      <c r="L8634" t="s">
        <v>102</v>
      </c>
      <c r="M8634" t="s">
        <v>75</v>
      </c>
      <c r="R8634" t="s">
        <v>37088</v>
      </c>
      <c r="S8634" t="s">
        <v>192</v>
      </c>
      <c r="T8634" t="s">
        <v>161</v>
      </c>
      <c r="U8634" t="s">
        <v>77</v>
      </c>
      <c r="V8634" t="str">
        <f>"110401433"</f>
        <v>110401433</v>
      </c>
      <c r="AC8634" t="s">
        <v>79</v>
      </c>
      <c r="AD8634" t="s">
        <v>75</v>
      </c>
      <c r="AE8634" t="s">
        <v>103</v>
      </c>
      <c r="AG8634" t="s">
        <v>81</v>
      </c>
    </row>
    <row r="8635" spans="1:33" x14ac:dyDescent="0.25">
      <c r="A8635" t="str">
        <f>"1629496690"</f>
        <v>1629496690</v>
      </c>
      <c r="C8635" t="s">
        <v>13436</v>
      </c>
      <c r="K8635" t="s">
        <v>99</v>
      </c>
      <c r="L8635" t="s">
        <v>102</v>
      </c>
      <c r="M8635" t="s">
        <v>75</v>
      </c>
      <c r="R8635" t="s">
        <v>37089</v>
      </c>
      <c r="S8635" t="s">
        <v>37090</v>
      </c>
      <c r="T8635" t="s">
        <v>182</v>
      </c>
      <c r="U8635" t="s">
        <v>77</v>
      </c>
      <c r="V8635" t="str">
        <f>"115012359"</f>
        <v>115012359</v>
      </c>
      <c r="AC8635" t="s">
        <v>79</v>
      </c>
      <c r="AD8635" t="s">
        <v>75</v>
      </c>
      <c r="AE8635" t="s">
        <v>103</v>
      </c>
      <c r="AG8635" t="s">
        <v>81</v>
      </c>
    </row>
    <row r="8636" spans="1:33" x14ac:dyDescent="0.25">
      <c r="A8636" t="str">
        <f>"1629498803"</f>
        <v>1629498803</v>
      </c>
      <c r="C8636" t="s">
        <v>13436</v>
      </c>
      <c r="K8636" t="s">
        <v>99</v>
      </c>
      <c r="L8636" t="s">
        <v>102</v>
      </c>
      <c r="M8636" t="s">
        <v>75</v>
      </c>
      <c r="R8636" t="s">
        <v>37091</v>
      </c>
      <c r="S8636" t="s">
        <v>12670</v>
      </c>
      <c r="T8636" t="s">
        <v>97</v>
      </c>
      <c r="U8636" t="s">
        <v>77</v>
      </c>
      <c r="V8636" t="str">
        <f>"100033821"</f>
        <v>100033821</v>
      </c>
      <c r="AC8636" t="s">
        <v>79</v>
      </c>
      <c r="AD8636" t="s">
        <v>75</v>
      </c>
      <c r="AE8636" t="s">
        <v>103</v>
      </c>
      <c r="AG8636" t="s">
        <v>81</v>
      </c>
    </row>
    <row r="8637" spans="1:33" x14ac:dyDescent="0.25">
      <c r="A8637" t="str">
        <f>"1639101777"</f>
        <v>1639101777</v>
      </c>
      <c r="B8637" t="str">
        <f>"02096055"</f>
        <v>02096055</v>
      </c>
      <c r="C8637" t="s">
        <v>13436</v>
      </c>
      <c r="D8637" t="s">
        <v>37092</v>
      </c>
      <c r="E8637" t="s">
        <v>37093</v>
      </c>
      <c r="G8637" t="s">
        <v>37094</v>
      </c>
      <c r="L8637" t="s">
        <v>94</v>
      </c>
      <c r="M8637" t="s">
        <v>75</v>
      </c>
      <c r="R8637" t="s">
        <v>37095</v>
      </c>
      <c r="W8637" t="s">
        <v>37093</v>
      </c>
      <c r="X8637" t="s">
        <v>1227</v>
      </c>
      <c r="Y8637" t="s">
        <v>91</v>
      </c>
      <c r="Z8637" t="s">
        <v>77</v>
      </c>
      <c r="AA8637" t="str">
        <f>"11373-1329"</f>
        <v>11373-1329</v>
      </c>
      <c r="AB8637" t="s">
        <v>78</v>
      </c>
      <c r="AC8637" t="s">
        <v>79</v>
      </c>
      <c r="AD8637" t="s">
        <v>75</v>
      </c>
      <c r="AE8637" t="s">
        <v>80</v>
      </c>
      <c r="AG8637" t="s">
        <v>81</v>
      </c>
    </row>
    <row r="8638" spans="1:33" x14ac:dyDescent="0.25">
      <c r="A8638" t="str">
        <f>"1689712416"</f>
        <v>1689712416</v>
      </c>
      <c r="C8638" t="s">
        <v>13436</v>
      </c>
      <c r="K8638" t="s">
        <v>99</v>
      </c>
      <c r="L8638" t="s">
        <v>102</v>
      </c>
      <c r="M8638" t="s">
        <v>75</v>
      </c>
      <c r="R8638" t="s">
        <v>37096</v>
      </c>
      <c r="S8638" t="s">
        <v>37097</v>
      </c>
      <c r="T8638" t="s">
        <v>97</v>
      </c>
      <c r="U8638" t="s">
        <v>77</v>
      </c>
      <c r="V8638" t="str">
        <f>"10029"</f>
        <v>10029</v>
      </c>
      <c r="AC8638" t="s">
        <v>79</v>
      </c>
      <c r="AD8638" t="s">
        <v>75</v>
      </c>
      <c r="AE8638" t="s">
        <v>103</v>
      </c>
      <c r="AG8638" t="s">
        <v>81</v>
      </c>
    </row>
    <row r="8639" spans="1:33" x14ac:dyDescent="0.25">
      <c r="A8639" t="str">
        <f>"1689091977"</f>
        <v>1689091977</v>
      </c>
      <c r="C8639" t="s">
        <v>13436</v>
      </c>
      <c r="K8639" t="s">
        <v>99</v>
      </c>
      <c r="L8639" t="s">
        <v>102</v>
      </c>
      <c r="M8639" t="s">
        <v>75</v>
      </c>
      <c r="R8639" t="s">
        <v>37098</v>
      </c>
      <c r="S8639" t="s">
        <v>37099</v>
      </c>
      <c r="T8639" t="s">
        <v>97</v>
      </c>
      <c r="U8639" t="s">
        <v>77</v>
      </c>
      <c r="V8639" t="str">
        <f>"100033821"</f>
        <v>100033821</v>
      </c>
      <c r="AC8639" t="s">
        <v>79</v>
      </c>
      <c r="AD8639" t="s">
        <v>75</v>
      </c>
      <c r="AE8639" t="s">
        <v>103</v>
      </c>
      <c r="AG8639" t="s">
        <v>81</v>
      </c>
    </row>
    <row r="8640" spans="1:33" x14ac:dyDescent="0.25">
      <c r="A8640" t="str">
        <f>"1689093320"</f>
        <v>1689093320</v>
      </c>
      <c r="C8640" t="s">
        <v>13436</v>
      </c>
      <c r="K8640" t="s">
        <v>99</v>
      </c>
      <c r="L8640" t="s">
        <v>102</v>
      </c>
      <c r="M8640" t="s">
        <v>75</v>
      </c>
      <c r="R8640" t="s">
        <v>37100</v>
      </c>
      <c r="S8640" t="s">
        <v>191</v>
      </c>
      <c r="T8640" t="s">
        <v>97</v>
      </c>
      <c r="U8640" t="s">
        <v>77</v>
      </c>
      <c r="V8640" t="str">
        <f>"100191147"</f>
        <v>100191147</v>
      </c>
      <c r="AC8640" t="s">
        <v>79</v>
      </c>
      <c r="AD8640" t="s">
        <v>75</v>
      </c>
      <c r="AE8640" t="s">
        <v>103</v>
      </c>
      <c r="AG8640" t="s">
        <v>81</v>
      </c>
    </row>
    <row r="8641" spans="1:33" x14ac:dyDescent="0.25">
      <c r="A8641" t="str">
        <f>"1962667360"</f>
        <v>1962667360</v>
      </c>
      <c r="B8641" t="str">
        <f>"03084228"</f>
        <v>03084228</v>
      </c>
      <c r="C8641" t="s">
        <v>13436</v>
      </c>
      <c r="D8641" t="s">
        <v>37101</v>
      </c>
      <c r="E8641" t="s">
        <v>37102</v>
      </c>
      <c r="L8641" t="s">
        <v>74</v>
      </c>
      <c r="M8641" t="s">
        <v>85</v>
      </c>
      <c r="R8641" t="s">
        <v>37103</v>
      </c>
      <c r="W8641" t="s">
        <v>37104</v>
      </c>
      <c r="X8641" t="s">
        <v>37105</v>
      </c>
      <c r="Y8641" t="s">
        <v>97</v>
      </c>
      <c r="Z8641" t="s">
        <v>77</v>
      </c>
      <c r="AA8641" t="str">
        <f>"10016-4852"</f>
        <v>10016-4852</v>
      </c>
      <c r="AB8641" t="s">
        <v>78</v>
      </c>
      <c r="AC8641" t="s">
        <v>79</v>
      </c>
      <c r="AD8641" t="s">
        <v>75</v>
      </c>
      <c r="AE8641" t="s">
        <v>80</v>
      </c>
      <c r="AG8641" t="s">
        <v>81</v>
      </c>
    </row>
    <row r="8642" spans="1:33" x14ac:dyDescent="0.25">
      <c r="B8642" t="str">
        <f>"03110863"</f>
        <v>03110863</v>
      </c>
      <c r="C8642" t="s">
        <v>37106</v>
      </c>
      <c r="D8642" t="s">
        <v>37107</v>
      </c>
      <c r="E8642" t="s">
        <v>37108</v>
      </c>
      <c r="G8642" t="s">
        <v>37109</v>
      </c>
      <c r="H8642" t="s">
        <v>6485</v>
      </c>
      <c r="J8642" t="s">
        <v>6486</v>
      </c>
      <c r="L8642" t="s">
        <v>37</v>
      </c>
      <c r="M8642" t="s">
        <v>85</v>
      </c>
      <c r="W8642" t="s">
        <v>37110</v>
      </c>
      <c r="X8642" t="s">
        <v>37111</v>
      </c>
      <c r="Y8642" t="s">
        <v>97</v>
      </c>
      <c r="Z8642" t="s">
        <v>77</v>
      </c>
      <c r="AA8642" t="str">
        <f>"10036-2296"</f>
        <v>10036-2296</v>
      </c>
      <c r="AB8642" t="s">
        <v>98</v>
      </c>
      <c r="AC8642" t="s">
        <v>79</v>
      </c>
      <c r="AD8642" t="s">
        <v>75</v>
      </c>
      <c r="AE8642" t="s">
        <v>80</v>
      </c>
      <c r="AG8642" t="s">
        <v>81</v>
      </c>
    </row>
    <row r="8643" spans="1:33" x14ac:dyDescent="0.25">
      <c r="B8643" t="str">
        <f>"03420871"</f>
        <v>03420871</v>
      </c>
      <c r="C8643" t="s">
        <v>37112</v>
      </c>
      <c r="D8643" t="s">
        <v>37113</v>
      </c>
      <c r="E8643" t="s">
        <v>37114</v>
      </c>
      <c r="G8643" t="s">
        <v>172</v>
      </c>
      <c r="H8643" t="s">
        <v>764</v>
      </c>
      <c r="J8643" t="s">
        <v>3058</v>
      </c>
      <c r="L8643" t="s">
        <v>35</v>
      </c>
      <c r="M8643" t="s">
        <v>75</v>
      </c>
      <c r="W8643" t="s">
        <v>37115</v>
      </c>
      <c r="X8643" t="s">
        <v>37116</v>
      </c>
      <c r="Y8643" t="s">
        <v>97</v>
      </c>
      <c r="Z8643" t="s">
        <v>77</v>
      </c>
      <c r="AA8643" t="str">
        <f>"10001-3701"</f>
        <v>10001-3701</v>
      </c>
      <c r="AB8643" t="s">
        <v>629</v>
      </c>
      <c r="AC8643" t="s">
        <v>79</v>
      </c>
      <c r="AD8643" t="s">
        <v>75</v>
      </c>
      <c r="AE8643" t="s">
        <v>80</v>
      </c>
      <c r="AG8643" t="s">
        <v>81</v>
      </c>
    </row>
    <row r="8644" spans="1:33" x14ac:dyDescent="0.25">
      <c r="B8644" t="str">
        <f>"02704447"</f>
        <v>02704447</v>
      </c>
      <c r="C8644" t="s">
        <v>37117</v>
      </c>
      <c r="D8644" t="s">
        <v>37118</v>
      </c>
      <c r="E8644" t="s">
        <v>37119</v>
      </c>
      <c r="F8644">
        <v>112030172</v>
      </c>
      <c r="G8644" t="s">
        <v>37120</v>
      </c>
      <c r="H8644" t="s">
        <v>6801</v>
      </c>
      <c r="J8644" t="s">
        <v>7219</v>
      </c>
      <c r="L8644" t="s">
        <v>37</v>
      </c>
      <c r="M8644" t="s">
        <v>75</v>
      </c>
      <c r="W8644" t="s">
        <v>37119</v>
      </c>
      <c r="X8644" t="s">
        <v>112</v>
      </c>
      <c r="Y8644" t="s">
        <v>97</v>
      </c>
      <c r="Z8644" t="s">
        <v>77</v>
      </c>
      <c r="AA8644" t="str">
        <f>"10001"</f>
        <v>10001</v>
      </c>
      <c r="AB8644" t="s">
        <v>98</v>
      </c>
      <c r="AC8644" t="s">
        <v>79</v>
      </c>
      <c r="AD8644" t="s">
        <v>75</v>
      </c>
      <c r="AE8644" t="s">
        <v>80</v>
      </c>
      <c r="AG8644" t="s">
        <v>81</v>
      </c>
    </row>
    <row r="8645" spans="1:33" x14ac:dyDescent="0.25">
      <c r="A8645" t="str">
        <f>"1225038375"</f>
        <v>1225038375</v>
      </c>
      <c r="B8645" t="str">
        <f>"00978890"</f>
        <v>00978890</v>
      </c>
      <c r="C8645" t="s">
        <v>13436</v>
      </c>
      <c r="D8645" t="s">
        <v>37121</v>
      </c>
      <c r="E8645" t="s">
        <v>37122</v>
      </c>
      <c r="G8645" t="s">
        <v>37123</v>
      </c>
      <c r="L8645" t="s">
        <v>83</v>
      </c>
      <c r="M8645" t="s">
        <v>75</v>
      </c>
      <c r="R8645" t="s">
        <v>37124</v>
      </c>
      <c r="W8645" t="s">
        <v>37125</v>
      </c>
      <c r="X8645" t="s">
        <v>37126</v>
      </c>
      <c r="Y8645" t="s">
        <v>87</v>
      </c>
      <c r="Z8645" t="s">
        <v>77</v>
      </c>
      <c r="AA8645" t="str">
        <f>"11235-1709"</f>
        <v>11235-1709</v>
      </c>
      <c r="AB8645" t="s">
        <v>78</v>
      </c>
      <c r="AC8645" t="s">
        <v>79</v>
      </c>
      <c r="AD8645" t="s">
        <v>75</v>
      </c>
      <c r="AE8645" t="s">
        <v>80</v>
      </c>
      <c r="AG8645" t="s">
        <v>81</v>
      </c>
    </row>
    <row r="8646" spans="1:33" x14ac:dyDescent="0.25">
      <c r="A8646" t="str">
        <f>"1386601136"</f>
        <v>1386601136</v>
      </c>
      <c r="B8646" t="str">
        <f>"01777311"</f>
        <v>01777311</v>
      </c>
      <c r="C8646" t="s">
        <v>13436</v>
      </c>
      <c r="D8646" t="s">
        <v>37127</v>
      </c>
      <c r="E8646" t="s">
        <v>37128</v>
      </c>
      <c r="G8646" t="s">
        <v>37129</v>
      </c>
      <c r="L8646" t="s">
        <v>83</v>
      </c>
      <c r="M8646" t="s">
        <v>75</v>
      </c>
      <c r="R8646" t="s">
        <v>37130</v>
      </c>
      <c r="W8646" t="s">
        <v>37128</v>
      </c>
      <c r="X8646" t="s">
        <v>392</v>
      </c>
      <c r="Y8646" t="s">
        <v>97</v>
      </c>
      <c r="Z8646" t="s">
        <v>77</v>
      </c>
      <c r="AA8646" t="str">
        <f>"10075-1851"</f>
        <v>10075-1851</v>
      </c>
      <c r="AB8646" t="s">
        <v>78</v>
      </c>
      <c r="AC8646" t="s">
        <v>79</v>
      </c>
      <c r="AD8646" t="s">
        <v>75</v>
      </c>
      <c r="AE8646" t="s">
        <v>80</v>
      </c>
      <c r="AG8646" t="s">
        <v>81</v>
      </c>
    </row>
    <row r="8647" spans="1:33" x14ac:dyDescent="0.25">
      <c r="A8647" t="str">
        <f>"1386601979"</f>
        <v>1386601979</v>
      </c>
      <c r="B8647" t="str">
        <f>"02686955"</f>
        <v>02686955</v>
      </c>
      <c r="C8647" t="s">
        <v>13436</v>
      </c>
      <c r="D8647" t="s">
        <v>37131</v>
      </c>
      <c r="E8647" t="s">
        <v>37132</v>
      </c>
      <c r="G8647" t="s">
        <v>37133</v>
      </c>
      <c r="L8647" t="s">
        <v>83</v>
      </c>
      <c r="M8647" t="s">
        <v>85</v>
      </c>
      <c r="R8647" t="s">
        <v>37134</v>
      </c>
      <c r="W8647" t="s">
        <v>37132</v>
      </c>
      <c r="X8647" t="s">
        <v>272</v>
      </c>
      <c r="Y8647" t="s">
        <v>97</v>
      </c>
      <c r="Z8647" t="s">
        <v>77</v>
      </c>
      <c r="AA8647" t="str">
        <f>"10029-6501"</f>
        <v>10029-6501</v>
      </c>
      <c r="AB8647" t="s">
        <v>78</v>
      </c>
      <c r="AC8647" t="s">
        <v>79</v>
      </c>
      <c r="AD8647" t="s">
        <v>75</v>
      </c>
      <c r="AE8647" t="s">
        <v>80</v>
      </c>
      <c r="AG8647" t="s">
        <v>81</v>
      </c>
    </row>
    <row r="8648" spans="1:33" x14ac:dyDescent="0.25">
      <c r="A8648" t="str">
        <f>"1386602035"</f>
        <v>1386602035</v>
      </c>
      <c r="B8648" t="str">
        <f>"01131864"</f>
        <v>01131864</v>
      </c>
      <c r="C8648" t="s">
        <v>13436</v>
      </c>
      <c r="D8648" t="s">
        <v>37135</v>
      </c>
      <c r="E8648" t="s">
        <v>37136</v>
      </c>
      <c r="G8648" t="s">
        <v>37137</v>
      </c>
      <c r="L8648" t="s">
        <v>83</v>
      </c>
      <c r="M8648" t="s">
        <v>75</v>
      </c>
      <c r="R8648" t="s">
        <v>37138</v>
      </c>
      <c r="W8648" t="s">
        <v>37136</v>
      </c>
      <c r="X8648" t="s">
        <v>228</v>
      </c>
      <c r="Y8648" t="s">
        <v>91</v>
      </c>
      <c r="Z8648" t="s">
        <v>77</v>
      </c>
      <c r="AA8648" t="str">
        <f>"11373-1329"</f>
        <v>11373-1329</v>
      </c>
      <c r="AB8648" t="s">
        <v>78</v>
      </c>
      <c r="AC8648" t="s">
        <v>79</v>
      </c>
      <c r="AD8648" t="s">
        <v>75</v>
      </c>
      <c r="AE8648" t="s">
        <v>80</v>
      </c>
      <c r="AG8648" t="s">
        <v>81</v>
      </c>
    </row>
    <row r="8649" spans="1:33" x14ac:dyDescent="0.25">
      <c r="A8649" t="str">
        <f>"1831186451"</f>
        <v>1831186451</v>
      </c>
      <c r="B8649" t="str">
        <f>"03000617"</f>
        <v>03000617</v>
      </c>
      <c r="C8649" t="s">
        <v>37139</v>
      </c>
      <c r="D8649" t="s">
        <v>5286</v>
      </c>
      <c r="E8649" t="s">
        <v>5285</v>
      </c>
      <c r="L8649" t="s">
        <v>106</v>
      </c>
      <c r="M8649" t="s">
        <v>85</v>
      </c>
      <c r="R8649" t="s">
        <v>5287</v>
      </c>
      <c r="W8649" t="s">
        <v>5285</v>
      </c>
      <c r="X8649" t="s">
        <v>2268</v>
      </c>
      <c r="Y8649" t="s">
        <v>87</v>
      </c>
      <c r="Z8649" t="s">
        <v>77</v>
      </c>
      <c r="AA8649" t="str">
        <f>"11224-2114"</f>
        <v>11224-2114</v>
      </c>
      <c r="AB8649" t="s">
        <v>107</v>
      </c>
      <c r="AC8649" t="s">
        <v>79</v>
      </c>
      <c r="AD8649" t="s">
        <v>75</v>
      </c>
      <c r="AE8649" t="s">
        <v>80</v>
      </c>
      <c r="AG8649" t="s">
        <v>81</v>
      </c>
    </row>
    <row r="8650" spans="1:33" x14ac:dyDescent="0.25">
      <c r="A8650" t="str">
        <f>"1760662019"</f>
        <v>1760662019</v>
      </c>
      <c r="B8650" t="str">
        <f>"03448620"</f>
        <v>03448620</v>
      </c>
      <c r="C8650" t="s">
        <v>13436</v>
      </c>
      <c r="D8650" t="s">
        <v>37140</v>
      </c>
      <c r="E8650" t="s">
        <v>37141</v>
      </c>
      <c r="G8650" t="s">
        <v>37142</v>
      </c>
      <c r="L8650" t="s">
        <v>83</v>
      </c>
      <c r="M8650" t="s">
        <v>85</v>
      </c>
      <c r="R8650" t="s">
        <v>37143</v>
      </c>
      <c r="W8650" t="s">
        <v>37141</v>
      </c>
      <c r="X8650" t="s">
        <v>37144</v>
      </c>
      <c r="Y8650" t="s">
        <v>97</v>
      </c>
      <c r="Z8650" t="s">
        <v>77</v>
      </c>
      <c r="AA8650" t="str">
        <f>"10029-6502"</f>
        <v>10029-6502</v>
      </c>
      <c r="AB8650" t="s">
        <v>78</v>
      </c>
      <c r="AC8650" t="s">
        <v>79</v>
      </c>
      <c r="AD8650" t="s">
        <v>75</v>
      </c>
      <c r="AE8650" t="s">
        <v>80</v>
      </c>
      <c r="AG8650" t="s">
        <v>81</v>
      </c>
    </row>
    <row r="8651" spans="1:33" x14ac:dyDescent="0.25">
      <c r="A8651" t="str">
        <f>"1760674451"</f>
        <v>1760674451</v>
      </c>
      <c r="B8651" t="str">
        <f>"03242748"</f>
        <v>03242748</v>
      </c>
      <c r="C8651" t="s">
        <v>13436</v>
      </c>
      <c r="D8651" t="s">
        <v>37145</v>
      </c>
      <c r="E8651" t="s">
        <v>37146</v>
      </c>
      <c r="G8651" t="s">
        <v>37147</v>
      </c>
      <c r="L8651" t="s">
        <v>102</v>
      </c>
      <c r="M8651" t="s">
        <v>75</v>
      </c>
      <c r="R8651" t="s">
        <v>37148</v>
      </c>
      <c r="W8651" t="s">
        <v>37146</v>
      </c>
      <c r="X8651" t="s">
        <v>5647</v>
      </c>
      <c r="Y8651" t="s">
        <v>2592</v>
      </c>
      <c r="Z8651" t="s">
        <v>77</v>
      </c>
      <c r="AA8651" t="str">
        <f>"12449-5340"</f>
        <v>12449-5340</v>
      </c>
      <c r="AB8651" t="s">
        <v>78</v>
      </c>
      <c r="AC8651" t="s">
        <v>79</v>
      </c>
      <c r="AD8651" t="s">
        <v>75</v>
      </c>
      <c r="AE8651" t="s">
        <v>80</v>
      </c>
      <c r="AG8651" t="s">
        <v>81</v>
      </c>
    </row>
    <row r="8652" spans="1:33" x14ac:dyDescent="0.25">
      <c r="A8652" t="str">
        <f>"1760697205"</f>
        <v>1760697205</v>
      </c>
      <c r="B8652" t="str">
        <f>"03219725"</f>
        <v>03219725</v>
      </c>
      <c r="C8652" t="s">
        <v>13436</v>
      </c>
      <c r="D8652" t="s">
        <v>37149</v>
      </c>
      <c r="E8652" t="s">
        <v>37150</v>
      </c>
      <c r="G8652" t="s">
        <v>37151</v>
      </c>
      <c r="L8652" t="s">
        <v>94</v>
      </c>
      <c r="M8652" t="s">
        <v>85</v>
      </c>
      <c r="R8652" t="s">
        <v>37152</v>
      </c>
      <c r="W8652" t="s">
        <v>37153</v>
      </c>
      <c r="X8652" t="s">
        <v>329</v>
      </c>
      <c r="Y8652" t="s">
        <v>97</v>
      </c>
      <c r="Z8652" t="s">
        <v>77</v>
      </c>
      <c r="AA8652" t="str">
        <f>"10029-6500"</f>
        <v>10029-6500</v>
      </c>
      <c r="AB8652" t="s">
        <v>78</v>
      </c>
      <c r="AC8652" t="s">
        <v>79</v>
      </c>
      <c r="AD8652" t="s">
        <v>75</v>
      </c>
      <c r="AE8652" t="s">
        <v>80</v>
      </c>
      <c r="AG8652" t="s">
        <v>81</v>
      </c>
    </row>
    <row r="8653" spans="1:33" x14ac:dyDescent="0.25">
      <c r="A8653" t="str">
        <f>"1760703466"</f>
        <v>1760703466</v>
      </c>
      <c r="B8653" t="str">
        <f>"03986445"</f>
        <v>03986445</v>
      </c>
      <c r="C8653" t="s">
        <v>13436</v>
      </c>
      <c r="D8653" t="s">
        <v>37154</v>
      </c>
      <c r="E8653" t="s">
        <v>37155</v>
      </c>
      <c r="G8653" t="s">
        <v>37156</v>
      </c>
      <c r="L8653" t="s">
        <v>105</v>
      </c>
      <c r="M8653" t="s">
        <v>75</v>
      </c>
      <c r="R8653" t="s">
        <v>37157</v>
      </c>
      <c r="W8653" t="s">
        <v>37155</v>
      </c>
      <c r="X8653" t="s">
        <v>37158</v>
      </c>
      <c r="Y8653" t="s">
        <v>97</v>
      </c>
      <c r="Z8653" t="s">
        <v>77</v>
      </c>
      <c r="AA8653" t="str">
        <f>"10003-3804"</f>
        <v>10003-3804</v>
      </c>
      <c r="AB8653" t="s">
        <v>78</v>
      </c>
      <c r="AC8653" t="s">
        <v>79</v>
      </c>
      <c r="AD8653" t="s">
        <v>75</v>
      </c>
      <c r="AE8653" t="s">
        <v>80</v>
      </c>
      <c r="AG8653" t="s">
        <v>81</v>
      </c>
    </row>
    <row r="8654" spans="1:33" x14ac:dyDescent="0.25">
      <c r="A8654" t="str">
        <f>"1760709232"</f>
        <v>1760709232</v>
      </c>
      <c r="B8654" t="str">
        <f>"03752518"</f>
        <v>03752518</v>
      </c>
      <c r="C8654" t="s">
        <v>13436</v>
      </c>
      <c r="D8654" t="s">
        <v>37159</v>
      </c>
      <c r="E8654" t="s">
        <v>37160</v>
      </c>
      <c r="L8654" t="s">
        <v>84</v>
      </c>
      <c r="M8654" t="s">
        <v>85</v>
      </c>
      <c r="R8654" t="s">
        <v>37161</v>
      </c>
      <c r="W8654" t="s">
        <v>37160</v>
      </c>
      <c r="X8654" t="s">
        <v>1010</v>
      </c>
      <c r="Y8654" t="s">
        <v>97</v>
      </c>
      <c r="Z8654" t="s">
        <v>77</v>
      </c>
      <c r="AA8654" t="str">
        <f>"10035-3832"</f>
        <v>10035-3832</v>
      </c>
      <c r="AB8654" t="s">
        <v>78</v>
      </c>
      <c r="AC8654" t="s">
        <v>79</v>
      </c>
      <c r="AD8654" t="s">
        <v>75</v>
      </c>
      <c r="AE8654" t="s">
        <v>80</v>
      </c>
      <c r="AG8654" t="s">
        <v>81</v>
      </c>
    </row>
    <row r="8655" spans="1:33" x14ac:dyDescent="0.25">
      <c r="A8655" t="str">
        <f>"1760716161"</f>
        <v>1760716161</v>
      </c>
      <c r="B8655" t="str">
        <f>"04171959"</f>
        <v>04171959</v>
      </c>
      <c r="C8655" t="s">
        <v>13436</v>
      </c>
      <c r="D8655" t="s">
        <v>37162</v>
      </c>
      <c r="E8655" t="s">
        <v>37163</v>
      </c>
      <c r="L8655" t="s">
        <v>74</v>
      </c>
      <c r="M8655" t="s">
        <v>75</v>
      </c>
      <c r="R8655" t="s">
        <v>37164</v>
      </c>
      <c r="W8655" t="s">
        <v>37163</v>
      </c>
      <c r="X8655" t="s">
        <v>37165</v>
      </c>
      <c r="Y8655" t="s">
        <v>97</v>
      </c>
      <c r="Z8655" t="s">
        <v>77</v>
      </c>
      <c r="AA8655" t="str">
        <f>"10029-6503"</f>
        <v>10029-6503</v>
      </c>
      <c r="AB8655" t="s">
        <v>78</v>
      </c>
      <c r="AC8655" t="s">
        <v>79</v>
      </c>
      <c r="AD8655" t="s">
        <v>75</v>
      </c>
      <c r="AE8655" t="s">
        <v>80</v>
      </c>
      <c r="AG8655" t="s">
        <v>81</v>
      </c>
    </row>
    <row r="8656" spans="1:33" x14ac:dyDescent="0.25">
      <c r="A8656" t="str">
        <f>"1831449040"</f>
        <v>1831449040</v>
      </c>
      <c r="C8656" t="s">
        <v>13436</v>
      </c>
      <c r="G8656" t="s">
        <v>37166</v>
      </c>
      <c r="K8656" t="s">
        <v>99</v>
      </c>
      <c r="L8656" t="s">
        <v>102</v>
      </c>
      <c r="M8656" t="s">
        <v>85</v>
      </c>
      <c r="R8656" t="s">
        <v>37167</v>
      </c>
      <c r="S8656" t="s">
        <v>37168</v>
      </c>
      <c r="T8656" t="s">
        <v>3361</v>
      </c>
      <c r="U8656" t="s">
        <v>2595</v>
      </c>
      <c r="V8656" t="str">
        <f>"928683857"</f>
        <v>928683857</v>
      </c>
      <c r="AC8656" t="s">
        <v>79</v>
      </c>
      <c r="AD8656" t="s">
        <v>75</v>
      </c>
      <c r="AE8656" t="s">
        <v>103</v>
      </c>
      <c r="AG8656" t="s">
        <v>81</v>
      </c>
    </row>
    <row r="8657" spans="1:33" x14ac:dyDescent="0.25">
      <c r="A8657" t="str">
        <f>"1831524842"</f>
        <v>1831524842</v>
      </c>
      <c r="B8657" t="str">
        <f>"03876184"</f>
        <v>03876184</v>
      </c>
      <c r="C8657" t="s">
        <v>13436</v>
      </c>
      <c r="D8657" t="s">
        <v>37169</v>
      </c>
      <c r="E8657" t="s">
        <v>37170</v>
      </c>
      <c r="G8657" t="s">
        <v>37171</v>
      </c>
      <c r="L8657" t="s">
        <v>102</v>
      </c>
      <c r="M8657" t="s">
        <v>75</v>
      </c>
      <c r="R8657" t="s">
        <v>37172</v>
      </c>
      <c r="W8657" t="s">
        <v>37173</v>
      </c>
      <c r="X8657" t="s">
        <v>1076</v>
      </c>
      <c r="Y8657" t="s">
        <v>97</v>
      </c>
      <c r="Z8657" t="s">
        <v>77</v>
      </c>
      <c r="AA8657" t="str">
        <f>"10025-1737"</f>
        <v>10025-1737</v>
      </c>
      <c r="AB8657" t="s">
        <v>125</v>
      </c>
      <c r="AC8657" t="s">
        <v>79</v>
      </c>
      <c r="AD8657" t="s">
        <v>75</v>
      </c>
      <c r="AE8657" t="s">
        <v>80</v>
      </c>
      <c r="AG8657" t="s">
        <v>81</v>
      </c>
    </row>
    <row r="8658" spans="1:33" x14ac:dyDescent="0.25">
      <c r="A8658" t="str">
        <f>"1841219854"</f>
        <v>1841219854</v>
      </c>
      <c r="B8658" t="str">
        <f>"02168909"</f>
        <v>02168909</v>
      </c>
      <c r="C8658" t="s">
        <v>13436</v>
      </c>
      <c r="D8658" t="s">
        <v>37174</v>
      </c>
      <c r="E8658" t="s">
        <v>37175</v>
      </c>
      <c r="G8658" t="s">
        <v>37176</v>
      </c>
      <c r="L8658" t="s">
        <v>84</v>
      </c>
      <c r="M8658" t="s">
        <v>85</v>
      </c>
      <c r="R8658" t="s">
        <v>37177</v>
      </c>
      <c r="W8658" t="s">
        <v>37175</v>
      </c>
      <c r="X8658" t="s">
        <v>3875</v>
      </c>
      <c r="Y8658" t="s">
        <v>97</v>
      </c>
      <c r="Z8658" t="s">
        <v>77</v>
      </c>
      <c r="AA8658" t="str">
        <f>"10002-2301"</f>
        <v>10002-2301</v>
      </c>
      <c r="AB8658" t="s">
        <v>78</v>
      </c>
      <c r="AC8658" t="s">
        <v>79</v>
      </c>
      <c r="AD8658" t="s">
        <v>75</v>
      </c>
      <c r="AE8658" t="s">
        <v>80</v>
      </c>
      <c r="AG8658" t="s">
        <v>81</v>
      </c>
    </row>
    <row r="8659" spans="1:33" x14ac:dyDescent="0.25">
      <c r="A8659" t="str">
        <f>"1841237526"</f>
        <v>1841237526</v>
      </c>
      <c r="B8659" t="str">
        <f>"01551582"</f>
        <v>01551582</v>
      </c>
      <c r="C8659" t="s">
        <v>13436</v>
      </c>
      <c r="D8659" t="s">
        <v>37178</v>
      </c>
      <c r="E8659" t="s">
        <v>37179</v>
      </c>
      <c r="G8659" t="s">
        <v>37180</v>
      </c>
      <c r="L8659" t="s">
        <v>83</v>
      </c>
      <c r="M8659" t="s">
        <v>85</v>
      </c>
      <c r="R8659" t="s">
        <v>37181</v>
      </c>
      <c r="W8659" t="s">
        <v>37179</v>
      </c>
      <c r="X8659" t="s">
        <v>37182</v>
      </c>
      <c r="Y8659" t="s">
        <v>155</v>
      </c>
      <c r="Z8659" t="s">
        <v>77</v>
      </c>
      <c r="AA8659" t="str">
        <f>"10304-4419"</f>
        <v>10304-4419</v>
      </c>
      <c r="AB8659" t="s">
        <v>78</v>
      </c>
      <c r="AC8659" t="s">
        <v>79</v>
      </c>
      <c r="AD8659" t="s">
        <v>75</v>
      </c>
      <c r="AE8659" t="s">
        <v>80</v>
      </c>
      <c r="AG8659" t="s">
        <v>81</v>
      </c>
    </row>
    <row r="8660" spans="1:33" x14ac:dyDescent="0.25">
      <c r="A8660" t="str">
        <f>"1144489238"</f>
        <v>1144489238</v>
      </c>
      <c r="B8660" t="str">
        <f>"03414826"</f>
        <v>03414826</v>
      </c>
      <c r="C8660" t="s">
        <v>13436</v>
      </c>
      <c r="D8660" t="s">
        <v>37183</v>
      </c>
      <c r="E8660" t="s">
        <v>37184</v>
      </c>
      <c r="L8660" t="s">
        <v>84</v>
      </c>
      <c r="M8660" t="s">
        <v>75</v>
      </c>
      <c r="R8660" t="s">
        <v>37184</v>
      </c>
      <c r="W8660" t="s">
        <v>37185</v>
      </c>
      <c r="X8660" t="s">
        <v>5450</v>
      </c>
      <c r="Y8660" t="s">
        <v>97</v>
      </c>
      <c r="Z8660" t="s">
        <v>77</v>
      </c>
      <c r="AA8660" t="str">
        <f>"10011-3601"</f>
        <v>10011-3601</v>
      </c>
      <c r="AB8660" t="s">
        <v>78</v>
      </c>
      <c r="AC8660" t="s">
        <v>79</v>
      </c>
      <c r="AD8660" t="s">
        <v>75</v>
      </c>
      <c r="AE8660" t="s">
        <v>80</v>
      </c>
      <c r="AG8660" t="s">
        <v>81</v>
      </c>
    </row>
    <row r="8661" spans="1:33" x14ac:dyDescent="0.25">
      <c r="A8661" t="str">
        <f>"1154555621"</f>
        <v>1154555621</v>
      </c>
      <c r="B8661" t="str">
        <f>"03114298"</f>
        <v>03114298</v>
      </c>
      <c r="C8661" t="s">
        <v>13436</v>
      </c>
      <c r="D8661" t="s">
        <v>37186</v>
      </c>
      <c r="E8661" t="s">
        <v>37187</v>
      </c>
      <c r="L8661" t="s">
        <v>74</v>
      </c>
      <c r="M8661" t="s">
        <v>75</v>
      </c>
      <c r="R8661" t="s">
        <v>37188</v>
      </c>
      <c r="W8661" t="s">
        <v>37187</v>
      </c>
      <c r="X8661" t="s">
        <v>181</v>
      </c>
      <c r="Y8661" t="s">
        <v>97</v>
      </c>
      <c r="Z8661" t="s">
        <v>77</v>
      </c>
      <c r="AA8661" t="str">
        <f>"10025-1716"</f>
        <v>10025-1716</v>
      </c>
      <c r="AB8661" t="s">
        <v>78</v>
      </c>
      <c r="AC8661" t="s">
        <v>79</v>
      </c>
      <c r="AD8661" t="s">
        <v>75</v>
      </c>
      <c r="AE8661" t="s">
        <v>80</v>
      </c>
      <c r="AG8661" t="s">
        <v>81</v>
      </c>
    </row>
    <row r="8662" spans="1:33" x14ac:dyDescent="0.25">
      <c r="A8662" t="str">
        <f>"1174539308"</f>
        <v>1174539308</v>
      </c>
      <c r="B8662" t="str">
        <f>"01773082"</f>
        <v>01773082</v>
      </c>
      <c r="C8662" t="s">
        <v>13436</v>
      </c>
      <c r="D8662" t="s">
        <v>37189</v>
      </c>
      <c r="E8662" t="s">
        <v>37190</v>
      </c>
      <c r="L8662" t="s">
        <v>102</v>
      </c>
      <c r="M8662" t="s">
        <v>75</v>
      </c>
      <c r="R8662" t="s">
        <v>37191</v>
      </c>
      <c r="W8662" t="s">
        <v>37190</v>
      </c>
      <c r="X8662" t="s">
        <v>5896</v>
      </c>
      <c r="Y8662" t="s">
        <v>97</v>
      </c>
      <c r="Z8662" t="s">
        <v>77</v>
      </c>
      <c r="AA8662" t="str">
        <f>"10003-3314"</f>
        <v>10003-3314</v>
      </c>
      <c r="AB8662" t="s">
        <v>78</v>
      </c>
      <c r="AC8662" t="s">
        <v>79</v>
      </c>
      <c r="AD8662" t="s">
        <v>75</v>
      </c>
      <c r="AE8662" t="s">
        <v>80</v>
      </c>
      <c r="AG8662" t="s">
        <v>81</v>
      </c>
    </row>
    <row r="8663" spans="1:33" x14ac:dyDescent="0.25">
      <c r="A8663" t="str">
        <f>"1205835030"</f>
        <v>1205835030</v>
      </c>
      <c r="B8663" t="str">
        <f>"03939993"</f>
        <v>03939993</v>
      </c>
      <c r="C8663" t="s">
        <v>13436</v>
      </c>
      <c r="D8663" t="s">
        <v>37192</v>
      </c>
      <c r="E8663" t="s">
        <v>37193</v>
      </c>
      <c r="L8663" t="s">
        <v>74</v>
      </c>
      <c r="M8663" t="s">
        <v>75</v>
      </c>
      <c r="R8663" t="s">
        <v>37194</v>
      </c>
      <c r="W8663" t="s">
        <v>37193</v>
      </c>
      <c r="X8663" t="s">
        <v>4799</v>
      </c>
      <c r="Y8663" t="s">
        <v>87</v>
      </c>
      <c r="Z8663" t="s">
        <v>77</v>
      </c>
      <c r="AA8663" t="str">
        <f>"11234-2625"</f>
        <v>11234-2625</v>
      </c>
      <c r="AB8663" t="s">
        <v>78</v>
      </c>
      <c r="AC8663" t="s">
        <v>79</v>
      </c>
      <c r="AD8663" t="s">
        <v>75</v>
      </c>
      <c r="AE8663" t="s">
        <v>80</v>
      </c>
      <c r="AG8663" t="s">
        <v>81</v>
      </c>
    </row>
    <row r="8664" spans="1:33" x14ac:dyDescent="0.25">
      <c r="A8664" t="str">
        <f>"1225299175"</f>
        <v>1225299175</v>
      </c>
      <c r="B8664" t="str">
        <f>"03340934"</f>
        <v>03340934</v>
      </c>
      <c r="C8664" t="s">
        <v>13436</v>
      </c>
      <c r="D8664" t="s">
        <v>37195</v>
      </c>
      <c r="E8664" t="s">
        <v>37196</v>
      </c>
      <c r="L8664" t="s">
        <v>83</v>
      </c>
      <c r="M8664" t="s">
        <v>75</v>
      </c>
      <c r="R8664" t="s">
        <v>37197</v>
      </c>
      <c r="W8664" t="s">
        <v>37198</v>
      </c>
      <c r="X8664" t="s">
        <v>37199</v>
      </c>
      <c r="Y8664" t="s">
        <v>281</v>
      </c>
      <c r="Z8664" t="s">
        <v>77</v>
      </c>
      <c r="AA8664" t="str">
        <f>"11366-1636"</f>
        <v>11366-1636</v>
      </c>
      <c r="AB8664" t="s">
        <v>128</v>
      </c>
      <c r="AC8664" t="s">
        <v>79</v>
      </c>
      <c r="AD8664" t="s">
        <v>75</v>
      </c>
      <c r="AE8664" t="s">
        <v>80</v>
      </c>
      <c r="AG8664" t="s">
        <v>81</v>
      </c>
    </row>
    <row r="8665" spans="1:33" x14ac:dyDescent="0.25">
      <c r="A8665" t="str">
        <f>"1235242967"</f>
        <v>1235242967</v>
      </c>
      <c r="B8665" t="str">
        <f>"04133597"</f>
        <v>04133597</v>
      </c>
      <c r="C8665" t="s">
        <v>13436</v>
      </c>
      <c r="D8665" t="s">
        <v>37200</v>
      </c>
      <c r="E8665" t="s">
        <v>37201</v>
      </c>
      <c r="L8665" t="s">
        <v>74</v>
      </c>
      <c r="M8665" t="s">
        <v>75</v>
      </c>
      <c r="R8665" t="s">
        <v>37202</v>
      </c>
      <c r="W8665" t="s">
        <v>37201</v>
      </c>
      <c r="X8665" t="s">
        <v>1351</v>
      </c>
      <c r="Y8665" t="s">
        <v>87</v>
      </c>
      <c r="Z8665" t="s">
        <v>77</v>
      </c>
      <c r="AA8665" t="str">
        <f>"11220-4743"</f>
        <v>11220-4743</v>
      </c>
      <c r="AB8665" t="s">
        <v>78</v>
      </c>
      <c r="AC8665" t="s">
        <v>79</v>
      </c>
      <c r="AD8665" t="s">
        <v>75</v>
      </c>
      <c r="AE8665" t="s">
        <v>80</v>
      </c>
      <c r="AG8665" t="s">
        <v>81</v>
      </c>
    </row>
    <row r="8666" spans="1:33" x14ac:dyDescent="0.25">
      <c r="A8666" t="str">
        <f>"1245477694"</f>
        <v>1245477694</v>
      </c>
      <c r="B8666" t="str">
        <f>"04340130"</f>
        <v>04340130</v>
      </c>
      <c r="C8666" t="s">
        <v>13436</v>
      </c>
      <c r="D8666" t="s">
        <v>37203</v>
      </c>
      <c r="E8666" t="s">
        <v>37204</v>
      </c>
      <c r="L8666" t="s">
        <v>102</v>
      </c>
      <c r="M8666" t="s">
        <v>75</v>
      </c>
      <c r="R8666" t="s">
        <v>37205</v>
      </c>
      <c r="W8666" t="s">
        <v>37206</v>
      </c>
      <c r="X8666" t="s">
        <v>37207</v>
      </c>
      <c r="Y8666" t="s">
        <v>87</v>
      </c>
      <c r="Z8666" t="s">
        <v>77</v>
      </c>
      <c r="AA8666" t="str">
        <f>"11222-2274"</f>
        <v>11222-2274</v>
      </c>
      <c r="AB8666" t="s">
        <v>78</v>
      </c>
      <c r="AC8666" t="s">
        <v>79</v>
      </c>
      <c r="AD8666" t="s">
        <v>75</v>
      </c>
      <c r="AE8666" t="s">
        <v>80</v>
      </c>
      <c r="AG8666" t="s">
        <v>81</v>
      </c>
    </row>
    <row r="8667" spans="1:33" x14ac:dyDescent="0.25">
      <c r="A8667" t="str">
        <f>"1770680357"</f>
        <v>1770680357</v>
      </c>
      <c r="B8667" t="str">
        <f>"00740987"</f>
        <v>00740987</v>
      </c>
      <c r="C8667" t="s">
        <v>37208</v>
      </c>
      <c r="D8667" t="s">
        <v>37209</v>
      </c>
      <c r="E8667" t="s">
        <v>37210</v>
      </c>
      <c r="G8667" t="s">
        <v>32933</v>
      </c>
      <c r="H8667" t="s">
        <v>32934</v>
      </c>
      <c r="J8667" t="s">
        <v>32935</v>
      </c>
      <c r="L8667" t="s">
        <v>83</v>
      </c>
      <c r="M8667" t="s">
        <v>75</v>
      </c>
      <c r="R8667" t="s">
        <v>37211</v>
      </c>
      <c r="W8667" t="s">
        <v>37212</v>
      </c>
      <c r="X8667" t="s">
        <v>37213</v>
      </c>
      <c r="Y8667" t="s">
        <v>87</v>
      </c>
      <c r="Z8667" t="s">
        <v>77</v>
      </c>
      <c r="AA8667" t="str">
        <f>"11218-4603"</f>
        <v>11218-4603</v>
      </c>
      <c r="AB8667" t="s">
        <v>128</v>
      </c>
      <c r="AC8667" t="s">
        <v>79</v>
      </c>
      <c r="AD8667" t="s">
        <v>75</v>
      </c>
      <c r="AE8667" t="s">
        <v>80</v>
      </c>
      <c r="AG8667" t="s">
        <v>81</v>
      </c>
    </row>
    <row r="8668" spans="1:33" x14ac:dyDescent="0.25">
      <c r="A8668" t="str">
        <f>"1699068718"</f>
        <v>1699068718</v>
      </c>
      <c r="B8668" t="str">
        <f>"04042302"</f>
        <v>04042302</v>
      </c>
      <c r="C8668" t="s">
        <v>37214</v>
      </c>
      <c r="D8668" t="s">
        <v>37215</v>
      </c>
      <c r="E8668" t="s">
        <v>37216</v>
      </c>
      <c r="G8668" t="s">
        <v>33762</v>
      </c>
      <c r="H8668" t="s">
        <v>33763</v>
      </c>
      <c r="J8668" t="s">
        <v>33764</v>
      </c>
      <c r="L8668" t="s">
        <v>83</v>
      </c>
      <c r="M8668" t="s">
        <v>75</v>
      </c>
      <c r="R8668" t="s">
        <v>37216</v>
      </c>
      <c r="W8668" t="s">
        <v>37216</v>
      </c>
      <c r="X8668" t="s">
        <v>33766</v>
      </c>
      <c r="Y8668" t="s">
        <v>216</v>
      </c>
      <c r="Z8668" t="s">
        <v>77</v>
      </c>
      <c r="AA8668" t="str">
        <f>"11691-5425"</f>
        <v>11691-5425</v>
      </c>
      <c r="AB8668" t="s">
        <v>78</v>
      </c>
      <c r="AC8668" t="s">
        <v>79</v>
      </c>
      <c r="AD8668" t="s">
        <v>75</v>
      </c>
      <c r="AE8668" t="s">
        <v>80</v>
      </c>
      <c r="AG8668" t="s">
        <v>81</v>
      </c>
    </row>
    <row r="8669" spans="1:33" x14ac:dyDescent="0.25">
      <c r="A8669" t="str">
        <f>"1720373632"</f>
        <v>1720373632</v>
      </c>
      <c r="C8669" t="s">
        <v>13436</v>
      </c>
      <c r="K8669" t="s">
        <v>99</v>
      </c>
      <c r="L8669" t="s">
        <v>102</v>
      </c>
      <c r="M8669" t="s">
        <v>75</v>
      </c>
      <c r="R8669" t="s">
        <v>37217</v>
      </c>
      <c r="S8669" t="s">
        <v>37218</v>
      </c>
      <c r="T8669" t="s">
        <v>97</v>
      </c>
      <c r="U8669" t="s">
        <v>77</v>
      </c>
      <c r="V8669" t="str">
        <f>"100191035"</f>
        <v>100191035</v>
      </c>
      <c r="AC8669" t="s">
        <v>79</v>
      </c>
      <c r="AD8669" t="s">
        <v>75</v>
      </c>
      <c r="AE8669" t="s">
        <v>103</v>
      </c>
      <c r="AG8669" t="s">
        <v>81</v>
      </c>
    </row>
    <row r="8670" spans="1:33" x14ac:dyDescent="0.25">
      <c r="A8670" t="str">
        <f>"1609132091"</f>
        <v>1609132091</v>
      </c>
      <c r="C8670" t="s">
        <v>13436</v>
      </c>
      <c r="K8670" t="s">
        <v>99</v>
      </c>
      <c r="L8670" t="s">
        <v>102</v>
      </c>
      <c r="M8670" t="s">
        <v>75</v>
      </c>
      <c r="R8670" t="s">
        <v>37219</v>
      </c>
      <c r="S8670" t="s">
        <v>12619</v>
      </c>
      <c r="T8670" t="s">
        <v>97</v>
      </c>
      <c r="U8670" t="s">
        <v>77</v>
      </c>
      <c r="V8670" t="str">
        <f>"100191147"</f>
        <v>100191147</v>
      </c>
      <c r="AC8670" t="s">
        <v>79</v>
      </c>
      <c r="AD8670" t="s">
        <v>75</v>
      </c>
      <c r="AE8670" t="s">
        <v>103</v>
      </c>
      <c r="AG8670" t="s">
        <v>81</v>
      </c>
    </row>
    <row r="8671" spans="1:33" x14ac:dyDescent="0.25">
      <c r="A8671" t="str">
        <f>"1326049909"</f>
        <v>1326049909</v>
      </c>
      <c r="B8671" t="str">
        <f>"02444833"</f>
        <v>02444833</v>
      </c>
      <c r="C8671" t="s">
        <v>13436</v>
      </c>
      <c r="D8671" t="s">
        <v>37220</v>
      </c>
      <c r="E8671" t="s">
        <v>37221</v>
      </c>
      <c r="G8671" t="s">
        <v>37222</v>
      </c>
      <c r="L8671" t="s">
        <v>83</v>
      </c>
      <c r="M8671" t="s">
        <v>85</v>
      </c>
      <c r="R8671" t="s">
        <v>37223</v>
      </c>
      <c r="W8671" t="s">
        <v>37221</v>
      </c>
      <c r="X8671" t="s">
        <v>329</v>
      </c>
      <c r="Y8671" t="s">
        <v>97</v>
      </c>
      <c r="Z8671" t="s">
        <v>77</v>
      </c>
      <c r="AA8671" t="str">
        <f>"10029-6504"</f>
        <v>10029-6504</v>
      </c>
      <c r="AB8671" t="s">
        <v>78</v>
      </c>
      <c r="AC8671" t="s">
        <v>79</v>
      </c>
      <c r="AD8671" t="s">
        <v>75</v>
      </c>
      <c r="AE8671" t="s">
        <v>80</v>
      </c>
      <c r="AG8671" t="s">
        <v>81</v>
      </c>
    </row>
    <row r="8672" spans="1:33" x14ac:dyDescent="0.25">
      <c r="A8672" t="str">
        <f>"1063419612"</f>
        <v>1063419612</v>
      </c>
      <c r="B8672" t="str">
        <f>"00309724"</f>
        <v>00309724</v>
      </c>
      <c r="C8672" t="s">
        <v>37224</v>
      </c>
      <c r="D8672" t="s">
        <v>37225</v>
      </c>
      <c r="E8672" t="s">
        <v>37226</v>
      </c>
      <c r="G8672" t="s">
        <v>37227</v>
      </c>
      <c r="H8672" t="s">
        <v>37228</v>
      </c>
      <c r="J8672" t="s">
        <v>37229</v>
      </c>
      <c r="L8672" t="s">
        <v>15</v>
      </c>
      <c r="M8672" t="s">
        <v>85</v>
      </c>
      <c r="R8672" t="s">
        <v>37230</v>
      </c>
      <c r="W8672" t="s">
        <v>37226</v>
      </c>
      <c r="X8672" t="s">
        <v>37231</v>
      </c>
      <c r="Y8672" t="s">
        <v>216</v>
      </c>
      <c r="Z8672" t="s">
        <v>77</v>
      </c>
      <c r="AA8672" t="str">
        <f>"11691-2538"</f>
        <v>11691-2538</v>
      </c>
      <c r="AB8672" t="s">
        <v>107</v>
      </c>
      <c r="AC8672" t="s">
        <v>79</v>
      </c>
      <c r="AD8672" t="s">
        <v>75</v>
      </c>
      <c r="AE8672" t="s">
        <v>80</v>
      </c>
      <c r="AG8672" t="s">
        <v>81</v>
      </c>
    </row>
    <row r="8673" spans="1:33" x14ac:dyDescent="0.25">
      <c r="A8673" t="str">
        <f>"1104098029"</f>
        <v>1104098029</v>
      </c>
      <c r="B8673" t="str">
        <f>"01355788"</f>
        <v>01355788</v>
      </c>
      <c r="C8673" t="s">
        <v>4434</v>
      </c>
      <c r="D8673" t="s">
        <v>37232</v>
      </c>
      <c r="E8673" t="s">
        <v>37233</v>
      </c>
      <c r="F8673">
        <v>112777066</v>
      </c>
      <c r="G8673" t="s">
        <v>27118</v>
      </c>
      <c r="H8673" t="s">
        <v>27119</v>
      </c>
      <c r="J8673" t="s">
        <v>27120</v>
      </c>
      <c r="L8673" t="s">
        <v>37</v>
      </c>
      <c r="M8673" t="s">
        <v>75</v>
      </c>
      <c r="R8673" t="s">
        <v>4438</v>
      </c>
      <c r="W8673" t="s">
        <v>37233</v>
      </c>
      <c r="X8673" t="s">
        <v>37234</v>
      </c>
      <c r="Y8673" t="s">
        <v>309</v>
      </c>
      <c r="Z8673" t="s">
        <v>77</v>
      </c>
      <c r="AA8673" t="str">
        <f>"11419-1105"</f>
        <v>11419-1105</v>
      </c>
      <c r="AB8673" t="s">
        <v>107</v>
      </c>
      <c r="AC8673" t="s">
        <v>79</v>
      </c>
      <c r="AD8673" t="s">
        <v>75</v>
      </c>
      <c r="AE8673" t="s">
        <v>80</v>
      </c>
      <c r="AG8673" t="s">
        <v>81</v>
      </c>
    </row>
    <row r="8674" spans="1:33" x14ac:dyDescent="0.25">
      <c r="A8674" t="str">
        <f>"1255656344"</f>
        <v>1255656344</v>
      </c>
      <c r="B8674" t="str">
        <f>"03770183"</f>
        <v>03770183</v>
      </c>
      <c r="C8674" t="s">
        <v>13436</v>
      </c>
      <c r="D8674" t="s">
        <v>37235</v>
      </c>
      <c r="E8674" t="s">
        <v>37236</v>
      </c>
      <c r="G8674" t="s">
        <v>37237</v>
      </c>
      <c r="L8674" t="s">
        <v>105</v>
      </c>
      <c r="M8674" t="s">
        <v>75</v>
      </c>
      <c r="R8674" t="s">
        <v>37236</v>
      </c>
      <c r="W8674" t="s">
        <v>37236</v>
      </c>
      <c r="X8674" t="s">
        <v>17108</v>
      </c>
      <c r="Y8674" t="s">
        <v>97</v>
      </c>
      <c r="Z8674" t="s">
        <v>77</v>
      </c>
      <c r="AA8674" t="str">
        <f>"10003-3851"</f>
        <v>10003-3851</v>
      </c>
      <c r="AB8674" t="s">
        <v>78</v>
      </c>
      <c r="AC8674" t="s">
        <v>79</v>
      </c>
      <c r="AD8674" t="s">
        <v>75</v>
      </c>
      <c r="AE8674" t="s">
        <v>80</v>
      </c>
      <c r="AG8674" t="s">
        <v>81</v>
      </c>
    </row>
    <row r="8675" spans="1:33" x14ac:dyDescent="0.25">
      <c r="A8675" t="str">
        <f>"1255656377"</f>
        <v>1255656377</v>
      </c>
      <c r="B8675" t="str">
        <f>"03918678"</f>
        <v>03918678</v>
      </c>
      <c r="C8675" t="s">
        <v>13436</v>
      </c>
      <c r="D8675" t="s">
        <v>37238</v>
      </c>
      <c r="E8675" t="s">
        <v>37239</v>
      </c>
      <c r="G8675" t="s">
        <v>37240</v>
      </c>
      <c r="L8675" t="s">
        <v>83</v>
      </c>
      <c r="M8675" t="s">
        <v>75</v>
      </c>
      <c r="R8675" t="s">
        <v>37241</v>
      </c>
      <c r="W8675" t="s">
        <v>37242</v>
      </c>
      <c r="X8675" t="s">
        <v>5248</v>
      </c>
      <c r="Y8675" t="s">
        <v>97</v>
      </c>
      <c r="Z8675" t="s">
        <v>77</v>
      </c>
      <c r="AA8675" t="str">
        <f>"10023-7410"</f>
        <v>10023-7410</v>
      </c>
      <c r="AB8675" t="s">
        <v>78</v>
      </c>
      <c r="AC8675" t="s">
        <v>79</v>
      </c>
      <c r="AD8675" t="s">
        <v>75</v>
      </c>
      <c r="AE8675" t="s">
        <v>80</v>
      </c>
      <c r="AG8675" t="s">
        <v>81</v>
      </c>
    </row>
    <row r="8676" spans="1:33" x14ac:dyDescent="0.25">
      <c r="A8676" t="str">
        <f>"1255659827"</f>
        <v>1255659827</v>
      </c>
      <c r="B8676" t="str">
        <f>"04072762"</f>
        <v>04072762</v>
      </c>
      <c r="C8676" t="s">
        <v>13436</v>
      </c>
      <c r="D8676" t="s">
        <v>37243</v>
      </c>
      <c r="E8676" t="s">
        <v>37244</v>
      </c>
      <c r="L8676" t="s">
        <v>74</v>
      </c>
      <c r="M8676" t="s">
        <v>75</v>
      </c>
      <c r="R8676" t="s">
        <v>37245</v>
      </c>
      <c r="W8676" t="s">
        <v>37244</v>
      </c>
      <c r="X8676" t="s">
        <v>267</v>
      </c>
      <c r="Y8676" t="s">
        <v>91</v>
      </c>
      <c r="Z8676" t="s">
        <v>77</v>
      </c>
      <c r="AA8676" t="str">
        <f>"11373-1329"</f>
        <v>11373-1329</v>
      </c>
      <c r="AB8676" t="s">
        <v>78</v>
      </c>
      <c r="AC8676" t="s">
        <v>79</v>
      </c>
      <c r="AD8676" t="s">
        <v>75</v>
      </c>
      <c r="AE8676" t="s">
        <v>80</v>
      </c>
      <c r="AG8676" t="s">
        <v>81</v>
      </c>
    </row>
    <row r="8677" spans="1:33" x14ac:dyDescent="0.25">
      <c r="A8677" t="str">
        <f>"1255662011"</f>
        <v>1255662011</v>
      </c>
      <c r="B8677" t="str">
        <f>"00538716"</f>
        <v>00538716</v>
      </c>
      <c r="C8677" t="s">
        <v>13436</v>
      </c>
      <c r="D8677" t="s">
        <v>37246</v>
      </c>
      <c r="E8677" t="s">
        <v>37247</v>
      </c>
      <c r="G8677" t="s">
        <v>37248</v>
      </c>
      <c r="L8677" t="s">
        <v>102</v>
      </c>
      <c r="M8677" t="s">
        <v>75</v>
      </c>
      <c r="R8677" t="s">
        <v>37249</v>
      </c>
      <c r="W8677" t="s">
        <v>37247</v>
      </c>
      <c r="X8677" t="s">
        <v>2386</v>
      </c>
      <c r="Y8677" t="s">
        <v>1835</v>
      </c>
      <c r="Z8677" t="s">
        <v>77</v>
      </c>
      <c r="AA8677" t="str">
        <f>"13642-1040"</f>
        <v>13642-1040</v>
      </c>
      <c r="AB8677" t="s">
        <v>78</v>
      </c>
      <c r="AC8677" t="s">
        <v>79</v>
      </c>
      <c r="AD8677" t="s">
        <v>75</v>
      </c>
      <c r="AE8677" t="s">
        <v>80</v>
      </c>
      <c r="AG8677" t="s">
        <v>81</v>
      </c>
    </row>
    <row r="8678" spans="1:33" x14ac:dyDescent="0.25">
      <c r="A8678" t="str">
        <f>"1255677985"</f>
        <v>1255677985</v>
      </c>
      <c r="B8678" t="str">
        <f>"03800566"</f>
        <v>03800566</v>
      </c>
      <c r="C8678" t="s">
        <v>13436</v>
      </c>
      <c r="D8678" t="s">
        <v>37250</v>
      </c>
      <c r="E8678" t="s">
        <v>37251</v>
      </c>
      <c r="G8678" t="s">
        <v>37252</v>
      </c>
      <c r="L8678" t="s">
        <v>74</v>
      </c>
      <c r="M8678" t="s">
        <v>75</v>
      </c>
      <c r="R8678" t="s">
        <v>37253</v>
      </c>
      <c r="W8678" t="s">
        <v>37251</v>
      </c>
      <c r="X8678" t="s">
        <v>329</v>
      </c>
      <c r="Y8678" t="s">
        <v>97</v>
      </c>
      <c r="Z8678" t="s">
        <v>77</v>
      </c>
      <c r="AA8678" t="str">
        <f>"10029-6504"</f>
        <v>10029-6504</v>
      </c>
      <c r="AB8678" t="s">
        <v>78</v>
      </c>
      <c r="AC8678" t="s">
        <v>79</v>
      </c>
      <c r="AD8678" t="s">
        <v>75</v>
      </c>
      <c r="AE8678" t="s">
        <v>80</v>
      </c>
      <c r="AG8678" t="s">
        <v>81</v>
      </c>
    </row>
    <row r="8679" spans="1:33" x14ac:dyDescent="0.25">
      <c r="A8679" t="str">
        <f>"1255679064"</f>
        <v>1255679064</v>
      </c>
      <c r="C8679" t="s">
        <v>13436</v>
      </c>
      <c r="K8679" t="s">
        <v>99</v>
      </c>
      <c r="L8679" t="s">
        <v>102</v>
      </c>
      <c r="M8679" t="s">
        <v>75</v>
      </c>
      <c r="R8679" t="s">
        <v>37254</v>
      </c>
      <c r="S8679" t="s">
        <v>37255</v>
      </c>
      <c r="T8679" t="s">
        <v>4515</v>
      </c>
      <c r="U8679" t="s">
        <v>1842</v>
      </c>
      <c r="V8679" t="str">
        <f>"06606"</f>
        <v>06606</v>
      </c>
      <c r="AC8679" t="s">
        <v>79</v>
      </c>
      <c r="AD8679" t="s">
        <v>75</v>
      </c>
      <c r="AE8679" t="s">
        <v>103</v>
      </c>
      <c r="AG8679" t="s">
        <v>81</v>
      </c>
    </row>
    <row r="8680" spans="1:33" x14ac:dyDescent="0.25">
      <c r="A8680" t="str">
        <f>"1255682175"</f>
        <v>1255682175</v>
      </c>
      <c r="C8680" t="s">
        <v>13436</v>
      </c>
      <c r="K8680" t="s">
        <v>99</v>
      </c>
      <c r="L8680" t="s">
        <v>74</v>
      </c>
      <c r="M8680" t="s">
        <v>75</v>
      </c>
      <c r="R8680" t="s">
        <v>37256</v>
      </c>
      <c r="S8680" t="s">
        <v>37257</v>
      </c>
      <c r="T8680" t="s">
        <v>34215</v>
      </c>
      <c r="U8680" t="s">
        <v>2632</v>
      </c>
      <c r="V8680" t="str">
        <f>"220314638"</f>
        <v>220314638</v>
      </c>
      <c r="AC8680" t="s">
        <v>79</v>
      </c>
      <c r="AD8680" t="s">
        <v>75</v>
      </c>
      <c r="AE8680" t="s">
        <v>103</v>
      </c>
      <c r="AG8680" t="s">
        <v>81</v>
      </c>
    </row>
    <row r="8681" spans="1:33" x14ac:dyDescent="0.25">
      <c r="A8681" t="str">
        <f>"1255683652"</f>
        <v>1255683652</v>
      </c>
      <c r="C8681" t="s">
        <v>13436</v>
      </c>
      <c r="K8681" t="s">
        <v>99</v>
      </c>
      <c r="L8681" t="s">
        <v>74</v>
      </c>
      <c r="M8681" t="s">
        <v>75</v>
      </c>
      <c r="R8681" t="s">
        <v>37258</v>
      </c>
      <c r="S8681" t="s">
        <v>37259</v>
      </c>
      <c r="T8681" t="s">
        <v>97</v>
      </c>
      <c r="U8681" t="s">
        <v>77</v>
      </c>
      <c r="V8681" t="str">
        <f>"100251716"</f>
        <v>100251716</v>
      </c>
      <c r="AC8681" t="s">
        <v>79</v>
      </c>
      <c r="AD8681" t="s">
        <v>75</v>
      </c>
      <c r="AE8681" t="s">
        <v>103</v>
      </c>
      <c r="AG8681" t="s">
        <v>81</v>
      </c>
    </row>
    <row r="8682" spans="1:33" x14ac:dyDescent="0.25">
      <c r="A8682" t="str">
        <f>"1417240755"</f>
        <v>1417240755</v>
      </c>
      <c r="C8682" t="s">
        <v>13436</v>
      </c>
      <c r="K8682" t="s">
        <v>99</v>
      </c>
      <c r="L8682" t="s">
        <v>102</v>
      </c>
      <c r="M8682" t="s">
        <v>75</v>
      </c>
      <c r="R8682" t="s">
        <v>37260</v>
      </c>
      <c r="S8682" t="s">
        <v>37261</v>
      </c>
      <c r="T8682" t="s">
        <v>4615</v>
      </c>
      <c r="U8682" t="s">
        <v>3878</v>
      </c>
      <c r="V8682" t="str">
        <f>"770242133"</f>
        <v>770242133</v>
      </c>
      <c r="AC8682" t="s">
        <v>79</v>
      </c>
      <c r="AD8682" t="s">
        <v>75</v>
      </c>
      <c r="AE8682" t="s">
        <v>103</v>
      </c>
      <c r="AG8682" t="s">
        <v>81</v>
      </c>
    </row>
    <row r="8683" spans="1:33" x14ac:dyDescent="0.25">
      <c r="A8683" t="str">
        <f>"1417242132"</f>
        <v>1417242132</v>
      </c>
      <c r="C8683" t="s">
        <v>13436</v>
      </c>
      <c r="K8683" t="s">
        <v>99</v>
      </c>
      <c r="L8683" t="s">
        <v>102</v>
      </c>
      <c r="M8683" t="s">
        <v>75</v>
      </c>
      <c r="R8683" t="s">
        <v>37262</v>
      </c>
      <c r="S8683" t="s">
        <v>191</v>
      </c>
      <c r="T8683" t="s">
        <v>97</v>
      </c>
      <c r="U8683" t="s">
        <v>77</v>
      </c>
      <c r="V8683" t="str">
        <f>"100191147"</f>
        <v>100191147</v>
      </c>
      <c r="AC8683" t="s">
        <v>79</v>
      </c>
      <c r="AD8683" t="s">
        <v>75</v>
      </c>
      <c r="AE8683" t="s">
        <v>103</v>
      </c>
      <c r="AG8683" t="s">
        <v>81</v>
      </c>
    </row>
    <row r="8684" spans="1:33" x14ac:dyDescent="0.25">
      <c r="A8684" t="str">
        <f>"1417994138"</f>
        <v>1417994138</v>
      </c>
      <c r="B8684" t="str">
        <f>"02662664"</f>
        <v>02662664</v>
      </c>
      <c r="C8684" t="s">
        <v>13436</v>
      </c>
      <c r="D8684" t="s">
        <v>37263</v>
      </c>
      <c r="E8684" t="s">
        <v>37264</v>
      </c>
      <c r="G8684" t="s">
        <v>37265</v>
      </c>
      <c r="L8684" t="s">
        <v>83</v>
      </c>
      <c r="M8684" t="s">
        <v>85</v>
      </c>
      <c r="R8684" t="s">
        <v>37264</v>
      </c>
      <c r="W8684" t="s">
        <v>37264</v>
      </c>
      <c r="X8684" t="s">
        <v>329</v>
      </c>
      <c r="Y8684" t="s">
        <v>97</v>
      </c>
      <c r="Z8684" t="s">
        <v>77</v>
      </c>
      <c r="AA8684" t="str">
        <f>"10029-6500"</f>
        <v>10029-6500</v>
      </c>
      <c r="AB8684" t="s">
        <v>78</v>
      </c>
      <c r="AC8684" t="s">
        <v>79</v>
      </c>
      <c r="AD8684" t="s">
        <v>75</v>
      </c>
      <c r="AE8684" t="s">
        <v>80</v>
      </c>
      <c r="AG8684" t="s">
        <v>81</v>
      </c>
    </row>
    <row r="8685" spans="1:33" x14ac:dyDescent="0.25">
      <c r="A8685" t="str">
        <f>"1417997867"</f>
        <v>1417997867</v>
      </c>
      <c r="B8685" t="str">
        <f>"02983677"</f>
        <v>02983677</v>
      </c>
      <c r="C8685" t="s">
        <v>13436</v>
      </c>
      <c r="D8685" t="s">
        <v>3827</v>
      </c>
      <c r="E8685" t="s">
        <v>3828</v>
      </c>
      <c r="L8685" t="s">
        <v>83</v>
      </c>
      <c r="M8685" t="s">
        <v>85</v>
      </c>
      <c r="R8685" t="s">
        <v>3829</v>
      </c>
      <c r="W8685" t="s">
        <v>3830</v>
      </c>
      <c r="X8685" t="s">
        <v>3831</v>
      </c>
      <c r="Y8685" t="s">
        <v>131</v>
      </c>
      <c r="Z8685" t="s">
        <v>77</v>
      </c>
      <c r="AA8685" t="str">
        <f>"10458-1007"</f>
        <v>10458-1007</v>
      </c>
      <c r="AB8685" t="s">
        <v>78</v>
      </c>
      <c r="AC8685" t="s">
        <v>79</v>
      </c>
      <c r="AD8685" t="s">
        <v>75</v>
      </c>
      <c r="AE8685" t="s">
        <v>80</v>
      </c>
      <c r="AG8685" t="s">
        <v>81</v>
      </c>
    </row>
    <row r="8686" spans="1:33" x14ac:dyDescent="0.25">
      <c r="A8686" t="str">
        <f>"1427011972"</f>
        <v>1427011972</v>
      </c>
      <c r="B8686" t="str">
        <f>"01039610"</f>
        <v>01039610</v>
      </c>
      <c r="C8686" t="s">
        <v>13436</v>
      </c>
      <c r="D8686" t="s">
        <v>37266</v>
      </c>
      <c r="E8686" t="s">
        <v>37267</v>
      </c>
      <c r="G8686" t="s">
        <v>37268</v>
      </c>
      <c r="L8686" t="s">
        <v>83</v>
      </c>
      <c r="M8686" t="s">
        <v>85</v>
      </c>
      <c r="R8686" t="s">
        <v>37269</v>
      </c>
      <c r="W8686" t="s">
        <v>37267</v>
      </c>
      <c r="X8686" t="s">
        <v>37270</v>
      </c>
      <c r="Y8686" t="s">
        <v>97</v>
      </c>
      <c r="Z8686" t="s">
        <v>77</v>
      </c>
      <c r="AA8686" t="str">
        <f>"10032-3725"</f>
        <v>10032-3725</v>
      </c>
      <c r="AB8686" t="s">
        <v>78</v>
      </c>
      <c r="AC8686" t="s">
        <v>79</v>
      </c>
      <c r="AD8686" t="s">
        <v>75</v>
      </c>
      <c r="AE8686" t="s">
        <v>80</v>
      </c>
      <c r="AG8686" t="s">
        <v>81</v>
      </c>
    </row>
    <row r="8687" spans="1:33" x14ac:dyDescent="0.25">
      <c r="A8687" t="str">
        <f>"1427020338"</f>
        <v>1427020338</v>
      </c>
      <c r="C8687" t="s">
        <v>13436</v>
      </c>
      <c r="K8687" t="s">
        <v>99</v>
      </c>
      <c r="L8687" t="s">
        <v>74</v>
      </c>
      <c r="M8687" t="s">
        <v>75</v>
      </c>
      <c r="R8687" t="s">
        <v>37271</v>
      </c>
      <c r="S8687" t="s">
        <v>37272</v>
      </c>
      <c r="T8687" t="s">
        <v>97</v>
      </c>
      <c r="U8687" t="s">
        <v>77</v>
      </c>
      <c r="V8687" t="str">
        <f>"100296501"</f>
        <v>100296501</v>
      </c>
      <c r="AC8687" t="s">
        <v>79</v>
      </c>
      <c r="AD8687" t="s">
        <v>75</v>
      </c>
      <c r="AE8687" t="s">
        <v>103</v>
      </c>
      <c r="AG8687" t="s">
        <v>81</v>
      </c>
    </row>
    <row r="8688" spans="1:33" x14ac:dyDescent="0.25">
      <c r="A8688" t="str">
        <f>"1366417677"</f>
        <v>1366417677</v>
      </c>
      <c r="B8688" t="str">
        <f>"01366036"</f>
        <v>01366036</v>
      </c>
      <c r="C8688" t="s">
        <v>37273</v>
      </c>
      <c r="D8688" t="s">
        <v>3802</v>
      </c>
      <c r="E8688" t="s">
        <v>3803</v>
      </c>
      <c r="G8688" t="s">
        <v>32379</v>
      </c>
      <c r="H8688" t="s">
        <v>183</v>
      </c>
      <c r="J8688" t="s">
        <v>184</v>
      </c>
      <c r="L8688" t="s">
        <v>84</v>
      </c>
      <c r="M8688" t="s">
        <v>75</v>
      </c>
      <c r="R8688" t="s">
        <v>3804</v>
      </c>
      <c r="W8688" t="s">
        <v>3803</v>
      </c>
      <c r="X8688" t="s">
        <v>3805</v>
      </c>
      <c r="Y8688" t="s">
        <v>155</v>
      </c>
      <c r="Z8688" t="s">
        <v>77</v>
      </c>
      <c r="AA8688" t="str">
        <f>"10305-2113"</f>
        <v>10305-2113</v>
      </c>
      <c r="AB8688" t="s">
        <v>78</v>
      </c>
      <c r="AC8688" t="s">
        <v>79</v>
      </c>
      <c r="AD8688" t="s">
        <v>75</v>
      </c>
      <c r="AE8688" t="s">
        <v>80</v>
      </c>
      <c r="AG8688" t="s">
        <v>81</v>
      </c>
    </row>
    <row r="8689" spans="1:33" x14ac:dyDescent="0.25">
      <c r="A8689" t="str">
        <f>"1023340353"</f>
        <v>1023340353</v>
      </c>
      <c r="C8689" t="s">
        <v>37274</v>
      </c>
      <c r="G8689" t="s">
        <v>32379</v>
      </c>
      <c r="H8689" t="s">
        <v>183</v>
      </c>
      <c r="J8689" t="s">
        <v>184</v>
      </c>
      <c r="K8689" t="s">
        <v>2011</v>
      </c>
      <c r="L8689" t="s">
        <v>102</v>
      </c>
      <c r="M8689" t="s">
        <v>75</v>
      </c>
      <c r="R8689" t="s">
        <v>3806</v>
      </c>
      <c r="S8689" t="s">
        <v>3807</v>
      </c>
      <c r="T8689" t="s">
        <v>87</v>
      </c>
      <c r="U8689" t="s">
        <v>77</v>
      </c>
      <c r="V8689" t="str">
        <f>"112012903"</f>
        <v>112012903</v>
      </c>
      <c r="AC8689" t="s">
        <v>79</v>
      </c>
      <c r="AD8689" t="s">
        <v>75</v>
      </c>
      <c r="AE8689" t="s">
        <v>103</v>
      </c>
      <c r="AG8689" t="s">
        <v>81</v>
      </c>
    </row>
    <row r="8690" spans="1:33" x14ac:dyDescent="0.25">
      <c r="A8690" t="str">
        <f>"1689808313"</f>
        <v>1689808313</v>
      </c>
      <c r="C8690" t="s">
        <v>13436</v>
      </c>
      <c r="K8690" t="s">
        <v>99</v>
      </c>
      <c r="L8690" t="s">
        <v>102</v>
      </c>
      <c r="M8690" t="s">
        <v>75</v>
      </c>
      <c r="R8690" t="s">
        <v>37275</v>
      </c>
      <c r="S8690" t="s">
        <v>37276</v>
      </c>
      <c r="T8690" t="s">
        <v>236</v>
      </c>
      <c r="U8690" t="s">
        <v>77</v>
      </c>
      <c r="V8690" t="str">
        <f>"111052501"</f>
        <v>111052501</v>
      </c>
      <c r="AC8690" t="s">
        <v>79</v>
      </c>
      <c r="AD8690" t="s">
        <v>75</v>
      </c>
      <c r="AE8690" t="s">
        <v>103</v>
      </c>
      <c r="AG8690" t="s">
        <v>81</v>
      </c>
    </row>
    <row r="8691" spans="1:33" x14ac:dyDescent="0.25">
      <c r="A8691" t="str">
        <f>"1689814915"</f>
        <v>1689814915</v>
      </c>
      <c r="B8691" t="str">
        <f>"01399004"</f>
        <v>01399004</v>
      </c>
      <c r="C8691" t="s">
        <v>13436</v>
      </c>
      <c r="D8691" t="s">
        <v>37277</v>
      </c>
      <c r="E8691" t="s">
        <v>37278</v>
      </c>
      <c r="L8691" t="s">
        <v>83</v>
      </c>
      <c r="M8691" t="s">
        <v>85</v>
      </c>
      <c r="R8691" t="s">
        <v>37279</v>
      </c>
      <c r="W8691" t="s">
        <v>37280</v>
      </c>
      <c r="X8691" t="s">
        <v>37281</v>
      </c>
      <c r="Y8691" t="s">
        <v>97</v>
      </c>
      <c r="Z8691" t="s">
        <v>77</v>
      </c>
      <c r="AA8691" t="str">
        <f>"10022-1907"</f>
        <v>10022-1907</v>
      </c>
      <c r="AB8691" t="s">
        <v>82</v>
      </c>
      <c r="AC8691" t="s">
        <v>79</v>
      </c>
      <c r="AD8691" t="s">
        <v>75</v>
      </c>
      <c r="AE8691" t="s">
        <v>80</v>
      </c>
      <c r="AG8691" t="s">
        <v>81</v>
      </c>
    </row>
    <row r="8692" spans="1:33" x14ac:dyDescent="0.25">
      <c r="A8692" t="str">
        <f>"1689822918"</f>
        <v>1689822918</v>
      </c>
      <c r="B8692" t="str">
        <f>"03022153"</f>
        <v>03022153</v>
      </c>
      <c r="C8692" t="s">
        <v>13436</v>
      </c>
      <c r="D8692" t="s">
        <v>37282</v>
      </c>
      <c r="E8692" t="s">
        <v>37283</v>
      </c>
      <c r="G8692" t="s">
        <v>37284</v>
      </c>
      <c r="L8692" t="s">
        <v>83</v>
      </c>
      <c r="M8692" t="s">
        <v>85</v>
      </c>
      <c r="R8692" t="s">
        <v>37285</v>
      </c>
      <c r="W8692" t="s">
        <v>37286</v>
      </c>
      <c r="X8692" t="s">
        <v>37287</v>
      </c>
      <c r="Y8692" t="s">
        <v>139</v>
      </c>
      <c r="Z8692" t="s">
        <v>77</v>
      </c>
      <c r="AA8692" t="str">
        <f>"11354-4233"</f>
        <v>11354-4233</v>
      </c>
      <c r="AB8692" t="s">
        <v>78</v>
      </c>
      <c r="AC8692" t="s">
        <v>79</v>
      </c>
      <c r="AD8692" t="s">
        <v>75</v>
      </c>
      <c r="AE8692" t="s">
        <v>80</v>
      </c>
      <c r="AG8692" t="s">
        <v>81</v>
      </c>
    </row>
    <row r="8693" spans="1:33" x14ac:dyDescent="0.25">
      <c r="A8693" t="str">
        <f>"1689834657"</f>
        <v>1689834657</v>
      </c>
      <c r="B8693" t="str">
        <f>"03459294"</f>
        <v>03459294</v>
      </c>
      <c r="C8693" t="s">
        <v>13436</v>
      </c>
      <c r="D8693" t="s">
        <v>37288</v>
      </c>
      <c r="E8693" t="s">
        <v>37289</v>
      </c>
      <c r="G8693" t="s">
        <v>37290</v>
      </c>
      <c r="L8693" t="s">
        <v>83</v>
      </c>
      <c r="M8693" t="s">
        <v>85</v>
      </c>
      <c r="R8693" t="s">
        <v>37291</v>
      </c>
      <c r="W8693" t="s">
        <v>37289</v>
      </c>
      <c r="X8693" t="s">
        <v>30770</v>
      </c>
      <c r="Y8693" t="s">
        <v>97</v>
      </c>
      <c r="Z8693" t="s">
        <v>77</v>
      </c>
      <c r="AA8693" t="str">
        <f>"10029-6500"</f>
        <v>10029-6500</v>
      </c>
      <c r="AB8693" t="s">
        <v>78</v>
      </c>
      <c r="AC8693" t="s">
        <v>79</v>
      </c>
      <c r="AD8693" t="s">
        <v>75</v>
      </c>
      <c r="AE8693" t="s">
        <v>80</v>
      </c>
      <c r="AG8693" t="s">
        <v>81</v>
      </c>
    </row>
    <row r="8694" spans="1:33" x14ac:dyDescent="0.25">
      <c r="A8694" t="str">
        <f>"1689877409"</f>
        <v>1689877409</v>
      </c>
      <c r="B8694" t="str">
        <f>"03380210"</f>
        <v>03380210</v>
      </c>
      <c r="C8694" t="s">
        <v>13436</v>
      </c>
      <c r="D8694" t="s">
        <v>37292</v>
      </c>
      <c r="E8694" t="s">
        <v>37293</v>
      </c>
      <c r="G8694" t="s">
        <v>37294</v>
      </c>
      <c r="L8694" t="s">
        <v>74</v>
      </c>
      <c r="M8694" t="s">
        <v>85</v>
      </c>
      <c r="R8694" t="s">
        <v>37295</v>
      </c>
      <c r="W8694" t="s">
        <v>37293</v>
      </c>
      <c r="X8694" t="s">
        <v>329</v>
      </c>
      <c r="Y8694" t="s">
        <v>97</v>
      </c>
      <c r="Z8694" t="s">
        <v>77</v>
      </c>
      <c r="AA8694" t="str">
        <f>"10029-6500"</f>
        <v>10029-6500</v>
      </c>
      <c r="AB8694" t="s">
        <v>78</v>
      </c>
      <c r="AC8694" t="s">
        <v>79</v>
      </c>
      <c r="AD8694" t="s">
        <v>75</v>
      </c>
      <c r="AE8694" t="s">
        <v>80</v>
      </c>
      <c r="AG8694" t="s">
        <v>81</v>
      </c>
    </row>
    <row r="8695" spans="1:33" x14ac:dyDescent="0.25">
      <c r="A8695" t="str">
        <f>"1295001634"</f>
        <v>1295001634</v>
      </c>
      <c r="B8695" t="str">
        <f>"04304692"</f>
        <v>04304692</v>
      </c>
      <c r="C8695" t="s">
        <v>13436</v>
      </c>
      <c r="D8695" t="s">
        <v>37296</v>
      </c>
      <c r="E8695" t="s">
        <v>37297</v>
      </c>
      <c r="L8695" t="s">
        <v>74</v>
      </c>
      <c r="M8695" t="s">
        <v>75</v>
      </c>
      <c r="R8695" t="s">
        <v>37297</v>
      </c>
      <c r="W8695" t="s">
        <v>37297</v>
      </c>
      <c r="X8695" t="s">
        <v>442</v>
      </c>
      <c r="Y8695" t="s">
        <v>97</v>
      </c>
      <c r="Z8695" t="s">
        <v>77</v>
      </c>
      <c r="AA8695" t="str">
        <f>"10065-6007"</f>
        <v>10065-6007</v>
      </c>
      <c r="AB8695" t="s">
        <v>78</v>
      </c>
      <c r="AC8695" t="s">
        <v>79</v>
      </c>
      <c r="AD8695" t="s">
        <v>75</v>
      </c>
      <c r="AE8695" t="s">
        <v>80</v>
      </c>
      <c r="AG8695" t="s">
        <v>81</v>
      </c>
    </row>
    <row r="8696" spans="1:33" x14ac:dyDescent="0.25">
      <c r="A8696" t="str">
        <f>"1689777997"</f>
        <v>1689777997</v>
      </c>
      <c r="B8696" t="str">
        <f>"02725331"</f>
        <v>02725331</v>
      </c>
      <c r="C8696" t="s">
        <v>13436</v>
      </c>
      <c r="D8696" t="s">
        <v>37298</v>
      </c>
      <c r="E8696" t="s">
        <v>37299</v>
      </c>
      <c r="G8696" t="s">
        <v>37300</v>
      </c>
      <c r="L8696" t="s">
        <v>105</v>
      </c>
      <c r="M8696" t="s">
        <v>75</v>
      </c>
      <c r="W8696" t="s">
        <v>37299</v>
      </c>
      <c r="X8696" t="s">
        <v>29615</v>
      </c>
      <c r="Y8696" t="s">
        <v>97</v>
      </c>
      <c r="Z8696" t="s">
        <v>77</v>
      </c>
      <c r="AA8696" t="str">
        <f>"10128-5604"</f>
        <v>10128-5604</v>
      </c>
      <c r="AB8696" t="s">
        <v>78</v>
      </c>
      <c r="AC8696" t="s">
        <v>79</v>
      </c>
      <c r="AD8696" t="s">
        <v>75</v>
      </c>
      <c r="AE8696" t="s">
        <v>80</v>
      </c>
      <c r="AG8696" t="s">
        <v>81</v>
      </c>
    </row>
    <row r="8697" spans="1:33" x14ac:dyDescent="0.25">
      <c r="A8697" t="str">
        <f>"1699711663"</f>
        <v>1699711663</v>
      </c>
      <c r="B8697" t="str">
        <f>"01550994"</f>
        <v>01550994</v>
      </c>
      <c r="C8697" t="s">
        <v>13436</v>
      </c>
      <c r="D8697" t="s">
        <v>6007</v>
      </c>
      <c r="E8697" t="s">
        <v>6008</v>
      </c>
      <c r="G8697" t="s">
        <v>37301</v>
      </c>
      <c r="L8697" t="s">
        <v>83</v>
      </c>
      <c r="M8697" t="s">
        <v>85</v>
      </c>
      <c r="R8697" t="s">
        <v>6009</v>
      </c>
      <c r="W8697" t="s">
        <v>6008</v>
      </c>
      <c r="X8697" t="s">
        <v>6010</v>
      </c>
      <c r="Y8697" t="s">
        <v>316</v>
      </c>
      <c r="Z8697" t="s">
        <v>77</v>
      </c>
      <c r="AA8697" t="str">
        <f>"10801-5403"</f>
        <v>10801-5403</v>
      </c>
      <c r="AB8697" t="s">
        <v>78</v>
      </c>
      <c r="AC8697" t="s">
        <v>79</v>
      </c>
      <c r="AD8697" t="s">
        <v>75</v>
      </c>
      <c r="AE8697" t="s">
        <v>80</v>
      </c>
      <c r="AG8697" t="s">
        <v>81</v>
      </c>
    </row>
    <row r="8698" spans="1:33" x14ac:dyDescent="0.25">
      <c r="A8698" t="str">
        <f>"1518941152"</f>
        <v>1518941152</v>
      </c>
      <c r="B8698" t="str">
        <f>"00242659"</f>
        <v>00242659</v>
      </c>
      <c r="C8698" t="s">
        <v>13436</v>
      </c>
      <c r="D8698" t="s">
        <v>37302</v>
      </c>
      <c r="E8698" t="s">
        <v>37303</v>
      </c>
      <c r="L8698" t="s">
        <v>83</v>
      </c>
      <c r="M8698" t="s">
        <v>85</v>
      </c>
      <c r="R8698" t="s">
        <v>37304</v>
      </c>
      <c r="W8698" t="s">
        <v>37305</v>
      </c>
      <c r="X8698" t="s">
        <v>329</v>
      </c>
      <c r="Y8698" t="s">
        <v>97</v>
      </c>
      <c r="Z8698" t="s">
        <v>77</v>
      </c>
      <c r="AA8698" t="str">
        <f>"10029-6500"</f>
        <v>10029-6500</v>
      </c>
      <c r="AB8698" t="s">
        <v>78</v>
      </c>
      <c r="AC8698" t="s">
        <v>79</v>
      </c>
      <c r="AD8698" t="s">
        <v>75</v>
      </c>
      <c r="AE8698" t="s">
        <v>80</v>
      </c>
      <c r="AG8698" t="s">
        <v>81</v>
      </c>
    </row>
    <row r="8699" spans="1:33" x14ac:dyDescent="0.25">
      <c r="A8699" t="str">
        <f>"1518967421"</f>
        <v>1518967421</v>
      </c>
      <c r="B8699" t="str">
        <f>"01832604"</f>
        <v>01832604</v>
      </c>
      <c r="C8699" t="s">
        <v>13436</v>
      </c>
      <c r="D8699" t="s">
        <v>37306</v>
      </c>
      <c r="E8699" t="s">
        <v>37307</v>
      </c>
      <c r="G8699" t="s">
        <v>37308</v>
      </c>
      <c r="L8699" t="s">
        <v>83</v>
      </c>
      <c r="M8699" t="s">
        <v>85</v>
      </c>
      <c r="R8699" t="s">
        <v>37309</v>
      </c>
      <c r="W8699" t="s">
        <v>37307</v>
      </c>
      <c r="X8699" t="s">
        <v>26768</v>
      </c>
      <c r="Y8699" t="s">
        <v>97</v>
      </c>
      <c r="Z8699" t="s">
        <v>77</v>
      </c>
      <c r="AA8699" t="str">
        <f>"10128"</f>
        <v>10128</v>
      </c>
      <c r="AB8699" t="s">
        <v>78</v>
      </c>
      <c r="AC8699" t="s">
        <v>79</v>
      </c>
      <c r="AD8699" t="s">
        <v>75</v>
      </c>
      <c r="AE8699" t="s">
        <v>80</v>
      </c>
      <c r="AG8699" t="s">
        <v>81</v>
      </c>
    </row>
    <row r="8700" spans="1:33" x14ac:dyDescent="0.25">
      <c r="A8700" t="str">
        <f>"1518973593"</f>
        <v>1518973593</v>
      </c>
      <c r="B8700" t="str">
        <f>"01671365"</f>
        <v>01671365</v>
      </c>
      <c r="C8700" t="s">
        <v>13436</v>
      </c>
      <c r="D8700" t="s">
        <v>37310</v>
      </c>
      <c r="E8700" t="s">
        <v>37311</v>
      </c>
      <c r="G8700" t="s">
        <v>37312</v>
      </c>
      <c r="L8700" t="s">
        <v>74</v>
      </c>
      <c r="M8700" t="s">
        <v>85</v>
      </c>
      <c r="R8700" t="s">
        <v>37313</v>
      </c>
      <c r="W8700" t="s">
        <v>37311</v>
      </c>
      <c r="X8700" t="s">
        <v>11597</v>
      </c>
      <c r="Y8700" t="s">
        <v>2128</v>
      </c>
      <c r="Z8700" t="s">
        <v>77</v>
      </c>
      <c r="AA8700" t="str">
        <f>"11743-2743"</f>
        <v>11743-2743</v>
      </c>
      <c r="AB8700" t="s">
        <v>78</v>
      </c>
      <c r="AC8700" t="s">
        <v>79</v>
      </c>
      <c r="AD8700" t="s">
        <v>75</v>
      </c>
      <c r="AE8700" t="s">
        <v>80</v>
      </c>
      <c r="AG8700" t="s">
        <v>81</v>
      </c>
    </row>
    <row r="8701" spans="1:33" x14ac:dyDescent="0.25">
      <c r="A8701" t="str">
        <f>"1518976000"</f>
        <v>1518976000</v>
      </c>
      <c r="B8701" t="str">
        <f>"02495536"</f>
        <v>02495536</v>
      </c>
      <c r="C8701" t="s">
        <v>13436</v>
      </c>
      <c r="D8701" t="s">
        <v>37314</v>
      </c>
      <c r="E8701" t="s">
        <v>37315</v>
      </c>
      <c r="G8701" t="s">
        <v>37316</v>
      </c>
      <c r="L8701" t="s">
        <v>94</v>
      </c>
      <c r="M8701" t="s">
        <v>85</v>
      </c>
      <c r="R8701" t="s">
        <v>37317</v>
      </c>
      <c r="W8701" t="s">
        <v>37315</v>
      </c>
      <c r="X8701" t="s">
        <v>37318</v>
      </c>
      <c r="Y8701" t="s">
        <v>97</v>
      </c>
      <c r="Z8701" t="s">
        <v>77</v>
      </c>
      <c r="AA8701" t="str">
        <f>"10027"</f>
        <v>10027</v>
      </c>
      <c r="AB8701" t="s">
        <v>78</v>
      </c>
      <c r="AC8701" t="s">
        <v>79</v>
      </c>
      <c r="AD8701" t="s">
        <v>75</v>
      </c>
      <c r="AE8701" t="s">
        <v>80</v>
      </c>
      <c r="AG8701" t="s">
        <v>81</v>
      </c>
    </row>
    <row r="8702" spans="1:33" x14ac:dyDescent="0.25">
      <c r="A8702" t="str">
        <f>"1518982412"</f>
        <v>1518982412</v>
      </c>
      <c r="B8702" t="str">
        <f>"03972089"</f>
        <v>03972089</v>
      </c>
      <c r="C8702" t="s">
        <v>13436</v>
      </c>
      <c r="D8702" t="s">
        <v>37319</v>
      </c>
      <c r="E8702" t="s">
        <v>37320</v>
      </c>
      <c r="G8702" t="s">
        <v>37321</v>
      </c>
      <c r="L8702" t="s">
        <v>74</v>
      </c>
      <c r="M8702" t="s">
        <v>75</v>
      </c>
      <c r="R8702" t="s">
        <v>37320</v>
      </c>
      <c r="W8702" t="s">
        <v>37320</v>
      </c>
      <c r="X8702" t="s">
        <v>37322</v>
      </c>
      <c r="Y8702" t="s">
        <v>97</v>
      </c>
      <c r="Z8702" t="s">
        <v>77</v>
      </c>
      <c r="AA8702" t="str">
        <f>"10029-5204"</f>
        <v>10029-5204</v>
      </c>
      <c r="AB8702" t="s">
        <v>78</v>
      </c>
      <c r="AC8702" t="s">
        <v>79</v>
      </c>
      <c r="AD8702" t="s">
        <v>75</v>
      </c>
      <c r="AE8702" t="s">
        <v>80</v>
      </c>
      <c r="AG8702" t="s">
        <v>81</v>
      </c>
    </row>
    <row r="8703" spans="1:33" x14ac:dyDescent="0.25">
      <c r="A8703" t="str">
        <f>"1518983378"</f>
        <v>1518983378</v>
      </c>
      <c r="B8703" t="str">
        <f>"02769491"</f>
        <v>02769491</v>
      </c>
      <c r="C8703" t="s">
        <v>13436</v>
      </c>
      <c r="D8703" t="s">
        <v>37323</v>
      </c>
      <c r="E8703" t="s">
        <v>37324</v>
      </c>
      <c r="G8703" t="s">
        <v>37325</v>
      </c>
      <c r="L8703" t="s">
        <v>83</v>
      </c>
      <c r="M8703" t="s">
        <v>85</v>
      </c>
      <c r="R8703" t="s">
        <v>1215</v>
      </c>
      <c r="W8703" t="s">
        <v>37326</v>
      </c>
      <c r="X8703" t="s">
        <v>329</v>
      </c>
      <c r="Y8703" t="s">
        <v>97</v>
      </c>
      <c r="Z8703" t="s">
        <v>77</v>
      </c>
      <c r="AA8703" t="str">
        <f>"10029-6500"</f>
        <v>10029-6500</v>
      </c>
      <c r="AB8703" t="s">
        <v>78</v>
      </c>
      <c r="AC8703" t="s">
        <v>79</v>
      </c>
      <c r="AD8703" t="s">
        <v>75</v>
      </c>
      <c r="AE8703" t="s">
        <v>80</v>
      </c>
      <c r="AG8703" t="s">
        <v>81</v>
      </c>
    </row>
    <row r="8704" spans="1:33" x14ac:dyDescent="0.25">
      <c r="A8704" t="str">
        <f>"1013053461"</f>
        <v>1013053461</v>
      </c>
      <c r="B8704" t="str">
        <f>"02868679"</f>
        <v>02868679</v>
      </c>
      <c r="C8704" t="s">
        <v>13436</v>
      </c>
      <c r="D8704" t="s">
        <v>37327</v>
      </c>
      <c r="E8704" t="s">
        <v>37328</v>
      </c>
      <c r="L8704" t="s">
        <v>83</v>
      </c>
      <c r="M8704" t="s">
        <v>85</v>
      </c>
      <c r="R8704" t="s">
        <v>37329</v>
      </c>
      <c r="W8704" t="s">
        <v>37328</v>
      </c>
      <c r="X8704" t="s">
        <v>12534</v>
      </c>
      <c r="Y8704" t="s">
        <v>236</v>
      </c>
      <c r="Z8704" t="s">
        <v>77</v>
      </c>
      <c r="AA8704" t="str">
        <f>"11103-2910"</f>
        <v>11103-2910</v>
      </c>
      <c r="AB8704" t="s">
        <v>78</v>
      </c>
      <c r="AC8704" t="s">
        <v>79</v>
      </c>
      <c r="AD8704" t="s">
        <v>75</v>
      </c>
      <c r="AE8704" t="s">
        <v>80</v>
      </c>
      <c r="AG8704" t="s">
        <v>81</v>
      </c>
    </row>
    <row r="8705" spans="1:33" x14ac:dyDescent="0.25">
      <c r="A8705" t="str">
        <f>"1013101070"</f>
        <v>1013101070</v>
      </c>
      <c r="C8705" t="s">
        <v>13436</v>
      </c>
      <c r="G8705" t="s">
        <v>37330</v>
      </c>
      <c r="K8705" t="s">
        <v>99</v>
      </c>
      <c r="L8705" t="s">
        <v>102</v>
      </c>
      <c r="M8705" t="s">
        <v>75</v>
      </c>
      <c r="R8705" t="s">
        <v>37331</v>
      </c>
      <c r="S8705" t="s">
        <v>37332</v>
      </c>
      <c r="T8705" t="s">
        <v>97</v>
      </c>
      <c r="U8705" t="s">
        <v>77</v>
      </c>
      <c r="V8705" t="str">
        <f>"100296514"</f>
        <v>100296514</v>
      </c>
      <c r="AC8705" t="s">
        <v>79</v>
      </c>
      <c r="AD8705" t="s">
        <v>75</v>
      </c>
      <c r="AE8705" t="s">
        <v>103</v>
      </c>
      <c r="AG8705" t="s">
        <v>81</v>
      </c>
    </row>
    <row r="8706" spans="1:33" x14ac:dyDescent="0.25">
      <c r="A8706" t="str">
        <f>"1972688018"</f>
        <v>1972688018</v>
      </c>
      <c r="B8706" t="str">
        <f>"02041225"</f>
        <v>02041225</v>
      </c>
      <c r="C8706" t="s">
        <v>37333</v>
      </c>
      <c r="D8706" t="s">
        <v>37334</v>
      </c>
      <c r="E8706" t="s">
        <v>37335</v>
      </c>
      <c r="G8706" t="s">
        <v>23992</v>
      </c>
      <c r="H8706" t="s">
        <v>23993</v>
      </c>
      <c r="J8706" t="s">
        <v>23994</v>
      </c>
      <c r="L8706" t="s">
        <v>83</v>
      </c>
      <c r="M8706" t="s">
        <v>75</v>
      </c>
      <c r="R8706" t="s">
        <v>37336</v>
      </c>
      <c r="W8706" t="s">
        <v>37337</v>
      </c>
      <c r="X8706" t="s">
        <v>37338</v>
      </c>
      <c r="Y8706" t="s">
        <v>131</v>
      </c>
      <c r="Z8706" t="s">
        <v>77</v>
      </c>
      <c r="AA8706" t="str">
        <f>"10463-1803"</f>
        <v>10463-1803</v>
      </c>
      <c r="AB8706" t="s">
        <v>109</v>
      </c>
      <c r="AC8706" t="s">
        <v>79</v>
      </c>
      <c r="AD8706" t="s">
        <v>75</v>
      </c>
      <c r="AE8706" t="s">
        <v>80</v>
      </c>
      <c r="AG8706" t="s">
        <v>81</v>
      </c>
    </row>
    <row r="8707" spans="1:33" x14ac:dyDescent="0.25">
      <c r="A8707" t="str">
        <f>"1942386735"</f>
        <v>1942386735</v>
      </c>
      <c r="B8707" t="str">
        <f>"02605127"</f>
        <v>02605127</v>
      </c>
      <c r="C8707" t="s">
        <v>37339</v>
      </c>
      <c r="D8707" t="s">
        <v>37340</v>
      </c>
      <c r="E8707" t="s">
        <v>37341</v>
      </c>
      <c r="G8707" t="s">
        <v>23992</v>
      </c>
      <c r="H8707" t="s">
        <v>23993</v>
      </c>
      <c r="J8707" t="s">
        <v>23994</v>
      </c>
      <c r="L8707" t="s">
        <v>84</v>
      </c>
      <c r="M8707" t="s">
        <v>75</v>
      </c>
      <c r="R8707" t="s">
        <v>37342</v>
      </c>
      <c r="W8707" t="s">
        <v>37341</v>
      </c>
      <c r="X8707" t="s">
        <v>37343</v>
      </c>
      <c r="Y8707" t="s">
        <v>87</v>
      </c>
      <c r="Z8707" t="s">
        <v>77</v>
      </c>
      <c r="AA8707" t="str">
        <f>"11217-1914"</f>
        <v>11217-1914</v>
      </c>
      <c r="AB8707" t="s">
        <v>78</v>
      </c>
      <c r="AC8707" t="s">
        <v>79</v>
      </c>
      <c r="AD8707" t="s">
        <v>75</v>
      </c>
      <c r="AE8707" t="s">
        <v>80</v>
      </c>
      <c r="AG8707" t="s">
        <v>81</v>
      </c>
    </row>
    <row r="8708" spans="1:33" x14ac:dyDescent="0.25">
      <c r="A8708" t="str">
        <f>"1477655017"</f>
        <v>1477655017</v>
      </c>
      <c r="B8708" t="str">
        <f>"02736809"</f>
        <v>02736809</v>
      </c>
      <c r="C8708" t="s">
        <v>37344</v>
      </c>
      <c r="D8708" t="s">
        <v>37345</v>
      </c>
      <c r="E8708" t="s">
        <v>37346</v>
      </c>
      <c r="G8708" t="s">
        <v>23992</v>
      </c>
      <c r="H8708" t="s">
        <v>23993</v>
      </c>
      <c r="J8708" t="s">
        <v>23994</v>
      </c>
      <c r="L8708" t="s">
        <v>84</v>
      </c>
      <c r="M8708" t="s">
        <v>75</v>
      </c>
      <c r="R8708" t="s">
        <v>37347</v>
      </c>
      <c r="W8708" t="s">
        <v>37346</v>
      </c>
      <c r="X8708" t="s">
        <v>138</v>
      </c>
      <c r="Y8708" t="s">
        <v>139</v>
      </c>
      <c r="Z8708" t="s">
        <v>77</v>
      </c>
      <c r="AA8708" t="str">
        <f>"11355-5045"</f>
        <v>11355-5045</v>
      </c>
      <c r="AB8708" t="s">
        <v>78</v>
      </c>
      <c r="AC8708" t="s">
        <v>79</v>
      </c>
      <c r="AD8708" t="s">
        <v>75</v>
      </c>
      <c r="AE8708" t="s">
        <v>80</v>
      </c>
      <c r="AG8708" t="s">
        <v>81</v>
      </c>
    </row>
    <row r="8709" spans="1:33" x14ac:dyDescent="0.25">
      <c r="A8709" t="str">
        <f>"1801031836"</f>
        <v>1801031836</v>
      </c>
      <c r="B8709" t="str">
        <f>"03281050"</f>
        <v>03281050</v>
      </c>
      <c r="C8709" t="s">
        <v>37348</v>
      </c>
      <c r="D8709" t="s">
        <v>37349</v>
      </c>
      <c r="E8709" t="s">
        <v>37350</v>
      </c>
      <c r="G8709" t="s">
        <v>23992</v>
      </c>
      <c r="H8709" t="s">
        <v>23993</v>
      </c>
      <c r="J8709" t="s">
        <v>23994</v>
      </c>
      <c r="L8709" t="s">
        <v>84</v>
      </c>
      <c r="M8709" t="s">
        <v>75</v>
      </c>
      <c r="R8709" t="s">
        <v>37351</v>
      </c>
      <c r="W8709" t="s">
        <v>37352</v>
      </c>
      <c r="X8709" t="s">
        <v>23995</v>
      </c>
      <c r="Y8709" t="s">
        <v>87</v>
      </c>
      <c r="Z8709" t="s">
        <v>77</v>
      </c>
      <c r="AA8709" t="str">
        <f>"11205-3820"</f>
        <v>11205-3820</v>
      </c>
      <c r="AB8709" t="s">
        <v>78</v>
      </c>
      <c r="AC8709" t="s">
        <v>79</v>
      </c>
      <c r="AD8709" t="s">
        <v>75</v>
      </c>
      <c r="AE8709" t="s">
        <v>80</v>
      </c>
      <c r="AG8709" t="s">
        <v>81</v>
      </c>
    </row>
    <row r="8710" spans="1:33" x14ac:dyDescent="0.25">
      <c r="A8710" t="str">
        <f>"1144247149"</f>
        <v>1144247149</v>
      </c>
      <c r="B8710" t="str">
        <f>"02255961"</f>
        <v>02255961</v>
      </c>
      <c r="C8710" t="s">
        <v>37353</v>
      </c>
      <c r="D8710" t="s">
        <v>1717</v>
      </c>
      <c r="E8710" t="s">
        <v>1718</v>
      </c>
      <c r="G8710" t="s">
        <v>23992</v>
      </c>
      <c r="H8710" t="s">
        <v>23993</v>
      </c>
      <c r="J8710" t="s">
        <v>23994</v>
      </c>
      <c r="L8710" t="s">
        <v>84</v>
      </c>
      <c r="M8710" t="s">
        <v>85</v>
      </c>
      <c r="R8710" t="s">
        <v>1716</v>
      </c>
      <c r="W8710" t="s">
        <v>1718</v>
      </c>
      <c r="X8710" t="s">
        <v>1719</v>
      </c>
      <c r="Y8710" t="s">
        <v>87</v>
      </c>
      <c r="Z8710" t="s">
        <v>77</v>
      </c>
      <c r="AA8710" t="str">
        <f>"11217-1985"</f>
        <v>11217-1985</v>
      </c>
      <c r="AB8710" t="s">
        <v>78</v>
      </c>
      <c r="AC8710" t="s">
        <v>79</v>
      </c>
      <c r="AD8710" t="s">
        <v>75</v>
      </c>
      <c r="AE8710" t="s">
        <v>80</v>
      </c>
      <c r="AG8710" t="s">
        <v>81</v>
      </c>
    </row>
    <row r="8711" spans="1:33" x14ac:dyDescent="0.25">
      <c r="A8711" t="str">
        <f>"1700896131"</f>
        <v>1700896131</v>
      </c>
      <c r="B8711" t="str">
        <f>"01340252"</f>
        <v>01340252</v>
      </c>
      <c r="C8711" t="s">
        <v>13436</v>
      </c>
      <c r="D8711" t="s">
        <v>37354</v>
      </c>
      <c r="E8711" t="s">
        <v>37355</v>
      </c>
      <c r="G8711" t="s">
        <v>37356</v>
      </c>
      <c r="L8711" t="s">
        <v>74</v>
      </c>
      <c r="M8711" t="s">
        <v>85</v>
      </c>
      <c r="R8711" t="s">
        <v>4621</v>
      </c>
      <c r="W8711" t="s">
        <v>37357</v>
      </c>
      <c r="X8711" t="s">
        <v>11945</v>
      </c>
      <c r="Y8711" t="s">
        <v>2128</v>
      </c>
      <c r="Z8711" t="s">
        <v>77</v>
      </c>
      <c r="AA8711" t="str">
        <f>"11743-2779"</f>
        <v>11743-2779</v>
      </c>
      <c r="AB8711" t="s">
        <v>78</v>
      </c>
      <c r="AC8711" t="s">
        <v>79</v>
      </c>
      <c r="AD8711" t="s">
        <v>75</v>
      </c>
      <c r="AE8711" t="s">
        <v>80</v>
      </c>
      <c r="AG8711" t="s">
        <v>81</v>
      </c>
    </row>
    <row r="8712" spans="1:33" x14ac:dyDescent="0.25">
      <c r="A8712" t="str">
        <f>"1700896248"</f>
        <v>1700896248</v>
      </c>
      <c r="B8712" t="str">
        <f>"01482131"</f>
        <v>01482131</v>
      </c>
      <c r="C8712" t="s">
        <v>13436</v>
      </c>
      <c r="D8712" t="s">
        <v>37358</v>
      </c>
      <c r="E8712" t="s">
        <v>37359</v>
      </c>
      <c r="G8712" t="s">
        <v>37360</v>
      </c>
      <c r="L8712" t="s">
        <v>83</v>
      </c>
      <c r="M8712" t="s">
        <v>85</v>
      </c>
      <c r="R8712" t="s">
        <v>37361</v>
      </c>
      <c r="W8712" t="s">
        <v>37359</v>
      </c>
      <c r="X8712" t="s">
        <v>11945</v>
      </c>
      <c r="Y8712" t="s">
        <v>2128</v>
      </c>
      <c r="Z8712" t="s">
        <v>77</v>
      </c>
      <c r="AA8712" t="str">
        <f>"11743-2779"</f>
        <v>11743-2779</v>
      </c>
      <c r="AB8712" t="s">
        <v>78</v>
      </c>
      <c r="AC8712" t="s">
        <v>79</v>
      </c>
      <c r="AD8712" t="s">
        <v>75</v>
      </c>
      <c r="AE8712" t="s">
        <v>80</v>
      </c>
      <c r="AG8712" t="s">
        <v>81</v>
      </c>
    </row>
    <row r="8713" spans="1:33" x14ac:dyDescent="0.25">
      <c r="A8713" t="str">
        <f>"1700899093"</f>
        <v>1700899093</v>
      </c>
      <c r="B8713" t="str">
        <f>"00579704"</f>
        <v>00579704</v>
      </c>
      <c r="C8713" t="s">
        <v>13436</v>
      </c>
      <c r="D8713" t="s">
        <v>37362</v>
      </c>
      <c r="E8713" t="s">
        <v>37363</v>
      </c>
      <c r="G8713" t="s">
        <v>37364</v>
      </c>
      <c r="L8713" t="s">
        <v>83</v>
      </c>
      <c r="M8713" t="s">
        <v>85</v>
      </c>
      <c r="R8713" t="s">
        <v>37365</v>
      </c>
      <c r="W8713" t="s">
        <v>37363</v>
      </c>
      <c r="X8713" t="s">
        <v>272</v>
      </c>
      <c r="Y8713" t="s">
        <v>97</v>
      </c>
      <c r="Z8713" t="s">
        <v>77</v>
      </c>
      <c r="AA8713" t="str">
        <f>"10029-6501"</f>
        <v>10029-6501</v>
      </c>
      <c r="AB8713" t="s">
        <v>78</v>
      </c>
      <c r="AC8713" t="s">
        <v>79</v>
      </c>
      <c r="AD8713" t="s">
        <v>75</v>
      </c>
      <c r="AE8713" t="s">
        <v>80</v>
      </c>
      <c r="AG8713" t="s">
        <v>81</v>
      </c>
    </row>
    <row r="8714" spans="1:33" x14ac:dyDescent="0.25">
      <c r="A8714" t="str">
        <f>"1700952124"</f>
        <v>1700952124</v>
      </c>
      <c r="B8714" t="str">
        <f>"03769739"</f>
        <v>03769739</v>
      </c>
      <c r="C8714" t="s">
        <v>13436</v>
      </c>
      <c r="D8714" t="s">
        <v>37366</v>
      </c>
      <c r="E8714" t="s">
        <v>37367</v>
      </c>
      <c r="G8714" t="s">
        <v>37368</v>
      </c>
      <c r="L8714" t="s">
        <v>74</v>
      </c>
      <c r="M8714" t="s">
        <v>75</v>
      </c>
      <c r="R8714" t="s">
        <v>37369</v>
      </c>
      <c r="W8714" t="s">
        <v>37367</v>
      </c>
      <c r="X8714" t="s">
        <v>37370</v>
      </c>
      <c r="Y8714" t="s">
        <v>91</v>
      </c>
      <c r="Z8714" t="s">
        <v>77</v>
      </c>
      <c r="AA8714" t="str">
        <f>"11373-1329"</f>
        <v>11373-1329</v>
      </c>
      <c r="AB8714" t="s">
        <v>78</v>
      </c>
      <c r="AC8714" t="s">
        <v>79</v>
      </c>
      <c r="AD8714" t="s">
        <v>75</v>
      </c>
      <c r="AE8714" t="s">
        <v>80</v>
      </c>
      <c r="AG8714" t="s">
        <v>81</v>
      </c>
    </row>
    <row r="8715" spans="1:33" x14ac:dyDescent="0.25">
      <c r="A8715" t="str">
        <f>"1700972346"</f>
        <v>1700972346</v>
      </c>
      <c r="B8715" t="str">
        <f>"03972552"</f>
        <v>03972552</v>
      </c>
      <c r="C8715" t="s">
        <v>13436</v>
      </c>
      <c r="D8715" t="s">
        <v>37371</v>
      </c>
      <c r="E8715" t="s">
        <v>37372</v>
      </c>
      <c r="G8715" t="s">
        <v>37373</v>
      </c>
      <c r="L8715" t="s">
        <v>74</v>
      </c>
      <c r="M8715" t="s">
        <v>75</v>
      </c>
      <c r="R8715" t="s">
        <v>37374</v>
      </c>
      <c r="W8715" t="s">
        <v>37375</v>
      </c>
      <c r="X8715" t="s">
        <v>329</v>
      </c>
      <c r="Y8715" t="s">
        <v>97</v>
      </c>
      <c r="Z8715" t="s">
        <v>77</v>
      </c>
      <c r="AA8715" t="str">
        <f>"10029-6504"</f>
        <v>10029-6504</v>
      </c>
      <c r="AB8715" t="s">
        <v>78</v>
      </c>
      <c r="AC8715" t="s">
        <v>79</v>
      </c>
      <c r="AD8715" t="s">
        <v>75</v>
      </c>
      <c r="AE8715" t="s">
        <v>80</v>
      </c>
      <c r="AG8715" t="s">
        <v>81</v>
      </c>
    </row>
    <row r="8716" spans="1:33" x14ac:dyDescent="0.25">
      <c r="A8716" t="str">
        <f>"1700989068"</f>
        <v>1700989068</v>
      </c>
      <c r="B8716" t="str">
        <f>"00299798"</f>
        <v>00299798</v>
      </c>
      <c r="C8716" t="s">
        <v>13436</v>
      </c>
      <c r="D8716" t="s">
        <v>37376</v>
      </c>
      <c r="E8716" t="s">
        <v>37377</v>
      </c>
      <c r="L8716" t="s">
        <v>74</v>
      </c>
      <c r="M8716" t="s">
        <v>75</v>
      </c>
      <c r="R8716" t="s">
        <v>37378</v>
      </c>
      <c r="W8716" t="s">
        <v>37377</v>
      </c>
      <c r="X8716" t="s">
        <v>37379</v>
      </c>
      <c r="Y8716" t="s">
        <v>97</v>
      </c>
      <c r="Z8716" t="s">
        <v>77</v>
      </c>
      <c r="AA8716" t="str">
        <f>"10029"</f>
        <v>10029</v>
      </c>
      <c r="AB8716" t="s">
        <v>82</v>
      </c>
      <c r="AC8716" t="s">
        <v>79</v>
      </c>
      <c r="AD8716" t="s">
        <v>75</v>
      </c>
      <c r="AE8716" t="s">
        <v>80</v>
      </c>
      <c r="AG8716" t="s">
        <v>81</v>
      </c>
    </row>
    <row r="8717" spans="1:33" x14ac:dyDescent="0.25">
      <c r="A8717" t="str">
        <f>"1700993672"</f>
        <v>1700993672</v>
      </c>
      <c r="B8717" t="str">
        <f>"01665594"</f>
        <v>01665594</v>
      </c>
      <c r="C8717" t="s">
        <v>13436</v>
      </c>
      <c r="D8717" t="s">
        <v>37380</v>
      </c>
      <c r="E8717" t="s">
        <v>37381</v>
      </c>
      <c r="G8717" t="s">
        <v>37382</v>
      </c>
      <c r="L8717" t="s">
        <v>102</v>
      </c>
      <c r="M8717" t="s">
        <v>75</v>
      </c>
      <c r="R8717" t="s">
        <v>37383</v>
      </c>
      <c r="W8717" t="s">
        <v>37381</v>
      </c>
      <c r="X8717" t="s">
        <v>37384</v>
      </c>
      <c r="Y8717" t="s">
        <v>124</v>
      </c>
      <c r="Z8717" t="s">
        <v>77</v>
      </c>
      <c r="AA8717" t="str">
        <f>"14621-3002"</f>
        <v>14621-3002</v>
      </c>
      <c r="AB8717" t="s">
        <v>78</v>
      </c>
      <c r="AC8717" t="s">
        <v>79</v>
      </c>
      <c r="AD8717" t="s">
        <v>75</v>
      </c>
      <c r="AE8717" t="s">
        <v>80</v>
      </c>
      <c r="AG8717" t="s">
        <v>81</v>
      </c>
    </row>
    <row r="8718" spans="1:33" x14ac:dyDescent="0.25">
      <c r="A8718" t="str">
        <f>"1710020565"</f>
        <v>1710020565</v>
      </c>
      <c r="C8718" t="s">
        <v>13436</v>
      </c>
      <c r="K8718" t="s">
        <v>99</v>
      </c>
      <c r="L8718" t="s">
        <v>102</v>
      </c>
      <c r="M8718" t="s">
        <v>75</v>
      </c>
      <c r="R8718" t="s">
        <v>37385</v>
      </c>
      <c r="S8718" t="s">
        <v>37386</v>
      </c>
      <c r="T8718" t="s">
        <v>2628</v>
      </c>
      <c r="U8718" t="s">
        <v>2595</v>
      </c>
      <c r="V8718" t="str">
        <f>"958232620"</f>
        <v>958232620</v>
      </c>
      <c r="AC8718" t="s">
        <v>79</v>
      </c>
      <c r="AD8718" t="s">
        <v>75</v>
      </c>
      <c r="AE8718" t="s">
        <v>103</v>
      </c>
      <c r="AG8718" t="s">
        <v>81</v>
      </c>
    </row>
    <row r="8719" spans="1:33" x14ac:dyDescent="0.25">
      <c r="A8719" t="str">
        <f>"1710043799"</f>
        <v>1710043799</v>
      </c>
      <c r="B8719" t="str">
        <f>"03125615"</f>
        <v>03125615</v>
      </c>
      <c r="C8719" t="s">
        <v>13436</v>
      </c>
      <c r="D8719" t="s">
        <v>37387</v>
      </c>
      <c r="E8719" t="s">
        <v>37388</v>
      </c>
      <c r="G8719" t="s">
        <v>37389</v>
      </c>
      <c r="L8719" t="s">
        <v>83</v>
      </c>
      <c r="M8719" t="s">
        <v>85</v>
      </c>
      <c r="R8719" t="s">
        <v>37390</v>
      </c>
      <c r="W8719" t="s">
        <v>37390</v>
      </c>
      <c r="X8719" t="s">
        <v>37391</v>
      </c>
      <c r="Y8719" t="s">
        <v>97</v>
      </c>
      <c r="Z8719" t="s">
        <v>77</v>
      </c>
      <c r="AA8719" t="str">
        <f>"10029-5204"</f>
        <v>10029-5204</v>
      </c>
      <c r="AB8719" t="s">
        <v>78</v>
      </c>
      <c r="AC8719" t="s">
        <v>79</v>
      </c>
      <c r="AD8719" t="s">
        <v>75</v>
      </c>
      <c r="AE8719" t="s">
        <v>80</v>
      </c>
      <c r="AG8719" t="s">
        <v>81</v>
      </c>
    </row>
    <row r="8720" spans="1:33" x14ac:dyDescent="0.25">
      <c r="A8720" t="str">
        <f>"1710050497"</f>
        <v>1710050497</v>
      </c>
      <c r="B8720" t="str">
        <f>"01873192"</f>
        <v>01873192</v>
      </c>
      <c r="C8720" t="s">
        <v>13436</v>
      </c>
      <c r="D8720" t="s">
        <v>37392</v>
      </c>
      <c r="E8720" t="s">
        <v>37393</v>
      </c>
      <c r="L8720" t="s">
        <v>83</v>
      </c>
      <c r="M8720" t="s">
        <v>85</v>
      </c>
      <c r="R8720" t="s">
        <v>37394</v>
      </c>
      <c r="W8720" t="s">
        <v>37393</v>
      </c>
      <c r="X8720" t="s">
        <v>6019</v>
      </c>
      <c r="Y8720" t="s">
        <v>91</v>
      </c>
      <c r="Z8720" t="s">
        <v>77</v>
      </c>
      <c r="AA8720" t="str">
        <f>"11373-1329"</f>
        <v>11373-1329</v>
      </c>
      <c r="AB8720" t="s">
        <v>78</v>
      </c>
      <c r="AC8720" t="s">
        <v>79</v>
      </c>
      <c r="AD8720" t="s">
        <v>75</v>
      </c>
      <c r="AE8720" t="s">
        <v>80</v>
      </c>
      <c r="AG8720" t="s">
        <v>81</v>
      </c>
    </row>
    <row r="8721" spans="1:33" x14ac:dyDescent="0.25">
      <c r="A8721" t="str">
        <f>"1710064555"</f>
        <v>1710064555</v>
      </c>
      <c r="B8721" t="str">
        <f>"03471827"</f>
        <v>03471827</v>
      </c>
      <c r="C8721" t="s">
        <v>13436</v>
      </c>
      <c r="D8721" t="s">
        <v>37395</v>
      </c>
      <c r="E8721" t="s">
        <v>37396</v>
      </c>
      <c r="G8721" t="s">
        <v>37397</v>
      </c>
      <c r="L8721" t="s">
        <v>83</v>
      </c>
      <c r="M8721" t="s">
        <v>85</v>
      </c>
      <c r="R8721" t="s">
        <v>37396</v>
      </c>
      <c r="W8721" t="s">
        <v>37398</v>
      </c>
      <c r="X8721" t="s">
        <v>2334</v>
      </c>
      <c r="Y8721" t="s">
        <v>97</v>
      </c>
      <c r="Z8721" t="s">
        <v>77</v>
      </c>
      <c r="AA8721" t="str">
        <f>"10028-1899"</f>
        <v>10028-1899</v>
      </c>
      <c r="AB8721" t="s">
        <v>78</v>
      </c>
      <c r="AC8721" t="s">
        <v>79</v>
      </c>
      <c r="AD8721" t="s">
        <v>75</v>
      </c>
      <c r="AE8721" t="s">
        <v>80</v>
      </c>
      <c r="AG8721" t="s">
        <v>81</v>
      </c>
    </row>
    <row r="8722" spans="1:33" x14ac:dyDescent="0.25">
      <c r="A8722" t="str">
        <f>"1629333513"</f>
        <v>1629333513</v>
      </c>
      <c r="C8722" t="s">
        <v>13436</v>
      </c>
      <c r="K8722" t="s">
        <v>99</v>
      </c>
      <c r="L8722" t="s">
        <v>102</v>
      </c>
      <c r="M8722" t="s">
        <v>75</v>
      </c>
      <c r="R8722" t="s">
        <v>37399</v>
      </c>
      <c r="S8722" t="s">
        <v>191</v>
      </c>
      <c r="T8722" t="s">
        <v>97</v>
      </c>
      <c r="U8722" t="s">
        <v>77</v>
      </c>
      <c r="V8722" t="str">
        <f>"100191147"</f>
        <v>100191147</v>
      </c>
      <c r="AC8722" t="s">
        <v>79</v>
      </c>
      <c r="AD8722" t="s">
        <v>75</v>
      </c>
      <c r="AE8722" t="s">
        <v>103</v>
      </c>
      <c r="AG8722" t="s">
        <v>81</v>
      </c>
    </row>
    <row r="8723" spans="1:33" x14ac:dyDescent="0.25">
      <c r="A8723" t="str">
        <f>"1629334834"</f>
        <v>1629334834</v>
      </c>
      <c r="B8723" t="str">
        <f>"04425792"</f>
        <v>04425792</v>
      </c>
      <c r="C8723" t="s">
        <v>13436</v>
      </c>
      <c r="D8723" t="s">
        <v>37400</v>
      </c>
      <c r="E8723" t="s">
        <v>37401</v>
      </c>
      <c r="L8723" t="s">
        <v>102</v>
      </c>
      <c r="M8723" t="s">
        <v>75</v>
      </c>
      <c r="R8723" t="s">
        <v>37402</v>
      </c>
      <c r="W8723" t="s">
        <v>37401</v>
      </c>
      <c r="X8723" t="s">
        <v>329</v>
      </c>
      <c r="Y8723" t="s">
        <v>97</v>
      </c>
      <c r="Z8723" t="s">
        <v>77</v>
      </c>
      <c r="AA8723" t="str">
        <f>"10029-6504"</f>
        <v>10029-6504</v>
      </c>
      <c r="AB8723" t="s">
        <v>78</v>
      </c>
      <c r="AC8723" t="s">
        <v>79</v>
      </c>
      <c r="AD8723" t="s">
        <v>75</v>
      </c>
      <c r="AE8723" t="s">
        <v>80</v>
      </c>
      <c r="AG8723" t="s">
        <v>81</v>
      </c>
    </row>
    <row r="8724" spans="1:33" x14ac:dyDescent="0.25">
      <c r="A8724" t="str">
        <f>"1619263118"</f>
        <v>1619263118</v>
      </c>
      <c r="B8724" t="str">
        <f>"03923228"</f>
        <v>03923228</v>
      </c>
      <c r="C8724" t="s">
        <v>13436</v>
      </c>
      <c r="D8724" t="s">
        <v>3465</v>
      </c>
      <c r="E8724" t="s">
        <v>3466</v>
      </c>
      <c r="G8724" t="s">
        <v>37403</v>
      </c>
      <c r="L8724" t="s">
        <v>74</v>
      </c>
      <c r="M8724" t="s">
        <v>75</v>
      </c>
      <c r="R8724" t="s">
        <v>3467</v>
      </c>
      <c r="W8724" t="s">
        <v>3466</v>
      </c>
      <c r="X8724" t="s">
        <v>318</v>
      </c>
      <c r="Y8724" t="s">
        <v>131</v>
      </c>
      <c r="Z8724" t="s">
        <v>77</v>
      </c>
      <c r="AA8724" t="str">
        <f>"10457-7606"</f>
        <v>10457-7606</v>
      </c>
      <c r="AB8724" t="s">
        <v>78</v>
      </c>
      <c r="AC8724" t="s">
        <v>79</v>
      </c>
      <c r="AD8724" t="s">
        <v>75</v>
      </c>
      <c r="AE8724" t="s">
        <v>80</v>
      </c>
      <c r="AG8724" t="s">
        <v>81</v>
      </c>
    </row>
    <row r="8725" spans="1:33" x14ac:dyDescent="0.25">
      <c r="A8725" t="str">
        <f>"1609133313"</f>
        <v>1609133313</v>
      </c>
      <c r="C8725" t="s">
        <v>13436</v>
      </c>
      <c r="K8725" t="s">
        <v>99</v>
      </c>
      <c r="L8725" t="s">
        <v>102</v>
      </c>
      <c r="M8725" t="s">
        <v>75</v>
      </c>
      <c r="R8725" t="s">
        <v>37404</v>
      </c>
      <c r="S8725" t="s">
        <v>37405</v>
      </c>
      <c r="T8725" t="s">
        <v>97</v>
      </c>
      <c r="U8725" t="s">
        <v>77</v>
      </c>
      <c r="V8725" t="str">
        <f>"10029"</f>
        <v>10029</v>
      </c>
      <c r="AC8725" t="s">
        <v>79</v>
      </c>
      <c r="AD8725" t="s">
        <v>75</v>
      </c>
      <c r="AE8725" t="s">
        <v>103</v>
      </c>
      <c r="AG8725" t="s">
        <v>81</v>
      </c>
    </row>
    <row r="8726" spans="1:33" x14ac:dyDescent="0.25">
      <c r="A8726" t="str">
        <f>"1609142611"</f>
        <v>1609142611</v>
      </c>
      <c r="B8726" t="str">
        <f>"04207856"</f>
        <v>04207856</v>
      </c>
      <c r="C8726" t="s">
        <v>13436</v>
      </c>
      <c r="D8726" t="s">
        <v>37406</v>
      </c>
      <c r="E8726" t="s">
        <v>37407</v>
      </c>
      <c r="G8726" t="s">
        <v>37408</v>
      </c>
      <c r="L8726" t="s">
        <v>83</v>
      </c>
      <c r="M8726" t="s">
        <v>75</v>
      </c>
      <c r="R8726" t="s">
        <v>37409</v>
      </c>
      <c r="W8726" t="s">
        <v>37410</v>
      </c>
      <c r="X8726" t="s">
        <v>4446</v>
      </c>
      <c r="Y8726" t="s">
        <v>131</v>
      </c>
      <c r="Z8726" t="s">
        <v>77</v>
      </c>
      <c r="AA8726" t="str">
        <f>"10453-6018"</f>
        <v>10453-6018</v>
      </c>
      <c r="AB8726" t="s">
        <v>78</v>
      </c>
      <c r="AC8726" t="s">
        <v>79</v>
      </c>
      <c r="AD8726" t="s">
        <v>75</v>
      </c>
      <c r="AE8726" t="s">
        <v>80</v>
      </c>
      <c r="AG8726" t="s">
        <v>81</v>
      </c>
    </row>
    <row r="8727" spans="1:33" x14ac:dyDescent="0.25">
      <c r="A8727" t="str">
        <f>"1457326274"</f>
        <v>1457326274</v>
      </c>
      <c r="B8727" t="str">
        <f>"02290600"</f>
        <v>02290600</v>
      </c>
      <c r="C8727" t="s">
        <v>13436</v>
      </c>
      <c r="D8727" t="s">
        <v>37411</v>
      </c>
      <c r="E8727" t="s">
        <v>37412</v>
      </c>
      <c r="G8727" t="s">
        <v>37413</v>
      </c>
      <c r="L8727" t="s">
        <v>83</v>
      </c>
      <c r="M8727" t="s">
        <v>85</v>
      </c>
      <c r="R8727" t="s">
        <v>37414</v>
      </c>
      <c r="W8727" t="s">
        <v>37412</v>
      </c>
      <c r="X8727" t="s">
        <v>37415</v>
      </c>
      <c r="Y8727" t="s">
        <v>91</v>
      </c>
      <c r="Z8727" t="s">
        <v>77</v>
      </c>
      <c r="AA8727" t="str">
        <f>"11373-1329"</f>
        <v>11373-1329</v>
      </c>
      <c r="AB8727" t="s">
        <v>78</v>
      </c>
      <c r="AC8727" t="s">
        <v>79</v>
      </c>
      <c r="AD8727" t="s">
        <v>75</v>
      </c>
      <c r="AE8727" t="s">
        <v>80</v>
      </c>
      <c r="AG8727" t="s">
        <v>81</v>
      </c>
    </row>
    <row r="8728" spans="1:33" x14ac:dyDescent="0.25">
      <c r="A8728" t="str">
        <f>"1457327835"</f>
        <v>1457327835</v>
      </c>
      <c r="B8728" t="str">
        <f>"01207230"</f>
        <v>01207230</v>
      </c>
      <c r="C8728" t="s">
        <v>13436</v>
      </c>
      <c r="D8728" t="s">
        <v>37416</v>
      </c>
      <c r="E8728" t="s">
        <v>37417</v>
      </c>
      <c r="G8728" t="s">
        <v>37418</v>
      </c>
      <c r="L8728" t="s">
        <v>83</v>
      </c>
      <c r="M8728" t="s">
        <v>85</v>
      </c>
      <c r="R8728" t="s">
        <v>37419</v>
      </c>
      <c r="W8728" t="s">
        <v>37417</v>
      </c>
      <c r="X8728" t="s">
        <v>37420</v>
      </c>
      <c r="Y8728" t="s">
        <v>97</v>
      </c>
      <c r="Z8728" t="s">
        <v>77</v>
      </c>
      <c r="AA8728" t="str">
        <f>"10029-6500"</f>
        <v>10029-6500</v>
      </c>
      <c r="AB8728" t="s">
        <v>78</v>
      </c>
      <c r="AC8728" t="s">
        <v>79</v>
      </c>
      <c r="AD8728" t="s">
        <v>75</v>
      </c>
      <c r="AE8728" t="s">
        <v>80</v>
      </c>
      <c r="AG8728" t="s">
        <v>81</v>
      </c>
    </row>
    <row r="8729" spans="1:33" x14ac:dyDescent="0.25">
      <c r="A8729" t="str">
        <f>"1457328569"</f>
        <v>1457328569</v>
      </c>
      <c r="B8729" t="str">
        <f>"02647670"</f>
        <v>02647670</v>
      </c>
      <c r="C8729" t="s">
        <v>13436</v>
      </c>
      <c r="D8729" t="s">
        <v>37421</v>
      </c>
      <c r="E8729" t="s">
        <v>37422</v>
      </c>
      <c r="G8729" t="s">
        <v>37423</v>
      </c>
      <c r="L8729" t="s">
        <v>83</v>
      </c>
      <c r="M8729" t="s">
        <v>85</v>
      </c>
      <c r="R8729" t="s">
        <v>37424</v>
      </c>
      <c r="W8729" t="s">
        <v>37425</v>
      </c>
      <c r="X8729" t="s">
        <v>272</v>
      </c>
      <c r="Y8729" t="s">
        <v>97</v>
      </c>
      <c r="Z8729" t="s">
        <v>77</v>
      </c>
      <c r="AA8729" t="str">
        <f>"10029-6501"</f>
        <v>10029-6501</v>
      </c>
      <c r="AB8729" t="s">
        <v>78</v>
      </c>
      <c r="AC8729" t="s">
        <v>79</v>
      </c>
      <c r="AD8729" t="s">
        <v>75</v>
      </c>
      <c r="AE8729" t="s">
        <v>80</v>
      </c>
      <c r="AG8729" t="s">
        <v>81</v>
      </c>
    </row>
    <row r="8730" spans="1:33" x14ac:dyDescent="0.25">
      <c r="A8730" t="str">
        <f>"1104245943"</f>
        <v>1104245943</v>
      </c>
      <c r="C8730" t="s">
        <v>13436</v>
      </c>
      <c r="K8730" t="s">
        <v>99</v>
      </c>
      <c r="L8730" t="s">
        <v>102</v>
      </c>
      <c r="M8730" t="s">
        <v>75</v>
      </c>
      <c r="R8730" t="s">
        <v>37426</v>
      </c>
      <c r="S8730" t="s">
        <v>37427</v>
      </c>
      <c r="T8730" t="s">
        <v>97</v>
      </c>
      <c r="U8730" t="s">
        <v>77</v>
      </c>
      <c r="V8730" t="str">
        <f>"100251716"</f>
        <v>100251716</v>
      </c>
      <c r="AC8730" t="s">
        <v>79</v>
      </c>
      <c r="AD8730" t="s">
        <v>75</v>
      </c>
      <c r="AE8730" t="s">
        <v>103</v>
      </c>
      <c r="AG8730" t="s">
        <v>81</v>
      </c>
    </row>
    <row r="8731" spans="1:33" x14ac:dyDescent="0.25">
      <c r="A8731" t="str">
        <f>"1104260603"</f>
        <v>1104260603</v>
      </c>
      <c r="C8731" t="s">
        <v>13436</v>
      </c>
      <c r="K8731" t="s">
        <v>99</v>
      </c>
      <c r="L8731" t="s">
        <v>102</v>
      </c>
      <c r="M8731" t="s">
        <v>75</v>
      </c>
      <c r="R8731" t="s">
        <v>37428</v>
      </c>
      <c r="S8731" t="s">
        <v>37429</v>
      </c>
      <c r="T8731" t="s">
        <v>2111</v>
      </c>
      <c r="U8731" t="s">
        <v>4576</v>
      </c>
      <c r="V8731" t="str">
        <f>"197182200"</f>
        <v>197182200</v>
      </c>
      <c r="AC8731" t="s">
        <v>79</v>
      </c>
      <c r="AD8731" t="s">
        <v>75</v>
      </c>
      <c r="AE8731" t="s">
        <v>103</v>
      </c>
      <c r="AG8731" t="s">
        <v>81</v>
      </c>
    </row>
    <row r="8732" spans="1:33" x14ac:dyDescent="0.25">
      <c r="A8732" t="str">
        <f>"1104266691"</f>
        <v>1104266691</v>
      </c>
      <c r="C8732" t="s">
        <v>13436</v>
      </c>
      <c r="K8732" t="s">
        <v>99</v>
      </c>
      <c r="L8732" t="s">
        <v>102</v>
      </c>
      <c r="M8732" t="s">
        <v>75</v>
      </c>
      <c r="R8732" t="s">
        <v>37430</v>
      </c>
      <c r="S8732" t="s">
        <v>168</v>
      </c>
      <c r="T8732" t="s">
        <v>155</v>
      </c>
      <c r="U8732" t="s">
        <v>77</v>
      </c>
      <c r="V8732" t="str">
        <f>"103101664"</f>
        <v>103101664</v>
      </c>
      <c r="AC8732" t="s">
        <v>79</v>
      </c>
      <c r="AD8732" t="s">
        <v>75</v>
      </c>
      <c r="AE8732" t="s">
        <v>103</v>
      </c>
      <c r="AG8732" t="s">
        <v>81</v>
      </c>
    </row>
    <row r="8733" spans="1:33" x14ac:dyDescent="0.25">
      <c r="A8733" t="str">
        <f>"1144220344"</f>
        <v>1144220344</v>
      </c>
      <c r="B8733" t="str">
        <f>"02652826"</f>
        <v>02652826</v>
      </c>
      <c r="C8733" t="s">
        <v>13436</v>
      </c>
      <c r="D8733" t="s">
        <v>37431</v>
      </c>
      <c r="E8733" t="s">
        <v>37432</v>
      </c>
      <c r="L8733" t="s">
        <v>84</v>
      </c>
      <c r="M8733" t="s">
        <v>85</v>
      </c>
      <c r="R8733" t="s">
        <v>37432</v>
      </c>
      <c r="W8733" t="s">
        <v>37432</v>
      </c>
      <c r="X8733" t="s">
        <v>26624</v>
      </c>
      <c r="Y8733" t="s">
        <v>131</v>
      </c>
      <c r="Z8733" t="s">
        <v>77</v>
      </c>
      <c r="AA8733" t="str">
        <f>"10462-5902"</f>
        <v>10462-5902</v>
      </c>
      <c r="AB8733" t="s">
        <v>78</v>
      </c>
      <c r="AC8733" t="s">
        <v>79</v>
      </c>
      <c r="AD8733" t="s">
        <v>75</v>
      </c>
      <c r="AE8733" t="s">
        <v>80</v>
      </c>
      <c r="AG8733" t="s">
        <v>81</v>
      </c>
    </row>
    <row r="8734" spans="1:33" x14ac:dyDescent="0.25">
      <c r="A8734" t="str">
        <f>"1144235813"</f>
        <v>1144235813</v>
      </c>
      <c r="B8734" t="str">
        <f>"01886460"</f>
        <v>01886460</v>
      </c>
      <c r="C8734" t="s">
        <v>13436</v>
      </c>
      <c r="D8734" t="s">
        <v>37433</v>
      </c>
      <c r="E8734" t="s">
        <v>37434</v>
      </c>
      <c r="G8734" t="s">
        <v>37435</v>
      </c>
      <c r="L8734" t="s">
        <v>83</v>
      </c>
      <c r="M8734" t="s">
        <v>85</v>
      </c>
      <c r="R8734" t="s">
        <v>37436</v>
      </c>
      <c r="W8734" t="s">
        <v>37434</v>
      </c>
      <c r="X8734" t="s">
        <v>37437</v>
      </c>
      <c r="Y8734" t="s">
        <v>2128</v>
      </c>
      <c r="Z8734" t="s">
        <v>77</v>
      </c>
      <c r="AA8734" t="str">
        <f>"11743-2924"</f>
        <v>11743-2924</v>
      </c>
      <c r="AB8734" t="s">
        <v>78</v>
      </c>
      <c r="AC8734" t="s">
        <v>79</v>
      </c>
      <c r="AD8734" t="s">
        <v>75</v>
      </c>
      <c r="AE8734" t="s">
        <v>80</v>
      </c>
      <c r="AG8734" t="s">
        <v>81</v>
      </c>
    </row>
    <row r="8735" spans="1:33" x14ac:dyDescent="0.25">
      <c r="A8735" t="str">
        <f>"1144240490"</f>
        <v>1144240490</v>
      </c>
      <c r="B8735" t="str">
        <f>"02597964"</f>
        <v>02597964</v>
      </c>
      <c r="C8735" t="s">
        <v>13436</v>
      </c>
      <c r="D8735" t="s">
        <v>37438</v>
      </c>
      <c r="E8735" t="s">
        <v>37439</v>
      </c>
      <c r="G8735" t="s">
        <v>37440</v>
      </c>
      <c r="L8735" t="s">
        <v>83</v>
      </c>
      <c r="M8735" t="s">
        <v>85</v>
      </c>
      <c r="R8735" t="s">
        <v>37441</v>
      </c>
      <c r="W8735" t="s">
        <v>37439</v>
      </c>
      <c r="X8735" t="s">
        <v>782</v>
      </c>
      <c r="Y8735" t="s">
        <v>97</v>
      </c>
      <c r="Z8735" t="s">
        <v>77</v>
      </c>
      <c r="AA8735" t="str">
        <f>"10075-1850"</f>
        <v>10075-1850</v>
      </c>
      <c r="AB8735" t="s">
        <v>78</v>
      </c>
      <c r="AC8735" t="s">
        <v>79</v>
      </c>
      <c r="AD8735" t="s">
        <v>75</v>
      </c>
      <c r="AE8735" t="s">
        <v>80</v>
      </c>
      <c r="AG8735" t="s">
        <v>81</v>
      </c>
    </row>
    <row r="8736" spans="1:33" x14ac:dyDescent="0.25">
      <c r="A8736" t="str">
        <f>"1184959199"</f>
        <v>1184959199</v>
      </c>
      <c r="B8736" t="str">
        <f>"03415583"</f>
        <v>03415583</v>
      </c>
      <c r="C8736" t="s">
        <v>13436</v>
      </c>
      <c r="D8736" t="s">
        <v>37442</v>
      </c>
      <c r="E8736" t="s">
        <v>37443</v>
      </c>
      <c r="L8736" t="s">
        <v>83</v>
      </c>
      <c r="M8736" t="s">
        <v>85</v>
      </c>
      <c r="R8736" t="s">
        <v>37444</v>
      </c>
      <c r="W8736" t="s">
        <v>37443</v>
      </c>
      <c r="X8736" t="s">
        <v>37445</v>
      </c>
      <c r="Y8736" t="s">
        <v>97</v>
      </c>
      <c r="Z8736" t="s">
        <v>77</v>
      </c>
      <c r="AA8736" t="str">
        <f>"10029-6503"</f>
        <v>10029-6503</v>
      </c>
      <c r="AB8736" t="s">
        <v>78</v>
      </c>
      <c r="AC8736" t="s">
        <v>79</v>
      </c>
      <c r="AD8736" t="s">
        <v>75</v>
      </c>
      <c r="AE8736" t="s">
        <v>80</v>
      </c>
      <c r="AG8736" t="s">
        <v>81</v>
      </c>
    </row>
    <row r="8737" spans="1:33" x14ac:dyDescent="0.25">
      <c r="A8737" t="str">
        <f>"1184966574"</f>
        <v>1184966574</v>
      </c>
      <c r="C8737" t="s">
        <v>13436</v>
      </c>
      <c r="K8737" t="s">
        <v>99</v>
      </c>
      <c r="L8737" t="s">
        <v>102</v>
      </c>
      <c r="M8737" t="s">
        <v>75</v>
      </c>
      <c r="R8737" t="s">
        <v>37446</v>
      </c>
      <c r="S8737" t="s">
        <v>27947</v>
      </c>
      <c r="T8737" t="s">
        <v>97</v>
      </c>
      <c r="U8737" t="s">
        <v>77</v>
      </c>
      <c r="V8737" t="str">
        <f>"100033805"</f>
        <v>100033805</v>
      </c>
      <c r="AC8737" t="s">
        <v>79</v>
      </c>
      <c r="AD8737" t="s">
        <v>75</v>
      </c>
      <c r="AE8737" t="s">
        <v>103</v>
      </c>
      <c r="AG8737" t="s">
        <v>81</v>
      </c>
    </row>
    <row r="8738" spans="1:33" x14ac:dyDescent="0.25">
      <c r="A8738" t="str">
        <f>"1184967440"</f>
        <v>1184967440</v>
      </c>
      <c r="C8738" t="s">
        <v>13436</v>
      </c>
      <c r="K8738" t="s">
        <v>99</v>
      </c>
      <c r="L8738" t="s">
        <v>102</v>
      </c>
      <c r="M8738" t="s">
        <v>75</v>
      </c>
      <c r="R8738" t="s">
        <v>37447</v>
      </c>
      <c r="S8738" t="s">
        <v>12619</v>
      </c>
      <c r="T8738" t="s">
        <v>97</v>
      </c>
      <c r="U8738" t="s">
        <v>77</v>
      </c>
      <c r="V8738" t="str">
        <f>"100191147"</f>
        <v>100191147</v>
      </c>
      <c r="AC8738" t="s">
        <v>79</v>
      </c>
      <c r="AD8738" t="s">
        <v>75</v>
      </c>
      <c r="AE8738" t="s">
        <v>103</v>
      </c>
      <c r="AG8738" t="s">
        <v>81</v>
      </c>
    </row>
    <row r="8739" spans="1:33" x14ac:dyDescent="0.25">
      <c r="A8739" t="str">
        <f>"1184979411"</f>
        <v>1184979411</v>
      </c>
      <c r="C8739" t="s">
        <v>13436</v>
      </c>
      <c r="G8739" t="s">
        <v>37448</v>
      </c>
      <c r="K8739" t="s">
        <v>99</v>
      </c>
      <c r="L8739" t="s">
        <v>102</v>
      </c>
      <c r="M8739" t="s">
        <v>75</v>
      </c>
      <c r="R8739" t="s">
        <v>37449</v>
      </c>
      <c r="S8739" t="s">
        <v>37450</v>
      </c>
      <c r="T8739" t="s">
        <v>14861</v>
      </c>
      <c r="U8739" t="s">
        <v>1784</v>
      </c>
      <c r="V8739" t="str">
        <f>"185102401"</f>
        <v>185102401</v>
      </c>
      <c r="AC8739" t="s">
        <v>79</v>
      </c>
      <c r="AD8739" t="s">
        <v>75</v>
      </c>
      <c r="AE8739" t="s">
        <v>103</v>
      </c>
      <c r="AG8739" t="s">
        <v>81</v>
      </c>
    </row>
    <row r="8740" spans="1:33" x14ac:dyDescent="0.25">
      <c r="A8740" t="str">
        <f>"1184980450"</f>
        <v>1184980450</v>
      </c>
      <c r="C8740" t="s">
        <v>13436</v>
      </c>
      <c r="K8740" t="s">
        <v>99</v>
      </c>
      <c r="L8740" t="s">
        <v>102</v>
      </c>
      <c r="M8740" t="s">
        <v>75</v>
      </c>
      <c r="R8740" t="s">
        <v>37451</v>
      </c>
      <c r="S8740" t="s">
        <v>37452</v>
      </c>
      <c r="T8740" t="s">
        <v>139</v>
      </c>
      <c r="U8740" t="s">
        <v>77</v>
      </c>
      <c r="V8740" t="str">
        <f>"113671733"</f>
        <v>113671733</v>
      </c>
      <c r="AC8740" t="s">
        <v>79</v>
      </c>
      <c r="AD8740" t="s">
        <v>75</v>
      </c>
      <c r="AE8740" t="s">
        <v>103</v>
      </c>
      <c r="AG8740" t="s">
        <v>81</v>
      </c>
    </row>
    <row r="8741" spans="1:33" x14ac:dyDescent="0.25">
      <c r="A8741" t="str">
        <f>"1801857495"</f>
        <v>1801857495</v>
      </c>
      <c r="B8741" t="str">
        <f>"00489478"</f>
        <v>00489478</v>
      </c>
      <c r="C8741" t="s">
        <v>13436</v>
      </c>
      <c r="D8741" t="s">
        <v>37453</v>
      </c>
      <c r="E8741" t="s">
        <v>37454</v>
      </c>
      <c r="L8741" t="s">
        <v>74</v>
      </c>
      <c r="M8741" t="s">
        <v>85</v>
      </c>
      <c r="R8741" t="s">
        <v>37455</v>
      </c>
      <c r="W8741" t="s">
        <v>37454</v>
      </c>
      <c r="X8741" t="s">
        <v>204</v>
      </c>
      <c r="Y8741" t="s">
        <v>97</v>
      </c>
      <c r="Z8741" t="s">
        <v>77</v>
      </c>
      <c r="AA8741" t="str">
        <f>"10065-4870"</f>
        <v>10065-4870</v>
      </c>
      <c r="AB8741" t="s">
        <v>78</v>
      </c>
      <c r="AC8741" t="s">
        <v>79</v>
      </c>
      <c r="AD8741" t="s">
        <v>75</v>
      </c>
      <c r="AE8741" t="s">
        <v>80</v>
      </c>
      <c r="AG8741" t="s">
        <v>81</v>
      </c>
    </row>
    <row r="8742" spans="1:33" x14ac:dyDescent="0.25">
      <c r="A8742" t="str">
        <f>"1184068595"</f>
        <v>1184068595</v>
      </c>
      <c r="C8742" t="s">
        <v>13436</v>
      </c>
      <c r="K8742" t="s">
        <v>99</v>
      </c>
      <c r="L8742" t="s">
        <v>102</v>
      </c>
      <c r="M8742" t="s">
        <v>75</v>
      </c>
      <c r="R8742" t="s">
        <v>37456</v>
      </c>
      <c r="S8742" t="s">
        <v>843</v>
      </c>
      <c r="T8742" t="s">
        <v>97</v>
      </c>
      <c r="U8742" t="s">
        <v>77</v>
      </c>
      <c r="V8742" t="str">
        <f>"100166402"</f>
        <v>100166402</v>
      </c>
      <c r="AC8742" t="s">
        <v>79</v>
      </c>
      <c r="AD8742" t="s">
        <v>75</v>
      </c>
      <c r="AE8742" t="s">
        <v>103</v>
      </c>
      <c r="AG8742" t="s">
        <v>81</v>
      </c>
    </row>
    <row r="8743" spans="1:33" x14ac:dyDescent="0.25">
      <c r="A8743" t="str">
        <f>"1184606626"</f>
        <v>1184606626</v>
      </c>
      <c r="B8743" t="str">
        <f>"01988669"</f>
        <v>01988669</v>
      </c>
      <c r="C8743" t="s">
        <v>13436</v>
      </c>
      <c r="D8743" t="s">
        <v>37457</v>
      </c>
      <c r="E8743" t="s">
        <v>37458</v>
      </c>
      <c r="G8743" t="s">
        <v>37459</v>
      </c>
      <c r="L8743" t="s">
        <v>83</v>
      </c>
      <c r="M8743" t="s">
        <v>85</v>
      </c>
      <c r="R8743" t="s">
        <v>37460</v>
      </c>
      <c r="W8743" t="s">
        <v>37461</v>
      </c>
      <c r="X8743" t="s">
        <v>37462</v>
      </c>
      <c r="Y8743" t="s">
        <v>87</v>
      </c>
      <c r="Z8743" t="s">
        <v>77</v>
      </c>
      <c r="AA8743" t="str">
        <f>"11203-2056"</f>
        <v>11203-2056</v>
      </c>
      <c r="AB8743" t="s">
        <v>78</v>
      </c>
      <c r="AC8743" t="s">
        <v>79</v>
      </c>
      <c r="AD8743" t="s">
        <v>75</v>
      </c>
      <c r="AE8743" t="s">
        <v>80</v>
      </c>
      <c r="AG8743" t="s">
        <v>81</v>
      </c>
    </row>
    <row r="8744" spans="1:33" x14ac:dyDescent="0.25">
      <c r="A8744" t="str">
        <f>"1184619298"</f>
        <v>1184619298</v>
      </c>
      <c r="B8744" t="str">
        <f>"01836162"</f>
        <v>01836162</v>
      </c>
      <c r="C8744" t="s">
        <v>13436</v>
      </c>
      <c r="D8744" t="s">
        <v>37463</v>
      </c>
      <c r="E8744" t="s">
        <v>37464</v>
      </c>
      <c r="G8744" t="s">
        <v>37465</v>
      </c>
      <c r="L8744" t="s">
        <v>83</v>
      </c>
      <c r="M8744" t="s">
        <v>85</v>
      </c>
      <c r="R8744" t="s">
        <v>37464</v>
      </c>
      <c r="W8744" t="s">
        <v>37464</v>
      </c>
      <c r="X8744" t="s">
        <v>37464</v>
      </c>
      <c r="Y8744" t="s">
        <v>2068</v>
      </c>
      <c r="Z8744" t="s">
        <v>77</v>
      </c>
      <c r="AA8744" t="str">
        <f>"11725-3405"</f>
        <v>11725-3405</v>
      </c>
      <c r="AB8744" t="s">
        <v>78</v>
      </c>
      <c r="AC8744" t="s">
        <v>79</v>
      </c>
      <c r="AD8744" t="s">
        <v>75</v>
      </c>
      <c r="AE8744" t="s">
        <v>80</v>
      </c>
      <c r="AG8744" t="s">
        <v>81</v>
      </c>
    </row>
    <row r="8745" spans="1:33" x14ac:dyDescent="0.25">
      <c r="A8745" t="str">
        <f>"1184634503"</f>
        <v>1184634503</v>
      </c>
      <c r="B8745" t="str">
        <f>"00966312"</f>
        <v>00966312</v>
      </c>
      <c r="C8745" t="s">
        <v>13436</v>
      </c>
      <c r="D8745" t="s">
        <v>37466</v>
      </c>
      <c r="E8745" t="s">
        <v>37467</v>
      </c>
      <c r="G8745" t="s">
        <v>37468</v>
      </c>
      <c r="L8745" t="s">
        <v>74</v>
      </c>
      <c r="M8745" t="s">
        <v>75</v>
      </c>
      <c r="R8745" t="s">
        <v>37469</v>
      </c>
      <c r="W8745" t="s">
        <v>37470</v>
      </c>
      <c r="X8745" t="s">
        <v>5520</v>
      </c>
      <c r="Y8745" t="s">
        <v>2128</v>
      </c>
      <c r="Z8745" t="s">
        <v>77</v>
      </c>
      <c r="AA8745" t="str">
        <f>"11743-2787"</f>
        <v>11743-2787</v>
      </c>
      <c r="AB8745" t="s">
        <v>78</v>
      </c>
      <c r="AC8745" t="s">
        <v>79</v>
      </c>
      <c r="AD8745" t="s">
        <v>75</v>
      </c>
      <c r="AE8745" t="s">
        <v>80</v>
      </c>
      <c r="AG8745" t="s">
        <v>81</v>
      </c>
    </row>
    <row r="8746" spans="1:33" x14ac:dyDescent="0.25">
      <c r="A8746" t="str">
        <f>"1184656209"</f>
        <v>1184656209</v>
      </c>
      <c r="B8746" t="str">
        <f>"01886557"</f>
        <v>01886557</v>
      </c>
      <c r="C8746" t="s">
        <v>13436</v>
      </c>
      <c r="D8746" t="s">
        <v>37471</v>
      </c>
      <c r="E8746" t="s">
        <v>37472</v>
      </c>
      <c r="G8746" t="s">
        <v>37473</v>
      </c>
      <c r="L8746" t="s">
        <v>94</v>
      </c>
      <c r="M8746" t="s">
        <v>75</v>
      </c>
      <c r="R8746" t="s">
        <v>37474</v>
      </c>
      <c r="W8746" t="s">
        <v>37472</v>
      </c>
      <c r="X8746" t="s">
        <v>272</v>
      </c>
      <c r="Y8746" t="s">
        <v>97</v>
      </c>
      <c r="Z8746" t="s">
        <v>77</v>
      </c>
      <c r="AA8746" t="str">
        <f>"10029-6501"</f>
        <v>10029-6501</v>
      </c>
      <c r="AB8746" t="s">
        <v>78</v>
      </c>
      <c r="AC8746" t="s">
        <v>79</v>
      </c>
      <c r="AD8746" t="s">
        <v>75</v>
      </c>
      <c r="AE8746" t="s">
        <v>80</v>
      </c>
      <c r="AG8746" t="s">
        <v>81</v>
      </c>
    </row>
    <row r="8747" spans="1:33" x14ac:dyDescent="0.25">
      <c r="A8747" t="str">
        <f>"1184658874"</f>
        <v>1184658874</v>
      </c>
      <c r="B8747" t="str">
        <f>"02580418"</f>
        <v>02580418</v>
      </c>
      <c r="C8747" t="s">
        <v>13436</v>
      </c>
      <c r="D8747" t="s">
        <v>37475</v>
      </c>
      <c r="E8747" t="s">
        <v>37476</v>
      </c>
      <c r="G8747" t="s">
        <v>37477</v>
      </c>
      <c r="L8747" t="s">
        <v>74</v>
      </c>
      <c r="M8747" t="s">
        <v>85</v>
      </c>
      <c r="R8747" t="s">
        <v>37478</v>
      </c>
      <c r="W8747" t="s">
        <v>37479</v>
      </c>
      <c r="X8747" t="s">
        <v>37480</v>
      </c>
      <c r="Y8747" t="s">
        <v>97</v>
      </c>
      <c r="Z8747" t="s">
        <v>77</v>
      </c>
      <c r="AA8747" t="str">
        <f>"10029-6501"</f>
        <v>10029-6501</v>
      </c>
      <c r="AB8747" t="s">
        <v>78</v>
      </c>
      <c r="AC8747" t="s">
        <v>79</v>
      </c>
      <c r="AD8747" t="s">
        <v>75</v>
      </c>
      <c r="AE8747" t="s">
        <v>80</v>
      </c>
      <c r="AG8747" t="s">
        <v>81</v>
      </c>
    </row>
    <row r="8748" spans="1:33" x14ac:dyDescent="0.25">
      <c r="A8748" t="str">
        <f>"1184660003"</f>
        <v>1184660003</v>
      </c>
      <c r="B8748" t="str">
        <f>"02020822"</f>
        <v>02020822</v>
      </c>
      <c r="C8748" t="s">
        <v>13436</v>
      </c>
      <c r="D8748" t="s">
        <v>37481</v>
      </c>
      <c r="E8748" t="s">
        <v>37482</v>
      </c>
      <c r="G8748" t="s">
        <v>37483</v>
      </c>
      <c r="L8748" t="s">
        <v>83</v>
      </c>
      <c r="M8748" t="s">
        <v>85</v>
      </c>
      <c r="R8748" t="s">
        <v>37484</v>
      </c>
      <c r="W8748" t="s">
        <v>37482</v>
      </c>
      <c r="X8748" t="s">
        <v>37485</v>
      </c>
      <c r="Y8748" t="s">
        <v>2641</v>
      </c>
      <c r="Z8748" t="s">
        <v>77</v>
      </c>
      <c r="AA8748" t="str">
        <f>"11953"</f>
        <v>11953</v>
      </c>
      <c r="AB8748" t="s">
        <v>78</v>
      </c>
      <c r="AC8748" t="s">
        <v>79</v>
      </c>
      <c r="AD8748" t="s">
        <v>75</v>
      </c>
      <c r="AE8748" t="s">
        <v>80</v>
      </c>
      <c r="AG8748" t="s">
        <v>81</v>
      </c>
    </row>
    <row r="8749" spans="1:33" x14ac:dyDescent="0.25">
      <c r="A8749" t="str">
        <f>"1184681777"</f>
        <v>1184681777</v>
      </c>
      <c r="B8749" t="str">
        <f>"00703466"</f>
        <v>00703466</v>
      </c>
      <c r="C8749" t="s">
        <v>13436</v>
      </c>
      <c r="D8749" t="s">
        <v>37486</v>
      </c>
      <c r="E8749" t="s">
        <v>37487</v>
      </c>
      <c r="G8749" t="s">
        <v>37488</v>
      </c>
      <c r="L8749" t="s">
        <v>83</v>
      </c>
      <c r="M8749" t="s">
        <v>85</v>
      </c>
      <c r="R8749" t="s">
        <v>37489</v>
      </c>
      <c r="W8749" t="s">
        <v>37490</v>
      </c>
      <c r="X8749" t="s">
        <v>37491</v>
      </c>
      <c r="Y8749" t="s">
        <v>97</v>
      </c>
      <c r="Z8749" t="s">
        <v>77</v>
      </c>
      <c r="AA8749" t="str">
        <f>"10029-5204"</f>
        <v>10029-5204</v>
      </c>
      <c r="AB8749" t="s">
        <v>128</v>
      </c>
      <c r="AC8749" t="s">
        <v>79</v>
      </c>
      <c r="AD8749" t="s">
        <v>75</v>
      </c>
      <c r="AE8749" t="s">
        <v>80</v>
      </c>
      <c r="AG8749" t="s">
        <v>81</v>
      </c>
    </row>
    <row r="8750" spans="1:33" x14ac:dyDescent="0.25">
      <c r="A8750" t="str">
        <f>"1689879199"</f>
        <v>1689879199</v>
      </c>
      <c r="C8750" t="s">
        <v>13436</v>
      </c>
      <c r="G8750" t="s">
        <v>37492</v>
      </c>
      <c r="K8750" t="s">
        <v>99</v>
      </c>
      <c r="L8750" t="s">
        <v>102</v>
      </c>
      <c r="M8750" t="s">
        <v>75</v>
      </c>
      <c r="R8750" t="s">
        <v>37493</v>
      </c>
      <c r="S8750" t="s">
        <v>5050</v>
      </c>
      <c r="T8750" t="s">
        <v>97</v>
      </c>
      <c r="U8750" t="s">
        <v>77</v>
      </c>
      <c r="V8750" t="str">
        <f>"100296500"</f>
        <v>100296500</v>
      </c>
      <c r="AC8750" t="s">
        <v>79</v>
      </c>
      <c r="AD8750" t="s">
        <v>75</v>
      </c>
      <c r="AE8750" t="s">
        <v>103</v>
      </c>
      <c r="AG8750" t="s">
        <v>81</v>
      </c>
    </row>
    <row r="8751" spans="1:33" x14ac:dyDescent="0.25">
      <c r="A8751" t="str">
        <f>"1588985964"</f>
        <v>1588985964</v>
      </c>
      <c r="C8751" t="s">
        <v>13436</v>
      </c>
      <c r="G8751" t="s">
        <v>37494</v>
      </c>
      <c r="K8751" t="s">
        <v>99</v>
      </c>
      <c r="L8751" t="s">
        <v>102</v>
      </c>
      <c r="M8751" t="s">
        <v>75</v>
      </c>
      <c r="R8751" t="s">
        <v>37495</v>
      </c>
      <c r="S8751" t="s">
        <v>37496</v>
      </c>
      <c r="T8751" t="s">
        <v>97</v>
      </c>
      <c r="U8751" t="s">
        <v>77</v>
      </c>
      <c r="V8751" t="str">
        <f>"101190002"</f>
        <v>101190002</v>
      </c>
      <c r="AC8751" t="s">
        <v>79</v>
      </c>
      <c r="AD8751" t="s">
        <v>75</v>
      </c>
      <c r="AE8751" t="s">
        <v>103</v>
      </c>
      <c r="AG8751" t="s">
        <v>81</v>
      </c>
    </row>
    <row r="8752" spans="1:33" x14ac:dyDescent="0.25">
      <c r="A8752" t="str">
        <f>"1184668295"</f>
        <v>1184668295</v>
      </c>
      <c r="B8752" t="str">
        <f>"04130576"</f>
        <v>04130576</v>
      </c>
      <c r="C8752" t="s">
        <v>37497</v>
      </c>
      <c r="D8752" t="s">
        <v>37498</v>
      </c>
      <c r="E8752" t="s">
        <v>37499</v>
      </c>
      <c r="G8752" t="s">
        <v>24003</v>
      </c>
      <c r="J8752" t="s">
        <v>24004</v>
      </c>
      <c r="L8752" t="s">
        <v>94</v>
      </c>
      <c r="M8752" t="s">
        <v>75</v>
      </c>
      <c r="R8752" t="s">
        <v>37499</v>
      </c>
      <c r="W8752" t="s">
        <v>37499</v>
      </c>
      <c r="X8752" t="s">
        <v>37500</v>
      </c>
      <c r="Y8752" t="s">
        <v>87</v>
      </c>
      <c r="Z8752" t="s">
        <v>77</v>
      </c>
      <c r="AA8752" t="str">
        <f>"11203-1911"</f>
        <v>11203-1911</v>
      </c>
      <c r="AB8752" t="s">
        <v>127</v>
      </c>
      <c r="AC8752" t="s">
        <v>79</v>
      </c>
      <c r="AD8752" t="s">
        <v>75</v>
      </c>
      <c r="AE8752" t="s">
        <v>80</v>
      </c>
      <c r="AG8752" t="s">
        <v>81</v>
      </c>
    </row>
    <row r="8753" spans="1:33" x14ac:dyDescent="0.25">
      <c r="A8753" t="str">
        <f>"1396710463"</f>
        <v>1396710463</v>
      </c>
      <c r="B8753" t="str">
        <f>"02472553"</f>
        <v>02472553</v>
      </c>
      <c r="C8753" t="s">
        <v>37501</v>
      </c>
      <c r="D8753" t="s">
        <v>1627</v>
      </c>
      <c r="E8753" t="s">
        <v>1628</v>
      </c>
      <c r="G8753" t="s">
        <v>24003</v>
      </c>
      <c r="J8753" t="s">
        <v>24004</v>
      </c>
      <c r="L8753" t="s">
        <v>83</v>
      </c>
      <c r="M8753" t="s">
        <v>75</v>
      </c>
      <c r="R8753" t="s">
        <v>1626</v>
      </c>
      <c r="W8753" t="s">
        <v>1628</v>
      </c>
      <c r="X8753" t="s">
        <v>1531</v>
      </c>
      <c r="Y8753" t="s">
        <v>97</v>
      </c>
      <c r="Z8753" t="s">
        <v>77</v>
      </c>
      <c r="AA8753" t="str">
        <f>"10036-8005"</f>
        <v>10036-8005</v>
      </c>
      <c r="AB8753" t="s">
        <v>108</v>
      </c>
      <c r="AC8753" t="s">
        <v>79</v>
      </c>
      <c r="AD8753" t="s">
        <v>75</v>
      </c>
      <c r="AE8753" t="s">
        <v>80</v>
      </c>
      <c r="AG8753" t="s">
        <v>81</v>
      </c>
    </row>
    <row r="8754" spans="1:33" x14ac:dyDescent="0.25">
      <c r="A8754" t="str">
        <f>"1013014406"</f>
        <v>1013014406</v>
      </c>
      <c r="B8754" t="str">
        <f>"01765333"</f>
        <v>01765333</v>
      </c>
      <c r="C8754" t="s">
        <v>37502</v>
      </c>
      <c r="D8754" t="s">
        <v>37503</v>
      </c>
      <c r="E8754" t="s">
        <v>37504</v>
      </c>
      <c r="G8754" t="s">
        <v>24003</v>
      </c>
      <c r="J8754" t="s">
        <v>24004</v>
      </c>
      <c r="L8754" t="s">
        <v>83</v>
      </c>
      <c r="M8754" t="s">
        <v>85</v>
      </c>
      <c r="R8754" t="s">
        <v>37505</v>
      </c>
      <c r="W8754" t="s">
        <v>37506</v>
      </c>
      <c r="X8754" t="s">
        <v>37507</v>
      </c>
      <c r="Y8754" t="s">
        <v>87</v>
      </c>
      <c r="Z8754" t="s">
        <v>77</v>
      </c>
      <c r="AA8754" t="str">
        <f>"11203-2056"</f>
        <v>11203-2056</v>
      </c>
      <c r="AB8754" t="s">
        <v>78</v>
      </c>
      <c r="AC8754" t="s">
        <v>79</v>
      </c>
      <c r="AD8754" t="s">
        <v>75</v>
      </c>
      <c r="AE8754" t="s">
        <v>80</v>
      </c>
      <c r="AG8754" t="s">
        <v>81</v>
      </c>
    </row>
    <row r="8755" spans="1:33" x14ac:dyDescent="0.25">
      <c r="A8755" t="str">
        <f>"1861597510"</f>
        <v>1861597510</v>
      </c>
      <c r="B8755" t="str">
        <f>"03059872"</f>
        <v>03059872</v>
      </c>
      <c r="C8755" t="s">
        <v>37508</v>
      </c>
      <c r="D8755" t="s">
        <v>37509</v>
      </c>
      <c r="E8755" t="s">
        <v>37510</v>
      </c>
      <c r="G8755" t="s">
        <v>24003</v>
      </c>
      <c r="J8755" t="s">
        <v>24004</v>
      </c>
      <c r="L8755" t="s">
        <v>37</v>
      </c>
      <c r="M8755" t="s">
        <v>75</v>
      </c>
      <c r="R8755" t="s">
        <v>37511</v>
      </c>
      <c r="W8755" t="s">
        <v>37511</v>
      </c>
      <c r="X8755" t="s">
        <v>19039</v>
      </c>
      <c r="Y8755" t="s">
        <v>87</v>
      </c>
      <c r="Z8755" t="s">
        <v>77</v>
      </c>
      <c r="AA8755" t="str">
        <f>"11215-1212"</f>
        <v>11215-1212</v>
      </c>
      <c r="AB8755" t="s">
        <v>127</v>
      </c>
      <c r="AC8755" t="s">
        <v>79</v>
      </c>
      <c r="AD8755" t="s">
        <v>75</v>
      </c>
      <c r="AE8755" t="s">
        <v>80</v>
      </c>
      <c r="AG8755" t="s">
        <v>81</v>
      </c>
    </row>
    <row r="8756" spans="1:33" x14ac:dyDescent="0.25">
      <c r="A8756" t="str">
        <f>"1639263577"</f>
        <v>1639263577</v>
      </c>
      <c r="B8756" t="str">
        <f>"01493705"</f>
        <v>01493705</v>
      </c>
      <c r="C8756" t="s">
        <v>13436</v>
      </c>
      <c r="D8756" t="s">
        <v>5808</v>
      </c>
      <c r="E8756" t="s">
        <v>5809</v>
      </c>
      <c r="G8756" t="s">
        <v>37512</v>
      </c>
      <c r="L8756" t="s">
        <v>83</v>
      </c>
      <c r="M8756" t="s">
        <v>75</v>
      </c>
      <c r="R8756" t="s">
        <v>5810</v>
      </c>
      <c r="W8756" t="s">
        <v>5811</v>
      </c>
      <c r="X8756" t="s">
        <v>5812</v>
      </c>
      <c r="Y8756" t="s">
        <v>97</v>
      </c>
      <c r="Z8756" t="s">
        <v>77</v>
      </c>
      <c r="AA8756" t="str">
        <f>"10128-1111"</f>
        <v>10128-1111</v>
      </c>
      <c r="AB8756" t="s">
        <v>128</v>
      </c>
      <c r="AC8756" t="s">
        <v>79</v>
      </c>
      <c r="AD8756" t="s">
        <v>75</v>
      </c>
      <c r="AE8756" t="s">
        <v>80</v>
      </c>
      <c r="AG8756" t="s">
        <v>81</v>
      </c>
    </row>
    <row r="8757" spans="1:33" x14ac:dyDescent="0.25">
      <c r="A8757" t="str">
        <f>"1669418992"</f>
        <v>1669418992</v>
      </c>
      <c r="B8757" t="str">
        <f>"01739197"</f>
        <v>01739197</v>
      </c>
      <c r="C8757" t="s">
        <v>13436</v>
      </c>
      <c r="D8757" t="s">
        <v>529</v>
      </c>
      <c r="E8757" t="s">
        <v>530</v>
      </c>
      <c r="G8757" t="s">
        <v>37513</v>
      </c>
      <c r="L8757" t="s">
        <v>83</v>
      </c>
      <c r="M8757" t="s">
        <v>75</v>
      </c>
      <c r="R8757" t="s">
        <v>531</v>
      </c>
      <c r="W8757" t="s">
        <v>530</v>
      </c>
      <c r="X8757" t="s">
        <v>532</v>
      </c>
      <c r="Y8757" t="s">
        <v>97</v>
      </c>
      <c r="Z8757" t="s">
        <v>77</v>
      </c>
      <c r="AA8757" t="str">
        <f>"10034-3119"</f>
        <v>10034-3119</v>
      </c>
      <c r="AB8757" t="s">
        <v>128</v>
      </c>
      <c r="AC8757" t="s">
        <v>79</v>
      </c>
      <c r="AD8757" t="s">
        <v>75</v>
      </c>
      <c r="AE8757" t="s">
        <v>80</v>
      </c>
      <c r="AG8757" t="s">
        <v>81</v>
      </c>
    </row>
    <row r="8758" spans="1:33" x14ac:dyDescent="0.25">
      <c r="A8758" t="str">
        <f>"1376984625"</f>
        <v>1376984625</v>
      </c>
      <c r="C8758" t="s">
        <v>13436</v>
      </c>
      <c r="G8758" t="s">
        <v>37514</v>
      </c>
      <c r="K8758" t="s">
        <v>99</v>
      </c>
      <c r="L8758" t="s">
        <v>102</v>
      </c>
      <c r="M8758" t="s">
        <v>75</v>
      </c>
      <c r="R8758" t="s">
        <v>37515</v>
      </c>
      <c r="S8758" t="s">
        <v>37516</v>
      </c>
      <c r="T8758" t="s">
        <v>97</v>
      </c>
      <c r="U8758" t="s">
        <v>77</v>
      </c>
      <c r="V8758" t="str">
        <f>"100296574"</f>
        <v>100296574</v>
      </c>
      <c r="AC8758" t="s">
        <v>79</v>
      </c>
      <c r="AD8758" t="s">
        <v>75</v>
      </c>
      <c r="AE8758" t="s">
        <v>103</v>
      </c>
      <c r="AG8758" t="s">
        <v>81</v>
      </c>
    </row>
    <row r="8759" spans="1:33" x14ac:dyDescent="0.25">
      <c r="A8759" t="str">
        <f>"1376984807"</f>
        <v>1376984807</v>
      </c>
      <c r="B8759" t="str">
        <f>"04499905"</f>
        <v>04499905</v>
      </c>
      <c r="C8759" t="s">
        <v>13436</v>
      </c>
      <c r="D8759" t="s">
        <v>37517</v>
      </c>
      <c r="E8759" t="s">
        <v>37518</v>
      </c>
      <c r="L8759" t="s">
        <v>102</v>
      </c>
      <c r="M8759" t="s">
        <v>75</v>
      </c>
      <c r="R8759" t="s">
        <v>37519</v>
      </c>
      <c r="W8759" t="s">
        <v>37518</v>
      </c>
      <c r="AB8759" t="s">
        <v>78</v>
      </c>
      <c r="AC8759" t="s">
        <v>79</v>
      </c>
      <c r="AD8759" t="s">
        <v>75</v>
      </c>
      <c r="AE8759" t="s">
        <v>80</v>
      </c>
      <c r="AG8759" t="s">
        <v>81</v>
      </c>
    </row>
    <row r="8760" spans="1:33" x14ac:dyDescent="0.25">
      <c r="A8760" t="str">
        <f>"1376989806"</f>
        <v>1376989806</v>
      </c>
      <c r="C8760" t="s">
        <v>13436</v>
      </c>
      <c r="K8760" t="s">
        <v>99</v>
      </c>
      <c r="L8760" t="s">
        <v>102</v>
      </c>
      <c r="M8760" t="s">
        <v>75</v>
      </c>
      <c r="R8760" t="s">
        <v>37520</v>
      </c>
      <c r="S8760" t="s">
        <v>37521</v>
      </c>
      <c r="T8760" t="s">
        <v>19000</v>
      </c>
      <c r="U8760" t="s">
        <v>2632</v>
      </c>
      <c r="V8760" t="str">
        <f>"235071914"</f>
        <v>235071914</v>
      </c>
      <c r="AC8760" t="s">
        <v>79</v>
      </c>
      <c r="AD8760" t="s">
        <v>75</v>
      </c>
      <c r="AE8760" t="s">
        <v>103</v>
      </c>
      <c r="AG8760" t="s">
        <v>81</v>
      </c>
    </row>
    <row r="8761" spans="1:33" x14ac:dyDescent="0.25">
      <c r="A8761" t="str">
        <f>"1386060051"</f>
        <v>1386060051</v>
      </c>
      <c r="B8761" t="str">
        <f>"04486893"</f>
        <v>04486893</v>
      </c>
      <c r="C8761" t="s">
        <v>13436</v>
      </c>
      <c r="D8761" t="s">
        <v>37522</v>
      </c>
      <c r="E8761" t="s">
        <v>37523</v>
      </c>
      <c r="L8761" t="s">
        <v>74</v>
      </c>
      <c r="M8761" t="s">
        <v>75</v>
      </c>
      <c r="R8761" t="s">
        <v>37524</v>
      </c>
      <c r="W8761" t="s">
        <v>37523</v>
      </c>
      <c r="AB8761" t="s">
        <v>82</v>
      </c>
      <c r="AC8761" t="s">
        <v>79</v>
      </c>
      <c r="AD8761" t="s">
        <v>75</v>
      </c>
      <c r="AE8761" t="s">
        <v>80</v>
      </c>
      <c r="AG8761" t="s">
        <v>81</v>
      </c>
    </row>
    <row r="8762" spans="1:33" x14ac:dyDescent="0.25">
      <c r="A8762" t="str">
        <f>"1386061257"</f>
        <v>1386061257</v>
      </c>
      <c r="C8762" t="s">
        <v>13436</v>
      </c>
      <c r="K8762" t="s">
        <v>99</v>
      </c>
      <c r="L8762" t="s">
        <v>102</v>
      </c>
      <c r="M8762" t="s">
        <v>75</v>
      </c>
      <c r="R8762" t="s">
        <v>37525</v>
      </c>
      <c r="S8762" t="s">
        <v>12270</v>
      </c>
      <c r="T8762" t="s">
        <v>97</v>
      </c>
      <c r="U8762" t="s">
        <v>77</v>
      </c>
      <c r="V8762" t="str">
        <f>"100295204"</f>
        <v>100295204</v>
      </c>
      <c r="AC8762" t="s">
        <v>79</v>
      </c>
      <c r="AD8762" t="s">
        <v>75</v>
      </c>
      <c r="AE8762" t="s">
        <v>103</v>
      </c>
      <c r="AG8762" t="s">
        <v>81</v>
      </c>
    </row>
    <row r="8763" spans="1:33" x14ac:dyDescent="0.25">
      <c r="A8763" t="str">
        <f>"1386067312"</f>
        <v>1386067312</v>
      </c>
      <c r="C8763" t="s">
        <v>13436</v>
      </c>
      <c r="G8763" t="s">
        <v>37526</v>
      </c>
      <c r="K8763" t="s">
        <v>99</v>
      </c>
      <c r="L8763" t="s">
        <v>102</v>
      </c>
      <c r="M8763" t="s">
        <v>75</v>
      </c>
      <c r="R8763" t="s">
        <v>37527</v>
      </c>
      <c r="S8763" t="s">
        <v>11254</v>
      </c>
      <c r="T8763" t="s">
        <v>131</v>
      </c>
      <c r="U8763" t="s">
        <v>77</v>
      </c>
      <c r="V8763" t="str">
        <f>"104683904"</f>
        <v>104683904</v>
      </c>
      <c r="AC8763" t="s">
        <v>79</v>
      </c>
      <c r="AD8763" t="s">
        <v>75</v>
      </c>
      <c r="AE8763" t="s">
        <v>103</v>
      </c>
      <c r="AG8763" t="s">
        <v>81</v>
      </c>
    </row>
    <row r="8764" spans="1:33" x14ac:dyDescent="0.25">
      <c r="A8764" t="str">
        <f>"1598086357"</f>
        <v>1598086357</v>
      </c>
      <c r="B8764" t="str">
        <f>"04629989"</f>
        <v>04629989</v>
      </c>
      <c r="C8764" t="s">
        <v>13436</v>
      </c>
      <c r="D8764" t="s">
        <v>37528</v>
      </c>
      <c r="E8764" t="s">
        <v>37529</v>
      </c>
      <c r="L8764" t="s">
        <v>102</v>
      </c>
      <c r="M8764" t="s">
        <v>75</v>
      </c>
      <c r="R8764" t="s">
        <v>37529</v>
      </c>
      <c r="W8764" t="s">
        <v>37529</v>
      </c>
      <c r="AB8764" t="s">
        <v>78</v>
      </c>
      <c r="AC8764" t="s">
        <v>79</v>
      </c>
      <c r="AD8764" t="s">
        <v>75</v>
      </c>
      <c r="AE8764" t="s">
        <v>80</v>
      </c>
      <c r="AG8764" t="s">
        <v>81</v>
      </c>
    </row>
    <row r="8765" spans="1:33" x14ac:dyDescent="0.25">
      <c r="A8765" t="str">
        <f>"1598086753"</f>
        <v>1598086753</v>
      </c>
      <c r="B8765" t="str">
        <f>"03889681"</f>
        <v>03889681</v>
      </c>
      <c r="C8765" t="s">
        <v>13436</v>
      </c>
      <c r="D8765" t="s">
        <v>37530</v>
      </c>
      <c r="E8765" t="s">
        <v>37531</v>
      </c>
      <c r="L8765" t="s">
        <v>74</v>
      </c>
      <c r="M8765" t="s">
        <v>75</v>
      </c>
      <c r="R8765" t="s">
        <v>37532</v>
      </c>
      <c r="W8765" t="s">
        <v>37531</v>
      </c>
      <c r="X8765" t="s">
        <v>37533</v>
      </c>
      <c r="Y8765" t="s">
        <v>97</v>
      </c>
      <c r="Z8765" t="s">
        <v>77</v>
      </c>
      <c r="AA8765" t="str">
        <f>"10003-0001"</f>
        <v>10003-0001</v>
      </c>
      <c r="AB8765" t="s">
        <v>78</v>
      </c>
      <c r="AC8765" t="s">
        <v>79</v>
      </c>
      <c r="AD8765" t="s">
        <v>75</v>
      </c>
      <c r="AE8765" t="s">
        <v>80</v>
      </c>
      <c r="AG8765" t="s">
        <v>81</v>
      </c>
    </row>
    <row r="8766" spans="1:33" x14ac:dyDescent="0.25">
      <c r="A8766" t="str">
        <f>"1598095267"</f>
        <v>1598095267</v>
      </c>
      <c r="B8766" t="str">
        <f>"03648886"</f>
        <v>03648886</v>
      </c>
      <c r="C8766" t="s">
        <v>13436</v>
      </c>
      <c r="D8766" t="s">
        <v>37534</v>
      </c>
      <c r="E8766" t="s">
        <v>37535</v>
      </c>
      <c r="L8766" t="s">
        <v>74</v>
      </c>
      <c r="M8766" t="s">
        <v>75</v>
      </c>
      <c r="R8766" t="s">
        <v>37536</v>
      </c>
      <c r="W8766" t="s">
        <v>37535</v>
      </c>
      <c r="X8766" t="s">
        <v>37537</v>
      </c>
      <c r="Y8766" t="s">
        <v>97</v>
      </c>
      <c r="Z8766" t="s">
        <v>77</v>
      </c>
      <c r="AA8766" t="str">
        <f>"10032-1565"</f>
        <v>10032-1565</v>
      </c>
      <c r="AB8766" t="s">
        <v>82</v>
      </c>
      <c r="AC8766" t="s">
        <v>79</v>
      </c>
      <c r="AD8766" t="s">
        <v>75</v>
      </c>
      <c r="AE8766" t="s">
        <v>80</v>
      </c>
      <c r="AG8766" t="s">
        <v>81</v>
      </c>
    </row>
    <row r="8767" spans="1:33" x14ac:dyDescent="0.25">
      <c r="A8767" t="str">
        <f>"1639316607"</f>
        <v>1639316607</v>
      </c>
      <c r="C8767" t="s">
        <v>13436</v>
      </c>
      <c r="G8767" t="s">
        <v>37538</v>
      </c>
      <c r="K8767" t="s">
        <v>99</v>
      </c>
      <c r="L8767" t="s">
        <v>74</v>
      </c>
      <c r="M8767" t="s">
        <v>75</v>
      </c>
      <c r="R8767" t="s">
        <v>37539</v>
      </c>
      <c r="S8767" t="s">
        <v>138</v>
      </c>
      <c r="T8767" t="s">
        <v>139</v>
      </c>
      <c r="U8767" t="s">
        <v>77</v>
      </c>
      <c r="V8767" t="str">
        <f>"113555045"</f>
        <v>113555045</v>
      </c>
      <c r="AC8767" t="s">
        <v>79</v>
      </c>
      <c r="AD8767" t="s">
        <v>75</v>
      </c>
      <c r="AE8767" t="s">
        <v>103</v>
      </c>
      <c r="AG8767" t="s">
        <v>81</v>
      </c>
    </row>
    <row r="8768" spans="1:33" x14ac:dyDescent="0.25">
      <c r="A8768" t="str">
        <f>"1639322266"</f>
        <v>1639322266</v>
      </c>
      <c r="B8768" t="str">
        <f>"03775486"</f>
        <v>03775486</v>
      </c>
      <c r="C8768" t="s">
        <v>13436</v>
      </c>
      <c r="D8768" t="s">
        <v>37540</v>
      </c>
      <c r="E8768" t="s">
        <v>37541</v>
      </c>
      <c r="L8768" t="s">
        <v>74</v>
      </c>
      <c r="M8768" t="s">
        <v>75</v>
      </c>
      <c r="R8768" t="s">
        <v>37542</v>
      </c>
      <c r="W8768" t="s">
        <v>37541</v>
      </c>
      <c r="X8768" t="s">
        <v>31589</v>
      </c>
      <c r="Y8768" t="s">
        <v>97</v>
      </c>
      <c r="Z8768" t="s">
        <v>77</v>
      </c>
      <c r="AA8768" t="str">
        <f>"10029-6542"</f>
        <v>10029-6542</v>
      </c>
      <c r="AB8768" t="s">
        <v>78</v>
      </c>
      <c r="AC8768" t="s">
        <v>79</v>
      </c>
      <c r="AD8768" t="s">
        <v>75</v>
      </c>
      <c r="AE8768" t="s">
        <v>80</v>
      </c>
      <c r="AG8768" t="s">
        <v>81</v>
      </c>
    </row>
    <row r="8769" spans="1:33" x14ac:dyDescent="0.25">
      <c r="A8769" t="str">
        <f>"1639337108"</f>
        <v>1639337108</v>
      </c>
      <c r="B8769" t="str">
        <f>"03116561"</f>
        <v>03116561</v>
      </c>
      <c r="C8769" t="s">
        <v>13436</v>
      </c>
      <c r="D8769" t="s">
        <v>37543</v>
      </c>
      <c r="E8769" t="s">
        <v>37544</v>
      </c>
      <c r="G8769" t="s">
        <v>37545</v>
      </c>
      <c r="L8769" t="s">
        <v>83</v>
      </c>
      <c r="M8769" t="s">
        <v>85</v>
      </c>
      <c r="R8769" t="s">
        <v>37546</v>
      </c>
      <c r="W8769" t="s">
        <v>37544</v>
      </c>
      <c r="X8769" t="s">
        <v>329</v>
      </c>
      <c r="Y8769" t="s">
        <v>97</v>
      </c>
      <c r="Z8769" t="s">
        <v>77</v>
      </c>
      <c r="AA8769" t="str">
        <f>"10029-6500"</f>
        <v>10029-6500</v>
      </c>
      <c r="AB8769" t="s">
        <v>78</v>
      </c>
      <c r="AC8769" t="s">
        <v>79</v>
      </c>
      <c r="AD8769" t="s">
        <v>75</v>
      </c>
      <c r="AE8769" t="s">
        <v>80</v>
      </c>
      <c r="AG8769" t="s">
        <v>81</v>
      </c>
    </row>
    <row r="8770" spans="1:33" x14ac:dyDescent="0.25">
      <c r="A8770" t="str">
        <f>"1639339039"</f>
        <v>1639339039</v>
      </c>
      <c r="B8770" t="str">
        <f>"03461745"</f>
        <v>03461745</v>
      </c>
      <c r="C8770" t="s">
        <v>13436</v>
      </c>
      <c r="D8770" t="s">
        <v>37547</v>
      </c>
      <c r="E8770" t="s">
        <v>37548</v>
      </c>
      <c r="G8770" t="s">
        <v>37549</v>
      </c>
      <c r="L8770" t="s">
        <v>83</v>
      </c>
      <c r="M8770" t="s">
        <v>85</v>
      </c>
      <c r="R8770" t="s">
        <v>37550</v>
      </c>
      <c r="W8770" t="s">
        <v>37551</v>
      </c>
      <c r="X8770" t="s">
        <v>14992</v>
      </c>
      <c r="Y8770" t="s">
        <v>97</v>
      </c>
      <c r="Z8770" t="s">
        <v>77</v>
      </c>
      <c r="AA8770" t="str">
        <f>"10029-6503"</f>
        <v>10029-6503</v>
      </c>
      <c r="AB8770" t="s">
        <v>78</v>
      </c>
      <c r="AC8770" t="s">
        <v>79</v>
      </c>
      <c r="AD8770" t="s">
        <v>75</v>
      </c>
      <c r="AE8770" t="s">
        <v>80</v>
      </c>
      <c r="AG8770" t="s">
        <v>81</v>
      </c>
    </row>
    <row r="8771" spans="1:33" x14ac:dyDescent="0.25">
      <c r="A8771" t="str">
        <f>"1639405699"</f>
        <v>1639405699</v>
      </c>
      <c r="B8771" t="str">
        <f>"03813581"</f>
        <v>03813581</v>
      </c>
      <c r="C8771" t="s">
        <v>13436</v>
      </c>
      <c r="D8771" t="s">
        <v>37552</v>
      </c>
      <c r="E8771" t="s">
        <v>37553</v>
      </c>
      <c r="G8771" t="s">
        <v>37554</v>
      </c>
      <c r="L8771" t="s">
        <v>74</v>
      </c>
      <c r="M8771" t="s">
        <v>75</v>
      </c>
      <c r="R8771" t="s">
        <v>37555</v>
      </c>
      <c r="W8771" t="s">
        <v>37553</v>
      </c>
      <c r="X8771" t="s">
        <v>37556</v>
      </c>
      <c r="Y8771" t="s">
        <v>97</v>
      </c>
      <c r="Z8771" t="s">
        <v>77</v>
      </c>
      <c r="AA8771" t="str">
        <f>"10022-2816"</f>
        <v>10022-2816</v>
      </c>
      <c r="AB8771" t="s">
        <v>78</v>
      </c>
      <c r="AC8771" t="s">
        <v>79</v>
      </c>
      <c r="AD8771" t="s">
        <v>75</v>
      </c>
      <c r="AE8771" t="s">
        <v>80</v>
      </c>
      <c r="AG8771" t="s">
        <v>81</v>
      </c>
    </row>
    <row r="8772" spans="1:33" x14ac:dyDescent="0.25">
      <c r="A8772" t="str">
        <f>"1639418437"</f>
        <v>1639418437</v>
      </c>
      <c r="C8772" t="s">
        <v>13436</v>
      </c>
      <c r="K8772" t="s">
        <v>99</v>
      </c>
      <c r="L8772" t="s">
        <v>102</v>
      </c>
      <c r="M8772" t="s">
        <v>75</v>
      </c>
      <c r="R8772" t="s">
        <v>37557</v>
      </c>
      <c r="S8772" t="s">
        <v>37558</v>
      </c>
      <c r="T8772" t="s">
        <v>2360</v>
      </c>
      <c r="U8772" t="s">
        <v>77</v>
      </c>
      <c r="V8772" t="str">
        <f>"105837659"</f>
        <v>105837659</v>
      </c>
      <c r="AC8772" t="s">
        <v>79</v>
      </c>
      <c r="AD8772" t="s">
        <v>75</v>
      </c>
      <c r="AE8772" t="s">
        <v>103</v>
      </c>
      <c r="AG8772" t="s">
        <v>81</v>
      </c>
    </row>
    <row r="8773" spans="1:33" x14ac:dyDescent="0.25">
      <c r="A8773" t="str">
        <f>"1639436629"</f>
        <v>1639436629</v>
      </c>
      <c r="C8773" t="s">
        <v>13436</v>
      </c>
      <c r="K8773" t="s">
        <v>99</v>
      </c>
      <c r="L8773" t="s">
        <v>102</v>
      </c>
      <c r="M8773" t="s">
        <v>75</v>
      </c>
      <c r="R8773" t="s">
        <v>37559</v>
      </c>
      <c r="S8773" t="s">
        <v>33436</v>
      </c>
      <c r="T8773" t="s">
        <v>97</v>
      </c>
      <c r="U8773" t="s">
        <v>77</v>
      </c>
      <c r="V8773" t="str">
        <f>"100191147"</f>
        <v>100191147</v>
      </c>
      <c r="AC8773" t="s">
        <v>79</v>
      </c>
      <c r="AD8773" t="s">
        <v>75</v>
      </c>
      <c r="AE8773" t="s">
        <v>103</v>
      </c>
      <c r="AG8773" t="s">
        <v>81</v>
      </c>
    </row>
    <row r="8774" spans="1:33" x14ac:dyDescent="0.25">
      <c r="A8774" t="str">
        <f>"1689692311"</f>
        <v>1689692311</v>
      </c>
      <c r="B8774" t="str">
        <f>"02057550"</f>
        <v>02057550</v>
      </c>
      <c r="C8774" t="s">
        <v>13436</v>
      </c>
      <c r="D8774" t="s">
        <v>37560</v>
      </c>
      <c r="E8774" t="s">
        <v>37561</v>
      </c>
      <c r="G8774" t="s">
        <v>37562</v>
      </c>
      <c r="L8774" t="s">
        <v>83</v>
      </c>
      <c r="M8774" t="s">
        <v>85</v>
      </c>
      <c r="R8774" t="s">
        <v>37563</v>
      </c>
      <c r="W8774" t="s">
        <v>37561</v>
      </c>
      <c r="X8774" t="s">
        <v>272</v>
      </c>
      <c r="Y8774" t="s">
        <v>97</v>
      </c>
      <c r="Z8774" t="s">
        <v>77</v>
      </c>
      <c r="AA8774" t="str">
        <f>"10029-6501"</f>
        <v>10029-6501</v>
      </c>
      <c r="AB8774" t="s">
        <v>78</v>
      </c>
      <c r="AC8774" t="s">
        <v>79</v>
      </c>
      <c r="AD8774" t="s">
        <v>75</v>
      </c>
      <c r="AE8774" t="s">
        <v>80</v>
      </c>
      <c r="AG8774" t="s">
        <v>81</v>
      </c>
    </row>
    <row r="8775" spans="1:33" x14ac:dyDescent="0.25">
      <c r="A8775" t="str">
        <f>"1730406695"</f>
        <v>1730406695</v>
      </c>
      <c r="C8775" t="s">
        <v>13436</v>
      </c>
      <c r="K8775" t="s">
        <v>99</v>
      </c>
      <c r="L8775" t="s">
        <v>102</v>
      </c>
      <c r="M8775" t="s">
        <v>75</v>
      </c>
      <c r="R8775" t="s">
        <v>37564</v>
      </c>
      <c r="S8775" t="s">
        <v>11254</v>
      </c>
      <c r="T8775" t="s">
        <v>131</v>
      </c>
      <c r="U8775" t="s">
        <v>77</v>
      </c>
      <c r="V8775" t="str">
        <f>"104683904"</f>
        <v>104683904</v>
      </c>
      <c r="AC8775" t="s">
        <v>79</v>
      </c>
      <c r="AD8775" t="s">
        <v>75</v>
      </c>
      <c r="AE8775" t="s">
        <v>103</v>
      </c>
      <c r="AG8775" t="s">
        <v>81</v>
      </c>
    </row>
    <row r="8776" spans="1:33" x14ac:dyDescent="0.25">
      <c r="A8776" t="str">
        <f>"1881854404"</f>
        <v>1881854404</v>
      </c>
      <c r="B8776" t="str">
        <f>"03167535"</f>
        <v>03167535</v>
      </c>
      <c r="C8776" t="s">
        <v>13436</v>
      </c>
      <c r="D8776" t="s">
        <v>37565</v>
      </c>
      <c r="E8776" t="s">
        <v>37566</v>
      </c>
      <c r="L8776" t="s">
        <v>83</v>
      </c>
      <c r="M8776" t="s">
        <v>85</v>
      </c>
      <c r="R8776" t="s">
        <v>37567</v>
      </c>
      <c r="W8776" t="s">
        <v>37567</v>
      </c>
      <c r="X8776" t="s">
        <v>329</v>
      </c>
      <c r="Y8776" t="s">
        <v>97</v>
      </c>
      <c r="Z8776" t="s">
        <v>77</v>
      </c>
      <c r="AA8776" t="str">
        <f>"10029-6500"</f>
        <v>10029-6500</v>
      </c>
      <c r="AB8776" t="s">
        <v>78</v>
      </c>
      <c r="AC8776" t="s">
        <v>79</v>
      </c>
      <c r="AD8776" t="s">
        <v>75</v>
      </c>
      <c r="AE8776" t="s">
        <v>80</v>
      </c>
      <c r="AG8776" t="s">
        <v>81</v>
      </c>
    </row>
    <row r="8777" spans="1:33" x14ac:dyDescent="0.25">
      <c r="A8777" t="str">
        <f>"1710306642"</f>
        <v>1710306642</v>
      </c>
      <c r="C8777" t="s">
        <v>13436</v>
      </c>
      <c r="K8777" t="s">
        <v>99</v>
      </c>
      <c r="L8777" t="s">
        <v>102</v>
      </c>
      <c r="M8777" t="s">
        <v>75</v>
      </c>
      <c r="R8777" t="s">
        <v>37568</v>
      </c>
      <c r="S8777" t="s">
        <v>37569</v>
      </c>
      <c r="T8777" t="s">
        <v>97</v>
      </c>
      <c r="U8777" t="s">
        <v>77</v>
      </c>
      <c r="V8777" t="str">
        <f>"10003"</f>
        <v>10003</v>
      </c>
      <c r="AC8777" t="s">
        <v>79</v>
      </c>
      <c r="AD8777" t="s">
        <v>75</v>
      </c>
      <c r="AE8777" t="s">
        <v>103</v>
      </c>
      <c r="AG8777" t="s">
        <v>81</v>
      </c>
    </row>
    <row r="8778" spans="1:33" x14ac:dyDescent="0.25">
      <c r="A8778" t="str">
        <f>"1710394358"</f>
        <v>1710394358</v>
      </c>
      <c r="C8778" t="s">
        <v>13436</v>
      </c>
      <c r="G8778" t="s">
        <v>37570</v>
      </c>
      <c r="K8778" t="s">
        <v>99</v>
      </c>
      <c r="L8778" t="s">
        <v>102</v>
      </c>
      <c r="M8778" t="s">
        <v>75</v>
      </c>
      <c r="R8778" t="s">
        <v>37571</v>
      </c>
      <c r="S8778" t="s">
        <v>37572</v>
      </c>
      <c r="T8778" t="s">
        <v>97</v>
      </c>
      <c r="U8778" t="s">
        <v>77</v>
      </c>
      <c r="V8778" t="str">
        <f>"100033314"</f>
        <v>100033314</v>
      </c>
      <c r="AC8778" t="s">
        <v>79</v>
      </c>
      <c r="AD8778" t="s">
        <v>75</v>
      </c>
      <c r="AE8778" t="s">
        <v>103</v>
      </c>
      <c r="AG8778" t="s">
        <v>81</v>
      </c>
    </row>
    <row r="8779" spans="1:33" x14ac:dyDescent="0.25">
      <c r="A8779" t="str">
        <f>"1710396486"</f>
        <v>1710396486</v>
      </c>
      <c r="C8779" t="s">
        <v>13436</v>
      </c>
      <c r="K8779" t="s">
        <v>99</v>
      </c>
      <c r="L8779" t="s">
        <v>102</v>
      </c>
      <c r="M8779" t="s">
        <v>75</v>
      </c>
      <c r="R8779" t="s">
        <v>37573</v>
      </c>
      <c r="S8779" t="s">
        <v>181</v>
      </c>
      <c r="T8779" t="s">
        <v>97</v>
      </c>
      <c r="U8779" t="s">
        <v>77</v>
      </c>
      <c r="V8779" t="str">
        <f>"100251716"</f>
        <v>100251716</v>
      </c>
      <c r="AC8779" t="s">
        <v>79</v>
      </c>
      <c r="AD8779" t="s">
        <v>75</v>
      </c>
      <c r="AE8779" t="s">
        <v>103</v>
      </c>
      <c r="AG8779" t="s">
        <v>81</v>
      </c>
    </row>
    <row r="8780" spans="1:33" x14ac:dyDescent="0.25">
      <c r="A8780" t="str">
        <f>"1710926696"</f>
        <v>1710926696</v>
      </c>
      <c r="B8780" t="str">
        <f>"02849214"</f>
        <v>02849214</v>
      </c>
      <c r="C8780" t="s">
        <v>13436</v>
      </c>
      <c r="D8780" t="s">
        <v>37574</v>
      </c>
      <c r="E8780" t="s">
        <v>37575</v>
      </c>
      <c r="G8780" t="s">
        <v>37576</v>
      </c>
      <c r="L8780" t="s">
        <v>74</v>
      </c>
      <c r="M8780" t="s">
        <v>75</v>
      </c>
      <c r="R8780" t="s">
        <v>37577</v>
      </c>
      <c r="W8780" t="s">
        <v>37575</v>
      </c>
      <c r="X8780" t="s">
        <v>5895</v>
      </c>
      <c r="Y8780" t="s">
        <v>97</v>
      </c>
      <c r="Z8780" t="s">
        <v>77</v>
      </c>
      <c r="AA8780" t="str">
        <f>"10029"</f>
        <v>10029</v>
      </c>
      <c r="AB8780" t="s">
        <v>78</v>
      </c>
      <c r="AC8780" t="s">
        <v>79</v>
      </c>
      <c r="AD8780" t="s">
        <v>75</v>
      </c>
      <c r="AE8780" t="s">
        <v>80</v>
      </c>
      <c r="AG8780" t="s">
        <v>81</v>
      </c>
    </row>
    <row r="8781" spans="1:33" x14ac:dyDescent="0.25">
      <c r="A8781" t="str">
        <f>"1710930029"</f>
        <v>1710930029</v>
      </c>
      <c r="B8781" t="str">
        <f>"01343806"</f>
        <v>01343806</v>
      </c>
      <c r="C8781" t="s">
        <v>13436</v>
      </c>
      <c r="D8781" t="s">
        <v>37578</v>
      </c>
      <c r="E8781" t="s">
        <v>37579</v>
      </c>
      <c r="G8781" t="s">
        <v>37580</v>
      </c>
      <c r="L8781" t="s">
        <v>83</v>
      </c>
      <c r="M8781" t="s">
        <v>85</v>
      </c>
      <c r="R8781" t="s">
        <v>37581</v>
      </c>
      <c r="W8781" t="s">
        <v>37579</v>
      </c>
      <c r="X8781" t="s">
        <v>37582</v>
      </c>
      <c r="Y8781" t="s">
        <v>97</v>
      </c>
      <c r="Z8781" t="s">
        <v>77</v>
      </c>
      <c r="AA8781" t="str">
        <f>"10029-6501"</f>
        <v>10029-6501</v>
      </c>
      <c r="AB8781" t="s">
        <v>78</v>
      </c>
      <c r="AC8781" t="s">
        <v>79</v>
      </c>
      <c r="AD8781" t="s">
        <v>75</v>
      </c>
      <c r="AE8781" t="s">
        <v>80</v>
      </c>
      <c r="AG8781" t="s">
        <v>81</v>
      </c>
    </row>
    <row r="8782" spans="1:33" x14ac:dyDescent="0.25">
      <c r="A8782" t="str">
        <f>"1710931084"</f>
        <v>1710931084</v>
      </c>
      <c r="B8782" t="str">
        <f>"03431725"</f>
        <v>03431725</v>
      </c>
      <c r="C8782" t="s">
        <v>13436</v>
      </c>
      <c r="D8782" t="s">
        <v>37583</v>
      </c>
      <c r="E8782" t="s">
        <v>37584</v>
      </c>
      <c r="G8782" t="s">
        <v>37585</v>
      </c>
      <c r="L8782" t="s">
        <v>83</v>
      </c>
      <c r="M8782" t="s">
        <v>85</v>
      </c>
      <c r="R8782" t="s">
        <v>37586</v>
      </c>
      <c r="W8782" t="s">
        <v>37584</v>
      </c>
      <c r="X8782" t="s">
        <v>329</v>
      </c>
      <c r="Y8782" t="s">
        <v>97</v>
      </c>
      <c r="Z8782" t="s">
        <v>77</v>
      </c>
      <c r="AA8782" t="str">
        <f>"10029-6500"</f>
        <v>10029-6500</v>
      </c>
      <c r="AB8782" t="s">
        <v>78</v>
      </c>
      <c r="AC8782" t="s">
        <v>79</v>
      </c>
      <c r="AD8782" t="s">
        <v>75</v>
      </c>
      <c r="AE8782" t="s">
        <v>80</v>
      </c>
      <c r="AG8782" t="s">
        <v>81</v>
      </c>
    </row>
    <row r="8783" spans="1:33" x14ac:dyDescent="0.25">
      <c r="A8783" t="str">
        <f>"1710956040"</f>
        <v>1710956040</v>
      </c>
      <c r="B8783" t="str">
        <f>"01558850"</f>
        <v>01558850</v>
      </c>
      <c r="C8783" t="s">
        <v>13436</v>
      </c>
      <c r="D8783" t="s">
        <v>37587</v>
      </c>
      <c r="E8783" t="s">
        <v>37588</v>
      </c>
      <c r="G8783" t="s">
        <v>37589</v>
      </c>
      <c r="L8783" t="s">
        <v>83</v>
      </c>
      <c r="M8783" t="s">
        <v>85</v>
      </c>
      <c r="R8783" t="s">
        <v>37590</v>
      </c>
      <c r="W8783" t="s">
        <v>37588</v>
      </c>
      <c r="X8783" t="s">
        <v>272</v>
      </c>
      <c r="Y8783" t="s">
        <v>97</v>
      </c>
      <c r="Z8783" t="s">
        <v>77</v>
      </c>
      <c r="AA8783" t="str">
        <f>"10029-6501"</f>
        <v>10029-6501</v>
      </c>
      <c r="AB8783" t="s">
        <v>78</v>
      </c>
      <c r="AC8783" t="s">
        <v>79</v>
      </c>
      <c r="AD8783" t="s">
        <v>75</v>
      </c>
      <c r="AE8783" t="s">
        <v>80</v>
      </c>
      <c r="AG8783" t="s">
        <v>81</v>
      </c>
    </row>
    <row r="8784" spans="1:33" x14ac:dyDescent="0.25">
      <c r="A8784" t="str">
        <f>"1710970439"</f>
        <v>1710970439</v>
      </c>
      <c r="B8784" t="str">
        <f>"02203670"</f>
        <v>02203670</v>
      </c>
      <c r="C8784" t="s">
        <v>13436</v>
      </c>
      <c r="D8784" t="s">
        <v>37591</v>
      </c>
      <c r="E8784" t="s">
        <v>37592</v>
      </c>
      <c r="G8784" t="s">
        <v>37593</v>
      </c>
      <c r="L8784" t="s">
        <v>83</v>
      </c>
      <c r="M8784" t="s">
        <v>85</v>
      </c>
      <c r="R8784" t="s">
        <v>37594</v>
      </c>
      <c r="W8784" t="s">
        <v>37592</v>
      </c>
      <c r="X8784" t="s">
        <v>3598</v>
      </c>
      <c r="Y8784" t="s">
        <v>97</v>
      </c>
      <c r="Z8784" t="s">
        <v>77</v>
      </c>
      <c r="AA8784" t="str">
        <f>"10029-0000"</f>
        <v>10029-0000</v>
      </c>
      <c r="AB8784" t="s">
        <v>78</v>
      </c>
      <c r="AC8784" t="s">
        <v>79</v>
      </c>
      <c r="AD8784" t="s">
        <v>75</v>
      </c>
      <c r="AE8784" t="s">
        <v>80</v>
      </c>
      <c r="AG8784" t="s">
        <v>81</v>
      </c>
    </row>
    <row r="8785" spans="1:33" x14ac:dyDescent="0.25">
      <c r="A8785" t="str">
        <f>"1790772242"</f>
        <v>1790772242</v>
      </c>
      <c r="B8785" t="str">
        <f>"02997331"</f>
        <v>02997331</v>
      </c>
      <c r="C8785" t="s">
        <v>37595</v>
      </c>
      <c r="D8785" t="s">
        <v>37596</v>
      </c>
      <c r="E8785" t="s">
        <v>37597</v>
      </c>
      <c r="L8785" t="s">
        <v>106</v>
      </c>
      <c r="M8785" t="s">
        <v>85</v>
      </c>
      <c r="R8785" t="s">
        <v>37598</v>
      </c>
      <c r="W8785" t="s">
        <v>37599</v>
      </c>
      <c r="X8785" t="s">
        <v>37600</v>
      </c>
      <c r="Y8785" t="s">
        <v>87</v>
      </c>
      <c r="Z8785" t="s">
        <v>77</v>
      </c>
      <c r="AA8785" t="str">
        <f>"11235-1112"</f>
        <v>11235-1112</v>
      </c>
      <c r="AB8785" t="s">
        <v>107</v>
      </c>
      <c r="AC8785" t="s">
        <v>79</v>
      </c>
      <c r="AD8785" t="s">
        <v>75</v>
      </c>
      <c r="AE8785" t="s">
        <v>80</v>
      </c>
      <c r="AG8785" t="s">
        <v>81</v>
      </c>
    </row>
    <row r="8786" spans="1:33" x14ac:dyDescent="0.25">
      <c r="A8786" t="str">
        <f>"1508993650"</f>
        <v>1508993650</v>
      </c>
      <c r="B8786" t="str">
        <f>"03010506"</f>
        <v>03010506</v>
      </c>
      <c r="C8786" t="s">
        <v>37601</v>
      </c>
      <c r="D8786" t="s">
        <v>37602</v>
      </c>
      <c r="E8786" t="s">
        <v>37603</v>
      </c>
      <c r="L8786" t="s">
        <v>115</v>
      </c>
      <c r="M8786" t="s">
        <v>85</v>
      </c>
      <c r="R8786" t="s">
        <v>37603</v>
      </c>
      <c r="W8786" t="s">
        <v>37603</v>
      </c>
      <c r="X8786" t="s">
        <v>1901</v>
      </c>
      <c r="Y8786" t="s">
        <v>1042</v>
      </c>
      <c r="Z8786" t="s">
        <v>77</v>
      </c>
      <c r="AA8786" t="str">
        <f>"11693-1303"</f>
        <v>11693-1303</v>
      </c>
      <c r="AB8786" t="s">
        <v>122</v>
      </c>
      <c r="AC8786" t="s">
        <v>79</v>
      </c>
      <c r="AD8786" t="s">
        <v>75</v>
      </c>
      <c r="AE8786" t="s">
        <v>80</v>
      </c>
      <c r="AG8786" t="s">
        <v>81</v>
      </c>
    </row>
    <row r="8787" spans="1:33" x14ac:dyDescent="0.25">
      <c r="C8787" t="s">
        <v>37604</v>
      </c>
      <c r="G8787" t="s">
        <v>36840</v>
      </c>
      <c r="H8787" t="s">
        <v>36841</v>
      </c>
      <c r="J8787" t="s">
        <v>36842</v>
      </c>
      <c r="K8787" t="s">
        <v>99</v>
      </c>
      <c r="L8787" t="s">
        <v>100</v>
      </c>
      <c r="M8787" t="s">
        <v>75</v>
      </c>
      <c r="N8787" t="s">
        <v>6410</v>
      </c>
      <c r="O8787" t="s">
        <v>77</v>
      </c>
      <c r="P8787">
        <v>10009</v>
      </c>
      <c r="AC8787" t="s">
        <v>79</v>
      </c>
      <c r="AD8787" t="s">
        <v>75</v>
      </c>
      <c r="AE8787" t="s">
        <v>101</v>
      </c>
      <c r="AG8787" t="s">
        <v>81</v>
      </c>
    </row>
    <row r="8788" spans="1:33" x14ac:dyDescent="0.25">
      <c r="C8788" t="s">
        <v>37605</v>
      </c>
      <c r="G8788" t="s">
        <v>36840</v>
      </c>
      <c r="H8788" t="s">
        <v>36841</v>
      </c>
      <c r="J8788" t="s">
        <v>36842</v>
      </c>
      <c r="K8788" t="s">
        <v>99</v>
      </c>
      <c r="L8788" t="s">
        <v>100</v>
      </c>
      <c r="M8788" t="s">
        <v>75</v>
      </c>
      <c r="N8788" t="s">
        <v>6410</v>
      </c>
      <c r="O8788" t="s">
        <v>77</v>
      </c>
      <c r="P8788">
        <v>10003</v>
      </c>
      <c r="AC8788" t="s">
        <v>79</v>
      </c>
      <c r="AD8788" t="s">
        <v>75</v>
      </c>
      <c r="AE8788" t="s">
        <v>101</v>
      </c>
      <c r="AG8788" t="s">
        <v>81</v>
      </c>
    </row>
    <row r="8789" spans="1:33" x14ac:dyDescent="0.25">
      <c r="C8789" t="s">
        <v>37606</v>
      </c>
      <c r="G8789" t="s">
        <v>36840</v>
      </c>
      <c r="H8789" t="s">
        <v>36841</v>
      </c>
      <c r="J8789" t="s">
        <v>36842</v>
      </c>
      <c r="K8789" t="s">
        <v>99</v>
      </c>
      <c r="L8789" t="s">
        <v>100</v>
      </c>
      <c r="M8789" t="s">
        <v>75</v>
      </c>
      <c r="N8789" t="s">
        <v>431</v>
      </c>
      <c r="O8789" t="s">
        <v>77</v>
      </c>
      <c r="P8789">
        <v>11221</v>
      </c>
      <c r="AC8789" t="s">
        <v>79</v>
      </c>
      <c r="AD8789" t="s">
        <v>75</v>
      </c>
      <c r="AE8789" t="s">
        <v>101</v>
      </c>
      <c r="AG8789" t="s">
        <v>81</v>
      </c>
    </row>
    <row r="8790" spans="1:33" x14ac:dyDescent="0.25">
      <c r="C8790" t="s">
        <v>37607</v>
      </c>
      <c r="G8790" t="s">
        <v>36840</v>
      </c>
      <c r="H8790" t="s">
        <v>36841</v>
      </c>
      <c r="J8790" t="s">
        <v>36842</v>
      </c>
      <c r="K8790" t="s">
        <v>99</v>
      </c>
      <c r="L8790" t="s">
        <v>100</v>
      </c>
      <c r="M8790" t="s">
        <v>75</v>
      </c>
      <c r="N8790" t="s">
        <v>296</v>
      </c>
      <c r="O8790" t="s">
        <v>77</v>
      </c>
      <c r="P8790">
        <v>10453</v>
      </c>
      <c r="AC8790" t="s">
        <v>79</v>
      </c>
      <c r="AD8790" t="s">
        <v>75</v>
      </c>
      <c r="AE8790" t="s">
        <v>101</v>
      </c>
      <c r="AG8790" t="s">
        <v>81</v>
      </c>
    </row>
    <row r="8791" spans="1:33" x14ac:dyDescent="0.25">
      <c r="C8791" t="s">
        <v>37608</v>
      </c>
      <c r="G8791" t="s">
        <v>36840</v>
      </c>
      <c r="H8791" t="s">
        <v>36841</v>
      </c>
      <c r="J8791" t="s">
        <v>36842</v>
      </c>
      <c r="K8791" t="s">
        <v>99</v>
      </c>
      <c r="L8791" t="s">
        <v>100</v>
      </c>
      <c r="M8791" t="s">
        <v>75</v>
      </c>
      <c r="N8791" t="s">
        <v>296</v>
      </c>
      <c r="O8791" t="s">
        <v>77</v>
      </c>
      <c r="P8791">
        <v>10456</v>
      </c>
      <c r="AC8791" t="s">
        <v>79</v>
      </c>
      <c r="AD8791" t="s">
        <v>75</v>
      </c>
      <c r="AE8791" t="s">
        <v>101</v>
      </c>
      <c r="AG8791" t="s">
        <v>81</v>
      </c>
    </row>
    <row r="8792" spans="1:33" x14ac:dyDescent="0.25">
      <c r="C8792" t="s">
        <v>37609</v>
      </c>
      <c r="G8792" t="s">
        <v>36840</v>
      </c>
      <c r="H8792" t="s">
        <v>36841</v>
      </c>
      <c r="J8792" t="s">
        <v>36842</v>
      </c>
      <c r="K8792" t="s">
        <v>99</v>
      </c>
      <c r="L8792" t="s">
        <v>100</v>
      </c>
      <c r="M8792" t="s">
        <v>75</v>
      </c>
      <c r="N8792" t="s">
        <v>296</v>
      </c>
      <c r="O8792" t="s">
        <v>77</v>
      </c>
      <c r="P8792">
        <v>10456</v>
      </c>
      <c r="AC8792" t="s">
        <v>79</v>
      </c>
      <c r="AD8792" t="s">
        <v>75</v>
      </c>
      <c r="AE8792" t="s">
        <v>101</v>
      </c>
      <c r="AG8792" t="s">
        <v>81</v>
      </c>
    </row>
    <row r="8793" spans="1:33" x14ac:dyDescent="0.25">
      <c r="C8793" t="s">
        <v>37610</v>
      </c>
      <c r="G8793" t="s">
        <v>36840</v>
      </c>
      <c r="H8793" t="s">
        <v>36841</v>
      </c>
      <c r="J8793" t="s">
        <v>36842</v>
      </c>
      <c r="K8793" t="s">
        <v>99</v>
      </c>
      <c r="L8793" t="s">
        <v>100</v>
      </c>
      <c r="M8793" t="s">
        <v>75</v>
      </c>
      <c r="N8793" t="s">
        <v>6410</v>
      </c>
      <c r="O8793" t="s">
        <v>77</v>
      </c>
      <c r="P8793">
        <v>10004</v>
      </c>
      <c r="AC8793" t="s">
        <v>79</v>
      </c>
      <c r="AD8793" t="s">
        <v>75</v>
      </c>
      <c r="AE8793" t="s">
        <v>101</v>
      </c>
      <c r="AG8793" t="s">
        <v>81</v>
      </c>
    </row>
    <row r="8794" spans="1:33" x14ac:dyDescent="0.25">
      <c r="C8794" t="s">
        <v>37611</v>
      </c>
      <c r="G8794" t="s">
        <v>36840</v>
      </c>
      <c r="H8794" t="s">
        <v>36841</v>
      </c>
      <c r="J8794" t="s">
        <v>36842</v>
      </c>
      <c r="K8794" t="s">
        <v>99</v>
      </c>
      <c r="L8794" t="s">
        <v>100</v>
      </c>
      <c r="M8794" t="s">
        <v>75</v>
      </c>
      <c r="N8794" t="s">
        <v>6410</v>
      </c>
      <c r="O8794" t="s">
        <v>77</v>
      </c>
      <c r="P8794">
        <v>10003</v>
      </c>
      <c r="AC8794" t="s">
        <v>79</v>
      </c>
      <c r="AD8794" t="s">
        <v>75</v>
      </c>
      <c r="AE8794" t="s">
        <v>101</v>
      </c>
      <c r="AG8794" t="s">
        <v>81</v>
      </c>
    </row>
    <row r="8795" spans="1:33" x14ac:dyDescent="0.25">
      <c r="C8795" t="s">
        <v>37612</v>
      </c>
      <c r="G8795" t="s">
        <v>36840</v>
      </c>
      <c r="H8795" t="s">
        <v>36841</v>
      </c>
      <c r="J8795" t="s">
        <v>36842</v>
      </c>
      <c r="K8795" t="s">
        <v>99</v>
      </c>
      <c r="L8795" t="s">
        <v>100</v>
      </c>
      <c r="M8795" t="s">
        <v>75</v>
      </c>
      <c r="N8795" t="s">
        <v>6410</v>
      </c>
      <c r="O8795" t="s">
        <v>77</v>
      </c>
      <c r="P8795">
        <v>10004</v>
      </c>
      <c r="AC8795" t="s">
        <v>79</v>
      </c>
      <c r="AD8795" t="s">
        <v>75</v>
      </c>
      <c r="AE8795" t="s">
        <v>101</v>
      </c>
      <c r="AG8795" t="s">
        <v>81</v>
      </c>
    </row>
    <row r="8796" spans="1:33" x14ac:dyDescent="0.25">
      <c r="A8796" t="str">
        <f>"1134480791"</f>
        <v>1134480791</v>
      </c>
      <c r="C8796" t="s">
        <v>13436</v>
      </c>
      <c r="K8796" t="s">
        <v>99</v>
      </c>
      <c r="L8796" t="s">
        <v>102</v>
      </c>
      <c r="M8796" t="s">
        <v>75</v>
      </c>
      <c r="R8796" t="s">
        <v>37613</v>
      </c>
      <c r="S8796" t="s">
        <v>1714</v>
      </c>
      <c r="T8796" t="s">
        <v>316</v>
      </c>
      <c r="U8796" t="s">
        <v>77</v>
      </c>
      <c r="V8796" t="str">
        <f>"108015502"</f>
        <v>108015502</v>
      </c>
      <c r="AC8796" t="s">
        <v>79</v>
      </c>
      <c r="AD8796" t="s">
        <v>75</v>
      </c>
      <c r="AE8796" t="s">
        <v>103</v>
      </c>
      <c r="AG8796" t="s">
        <v>81</v>
      </c>
    </row>
    <row r="8797" spans="1:33" x14ac:dyDescent="0.25">
      <c r="A8797" t="str">
        <f>"1770740771"</f>
        <v>1770740771</v>
      </c>
      <c r="B8797" t="str">
        <f>"03798556"</f>
        <v>03798556</v>
      </c>
      <c r="C8797" t="s">
        <v>13436</v>
      </c>
      <c r="D8797" t="s">
        <v>37614</v>
      </c>
      <c r="E8797" t="s">
        <v>37615</v>
      </c>
      <c r="G8797" t="s">
        <v>37616</v>
      </c>
      <c r="L8797" t="s">
        <v>102</v>
      </c>
      <c r="M8797" t="s">
        <v>75</v>
      </c>
      <c r="R8797" t="s">
        <v>37617</v>
      </c>
      <c r="W8797" t="s">
        <v>37615</v>
      </c>
      <c r="X8797" t="s">
        <v>37618</v>
      </c>
      <c r="Y8797" t="s">
        <v>97</v>
      </c>
      <c r="Z8797" t="s">
        <v>77</v>
      </c>
      <c r="AA8797" t="str">
        <f>"10029-6574"</f>
        <v>10029-6574</v>
      </c>
      <c r="AB8797" t="s">
        <v>78</v>
      </c>
      <c r="AC8797" t="s">
        <v>79</v>
      </c>
      <c r="AD8797" t="s">
        <v>75</v>
      </c>
      <c r="AE8797" t="s">
        <v>80</v>
      </c>
      <c r="AG8797" t="s">
        <v>81</v>
      </c>
    </row>
    <row r="8798" spans="1:33" x14ac:dyDescent="0.25">
      <c r="A8798" t="str">
        <f>"1770742587"</f>
        <v>1770742587</v>
      </c>
      <c r="B8798" t="str">
        <f>"03415827"</f>
        <v>03415827</v>
      </c>
      <c r="C8798" t="s">
        <v>13436</v>
      </c>
      <c r="D8798" t="s">
        <v>37619</v>
      </c>
      <c r="E8798" t="s">
        <v>37620</v>
      </c>
      <c r="L8798" t="s">
        <v>74</v>
      </c>
      <c r="M8798" t="s">
        <v>75</v>
      </c>
      <c r="R8798" t="s">
        <v>37621</v>
      </c>
      <c r="W8798" t="s">
        <v>37620</v>
      </c>
      <c r="X8798" t="s">
        <v>329</v>
      </c>
      <c r="Y8798" t="s">
        <v>97</v>
      </c>
      <c r="Z8798" t="s">
        <v>77</v>
      </c>
      <c r="AA8798" t="str">
        <f>"10029-6500"</f>
        <v>10029-6500</v>
      </c>
      <c r="AB8798" t="s">
        <v>78</v>
      </c>
      <c r="AC8798" t="s">
        <v>79</v>
      </c>
      <c r="AD8798" t="s">
        <v>75</v>
      </c>
      <c r="AE8798" t="s">
        <v>80</v>
      </c>
      <c r="AG8798" t="s">
        <v>81</v>
      </c>
    </row>
    <row r="8799" spans="1:33" x14ac:dyDescent="0.25">
      <c r="A8799" t="str">
        <f>"1770742785"</f>
        <v>1770742785</v>
      </c>
      <c r="B8799" t="str">
        <f>"03730467"</f>
        <v>03730467</v>
      </c>
      <c r="C8799" t="s">
        <v>13436</v>
      </c>
      <c r="D8799" t="s">
        <v>37622</v>
      </c>
      <c r="E8799" t="s">
        <v>37623</v>
      </c>
      <c r="G8799" t="s">
        <v>37624</v>
      </c>
      <c r="L8799" t="s">
        <v>74</v>
      </c>
      <c r="M8799" t="s">
        <v>75</v>
      </c>
      <c r="R8799" t="s">
        <v>37625</v>
      </c>
      <c r="W8799" t="s">
        <v>37623</v>
      </c>
      <c r="X8799" t="s">
        <v>11156</v>
      </c>
      <c r="Y8799" t="s">
        <v>97</v>
      </c>
      <c r="Z8799" t="s">
        <v>77</v>
      </c>
      <c r="AA8799" t="str">
        <f>"10029-6504"</f>
        <v>10029-6504</v>
      </c>
      <c r="AB8799" t="s">
        <v>78</v>
      </c>
      <c r="AC8799" t="s">
        <v>79</v>
      </c>
      <c r="AD8799" t="s">
        <v>75</v>
      </c>
      <c r="AE8799" t="s">
        <v>80</v>
      </c>
      <c r="AG8799" t="s">
        <v>81</v>
      </c>
    </row>
    <row r="8800" spans="1:33" x14ac:dyDescent="0.25">
      <c r="A8800" t="str">
        <f>"1770743429"</f>
        <v>1770743429</v>
      </c>
      <c r="B8800" t="str">
        <f>"03441081"</f>
        <v>03441081</v>
      </c>
      <c r="C8800" t="s">
        <v>13436</v>
      </c>
      <c r="D8800" t="s">
        <v>37626</v>
      </c>
      <c r="E8800" t="s">
        <v>37627</v>
      </c>
      <c r="G8800" t="s">
        <v>37628</v>
      </c>
      <c r="L8800" t="s">
        <v>83</v>
      </c>
      <c r="M8800" t="s">
        <v>75</v>
      </c>
      <c r="R8800" t="s">
        <v>37627</v>
      </c>
      <c r="W8800" t="s">
        <v>37627</v>
      </c>
      <c r="X8800" t="s">
        <v>37629</v>
      </c>
      <c r="Y8800" t="s">
        <v>91</v>
      </c>
      <c r="Z8800" t="s">
        <v>77</v>
      </c>
      <c r="AA8800" t="str">
        <f>"11373-0000"</f>
        <v>11373-0000</v>
      </c>
      <c r="AB8800" t="s">
        <v>78</v>
      </c>
      <c r="AC8800" t="s">
        <v>79</v>
      </c>
      <c r="AD8800" t="s">
        <v>75</v>
      </c>
      <c r="AE8800" t="s">
        <v>80</v>
      </c>
      <c r="AG8800" t="s">
        <v>81</v>
      </c>
    </row>
    <row r="8801" spans="1:33" x14ac:dyDescent="0.25">
      <c r="A8801" t="str">
        <f>"1770747123"</f>
        <v>1770747123</v>
      </c>
      <c r="B8801" t="str">
        <f>"04088666"</f>
        <v>04088666</v>
      </c>
      <c r="C8801" t="s">
        <v>13436</v>
      </c>
      <c r="D8801" t="s">
        <v>37630</v>
      </c>
      <c r="E8801" t="s">
        <v>37631</v>
      </c>
      <c r="L8801" t="s">
        <v>83</v>
      </c>
      <c r="M8801" t="s">
        <v>75</v>
      </c>
      <c r="R8801" t="s">
        <v>37632</v>
      </c>
      <c r="W8801" t="s">
        <v>37631</v>
      </c>
      <c r="X8801" t="s">
        <v>37633</v>
      </c>
      <c r="Y8801" t="s">
        <v>87</v>
      </c>
      <c r="Z8801" t="s">
        <v>77</v>
      </c>
      <c r="AA8801" t="str">
        <f>"11214-5119"</f>
        <v>11214-5119</v>
      </c>
      <c r="AB8801" t="s">
        <v>78</v>
      </c>
      <c r="AC8801" t="s">
        <v>79</v>
      </c>
      <c r="AD8801" t="s">
        <v>75</v>
      </c>
      <c r="AE8801" t="s">
        <v>80</v>
      </c>
      <c r="AG8801" t="s">
        <v>81</v>
      </c>
    </row>
    <row r="8802" spans="1:33" x14ac:dyDescent="0.25">
      <c r="A8802" t="str">
        <f>"1770748683"</f>
        <v>1770748683</v>
      </c>
      <c r="B8802" t="str">
        <f>"03585884"</f>
        <v>03585884</v>
      </c>
      <c r="C8802" t="s">
        <v>13436</v>
      </c>
      <c r="D8802" t="s">
        <v>37634</v>
      </c>
      <c r="E8802" t="s">
        <v>37635</v>
      </c>
      <c r="G8802" t="s">
        <v>37636</v>
      </c>
      <c r="L8802" t="s">
        <v>74</v>
      </c>
      <c r="M8802" t="s">
        <v>85</v>
      </c>
      <c r="W8802" t="s">
        <v>37635</v>
      </c>
      <c r="X8802" t="s">
        <v>11460</v>
      </c>
      <c r="Y8802" t="s">
        <v>97</v>
      </c>
      <c r="Z8802" t="s">
        <v>77</v>
      </c>
      <c r="AA8802" t="str">
        <f>"10029-6501"</f>
        <v>10029-6501</v>
      </c>
      <c r="AB8802" t="s">
        <v>78</v>
      </c>
      <c r="AC8802" t="s">
        <v>79</v>
      </c>
      <c r="AD8802" t="s">
        <v>75</v>
      </c>
      <c r="AE8802" t="s">
        <v>80</v>
      </c>
      <c r="AG8802" t="s">
        <v>81</v>
      </c>
    </row>
    <row r="8803" spans="1:33" x14ac:dyDescent="0.25">
      <c r="A8803" t="str">
        <f>"1063483584"</f>
        <v>1063483584</v>
      </c>
      <c r="B8803" t="str">
        <f>"01475709"</f>
        <v>01475709</v>
      </c>
      <c r="C8803" t="s">
        <v>13436</v>
      </c>
      <c r="D8803" t="s">
        <v>37637</v>
      </c>
      <c r="E8803" t="s">
        <v>37638</v>
      </c>
      <c r="G8803" t="s">
        <v>37639</v>
      </c>
      <c r="L8803" t="s">
        <v>83</v>
      </c>
      <c r="M8803" t="s">
        <v>75</v>
      </c>
      <c r="R8803" t="s">
        <v>37640</v>
      </c>
      <c r="W8803" t="s">
        <v>37638</v>
      </c>
      <c r="X8803" t="s">
        <v>37641</v>
      </c>
      <c r="Y8803" t="s">
        <v>97</v>
      </c>
      <c r="Z8803" t="s">
        <v>77</v>
      </c>
      <c r="AA8803" t="str">
        <f>"10003-2666"</f>
        <v>10003-2666</v>
      </c>
      <c r="AB8803" t="s">
        <v>128</v>
      </c>
      <c r="AC8803" t="s">
        <v>79</v>
      </c>
      <c r="AD8803" t="s">
        <v>75</v>
      </c>
      <c r="AE8803" t="s">
        <v>80</v>
      </c>
      <c r="AG8803" t="s">
        <v>81</v>
      </c>
    </row>
    <row r="8804" spans="1:33" x14ac:dyDescent="0.25">
      <c r="A8804" t="str">
        <f>"1063662559"</f>
        <v>1063662559</v>
      </c>
      <c r="C8804" t="s">
        <v>13436</v>
      </c>
      <c r="G8804" t="s">
        <v>37642</v>
      </c>
      <c r="K8804" t="s">
        <v>99</v>
      </c>
      <c r="L8804" t="s">
        <v>102</v>
      </c>
      <c r="M8804" t="s">
        <v>75</v>
      </c>
      <c r="R8804" t="s">
        <v>37643</v>
      </c>
      <c r="S8804" t="s">
        <v>37644</v>
      </c>
      <c r="T8804" t="s">
        <v>97</v>
      </c>
      <c r="U8804" t="s">
        <v>77</v>
      </c>
      <c r="V8804" t="str">
        <f>"100033805"</f>
        <v>100033805</v>
      </c>
      <c r="AC8804" t="s">
        <v>79</v>
      </c>
      <c r="AD8804" t="s">
        <v>75</v>
      </c>
      <c r="AE8804" t="s">
        <v>103</v>
      </c>
      <c r="AG8804" t="s">
        <v>81</v>
      </c>
    </row>
    <row r="8805" spans="1:33" x14ac:dyDescent="0.25">
      <c r="A8805" t="str">
        <f>"1083614895"</f>
        <v>1083614895</v>
      </c>
      <c r="B8805" t="str">
        <f>"00582081"</f>
        <v>00582081</v>
      </c>
      <c r="C8805" t="s">
        <v>13436</v>
      </c>
      <c r="D8805" t="s">
        <v>37645</v>
      </c>
      <c r="E8805" t="s">
        <v>37646</v>
      </c>
      <c r="G8805" t="s">
        <v>37647</v>
      </c>
      <c r="L8805" t="s">
        <v>83</v>
      </c>
      <c r="M8805" t="s">
        <v>75</v>
      </c>
      <c r="R8805" t="s">
        <v>37648</v>
      </c>
      <c r="W8805" t="s">
        <v>37646</v>
      </c>
      <c r="X8805" t="s">
        <v>37649</v>
      </c>
      <c r="Y8805" t="s">
        <v>97</v>
      </c>
      <c r="Z8805" t="s">
        <v>77</v>
      </c>
      <c r="AA8805" t="str">
        <f>"10025-6413"</f>
        <v>10025-6413</v>
      </c>
      <c r="AB8805" t="s">
        <v>128</v>
      </c>
      <c r="AC8805" t="s">
        <v>79</v>
      </c>
      <c r="AD8805" t="s">
        <v>75</v>
      </c>
      <c r="AE8805" t="s">
        <v>80</v>
      </c>
      <c r="AG8805" t="s">
        <v>81</v>
      </c>
    </row>
    <row r="8806" spans="1:33" x14ac:dyDescent="0.25">
      <c r="A8806" t="str">
        <f>"1093730194"</f>
        <v>1093730194</v>
      </c>
      <c r="B8806" t="str">
        <f>"02413629"</f>
        <v>02413629</v>
      </c>
      <c r="C8806" t="s">
        <v>13436</v>
      </c>
      <c r="D8806" t="s">
        <v>37650</v>
      </c>
      <c r="E8806" t="s">
        <v>37651</v>
      </c>
      <c r="G8806" t="s">
        <v>37652</v>
      </c>
      <c r="L8806" t="s">
        <v>83</v>
      </c>
      <c r="M8806" t="s">
        <v>75</v>
      </c>
      <c r="R8806" t="s">
        <v>37653</v>
      </c>
      <c r="W8806" t="s">
        <v>37651</v>
      </c>
      <c r="X8806" t="s">
        <v>2643</v>
      </c>
      <c r="Y8806" t="s">
        <v>196</v>
      </c>
      <c r="Z8806" t="s">
        <v>77</v>
      </c>
      <c r="AA8806" t="str">
        <f>"11756-1401"</f>
        <v>11756-1401</v>
      </c>
      <c r="AB8806" t="s">
        <v>128</v>
      </c>
      <c r="AC8806" t="s">
        <v>79</v>
      </c>
      <c r="AD8806" t="s">
        <v>75</v>
      </c>
      <c r="AE8806" t="s">
        <v>80</v>
      </c>
      <c r="AG8806" t="s">
        <v>81</v>
      </c>
    </row>
    <row r="8807" spans="1:33" x14ac:dyDescent="0.25">
      <c r="A8807" t="str">
        <f>"1093731374"</f>
        <v>1093731374</v>
      </c>
      <c r="B8807" t="str">
        <f>"01696937"</f>
        <v>01696937</v>
      </c>
      <c r="C8807" t="s">
        <v>13436</v>
      </c>
      <c r="D8807" t="s">
        <v>1471</v>
      </c>
      <c r="E8807" t="s">
        <v>1472</v>
      </c>
      <c r="G8807" t="s">
        <v>37654</v>
      </c>
      <c r="L8807" t="s">
        <v>84</v>
      </c>
      <c r="M8807" t="s">
        <v>85</v>
      </c>
      <c r="R8807" t="s">
        <v>1470</v>
      </c>
      <c r="W8807" t="s">
        <v>1472</v>
      </c>
      <c r="X8807" t="s">
        <v>1473</v>
      </c>
      <c r="Y8807" t="s">
        <v>87</v>
      </c>
      <c r="Z8807" t="s">
        <v>77</v>
      </c>
      <c r="AA8807" t="str">
        <f>"11235-3805"</f>
        <v>11235-3805</v>
      </c>
      <c r="AB8807" t="s">
        <v>78</v>
      </c>
      <c r="AC8807" t="s">
        <v>79</v>
      </c>
      <c r="AD8807" t="s">
        <v>75</v>
      </c>
      <c r="AE8807" t="s">
        <v>80</v>
      </c>
      <c r="AG8807" t="s">
        <v>81</v>
      </c>
    </row>
    <row r="8808" spans="1:33" x14ac:dyDescent="0.25">
      <c r="A8808" t="str">
        <f>"1285913715"</f>
        <v>1285913715</v>
      </c>
      <c r="C8808" t="s">
        <v>13436</v>
      </c>
      <c r="G8808" t="s">
        <v>37655</v>
      </c>
      <c r="K8808" t="s">
        <v>99</v>
      </c>
      <c r="L8808" t="s">
        <v>74</v>
      </c>
      <c r="M8808" t="s">
        <v>75</v>
      </c>
      <c r="R8808" t="s">
        <v>37656</v>
      </c>
      <c r="S8808" t="s">
        <v>37657</v>
      </c>
      <c r="T8808" t="s">
        <v>97</v>
      </c>
      <c r="U8808" t="s">
        <v>77</v>
      </c>
      <c r="V8808" t="str">
        <f>"100296500"</f>
        <v>100296500</v>
      </c>
      <c r="AC8808" t="s">
        <v>79</v>
      </c>
      <c r="AD8808" t="s">
        <v>75</v>
      </c>
      <c r="AE8808" t="s">
        <v>103</v>
      </c>
      <c r="AG8808" t="s">
        <v>81</v>
      </c>
    </row>
    <row r="8809" spans="1:33" x14ac:dyDescent="0.25">
      <c r="A8809" t="str">
        <f>"1285923813"</f>
        <v>1285923813</v>
      </c>
      <c r="C8809" t="s">
        <v>13436</v>
      </c>
      <c r="K8809" t="s">
        <v>99</v>
      </c>
      <c r="L8809" t="s">
        <v>102</v>
      </c>
      <c r="M8809" t="s">
        <v>75</v>
      </c>
      <c r="R8809" t="s">
        <v>37658</v>
      </c>
      <c r="S8809" t="s">
        <v>37659</v>
      </c>
      <c r="T8809" t="s">
        <v>4483</v>
      </c>
      <c r="U8809" t="s">
        <v>1842</v>
      </c>
      <c r="V8809" t="str">
        <f>"065103220"</f>
        <v>065103220</v>
      </c>
      <c r="AC8809" t="s">
        <v>79</v>
      </c>
      <c r="AD8809" t="s">
        <v>75</v>
      </c>
      <c r="AE8809" t="s">
        <v>103</v>
      </c>
      <c r="AG8809" t="s">
        <v>81</v>
      </c>
    </row>
    <row r="8810" spans="1:33" x14ac:dyDescent="0.25">
      <c r="A8810" t="str">
        <f>"1285925370"</f>
        <v>1285925370</v>
      </c>
      <c r="C8810" t="s">
        <v>13436</v>
      </c>
      <c r="K8810" t="s">
        <v>99</v>
      </c>
      <c r="L8810" t="s">
        <v>102</v>
      </c>
      <c r="M8810" t="s">
        <v>75</v>
      </c>
      <c r="R8810" t="s">
        <v>37660</v>
      </c>
      <c r="S8810" t="s">
        <v>329</v>
      </c>
      <c r="T8810" t="s">
        <v>97</v>
      </c>
      <c r="U8810" t="s">
        <v>77</v>
      </c>
      <c r="V8810" t="str">
        <f>"100296500"</f>
        <v>100296500</v>
      </c>
      <c r="AC8810" t="s">
        <v>79</v>
      </c>
      <c r="AD8810" t="s">
        <v>75</v>
      </c>
      <c r="AE8810" t="s">
        <v>103</v>
      </c>
      <c r="AG8810" t="s">
        <v>81</v>
      </c>
    </row>
    <row r="8811" spans="1:33" x14ac:dyDescent="0.25">
      <c r="A8811" t="str">
        <f>"1285927335"</f>
        <v>1285927335</v>
      </c>
      <c r="B8811" t="str">
        <f>"04326289"</f>
        <v>04326289</v>
      </c>
      <c r="C8811" t="s">
        <v>13436</v>
      </c>
      <c r="D8811" t="s">
        <v>37661</v>
      </c>
      <c r="E8811" t="s">
        <v>37662</v>
      </c>
      <c r="L8811" t="s">
        <v>105</v>
      </c>
      <c r="M8811" t="s">
        <v>75</v>
      </c>
      <c r="R8811" t="s">
        <v>37663</v>
      </c>
      <c r="W8811" t="s">
        <v>37662</v>
      </c>
      <c r="X8811" t="s">
        <v>162</v>
      </c>
      <c r="Y8811" t="s">
        <v>87</v>
      </c>
      <c r="Z8811" t="s">
        <v>77</v>
      </c>
      <c r="AA8811" t="str">
        <f>"11215-3609"</f>
        <v>11215-3609</v>
      </c>
      <c r="AB8811" t="s">
        <v>78</v>
      </c>
      <c r="AC8811" t="s">
        <v>79</v>
      </c>
      <c r="AD8811" t="s">
        <v>75</v>
      </c>
      <c r="AE8811" t="s">
        <v>80</v>
      </c>
      <c r="AG8811" t="s">
        <v>81</v>
      </c>
    </row>
    <row r="8812" spans="1:33" x14ac:dyDescent="0.25">
      <c r="A8812" t="str">
        <f>"1285928929"</f>
        <v>1285928929</v>
      </c>
      <c r="C8812" t="s">
        <v>13436</v>
      </c>
      <c r="K8812" t="s">
        <v>99</v>
      </c>
      <c r="L8812" t="s">
        <v>102</v>
      </c>
      <c r="M8812" t="s">
        <v>75</v>
      </c>
      <c r="R8812" t="s">
        <v>37664</v>
      </c>
      <c r="S8812" t="s">
        <v>37665</v>
      </c>
      <c r="T8812" t="s">
        <v>1846</v>
      </c>
      <c r="U8812" t="s">
        <v>1784</v>
      </c>
      <c r="V8812" t="str">
        <f>"152321304"</f>
        <v>152321304</v>
      </c>
      <c r="AC8812" t="s">
        <v>79</v>
      </c>
      <c r="AD8812" t="s">
        <v>75</v>
      </c>
      <c r="AE8812" t="s">
        <v>103</v>
      </c>
      <c r="AG8812" t="s">
        <v>81</v>
      </c>
    </row>
    <row r="8813" spans="1:33" x14ac:dyDescent="0.25">
      <c r="A8813" t="str">
        <f>"1659623031"</f>
        <v>1659623031</v>
      </c>
      <c r="C8813" t="s">
        <v>13436</v>
      </c>
      <c r="G8813" t="s">
        <v>37666</v>
      </c>
      <c r="K8813" t="s">
        <v>99</v>
      </c>
      <c r="L8813" t="s">
        <v>102</v>
      </c>
      <c r="M8813" t="s">
        <v>75</v>
      </c>
      <c r="R8813" t="s">
        <v>37667</v>
      </c>
      <c r="S8813" t="s">
        <v>37668</v>
      </c>
      <c r="T8813" t="s">
        <v>37669</v>
      </c>
      <c r="U8813" t="s">
        <v>2662</v>
      </c>
      <c r="V8813" t="str">
        <f>"996547184"</f>
        <v>996547184</v>
      </c>
      <c r="AC8813" t="s">
        <v>79</v>
      </c>
      <c r="AD8813" t="s">
        <v>75</v>
      </c>
      <c r="AE8813" t="s">
        <v>103</v>
      </c>
      <c r="AG8813" t="s">
        <v>81</v>
      </c>
    </row>
    <row r="8814" spans="1:33" x14ac:dyDescent="0.25">
      <c r="A8814" t="str">
        <f>"1659624872"</f>
        <v>1659624872</v>
      </c>
      <c r="B8814" t="str">
        <f>"03705346"</f>
        <v>03705346</v>
      </c>
      <c r="C8814" t="s">
        <v>13436</v>
      </c>
      <c r="D8814" t="s">
        <v>37670</v>
      </c>
      <c r="E8814" t="s">
        <v>37671</v>
      </c>
      <c r="G8814" t="s">
        <v>37672</v>
      </c>
      <c r="L8814" t="s">
        <v>102</v>
      </c>
      <c r="M8814" t="s">
        <v>75</v>
      </c>
      <c r="R8814" t="s">
        <v>37673</v>
      </c>
      <c r="W8814" t="s">
        <v>37671</v>
      </c>
      <c r="X8814" t="s">
        <v>31054</v>
      </c>
      <c r="Y8814" t="s">
        <v>97</v>
      </c>
      <c r="Z8814" t="s">
        <v>77</v>
      </c>
      <c r="AA8814" t="str">
        <f>"10029-6501"</f>
        <v>10029-6501</v>
      </c>
      <c r="AB8814" t="s">
        <v>78</v>
      </c>
      <c r="AC8814" t="s">
        <v>79</v>
      </c>
      <c r="AD8814" t="s">
        <v>75</v>
      </c>
      <c r="AE8814" t="s">
        <v>80</v>
      </c>
      <c r="AG8814" t="s">
        <v>81</v>
      </c>
    </row>
    <row r="8815" spans="1:33" x14ac:dyDescent="0.25">
      <c r="A8815" t="str">
        <f>"1659632339"</f>
        <v>1659632339</v>
      </c>
      <c r="B8815" t="str">
        <f>"03765895"</f>
        <v>03765895</v>
      </c>
      <c r="C8815" t="s">
        <v>13436</v>
      </c>
      <c r="D8815" t="s">
        <v>37674</v>
      </c>
      <c r="E8815" t="s">
        <v>37675</v>
      </c>
      <c r="L8815" t="s">
        <v>102</v>
      </c>
      <c r="M8815" t="s">
        <v>75</v>
      </c>
      <c r="R8815" t="s">
        <v>37675</v>
      </c>
      <c r="W8815" t="s">
        <v>37675</v>
      </c>
      <c r="X8815" t="s">
        <v>272</v>
      </c>
      <c r="Y8815" t="s">
        <v>97</v>
      </c>
      <c r="Z8815" t="s">
        <v>77</v>
      </c>
      <c r="AA8815" t="str">
        <f>"10029-6501"</f>
        <v>10029-6501</v>
      </c>
      <c r="AB8815" t="s">
        <v>78</v>
      </c>
      <c r="AC8815" t="s">
        <v>79</v>
      </c>
      <c r="AD8815" t="s">
        <v>75</v>
      </c>
      <c r="AE8815" t="s">
        <v>80</v>
      </c>
      <c r="AG8815" t="s">
        <v>81</v>
      </c>
    </row>
    <row r="8816" spans="1:33" x14ac:dyDescent="0.25">
      <c r="A8816" t="str">
        <f>"1659639524"</f>
        <v>1659639524</v>
      </c>
      <c r="B8816" t="str">
        <f>"03542481"</f>
        <v>03542481</v>
      </c>
      <c r="C8816" t="s">
        <v>13436</v>
      </c>
      <c r="D8816" t="s">
        <v>37676</v>
      </c>
      <c r="E8816" t="s">
        <v>37677</v>
      </c>
      <c r="L8816" t="s">
        <v>84</v>
      </c>
      <c r="M8816" t="s">
        <v>75</v>
      </c>
      <c r="R8816" t="s">
        <v>12702</v>
      </c>
      <c r="W8816" t="s">
        <v>12703</v>
      </c>
      <c r="X8816" t="s">
        <v>329</v>
      </c>
      <c r="Y8816" t="s">
        <v>97</v>
      </c>
      <c r="Z8816" t="s">
        <v>77</v>
      </c>
      <c r="AA8816" t="str">
        <f>"10029-6500"</f>
        <v>10029-6500</v>
      </c>
      <c r="AB8816" t="s">
        <v>127</v>
      </c>
      <c r="AC8816" t="s">
        <v>79</v>
      </c>
      <c r="AD8816" t="s">
        <v>75</v>
      </c>
      <c r="AE8816" t="s">
        <v>80</v>
      </c>
      <c r="AG8816" t="s">
        <v>81</v>
      </c>
    </row>
    <row r="8817" spans="1:33" x14ac:dyDescent="0.25">
      <c r="A8817" t="str">
        <f>"1093156226"</f>
        <v>1093156226</v>
      </c>
      <c r="C8817" t="s">
        <v>13436</v>
      </c>
      <c r="G8817" t="s">
        <v>37678</v>
      </c>
      <c r="K8817" t="s">
        <v>99</v>
      </c>
      <c r="L8817" t="s">
        <v>102</v>
      </c>
      <c r="M8817" t="s">
        <v>75</v>
      </c>
      <c r="R8817" t="s">
        <v>37679</v>
      </c>
      <c r="S8817" t="s">
        <v>37680</v>
      </c>
      <c r="T8817" t="s">
        <v>131</v>
      </c>
      <c r="U8817" t="s">
        <v>77</v>
      </c>
      <c r="V8817" t="str">
        <f>"104621540"</f>
        <v>104621540</v>
      </c>
      <c r="AC8817" t="s">
        <v>79</v>
      </c>
      <c r="AD8817" t="s">
        <v>75</v>
      </c>
      <c r="AE8817" t="s">
        <v>103</v>
      </c>
      <c r="AG8817" t="s">
        <v>81</v>
      </c>
    </row>
    <row r="8818" spans="1:33" x14ac:dyDescent="0.25">
      <c r="A8818" t="str">
        <f>"1093706665"</f>
        <v>1093706665</v>
      </c>
      <c r="B8818" t="str">
        <f>"03229361"</f>
        <v>03229361</v>
      </c>
      <c r="C8818" t="s">
        <v>13436</v>
      </c>
      <c r="D8818" t="s">
        <v>37681</v>
      </c>
      <c r="E8818" t="s">
        <v>37682</v>
      </c>
      <c r="G8818" t="s">
        <v>37683</v>
      </c>
      <c r="L8818" t="s">
        <v>83</v>
      </c>
      <c r="M8818" t="s">
        <v>85</v>
      </c>
      <c r="R8818" t="s">
        <v>37684</v>
      </c>
      <c r="W8818" t="s">
        <v>37685</v>
      </c>
      <c r="X8818" t="s">
        <v>272</v>
      </c>
      <c r="Y8818" t="s">
        <v>97</v>
      </c>
      <c r="Z8818" t="s">
        <v>77</v>
      </c>
      <c r="AA8818" t="str">
        <f>"10029-6501"</f>
        <v>10029-6501</v>
      </c>
      <c r="AB8818" t="s">
        <v>78</v>
      </c>
      <c r="AC8818" t="s">
        <v>79</v>
      </c>
      <c r="AD8818" t="s">
        <v>75</v>
      </c>
      <c r="AE8818" t="s">
        <v>80</v>
      </c>
      <c r="AG8818" t="s">
        <v>81</v>
      </c>
    </row>
    <row r="8819" spans="1:33" x14ac:dyDescent="0.25">
      <c r="A8819" t="str">
        <f>"1093723264"</f>
        <v>1093723264</v>
      </c>
      <c r="B8819" t="str">
        <f>"01951362"</f>
        <v>01951362</v>
      </c>
      <c r="C8819" t="s">
        <v>13436</v>
      </c>
      <c r="D8819" t="s">
        <v>37686</v>
      </c>
      <c r="E8819" t="s">
        <v>37687</v>
      </c>
      <c r="L8819" t="s">
        <v>74</v>
      </c>
      <c r="M8819" t="s">
        <v>75</v>
      </c>
      <c r="R8819" t="s">
        <v>37688</v>
      </c>
      <c r="W8819" t="s">
        <v>37687</v>
      </c>
      <c r="X8819" t="s">
        <v>37689</v>
      </c>
      <c r="Y8819" t="s">
        <v>1791</v>
      </c>
      <c r="Z8819" t="s">
        <v>77</v>
      </c>
      <c r="AA8819" t="str">
        <f>"12538-2852"</f>
        <v>12538-2852</v>
      </c>
      <c r="AB8819" t="s">
        <v>78</v>
      </c>
      <c r="AC8819" t="s">
        <v>79</v>
      </c>
      <c r="AD8819" t="s">
        <v>75</v>
      </c>
      <c r="AE8819" t="s">
        <v>80</v>
      </c>
      <c r="AG8819" t="s">
        <v>81</v>
      </c>
    </row>
    <row r="8820" spans="1:33" x14ac:dyDescent="0.25">
      <c r="A8820" t="str">
        <f>"1093733545"</f>
        <v>1093733545</v>
      </c>
      <c r="B8820" t="str">
        <f>"01951248"</f>
        <v>01951248</v>
      </c>
      <c r="C8820" t="s">
        <v>13436</v>
      </c>
      <c r="D8820" t="s">
        <v>37690</v>
      </c>
      <c r="E8820" t="s">
        <v>37691</v>
      </c>
      <c r="G8820" t="s">
        <v>37692</v>
      </c>
      <c r="L8820" t="s">
        <v>74</v>
      </c>
      <c r="M8820" t="s">
        <v>85</v>
      </c>
      <c r="R8820" t="s">
        <v>37693</v>
      </c>
      <c r="W8820" t="s">
        <v>37691</v>
      </c>
      <c r="X8820" t="s">
        <v>37694</v>
      </c>
      <c r="Y8820" t="s">
        <v>213</v>
      </c>
      <c r="Z8820" t="s">
        <v>77</v>
      </c>
      <c r="AA8820" t="str">
        <f>"11758-2391"</f>
        <v>11758-2391</v>
      </c>
      <c r="AB8820" t="s">
        <v>78</v>
      </c>
      <c r="AC8820" t="s">
        <v>79</v>
      </c>
      <c r="AD8820" t="s">
        <v>75</v>
      </c>
      <c r="AE8820" t="s">
        <v>80</v>
      </c>
      <c r="AG8820" t="s">
        <v>81</v>
      </c>
    </row>
    <row r="8821" spans="1:33" x14ac:dyDescent="0.25">
      <c r="A8821" t="str">
        <f>"1659376119"</f>
        <v>1659376119</v>
      </c>
      <c r="B8821" t="str">
        <f>"01011632"</f>
        <v>01011632</v>
      </c>
      <c r="C8821" t="s">
        <v>13436</v>
      </c>
      <c r="D8821" t="s">
        <v>37695</v>
      </c>
      <c r="E8821" t="s">
        <v>37696</v>
      </c>
      <c r="G8821" t="s">
        <v>37697</v>
      </c>
      <c r="L8821" t="s">
        <v>83</v>
      </c>
      <c r="M8821" t="s">
        <v>75</v>
      </c>
      <c r="R8821" t="s">
        <v>37698</v>
      </c>
      <c r="W8821" t="s">
        <v>37696</v>
      </c>
      <c r="X8821" t="s">
        <v>37699</v>
      </c>
      <c r="Y8821" t="s">
        <v>87</v>
      </c>
      <c r="Z8821" t="s">
        <v>77</v>
      </c>
      <c r="AA8821" t="str">
        <f>"11235-3408"</f>
        <v>11235-3408</v>
      </c>
      <c r="AB8821" t="s">
        <v>78</v>
      </c>
      <c r="AC8821" t="s">
        <v>79</v>
      </c>
      <c r="AD8821" t="s">
        <v>75</v>
      </c>
      <c r="AE8821" t="s">
        <v>80</v>
      </c>
      <c r="AG8821" t="s">
        <v>81</v>
      </c>
    </row>
    <row r="8822" spans="1:33" x14ac:dyDescent="0.25">
      <c r="A8822" t="str">
        <f>"1659459006"</f>
        <v>1659459006</v>
      </c>
      <c r="B8822" t="str">
        <f>"01890431"</f>
        <v>01890431</v>
      </c>
      <c r="C8822" t="s">
        <v>13436</v>
      </c>
      <c r="D8822" t="s">
        <v>37700</v>
      </c>
      <c r="E8822" t="s">
        <v>37701</v>
      </c>
      <c r="G8822" t="s">
        <v>37702</v>
      </c>
      <c r="L8822" t="s">
        <v>84</v>
      </c>
      <c r="M8822" t="s">
        <v>75</v>
      </c>
      <c r="R8822" t="s">
        <v>37703</v>
      </c>
      <c r="W8822" t="s">
        <v>37701</v>
      </c>
      <c r="X8822" t="s">
        <v>37704</v>
      </c>
      <c r="Y8822" t="s">
        <v>131</v>
      </c>
      <c r="Z8822" t="s">
        <v>77</v>
      </c>
      <c r="AA8822" t="str">
        <f>"10461"</f>
        <v>10461</v>
      </c>
      <c r="AB8822" t="s">
        <v>78</v>
      </c>
      <c r="AC8822" t="s">
        <v>79</v>
      </c>
      <c r="AD8822" t="s">
        <v>75</v>
      </c>
      <c r="AE8822" t="s">
        <v>80</v>
      </c>
      <c r="AG8822" t="s">
        <v>81</v>
      </c>
    </row>
    <row r="8823" spans="1:33" x14ac:dyDescent="0.25">
      <c r="A8823" t="str">
        <f>"1598104929"</f>
        <v>1598104929</v>
      </c>
      <c r="C8823" t="s">
        <v>13436</v>
      </c>
      <c r="K8823" t="s">
        <v>99</v>
      </c>
      <c r="L8823" t="s">
        <v>102</v>
      </c>
      <c r="M8823" t="s">
        <v>75</v>
      </c>
      <c r="R8823" t="s">
        <v>37705</v>
      </c>
      <c r="S8823" t="s">
        <v>37706</v>
      </c>
      <c r="T8823" t="s">
        <v>2111</v>
      </c>
      <c r="U8823" t="s">
        <v>156</v>
      </c>
      <c r="V8823" t="str">
        <f>"071032757"</f>
        <v>071032757</v>
      </c>
      <c r="AC8823" t="s">
        <v>79</v>
      </c>
      <c r="AD8823" t="s">
        <v>75</v>
      </c>
      <c r="AE8823" t="s">
        <v>103</v>
      </c>
      <c r="AG8823" t="s">
        <v>81</v>
      </c>
    </row>
    <row r="8824" spans="1:33" x14ac:dyDescent="0.25">
      <c r="A8824" t="str">
        <f>"1598105942"</f>
        <v>1598105942</v>
      </c>
      <c r="B8824" t="str">
        <f>"04628502"</f>
        <v>04628502</v>
      </c>
      <c r="C8824" t="s">
        <v>13436</v>
      </c>
      <c r="D8824" t="s">
        <v>37707</v>
      </c>
      <c r="E8824" t="s">
        <v>37708</v>
      </c>
      <c r="L8824" t="s">
        <v>102</v>
      </c>
      <c r="M8824" t="s">
        <v>75</v>
      </c>
      <c r="R8824" t="s">
        <v>37708</v>
      </c>
      <c r="W8824" t="s">
        <v>37708</v>
      </c>
      <c r="AB8824" t="s">
        <v>78</v>
      </c>
      <c r="AC8824" t="s">
        <v>79</v>
      </c>
      <c r="AD8824" t="s">
        <v>75</v>
      </c>
      <c r="AE8824" t="s">
        <v>80</v>
      </c>
      <c r="AG8824" t="s">
        <v>81</v>
      </c>
    </row>
    <row r="8825" spans="1:33" x14ac:dyDescent="0.25">
      <c r="A8825" t="str">
        <f>"1457440018"</f>
        <v>1457440018</v>
      </c>
      <c r="B8825" t="str">
        <f>"03848244"</f>
        <v>03848244</v>
      </c>
      <c r="C8825" t="s">
        <v>13436</v>
      </c>
      <c r="D8825" t="s">
        <v>37709</v>
      </c>
      <c r="E8825" t="s">
        <v>37710</v>
      </c>
      <c r="G8825" t="s">
        <v>37711</v>
      </c>
      <c r="L8825" t="s">
        <v>83</v>
      </c>
      <c r="M8825" t="s">
        <v>85</v>
      </c>
      <c r="R8825" t="s">
        <v>37712</v>
      </c>
      <c r="W8825" t="s">
        <v>37710</v>
      </c>
      <c r="X8825" t="s">
        <v>329</v>
      </c>
      <c r="Y8825" t="s">
        <v>97</v>
      </c>
      <c r="Z8825" t="s">
        <v>77</v>
      </c>
      <c r="AA8825" t="str">
        <f>"10029-6504"</f>
        <v>10029-6504</v>
      </c>
      <c r="AB8825" t="s">
        <v>78</v>
      </c>
      <c r="AC8825" t="s">
        <v>79</v>
      </c>
      <c r="AD8825" t="s">
        <v>75</v>
      </c>
      <c r="AE8825" t="s">
        <v>80</v>
      </c>
      <c r="AG8825" t="s">
        <v>81</v>
      </c>
    </row>
    <row r="8826" spans="1:33" x14ac:dyDescent="0.25">
      <c r="A8826" t="str">
        <f>"1457453375"</f>
        <v>1457453375</v>
      </c>
      <c r="B8826" t="str">
        <f>"01136878"</f>
        <v>01136878</v>
      </c>
      <c r="C8826" t="s">
        <v>13436</v>
      </c>
      <c r="D8826" t="s">
        <v>37713</v>
      </c>
      <c r="E8826" t="s">
        <v>37714</v>
      </c>
      <c r="G8826" t="s">
        <v>37715</v>
      </c>
      <c r="L8826" t="s">
        <v>74</v>
      </c>
      <c r="M8826" t="s">
        <v>85</v>
      </c>
      <c r="R8826" t="s">
        <v>37716</v>
      </c>
      <c r="W8826" t="s">
        <v>37717</v>
      </c>
      <c r="X8826" t="s">
        <v>272</v>
      </c>
      <c r="Y8826" t="s">
        <v>97</v>
      </c>
      <c r="Z8826" t="s">
        <v>77</v>
      </c>
      <c r="AA8826" t="str">
        <f>"10029-6501"</f>
        <v>10029-6501</v>
      </c>
      <c r="AB8826" t="s">
        <v>78</v>
      </c>
      <c r="AC8826" t="s">
        <v>79</v>
      </c>
      <c r="AD8826" t="s">
        <v>75</v>
      </c>
      <c r="AE8826" t="s">
        <v>80</v>
      </c>
      <c r="AG8826" t="s">
        <v>81</v>
      </c>
    </row>
    <row r="8827" spans="1:33" x14ac:dyDescent="0.25">
      <c r="A8827" t="str">
        <f>"1457457558"</f>
        <v>1457457558</v>
      </c>
      <c r="B8827" t="str">
        <f>"02805723"</f>
        <v>02805723</v>
      </c>
      <c r="C8827" t="s">
        <v>13436</v>
      </c>
      <c r="D8827" t="s">
        <v>37718</v>
      </c>
      <c r="E8827" t="s">
        <v>37719</v>
      </c>
      <c r="L8827" t="s">
        <v>102</v>
      </c>
      <c r="M8827" t="s">
        <v>75</v>
      </c>
      <c r="R8827" t="s">
        <v>37720</v>
      </c>
      <c r="W8827" t="s">
        <v>37719</v>
      </c>
      <c r="X8827" t="s">
        <v>13521</v>
      </c>
      <c r="Y8827" t="s">
        <v>97</v>
      </c>
      <c r="Z8827" t="s">
        <v>77</v>
      </c>
      <c r="AA8827" t="str">
        <f>"10003-3314"</f>
        <v>10003-3314</v>
      </c>
      <c r="AB8827" t="s">
        <v>78</v>
      </c>
      <c r="AC8827" t="s">
        <v>79</v>
      </c>
      <c r="AD8827" t="s">
        <v>75</v>
      </c>
      <c r="AE8827" t="s">
        <v>80</v>
      </c>
      <c r="AG8827" t="s">
        <v>81</v>
      </c>
    </row>
    <row r="8828" spans="1:33" x14ac:dyDescent="0.25">
      <c r="A8828" t="str">
        <f>"1649503582"</f>
        <v>1649503582</v>
      </c>
      <c r="B8828" t="str">
        <f>"03247147"</f>
        <v>03247147</v>
      </c>
      <c r="C8828" t="s">
        <v>13436</v>
      </c>
      <c r="D8828" t="s">
        <v>37721</v>
      </c>
      <c r="E8828" t="s">
        <v>37722</v>
      </c>
      <c r="G8828" t="s">
        <v>37723</v>
      </c>
      <c r="L8828" t="s">
        <v>74</v>
      </c>
      <c r="M8828" t="s">
        <v>75</v>
      </c>
      <c r="R8828" t="s">
        <v>37724</v>
      </c>
      <c r="W8828" t="s">
        <v>37722</v>
      </c>
      <c r="X8828" t="s">
        <v>191</v>
      </c>
      <c r="Y8828" t="s">
        <v>97</v>
      </c>
      <c r="Z8828" t="s">
        <v>77</v>
      </c>
      <c r="AA8828" t="str">
        <f>"10019-1147"</f>
        <v>10019-1147</v>
      </c>
      <c r="AB8828" t="s">
        <v>78</v>
      </c>
      <c r="AC8828" t="s">
        <v>79</v>
      </c>
      <c r="AD8828" t="s">
        <v>75</v>
      </c>
      <c r="AE8828" t="s">
        <v>80</v>
      </c>
      <c r="AG8828" t="s">
        <v>81</v>
      </c>
    </row>
    <row r="8829" spans="1:33" x14ac:dyDescent="0.25">
      <c r="A8829" t="str">
        <f>"1649513318"</f>
        <v>1649513318</v>
      </c>
      <c r="C8829" t="s">
        <v>13436</v>
      </c>
      <c r="K8829" t="s">
        <v>99</v>
      </c>
      <c r="L8829" t="s">
        <v>102</v>
      </c>
      <c r="M8829" t="s">
        <v>75</v>
      </c>
      <c r="R8829" t="s">
        <v>37725</v>
      </c>
      <c r="S8829" t="s">
        <v>37726</v>
      </c>
      <c r="T8829" t="s">
        <v>1789</v>
      </c>
      <c r="U8829" t="s">
        <v>285</v>
      </c>
      <c r="V8829" t="str">
        <f>"606224932"</f>
        <v>606224932</v>
      </c>
      <c r="AC8829" t="s">
        <v>79</v>
      </c>
      <c r="AD8829" t="s">
        <v>75</v>
      </c>
      <c r="AE8829" t="s">
        <v>103</v>
      </c>
      <c r="AG8829" t="s">
        <v>81</v>
      </c>
    </row>
    <row r="8830" spans="1:33" x14ac:dyDescent="0.25">
      <c r="A8830" t="str">
        <f>"1649522392"</f>
        <v>1649522392</v>
      </c>
      <c r="B8830" t="str">
        <f>"03557742"</f>
        <v>03557742</v>
      </c>
      <c r="C8830" t="s">
        <v>13436</v>
      </c>
      <c r="D8830" t="s">
        <v>37727</v>
      </c>
      <c r="E8830" t="s">
        <v>37728</v>
      </c>
      <c r="G8830" t="s">
        <v>37729</v>
      </c>
      <c r="L8830" t="s">
        <v>83</v>
      </c>
      <c r="M8830" t="s">
        <v>85</v>
      </c>
      <c r="R8830" t="s">
        <v>37730</v>
      </c>
      <c r="W8830" t="s">
        <v>37728</v>
      </c>
      <c r="X8830" t="s">
        <v>329</v>
      </c>
      <c r="Y8830" t="s">
        <v>97</v>
      </c>
      <c r="Z8830" t="s">
        <v>77</v>
      </c>
      <c r="AA8830" t="str">
        <f>"10029-6504"</f>
        <v>10029-6504</v>
      </c>
      <c r="AB8830" t="s">
        <v>78</v>
      </c>
      <c r="AC8830" t="s">
        <v>79</v>
      </c>
      <c r="AD8830" t="s">
        <v>75</v>
      </c>
      <c r="AE8830" t="s">
        <v>80</v>
      </c>
      <c r="AG8830" t="s">
        <v>81</v>
      </c>
    </row>
    <row r="8831" spans="1:33" x14ac:dyDescent="0.25">
      <c r="A8831" t="str">
        <f>"1649536301"</f>
        <v>1649536301</v>
      </c>
      <c r="C8831" t="s">
        <v>13436</v>
      </c>
      <c r="K8831" t="s">
        <v>99</v>
      </c>
      <c r="L8831" t="s">
        <v>102</v>
      </c>
      <c r="M8831" t="s">
        <v>75</v>
      </c>
      <c r="R8831" t="s">
        <v>37731</v>
      </c>
      <c r="S8831" t="s">
        <v>181</v>
      </c>
      <c r="T8831" t="s">
        <v>97</v>
      </c>
      <c r="U8831" t="s">
        <v>77</v>
      </c>
      <c r="V8831" t="str">
        <f>"100251716"</f>
        <v>100251716</v>
      </c>
      <c r="AC8831" t="s">
        <v>79</v>
      </c>
      <c r="AD8831" t="s">
        <v>75</v>
      </c>
      <c r="AE8831" t="s">
        <v>103</v>
      </c>
      <c r="AG8831" t="s">
        <v>81</v>
      </c>
    </row>
    <row r="8832" spans="1:33" x14ac:dyDescent="0.25">
      <c r="A8832" t="str">
        <f>"1154685360"</f>
        <v>1154685360</v>
      </c>
      <c r="B8832" t="str">
        <f>"03821556"</f>
        <v>03821556</v>
      </c>
      <c r="C8832" t="s">
        <v>13436</v>
      </c>
      <c r="D8832" t="s">
        <v>37732</v>
      </c>
      <c r="E8832" t="s">
        <v>37733</v>
      </c>
      <c r="L8832" t="s">
        <v>102</v>
      </c>
      <c r="M8832" t="s">
        <v>75</v>
      </c>
      <c r="R8832" t="s">
        <v>37734</v>
      </c>
      <c r="W8832" t="s">
        <v>37733</v>
      </c>
      <c r="X8832" t="s">
        <v>306</v>
      </c>
      <c r="Y8832" t="s">
        <v>97</v>
      </c>
      <c r="Z8832" t="s">
        <v>77</v>
      </c>
      <c r="AA8832" t="str">
        <f>"10003-4201"</f>
        <v>10003-4201</v>
      </c>
      <c r="AB8832" t="s">
        <v>78</v>
      </c>
      <c r="AC8832" t="s">
        <v>79</v>
      </c>
      <c r="AD8832" t="s">
        <v>75</v>
      </c>
      <c r="AE8832" t="s">
        <v>80</v>
      </c>
      <c r="AG8832" t="s">
        <v>81</v>
      </c>
    </row>
    <row r="8833" spans="1:33" x14ac:dyDescent="0.25">
      <c r="A8833" t="str">
        <f>"1154696326"</f>
        <v>1154696326</v>
      </c>
      <c r="C8833" t="s">
        <v>13436</v>
      </c>
      <c r="K8833" t="s">
        <v>99</v>
      </c>
      <c r="L8833" t="s">
        <v>102</v>
      </c>
      <c r="M8833" t="s">
        <v>75</v>
      </c>
      <c r="R8833" t="s">
        <v>37735</v>
      </c>
      <c r="S8833" t="s">
        <v>37736</v>
      </c>
      <c r="T8833" t="s">
        <v>1795</v>
      </c>
      <c r="U8833" t="s">
        <v>77</v>
      </c>
      <c r="V8833" t="str">
        <f>"123066881"</f>
        <v>123066881</v>
      </c>
      <c r="AC8833" t="s">
        <v>79</v>
      </c>
      <c r="AD8833" t="s">
        <v>75</v>
      </c>
      <c r="AE8833" t="s">
        <v>103</v>
      </c>
      <c r="AG8833" t="s">
        <v>81</v>
      </c>
    </row>
    <row r="8834" spans="1:33" x14ac:dyDescent="0.25">
      <c r="A8834" t="str">
        <f>"1154697472"</f>
        <v>1154697472</v>
      </c>
      <c r="C8834" t="s">
        <v>13436</v>
      </c>
      <c r="K8834" t="s">
        <v>99</v>
      </c>
      <c r="L8834" t="s">
        <v>102</v>
      </c>
      <c r="M8834" t="s">
        <v>75</v>
      </c>
      <c r="R8834" t="s">
        <v>37737</v>
      </c>
      <c r="S8834" t="s">
        <v>3553</v>
      </c>
      <c r="T8834" t="s">
        <v>97</v>
      </c>
      <c r="U8834" t="s">
        <v>77</v>
      </c>
      <c r="V8834" t="str">
        <f>"100033851"</f>
        <v>100033851</v>
      </c>
      <c r="AC8834" t="s">
        <v>79</v>
      </c>
      <c r="AD8834" t="s">
        <v>75</v>
      </c>
      <c r="AE8834" t="s">
        <v>103</v>
      </c>
      <c r="AG8834" t="s">
        <v>81</v>
      </c>
    </row>
    <row r="8835" spans="1:33" x14ac:dyDescent="0.25">
      <c r="A8835" t="str">
        <f>"1154743508"</f>
        <v>1154743508</v>
      </c>
      <c r="C8835" t="s">
        <v>13436</v>
      </c>
      <c r="K8835" t="s">
        <v>99</v>
      </c>
      <c r="L8835" t="s">
        <v>102</v>
      </c>
      <c r="M8835" t="s">
        <v>75</v>
      </c>
      <c r="R8835" t="s">
        <v>37738</v>
      </c>
      <c r="S8835" t="s">
        <v>37739</v>
      </c>
      <c r="T8835" t="s">
        <v>97</v>
      </c>
      <c r="U8835" t="s">
        <v>77</v>
      </c>
      <c r="V8835" t="str">
        <f>"100105820"</f>
        <v>100105820</v>
      </c>
      <c r="AC8835" t="s">
        <v>79</v>
      </c>
      <c r="AD8835" t="s">
        <v>75</v>
      </c>
      <c r="AE8835" t="s">
        <v>103</v>
      </c>
      <c r="AG8835" t="s">
        <v>81</v>
      </c>
    </row>
    <row r="8836" spans="1:33" x14ac:dyDescent="0.25">
      <c r="A8836" t="str">
        <f>"1154748481"</f>
        <v>1154748481</v>
      </c>
      <c r="C8836" t="s">
        <v>13436</v>
      </c>
      <c r="K8836" t="s">
        <v>99</v>
      </c>
      <c r="L8836" t="s">
        <v>102</v>
      </c>
      <c r="M8836" t="s">
        <v>75</v>
      </c>
      <c r="R8836" t="s">
        <v>37740</v>
      </c>
      <c r="S8836" t="s">
        <v>3553</v>
      </c>
      <c r="T8836" t="s">
        <v>97</v>
      </c>
      <c r="U8836" t="s">
        <v>77</v>
      </c>
      <c r="V8836" t="str">
        <f>"100033851"</f>
        <v>100033851</v>
      </c>
      <c r="AC8836" t="s">
        <v>79</v>
      </c>
      <c r="AD8836" t="s">
        <v>75</v>
      </c>
      <c r="AE8836" t="s">
        <v>103</v>
      </c>
      <c r="AG8836" t="s">
        <v>81</v>
      </c>
    </row>
    <row r="8837" spans="1:33" x14ac:dyDescent="0.25">
      <c r="A8837" t="str">
        <f>"1154749281"</f>
        <v>1154749281</v>
      </c>
      <c r="C8837" t="s">
        <v>13436</v>
      </c>
      <c r="K8837" t="s">
        <v>99</v>
      </c>
      <c r="L8837" t="s">
        <v>102</v>
      </c>
      <c r="M8837" t="s">
        <v>75</v>
      </c>
      <c r="R8837" t="s">
        <v>37741</v>
      </c>
      <c r="S8837" t="s">
        <v>4667</v>
      </c>
      <c r="T8837" t="s">
        <v>2262</v>
      </c>
      <c r="U8837" t="s">
        <v>123</v>
      </c>
      <c r="V8837" t="str">
        <f>"021156110"</f>
        <v>021156110</v>
      </c>
      <c r="AC8837" t="s">
        <v>79</v>
      </c>
      <c r="AD8837" t="s">
        <v>75</v>
      </c>
      <c r="AE8837" t="s">
        <v>103</v>
      </c>
      <c r="AG8837" t="s">
        <v>81</v>
      </c>
    </row>
    <row r="8838" spans="1:33" x14ac:dyDescent="0.25">
      <c r="A8838" t="str">
        <f>"1073889705"</f>
        <v>1073889705</v>
      </c>
      <c r="B8838" t="str">
        <f>"04304358"</f>
        <v>04304358</v>
      </c>
      <c r="C8838" t="s">
        <v>13436</v>
      </c>
      <c r="D8838" t="s">
        <v>37742</v>
      </c>
      <c r="E8838" t="s">
        <v>37743</v>
      </c>
      <c r="L8838" t="s">
        <v>74</v>
      </c>
      <c r="M8838" t="s">
        <v>75</v>
      </c>
      <c r="R8838" t="s">
        <v>37744</v>
      </c>
      <c r="W8838" t="s">
        <v>37743</v>
      </c>
      <c r="X8838" t="s">
        <v>191</v>
      </c>
      <c r="Y8838" t="s">
        <v>97</v>
      </c>
      <c r="Z8838" t="s">
        <v>77</v>
      </c>
      <c r="AA8838" t="str">
        <f>"10019-1147"</f>
        <v>10019-1147</v>
      </c>
      <c r="AB8838" t="s">
        <v>78</v>
      </c>
      <c r="AC8838" t="s">
        <v>79</v>
      </c>
      <c r="AD8838" t="s">
        <v>75</v>
      </c>
      <c r="AE8838" t="s">
        <v>80</v>
      </c>
      <c r="AG8838" t="s">
        <v>81</v>
      </c>
    </row>
    <row r="8839" spans="1:33" x14ac:dyDescent="0.25">
      <c r="A8839" t="str">
        <f>"1073923017"</f>
        <v>1073923017</v>
      </c>
      <c r="C8839" t="s">
        <v>13436</v>
      </c>
      <c r="K8839" t="s">
        <v>99</v>
      </c>
      <c r="L8839" t="s">
        <v>102</v>
      </c>
      <c r="M8839" t="s">
        <v>75</v>
      </c>
      <c r="R8839" t="s">
        <v>37745</v>
      </c>
      <c r="S8839" t="s">
        <v>37746</v>
      </c>
      <c r="T8839" t="s">
        <v>131</v>
      </c>
      <c r="U8839" t="s">
        <v>77</v>
      </c>
      <c r="V8839" t="str">
        <f>"104631207"</f>
        <v>104631207</v>
      </c>
      <c r="AC8839" t="s">
        <v>79</v>
      </c>
      <c r="AD8839" t="s">
        <v>75</v>
      </c>
      <c r="AE8839" t="s">
        <v>103</v>
      </c>
      <c r="AG8839" t="s">
        <v>81</v>
      </c>
    </row>
    <row r="8840" spans="1:33" x14ac:dyDescent="0.25">
      <c r="A8840" t="str">
        <f>"1235390832"</f>
        <v>1235390832</v>
      </c>
      <c r="B8840" t="str">
        <f>"03668848"</f>
        <v>03668848</v>
      </c>
      <c r="C8840" t="s">
        <v>13436</v>
      </c>
      <c r="D8840" t="s">
        <v>37747</v>
      </c>
      <c r="E8840" t="s">
        <v>37748</v>
      </c>
      <c r="G8840" t="s">
        <v>37749</v>
      </c>
      <c r="L8840" t="s">
        <v>83</v>
      </c>
      <c r="M8840" t="s">
        <v>85</v>
      </c>
      <c r="R8840" t="s">
        <v>37750</v>
      </c>
      <c r="W8840" t="s">
        <v>37748</v>
      </c>
      <c r="X8840" t="s">
        <v>37751</v>
      </c>
      <c r="Y8840" t="s">
        <v>97</v>
      </c>
      <c r="Z8840" t="s">
        <v>77</v>
      </c>
      <c r="AA8840" t="str">
        <f>"10013-4537"</f>
        <v>10013-4537</v>
      </c>
      <c r="AB8840" t="s">
        <v>78</v>
      </c>
      <c r="AC8840" t="s">
        <v>79</v>
      </c>
      <c r="AD8840" t="s">
        <v>75</v>
      </c>
      <c r="AE8840" t="s">
        <v>80</v>
      </c>
      <c r="AG8840" t="s">
        <v>81</v>
      </c>
    </row>
    <row r="8841" spans="1:33" x14ac:dyDescent="0.25">
      <c r="A8841" t="str">
        <f>"1235395831"</f>
        <v>1235395831</v>
      </c>
      <c r="B8841" t="str">
        <f>"03761539"</f>
        <v>03761539</v>
      </c>
      <c r="C8841" t="s">
        <v>13436</v>
      </c>
      <c r="D8841" t="s">
        <v>37752</v>
      </c>
      <c r="E8841" t="s">
        <v>37753</v>
      </c>
      <c r="G8841" t="s">
        <v>37754</v>
      </c>
      <c r="L8841" t="s">
        <v>102</v>
      </c>
      <c r="M8841" t="s">
        <v>75</v>
      </c>
      <c r="R8841" t="s">
        <v>37755</v>
      </c>
      <c r="W8841" t="s">
        <v>37753</v>
      </c>
      <c r="X8841" t="s">
        <v>329</v>
      </c>
      <c r="Y8841" t="s">
        <v>97</v>
      </c>
      <c r="Z8841" t="s">
        <v>77</v>
      </c>
      <c r="AA8841" t="str">
        <f>"10029-6504"</f>
        <v>10029-6504</v>
      </c>
      <c r="AB8841" t="s">
        <v>78</v>
      </c>
      <c r="AC8841" t="s">
        <v>79</v>
      </c>
      <c r="AD8841" t="s">
        <v>75</v>
      </c>
      <c r="AE8841" t="s">
        <v>80</v>
      </c>
      <c r="AG8841" t="s">
        <v>81</v>
      </c>
    </row>
    <row r="8842" spans="1:33" x14ac:dyDescent="0.25">
      <c r="A8842" t="str">
        <f>"1235399338"</f>
        <v>1235399338</v>
      </c>
      <c r="C8842" t="s">
        <v>13436</v>
      </c>
      <c r="K8842" t="s">
        <v>99</v>
      </c>
      <c r="L8842" t="s">
        <v>102</v>
      </c>
      <c r="M8842" t="s">
        <v>75</v>
      </c>
      <c r="R8842" t="s">
        <v>37756</v>
      </c>
      <c r="S8842" t="s">
        <v>37757</v>
      </c>
      <c r="T8842" t="s">
        <v>1783</v>
      </c>
      <c r="U8842" t="s">
        <v>1784</v>
      </c>
      <c r="V8842" t="str">
        <f>"191044238"</f>
        <v>191044238</v>
      </c>
      <c r="AC8842" t="s">
        <v>79</v>
      </c>
      <c r="AD8842" t="s">
        <v>75</v>
      </c>
      <c r="AE8842" t="s">
        <v>103</v>
      </c>
      <c r="AG8842" t="s">
        <v>81</v>
      </c>
    </row>
    <row r="8843" spans="1:33" x14ac:dyDescent="0.25">
      <c r="A8843" t="str">
        <f>"1235404484"</f>
        <v>1235404484</v>
      </c>
      <c r="B8843" t="str">
        <f>"04244368"</f>
        <v>04244368</v>
      </c>
      <c r="C8843" t="s">
        <v>13436</v>
      </c>
      <c r="D8843" t="s">
        <v>37758</v>
      </c>
      <c r="E8843" t="s">
        <v>37759</v>
      </c>
      <c r="L8843" t="s">
        <v>74</v>
      </c>
      <c r="M8843" t="s">
        <v>75</v>
      </c>
      <c r="R8843" t="s">
        <v>37760</v>
      </c>
      <c r="W8843" t="s">
        <v>37759</v>
      </c>
      <c r="X8843" t="s">
        <v>1216</v>
      </c>
      <c r="Y8843" t="s">
        <v>97</v>
      </c>
      <c r="Z8843" t="s">
        <v>77</v>
      </c>
      <c r="AA8843" t="str">
        <f>"10032-1559"</f>
        <v>10032-1559</v>
      </c>
      <c r="AB8843" t="s">
        <v>78</v>
      </c>
      <c r="AC8843" t="s">
        <v>79</v>
      </c>
      <c r="AD8843" t="s">
        <v>75</v>
      </c>
      <c r="AE8843" t="s">
        <v>80</v>
      </c>
      <c r="AG8843" t="s">
        <v>81</v>
      </c>
    </row>
    <row r="8844" spans="1:33" x14ac:dyDescent="0.25">
      <c r="A8844" t="str">
        <f>"1235404559"</f>
        <v>1235404559</v>
      </c>
      <c r="C8844" t="s">
        <v>13436</v>
      </c>
      <c r="K8844" t="s">
        <v>99</v>
      </c>
      <c r="L8844" t="s">
        <v>102</v>
      </c>
      <c r="M8844" t="s">
        <v>75</v>
      </c>
      <c r="R8844" t="s">
        <v>37761</v>
      </c>
      <c r="S8844" t="s">
        <v>37762</v>
      </c>
      <c r="T8844" t="s">
        <v>87</v>
      </c>
      <c r="U8844" t="s">
        <v>77</v>
      </c>
      <c r="V8844" t="str">
        <f>"112103610"</f>
        <v>112103610</v>
      </c>
      <c r="AC8844" t="s">
        <v>79</v>
      </c>
      <c r="AD8844" t="s">
        <v>75</v>
      </c>
      <c r="AE8844" t="s">
        <v>103</v>
      </c>
      <c r="AG8844" t="s">
        <v>81</v>
      </c>
    </row>
    <row r="8845" spans="1:33" x14ac:dyDescent="0.25">
      <c r="A8845" t="str">
        <f>"1023044492"</f>
        <v>1023044492</v>
      </c>
      <c r="B8845" t="str">
        <f>"02711195"</f>
        <v>02711195</v>
      </c>
      <c r="C8845" t="s">
        <v>13436</v>
      </c>
      <c r="D8845" t="s">
        <v>37763</v>
      </c>
      <c r="E8845" t="s">
        <v>37764</v>
      </c>
      <c r="G8845" t="s">
        <v>37765</v>
      </c>
      <c r="L8845" t="s">
        <v>102</v>
      </c>
      <c r="M8845" t="s">
        <v>75</v>
      </c>
      <c r="R8845" t="s">
        <v>37766</v>
      </c>
      <c r="W8845" t="s">
        <v>37764</v>
      </c>
      <c r="X8845" t="s">
        <v>527</v>
      </c>
      <c r="Y8845" t="s">
        <v>87</v>
      </c>
      <c r="Z8845" t="s">
        <v>77</v>
      </c>
      <c r="AA8845" t="str">
        <f>"11207-2420"</f>
        <v>11207-2420</v>
      </c>
      <c r="AB8845" t="s">
        <v>78</v>
      </c>
      <c r="AC8845" t="s">
        <v>79</v>
      </c>
      <c r="AD8845" t="s">
        <v>75</v>
      </c>
      <c r="AE8845" t="s">
        <v>80</v>
      </c>
      <c r="AG8845" t="s">
        <v>81</v>
      </c>
    </row>
    <row r="8846" spans="1:33" x14ac:dyDescent="0.25">
      <c r="A8846" t="str">
        <f>"1023048253"</f>
        <v>1023048253</v>
      </c>
      <c r="B8846" t="str">
        <f>"03190883"</f>
        <v>03190883</v>
      </c>
      <c r="C8846" t="s">
        <v>13436</v>
      </c>
      <c r="D8846" t="s">
        <v>37767</v>
      </c>
      <c r="E8846" t="s">
        <v>37768</v>
      </c>
      <c r="G8846" t="s">
        <v>37769</v>
      </c>
      <c r="L8846" t="s">
        <v>83</v>
      </c>
      <c r="M8846" t="s">
        <v>85</v>
      </c>
      <c r="R8846" t="s">
        <v>37768</v>
      </c>
      <c r="W8846" t="s">
        <v>37770</v>
      </c>
      <c r="X8846" t="s">
        <v>37771</v>
      </c>
      <c r="Y8846" t="s">
        <v>97</v>
      </c>
      <c r="Z8846" t="s">
        <v>77</v>
      </c>
      <c r="AA8846" t="str">
        <f>"10029-0000"</f>
        <v>10029-0000</v>
      </c>
      <c r="AB8846" t="s">
        <v>78</v>
      </c>
      <c r="AC8846" t="s">
        <v>79</v>
      </c>
      <c r="AD8846" t="s">
        <v>75</v>
      </c>
      <c r="AE8846" t="s">
        <v>80</v>
      </c>
      <c r="AG8846" t="s">
        <v>81</v>
      </c>
    </row>
    <row r="8847" spans="1:33" x14ac:dyDescent="0.25">
      <c r="A8847" t="str">
        <f>"1023066198"</f>
        <v>1023066198</v>
      </c>
      <c r="B8847" t="str">
        <f>"01858704"</f>
        <v>01858704</v>
      </c>
      <c r="C8847" t="s">
        <v>13436</v>
      </c>
      <c r="D8847" t="s">
        <v>37772</v>
      </c>
      <c r="E8847" t="s">
        <v>37773</v>
      </c>
      <c r="G8847" t="s">
        <v>37774</v>
      </c>
      <c r="L8847" t="s">
        <v>83</v>
      </c>
      <c r="M8847" t="s">
        <v>85</v>
      </c>
      <c r="R8847" t="s">
        <v>37775</v>
      </c>
      <c r="W8847" t="s">
        <v>37773</v>
      </c>
      <c r="X8847" t="s">
        <v>329</v>
      </c>
      <c r="Y8847" t="s">
        <v>97</v>
      </c>
      <c r="Z8847" t="s">
        <v>77</v>
      </c>
      <c r="AA8847" t="str">
        <f>"10029-6500"</f>
        <v>10029-6500</v>
      </c>
      <c r="AB8847" t="s">
        <v>78</v>
      </c>
      <c r="AC8847" t="s">
        <v>79</v>
      </c>
      <c r="AD8847" t="s">
        <v>75</v>
      </c>
      <c r="AE8847" t="s">
        <v>80</v>
      </c>
      <c r="AG8847" t="s">
        <v>81</v>
      </c>
    </row>
    <row r="8848" spans="1:33" x14ac:dyDescent="0.25">
      <c r="A8848" t="str">
        <f>"1316195514"</f>
        <v>1316195514</v>
      </c>
      <c r="B8848" t="str">
        <f>"03486188"</f>
        <v>03486188</v>
      </c>
      <c r="C8848" t="s">
        <v>37776</v>
      </c>
      <c r="D8848" t="s">
        <v>37777</v>
      </c>
      <c r="E8848" t="s">
        <v>37778</v>
      </c>
      <c r="H8848" t="s">
        <v>37779</v>
      </c>
      <c r="J8848" t="s">
        <v>37780</v>
      </c>
      <c r="L8848" t="s">
        <v>105</v>
      </c>
      <c r="M8848" t="s">
        <v>85</v>
      </c>
      <c r="R8848" t="s">
        <v>37781</v>
      </c>
      <c r="W8848" t="s">
        <v>37778</v>
      </c>
      <c r="X8848" t="s">
        <v>37782</v>
      </c>
      <c r="Y8848" t="s">
        <v>97</v>
      </c>
      <c r="Z8848" t="s">
        <v>77</v>
      </c>
      <c r="AA8848" t="str">
        <f>"10035-1316"</f>
        <v>10035-1316</v>
      </c>
      <c r="AB8848" t="s">
        <v>78</v>
      </c>
      <c r="AC8848" t="s">
        <v>79</v>
      </c>
      <c r="AD8848" t="s">
        <v>75</v>
      </c>
      <c r="AE8848" t="s">
        <v>80</v>
      </c>
      <c r="AG8848" t="s">
        <v>81</v>
      </c>
    </row>
    <row r="8849" spans="1:33" x14ac:dyDescent="0.25">
      <c r="A8849" t="str">
        <f>"1265750889"</f>
        <v>1265750889</v>
      </c>
      <c r="C8849" t="s">
        <v>13436</v>
      </c>
      <c r="G8849" t="s">
        <v>37783</v>
      </c>
      <c r="K8849" t="s">
        <v>99</v>
      </c>
      <c r="L8849" t="s">
        <v>102</v>
      </c>
      <c r="M8849" t="s">
        <v>75</v>
      </c>
      <c r="R8849" t="s">
        <v>37784</v>
      </c>
      <c r="S8849" t="s">
        <v>37785</v>
      </c>
      <c r="T8849" t="s">
        <v>97</v>
      </c>
      <c r="U8849" t="s">
        <v>77</v>
      </c>
      <c r="V8849" t="str">
        <f>"10019"</f>
        <v>10019</v>
      </c>
      <c r="AC8849" t="s">
        <v>79</v>
      </c>
      <c r="AD8849" t="s">
        <v>75</v>
      </c>
      <c r="AE8849" t="s">
        <v>103</v>
      </c>
      <c r="AG8849" t="s">
        <v>81</v>
      </c>
    </row>
    <row r="8850" spans="1:33" x14ac:dyDescent="0.25">
      <c r="A8850" t="str">
        <f>"1265765960"</f>
        <v>1265765960</v>
      </c>
      <c r="B8850" t="str">
        <f>"04185315"</f>
        <v>04185315</v>
      </c>
      <c r="C8850" t="s">
        <v>13436</v>
      </c>
      <c r="D8850" t="s">
        <v>37786</v>
      </c>
      <c r="E8850" t="s">
        <v>37787</v>
      </c>
      <c r="L8850" t="s">
        <v>74</v>
      </c>
      <c r="M8850" t="s">
        <v>75</v>
      </c>
      <c r="R8850" t="s">
        <v>37788</v>
      </c>
      <c r="W8850" t="s">
        <v>37787</v>
      </c>
      <c r="X8850" t="s">
        <v>191</v>
      </c>
      <c r="Y8850" t="s">
        <v>97</v>
      </c>
      <c r="Z8850" t="s">
        <v>77</v>
      </c>
      <c r="AA8850" t="str">
        <f>"10019-1147"</f>
        <v>10019-1147</v>
      </c>
      <c r="AB8850" t="s">
        <v>78</v>
      </c>
      <c r="AC8850" t="s">
        <v>79</v>
      </c>
      <c r="AD8850" t="s">
        <v>75</v>
      </c>
      <c r="AE8850" t="s">
        <v>80</v>
      </c>
      <c r="AG8850" t="s">
        <v>81</v>
      </c>
    </row>
    <row r="8851" spans="1:33" x14ac:dyDescent="0.25">
      <c r="A8851" t="str">
        <f>"1225132582"</f>
        <v>1225132582</v>
      </c>
      <c r="B8851" t="str">
        <f>"01191753"</f>
        <v>01191753</v>
      </c>
      <c r="C8851" t="s">
        <v>13436</v>
      </c>
      <c r="D8851" t="s">
        <v>37789</v>
      </c>
      <c r="E8851" t="s">
        <v>37790</v>
      </c>
      <c r="G8851" t="s">
        <v>37791</v>
      </c>
      <c r="L8851" t="s">
        <v>74</v>
      </c>
      <c r="M8851" t="s">
        <v>85</v>
      </c>
      <c r="R8851" t="s">
        <v>37792</v>
      </c>
      <c r="W8851" t="s">
        <v>37793</v>
      </c>
      <c r="X8851" t="s">
        <v>2926</v>
      </c>
      <c r="Y8851" t="s">
        <v>97</v>
      </c>
      <c r="Z8851" t="s">
        <v>77</v>
      </c>
      <c r="AA8851" t="str">
        <f>"10029-6503"</f>
        <v>10029-6503</v>
      </c>
      <c r="AB8851" t="s">
        <v>78</v>
      </c>
      <c r="AC8851" t="s">
        <v>79</v>
      </c>
      <c r="AD8851" t="s">
        <v>75</v>
      </c>
      <c r="AE8851" t="s">
        <v>80</v>
      </c>
      <c r="AG8851" t="s">
        <v>81</v>
      </c>
    </row>
    <row r="8852" spans="1:33" x14ac:dyDescent="0.25">
      <c r="A8852" t="str">
        <f>"1225151665"</f>
        <v>1225151665</v>
      </c>
      <c r="B8852" t="str">
        <f>"03610299"</f>
        <v>03610299</v>
      </c>
      <c r="C8852" t="s">
        <v>13436</v>
      </c>
      <c r="D8852" t="s">
        <v>37794</v>
      </c>
      <c r="E8852" t="s">
        <v>37795</v>
      </c>
      <c r="L8852" t="s">
        <v>74</v>
      </c>
      <c r="M8852" t="s">
        <v>85</v>
      </c>
      <c r="R8852" t="s">
        <v>37796</v>
      </c>
      <c r="W8852" t="s">
        <v>37795</v>
      </c>
      <c r="X8852" t="s">
        <v>329</v>
      </c>
      <c r="Y8852" t="s">
        <v>97</v>
      </c>
      <c r="Z8852" t="s">
        <v>77</v>
      </c>
      <c r="AA8852" t="str">
        <f>"10029-6504"</f>
        <v>10029-6504</v>
      </c>
      <c r="AB8852" t="s">
        <v>78</v>
      </c>
      <c r="AC8852" t="s">
        <v>79</v>
      </c>
      <c r="AD8852" t="s">
        <v>75</v>
      </c>
      <c r="AE8852" t="s">
        <v>80</v>
      </c>
      <c r="AG8852" t="s">
        <v>81</v>
      </c>
    </row>
    <row r="8853" spans="1:33" x14ac:dyDescent="0.25">
      <c r="A8853" t="str">
        <f>"1225207293"</f>
        <v>1225207293</v>
      </c>
      <c r="C8853" t="s">
        <v>13436</v>
      </c>
      <c r="G8853" t="s">
        <v>37797</v>
      </c>
      <c r="K8853" t="s">
        <v>99</v>
      </c>
      <c r="L8853" t="s">
        <v>102</v>
      </c>
      <c r="M8853" t="s">
        <v>75</v>
      </c>
      <c r="R8853" t="s">
        <v>37798</v>
      </c>
      <c r="S8853" t="s">
        <v>329</v>
      </c>
      <c r="T8853" t="s">
        <v>97</v>
      </c>
      <c r="U8853" t="s">
        <v>77</v>
      </c>
      <c r="V8853" t="str">
        <f>"100296500"</f>
        <v>100296500</v>
      </c>
      <c r="AC8853" t="s">
        <v>79</v>
      </c>
      <c r="AD8853" t="s">
        <v>75</v>
      </c>
      <c r="AE8853" t="s">
        <v>103</v>
      </c>
      <c r="AG8853" t="s">
        <v>81</v>
      </c>
    </row>
    <row r="8854" spans="1:33" x14ac:dyDescent="0.25">
      <c r="A8854" t="str">
        <f>"1225220023"</f>
        <v>1225220023</v>
      </c>
      <c r="B8854" t="str">
        <f>"02936125"</f>
        <v>02936125</v>
      </c>
      <c r="C8854" t="s">
        <v>13436</v>
      </c>
      <c r="D8854" t="s">
        <v>5706</v>
      </c>
      <c r="E8854" t="s">
        <v>5707</v>
      </c>
      <c r="L8854" t="s">
        <v>94</v>
      </c>
      <c r="M8854" t="s">
        <v>75</v>
      </c>
      <c r="R8854" t="s">
        <v>5708</v>
      </c>
      <c r="W8854" t="s">
        <v>5707</v>
      </c>
      <c r="X8854" t="s">
        <v>88</v>
      </c>
      <c r="Y8854" t="s">
        <v>89</v>
      </c>
      <c r="Z8854" t="s">
        <v>77</v>
      </c>
      <c r="AA8854" t="str">
        <f>"13905-4246"</f>
        <v>13905-4246</v>
      </c>
      <c r="AB8854" t="s">
        <v>78</v>
      </c>
      <c r="AC8854" t="s">
        <v>79</v>
      </c>
      <c r="AD8854" t="s">
        <v>75</v>
      </c>
      <c r="AE8854" t="s">
        <v>80</v>
      </c>
      <c r="AG8854" t="s">
        <v>81</v>
      </c>
    </row>
    <row r="8855" spans="1:33" x14ac:dyDescent="0.25">
      <c r="A8855" t="str">
        <f>"1346436052"</f>
        <v>1346436052</v>
      </c>
      <c r="B8855" t="str">
        <f>"04006117"</f>
        <v>04006117</v>
      </c>
      <c r="C8855" t="s">
        <v>13436</v>
      </c>
      <c r="D8855" t="s">
        <v>37799</v>
      </c>
      <c r="E8855" t="s">
        <v>37800</v>
      </c>
      <c r="L8855" t="s">
        <v>74</v>
      </c>
      <c r="M8855" t="s">
        <v>75</v>
      </c>
      <c r="R8855" t="s">
        <v>37801</v>
      </c>
      <c r="W8855" t="s">
        <v>37800</v>
      </c>
      <c r="X8855" t="s">
        <v>3433</v>
      </c>
      <c r="Y8855" t="s">
        <v>97</v>
      </c>
      <c r="Z8855" t="s">
        <v>77</v>
      </c>
      <c r="AA8855" t="str">
        <f>"10003-3805"</f>
        <v>10003-3805</v>
      </c>
      <c r="AB8855" t="s">
        <v>78</v>
      </c>
      <c r="AC8855" t="s">
        <v>79</v>
      </c>
      <c r="AD8855" t="s">
        <v>75</v>
      </c>
      <c r="AE8855" t="s">
        <v>80</v>
      </c>
      <c r="AG8855" t="s">
        <v>81</v>
      </c>
    </row>
    <row r="8856" spans="1:33" x14ac:dyDescent="0.25">
      <c r="A8856" t="str">
        <f>"1346453859"</f>
        <v>1346453859</v>
      </c>
      <c r="B8856" t="str">
        <f>"02881372"</f>
        <v>02881372</v>
      </c>
      <c r="C8856" t="s">
        <v>13436</v>
      </c>
      <c r="D8856" t="s">
        <v>37802</v>
      </c>
      <c r="E8856" t="s">
        <v>37803</v>
      </c>
      <c r="G8856" t="s">
        <v>37804</v>
      </c>
      <c r="L8856" t="s">
        <v>74</v>
      </c>
      <c r="M8856" t="s">
        <v>85</v>
      </c>
      <c r="R8856" t="s">
        <v>37805</v>
      </c>
      <c r="W8856" t="s">
        <v>37806</v>
      </c>
      <c r="X8856" t="s">
        <v>835</v>
      </c>
      <c r="Y8856" t="s">
        <v>97</v>
      </c>
      <c r="Z8856" t="s">
        <v>77</v>
      </c>
      <c r="AA8856" t="str">
        <f>"10029-6501"</f>
        <v>10029-6501</v>
      </c>
      <c r="AB8856" t="s">
        <v>78</v>
      </c>
      <c r="AC8856" t="s">
        <v>79</v>
      </c>
      <c r="AD8856" t="s">
        <v>75</v>
      </c>
      <c r="AE8856" t="s">
        <v>80</v>
      </c>
      <c r="AG8856" t="s">
        <v>81</v>
      </c>
    </row>
    <row r="8857" spans="1:33" x14ac:dyDescent="0.25">
      <c r="A8857" t="str">
        <f>"1346479904"</f>
        <v>1346479904</v>
      </c>
      <c r="C8857" t="s">
        <v>13436</v>
      </c>
      <c r="K8857" t="s">
        <v>99</v>
      </c>
      <c r="L8857" t="s">
        <v>102</v>
      </c>
      <c r="M8857" t="s">
        <v>75</v>
      </c>
      <c r="R8857" t="s">
        <v>37807</v>
      </c>
      <c r="S8857" t="s">
        <v>37808</v>
      </c>
      <c r="T8857" t="s">
        <v>13547</v>
      </c>
      <c r="U8857" t="s">
        <v>4619</v>
      </c>
      <c r="V8857" t="str">
        <f>"35294"</f>
        <v>35294</v>
      </c>
      <c r="AC8857" t="s">
        <v>79</v>
      </c>
      <c r="AD8857" t="s">
        <v>75</v>
      </c>
      <c r="AE8857" t="s">
        <v>103</v>
      </c>
      <c r="AG8857" t="s">
        <v>81</v>
      </c>
    </row>
    <row r="8858" spans="1:33" x14ac:dyDescent="0.25">
      <c r="A8858" t="str">
        <f>"1346490737"</f>
        <v>1346490737</v>
      </c>
      <c r="B8858" t="str">
        <f>"03789071"</f>
        <v>03789071</v>
      </c>
      <c r="C8858" t="s">
        <v>13436</v>
      </c>
      <c r="D8858" t="s">
        <v>37809</v>
      </c>
      <c r="E8858" t="s">
        <v>37810</v>
      </c>
      <c r="G8858" t="s">
        <v>37811</v>
      </c>
      <c r="L8858" t="s">
        <v>74</v>
      </c>
      <c r="M8858" t="s">
        <v>75</v>
      </c>
      <c r="R8858" t="s">
        <v>37812</v>
      </c>
      <c r="W8858" t="s">
        <v>37810</v>
      </c>
      <c r="X8858" t="s">
        <v>37813</v>
      </c>
      <c r="Y8858" t="s">
        <v>97</v>
      </c>
      <c r="Z8858" t="s">
        <v>77</v>
      </c>
      <c r="AA8858" t="str">
        <f>"10029-6574"</f>
        <v>10029-6574</v>
      </c>
      <c r="AB8858" t="s">
        <v>78</v>
      </c>
      <c r="AC8858" t="s">
        <v>79</v>
      </c>
      <c r="AD8858" t="s">
        <v>75</v>
      </c>
      <c r="AE8858" t="s">
        <v>80</v>
      </c>
      <c r="AG8858" t="s">
        <v>81</v>
      </c>
    </row>
    <row r="8859" spans="1:33" x14ac:dyDescent="0.25">
      <c r="A8859" t="str">
        <f>"1346497773"</f>
        <v>1346497773</v>
      </c>
      <c r="B8859" t="str">
        <f>"03016846"</f>
        <v>03016846</v>
      </c>
      <c r="C8859" t="s">
        <v>13436</v>
      </c>
      <c r="D8859" t="s">
        <v>37814</v>
      </c>
      <c r="E8859" t="s">
        <v>37815</v>
      </c>
      <c r="L8859" t="s">
        <v>84</v>
      </c>
      <c r="M8859" t="s">
        <v>75</v>
      </c>
      <c r="R8859" t="s">
        <v>37816</v>
      </c>
      <c r="W8859" t="s">
        <v>37815</v>
      </c>
      <c r="X8859" t="s">
        <v>37817</v>
      </c>
      <c r="Y8859" t="s">
        <v>87</v>
      </c>
      <c r="Z8859" t="s">
        <v>77</v>
      </c>
      <c r="AA8859" t="str">
        <f>"11235-3914"</f>
        <v>11235-3914</v>
      </c>
      <c r="AB8859" t="s">
        <v>78</v>
      </c>
      <c r="AC8859" t="s">
        <v>79</v>
      </c>
      <c r="AD8859" t="s">
        <v>75</v>
      </c>
      <c r="AE8859" t="s">
        <v>80</v>
      </c>
      <c r="AG8859" t="s">
        <v>81</v>
      </c>
    </row>
    <row r="8860" spans="1:33" x14ac:dyDescent="0.25">
      <c r="A8860" t="str">
        <f>"1568505287"</f>
        <v>1568505287</v>
      </c>
      <c r="B8860" t="str">
        <f>"03417434"</f>
        <v>03417434</v>
      </c>
      <c r="C8860" t="s">
        <v>13436</v>
      </c>
      <c r="D8860" t="s">
        <v>37818</v>
      </c>
      <c r="E8860" t="s">
        <v>37819</v>
      </c>
      <c r="G8860" t="s">
        <v>37820</v>
      </c>
      <c r="L8860" t="s">
        <v>83</v>
      </c>
      <c r="M8860" t="s">
        <v>85</v>
      </c>
      <c r="R8860" t="s">
        <v>37821</v>
      </c>
      <c r="W8860" t="s">
        <v>37819</v>
      </c>
      <c r="X8860" t="s">
        <v>4029</v>
      </c>
      <c r="Y8860" t="s">
        <v>97</v>
      </c>
      <c r="Z8860" t="s">
        <v>77</v>
      </c>
      <c r="AA8860" t="str">
        <f>"10029-6503"</f>
        <v>10029-6503</v>
      </c>
      <c r="AB8860" t="s">
        <v>78</v>
      </c>
      <c r="AC8860" t="s">
        <v>79</v>
      </c>
      <c r="AD8860" t="s">
        <v>75</v>
      </c>
      <c r="AE8860" t="s">
        <v>80</v>
      </c>
      <c r="AG8860" t="s">
        <v>81</v>
      </c>
    </row>
    <row r="8861" spans="1:33" x14ac:dyDescent="0.25">
      <c r="A8861" t="str">
        <f>"1568526879"</f>
        <v>1568526879</v>
      </c>
      <c r="C8861" t="s">
        <v>13436</v>
      </c>
      <c r="G8861" t="s">
        <v>37822</v>
      </c>
      <c r="K8861" t="s">
        <v>99</v>
      </c>
      <c r="L8861" t="s">
        <v>102</v>
      </c>
      <c r="M8861" t="s">
        <v>75</v>
      </c>
      <c r="R8861" t="s">
        <v>37823</v>
      </c>
      <c r="S8861" t="s">
        <v>11964</v>
      </c>
      <c r="T8861" t="s">
        <v>4606</v>
      </c>
      <c r="U8861" t="s">
        <v>3878</v>
      </c>
      <c r="V8861" t="str">
        <f>"753907208"</f>
        <v>753907208</v>
      </c>
      <c r="AC8861" t="s">
        <v>79</v>
      </c>
      <c r="AD8861" t="s">
        <v>75</v>
      </c>
      <c r="AE8861" t="s">
        <v>103</v>
      </c>
      <c r="AG8861" t="s">
        <v>81</v>
      </c>
    </row>
    <row r="8862" spans="1:33" x14ac:dyDescent="0.25">
      <c r="A8862" t="str">
        <f>"1568529865"</f>
        <v>1568529865</v>
      </c>
      <c r="B8862" t="str">
        <f>"02194723"</f>
        <v>02194723</v>
      </c>
      <c r="C8862" t="s">
        <v>13436</v>
      </c>
      <c r="D8862" t="s">
        <v>37824</v>
      </c>
      <c r="E8862" t="s">
        <v>37825</v>
      </c>
      <c r="G8862" t="s">
        <v>37826</v>
      </c>
      <c r="L8862" t="s">
        <v>84</v>
      </c>
      <c r="M8862" t="s">
        <v>85</v>
      </c>
      <c r="R8862" t="s">
        <v>37827</v>
      </c>
      <c r="W8862" t="s">
        <v>37825</v>
      </c>
      <c r="Y8862" t="s">
        <v>97</v>
      </c>
      <c r="Z8862" t="s">
        <v>77</v>
      </c>
      <c r="AA8862" t="str">
        <f>"10029-6503"</f>
        <v>10029-6503</v>
      </c>
      <c r="AB8862" t="s">
        <v>78</v>
      </c>
      <c r="AC8862" t="s">
        <v>79</v>
      </c>
      <c r="AD8862" t="s">
        <v>75</v>
      </c>
      <c r="AE8862" t="s">
        <v>80</v>
      </c>
      <c r="AG8862" t="s">
        <v>81</v>
      </c>
    </row>
    <row r="8863" spans="1:33" x14ac:dyDescent="0.25">
      <c r="A8863" t="str">
        <f>"1467427278"</f>
        <v>1467427278</v>
      </c>
      <c r="B8863" t="str">
        <f>"02781955"</f>
        <v>02781955</v>
      </c>
      <c r="C8863" t="s">
        <v>13436</v>
      </c>
      <c r="D8863" t="s">
        <v>37828</v>
      </c>
      <c r="E8863" t="s">
        <v>37829</v>
      </c>
      <c r="G8863" t="s">
        <v>37830</v>
      </c>
      <c r="L8863" t="s">
        <v>74</v>
      </c>
      <c r="M8863" t="s">
        <v>75</v>
      </c>
      <c r="R8863" t="s">
        <v>37831</v>
      </c>
      <c r="W8863" t="s">
        <v>37829</v>
      </c>
      <c r="X8863" t="s">
        <v>37832</v>
      </c>
      <c r="Y8863" t="s">
        <v>97</v>
      </c>
      <c r="Z8863" t="s">
        <v>77</v>
      </c>
      <c r="AA8863" t="str">
        <f>"10029"</f>
        <v>10029</v>
      </c>
      <c r="AB8863" t="s">
        <v>78</v>
      </c>
      <c r="AC8863" t="s">
        <v>79</v>
      </c>
      <c r="AD8863" t="s">
        <v>75</v>
      </c>
      <c r="AE8863" t="s">
        <v>80</v>
      </c>
      <c r="AG8863" t="s">
        <v>81</v>
      </c>
    </row>
    <row r="8864" spans="1:33" x14ac:dyDescent="0.25">
      <c r="A8864" t="str">
        <f>"1053675397"</f>
        <v>1053675397</v>
      </c>
      <c r="C8864" t="s">
        <v>13436</v>
      </c>
      <c r="G8864" t="s">
        <v>37833</v>
      </c>
      <c r="K8864" t="s">
        <v>99</v>
      </c>
      <c r="L8864" t="s">
        <v>102</v>
      </c>
      <c r="M8864" t="s">
        <v>75</v>
      </c>
      <c r="R8864" t="s">
        <v>37834</v>
      </c>
      <c r="S8864" t="s">
        <v>37835</v>
      </c>
      <c r="T8864" t="s">
        <v>4749</v>
      </c>
      <c r="U8864" t="s">
        <v>156</v>
      </c>
      <c r="V8864" t="str">
        <f>"070932805"</f>
        <v>070932805</v>
      </c>
      <c r="AC8864" t="s">
        <v>79</v>
      </c>
      <c r="AD8864" t="s">
        <v>75</v>
      </c>
      <c r="AE8864" t="s">
        <v>103</v>
      </c>
      <c r="AG8864" t="s">
        <v>81</v>
      </c>
    </row>
    <row r="8865" spans="1:33" x14ac:dyDescent="0.25">
      <c r="A8865" t="str">
        <f>"1053677435"</f>
        <v>1053677435</v>
      </c>
      <c r="B8865" t="str">
        <f>"04498660"</f>
        <v>04498660</v>
      </c>
      <c r="C8865" t="s">
        <v>13436</v>
      </c>
      <c r="D8865" t="s">
        <v>37836</v>
      </c>
      <c r="E8865" t="s">
        <v>37837</v>
      </c>
      <c r="L8865" t="s">
        <v>102</v>
      </c>
      <c r="M8865" t="s">
        <v>75</v>
      </c>
      <c r="R8865" t="s">
        <v>37838</v>
      </c>
      <c r="W8865" t="s">
        <v>37837</v>
      </c>
      <c r="AB8865" t="s">
        <v>78</v>
      </c>
      <c r="AC8865" t="s">
        <v>79</v>
      </c>
      <c r="AD8865" t="s">
        <v>75</v>
      </c>
      <c r="AE8865" t="s">
        <v>80</v>
      </c>
      <c r="AG8865" t="s">
        <v>81</v>
      </c>
    </row>
    <row r="8866" spans="1:33" x14ac:dyDescent="0.25">
      <c r="A8866" t="str">
        <f>"1053678219"</f>
        <v>1053678219</v>
      </c>
      <c r="C8866" t="s">
        <v>13436</v>
      </c>
      <c r="K8866" t="s">
        <v>99</v>
      </c>
      <c r="L8866" t="s">
        <v>74</v>
      </c>
      <c r="M8866" t="s">
        <v>75</v>
      </c>
      <c r="R8866" t="s">
        <v>5912</v>
      </c>
      <c r="S8866" t="s">
        <v>329</v>
      </c>
      <c r="T8866" t="s">
        <v>97</v>
      </c>
      <c r="U8866" t="s">
        <v>77</v>
      </c>
      <c r="V8866" t="str">
        <f>"100296500"</f>
        <v>100296500</v>
      </c>
      <c r="AC8866" t="s">
        <v>79</v>
      </c>
      <c r="AD8866" t="s">
        <v>75</v>
      </c>
      <c r="AE8866" t="s">
        <v>103</v>
      </c>
      <c r="AG8866" t="s">
        <v>81</v>
      </c>
    </row>
    <row r="8867" spans="1:33" x14ac:dyDescent="0.25">
      <c r="C8867" t="s">
        <v>37839</v>
      </c>
      <c r="G8867" t="s">
        <v>36840</v>
      </c>
      <c r="H8867" t="s">
        <v>36841</v>
      </c>
      <c r="J8867" t="s">
        <v>36842</v>
      </c>
      <c r="K8867" t="s">
        <v>99</v>
      </c>
      <c r="L8867" t="s">
        <v>100</v>
      </c>
      <c r="M8867" t="s">
        <v>75</v>
      </c>
      <c r="N8867" t="s">
        <v>6410</v>
      </c>
      <c r="O8867" t="s">
        <v>77</v>
      </c>
      <c r="P8867">
        <v>10027</v>
      </c>
      <c r="AC8867" t="s">
        <v>79</v>
      </c>
      <c r="AD8867" t="s">
        <v>75</v>
      </c>
      <c r="AE8867" t="s">
        <v>101</v>
      </c>
      <c r="AG8867" t="s">
        <v>81</v>
      </c>
    </row>
    <row r="8868" spans="1:33" x14ac:dyDescent="0.25">
      <c r="C8868" t="s">
        <v>37840</v>
      </c>
      <c r="G8868" t="s">
        <v>36840</v>
      </c>
      <c r="H8868" t="s">
        <v>36841</v>
      </c>
      <c r="J8868" t="s">
        <v>36842</v>
      </c>
      <c r="K8868" t="s">
        <v>99</v>
      </c>
      <c r="L8868" t="s">
        <v>100</v>
      </c>
      <c r="M8868" t="s">
        <v>75</v>
      </c>
      <c r="N8868" t="s">
        <v>6410</v>
      </c>
      <c r="O8868" t="s">
        <v>77</v>
      </c>
      <c r="P8868">
        <v>10027</v>
      </c>
      <c r="AC8868" t="s">
        <v>79</v>
      </c>
      <c r="AD8868" t="s">
        <v>75</v>
      </c>
      <c r="AE8868" t="s">
        <v>101</v>
      </c>
      <c r="AG8868" t="s">
        <v>81</v>
      </c>
    </row>
    <row r="8869" spans="1:33" x14ac:dyDescent="0.25">
      <c r="C8869" t="s">
        <v>37841</v>
      </c>
      <c r="G8869" t="s">
        <v>36840</v>
      </c>
      <c r="H8869" t="s">
        <v>36841</v>
      </c>
      <c r="J8869" t="s">
        <v>36842</v>
      </c>
      <c r="K8869" t="s">
        <v>99</v>
      </c>
      <c r="L8869" t="s">
        <v>100</v>
      </c>
      <c r="M8869" t="s">
        <v>75</v>
      </c>
      <c r="N8869" t="s">
        <v>6410</v>
      </c>
      <c r="O8869" t="s">
        <v>77</v>
      </c>
      <c r="P8869">
        <v>10027</v>
      </c>
      <c r="AC8869" t="s">
        <v>79</v>
      </c>
      <c r="AD8869" t="s">
        <v>75</v>
      </c>
      <c r="AE8869" t="s">
        <v>101</v>
      </c>
      <c r="AG8869" t="s">
        <v>81</v>
      </c>
    </row>
    <row r="8870" spans="1:33" x14ac:dyDescent="0.25">
      <c r="A8870" t="str">
        <f>"1184692972"</f>
        <v>1184692972</v>
      </c>
      <c r="B8870" t="str">
        <f>"02567577"</f>
        <v>02567577</v>
      </c>
      <c r="C8870" t="s">
        <v>13436</v>
      </c>
      <c r="D8870" t="s">
        <v>37842</v>
      </c>
      <c r="E8870" t="s">
        <v>37843</v>
      </c>
      <c r="G8870" t="s">
        <v>37844</v>
      </c>
      <c r="L8870" t="s">
        <v>83</v>
      </c>
      <c r="M8870" t="s">
        <v>85</v>
      </c>
      <c r="R8870" t="s">
        <v>37845</v>
      </c>
      <c r="W8870" t="s">
        <v>37843</v>
      </c>
      <c r="X8870" t="s">
        <v>37846</v>
      </c>
      <c r="Y8870" t="s">
        <v>97</v>
      </c>
      <c r="Z8870" t="s">
        <v>77</v>
      </c>
      <c r="AA8870" t="str">
        <f>"10029-6500"</f>
        <v>10029-6500</v>
      </c>
      <c r="AB8870" t="s">
        <v>78</v>
      </c>
      <c r="AC8870" t="s">
        <v>79</v>
      </c>
      <c r="AD8870" t="s">
        <v>75</v>
      </c>
      <c r="AE8870" t="s">
        <v>80</v>
      </c>
      <c r="AG8870" t="s">
        <v>81</v>
      </c>
    </row>
    <row r="8871" spans="1:33" x14ac:dyDescent="0.25">
      <c r="A8871" t="str">
        <f>"1265746887"</f>
        <v>1265746887</v>
      </c>
      <c r="B8871" t="str">
        <f>"03585673"</f>
        <v>03585673</v>
      </c>
      <c r="C8871" t="s">
        <v>13436</v>
      </c>
      <c r="D8871" t="s">
        <v>37847</v>
      </c>
      <c r="E8871" t="s">
        <v>37848</v>
      </c>
      <c r="G8871" t="s">
        <v>37849</v>
      </c>
      <c r="L8871" t="s">
        <v>74</v>
      </c>
      <c r="M8871" t="s">
        <v>75</v>
      </c>
      <c r="R8871" t="s">
        <v>37850</v>
      </c>
      <c r="W8871" t="s">
        <v>37848</v>
      </c>
      <c r="X8871" t="s">
        <v>329</v>
      </c>
      <c r="Y8871" t="s">
        <v>97</v>
      </c>
      <c r="Z8871" t="s">
        <v>77</v>
      </c>
      <c r="AA8871" t="str">
        <f>"10029-6504"</f>
        <v>10029-6504</v>
      </c>
      <c r="AB8871" t="s">
        <v>78</v>
      </c>
      <c r="AC8871" t="s">
        <v>79</v>
      </c>
      <c r="AD8871" t="s">
        <v>75</v>
      </c>
      <c r="AE8871" t="s">
        <v>80</v>
      </c>
      <c r="AG8871" t="s">
        <v>81</v>
      </c>
    </row>
    <row r="8872" spans="1:33" x14ac:dyDescent="0.25">
      <c r="A8872" t="str">
        <f>"1962483388"</f>
        <v>1962483388</v>
      </c>
      <c r="B8872" t="str">
        <f>"01596794"</f>
        <v>01596794</v>
      </c>
      <c r="C8872" t="s">
        <v>13436</v>
      </c>
      <c r="D8872" t="s">
        <v>37851</v>
      </c>
      <c r="E8872" t="s">
        <v>37852</v>
      </c>
      <c r="G8872" t="s">
        <v>37853</v>
      </c>
      <c r="L8872" t="s">
        <v>83</v>
      </c>
      <c r="M8872" t="s">
        <v>85</v>
      </c>
      <c r="R8872" t="s">
        <v>37852</v>
      </c>
      <c r="W8872" t="s">
        <v>37852</v>
      </c>
      <c r="X8872" t="s">
        <v>37854</v>
      </c>
      <c r="Y8872" t="s">
        <v>97</v>
      </c>
      <c r="Z8872" t="s">
        <v>77</v>
      </c>
      <c r="AA8872" t="str">
        <f>"10003-0000"</f>
        <v>10003-0000</v>
      </c>
      <c r="AB8872" t="s">
        <v>114</v>
      </c>
      <c r="AC8872" t="s">
        <v>79</v>
      </c>
      <c r="AD8872" t="s">
        <v>75</v>
      </c>
      <c r="AE8872" t="s">
        <v>80</v>
      </c>
      <c r="AG8872" t="s">
        <v>81</v>
      </c>
    </row>
    <row r="8873" spans="1:33" x14ac:dyDescent="0.25">
      <c r="A8873" t="str">
        <f>"1962487488"</f>
        <v>1962487488</v>
      </c>
      <c r="B8873" t="str">
        <f>"01878899"</f>
        <v>01878899</v>
      </c>
      <c r="C8873" t="s">
        <v>13436</v>
      </c>
      <c r="D8873" t="s">
        <v>37855</v>
      </c>
      <c r="E8873" t="s">
        <v>37856</v>
      </c>
      <c r="G8873" t="s">
        <v>37857</v>
      </c>
      <c r="L8873" t="s">
        <v>74</v>
      </c>
      <c r="M8873" t="s">
        <v>85</v>
      </c>
      <c r="R8873" t="s">
        <v>37858</v>
      </c>
      <c r="W8873" t="s">
        <v>37856</v>
      </c>
      <c r="X8873" t="s">
        <v>31514</v>
      </c>
      <c r="Y8873" t="s">
        <v>91</v>
      </c>
      <c r="Z8873" t="s">
        <v>77</v>
      </c>
      <c r="AA8873" t="str">
        <f>"11373-1329"</f>
        <v>11373-1329</v>
      </c>
      <c r="AB8873" t="s">
        <v>78</v>
      </c>
      <c r="AC8873" t="s">
        <v>79</v>
      </c>
      <c r="AD8873" t="s">
        <v>75</v>
      </c>
      <c r="AE8873" t="s">
        <v>80</v>
      </c>
      <c r="AG8873" t="s">
        <v>81</v>
      </c>
    </row>
    <row r="8874" spans="1:33" x14ac:dyDescent="0.25">
      <c r="A8874" t="str">
        <f>"1962487629"</f>
        <v>1962487629</v>
      </c>
      <c r="B8874" t="str">
        <f>"01185400"</f>
        <v>01185400</v>
      </c>
      <c r="C8874" t="s">
        <v>13436</v>
      </c>
      <c r="D8874" t="s">
        <v>37859</v>
      </c>
      <c r="E8874" t="s">
        <v>37860</v>
      </c>
      <c r="G8874" t="s">
        <v>37861</v>
      </c>
      <c r="L8874" t="s">
        <v>74</v>
      </c>
      <c r="M8874" t="s">
        <v>85</v>
      </c>
      <c r="R8874" t="s">
        <v>37862</v>
      </c>
      <c r="W8874" t="s">
        <v>37860</v>
      </c>
      <c r="X8874" t="s">
        <v>27438</v>
      </c>
      <c r="Y8874" t="s">
        <v>155</v>
      </c>
      <c r="Z8874" t="s">
        <v>77</v>
      </c>
      <c r="AA8874" t="str">
        <f>"10310-1699"</f>
        <v>10310-1699</v>
      </c>
      <c r="AB8874" t="s">
        <v>78</v>
      </c>
      <c r="AC8874" t="s">
        <v>79</v>
      </c>
      <c r="AD8874" t="s">
        <v>75</v>
      </c>
      <c r="AE8874" t="s">
        <v>80</v>
      </c>
      <c r="AG8874" t="s">
        <v>81</v>
      </c>
    </row>
    <row r="8875" spans="1:33" x14ac:dyDescent="0.25">
      <c r="A8875" t="str">
        <f>"1619266863"</f>
        <v>1619266863</v>
      </c>
      <c r="C8875" t="s">
        <v>13436</v>
      </c>
      <c r="K8875" t="s">
        <v>99</v>
      </c>
      <c r="L8875" t="s">
        <v>102</v>
      </c>
      <c r="M8875" t="s">
        <v>75</v>
      </c>
      <c r="R8875" t="s">
        <v>37863</v>
      </c>
      <c r="S8875" t="s">
        <v>37864</v>
      </c>
      <c r="T8875" t="s">
        <v>97</v>
      </c>
      <c r="U8875" t="s">
        <v>77</v>
      </c>
      <c r="V8875" t="str">
        <f>"10029"</f>
        <v>10029</v>
      </c>
      <c r="AC8875" t="s">
        <v>79</v>
      </c>
      <c r="AD8875" t="s">
        <v>75</v>
      </c>
      <c r="AE8875" t="s">
        <v>103</v>
      </c>
      <c r="AG8875" t="s">
        <v>81</v>
      </c>
    </row>
    <row r="8876" spans="1:33" x14ac:dyDescent="0.25">
      <c r="A8876" t="str">
        <f>"1619268893"</f>
        <v>1619268893</v>
      </c>
      <c r="C8876" t="s">
        <v>13436</v>
      </c>
      <c r="K8876" t="s">
        <v>99</v>
      </c>
      <c r="L8876" t="s">
        <v>102</v>
      </c>
      <c r="M8876" t="s">
        <v>75</v>
      </c>
      <c r="R8876" t="s">
        <v>37865</v>
      </c>
      <c r="S8876" t="s">
        <v>32043</v>
      </c>
      <c r="T8876" t="s">
        <v>97</v>
      </c>
      <c r="U8876" t="s">
        <v>77</v>
      </c>
      <c r="V8876" t="str">
        <f>"100296500"</f>
        <v>100296500</v>
      </c>
      <c r="AC8876" t="s">
        <v>79</v>
      </c>
      <c r="AD8876" t="s">
        <v>75</v>
      </c>
      <c r="AE8876" t="s">
        <v>103</v>
      </c>
      <c r="AG8876" t="s">
        <v>81</v>
      </c>
    </row>
    <row r="8877" spans="1:33" x14ac:dyDescent="0.25">
      <c r="A8877" t="str">
        <f>"1619289170"</f>
        <v>1619289170</v>
      </c>
      <c r="C8877" t="s">
        <v>13436</v>
      </c>
      <c r="K8877" t="s">
        <v>99</v>
      </c>
      <c r="L8877" t="s">
        <v>102</v>
      </c>
      <c r="M8877" t="s">
        <v>75</v>
      </c>
      <c r="R8877" t="s">
        <v>37866</v>
      </c>
      <c r="S8877" t="s">
        <v>329</v>
      </c>
      <c r="T8877" t="s">
        <v>97</v>
      </c>
      <c r="U8877" t="s">
        <v>77</v>
      </c>
      <c r="V8877" t="str">
        <f>"100296504"</f>
        <v>100296504</v>
      </c>
      <c r="AC8877" t="s">
        <v>79</v>
      </c>
      <c r="AD8877" t="s">
        <v>75</v>
      </c>
      <c r="AE8877" t="s">
        <v>103</v>
      </c>
      <c r="AG8877" t="s">
        <v>81</v>
      </c>
    </row>
    <row r="8878" spans="1:33" x14ac:dyDescent="0.25">
      <c r="A8878" t="str">
        <f>"1619289303"</f>
        <v>1619289303</v>
      </c>
      <c r="B8878" t="str">
        <f>"04272506"</f>
        <v>04272506</v>
      </c>
      <c r="C8878" t="s">
        <v>13436</v>
      </c>
      <c r="D8878" t="s">
        <v>37867</v>
      </c>
      <c r="E8878" t="s">
        <v>37868</v>
      </c>
      <c r="L8878" t="s">
        <v>74</v>
      </c>
      <c r="M8878" t="s">
        <v>75</v>
      </c>
      <c r="R8878" t="s">
        <v>37868</v>
      </c>
      <c r="W8878" t="s">
        <v>37868</v>
      </c>
      <c r="X8878" t="s">
        <v>37869</v>
      </c>
      <c r="Y8878" t="s">
        <v>310</v>
      </c>
      <c r="Z8878" t="s">
        <v>77</v>
      </c>
      <c r="AA8878" t="str">
        <f>"10512-3940"</f>
        <v>10512-3940</v>
      </c>
      <c r="AB8878" t="s">
        <v>78</v>
      </c>
      <c r="AC8878" t="s">
        <v>79</v>
      </c>
      <c r="AD8878" t="s">
        <v>75</v>
      </c>
      <c r="AE8878" t="s">
        <v>80</v>
      </c>
      <c r="AG8878" t="s">
        <v>81</v>
      </c>
    </row>
    <row r="8879" spans="1:33" x14ac:dyDescent="0.25">
      <c r="A8879" t="str">
        <f>"1619310190"</f>
        <v>1619310190</v>
      </c>
      <c r="C8879" t="s">
        <v>13436</v>
      </c>
      <c r="K8879" t="s">
        <v>99</v>
      </c>
      <c r="L8879" t="s">
        <v>102</v>
      </c>
      <c r="M8879" t="s">
        <v>75</v>
      </c>
      <c r="R8879" t="s">
        <v>37870</v>
      </c>
      <c r="S8879" t="s">
        <v>37871</v>
      </c>
      <c r="T8879" t="s">
        <v>508</v>
      </c>
      <c r="U8879" t="s">
        <v>77</v>
      </c>
      <c r="V8879" t="str">
        <f>"113573939"</f>
        <v>113573939</v>
      </c>
      <c r="AC8879" t="s">
        <v>79</v>
      </c>
      <c r="AD8879" t="s">
        <v>75</v>
      </c>
      <c r="AE8879" t="s">
        <v>103</v>
      </c>
      <c r="AG8879" t="s">
        <v>81</v>
      </c>
    </row>
    <row r="8880" spans="1:33" x14ac:dyDescent="0.25">
      <c r="A8880" t="str">
        <f>"1619310265"</f>
        <v>1619310265</v>
      </c>
      <c r="B8880" t="str">
        <f>"04558747"</f>
        <v>04558747</v>
      </c>
      <c r="C8880" t="s">
        <v>13436</v>
      </c>
      <c r="D8880" t="s">
        <v>37872</v>
      </c>
      <c r="E8880" t="s">
        <v>37873</v>
      </c>
      <c r="L8880" t="s">
        <v>102</v>
      </c>
      <c r="M8880" t="s">
        <v>75</v>
      </c>
      <c r="R8880" t="s">
        <v>37874</v>
      </c>
      <c r="W8880" t="s">
        <v>37873</v>
      </c>
      <c r="AB8880" t="s">
        <v>78</v>
      </c>
      <c r="AC8880" t="s">
        <v>79</v>
      </c>
      <c r="AD8880" t="s">
        <v>75</v>
      </c>
      <c r="AE8880" t="s">
        <v>80</v>
      </c>
      <c r="AG8880" t="s">
        <v>81</v>
      </c>
    </row>
    <row r="8881" spans="1:33" x14ac:dyDescent="0.25">
      <c r="A8881" t="str">
        <f>"1619313624"</f>
        <v>1619313624</v>
      </c>
      <c r="C8881" t="s">
        <v>13436</v>
      </c>
      <c r="G8881" t="s">
        <v>37875</v>
      </c>
      <c r="K8881" t="s">
        <v>99</v>
      </c>
      <c r="L8881" t="s">
        <v>102</v>
      </c>
      <c r="M8881" t="s">
        <v>75</v>
      </c>
      <c r="R8881" t="s">
        <v>37876</v>
      </c>
      <c r="S8881" t="s">
        <v>330</v>
      </c>
      <c r="T8881" t="s">
        <v>97</v>
      </c>
      <c r="U8881" t="s">
        <v>77</v>
      </c>
      <c r="V8881" t="str">
        <f>"100295204"</f>
        <v>100295204</v>
      </c>
      <c r="AC8881" t="s">
        <v>79</v>
      </c>
      <c r="AD8881" t="s">
        <v>75</v>
      </c>
      <c r="AE8881" t="s">
        <v>103</v>
      </c>
      <c r="AG8881" t="s">
        <v>81</v>
      </c>
    </row>
    <row r="8882" spans="1:33" x14ac:dyDescent="0.25">
      <c r="A8882" t="str">
        <f>"1619316809"</f>
        <v>1619316809</v>
      </c>
      <c r="C8882" t="s">
        <v>13436</v>
      </c>
      <c r="G8882" t="s">
        <v>37877</v>
      </c>
      <c r="K8882" t="s">
        <v>99</v>
      </c>
      <c r="L8882" t="s">
        <v>102</v>
      </c>
      <c r="M8882" t="s">
        <v>75</v>
      </c>
      <c r="R8882" t="s">
        <v>37878</v>
      </c>
      <c r="S8882" t="s">
        <v>37879</v>
      </c>
      <c r="T8882" t="s">
        <v>2553</v>
      </c>
      <c r="U8882" t="s">
        <v>1842</v>
      </c>
      <c r="V8882" t="str">
        <f>"068108014"</f>
        <v>068108014</v>
      </c>
      <c r="AC8882" t="s">
        <v>79</v>
      </c>
      <c r="AD8882" t="s">
        <v>75</v>
      </c>
      <c r="AE8882" t="s">
        <v>103</v>
      </c>
      <c r="AG8882" t="s">
        <v>81</v>
      </c>
    </row>
    <row r="8883" spans="1:33" x14ac:dyDescent="0.25">
      <c r="A8883" t="str">
        <f>"1376809145"</f>
        <v>1376809145</v>
      </c>
      <c r="C8883" t="s">
        <v>13436</v>
      </c>
      <c r="K8883" t="s">
        <v>99</v>
      </c>
      <c r="L8883" t="s">
        <v>102</v>
      </c>
      <c r="M8883" t="s">
        <v>75</v>
      </c>
      <c r="R8883" t="s">
        <v>37880</v>
      </c>
      <c r="S8883" t="s">
        <v>12670</v>
      </c>
      <c r="T8883" t="s">
        <v>97</v>
      </c>
      <c r="U8883" t="s">
        <v>77</v>
      </c>
      <c r="V8883" t="str">
        <f>"100033821"</f>
        <v>100033821</v>
      </c>
      <c r="AC8883" t="s">
        <v>79</v>
      </c>
      <c r="AD8883" t="s">
        <v>75</v>
      </c>
      <c r="AE8883" t="s">
        <v>103</v>
      </c>
      <c r="AG8883" t="s">
        <v>81</v>
      </c>
    </row>
    <row r="8884" spans="1:33" x14ac:dyDescent="0.25">
      <c r="A8884" t="str">
        <f>"1376809343"</f>
        <v>1376809343</v>
      </c>
      <c r="C8884" t="s">
        <v>13436</v>
      </c>
      <c r="K8884" t="s">
        <v>99</v>
      </c>
      <c r="L8884" t="s">
        <v>102</v>
      </c>
      <c r="M8884" t="s">
        <v>75</v>
      </c>
      <c r="R8884" t="s">
        <v>37881</v>
      </c>
      <c r="S8884" t="s">
        <v>37882</v>
      </c>
      <c r="T8884" t="s">
        <v>97</v>
      </c>
      <c r="U8884" t="s">
        <v>77</v>
      </c>
      <c r="V8884" t="str">
        <f>"100215320"</f>
        <v>100215320</v>
      </c>
      <c r="AC8884" t="s">
        <v>79</v>
      </c>
      <c r="AD8884" t="s">
        <v>75</v>
      </c>
      <c r="AE8884" t="s">
        <v>103</v>
      </c>
      <c r="AG8884" t="s">
        <v>81</v>
      </c>
    </row>
    <row r="8885" spans="1:33" x14ac:dyDescent="0.25">
      <c r="A8885" t="str">
        <f>"1376813279"</f>
        <v>1376813279</v>
      </c>
      <c r="C8885" t="s">
        <v>13436</v>
      </c>
      <c r="K8885" t="s">
        <v>99</v>
      </c>
      <c r="L8885" t="s">
        <v>102</v>
      </c>
      <c r="M8885" t="s">
        <v>75</v>
      </c>
      <c r="R8885" t="s">
        <v>37883</v>
      </c>
      <c r="S8885" t="s">
        <v>37884</v>
      </c>
      <c r="T8885" t="s">
        <v>37885</v>
      </c>
      <c r="U8885" t="s">
        <v>1784</v>
      </c>
      <c r="V8885" t="str">
        <f>"177013198"</f>
        <v>177013198</v>
      </c>
      <c r="AC8885" t="s">
        <v>79</v>
      </c>
      <c r="AD8885" t="s">
        <v>75</v>
      </c>
      <c r="AE8885" t="s">
        <v>103</v>
      </c>
      <c r="AG8885" t="s">
        <v>81</v>
      </c>
    </row>
    <row r="8886" spans="1:33" x14ac:dyDescent="0.25">
      <c r="A8886" t="str">
        <f>"1689881724"</f>
        <v>1689881724</v>
      </c>
      <c r="B8886" t="str">
        <f>"03031330"</f>
        <v>03031330</v>
      </c>
      <c r="C8886" t="s">
        <v>13436</v>
      </c>
      <c r="D8886" t="s">
        <v>37886</v>
      </c>
      <c r="E8886" t="s">
        <v>37887</v>
      </c>
      <c r="G8886" t="s">
        <v>37888</v>
      </c>
      <c r="L8886" t="s">
        <v>83</v>
      </c>
      <c r="M8886" t="s">
        <v>85</v>
      </c>
      <c r="R8886" t="s">
        <v>37889</v>
      </c>
      <c r="W8886" t="s">
        <v>37890</v>
      </c>
      <c r="X8886" t="s">
        <v>37891</v>
      </c>
      <c r="Y8886" t="s">
        <v>97</v>
      </c>
      <c r="Z8886" t="s">
        <v>77</v>
      </c>
      <c r="AA8886" t="str">
        <f>"10028-3003"</f>
        <v>10028-3003</v>
      </c>
      <c r="AB8886" t="s">
        <v>78</v>
      </c>
      <c r="AC8886" t="s">
        <v>79</v>
      </c>
      <c r="AD8886" t="s">
        <v>75</v>
      </c>
      <c r="AE8886" t="s">
        <v>80</v>
      </c>
      <c r="AG8886" t="s">
        <v>81</v>
      </c>
    </row>
    <row r="8887" spans="1:33" x14ac:dyDescent="0.25">
      <c r="A8887" t="str">
        <f>"1447366901"</f>
        <v>1447366901</v>
      </c>
      <c r="B8887" t="str">
        <f>"04597893"</f>
        <v>04597893</v>
      </c>
      <c r="C8887" t="s">
        <v>13436</v>
      </c>
      <c r="D8887" t="s">
        <v>37892</v>
      </c>
      <c r="E8887" t="s">
        <v>37893</v>
      </c>
      <c r="G8887" t="s">
        <v>37894</v>
      </c>
      <c r="L8887" t="s">
        <v>74</v>
      </c>
      <c r="M8887" t="s">
        <v>75</v>
      </c>
      <c r="R8887" t="s">
        <v>37895</v>
      </c>
      <c r="W8887" t="s">
        <v>37893</v>
      </c>
      <c r="AB8887" t="s">
        <v>78</v>
      </c>
      <c r="AC8887" t="s">
        <v>79</v>
      </c>
      <c r="AD8887" t="s">
        <v>75</v>
      </c>
      <c r="AE8887" t="s">
        <v>80</v>
      </c>
      <c r="AG8887" t="s">
        <v>81</v>
      </c>
    </row>
    <row r="8888" spans="1:33" x14ac:dyDescent="0.25">
      <c r="A8888" t="str">
        <f>"1437574472"</f>
        <v>1437574472</v>
      </c>
      <c r="B8888" t="str">
        <f>"03924807"</f>
        <v>03924807</v>
      </c>
      <c r="C8888" t="s">
        <v>37896</v>
      </c>
      <c r="D8888" t="s">
        <v>37897</v>
      </c>
      <c r="E8888" t="s">
        <v>37898</v>
      </c>
      <c r="G8888" t="s">
        <v>35048</v>
      </c>
      <c r="H8888" t="s">
        <v>35049</v>
      </c>
      <c r="J8888" t="s">
        <v>35050</v>
      </c>
      <c r="L8888" t="s">
        <v>83</v>
      </c>
      <c r="M8888" t="s">
        <v>75</v>
      </c>
      <c r="R8888" t="s">
        <v>37899</v>
      </c>
      <c r="W8888" t="s">
        <v>37898</v>
      </c>
      <c r="X8888" t="s">
        <v>2582</v>
      </c>
      <c r="Y8888" t="s">
        <v>97</v>
      </c>
      <c r="Z8888" t="s">
        <v>77</v>
      </c>
      <c r="AA8888" t="str">
        <f>"10012-0000"</f>
        <v>10012-0000</v>
      </c>
      <c r="AB8888" t="s">
        <v>114</v>
      </c>
      <c r="AC8888" t="s">
        <v>79</v>
      </c>
      <c r="AD8888" t="s">
        <v>75</v>
      </c>
      <c r="AE8888" t="s">
        <v>80</v>
      </c>
      <c r="AG8888" t="s">
        <v>81</v>
      </c>
    </row>
    <row r="8889" spans="1:33" x14ac:dyDescent="0.25">
      <c r="A8889" t="str">
        <f>"1801110788"</f>
        <v>1801110788</v>
      </c>
      <c r="B8889" t="str">
        <f>"04512465"</f>
        <v>04512465</v>
      </c>
      <c r="C8889" t="s">
        <v>37900</v>
      </c>
      <c r="D8889" t="s">
        <v>37901</v>
      </c>
      <c r="E8889" t="s">
        <v>37902</v>
      </c>
      <c r="G8889" t="s">
        <v>35048</v>
      </c>
      <c r="H8889" t="s">
        <v>35049</v>
      </c>
      <c r="J8889" t="s">
        <v>35050</v>
      </c>
      <c r="L8889" t="s">
        <v>74</v>
      </c>
      <c r="M8889" t="s">
        <v>75</v>
      </c>
      <c r="R8889" t="s">
        <v>37903</v>
      </c>
      <c r="W8889" t="s">
        <v>37902</v>
      </c>
      <c r="AB8889" t="s">
        <v>78</v>
      </c>
      <c r="AC8889" t="s">
        <v>79</v>
      </c>
      <c r="AD8889" t="s">
        <v>75</v>
      </c>
      <c r="AE8889" t="s">
        <v>80</v>
      </c>
      <c r="AG8889" t="s">
        <v>81</v>
      </c>
    </row>
    <row r="8890" spans="1:33" x14ac:dyDescent="0.25">
      <c r="A8890" t="str">
        <f>"1881688133"</f>
        <v>1881688133</v>
      </c>
      <c r="B8890" t="str">
        <f>"01753373"</f>
        <v>01753373</v>
      </c>
      <c r="C8890" t="s">
        <v>37904</v>
      </c>
      <c r="D8890" t="s">
        <v>5750</v>
      </c>
      <c r="E8890" t="s">
        <v>5751</v>
      </c>
      <c r="G8890" t="s">
        <v>35048</v>
      </c>
      <c r="H8890" t="s">
        <v>35049</v>
      </c>
      <c r="J8890" t="s">
        <v>35050</v>
      </c>
      <c r="L8890" t="s">
        <v>84</v>
      </c>
      <c r="M8890" t="s">
        <v>85</v>
      </c>
      <c r="R8890" t="s">
        <v>5752</v>
      </c>
      <c r="W8890" t="s">
        <v>5751</v>
      </c>
      <c r="X8890" t="s">
        <v>2838</v>
      </c>
      <c r="Y8890" t="s">
        <v>97</v>
      </c>
      <c r="Z8890" t="s">
        <v>77</v>
      </c>
      <c r="AA8890" t="str">
        <f>"10003-3105"</f>
        <v>10003-3105</v>
      </c>
      <c r="AB8890" t="s">
        <v>78</v>
      </c>
      <c r="AC8890" t="s">
        <v>79</v>
      </c>
      <c r="AD8890" t="s">
        <v>75</v>
      </c>
      <c r="AE8890" t="s">
        <v>80</v>
      </c>
      <c r="AG8890" t="s">
        <v>81</v>
      </c>
    </row>
    <row r="8891" spans="1:33" x14ac:dyDescent="0.25">
      <c r="A8891" t="str">
        <f>"1699937722"</f>
        <v>1699937722</v>
      </c>
      <c r="B8891" t="str">
        <f>"03259881"</f>
        <v>03259881</v>
      </c>
      <c r="C8891" t="s">
        <v>13436</v>
      </c>
      <c r="D8891" t="s">
        <v>37905</v>
      </c>
      <c r="E8891" t="s">
        <v>37906</v>
      </c>
      <c r="L8891" t="s">
        <v>83</v>
      </c>
      <c r="M8891" t="s">
        <v>85</v>
      </c>
      <c r="R8891" t="s">
        <v>37907</v>
      </c>
      <c r="W8891" t="s">
        <v>37906</v>
      </c>
      <c r="X8891" t="s">
        <v>272</v>
      </c>
      <c r="Y8891" t="s">
        <v>97</v>
      </c>
      <c r="Z8891" t="s">
        <v>77</v>
      </c>
      <c r="AA8891" t="str">
        <f>"10029-6501"</f>
        <v>10029-6501</v>
      </c>
      <c r="AB8891" t="s">
        <v>78</v>
      </c>
      <c r="AC8891" t="s">
        <v>79</v>
      </c>
      <c r="AD8891" t="s">
        <v>75</v>
      </c>
      <c r="AE8891" t="s">
        <v>80</v>
      </c>
      <c r="AG8891" t="s">
        <v>81</v>
      </c>
    </row>
    <row r="8892" spans="1:33" x14ac:dyDescent="0.25">
      <c r="A8892" t="str">
        <f>"1699945014"</f>
        <v>1699945014</v>
      </c>
      <c r="B8892" t="str">
        <f>"03190847"</f>
        <v>03190847</v>
      </c>
      <c r="C8892" t="s">
        <v>13436</v>
      </c>
      <c r="D8892" t="s">
        <v>37908</v>
      </c>
      <c r="E8892" t="s">
        <v>37909</v>
      </c>
      <c r="G8892" t="s">
        <v>37910</v>
      </c>
      <c r="L8892" t="s">
        <v>83</v>
      </c>
      <c r="M8892" t="s">
        <v>85</v>
      </c>
      <c r="R8892" t="s">
        <v>37911</v>
      </c>
      <c r="W8892" t="s">
        <v>37912</v>
      </c>
      <c r="X8892" t="s">
        <v>11657</v>
      </c>
      <c r="Y8892" t="s">
        <v>97</v>
      </c>
      <c r="Z8892" t="s">
        <v>77</v>
      </c>
      <c r="AA8892" t="str">
        <f>"10029-6503"</f>
        <v>10029-6503</v>
      </c>
      <c r="AB8892" t="s">
        <v>78</v>
      </c>
      <c r="AC8892" t="s">
        <v>79</v>
      </c>
      <c r="AD8892" t="s">
        <v>75</v>
      </c>
      <c r="AE8892" t="s">
        <v>80</v>
      </c>
      <c r="AG8892" t="s">
        <v>81</v>
      </c>
    </row>
    <row r="8893" spans="1:33" x14ac:dyDescent="0.25">
      <c r="A8893" t="str">
        <f>"1700013505"</f>
        <v>1700013505</v>
      </c>
      <c r="B8893" t="str">
        <f>"03934058"</f>
        <v>03934058</v>
      </c>
      <c r="C8893" t="s">
        <v>13436</v>
      </c>
      <c r="D8893" t="s">
        <v>37913</v>
      </c>
      <c r="E8893" t="s">
        <v>37914</v>
      </c>
      <c r="G8893" t="s">
        <v>37915</v>
      </c>
      <c r="L8893" t="s">
        <v>74</v>
      </c>
      <c r="M8893" t="s">
        <v>75</v>
      </c>
      <c r="R8893" t="s">
        <v>37916</v>
      </c>
      <c r="W8893" t="s">
        <v>37914</v>
      </c>
      <c r="X8893" t="s">
        <v>10363</v>
      </c>
      <c r="Y8893" t="s">
        <v>97</v>
      </c>
      <c r="Z8893" t="s">
        <v>77</v>
      </c>
      <c r="AA8893" t="str">
        <f>"10029-6508"</f>
        <v>10029-6508</v>
      </c>
      <c r="AB8893" t="s">
        <v>78</v>
      </c>
      <c r="AC8893" t="s">
        <v>79</v>
      </c>
      <c r="AD8893" t="s">
        <v>75</v>
      </c>
      <c r="AE8893" t="s">
        <v>80</v>
      </c>
      <c r="AG8893" t="s">
        <v>81</v>
      </c>
    </row>
    <row r="8894" spans="1:33" x14ac:dyDescent="0.25">
      <c r="A8894" t="str">
        <f>"1902970130"</f>
        <v>1902970130</v>
      </c>
      <c r="B8894" t="str">
        <f>"00757608"</f>
        <v>00757608</v>
      </c>
      <c r="C8894" t="s">
        <v>37917</v>
      </c>
      <c r="D8894" t="s">
        <v>37918</v>
      </c>
      <c r="E8894" t="s">
        <v>37919</v>
      </c>
      <c r="G8894" t="s">
        <v>23992</v>
      </c>
      <c r="H8894" t="s">
        <v>23993</v>
      </c>
      <c r="J8894" t="s">
        <v>23994</v>
      </c>
      <c r="L8894" t="s">
        <v>83</v>
      </c>
      <c r="M8894" t="s">
        <v>75</v>
      </c>
      <c r="R8894" t="s">
        <v>37920</v>
      </c>
      <c r="W8894" t="s">
        <v>37919</v>
      </c>
      <c r="X8894" t="s">
        <v>37921</v>
      </c>
      <c r="Y8894" t="s">
        <v>97</v>
      </c>
      <c r="Z8894" t="s">
        <v>77</v>
      </c>
      <c r="AA8894" t="str">
        <f>"10010-5519"</f>
        <v>10010-5519</v>
      </c>
      <c r="AB8894" t="s">
        <v>78</v>
      </c>
      <c r="AC8894" t="s">
        <v>79</v>
      </c>
      <c r="AD8894" t="s">
        <v>75</v>
      </c>
      <c r="AE8894" t="s">
        <v>80</v>
      </c>
      <c r="AG8894" t="s">
        <v>81</v>
      </c>
    </row>
    <row r="8895" spans="1:33" x14ac:dyDescent="0.25">
      <c r="A8895" t="str">
        <f>"1902067135"</f>
        <v>1902067135</v>
      </c>
      <c r="B8895" t="str">
        <f>"03805263"</f>
        <v>03805263</v>
      </c>
      <c r="C8895" t="s">
        <v>37922</v>
      </c>
      <c r="D8895" t="s">
        <v>37923</v>
      </c>
      <c r="E8895" t="s">
        <v>37924</v>
      </c>
      <c r="G8895" t="s">
        <v>23992</v>
      </c>
      <c r="H8895" t="s">
        <v>23993</v>
      </c>
      <c r="J8895" t="s">
        <v>23994</v>
      </c>
      <c r="L8895" t="s">
        <v>74</v>
      </c>
      <c r="M8895" t="s">
        <v>75</v>
      </c>
      <c r="R8895" t="s">
        <v>37925</v>
      </c>
      <c r="W8895" t="s">
        <v>37924</v>
      </c>
      <c r="X8895" t="s">
        <v>23995</v>
      </c>
      <c r="Y8895" t="s">
        <v>87</v>
      </c>
      <c r="Z8895" t="s">
        <v>77</v>
      </c>
      <c r="AA8895" t="str">
        <f>"11205-3820"</f>
        <v>11205-3820</v>
      </c>
      <c r="AB8895" t="s">
        <v>78</v>
      </c>
      <c r="AC8895" t="s">
        <v>79</v>
      </c>
      <c r="AD8895" t="s">
        <v>75</v>
      </c>
      <c r="AE8895" t="s">
        <v>80</v>
      </c>
      <c r="AG8895" t="s">
        <v>81</v>
      </c>
    </row>
    <row r="8896" spans="1:33" x14ac:dyDescent="0.25">
      <c r="A8896" t="str">
        <f>"1821174632"</f>
        <v>1821174632</v>
      </c>
      <c r="B8896" t="str">
        <f>"02670166"</f>
        <v>02670166</v>
      </c>
      <c r="C8896" t="s">
        <v>37926</v>
      </c>
      <c r="D8896" t="s">
        <v>37927</v>
      </c>
      <c r="E8896" t="s">
        <v>37928</v>
      </c>
      <c r="G8896" t="s">
        <v>23992</v>
      </c>
      <c r="H8896" t="s">
        <v>23993</v>
      </c>
      <c r="J8896" t="s">
        <v>23994</v>
      </c>
      <c r="L8896" t="s">
        <v>84</v>
      </c>
      <c r="M8896" t="s">
        <v>75</v>
      </c>
      <c r="R8896" t="s">
        <v>37929</v>
      </c>
      <c r="W8896" t="s">
        <v>37928</v>
      </c>
      <c r="X8896" t="s">
        <v>37343</v>
      </c>
      <c r="Y8896" t="s">
        <v>87</v>
      </c>
      <c r="Z8896" t="s">
        <v>77</v>
      </c>
      <c r="AA8896" t="str">
        <f>"11217-1914"</f>
        <v>11217-1914</v>
      </c>
      <c r="AB8896" t="s">
        <v>78</v>
      </c>
      <c r="AC8896" t="s">
        <v>79</v>
      </c>
      <c r="AD8896" t="s">
        <v>75</v>
      </c>
      <c r="AE8896" t="s">
        <v>80</v>
      </c>
      <c r="AG8896" t="s">
        <v>81</v>
      </c>
    </row>
    <row r="8897" spans="1:33" x14ac:dyDescent="0.25">
      <c r="A8897" t="str">
        <f>"1952467318"</f>
        <v>1952467318</v>
      </c>
      <c r="B8897" t="str">
        <f>"01934298"</f>
        <v>01934298</v>
      </c>
      <c r="C8897" t="s">
        <v>37930</v>
      </c>
      <c r="D8897" t="s">
        <v>37931</v>
      </c>
      <c r="E8897" t="s">
        <v>37932</v>
      </c>
      <c r="G8897" t="s">
        <v>23992</v>
      </c>
      <c r="H8897" t="s">
        <v>23993</v>
      </c>
      <c r="J8897" t="s">
        <v>23994</v>
      </c>
      <c r="L8897" t="s">
        <v>84</v>
      </c>
      <c r="M8897" t="s">
        <v>75</v>
      </c>
      <c r="R8897" t="s">
        <v>37933</v>
      </c>
      <c r="W8897" t="s">
        <v>37932</v>
      </c>
      <c r="X8897" t="s">
        <v>37343</v>
      </c>
      <c r="Y8897" t="s">
        <v>87</v>
      </c>
      <c r="Z8897" t="s">
        <v>77</v>
      </c>
      <c r="AA8897" t="str">
        <f>"11217-1914"</f>
        <v>11217-1914</v>
      </c>
      <c r="AB8897" t="s">
        <v>78</v>
      </c>
      <c r="AC8897" t="s">
        <v>79</v>
      </c>
      <c r="AD8897" t="s">
        <v>75</v>
      </c>
      <c r="AE8897" t="s">
        <v>80</v>
      </c>
      <c r="AG8897" t="s">
        <v>81</v>
      </c>
    </row>
    <row r="8898" spans="1:33" x14ac:dyDescent="0.25">
      <c r="A8898" t="str">
        <f>"1841266624"</f>
        <v>1841266624</v>
      </c>
      <c r="B8898" t="str">
        <f>"01777426"</f>
        <v>01777426</v>
      </c>
      <c r="C8898" t="s">
        <v>13436</v>
      </c>
      <c r="D8898" t="s">
        <v>37934</v>
      </c>
      <c r="E8898" t="s">
        <v>37935</v>
      </c>
      <c r="L8898" t="s">
        <v>83</v>
      </c>
      <c r="M8898" t="s">
        <v>85</v>
      </c>
      <c r="R8898" t="s">
        <v>37936</v>
      </c>
      <c r="W8898" t="s">
        <v>37937</v>
      </c>
      <c r="X8898" t="s">
        <v>37938</v>
      </c>
      <c r="Y8898" t="s">
        <v>97</v>
      </c>
      <c r="Z8898" t="s">
        <v>77</v>
      </c>
      <c r="AA8898" t="str">
        <f>"10029-6501"</f>
        <v>10029-6501</v>
      </c>
      <c r="AB8898" t="s">
        <v>78</v>
      </c>
      <c r="AC8898" t="s">
        <v>79</v>
      </c>
      <c r="AD8898" t="s">
        <v>75</v>
      </c>
      <c r="AE8898" t="s">
        <v>80</v>
      </c>
      <c r="AG8898" t="s">
        <v>81</v>
      </c>
    </row>
    <row r="8899" spans="1:33" x14ac:dyDescent="0.25">
      <c r="A8899" t="str">
        <f>"1841268802"</f>
        <v>1841268802</v>
      </c>
      <c r="B8899" t="str">
        <f>"01523353"</f>
        <v>01523353</v>
      </c>
      <c r="C8899" t="s">
        <v>13436</v>
      </c>
      <c r="D8899" t="s">
        <v>37939</v>
      </c>
      <c r="E8899" t="s">
        <v>37940</v>
      </c>
      <c r="L8899" t="s">
        <v>83</v>
      </c>
      <c r="M8899" t="s">
        <v>85</v>
      </c>
      <c r="R8899" t="s">
        <v>37941</v>
      </c>
      <c r="W8899" t="s">
        <v>37940</v>
      </c>
      <c r="X8899" t="s">
        <v>37942</v>
      </c>
      <c r="Y8899" t="s">
        <v>97</v>
      </c>
      <c r="Z8899" t="s">
        <v>77</v>
      </c>
      <c r="AA8899" t="str">
        <f>"10029-6810"</f>
        <v>10029-6810</v>
      </c>
      <c r="AB8899" t="s">
        <v>78</v>
      </c>
      <c r="AC8899" t="s">
        <v>79</v>
      </c>
      <c r="AD8899" t="s">
        <v>75</v>
      </c>
      <c r="AE8899" t="s">
        <v>80</v>
      </c>
      <c r="AG8899" t="s">
        <v>81</v>
      </c>
    </row>
    <row r="8900" spans="1:33" x14ac:dyDescent="0.25">
      <c r="A8900" t="str">
        <f>"1841290905"</f>
        <v>1841290905</v>
      </c>
      <c r="B8900" t="str">
        <f>"02246519"</f>
        <v>02246519</v>
      </c>
      <c r="C8900" t="s">
        <v>13436</v>
      </c>
      <c r="D8900" t="s">
        <v>37943</v>
      </c>
      <c r="E8900" t="s">
        <v>37944</v>
      </c>
      <c r="L8900" t="s">
        <v>83</v>
      </c>
      <c r="M8900" t="s">
        <v>85</v>
      </c>
      <c r="R8900" t="s">
        <v>37945</v>
      </c>
      <c r="W8900" t="s">
        <v>37944</v>
      </c>
      <c r="X8900" t="s">
        <v>31306</v>
      </c>
      <c r="Y8900" t="s">
        <v>97</v>
      </c>
      <c r="Z8900" t="s">
        <v>77</v>
      </c>
      <c r="AA8900" t="str">
        <f>"10029-6503"</f>
        <v>10029-6503</v>
      </c>
      <c r="AB8900" t="s">
        <v>78</v>
      </c>
      <c r="AC8900" t="s">
        <v>79</v>
      </c>
      <c r="AD8900" t="s">
        <v>75</v>
      </c>
      <c r="AE8900" t="s">
        <v>80</v>
      </c>
      <c r="AG8900" t="s">
        <v>81</v>
      </c>
    </row>
    <row r="8901" spans="1:33" x14ac:dyDescent="0.25">
      <c r="A8901" t="str">
        <f>"1841341005"</f>
        <v>1841341005</v>
      </c>
      <c r="B8901" t="str">
        <f>"00490386"</f>
        <v>00490386</v>
      </c>
      <c r="C8901" t="s">
        <v>13436</v>
      </c>
      <c r="D8901" t="s">
        <v>37946</v>
      </c>
      <c r="E8901" t="s">
        <v>37947</v>
      </c>
      <c r="L8901" t="s">
        <v>74</v>
      </c>
      <c r="M8901" t="s">
        <v>75</v>
      </c>
      <c r="R8901" t="s">
        <v>37948</v>
      </c>
      <c r="W8901" t="s">
        <v>37947</v>
      </c>
      <c r="X8901" t="s">
        <v>37949</v>
      </c>
      <c r="Y8901" t="s">
        <v>87</v>
      </c>
      <c r="Z8901" t="s">
        <v>77</v>
      </c>
      <c r="AA8901" t="str">
        <f>"11228"</f>
        <v>11228</v>
      </c>
      <c r="AB8901" t="s">
        <v>78</v>
      </c>
      <c r="AC8901" t="s">
        <v>79</v>
      </c>
      <c r="AD8901" t="s">
        <v>75</v>
      </c>
      <c r="AE8901" t="s">
        <v>80</v>
      </c>
      <c r="AG8901" t="s">
        <v>81</v>
      </c>
    </row>
    <row r="8902" spans="1:33" x14ac:dyDescent="0.25">
      <c r="A8902" t="str">
        <f>"1144505256"</f>
        <v>1144505256</v>
      </c>
      <c r="B8902" t="str">
        <f>"03385646"</f>
        <v>03385646</v>
      </c>
      <c r="C8902" t="s">
        <v>37950</v>
      </c>
      <c r="D8902" t="s">
        <v>37951</v>
      </c>
      <c r="E8902" t="s">
        <v>37952</v>
      </c>
      <c r="G8902" t="s">
        <v>35048</v>
      </c>
      <c r="H8902" t="s">
        <v>35049</v>
      </c>
      <c r="J8902" t="s">
        <v>35050</v>
      </c>
      <c r="L8902" t="s">
        <v>83</v>
      </c>
      <c r="M8902" t="s">
        <v>85</v>
      </c>
      <c r="R8902" t="s">
        <v>37953</v>
      </c>
      <c r="W8902" t="s">
        <v>37952</v>
      </c>
      <c r="X8902" t="s">
        <v>2582</v>
      </c>
      <c r="Y8902" t="s">
        <v>97</v>
      </c>
      <c r="Z8902" t="s">
        <v>77</v>
      </c>
      <c r="AA8902" t="str">
        <f>"10012-2413"</f>
        <v>10012-2413</v>
      </c>
      <c r="AB8902" t="s">
        <v>78</v>
      </c>
      <c r="AC8902" t="s">
        <v>79</v>
      </c>
      <c r="AD8902" t="s">
        <v>75</v>
      </c>
      <c r="AE8902" t="s">
        <v>80</v>
      </c>
      <c r="AG8902" t="s">
        <v>81</v>
      </c>
    </row>
    <row r="8903" spans="1:33" x14ac:dyDescent="0.25">
      <c r="A8903" t="str">
        <f>"1477767978"</f>
        <v>1477767978</v>
      </c>
      <c r="B8903" t="str">
        <f>"03824893"</f>
        <v>03824893</v>
      </c>
      <c r="C8903" t="s">
        <v>37954</v>
      </c>
      <c r="D8903" t="s">
        <v>37955</v>
      </c>
      <c r="E8903" t="s">
        <v>37956</v>
      </c>
      <c r="G8903" t="s">
        <v>35048</v>
      </c>
      <c r="H8903" t="s">
        <v>35049</v>
      </c>
      <c r="J8903" t="s">
        <v>35050</v>
      </c>
      <c r="L8903" t="s">
        <v>83</v>
      </c>
      <c r="M8903" t="s">
        <v>75</v>
      </c>
      <c r="R8903" t="s">
        <v>37957</v>
      </c>
      <c r="W8903" t="s">
        <v>37958</v>
      </c>
      <c r="X8903" t="s">
        <v>36803</v>
      </c>
      <c r="Y8903" t="s">
        <v>87</v>
      </c>
      <c r="Z8903" t="s">
        <v>77</v>
      </c>
      <c r="AA8903" t="str">
        <f>"11201-4405"</f>
        <v>11201-4405</v>
      </c>
      <c r="AB8903" t="s">
        <v>78</v>
      </c>
      <c r="AC8903" t="s">
        <v>79</v>
      </c>
      <c r="AD8903" t="s">
        <v>75</v>
      </c>
      <c r="AE8903" t="s">
        <v>80</v>
      </c>
      <c r="AG8903" t="s">
        <v>81</v>
      </c>
    </row>
    <row r="8904" spans="1:33" x14ac:dyDescent="0.25">
      <c r="A8904" t="str">
        <f>"1912199563"</f>
        <v>1912199563</v>
      </c>
      <c r="B8904" t="str">
        <f>"03250502"</f>
        <v>03250502</v>
      </c>
      <c r="C8904" t="s">
        <v>37959</v>
      </c>
      <c r="D8904" t="s">
        <v>37960</v>
      </c>
      <c r="E8904" t="s">
        <v>37961</v>
      </c>
      <c r="G8904" t="s">
        <v>35048</v>
      </c>
      <c r="H8904" t="s">
        <v>35049</v>
      </c>
      <c r="J8904" t="s">
        <v>35050</v>
      </c>
      <c r="L8904" t="s">
        <v>83</v>
      </c>
      <c r="M8904" t="s">
        <v>75</v>
      </c>
      <c r="R8904" t="s">
        <v>37962</v>
      </c>
      <c r="W8904" t="s">
        <v>37961</v>
      </c>
      <c r="X8904" t="s">
        <v>37963</v>
      </c>
      <c r="Y8904" t="s">
        <v>97</v>
      </c>
      <c r="Z8904" t="s">
        <v>77</v>
      </c>
      <c r="AA8904" t="str">
        <f>"10016-6402"</f>
        <v>10016-6402</v>
      </c>
      <c r="AB8904" t="s">
        <v>78</v>
      </c>
      <c r="AC8904" t="s">
        <v>79</v>
      </c>
      <c r="AD8904" t="s">
        <v>75</v>
      </c>
      <c r="AE8904" t="s">
        <v>80</v>
      </c>
      <c r="AG8904" t="s">
        <v>81</v>
      </c>
    </row>
    <row r="8905" spans="1:33" x14ac:dyDescent="0.25">
      <c r="A8905" t="str">
        <f>"1386845162"</f>
        <v>1386845162</v>
      </c>
      <c r="B8905" t="str">
        <f>"03484782"</f>
        <v>03484782</v>
      </c>
      <c r="C8905" t="s">
        <v>37964</v>
      </c>
      <c r="D8905" t="s">
        <v>3665</v>
      </c>
      <c r="E8905" t="s">
        <v>3666</v>
      </c>
      <c r="G8905" t="s">
        <v>35048</v>
      </c>
      <c r="H8905" t="s">
        <v>35049</v>
      </c>
      <c r="J8905" t="s">
        <v>35050</v>
      </c>
      <c r="L8905" t="s">
        <v>83</v>
      </c>
      <c r="M8905" t="s">
        <v>75</v>
      </c>
      <c r="R8905" t="s">
        <v>3667</v>
      </c>
      <c r="W8905" t="s">
        <v>3668</v>
      </c>
      <c r="X8905" t="s">
        <v>174</v>
      </c>
      <c r="Y8905" t="s">
        <v>131</v>
      </c>
      <c r="Z8905" t="s">
        <v>77</v>
      </c>
      <c r="AA8905" t="str">
        <f>"10461-2301"</f>
        <v>10461-2301</v>
      </c>
      <c r="AB8905" t="s">
        <v>78</v>
      </c>
      <c r="AC8905" t="s">
        <v>79</v>
      </c>
      <c r="AD8905" t="s">
        <v>75</v>
      </c>
      <c r="AE8905" t="s">
        <v>80</v>
      </c>
      <c r="AG8905" t="s">
        <v>81</v>
      </c>
    </row>
    <row r="8906" spans="1:33" x14ac:dyDescent="0.25">
      <c r="A8906" t="str">
        <f>"1851345946"</f>
        <v>1851345946</v>
      </c>
      <c r="B8906" t="str">
        <f>"03548354"</f>
        <v>03548354</v>
      </c>
      <c r="C8906" t="s">
        <v>37965</v>
      </c>
      <c r="D8906" t="s">
        <v>445</v>
      </c>
      <c r="E8906" t="s">
        <v>446</v>
      </c>
      <c r="G8906" t="s">
        <v>37966</v>
      </c>
      <c r="H8906" t="s">
        <v>448</v>
      </c>
      <c r="J8906" t="s">
        <v>636</v>
      </c>
      <c r="L8906" t="s">
        <v>37</v>
      </c>
      <c r="M8906" t="s">
        <v>75</v>
      </c>
      <c r="R8906" t="s">
        <v>444</v>
      </c>
      <c r="W8906" t="s">
        <v>446</v>
      </c>
      <c r="X8906" t="s">
        <v>449</v>
      </c>
      <c r="Y8906" t="s">
        <v>131</v>
      </c>
      <c r="Z8906" t="s">
        <v>77</v>
      </c>
      <c r="AA8906" t="str">
        <f>"10453-4244"</f>
        <v>10453-4244</v>
      </c>
      <c r="AB8906" t="s">
        <v>137</v>
      </c>
      <c r="AC8906" t="s">
        <v>79</v>
      </c>
      <c r="AD8906" t="s">
        <v>75</v>
      </c>
      <c r="AE8906" t="s">
        <v>80</v>
      </c>
      <c r="AG8906" t="s">
        <v>81</v>
      </c>
    </row>
    <row r="8907" spans="1:33" x14ac:dyDescent="0.25">
      <c r="A8907" t="str">
        <f>"1295861607"</f>
        <v>1295861607</v>
      </c>
      <c r="B8907" t="str">
        <f>"03521377"</f>
        <v>03521377</v>
      </c>
      <c r="C8907" t="s">
        <v>37967</v>
      </c>
      <c r="D8907" t="s">
        <v>37968</v>
      </c>
      <c r="E8907" t="s">
        <v>37969</v>
      </c>
      <c r="G8907" t="s">
        <v>37966</v>
      </c>
      <c r="H8907" t="s">
        <v>448</v>
      </c>
      <c r="J8907" t="s">
        <v>636</v>
      </c>
      <c r="L8907" t="s">
        <v>74</v>
      </c>
      <c r="M8907" t="s">
        <v>85</v>
      </c>
      <c r="R8907" t="s">
        <v>37970</v>
      </c>
      <c r="W8907" t="s">
        <v>37969</v>
      </c>
      <c r="X8907" t="s">
        <v>16891</v>
      </c>
      <c r="Y8907" t="s">
        <v>97</v>
      </c>
      <c r="Z8907" t="s">
        <v>77</v>
      </c>
      <c r="AA8907" t="str">
        <f>"10011-8979"</f>
        <v>10011-8979</v>
      </c>
      <c r="AB8907" t="s">
        <v>78</v>
      </c>
      <c r="AC8907" t="s">
        <v>79</v>
      </c>
      <c r="AD8907" t="s">
        <v>75</v>
      </c>
      <c r="AE8907" t="s">
        <v>80</v>
      </c>
      <c r="AG8907" t="s">
        <v>81</v>
      </c>
    </row>
    <row r="8908" spans="1:33" x14ac:dyDescent="0.25">
      <c r="C8908" t="s">
        <v>37971</v>
      </c>
      <c r="G8908" t="s">
        <v>37966</v>
      </c>
      <c r="H8908" t="s">
        <v>448</v>
      </c>
      <c r="J8908" t="s">
        <v>636</v>
      </c>
      <c r="K8908" t="s">
        <v>99</v>
      </c>
      <c r="L8908" t="s">
        <v>100</v>
      </c>
      <c r="M8908" t="s">
        <v>75</v>
      </c>
      <c r="N8908" t="s">
        <v>37972</v>
      </c>
      <c r="O8908" t="s">
        <v>296</v>
      </c>
      <c r="P8908" t="s">
        <v>77</v>
      </c>
      <c r="AC8908" t="s">
        <v>79</v>
      </c>
      <c r="AD8908" t="s">
        <v>75</v>
      </c>
      <c r="AE8908" t="s">
        <v>101</v>
      </c>
      <c r="AG8908" t="s">
        <v>81</v>
      </c>
    </row>
    <row r="8909" spans="1:33" x14ac:dyDescent="0.25">
      <c r="A8909" t="str">
        <f>"1518268739"</f>
        <v>1518268739</v>
      </c>
      <c r="C8909" t="s">
        <v>13436</v>
      </c>
      <c r="K8909" t="s">
        <v>99</v>
      </c>
      <c r="L8909" t="s">
        <v>102</v>
      </c>
      <c r="M8909" t="s">
        <v>75</v>
      </c>
      <c r="R8909" t="s">
        <v>37973</v>
      </c>
      <c r="S8909" t="s">
        <v>37974</v>
      </c>
      <c r="T8909" t="s">
        <v>97</v>
      </c>
      <c r="U8909" t="s">
        <v>77</v>
      </c>
      <c r="V8909" t="str">
        <f>"100251716"</f>
        <v>100251716</v>
      </c>
      <c r="AC8909" t="s">
        <v>79</v>
      </c>
      <c r="AD8909" t="s">
        <v>75</v>
      </c>
      <c r="AE8909" t="s">
        <v>103</v>
      </c>
      <c r="AG8909" t="s">
        <v>81</v>
      </c>
    </row>
    <row r="8910" spans="1:33" x14ac:dyDescent="0.25">
      <c r="A8910" t="str">
        <f>"1518278563"</f>
        <v>1518278563</v>
      </c>
      <c r="B8910" t="str">
        <f>"03243698"</f>
        <v>03243698</v>
      </c>
      <c r="C8910" t="s">
        <v>13436</v>
      </c>
      <c r="D8910" t="s">
        <v>4547</v>
      </c>
      <c r="E8910" t="s">
        <v>4548</v>
      </c>
      <c r="L8910" t="s">
        <v>83</v>
      </c>
      <c r="M8910" t="s">
        <v>75</v>
      </c>
      <c r="R8910" t="s">
        <v>4548</v>
      </c>
      <c r="W8910" t="s">
        <v>4548</v>
      </c>
      <c r="X8910" t="s">
        <v>3775</v>
      </c>
      <c r="Y8910" t="s">
        <v>124</v>
      </c>
      <c r="Z8910" t="s">
        <v>77</v>
      </c>
      <c r="AA8910" t="str">
        <f>"14642-0001"</f>
        <v>14642-0001</v>
      </c>
      <c r="AB8910" t="s">
        <v>78</v>
      </c>
      <c r="AC8910" t="s">
        <v>79</v>
      </c>
      <c r="AD8910" t="s">
        <v>75</v>
      </c>
      <c r="AE8910" t="s">
        <v>80</v>
      </c>
      <c r="AG8910" t="s">
        <v>81</v>
      </c>
    </row>
    <row r="8911" spans="1:33" x14ac:dyDescent="0.25">
      <c r="A8911" t="str">
        <f>"1518279827"</f>
        <v>1518279827</v>
      </c>
      <c r="B8911" t="str">
        <f>"03687625"</f>
        <v>03687625</v>
      </c>
      <c r="C8911" t="s">
        <v>13436</v>
      </c>
      <c r="D8911" t="s">
        <v>37975</v>
      </c>
      <c r="E8911" t="s">
        <v>37976</v>
      </c>
      <c r="L8911" t="s">
        <v>84</v>
      </c>
      <c r="M8911" t="s">
        <v>85</v>
      </c>
      <c r="R8911" t="s">
        <v>37977</v>
      </c>
      <c r="W8911" t="s">
        <v>37976</v>
      </c>
      <c r="X8911" t="s">
        <v>2838</v>
      </c>
      <c r="Y8911" t="s">
        <v>97</v>
      </c>
      <c r="Z8911" t="s">
        <v>77</v>
      </c>
      <c r="AA8911" t="str">
        <f>"10003-3105"</f>
        <v>10003-3105</v>
      </c>
      <c r="AB8911" t="s">
        <v>78</v>
      </c>
      <c r="AC8911" t="s">
        <v>79</v>
      </c>
      <c r="AD8911" t="s">
        <v>75</v>
      </c>
      <c r="AE8911" t="s">
        <v>80</v>
      </c>
      <c r="AG8911" t="s">
        <v>81</v>
      </c>
    </row>
    <row r="8912" spans="1:33" x14ac:dyDescent="0.25">
      <c r="A8912" t="str">
        <f>"1205125291"</f>
        <v>1205125291</v>
      </c>
      <c r="B8912" t="str">
        <f>"03714858"</f>
        <v>03714858</v>
      </c>
      <c r="C8912" t="s">
        <v>13436</v>
      </c>
      <c r="D8912" t="s">
        <v>37978</v>
      </c>
      <c r="E8912" t="s">
        <v>37979</v>
      </c>
      <c r="L8912" t="s">
        <v>74</v>
      </c>
      <c r="M8912" t="s">
        <v>75</v>
      </c>
      <c r="R8912" t="s">
        <v>37980</v>
      </c>
      <c r="W8912" t="s">
        <v>37981</v>
      </c>
      <c r="X8912" t="s">
        <v>329</v>
      </c>
      <c r="Y8912" t="s">
        <v>97</v>
      </c>
      <c r="Z8912" t="s">
        <v>77</v>
      </c>
      <c r="AA8912" t="str">
        <f>"10029-6504"</f>
        <v>10029-6504</v>
      </c>
      <c r="AB8912" t="s">
        <v>78</v>
      </c>
      <c r="AC8912" t="s">
        <v>79</v>
      </c>
      <c r="AD8912" t="s">
        <v>75</v>
      </c>
      <c r="AE8912" t="s">
        <v>80</v>
      </c>
      <c r="AG8912" t="s">
        <v>81</v>
      </c>
    </row>
    <row r="8913" spans="1:33" x14ac:dyDescent="0.25">
      <c r="A8913" t="str">
        <f>"1205126042"</f>
        <v>1205126042</v>
      </c>
      <c r="B8913" t="str">
        <f>"04466542"</f>
        <v>04466542</v>
      </c>
      <c r="C8913" t="s">
        <v>13436</v>
      </c>
      <c r="D8913" t="s">
        <v>37982</v>
      </c>
      <c r="E8913" t="s">
        <v>37983</v>
      </c>
      <c r="L8913" t="s">
        <v>102</v>
      </c>
      <c r="M8913" t="s">
        <v>75</v>
      </c>
      <c r="R8913" t="s">
        <v>37984</v>
      </c>
      <c r="W8913" t="s">
        <v>37983</v>
      </c>
      <c r="AB8913" t="s">
        <v>78</v>
      </c>
      <c r="AC8913" t="s">
        <v>79</v>
      </c>
      <c r="AD8913" t="s">
        <v>75</v>
      </c>
      <c r="AE8913" t="s">
        <v>80</v>
      </c>
      <c r="AG8913" t="s">
        <v>81</v>
      </c>
    </row>
    <row r="8914" spans="1:33" x14ac:dyDescent="0.25">
      <c r="A8914" t="str">
        <f>"1205131232"</f>
        <v>1205131232</v>
      </c>
      <c r="B8914" t="str">
        <f>"03344649"</f>
        <v>03344649</v>
      </c>
      <c r="C8914" t="s">
        <v>13436</v>
      </c>
      <c r="D8914" t="s">
        <v>37985</v>
      </c>
      <c r="E8914" t="s">
        <v>37986</v>
      </c>
      <c r="G8914" t="s">
        <v>37987</v>
      </c>
      <c r="L8914" t="s">
        <v>74</v>
      </c>
      <c r="M8914" t="s">
        <v>75</v>
      </c>
      <c r="R8914" t="s">
        <v>37986</v>
      </c>
      <c r="W8914" t="s">
        <v>37986</v>
      </c>
      <c r="X8914" t="s">
        <v>235</v>
      </c>
      <c r="Y8914" t="s">
        <v>190</v>
      </c>
      <c r="Z8914" t="s">
        <v>77</v>
      </c>
      <c r="AA8914" t="str">
        <f>"11102-2448"</f>
        <v>11102-2448</v>
      </c>
      <c r="AB8914" t="s">
        <v>78</v>
      </c>
      <c r="AC8914" t="s">
        <v>79</v>
      </c>
      <c r="AD8914" t="s">
        <v>75</v>
      </c>
      <c r="AE8914" t="s">
        <v>80</v>
      </c>
      <c r="AG8914" t="s">
        <v>81</v>
      </c>
    </row>
    <row r="8915" spans="1:33" x14ac:dyDescent="0.25">
      <c r="A8915" t="str">
        <f>"1205154804"</f>
        <v>1205154804</v>
      </c>
      <c r="C8915" t="s">
        <v>13436</v>
      </c>
      <c r="K8915" t="s">
        <v>99</v>
      </c>
      <c r="L8915" t="s">
        <v>102</v>
      </c>
      <c r="M8915" t="s">
        <v>75</v>
      </c>
      <c r="R8915" t="s">
        <v>37988</v>
      </c>
      <c r="S8915" t="s">
        <v>37989</v>
      </c>
      <c r="T8915" t="s">
        <v>97</v>
      </c>
      <c r="U8915" t="s">
        <v>77</v>
      </c>
      <c r="V8915" t="str">
        <f>"100122849"</f>
        <v>100122849</v>
      </c>
      <c r="AC8915" t="s">
        <v>79</v>
      </c>
      <c r="AD8915" t="s">
        <v>75</v>
      </c>
      <c r="AE8915" t="s">
        <v>103</v>
      </c>
      <c r="AG8915" t="s">
        <v>81</v>
      </c>
    </row>
    <row r="8916" spans="1:33" x14ac:dyDescent="0.25">
      <c r="A8916" t="str">
        <f>"1205160090"</f>
        <v>1205160090</v>
      </c>
      <c r="B8916" t="str">
        <f>"03834719"</f>
        <v>03834719</v>
      </c>
      <c r="C8916" t="s">
        <v>13436</v>
      </c>
      <c r="D8916" t="s">
        <v>37990</v>
      </c>
      <c r="E8916" t="s">
        <v>37991</v>
      </c>
      <c r="L8916" t="s">
        <v>74</v>
      </c>
      <c r="M8916" t="s">
        <v>75</v>
      </c>
      <c r="R8916" t="s">
        <v>37992</v>
      </c>
      <c r="W8916" t="s">
        <v>37991</v>
      </c>
      <c r="X8916" t="s">
        <v>269</v>
      </c>
      <c r="Y8916" t="s">
        <v>165</v>
      </c>
      <c r="Z8916" t="s">
        <v>77</v>
      </c>
      <c r="AA8916" t="str">
        <f>"11004-1150"</f>
        <v>11004-1150</v>
      </c>
      <c r="AB8916" t="s">
        <v>78</v>
      </c>
      <c r="AC8916" t="s">
        <v>79</v>
      </c>
      <c r="AD8916" t="s">
        <v>75</v>
      </c>
      <c r="AE8916" t="s">
        <v>80</v>
      </c>
      <c r="AG8916" t="s">
        <v>81</v>
      </c>
    </row>
    <row r="8917" spans="1:33" x14ac:dyDescent="0.25">
      <c r="A8917" t="str">
        <f>"1205169430"</f>
        <v>1205169430</v>
      </c>
      <c r="C8917" t="s">
        <v>13436</v>
      </c>
      <c r="K8917" t="s">
        <v>99</v>
      </c>
      <c r="L8917" t="s">
        <v>102</v>
      </c>
      <c r="M8917" t="s">
        <v>75</v>
      </c>
      <c r="R8917" t="s">
        <v>37993</v>
      </c>
      <c r="S8917" t="s">
        <v>37994</v>
      </c>
      <c r="T8917" t="s">
        <v>37995</v>
      </c>
      <c r="U8917" t="s">
        <v>14422</v>
      </c>
      <c r="V8917" t="str">
        <f>"582066002"</f>
        <v>582066002</v>
      </c>
      <c r="AC8917" t="s">
        <v>79</v>
      </c>
      <c r="AD8917" t="s">
        <v>75</v>
      </c>
      <c r="AE8917" t="s">
        <v>103</v>
      </c>
      <c r="AG8917" t="s">
        <v>81</v>
      </c>
    </row>
    <row r="8918" spans="1:33" x14ac:dyDescent="0.25">
      <c r="A8918" t="str">
        <f>"1205172061"</f>
        <v>1205172061</v>
      </c>
      <c r="B8918" t="str">
        <f>"03736243"</f>
        <v>03736243</v>
      </c>
      <c r="C8918" t="s">
        <v>13436</v>
      </c>
      <c r="D8918" t="s">
        <v>37996</v>
      </c>
      <c r="E8918" t="s">
        <v>37997</v>
      </c>
      <c r="L8918" t="s">
        <v>74</v>
      </c>
      <c r="M8918" t="s">
        <v>75</v>
      </c>
      <c r="R8918" t="s">
        <v>37997</v>
      </c>
      <c r="W8918" t="s">
        <v>37997</v>
      </c>
      <c r="X8918" t="s">
        <v>130</v>
      </c>
      <c r="Y8918" t="s">
        <v>131</v>
      </c>
      <c r="Z8918" t="s">
        <v>77</v>
      </c>
      <c r="AA8918" t="str">
        <f>"10461-1119"</f>
        <v>10461-1119</v>
      </c>
      <c r="AB8918" t="s">
        <v>78</v>
      </c>
      <c r="AC8918" t="s">
        <v>79</v>
      </c>
      <c r="AD8918" t="s">
        <v>75</v>
      </c>
      <c r="AE8918" t="s">
        <v>80</v>
      </c>
      <c r="AG8918" t="s">
        <v>81</v>
      </c>
    </row>
    <row r="8919" spans="1:33" x14ac:dyDescent="0.25">
      <c r="A8919" t="str">
        <f>"1205177672"</f>
        <v>1205177672</v>
      </c>
      <c r="B8919" t="str">
        <f>"03941664"</f>
        <v>03941664</v>
      </c>
      <c r="C8919" t="s">
        <v>13436</v>
      </c>
      <c r="D8919" t="s">
        <v>37998</v>
      </c>
      <c r="E8919" t="s">
        <v>37999</v>
      </c>
      <c r="G8919" t="s">
        <v>38000</v>
      </c>
      <c r="L8919" t="s">
        <v>74</v>
      </c>
      <c r="M8919" t="s">
        <v>75</v>
      </c>
      <c r="R8919" t="s">
        <v>38001</v>
      </c>
      <c r="W8919" t="s">
        <v>37999</v>
      </c>
      <c r="X8919" t="s">
        <v>38002</v>
      </c>
      <c r="Y8919" t="s">
        <v>97</v>
      </c>
      <c r="Z8919" t="s">
        <v>77</v>
      </c>
      <c r="AA8919" t="str">
        <f>"10022-1800"</f>
        <v>10022-1800</v>
      </c>
      <c r="AB8919" t="s">
        <v>78</v>
      </c>
      <c r="AC8919" t="s">
        <v>79</v>
      </c>
      <c r="AD8919" t="s">
        <v>75</v>
      </c>
      <c r="AE8919" t="s">
        <v>80</v>
      </c>
      <c r="AG8919" t="s">
        <v>81</v>
      </c>
    </row>
    <row r="8920" spans="1:33" x14ac:dyDescent="0.25">
      <c r="A8920" t="str">
        <f>"1205178746"</f>
        <v>1205178746</v>
      </c>
      <c r="C8920" t="s">
        <v>13436</v>
      </c>
      <c r="K8920" t="s">
        <v>99</v>
      </c>
      <c r="L8920" t="s">
        <v>102</v>
      </c>
      <c r="M8920" t="s">
        <v>75</v>
      </c>
      <c r="R8920" t="s">
        <v>38003</v>
      </c>
      <c r="S8920" t="s">
        <v>27947</v>
      </c>
      <c r="T8920" t="s">
        <v>97</v>
      </c>
      <c r="U8920" t="s">
        <v>77</v>
      </c>
      <c r="V8920" t="str">
        <f>"100033805"</f>
        <v>100033805</v>
      </c>
      <c r="AC8920" t="s">
        <v>79</v>
      </c>
      <c r="AD8920" t="s">
        <v>75</v>
      </c>
      <c r="AE8920" t="s">
        <v>103</v>
      </c>
      <c r="AG8920" t="s">
        <v>81</v>
      </c>
    </row>
    <row r="8921" spans="1:33" x14ac:dyDescent="0.25">
      <c r="A8921" t="str">
        <f>"1417244120"</f>
        <v>1417244120</v>
      </c>
      <c r="C8921" t="s">
        <v>13436</v>
      </c>
      <c r="K8921" t="s">
        <v>99</v>
      </c>
      <c r="L8921" t="s">
        <v>74</v>
      </c>
      <c r="M8921" t="s">
        <v>75</v>
      </c>
      <c r="R8921" t="s">
        <v>6268</v>
      </c>
      <c r="S8921" t="s">
        <v>6269</v>
      </c>
      <c r="T8921" t="s">
        <v>6270</v>
      </c>
      <c r="U8921" t="s">
        <v>77</v>
      </c>
      <c r="V8921" t="str">
        <f>"10025"</f>
        <v>10025</v>
      </c>
      <c r="AC8921" t="s">
        <v>79</v>
      </c>
      <c r="AD8921" t="s">
        <v>75</v>
      </c>
      <c r="AE8921" t="s">
        <v>103</v>
      </c>
      <c r="AG8921" t="s">
        <v>81</v>
      </c>
    </row>
    <row r="8922" spans="1:33" x14ac:dyDescent="0.25">
      <c r="A8922" t="str">
        <f>"1417247750"</f>
        <v>1417247750</v>
      </c>
      <c r="C8922" t="s">
        <v>13436</v>
      </c>
      <c r="K8922" t="s">
        <v>99</v>
      </c>
      <c r="L8922" t="s">
        <v>102</v>
      </c>
      <c r="M8922" t="s">
        <v>75</v>
      </c>
      <c r="R8922" t="s">
        <v>38004</v>
      </c>
      <c r="S8922" t="s">
        <v>29444</v>
      </c>
      <c r="T8922" t="s">
        <v>97</v>
      </c>
      <c r="U8922" t="s">
        <v>77</v>
      </c>
      <c r="V8922" t="str">
        <f>"100296500"</f>
        <v>100296500</v>
      </c>
      <c r="AC8922" t="s">
        <v>79</v>
      </c>
      <c r="AD8922" t="s">
        <v>75</v>
      </c>
      <c r="AE8922" t="s">
        <v>103</v>
      </c>
      <c r="AG8922" t="s">
        <v>81</v>
      </c>
    </row>
    <row r="8923" spans="1:33" x14ac:dyDescent="0.25">
      <c r="A8923" t="str">
        <f>"1417249897"</f>
        <v>1417249897</v>
      </c>
      <c r="B8923" t="str">
        <f>"03938965"</f>
        <v>03938965</v>
      </c>
      <c r="C8923" t="s">
        <v>13436</v>
      </c>
      <c r="D8923" t="s">
        <v>38005</v>
      </c>
      <c r="E8923" t="s">
        <v>38006</v>
      </c>
      <c r="G8923" t="s">
        <v>38007</v>
      </c>
      <c r="L8923" t="s">
        <v>83</v>
      </c>
      <c r="M8923" t="s">
        <v>75</v>
      </c>
      <c r="R8923" t="s">
        <v>38008</v>
      </c>
      <c r="W8923" t="s">
        <v>38006</v>
      </c>
      <c r="X8923" t="s">
        <v>181</v>
      </c>
      <c r="Y8923" t="s">
        <v>97</v>
      </c>
      <c r="Z8923" t="s">
        <v>77</v>
      </c>
      <c r="AA8923" t="str">
        <f>"10025-1716"</f>
        <v>10025-1716</v>
      </c>
      <c r="AB8923" t="s">
        <v>78</v>
      </c>
      <c r="AC8923" t="s">
        <v>79</v>
      </c>
      <c r="AD8923" t="s">
        <v>75</v>
      </c>
      <c r="AE8923" t="s">
        <v>80</v>
      </c>
      <c r="AG8923" t="s">
        <v>81</v>
      </c>
    </row>
    <row r="8924" spans="1:33" x14ac:dyDescent="0.25">
      <c r="A8924" t="str">
        <f>"1982706453"</f>
        <v>1982706453</v>
      </c>
      <c r="B8924" t="str">
        <f>"02642937"</f>
        <v>02642937</v>
      </c>
      <c r="C8924" t="s">
        <v>13436</v>
      </c>
      <c r="D8924" t="s">
        <v>38009</v>
      </c>
      <c r="E8924" t="s">
        <v>38010</v>
      </c>
      <c r="L8924" t="s">
        <v>83</v>
      </c>
      <c r="M8924" t="s">
        <v>75</v>
      </c>
      <c r="R8924" t="s">
        <v>38011</v>
      </c>
      <c r="W8924" t="s">
        <v>38010</v>
      </c>
      <c r="X8924" t="s">
        <v>3553</v>
      </c>
      <c r="Y8924" t="s">
        <v>97</v>
      </c>
      <c r="Z8924" t="s">
        <v>77</v>
      </c>
      <c r="AA8924" t="str">
        <f>"10003-3851"</f>
        <v>10003-3851</v>
      </c>
      <c r="AB8924" t="s">
        <v>128</v>
      </c>
      <c r="AC8924" t="s">
        <v>79</v>
      </c>
      <c r="AD8924" t="s">
        <v>75</v>
      </c>
      <c r="AE8924" t="s">
        <v>80</v>
      </c>
      <c r="AG8924" t="s">
        <v>81</v>
      </c>
    </row>
    <row r="8925" spans="1:33" x14ac:dyDescent="0.25">
      <c r="A8925" t="str">
        <f>"1982720983"</f>
        <v>1982720983</v>
      </c>
      <c r="B8925" t="str">
        <f>"02905411"</f>
        <v>02905411</v>
      </c>
      <c r="C8925" t="s">
        <v>13436</v>
      </c>
      <c r="D8925" t="s">
        <v>38012</v>
      </c>
      <c r="E8925" t="s">
        <v>38013</v>
      </c>
      <c r="L8925" t="s">
        <v>83</v>
      </c>
      <c r="M8925" t="s">
        <v>85</v>
      </c>
      <c r="R8925" t="s">
        <v>38014</v>
      </c>
      <c r="W8925" t="s">
        <v>38013</v>
      </c>
      <c r="X8925" t="s">
        <v>11176</v>
      </c>
      <c r="Y8925" t="s">
        <v>97</v>
      </c>
      <c r="Z8925" t="s">
        <v>77</v>
      </c>
      <c r="AA8925" t="str">
        <f>"10029-6542"</f>
        <v>10029-6542</v>
      </c>
      <c r="AB8925" t="s">
        <v>78</v>
      </c>
      <c r="AC8925" t="s">
        <v>79</v>
      </c>
      <c r="AD8925" t="s">
        <v>75</v>
      </c>
      <c r="AE8925" t="s">
        <v>80</v>
      </c>
      <c r="AG8925" t="s">
        <v>81</v>
      </c>
    </row>
    <row r="8926" spans="1:33" x14ac:dyDescent="0.25">
      <c r="A8926" t="str">
        <f>"1982779120"</f>
        <v>1982779120</v>
      </c>
      <c r="B8926" t="str">
        <f>"02271121"</f>
        <v>02271121</v>
      </c>
      <c r="C8926" t="s">
        <v>13436</v>
      </c>
      <c r="D8926" t="s">
        <v>38015</v>
      </c>
      <c r="E8926" t="s">
        <v>38016</v>
      </c>
      <c r="G8926" t="s">
        <v>38017</v>
      </c>
      <c r="L8926" t="s">
        <v>94</v>
      </c>
      <c r="M8926" t="s">
        <v>75</v>
      </c>
      <c r="R8926" t="s">
        <v>38018</v>
      </c>
      <c r="W8926" t="s">
        <v>38016</v>
      </c>
      <c r="X8926" t="s">
        <v>2586</v>
      </c>
      <c r="Y8926" t="s">
        <v>131</v>
      </c>
      <c r="Z8926" t="s">
        <v>77</v>
      </c>
      <c r="AA8926" t="str">
        <f>"10467-2490"</f>
        <v>10467-2490</v>
      </c>
      <c r="AB8926" t="s">
        <v>78</v>
      </c>
      <c r="AC8926" t="s">
        <v>79</v>
      </c>
      <c r="AD8926" t="s">
        <v>75</v>
      </c>
      <c r="AE8926" t="s">
        <v>80</v>
      </c>
      <c r="AG8926" t="s">
        <v>81</v>
      </c>
    </row>
    <row r="8927" spans="1:33" x14ac:dyDescent="0.25">
      <c r="B8927" t="str">
        <f>"02781060"</f>
        <v>02781060</v>
      </c>
      <c r="C8927" t="s">
        <v>30523</v>
      </c>
      <c r="D8927" t="s">
        <v>38019</v>
      </c>
      <c r="E8927" t="s">
        <v>38020</v>
      </c>
      <c r="F8927">
        <v>131860451</v>
      </c>
      <c r="G8927" t="s">
        <v>30526</v>
      </c>
      <c r="H8927" t="s">
        <v>5086</v>
      </c>
      <c r="J8927" t="s">
        <v>5087</v>
      </c>
      <c r="L8927" t="s">
        <v>37</v>
      </c>
      <c r="M8927" t="s">
        <v>75</v>
      </c>
      <c r="W8927" t="s">
        <v>38020</v>
      </c>
      <c r="X8927" t="s">
        <v>2219</v>
      </c>
      <c r="Y8927" t="s">
        <v>131</v>
      </c>
      <c r="Z8927" t="s">
        <v>77</v>
      </c>
      <c r="AA8927" t="str">
        <f>"10453-6707"</f>
        <v>10453-6707</v>
      </c>
      <c r="AB8927" t="s">
        <v>98</v>
      </c>
      <c r="AC8927" t="s">
        <v>79</v>
      </c>
      <c r="AD8927" t="s">
        <v>75</v>
      </c>
      <c r="AE8927" t="s">
        <v>80</v>
      </c>
      <c r="AG8927" t="s">
        <v>81</v>
      </c>
    </row>
    <row r="8928" spans="1:33" x14ac:dyDescent="0.25">
      <c r="A8928" t="str">
        <f>"1255592861"</f>
        <v>1255592861</v>
      </c>
      <c r="B8928" t="str">
        <f>"03078122"</f>
        <v>03078122</v>
      </c>
      <c r="C8928" t="s">
        <v>13436</v>
      </c>
      <c r="D8928" t="s">
        <v>38021</v>
      </c>
      <c r="E8928" t="s">
        <v>38022</v>
      </c>
      <c r="G8928" t="s">
        <v>38023</v>
      </c>
      <c r="L8928" t="s">
        <v>83</v>
      </c>
      <c r="M8928" t="s">
        <v>85</v>
      </c>
      <c r="R8928" t="s">
        <v>38022</v>
      </c>
      <c r="W8928" t="s">
        <v>38024</v>
      </c>
      <c r="X8928" t="s">
        <v>185</v>
      </c>
      <c r="Y8928" t="s">
        <v>97</v>
      </c>
      <c r="Z8928" t="s">
        <v>77</v>
      </c>
      <c r="AA8928" t="str">
        <f>"10035-2709"</f>
        <v>10035-2709</v>
      </c>
      <c r="AB8928" t="s">
        <v>78</v>
      </c>
      <c r="AC8928" t="s">
        <v>79</v>
      </c>
      <c r="AD8928" t="s">
        <v>75</v>
      </c>
      <c r="AE8928" t="s">
        <v>80</v>
      </c>
      <c r="AG8928" t="s">
        <v>81</v>
      </c>
    </row>
    <row r="8929" spans="1:33" x14ac:dyDescent="0.25">
      <c r="A8929" t="str">
        <f>"1255594230"</f>
        <v>1255594230</v>
      </c>
      <c r="B8929" t="str">
        <f>"03021872"</f>
        <v>03021872</v>
      </c>
      <c r="C8929" t="s">
        <v>13436</v>
      </c>
      <c r="D8929" t="s">
        <v>38025</v>
      </c>
      <c r="E8929" t="s">
        <v>38026</v>
      </c>
      <c r="G8929" t="s">
        <v>38027</v>
      </c>
      <c r="L8929" t="s">
        <v>83</v>
      </c>
      <c r="M8929" t="s">
        <v>85</v>
      </c>
      <c r="R8929" t="s">
        <v>38028</v>
      </c>
      <c r="W8929" t="s">
        <v>38029</v>
      </c>
      <c r="X8929" t="s">
        <v>272</v>
      </c>
      <c r="Y8929" t="s">
        <v>97</v>
      </c>
      <c r="Z8929" t="s">
        <v>77</v>
      </c>
      <c r="AA8929" t="str">
        <f>"10029-6501"</f>
        <v>10029-6501</v>
      </c>
      <c r="AB8929" t="s">
        <v>78</v>
      </c>
      <c r="AC8929" t="s">
        <v>79</v>
      </c>
      <c r="AD8929" t="s">
        <v>75</v>
      </c>
      <c r="AE8929" t="s">
        <v>80</v>
      </c>
      <c r="AG8929" t="s">
        <v>81</v>
      </c>
    </row>
    <row r="8930" spans="1:33" x14ac:dyDescent="0.25">
      <c r="A8930" t="str">
        <f>"1255598744"</f>
        <v>1255598744</v>
      </c>
      <c r="C8930" t="s">
        <v>13436</v>
      </c>
      <c r="K8930" t="s">
        <v>99</v>
      </c>
      <c r="L8930" t="s">
        <v>102</v>
      </c>
      <c r="M8930" t="s">
        <v>75</v>
      </c>
      <c r="R8930" t="s">
        <v>38030</v>
      </c>
      <c r="S8930" t="s">
        <v>38031</v>
      </c>
      <c r="T8930" t="s">
        <v>38032</v>
      </c>
      <c r="U8930" t="s">
        <v>4546</v>
      </c>
      <c r="V8930" t="str">
        <f>"853512145"</f>
        <v>853512145</v>
      </c>
      <c r="AC8930" t="s">
        <v>79</v>
      </c>
      <c r="AD8930" t="s">
        <v>75</v>
      </c>
      <c r="AE8930" t="s">
        <v>103</v>
      </c>
      <c r="AG8930" t="s">
        <v>81</v>
      </c>
    </row>
    <row r="8931" spans="1:33" x14ac:dyDescent="0.25">
      <c r="A8931" t="str">
        <f>"1255600607"</f>
        <v>1255600607</v>
      </c>
      <c r="C8931" t="s">
        <v>13436</v>
      </c>
      <c r="K8931" t="s">
        <v>99</v>
      </c>
      <c r="L8931" t="s">
        <v>102</v>
      </c>
      <c r="M8931" t="s">
        <v>75</v>
      </c>
      <c r="R8931" t="s">
        <v>38033</v>
      </c>
      <c r="S8931" t="s">
        <v>38034</v>
      </c>
      <c r="T8931" t="s">
        <v>31584</v>
      </c>
      <c r="U8931" t="s">
        <v>4604</v>
      </c>
      <c r="V8931" t="str">
        <f>"394017246"</f>
        <v>394017246</v>
      </c>
      <c r="AC8931" t="s">
        <v>79</v>
      </c>
      <c r="AD8931" t="s">
        <v>75</v>
      </c>
      <c r="AE8931" t="s">
        <v>103</v>
      </c>
      <c r="AG8931" t="s">
        <v>81</v>
      </c>
    </row>
    <row r="8932" spans="1:33" x14ac:dyDescent="0.25">
      <c r="A8932" t="str">
        <f>"1255607222"</f>
        <v>1255607222</v>
      </c>
      <c r="C8932" t="s">
        <v>13436</v>
      </c>
      <c r="K8932" t="s">
        <v>99</v>
      </c>
      <c r="L8932" t="s">
        <v>102</v>
      </c>
      <c r="M8932" t="s">
        <v>75</v>
      </c>
      <c r="R8932" t="s">
        <v>38035</v>
      </c>
      <c r="S8932" t="s">
        <v>38036</v>
      </c>
      <c r="T8932" t="s">
        <v>13682</v>
      </c>
      <c r="U8932" t="s">
        <v>12526</v>
      </c>
      <c r="V8932" t="str">
        <f>"009695262"</f>
        <v>009695262</v>
      </c>
      <c r="AC8932" t="s">
        <v>79</v>
      </c>
      <c r="AD8932" t="s">
        <v>75</v>
      </c>
      <c r="AE8932" t="s">
        <v>103</v>
      </c>
      <c r="AG8932" t="s">
        <v>81</v>
      </c>
    </row>
    <row r="8933" spans="1:33" x14ac:dyDescent="0.25">
      <c r="A8933" t="str">
        <f>"1134461312"</f>
        <v>1134461312</v>
      </c>
      <c r="C8933" t="s">
        <v>13436</v>
      </c>
      <c r="K8933" t="s">
        <v>99</v>
      </c>
      <c r="L8933" t="s">
        <v>102</v>
      </c>
      <c r="M8933" t="s">
        <v>75</v>
      </c>
      <c r="R8933" t="s">
        <v>38037</v>
      </c>
      <c r="S8933" t="s">
        <v>329</v>
      </c>
      <c r="T8933" t="s">
        <v>97</v>
      </c>
      <c r="U8933" t="s">
        <v>77</v>
      </c>
      <c r="V8933" t="str">
        <f>"100296574"</f>
        <v>100296574</v>
      </c>
      <c r="AC8933" t="s">
        <v>79</v>
      </c>
      <c r="AD8933" t="s">
        <v>75</v>
      </c>
      <c r="AE8933" t="s">
        <v>103</v>
      </c>
      <c r="AG8933" t="s">
        <v>81</v>
      </c>
    </row>
    <row r="8934" spans="1:33" x14ac:dyDescent="0.25">
      <c r="A8934" t="str">
        <f>"1295153385"</f>
        <v>1295153385</v>
      </c>
      <c r="C8934" t="s">
        <v>13436</v>
      </c>
      <c r="K8934" t="s">
        <v>99</v>
      </c>
      <c r="L8934" t="s">
        <v>102</v>
      </c>
      <c r="M8934" t="s">
        <v>75</v>
      </c>
      <c r="R8934" t="s">
        <v>38038</v>
      </c>
      <c r="S8934" t="s">
        <v>38039</v>
      </c>
      <c r="T8934" t="s">
        <v>302</v>
      </c>
      <c r="U8934" t="s">
        <v>77</v>
      </c>
      <c r="V8934" t="str">
        <f>"125536438"</f>
        <v>125536438</v>
      </c>
      <c r="AC8934" t="s">
        <v>79</v>
      </c>
      <c r="AD8934" t="s">
        <v>75</v>
      </c>
      <c r="AE8934" t="s">
        <v>103</v>
      </c>
      <c r="AG8934" t="s">
        <v>81</v>
      </c>
    </row>
    <row r="8935" spans="1:33" x14ac:dyDescent="0.25">
      <c r="A8935" t="str">
        <f>"1235579202"</f>
        <v>1235579202</v>
      </c>
      <c r="C8935" t="s">
        <v>13436</v>
      </c>
      <c r="K8935" t="s">
        <v>99</v>
      </c>
      <c r="L8935" t="s">
        <v>102</v>
      </c>
      <c r="M8935" t="s">
        <v>75</v>
      </c>
      <c r="R8935" t="s">
        <v>38040</v>
      </c>
      <c r="S8935" t="s">
        <v>38041</v>
      </c>
      <c r="T8935" t="s">
        <v>38042</v>
      </c>
      <c r="U8935" t="s">
        <v>2634</v>
      </c>
      <c r="V8935" t="str">
        <f>"731043252"</f>
        <v>731043252</v>
      </c>
      <c r="AC8935" t="s">
        <v>79</v>
      </c>
      <c r="AD8935" t="s">
        <v>75</v>
      </c>
      <c r="AE8935" t="s">
        <v>103</v>
      </c>
      <c r="AG8935" t="s">
        <v>81</v>
      </c>
    </row>
    <row r="8936" spans="1:33" x14ac:dyDescent="0.25">
      <c r="A8936" t="str">
        <f>"1245212703"</f>
        <v>1245212703</v>
      </c>
      <c r="B8936" t="str">
        <f>"02669083"</f>
        <v>02669083</v>
      </c>
      <c r="C8936" t="s">
        <v>13436</v>
      </c>
      <c r="D8936" t="s">
        <v>38043</v>
      </c>
      <c r="E8936" t="s">
        <v>38044</v>
      </c>
      <c r="G8936" t="s">
        <v>38045</v>
      </c>
      <c r="L8936" t="s">
        <v>74</v>
      </c>
      <c r="M8936" t="s">
        <v>85</v>
      </c>
      <c r="R8936" t="s">
        <v>38046</v>
      </c>
      <c r="W8936" t="s">
        <v>38044</v>
      </c>
      <c r="X8936" t="s">
        <v>329</v>
      </c>
      <c r="Y8936" t="s">
        <v>97</v>
      </c>
      <c r="Z8936" t="s">
        <v>77</v>
      </c>
      <c r="AA8936" t="str">
        <f>"10029-6500"</f>
        <v>10029-6500</v>
      </c>
      <c r="AB8936" t="s">
        <v>78</v>
      </c>
      <c r="AC8936" t="s">
        <v>79</v>
      </c>
      <c r="AD8936" t="s">
        <v>75</v>
      </c>
      <c r="AE8936" t="s">
        <v>80</v>
      </c>
      <c r="AG8936" t="s">
        <v>81</v>
      </c>
    </row>
    <row r="8937" spans="1:33" x14ac:dyDescent="0.25">
      <c r="A8937" t="str">
        <f>"1356684997"</f>
        <v>1356684997</v>
      </c>
      <c r="C8937" t="s">
        <v>13436</v>
      </c>
      <c r="K8937" t="s">
        <v>99</v>
      </c>
      <c r="L8937" t="s">
        <v>102</v>
      </c>
      <c r="M8937" t="s">
        <v>75</v>
      </c>
      <c r="R8937" t="s">
        <v>38047</v>
      </c>
      <c r="S8937" t="s">
        <v>38048</v>
      </c>
      <c r="T8937" t="s">
        <v>97</v>
      </c>
      <c r="U8937" t="s">
        <v>77</v>
      </c>
      <c r="V8937" t="str">
        <f>"100033821"</f>
        <v>100033821</v>
      </c>
      <c r="AC8937" t="s">
        <v>79</v>
      </c>
      <c r="AD8937" t="s">
        <v>75</v>
      </c>
      <c r="AE8937" t="s">
        <v>103</v>
      </c>
      <c r="AG8937" t="s">
        <v>81</v>
      </c>
    </row>
    <row r="8938" spans="1:33" x14ac:dyDescent="0.25">
      <c r="A8938" t="str">
        <f>"1356696074"</f>
        <v>1356696074</v>
      </c>
      <c r="C8938" t="s">
        <v>13436</v>
      </c>
      <c r="K8938" t="s">
        <v>99</v>
      </c>
      <c r="L8938" t="s">
        <v>102</v>
      </c>
      <c r="M8938" t="s">
        <v>75</v>
      </c>
      <c r="R8938" t="s">
        <v>38049</v>
      </c>
      <c r="S8938" t="s">
        <v>38050</v>
      </c>
      <c r="T8938" t="s">
        <v>97</v>
      </c>
      <c r="U8938" t="s">
        <v>77</v>
      </c>
      <c r="V8938" t="str">
        <f>"10003"</f>
        <v>10003</v>
      </c>
      <c r="AC8938" t="s">
        <v>79</v>
      </c>
      <c r="AD8938" t="s">
        <v>75</v>
      </c>
      <c r="AE8938" t="s">
        <v>103</v>
      </c>
      <c r="AG8938" t="s">
        <v>81</v>
      </c>
    </row>
    <row r="8939" spans="1:33" x14ac:dyDescent="0.25">
      <c r="A8939" t="str">
        <f>"1477998607"</f>
        <v>1477998607</v>
      </c>
      <c r="C8939" t="s">
        <v>13436</v>
      </c>
      <c r="K8939" t="s">
        <v>99</v>
      </c>
      <c r="L8939" t="s">
        <v>102</v>
      </c>
      <c r="M8939" t="s">
        <v>75</v>
      </c>
      <c r="R8939" t="s">
        <v>38051</v>
      </c>
      <c r="S8939" t="s">
        <v>38052</v>
      </c>
      <c r="T8939" t="s">
        <v>38053</v>
      </c>
      <c r="U8939" t="s">
        <v>1784</v>
      </c>
      <c r="V8939" t="str">
        <f>"19611"</f>
        <v>19611</v>
      </c>
      <c r="AC8939" t="s">
        <v>79</v>
      </c>
      <c r="AD8939" t="s">
        <v>75</v>
      </c>
      <c r="AE8939" t="s">
        <v>103</v>
      </c>
      <c r="AG8939" t="s">
        <v>81</v>
      </c>
    </row>
    <row r="8940" spans="1:33" x14ac:dyDescent="0.25">
      <c r="A8940" t="str">
        <f>"1477999878"</f>
        <v>1477999878</v>
      </c>
      <c r="B8940" t="str">
        <f>"04502085"</f>
        <v>04502085</v>
      </c>
      <c r="C8940" t="s">
        <v>13436</v>
      </c>
      <c r="D8940" t="s">
        <v>38054</v>
      </c>
      <c r="E8940" t="s">
        <v>38055</v>
      </c>
      <c r="L8940" t="s">
        <v>74</v>
      </c>
      <c r="M8940" t="s">
        <v>75</v>
      </c>
      <c r="R8940" t="s">
        <v>38055</v>
      </c>
      <c r="W8940" t="s">
        <v>38056</v>
      </c>
      <c r="AB8940" t="s">
        <v>78</v>
      </c>
      <c r="AC8940" t="s">
        <v>79</v>
      </c>
      <c r="AD8940" t="s">
        <v>75</v>
      </c>
      <c r="AE8940" t="s">
        <v>80</v>
      </c>
      <c r="AG8940" t="s">
        <v>81</v>
      </c>
    </row>
    <row r="8941" spans="1:33" x14ac:dyDescent="0.25">
      <c r="A8941" t="str">
        <f>"1487055794"</f>
        <v>1487055794</v>
      </c>
      <c r="C8941" t="s">
        <v>13436</v>
      </c>
      <c r="K8941" t="s">
        <v>99</v>
      </c>
      <c r="L8941" t="s">
        <v>102</v>
      </c>
      <c r="M8941" t="s">
        <v>75</v>
      </c>
      <c r="R8941" t="s">
        <v>38057</v>
      </c>
      <c r="S8941" t="s">
        <v>191</v>
      </c>
      <c r="T8941" t="s">
        <v>97</v>
      </c>
      <c r="U8941" t="s">
        <v>77</v>
      </c>
      <c r="V8941" t="str">
        <f>"100191147"</f>
        <v>100191147</v>
      </c>
      <c r="AC8941" t="s">
        <v>79</v>
      </c>
      <c r="AD8941" t="s">
        <v>75</v>
      </c>
      <c r="AE8941" t="s">
        <v>103</v>
      </c>
      <c r="AG8941" t="s">
        <v>81</v>
      </c>
    </row>
    <row r="8942" spans="1:33" x14ac:dyDescent="0.25">
      <c r="A8942" t="str">
        <f>"1487056255"</f>
        <v>1487056255</v>
      </c>
      <c r="C8942" t="s">
        <v>13436</v>
      </c>
      <c r="K8942" t="s">
        <v>99</v>
      </c>
      <c r="L8942" t="s">
        <v>102</v>
      </c>
      <c r="M8942" t="s">
        <v>75</v>
      </c>
      <c r="R8942" t="s">
        <v>38058</v>
      </c>
      <c r="S8942" t="s">
        <v>181</v>
      </c>
      <c r="T8942" t="s">
        <v>97</v>
      </c>
      <c r="U8942" t="s">
        <v>77</v>
      </c>
      <c r="V8942" t="str">
        <f>"100251716"</f>
        <v>100251716</v>
      </c>
      <c r="AC8942" t="s">
        <v>79</v>
      </c>
      <c r="AD8942" t="s">
        <v>75</v>
      </c>
      <c r="AE8942" t="s">
        <v>103</v>
      </c>
      <c r="AG8942" t="s">
        <v>81</v>
      </c>
    </row>
    <row r="8943" spans="1:33" x14ac:dyDescent="0.25">
      <c r="A8943" t="str">
        <f>"1487071734"</f>
        <v>1487071734</v>
      </c>
      <c r="C8943" t="s">
        <v>13436</v>
      </c>
      <c r="K8943" t="s">
        <v>99</v>
      </c>
      <c r="L8943" t="s">
        <v>102</v>
      </c>
      <c r="M8943" t="s">
        <v>75</v>
      </c>
      <c r="R8943" t="s">
        <v>38059</v>
      </c>
      <c r="S8943" t="s">
        <v>38060</v>
      </c>
      <c r="T8943" t="s">
        <v>4567</v>
      </c>
      <c r="U8943" t="s">
        <v>4544</v>
      </c>
      <c r="V8943" t="str">
        <f>"481505413"</f>
        <v>481505413</v>
      </c>
      <c r="AC8943" t="s">
        <v>79</v>
      </c>
      <c r="AD8943" t="s">
        <v>75</v>
      </c>
      <c r="AE8943" t="s">
        <v>103</v>
      </c>
      <c r="AG8943" t="s">
        <v>81</v>
      </c>
    </row>
    <row r="8944" spans="1:33" x14ac:dyDescent="0.25">
      <c r="A8944" t="str">
        <f>"1487071742"</f>
        <v>1487071742</v>
      </c>
      <c r="C8944" t="s">
        <v>13436</v>
      </c>
      <c r="K8944" t="s">
        <v>99</v>
      </c>
      <c r="L8944" t="s">
        <v>102</v>
      </c>
      <c r="M8944" t="s">
        <v>75</v>
      </c>
      <c r="R8944" t="s">
        <v>38061</v>
      </c>
      <c r="S8944" t="s">
        <v>3553</v>
      </c>
      <c r="T8944" t="s">
        <v>97</v>
      </c>
      <c r="U8944" t="s">
        <v>77</v>
      </c>
      <c r="V8944" t="str">
        <f>"100033851"</f>
        <v>100033851</v>
      </c>
      <c r="AC8944" t="s">
        <v>79</v>
      </c>
      <c r="AD8944" t="s">
        <v>75</v>
      </c>
      <c r="AE8944" t="s">
        <v>103</v>
      </c>
      <c r="AG8944" t="s">
        <v>81</v>
      </c>
    </row>
    <row r="8945" spans="1:33" x14ac:dyDescent="0.25">
      <c r="A8945" t="str">
        <f>"1538354857"</f>
        <v>1538354857</v>
      </c>
      <c r="B8945" t="str">
        <f>"02916998"</f>
        <v>02916998</v>
      </c>
      <c r="C8945" t="s">
        <v>13436</v>
      </c>
      <c r="D8945" t="s">
        <v>38062</v>
      </c>
      <c r="E8945" t="s">
        <v>38063</v>
      </c>
      <c r="G8945" t="s">
        <v>38064</v>
      </c>
      <c r="L8945" t="s">
        <v>83</v>
      </c>
      <c r="M8945" t="s">
        <v>85</v>
      </c>
      <c r="R8945" t="s">
        <v>38065</v>
      </c>
      <c r="W8945" t="s">
        <v>38063</v>
      </c>
      <c r="X8945" t="s">
        <v>7850</v>
      </c>
      <c r="Y8945" t="s">
        <v>97</v>
      </c>
      <c r="Z8945" t="s">
        <v>77</v>
      </c>
      <c r="AA8945" t="str">
        <f>"10029-6501"</f>
        <v>10029-6501</v>
      </c>
      <c r="AB8945" t="s">
        <v>78</v>
      </c>
      <c r="AC8945" t="s">
        <v>79</v>
      </c>
      <c r="AD8945" t="s">
        <v>75</v>
      </c>
      <c r="AE8945" t="s">
        <v>80</v>
      </c>
      <c r="AG8945" t="s">
        <v>81</v>
      </c>
    </row>
    <row r="8946" spans="1:33" x14ac:dyDescent="0.25">
      <c r="A8946" t="str">
        <f>"1538370630"</f>
        <v>1538370630</v>
      </c>
      <c r="B8946" t="str">
        <f>"03360116"</f>
        <v>03360116</v>
      </c>
      <c r="C8946" t="s">
        <v>13436</v>
      </c>
      <c r="D8946" t="s">
        <v>38066</v>
      </c>
      <c r="E8946" t="s">
        <v>38067</v>
      </c>
      <c r="G8946" t="s">
        <v>38068</v>
      </c>
      <c r="L8946" t="s">
        <v>74</v>
      </c>
      <c r="M8946" t="s">
        <v>85</v>
      </c>
      <c r="R8946" t="s">
        <v>38069</v>
      </c>
      <c r="W8946" t="s">
        <v>38067</v>
      </c>
      <c r="X8946" t="s">
        <v>38070</v>
      </c>
      <c r="Y8946" t="s">
        <v>3087</v>
      </c>
      <c r="Z8946" t="s">
        <v>77</v>
      </c>
      <c r="AA8946" t="str">
        <f>"10591-1019"</f>
        <v>10591-1019</v>
      </c>
      <c r="AB8946" t="s">
        <v>78</v>
      </c>
      <c r="AC8946" t="s">
        <v>79</v>
      </c>
      <c r="AD8946" t="s">
        <v>75</v>
      </c>
      <c r="AE8946" t="s">
        <v>80</v>
      </c>
      <c r="AG8946" t="s">
        <v>81</v>
      </c>
    </row>
    <row r="8947" spans="1:33" x14ac:dyDescent="0.25">
      <c r="A8947" t="str">
        <f>"1013112622"</f>
        <v>1013112622</v>
      </c>
      <c r="B8947" t="str">
        <f>"03656282"</f>
        <v>03656282</v>
      </c>
      <c r="C8947" t="s">
        <v>13436</v>
      </c>
      <c r="D8947" t="s">
        <v>38071</v>
      </c>
      <c r="E8947" t="s">
        <v>38072</v>
      </c>
      <c r="G8947" t="s">
        <v>38073</v>
      </c>
      <c r="L8947" t="s">
        <v>83</v>
      </c>
      <c r="M8947" t="s">
        <v>85</v>
      </c>
      <c r="R8947" t="s">
        <v>38074</v>
      </c>
      <c r="W8947" t="s">
        <v>38072</v>
      </c>
      <c r="X8947" t="s">
        <v>14992</v>
      </c>
      <c r="Y8947" t="s">
        <v>97</v>
      </c>
      <c r="Z8947" t="s">
        <v>77</v>
      </c>
      <c r="AA8947" t="str">
        <f>"10029-6503"</f>
        <v>10029-6503</v>
      </c>
      <c r="AB8947" t="s">
        <v>78</v>
      </c>
      <c r="AC8947" t="s">
        <v>79</v>
      </c>
      <c r="AD8947" t="s">
        <v>75</v>
      </c>
      <c r="AE8947" t="s">
        <v>80</v>
      </c>
      <c r="AG8947" t="s">
        <v>81</v>
      </c>
    </row>
    <row r="8948" spans="1:33" x14ac:dyDescent="0.25">
      <c r="A8948" t="str">
        <f>"1013162171"</f>
        <v>1013162171</v>
      </c>
      <c r="C8948" t="s">
        <v>13436</v>
      </c>
      <c r="G8948" t="s">
        <v>38075</v>
      </c>
      <c r="K8948" t="s">
        <v>99</v>
      </c>
      <c r="L8948" t="s">
        <v>74</v>
      </c>
      <c r="M8948" t="s">
        <v>75</v>
      </c>
      <c r="R8948" t="s">
        <v>38076</v>
      </c>
      <c r="S8948" t="s">
        <v>38077</v>
      </c>
      <c r="T8948" t="s">
        <v>97</v>
      </c>
      <c r="U8948" t="s">
        <v>77</v>
      </c>
      <c r="V8948" t="str">
        <f>"100296501"</f>
        <v>100296501</v>
      </c>
      <c r="AC8948" t="s">
        <v>79</v>
      </c>
      <c r="AD8948" t="s">
        <v>75</v>
      </c>
      <c r="AE8948" t="s">
        <v>103</v>
      </c>
      <c r="AG8948" t="s">
        <v>81</v>
      </c>
    </row>
    <row r="8949" spans="1:33" x14ac:dyDescent="0.25">
      <c r="A8949" t="str">
        <f>"1700227519"</f>
        <v>1700227519</v>
      </c>
      <c r="C8949" t="s">
        <v>13436</v>
      </c>
      <c r="K8949" t="s">
        <v>99</v>
      </c>
      <c r="L8949" t="s">
        <v>102</v>
      </c>
      <c r="M8949" t="s">
        <v>75</v>
      </c>
      <c r="R8949" t="s">
        <v>38078</v>
      </c>
      <c r="S8949" t="s">
        <v>38079</v>
      </c>
      <c r="T8949" t="s">
        <v>38080</v>
      </c>
      <c r="U8949" t="s">
        <v>673</v>
      </c>
      <c r="V8949" t="str">
        <f>"405043751"</f>
        <v>405043751</v>
      </c>
      <c r="AC8949" t="s">
        <v>79</v>
      </c>
      <c r="AD8949" t="s">
        <v>75</v>
      </c>
      <c r="AE8949" t="s">
        <v>103</v>
      </c>
      <c r="AG8949" t="s">
        <v>81</v>
      </c>
    </row>
    <row r="8950" spans="1:33" x14ac:dyDescent="0.25">
      <c r="A8950" t="str">
        <f>"1700290103"</f>
        <v>1700290103</v>
      </c>
      <c r="C8950" t="s">
        <v>13436</v>
      </c>
      <c r="K8950" t="s">
        <v>99</v>
      </c>
      <c r="L8950" t="s">
        <v>102</v>
      </c>
      <c r="M8950" t="s">
        <v>75</v>
      </c>
      <c r="R8950" t="s">
        <v>38081</v>
      </c>
      <c r="S8950" t="s">
        <v>38082</v>
      </c>
      <c r="T8950" t="s">
        <v>2128</v>
      </c>
      <c r="U8950" t="s">
        <v>31496</v>
      </c>
      <c r="V8950" t="str">
        <f>"257013656"</f>
        <v>257013656</v>
      </c>
      <c r="AC8950" t="s">
        <v>79</v>
      </c>
      <c r="AD8950" t="s">
        <v>75</v>
      </c>
      <c r="AE8950" t="s">
        <v>103</v>
      </c>
      <c r="AG8950" t="s">
        <v>81</v>
      </c>
    </row>
    <row r="8951" spans="1:33" x14ac:dyDescent="0.25">
      <c r="A8951" t="str">
        <f>"1700291804"</f>
        <v>1700291804</v>
      </c>
      <c r="C8951" t="s">
        <v>13436</v>
      </c>
      <c r="K8951" t="s">
        <v>99</v>
      </c>
      <c r="L8951" t="s">
        <v>102</v>
      </c>
      <c r="M8951" t="s">
        <v>75</v>
      </c>
      <c r="R8951" t="s">
        <v>38083</v>
      </c>
      <c r="S8951" t="s">
        <v>181</v>
      </c>
      <c r="T8951" t="s">
        <v>97</v>
      </c>
      <c r="U8951" t="s">
        <v>77</v>
      </c>
      <c r="V8951" t="str">
        <f>"100251716"</f>
        <v>100251716</v>
      </c>
      <c r="AC8951" t="s">
        <v>79</v>
      </c>
      <c r="AD8951" t="s">
        <v>75</v>
      </c>
      <c r="AE8951" t="s">
        <v>103</v>
      </c>
      <c r="AG8951" t="s">
        <v>81</v>
      </c>
    </row>
    <row r="8952" spans="1:33" x14ac:dyDescent="0.25">
      <c r="A8952" t="str">
        <f>"1700296738"</f>
        <v>1700296738</v>
      </c>
      <c r="C8952" t="s">
        <v>13436</v>
      </c>
      <c r="K8952" t="s">
        <v>99</v>
      </c>
      <c r="L8952" t="s">
        <v>102</v>
      </c>
      <c r="M8952" t="s">
        <v>75</v>
      </c>
      <c r="R8952" t="s">
        <v>38084</v>
      </c>
      <c r="S8952" t="s">
        <v>181</v>
      </c>
      <c r="T8952" t="s">
        <v>97</v>
      </c>
      <c r="U8952" t="s">
        <v>77</v>
      </c>
      <c r="V8952" t="str">
        <f>"100251716"</f>
        <v>100251716</v>
      </c>
      <c r="AC8952" t="s">
        <v>79</v>
      </c>
      <c r="AD8952" t="s">
        <v>75</v>
      </c>
      <c r="AE8952" t="s">
        <v>103</v>
      </c>
      <c r="AG8952" t="s">
        <v>81</v>
      </c>
    </row>
    <row r="8953" spans="1:33" x14ac:dyDescent="0.25">
      <c r="A8953" t="str">
        <f>"1700297942"</f>
        <v>1700297942</v>
      </c>
      <c r="C8953" t="s">
        <v>13436</v>
      </c>
      <c r="K8953" t="s">
        <v>99</v>
      </c>
      <c r="L8953" t="s">
        <v>102</v>
      </c>
      <c r="M8953" t="s">
        <v>75</v>
      </c>
      <c r="R8953" t="s">
        <v>38085</v>
      </c>
      <c r="S8953" t="s">
        <v>2838</v>
      </c>
      <c r="T8953" t="s">
        <v>97</v>
      </c>
      <c r="U8953" t="s">
        <v>77</v>
      </c>
      <c r="V8953" t="str">
        <f>"100033105"</f>
        <v>100033105</v>
      </c>
      <c r="AC8953" t="s">
        <v>79</v>
      </c>
      <c r="AD8953" t="s">
        <v>75</v>
      </c>
      <c r="AE8953" t="s">
        <v>103</v>
      </c>
      <c r="AG8953" t="s">
        <v>81</v>
      </c>
    </row>
    <row r="8954" spans="1:33" x14ac:dyDescent="0.25">
      <c r="A8954" t="str">
        <f>"1700829108"</f>
        <v>1700829108</v>
      </c>
      <c r="B8954" t="str">
        <f>"02551155"</f>
        <v>02551155</v>
      </c>
      <c r="C8954" t="s">
        <v>13436</v>
      </c>
      <c r="D8954" t="s">
        <v>38086</v>
      </c>
      <c r="E8954" t="s">
        <v>38087</v>
      </c>
      <c r="G8954" t="s">
        <v>38088</v>
      </c>
      <c r="L8954" t="s">
        <v>94</v>
      </c>
      <c r="M8954" t="s">
        <v>75</v>
      </c>
      <c r="R8954" t="s">
        <v>38089</v>
      </c>
      <c r="W8954" t="s">
        <v>38087</v>
      </c>
      <c r="X8954" t="s">
        <v>38090</v>
      </c>
      <c r="Y8954" t="s">
        <v>190</v>
      </c>
      <c r="Z8954" t="s">
        <v>77</v>
      </c>
      <c r="AA8954" t="str">
        <f>"11102-2445"</f>
        <v>11102-2445</v>
      </c>
      <c r="AB8954" t="s">
        <v>78</v>
      </c>
      <c r="AC8954" t="s">
        <v>79</v>
      </c>
      <c r="AD8954" t="s">
        <v>75</v>
      </c>
      <c r="AE8954" t="s">
        <v>80</v>
      </c>
      <c r="AG8954" t="s">
        <v>81</v>
      </c>
    </row>
    <row r="8955" spans="1:33" x14ac:dyDescent="0.25">
      <c r="A8955" t="str">
        <f>"1750535340"</f>
        <v>1750535340</v>
      </c>
      <c r="B8955" t="str">
        <f>"03129119"</f>
        <v>03129119</v>
      </c>
      <c r="C8955" t="s">
        <v>13436</v>
      </c>
      <c r="D8955" t="s">
        <v>38091</v>
      </c>
      <c r="E8955" t="s">
        <v>38092</v>
      </c>
      <c r="G8955" t="s">
        <v>38093</v>
      </c>
      <c r="L8955" t="s">
        <v>74</v>
      </c>
      <c r="M8955" t="s">
        <v>75</v>
      </c>
      <c r="R8955" t="s">
        <v>38094</v>
      </c>
      <c r="W8955" t="s">
        <v>38092</v>
      </c>
      <c r="X8955" t="s">
        <v>235</v>
      </c>
      <c r="Y8955" t="s">
        <v>236</v>
      </c>
      <c r="Z8955" t="s">
        <v>77</v>
      </c>
      <c r="AA8955" t="str">
        <f>"11102-2448"</f>
        <v>11102-2448</v>
      </c>
      <c r="AB8955" t="s">
        <v>78</v>
      </c>
      <c r="AC8955" t="s">
        <v>79</v>
      </c>
      <c r="AD8955" t="s">
        <v>75</v>
      </c>
      <c r="AE8955" t="s">
        <v>80</v>
      </c>
      <c r="AG8955" t="s">
        <v>81</v>
      </c>
    </row>
    <row r="8956" spans="1:33" x14ac:dyDescent="0.25">
      <c r="A8956" t="str">
        <f>"1750543039"</f>
        <v>1750543039</v>
      </c>
      <c r="B8956" t="str">
        <f>"03924265"</f>
        <v>03924265</v>
      </c>
      <c r="C8956" t="s">
        <v>13436</v>
      </c>
      <c r="D8956" t="s">
        <v>38095</v>
      </c>
      <c r="E8956" t="s">
        <v>38096</v>
      </c>
      <c r="G8956" t="s">
        <v>38097</v>
      </c>
      <c r="L8956" t="s">
        <v>83</v>
      </c>
      <c r="M8956" t="s">
        <v>75</v>
      </c>
      <c r="R8956" t="s">
        <v>38096</v>
      </c>
      <c r="W8956" t="s">
        <v>38096</v>
      </c>
      <c r="X8956" t="s">
        <v>5816</v>
      </c>
      <c r="Y8956" t="s">
        <v>97</v>
      </c>
      <c r="Z8956" t="s">
        <v>77</v>
      </c>
      <c r="AA8956" t="str">
        <f>"10029-9998"</f>
        <v>10029-9998</v>
      </c>
      <c r="AB8956" t="s">
        <v>78</v>
      </c>
      <c r="AC8956" t="s">
        <v>79</v>
      </c>
      <c r="AD8956" t="s">
        <v>75</v>
      </c>
      <c r="AE8956" t="s">
        <v>80</v>
      </c>
      <c r="AG8956" t="s">
        <v>81</v>
      </c>
    </row>
    <row r="8957" spans="1:33" x14ac:dyDescent="0.25">
      <c r="A8957" t="str">
        <f>"1750544938"</f>
        <v>1750544938</v>
      </c>
      <c r="B8957" t="str">
        <f>"03185068"</f>
        <v>03185068</v>
      </c>
      <c r="C8957" t="s">
        <v>13436</v>
      </c>
      <c r="D8957" t="s">
        <v>38098</v>
      </c>
      <c r="E8957" t="s">
        <v>38099</v>
      </c>
      <c r="G8957" t="s">
        <v>38100</v>
      </c>
      <c r="L8957" t="s">
        <v>74</v>
      </c>
      <c r="M8957" t="s">
        <v>75</v>
      </c>
      <c r="R8957" t="s">
        <v>38101</v>
      </c>
      <c r="W8957" t="s">
        <v>38101</v>
      </c>
      <c r="X8957" t="s">
        <v>3433</v>
      </c>
      <c r="Y8957" t="s">
        <v>97</v>
      </c>
      <c r="Z8957" t="s">
        <v>77</v>
      </c>
      <c r="AA8957" t="str">
        <f>"10003-3805"</f>
        <v>10003-3805</v>
      </c>
      <c r="AB8957" t="s">
        <v>78</v>
      </c>
      <c r="AC8957" t="s">
        <v>79</v>
      </c>
      <c r="AD8957" t="s">
        <v>75</v>
      </c>
      <c r="AE8957" t="s">
        <v>80</v>
      </c>
      <c r="AG8957" t="s">
        <v>81</v>
      </c>
    </row>
    <row r="8958" spans="1:33" x14ac:dyDescent="0.25">
      <c r="A8958" t="str">
        <f>"1750600599"</f>
        <v>1750600599</v>
      </c>
      <c r="B8958" t="str">
        <f>"03915666"</f>
        <v>03915666</v>
      </c>
      <c r="C8958" t="s">
        <v>13436</v>
      </c>
      <c r="D8958" t="s">
        <v>38102</v>
      </c>
      <c r="E8958" t="s">
        <v>38103</v>
      </c>
      <c r="G8958" t="s">
        <v>38104</v>
      </c>
      <c r="L8958" t="s">
        <v>83</v>
      </c>
      <c r="M8958" t="s">
        <v>75</v>
      </c>
      <c r="R8958" t="s">
        <v>38105</v>
      </c>
      <c r="W8958" t="s">
        <v>38106</v>
      </c>
      <c r="X8958" t="s">
        <v>3392</v>
      </c>
      <c r="Y8958" t="s">
        <v>97</v>
      </c>
      <c r="Z8958" t="s">
        <v>77</v>
      </c>
      <c r="AA8958" t="str">
        <f>"10003-0000"</f>
        <v>10003-0000</v>
      </c>
      <c r="AB8958" t="s">
        <v>78</v>
      </c>
      <c r="AC8958" t="s">
        <v>79</v>
      </c>
      <c r="AD8958" t="s">
        <v>75</v>
      </c>
      <c r="AE8958" t="s">
        <v>80</v>
      </c>
      <c r="AG8958" t="s">
        <v>81</v>
      </c>
    </row>
    <row r="8959" spans="1:33" x14ac:dyDescent="0.25">
      <c r="A8959" t="str">
        <f>"1750608485"</f>
        <v>1750608485</v>
      </c>
      <c r="C8959" t="s">
        <v>13436</v>
      </c>
      <c r="K8959" t="s">
        <v>99</v>
      </c>
      <c r="L8959" t="s">
        <v>102</v>
      </c>
      <c r="M8959" t="s">
        <v>75</v>
      </c>
      <c r="R8959" t="s">
        <v>983</v>
      </c>
      <c r="S8959" t="s">
        <v>329</v>
      </c>
      <c r="T8959" t="s">
        <v>97</v>
      </c>
      <c r="U8959" t="s">
        <v>77</v>
      </c>
      <c r="V8959" t="str">
        <f>"100296574"</f>
        <v>100296574</v>
      </c>
      <c r="AC8959" t="s">
        <v>79</v>
      </c>
      <c r="AD8959" t="s">
        <v>75</v>
      </c>
      <c r="AE8959" t="s">
        <v>103</v>
      </c>
      <c r="AG8959" t="s">
        <v>81</v>
      </c>
    </row>
    <row r="8960" spans="1:33" x14ac:dyDescent="0.25">
      <c r="A8960" t="str">
        <f>"1750624037"</f>
        <v>1750624037</v>
      </c>
      <c r="B8960" t="str">
        <f>"04534552"</f>
        <v>04534552</v>
      </c>
      <c r="C8960" t="s">
        <v>13436</v>
      </c>
      <c r="D8960" t="s">
        <v>38107</v>
      </c>
      <c r="E8960" t="s">
        <v>38108</v>
      </c>
      <c r="L8960" t="s">
        <v>74</v>
      </c>
      <c r="M8960" t="s">
        <v>75</v>
      </c>
      <c r="R8960" t="s">
        <v>38109</v>
      </c>
      <c r="W8960" t="s">
        <v>38108</v>
      </c>
      <c r="AB8960" t="s">
        <v>78</v>
      </c>
      <c r="AC8960" t="s">
        <v>79</v>
      </c>
      <c r="AD8960" t="s">
        <v>75</v>
      </c>
      <c r="AE8960" t="s">
        <v>80</v>
      </c>
      <c r="AG8960" t="s">
        <v>81</v>
      </c>
    </row>
    <row r="8961" spans="1:33" x14ac:dyDescent="0.25">
      <c r="A8961" t="str">
        <f>"1619316825"</f>
        <v>1619316825</v>
      </c>
      <c r="C8961" t="s">
        <v>13436</v>
      </c>
      <c r="G8961" t="s">
        <v>38110</v>
      </c>
      <c r="K8961" t="s">
        <v>99</v>
      </c>
      <c r="L8961" t="s">
        <v>102</v>
      </c>
      <c r="M8961" t="s">
        <v>75</v>
      </c>
      <c r="R8961" t="s">
        <v>38111</v>
      </c>
      <c r="S8961" t="s">
        <v>13901</v>
      </c>
      <c r="T8961" t="s">
        <v>97</v>
      </c>
      <c r="U8961" t="s">
        <v>77</v>
      </c>
      <c r="V8961" t="str">
        <f>"100353832"</f>
        <v>100353832</v>
      </c>
      <c r="AC8961" t="s">
        <v>79</v>
      </c>
      <c r="AD8961" t="s">
        <v>75</v>
      </c>
      <c r="AE8961" t="s">
        <v>103</v>
      </c>
      <c r="AG8961" t="s">
        <v>81</v>
      </c>
    </row>
    <row r="8962" spans="1:33" x14ac:dyDescent="0.25">
      <c r="A8962" t="str">
        <f>"1619383775"</f>
        <v>1619383775</v>
      </c>
      <c r="C8962" t="s">
        <v>13436</v>
      </c>
      <c r="K8962" t="s">
        <v>99</v>
      </c>
      <c r="L8962" t="s">
        <v>102</v>
      </c>
      <c r="M8962" t="s">
        <v>75</v>
      </c>
      <c r="R8962" t="s">
        <v>38112</v>
      </c>
      <c r="S8962" t="s">
        <v>38113</v>
      </c>
      <c r="T8962" t="s">
        <v>97</v>
      </c>
      <c r="U8962" t="s">
        <v>77</v>
      </c>
      <c r="V8962" t="str">
        <f>"100191047"</f>
        <v>100191047</v>
      </c>
      <c r="AC8962" t="s">
        <v>79</v>
      </c>
      <c r="AD8962" t="s">
        <v>75</v>
      </c>
      <c r="AE8962" t="s">
        <v>103</v>
      </c>
      <c r="AG8962" t="s">
        <v>81</v>
      </c>
    </row>
    <row r="8963" spans="1:33" x14ac:dyDescent="0.25">
      <c r="A8963" t="str">
        <f>"1619394574"</f>
        <v>1619394574</v>
      </c>
      <c r="C8963" t="s">
        <v>13436</v>
      </c>
      <c r="K8963" t="s">
        <v>99</v>
      </c>
      <c r="L8963" t="s">
        <v>102</v>
      </c>
      <c r="M8963" t="s">
        <v>75</v>
      </c>
      <c r="R8963" t="s">
        <v>38114</v>
      </c>
      <c r="S8963" t="s">
        <v>38115</v>
      </c>
      <c r="T8963" t="s">
        <v>97</v>
      </c>
      <c r="U8963" t="s">
        <v>77</v>
      </c>
      <c r="V8963" t="str">
        <f>"100296504"</f>
        <v>100296504</v>
      </c>
      <c r="AC8963" t="s">
        <v>79</v>
      </c>
      <c r="AD8963" t="s">
        <v>75</v>
      </c>
      <c r="AE8963" t="s">
        <v>103</v>
      </c>
      <c r="AG8963" t="s">
        <v>81</v>
      </c>
    </row>
    <row r="8964" spans="1:33" x14ac:dyDescent="0.25">
      <c r="A8964" t="str">
        <f>"1376820217"</f>
        <v>1376820217</v>
      </c>
      <c r="C8964" t="s">
        <v>13436</v>
      </c>
      <c r="G8964" t="s">
        <v>38116</v>
      </c>
      <c r="K8964" t="s">
        <v>99</v>
      </c>
      <c r="L8964" t="s">
        <v>102</v>
      </c>
      <c r="M8964" t="s">
        <v>75</v>
      </c>
      <c r="R8964" t="s">
        <v>4636</v>
      </c>
      <c r="S8964" t="s">
        <v>38117</v>
      </c>
      <c r="T8964" t="s">
        <v>38118</v>
      </c>
      <c r="U8964" t="s">
        <v>123</v>
      </c>
      <c r="V8964" t="str">
        <f>"010691138"</f>
        <v>010691138</v>
      </c>
      <c r="AC8964" t="s">
        <v>79</v>
      </c>
      <c r="AD8964" t="s">
        <v>75</v>
      </c>
      <c r="AE8964" t="s">
        <v>103</v>
      </c>
      <c r="AG8964" t="s">
        <v>81</v>
      </c>
    </row>
    <row r="8965" spans="1:33" x14ac:dyDescent="0.25">
      <c r="A8965" t="str">
        <f>"1053554121"</f>
        <v>1053554121</v>
      </c>
      <c r="B8965" t="str">
        <f>"04438551"</f>
        <v>04438551</v>
      </c>
      <c r="C8965" t="s">
        <v>13436</v>
      </c>
      <c r="D8965" t="s">
        <v>38119</v>
      </c>
      <c r="E8965" t="s">
        <v>38120</v>
      </c>
      <c r="L8965" t="s">
        <v>102</v>
      </c>
      <c r="M8965" t="s">
        <v>75</v>
      </c>
      <c r="R8965" t="s">
        <v>38121</v>
      </c>
      <c r="W8965" t="s">
        <v>38120</v>
      </c>
      <c r="AB8965" t="s">
        <v>78</v>
      </c>
      <c r="AC8965" t="s">
        <v>79</v>
      </c>
      <c r="AD8965" t="s">
        <v>75</v>
      </c>
      <c r="AE8965" t="s">
        <v>80</v>
      </c>
      <c r="AG8965" t="s">
        <v>81</v>
      </c>
    </row>
    <row r="8966" spans="1:33" x14ac:dyDescent="0.25">
      <c r="A8966" t="str">
        <f>"1578679031"</f>
        <v>1578679031</v>
      </c>
      <c r="B8966" t="str">
        <f>"02200264"</f>
        <v>02200264</v>
      </c>
      <c r="C8966" t="s">
        <v>38122</v>
      </c>
      <c r="D8966" t="s">
        <v>38123</v>
      </c>
      <c r="E8966" t="s">
        <v>38124</v>
      </c>
      <c r="G8966" t="s">
        <v>23992</v>
      </c>
      <c r="H8966" t="s">
        <v>23993</v>
      </c>
      <c r="J8966" t="s">
        <v>23994</v>
      </c>
      <c r="L8966" t="s">
        <v>83</v>
      </c>
      <c r="M8966" t="s">
        <v>85</v>
      </c>
      <c r="R8966" t="s">
        <v>38125</v>
      </c>
      <c r="W8966" t="s">
        <v>38126</v>
      </c>
      <c r="X8966" t="s">
        <v>202</v>
      </c>
      <c r="Y8966" t="s">
        <v>87</v>
      </c>
      <c r="Z8966" t="s">
        <v>77</v>
      </c>
      <c r="AA8966" t="str">
        <f>"11201-5425"</f>
        <v>11201-5425</v>
      </c>
      <c r="AB8966" t="s">
        <v>78</v>
      </c>
      <c r="AC8966" t="s">
        <v>79</v>
      </c>
      <c r="AD8966" t="s">
        <v>75</v>
      </c>
      <c r="AE8966" t="s">
        <v>80</v>
      </c>
      <c r="AG8966" t="s">
        <v>81</v>
      </c>
    </row>
    <row r="8967" spans="1:33" x14ac:dyDescent="0.25">
      <c r="A8967" t="str">
        <f>"1760777320"</f>
        <v>1760777320</v>
      </c>
      <c r="C8967" t="s">
        <v>13436</v>
      </c>
      <c r="K8967" t="s">
        <v>99</v>
      </c>
      <c r="L8967" t="s">
        <v>102</v>
      </c>
      <c r="M8967" t="s">
        <v>75</v>
      </c>
      <c r="R8967" t="s">
        <v>38127</v>
      </c>
      <c r="S8967" t="s">
        <v>38128</v>
      </c>
      <c r="T8967" t="s">
        <v>97</v>
      </c>
      <c r="U8967" t="s">
        <v>77</v>
      </c>
      <c r="V8967" t="str">
        <f>"100251716"</f>
        <v>100251716</v>
      </c>
      <c r="AC8967" t="s">
        <v>79</v>
      </c>
      <c r="AD8967" t="s">
        <v>75</v>
      </c>
      <c r="AE8967" t="s">
        <v>103</v>
      </c>
      <c r="AG8967" t="s">
        <v>81</v>
      </c>
    </row>
    <row r="8968" spans="1:33" x14ac:dyDescent="0.25">
      <c r="A8968" t="str">
        <f>"1760781546"</f>
        <v>1760781546</v>
      </c>
      <c r="B8968" t="str">
        <f>"04451896"</f>
        <v>04451896</v>
      </c>
      <c r="C8968" t="s">
        <v>13436</v>
      </c>
      <c r="D8968" t="s">
        <v>38129</v>
      </c>
      <c r="E8968" t="s">
        <v>38130</v>
      </c>
      <c r="L8968" t="s">
        <v>102</v>
      </c>
      <c r="M8968" t="s">
        <v>75</v>
      </c>
      <c r="R8968" t="s">
        <v>38130</v>
      </c>
      <c r="W8968" t="s">
        <v>38130</v>
      </c>
      <c r="AB8968" t="s">
        <v>78</v>
      </c>
      <c r="AC8968" t="s">
        <v>79</v>
      </c>
      <c r="AD8968" t="s">
        <v>75</v>
      </c>
      <c r="AE8968" t="s">
        <v>80</v>
      </c>
      <c r="AG8968" t="s">
        <v>81</v>
      </c>
    </row>
    <row r="8969" spans="1:33" x14ac:dyDescent="0.25">
      <c r="A8969" t="str">
        <f>"1760782528"</f>
        <v>1760782528</v>
      </c>
      <c r="B8969" t="str">
        <f>"03303151"</f>
        <v>03303151</v>
      </c>
      <c r="C8969" t="s">
        <v>13436</v>
      </c>
      <c r="D8969" t="s">
        <v>38131</v>
      </c>
      <c r="E8969" t="s">
        <v>38132</v>
      </c>
      <c r="G8969" t="s">
        <v>38133</v>
      </c>
      <c r="L8969" t="s">
        <v>74</v>
      </c>
      <c r="M8969" t="s">
        <v>75</v>
      </c>
      <c r="R8969" t="s">
        <v>38134</v>
      </c>
      <c r="W8969" t="s">
        <v>38132</v>
      </c>
      <c r="X8969" t="s">
        <v>88</v>
      </c>
      <c r="Y8969" t="s">
        <v>89</v>
      </c>
      <c r="Z8969" t="s">
        <v>77</v>
      </c>
      <c r="AA8969" t="str">
        <f>"13905-4246"</f>
        <v>13905-4246</v>
      </c>
      <c r="AB8969" t="s">
        <v>78</v>
      </c>
      <c r="AC8969" t="s">
        <v>79</v>
      </c>
      <c r="AD8969" t="s">
        <v>75</v>
      </c>
      <c r="AE8969" t="s">
        <v>80</v>
      </c>
      <c r="AG8969" t="s">
        <v>81</v>
      </c>
    </row>
    <row r="8970" spans="1:33" x14ac:dyDescent="0.25">
      <c r="A8970" t="str">
        <f>"1760794143"</f>
        <v>1760794143</v>
      </c>
      <c r="C8970" t="s">
        <v>13436</v>
      </c>
      <c r="G8970" t="s">
        <v>38135</v>
      </c>
      <c r="K8970" t="s">
        <v>99</v>
      </c>
      <c r="L8970" t="s">
        <v>74</v>
      </c>
      <c r="M8970" t="s">
        <v>75</v>
      </c>
      <c r="R8970" t="s">
        <v>38136</v>
      </c>
      <c r="S8970" t="s">
        <v>32791</v>
      </c>
      <c r="T8970" t="s">
        <v>97</v>
      </c>
      <c r="U8970" t="s">
        <v>77</v>
      </c>
      <c r="V8970" t="str">
        <f>"100191147"</f>
        <v>100191147</v>
      </c>
      <c r="AC8970" t="s">
        <v>79</v>
      </c>
      <c r="AD8970" t="s">
        <v>75</v>
      </c>
      <c r="AE8970" t="s">
        <v>103</v>
      </c>
      <c r="AG8970" t="s">
        <v>81</v>
      </c>
    </row>
    <row r="8971" spans="1:33" x14ac:dyDescent="0.25">
      <c r="A8971" t="str">
        <f>"1760800700"</f>
        <v>1760800700</v>
      </c>
      <c r="C8971" t="s">
        <v>13436</v>
      </c>
      <c r="K8971" t="s">
        <v>99</v>
      </c>
      <c r="L8971" t="s">
        <v>102</v>
      </c>
      <c r="M8971" t="s">
        <v>75</v>
      </c>
      <c r="R8971" t="s">
        <v>38137</v>
      </c>
      <c r="S8971" t="s">
        <v>12605</v>
      </c>
      <c r="T8971" t="s">
        <v>97</v>
      </c>
      <c r="U8971" t="s">
        <v>77</v>
      </c>
      <c r="V8971" t="str">
        <f>"100251737"</f>
        <v>100251737</v>
      </c>
      <c r="AC8971" t="s">
        <v>79</v>
      </c>
      <c r="AD8971" t="s">
        <v>75</v>
      </c>
      <c r="AE8971" t="s">
        <v>103</v>
      </c>
      <c r="AG8971" t="s">
        <v>81</v>
      </c>
    </row>
    <row r="8972" spans="1:33" x14ac:dyDescent="0.25">
      <c r="A8972" t="str">
        <f>"1902041643"</f>
        <v>1902041643</v>
      </c>
      <c r="B8972" t="str">
        <f>"03269963"</f>
        <v>03269963</v>
      </c>
      <c r="C8972" t="s">
        <v>13436</v>
      </c>
      <c r="D8972" t="s">
        <v>38138</v>
      </c>
      <c r="E8972" t="s">
        <v>38139</v>
      </c>
      <c r="G8972" t="s">
        <v>38140</v>
      </c>
      <c r="L8972" t="s">
        <v>74</v>
      </c>
      <c r="M8972" t="s">
        <v>75</v>
      </c>
      <c r="R8972" t="s">
        <v>38141</v>
      </c>
      <c r="W8972" t="s">
        <v>38139</v>
      </c>
      <c r="X8972" t="s">
        <v>4600</v>
      </c>
      <c r="Y8972" t="s">
        <v>135</v>
      </c>
      <c r="Z8972" t="s">
        <v>77</v>
      </c>
      <c r="AA8972" t="str">
        <f>"14215-3021"</f>
        <v>14215-3021</v>
      </c>
      <c r="AB8972" t="s">
        <v>78</v>
      </c>
      <c r="AC8972" t="s">
        <v>79</v>
      </c>
      <c r="AD8972" t="s">
        <v>75</v>
      </c>
      <c r="AE8972" t="s">
        <v>80</v>
      </c>
      <c r="AG8972" t="s">
        <v>81</v>
      </c>
    </row>
    <row r="8973" spans="1:33" x14ac:dyDescent="0.25">
      <c r="A8973" t="str">
        <f>"1902057326"</f>
        <v>1902057326</v>
      </c>
      <c r="C8973" t="s">
        <v>13436</v>
      </c>
      <c r="G8973" t="s">
        <v>38142</v>
      </c>
      <c r="K8973" t="s">
        <v>99</v>
      </c>
      <c r="L8973" t="s">
        <v>74</v>
      </c>
      <c r="M8973" t="s">
        <v>75</v>
      </c>
      <c r="R8973" t="s">
        <v>38143</v>
      </c>
      <c r="S8973" t="s">
        <v>38144</v>
      </c>
      <c r="T8973" t="s">
        <v>13884</v>
      </c>
      <c r="U8973" t="s">
        <v>351</v>
      </c>
      <c r="V8973" t="str">
        <f>"331402948"</f>
        <v>331402948</v>
      </c>
      <c r="AC8973" t="s">
        <v>79</v>
      </c>
      <c r="AD8973" t="s">
        <v>75</v>
      </c>
      <c r="AE8973" t="s">
        <v>103</v>
      </c>
      <c r="AG8973" t="s">
        <v>81</v>
      </c>
    </row>
    <row r="8974" spans="1:33" x14ac:dyDescent="0.25">
      <c r="A8974" t="str">
        <f>"1902064678"</f>
        <v>1902064678</v>
      </c>
      <c r="B8974" t="str">
        <f>"03372456"</f>
        <v>03372456</v>
      </c>
      <c r="C8974" t="s">
        <v>13436</v>
      </c>
      <c r="D8974" t="s">
        <v>38145</v>
      </c>
      <c r="E8974" t="s">
        <v>38146</v>
      </c>
      <c r="L8974" t="s">
        <v>83</v>
      </c>
      <c r="M8974" t="s">
        <v>75</v>
      </c>
      <c r="R8974" t="s">
        <v>38146</v>
      </c>
      <c r="W8974" t="s">
        <v>38146</v>
      </c>
      <c r="X8974" t="s">
        <v>272</v>
      </c>
      <c r="Y8974" t="s">
        <v>97</v>
      </c>
      <c r="Z8974" t="s">
        <v>77</v>
      </c>
      <c r="AA8974" t="str">
        <f>"10029-6501"</f>
        <v>10029-6501</v>
      </c>
      <c r="AB8974" t="s">
        <v>78</v>
      </c>
      <c r="AC8974" t="s">
        <v>79</v>
      </c>
      <c r="AD8974" t="s">
        <v>75</v>
      </c>
      <c r="AE8974" t="s">
        <v>80</v>
      </c>
      <c r="AG8974" t="s">
        <v>81</v>
      </c>
    </row>
    <row r="8975" spans="1:33" x14ac:dyDescent="0.25">
      <c r="A8975" t="str">
        <f>"1902065840"</f>
        <v>1902065840</v>
      </c>
      <c r="B8975" t="str">
        <f>"03460620"</f>
        <v>03460620</v>
      </c>
      <c r="C8975" t="s">
        <v>13436</v>
      </c>
      <c r="D8975" t="s">
        <v>38147</v>
      </c>
      <c r="E8975" t="s">
        <v>38148</v>
      </c>
      <c r="L8975" t="s">
        <v>74</v>
      </c>
      <c r="M8975" t="s">
        <v>85</v>
      </c>
      <c r="R8975" t="s">
        <v>38149</v>
      </c>
      <c r="W8975" t="s">
        <v>38150</v>
      </c>
      <c r="X8975" t="s">
        <v>329</v>
      </c>
      <c r="Y8975" t="s">
        <v>97</v>
      </c>
      <c r="Z8975" t="s">
        <v>77</v>
      </c>
      <c r="AA8975" t="str">
        <f>"10029-6500"</f>
        <v>10029-6500</v>
      </c>
      <c r="AB8975" t="s">
        <v>78</v>
      </c>
      <c r="AC8975" t="s">
        <v>79</v>
      </c>
      <c r="AD8975" t="s">
        <v>75</v>
      </c>
      <c r="AE8975" t="s">
        <v>80</v>
      </c>
      <c r="AG8975" t="s">
        <v>81</v>
      </c>
    </row>
    <row r="8976" spans="1:33" x14ac:dyDescent="0.25">
      <c r="A8976" t="str">
        <f>"1902081797"</f>
        <v>1902081797</v>
      </c>
      <c r="B8976" t="str">
        <f>"03504450"</f>
        <v>03504450</v>
      </c>
      <c r="C8976" t="s">
        <v>13436</v>
      </c>
      <c r="D8976" t="s">
        <v>38151</v>
      </c>
      <c r="E8976" t="s">
        <v>38152</v>
      </c>
      <c r="G8976" t="s">
        <v>38153</v>
      </c>
      <c r="L8976" t="s">
        <v>84</v>
      </c>
      <c r="M8976" t="s">
        <v>85</v>
      </c>
      <c r="R8976" t="s">
        <v>38154</v>
      </c>
      <c r="W8976" t="s">
        <v>38152</v>
      </c>
      <c r="X8976" t="s">
        <v>2587</v>
      </c>
      <c r="Y8976" t="s">
        <v>97</v>
      </c>
      <c r="Z8976" t="s">
        <v>77</v>
      </c>
      <c r="AA8976" t="str">
        <f>"10003-3314"</f>
        <v>10003-3314</v>
      </c>
      <c r="AB8976" t="s">
        <v>78</v>
      </c>
      <c r="AC8976" t="s">
        <v>79</v>
      </c>
      <c r="AD8976" t="s">
        <v>75</v>
      </c>
      <c r="AE8976" t="s">
        <v>80</v>
      </c>
      <c r="AG8976" t="s">
        <v>81</v>
      </c>
    </row>
    <row r="8977" spans="1:33" x14ac:dyDescent="0.25">
      <c r="A8977" t="str">
        <f>"1902084080"</f>
        <v>1902084080</v>
      </c>
      <c r="B8977" t="str">
        <f>"02819923"</f>
        <v>02819923</v>
      </c>
      <c r="C8977" t="s">
        <v>13436</v>
      </c>
      <c r="D8977" t="s">
        <v>38155</v>
      </c>
      <c r="E8977" t="s">
        <v>38156</v>
      </c>
      <c r="G8977" t="s">
        <v>38157</v>
      </c>
      <c r="L8977" t="s">
        <v>74</v>
      </c>
      <c r="M8977" t="s">
        <v>75</v>
      </c>
      <c r="R8977" t="s">
        <v>38158</v>
      </c>
      <c r="W8977" t="s">
        <v>38156</v>
      </c>
      <c r="X8977" t="s">
        <v>38159</v>
      </c>
      <c r="Y8977" t="s">
        <v>97</v>
      </c>
      <c r="Z8977" t="s">
        <v>77</v>
      </c>
      <c r="AA8977" t="str">
        <f>"10029-6504"</f>
        <v>10029-6504</v>
      </c>
      <c r="AB8977" t="s">
        <v>78</v>
      </c>
      <c r="AC8977" t="s">
        <v>79</v>
      </c>
      <c r="AD8977" t="s">
        <v>75</v>
      </c>
      <c r="AE8977" t="s">
        <v>80</v>
      </c>
      <c r="AG8977" t="s">
        <v>81</v>
      </c>
    </row>
    <row r="8978" spans="1:33" x14ac:dyDescent="0.25">
      <c r="A8978" t="str">
        <f>"1902101942"</f>
        <v>1902101942</v>
      </c>
      <c r="B8978" t="str">
        <f>"03392963"</f>
        <v>03392963</v>
      </c>
      <c r="C8978" t="s">
        <v>13436</v>
      </c>
      <c r="D8978" t="s">
        <v>38160</v>
      </c>
      <c r="E8978" t="s">
        <v>38161</v>
      </c>
      <c r="L8978" t="s">
        <v>83</v>
      </c>
      <c r="M8978" t="s">
        <v>85</v>
      </c>
      <c r="R8978" t="s">
        <v>38162</v>
      </c>
      <c r="W8978" t="s">
        <v>38163</v>
      </c>
      <c r="X8978" t="s">
        <v>130</v>
      </c>
      <c r="Y8978" t="s">
        <v>131</v>
      </c>
      <c r="Z8978" t="s">
        <v>77</v>
      </c>
      <c r="AA8978" t="str">
        <f>"10461-1119"</f>
        <v>10461-1119</v>
      </c>
      <c r="AB8978" t="s">
        <v>78</v>
      </c>
      <c r="AC8978" t="s">
        <v>79</v>
      </c>
      <c r="AD8978" t="s">
        <v>75</v>
      </c>
      <c r="AE8978" t="s">
        <v>80</v>
      </c>
      <c r="AG8978" t="s">
        <v>81</v>
      </c>
    </row>
    <row r="8979" spans="1:33" x14ac:dyDescent="0.25">
      <c r="A8979" t="str">
        <f>"1902120280"</f>
        <v>1902120280</v>
      </c>
      <c r="B8979" t="str">
        <f>"03323237"</f>
        <v>03323237</v>
      </c>
      <c r="C8979" t="s">
        <v>13436</v>
      </c>
      <c r="D8979" t="s">
        <v>38164</v>
      </c>
      <c r="E8979" t="s">
        <v>38165</v>
      </c>
      <c r="G8979" t="s">
        <v>38166</v>
      </c>
      <c r="L8979" t="s">
        <v>84</v>
      </c>
      <c r="M8979" t="s">
        <v>75</v>
      </c>
      <c r="R8979" t="s">
        <v>38165</v>
      </c>
      <c r="W8979" t="s">
        <v>38167</v>
      </c>
      <c r="X8979" t="s">
        <v>38168</v>
      </c>
      <c r="Y8979" t="s">
        <v>3826</v>
      </c>
      <c r="Z8979" t="s">
        <v>77</v>
      </c>
      <c r="AA8979" t="str">
        <f>"10950-4169"</f>
        <v>10950-4169</v>
      </c>
      <c r="AB8979" t="s">
        <v>78</v>
      </c>
      <c r="AC8979" t="s">
        <v>79</v>
      </c>
      <c r="AD8979" t="s">
        <v>75</v>
      </c>
      <c r="AE8979" t="s">
        <v>80</v>
      </c>
      <c r="AG8979" t="s">
        <v>81</v>
      </c>
    </row>
    <row r="8980" spans="1:33" x14ac:dyDescent="0.25">
      <c r="A8980" t="str">
        <f>"1902125271"</f>
        <v>1902125271</v>
      </c>
      <c r="B8980" t="str">
        <f>"03990521"</f>
        <v>03990521</v>
      </c>
      <c r="C8980" t="s">
        <v>13436</v>
      </c>
      <c r="D8980" t="s">
        <v>38169</v>
      </c>
      <c r="E8980" t="s">
        <v>38170</v>
      </c>
      <c r="L8980" t="s">
        <v>83</v>
      </c>
      <c r="M8980" t="s">
        <v>75</v>
      </c>
      <c r="R8980" t="s">
        <v>38171</v>
      </c>
      <c r="W8980" t="s">
        <v>38170</v>
      </c>
      <c r="X8980" t="s">
        <v>38172</v>
      </c>
      <c r="Y8980" t="s">
        <v>97</v>
      </c>
      <c r="Z8980" t="s">
        <v>77</v>
      </c>
      <c r="AA8980" t="str">
        <f>"10003-3314"</f>
        <v>10003-3314</v>
      </c>
      <c r="AB8980" t="s">
        <v>78</v>
      </c>
      <c r="AC8980" t="s">
        <v>79</v>
      </c>
      <c r="AD8980" t="s">
        <v>75</v>
      </c>
      <c r="AE8980" t="s">
        <v>80</v>
      </c>
      <c r="AG8980" t="s">
        <v>81</v>
      </c>
    </row>
    <row r="8981" spans="1:33" x14ac:dyDescent="0.25">
      <c r="A8981" t="str">
        <f>"1902125990"</f>
        <v>1902125990</v>
      </c>
      <c r="B8981" t="str">
        <f>"03959244"</f>
        <v>03959244</v>
      </c>
      <c r="C8981" t="s">
        <v>13436</v>
      </c>
      <c r="D8981" t="s">
        <v>38173</v>
      </c>
      <c r="E8981" t="s">
        <v>38174</v>
      </c>
      <c r="L8981" t="s">
        <v>74</v>
      </c>
      <c r="M8981" t="s">
        <v>75</v>
      </c>
      <c r="R8981" t="s">
        <v>38175</v>
      </c>
      <c r="W8981" t="s">
        <v>38174</v>
      </c>
      <c r="X8981" t="s">
        <v>38176</v>
      </c>
      <c r="Y8981" t="s">
        <v>97</v>
      </c>
      <c r="Z8981" t="s">
        <v>77</v>
      </c>
      <c r="AA8981" t="str">
        <f>"10029-5204"</f>
        <v>10029-5204</v>
      </c>
      <c r="AB8981" t="s">
        <v>78</v>
      </c>
      <c r="AC8981" t="s">
        <v>79</v>
      </c>
      <c r="AD8981" t="s">
        <v>75</v>
      </c>
      <c r="AE8981" t="s">
        <v>80</v>
      </c>
      <c r="AG8981" t="s">
        <v>81</v>
      </c>
    </row>
    <row r="8982" spans="1:33" x14ac:dyDescent="0.25">
      <c r="A8982" t="str">
        <f>"1902127566"</f>
        <v>1902127566</v>
      </c>
      <c r="B8982" t="str">
        <f>"03624499"</f>
        <v>03624499</v>
      </c>
      <c r="C8982" t="s">
        <v>13436</v>
      </c>
      <c r="D8982" t="s">
        <v>38177</v>
      </c>
      <c r="E8982" t="s">
        <v>38178</v>
      </c>
      <c r="G8982" t="s">
        <v>38179</v>
      </c>
      <c r="L8982" t="s">
        <v>94</v>
      </c>
      <c r="M8982" t="s">
        <v>85</v>
      </c>
      <c r="R8982" t="s">
        <v>38180</v>
      </c>
      <c r="W8982" t="s">
        <v>38181</v>
      </c>
      <c r="X8982" t="s">
        <v>329</v>
      </c>
      <c r="Y8982" t="s">
        <v>97</v>
      </c>
      <c r="Z8982" t="s">
        <v>77</v>
      </c>
      <c r="AA8982" t="str">
        <f>"10029-6504"</f>
        <v>10029-6504</v>
      </c>
      <c r="AB8982" t="s">
        <v>78</v>
      </c>
      <c r="AC8982" t="s">
        <v>79</v>
      </c>
      <c r="AD8982" t="s">
        <v>75</v>
      </c>
      <c r="AE8982" t="s">
        <v>80</v>
      </c>
      <c r="AG8982" t="s">
        <v>81</v>
      </c>
    </row>
    <row r="8983" spans="1:33" x14ac:dyDescent="0.25">
      <c r="A8983" t="str">
        <f>"1609118595"</f>
        <v>1609118595</v>
      </c>
      <c r="C8983" t="s">
        <v>13436</v>
      </c>
      <c r="K8983" t="s">
        <v>99</v>
      </c>
      <c r="L8983" t="s">
        <v>102</v>
      </c>
      <c r="M8983" t="s">
        <v>75</v>
      </c>
      <c r="R8983" t="s">
        <v>38182</v>
      </c>
      <c r="S8983" t="s">
        <v>329</v>
      </c>
      <c r="T8983" t="s">
        <v>97</v>
      </c>
      <c r="U8983" t="s">
        <v>77</v>
      </c>
      <c r="V8983" t="str">
        <f>"100296500"</f>
        <v>100296500</v>
      </c>
      <c r="AC8983" t="s">
        <v>79</v>
      </c>
      <c r="AD8983" t="s">
        <v>75</v>
      </c>
      <c r="AE8983" t="s">
        <v>103</v>
      </c>
      <c r="AG8983" t="s">
        <v>81</v>
      </c>
    </row>
    <row r="8984" spans="1:33" x14ac:dyDescent="0.25">
      <c r="A8984" t="str">
        <f>"1619396173"</f>
        <v>1619396173</v>
      </c>
      <c r="C8984" t="s">
        <v>13436</v>
      </c>
      <c r="K8984" t="s">
        <v>99</v>
      </c>
      <c r="L8984" t="s">
        <v>102</v>
      </c>
      <c r="M8984" t="s">
        <v>75</v>
      </c>
      <c r="R8984" t="s">
        <v>38183</v>
      </c>
      <c r="S8984" t="s">
        <v>38184</v>
      </c>
      <c r="T8984" t="s">
        <v>97</v>
      </c>
      <c r="U8984" t="s">
        <v>77</v>
      </c>
      <c r="V8984" t="str">
        <f>"100191147"</f>
        <v>100191147</v>
      </c>
      <c r="AC8984" t="s">
        <v>79</v>
      </c>
      <c r="AD8984" t="s">
        <v>75</v>
      </c>
      <c r="AE8984" t="s">
        <v>103</v>
      </c>
      <c r="AG8984" t="s">
        <v>81</v>
      </c>
    </row>
    <row r="8985" spans="1:33" x14ac:dyDescent="0.25">
      <c r="A8985" t="str">
        <f>"1619397619"</f>
        <v>1619397619</v>
      </c>
      <c r="C8985" t="s">
        <v>13436</v>
      </c>
      <c r="K8985" t="s">
        <v>99</v>
      </c>
      <c r="L8985" t="s">
        <v>102</v>
      </c>
      <c r="M8985" t="s">
        <v>75</v>
      </c>
      <c r="R8985" t="s">
        <v>38185</v>
      </c>
      <c r="S8985" t="s">
        <v>272</v>
      </c>
      <c r="T8985" t="s">
        <v>97</v>
      </c>
      <c r="U8985" t="s">
        <v>77</v>
      </c>
      <c r="V8985" t="str">
        <f>"100296501"</f>
        <v>100296501</v>
      </c>
      <c r="AC8985" t="s">
        <v>79</v>
      </c>
      <c r="AD8985" t="s">
        <v>75</v>
      </c>
      <c r="AE8985" t="s">
        <v>103</v>
      </c>
      <c r="AG8985" t="s">
        <v>81</v>
      </c>
    </row>
    <row r="8986" spans="1:33" x14ac:dyDescent="0.25">
      <c r="A8986" t="str">
        <f>"1205825320"</f>
        <v>1205825320</v>
      </c>
      <c r="C8986" t="s">
        <v>38186</v>
      </c>
      <c r="G8986" t="s">
        <v>24003</v>
      </c>
      <c r="J8986" t="s">
        <v>24004</v>
      </c>
      <c r="K8986" t="s">
        <v>99</v>
      </c>
      <c r="L8986" t="s">
        <v>102</v>
      </c>
      <c r="M8986" t="s">
        <v>75</v>
      </c>
      <c r="R8986" t="s">
        <v>38187</v>
      </c>
      <c r="S8986" t="s">
        <v>37500</v>
      </c>
      <c r="T8986" t="s">
        <v>87</v>
      </c>
      <c r="U8986" t="s">
        <v>77</v>
      </c>
      <c r="V8986" t="str">
        <f>"112031911"</f>
        <v>112031911</v>
      </c>
      <c r="AC8986" t="s">
        <v>79</v>
      </c>
      <c r="AD8986" t="s">
        <v>75</v>
      </c>
      <c r="AE8986" t="s">
        <v>103</v>
      </c>
      <c r="AG8986" t="s">
        <v>81</v>
      </c>
    </row>
    <row r="8987" spans="1:33" x14ac:dyDescent="0.25">
      <c r="A8987" t="str">
        <f>"1619983871"</f>
        <v>1619983871</v>
      </c>
      <c r="B8987" t="str">
        <f>"01500958"</f>
        <v>01500958</v>
      </c>
      <c r="C8987" t="s">
        <v>38188</v>
      </c>
      <c r="D8987" t="s">
        <v>38189</v>
      </c>
      <c r="E8987" t="s">
        <v>38190</v>
      </c>
      <c r="G8987" t="s">
        <v>24003</v>
      </c>
      <c r="J8987" t="s">
        <v>24004</v>
      </c>
      <c r="L8987" t="s">
        <v>84</v>
      </c>
      <c r="M8987" t="s">
        <v>75</v>
      </c>
      <c r="R8987" t="s">
        <v>38191</v>
      </c>
      <c r="W8987" t="s">
        <v>38190</v>
      </c>
      <c r="X8987" t="s">
        <v>202</v>
      </c>
      <c r="Y8987" t="s">
        <v>87</v>
      </c>
      <c r="Z8987" t="s">
        <v>77</v>
      </c>
      <c r="AA8987" t="str">
        <f>"11201-5425"</f>
        <v>11201-5425</v>
      </c>
      <c r="AB8987" t="s">
        <v>78</v>
      </c>
      <c r="AC8987" t="s">
        <v>79</v>
      </c>
      <c r="AD8987" t="s">
        <v>75</v>
      </c>
      <c r="AE8987" t="s">
        <v>80</v>
      </c>
      <c r="AG8987" t="s">
        <v>81</v>
      </c>
    </row>
    <row r="8988" spans="1:33" x14ac:dyDescent="0.25">
      <c r="A8988" t="str">
        <f>"1366617870"</f>
        <v>1366617870</v>
      </c>
      <c r="B8988" t="str">
        <f>"03972121"</f>
        <v>03972121</v>
      </c>
      <c r="C8988" t="s">
        <v>13436</v>
      </c>
      <c r="D8988" t="s">
        <v>38192</v>
      </c>
      <c r="E8988" t="s">
        <v>38193</v>
      </c>
      <c r="G8988" t="s">
        <v>38194</v>
      </c>
      <c r="L8988" t="s">
        <v>84</v>
      </c>
      <c r="M8988" t="s">
        <v>75</v>
      </c>
      <c r="R8988" t="s">
        <v>38193</v>
      </c>
      <c r="W8988" t="s">
        <v>38193</v>
      </c>
      <c r="X8988" t="s">
        <v>329</v>
      </c>
      <c r="Y8988" t="s">
        <v>97</v>
      </c>
      <c r="Z8988" t="s">
        <v>77</v>
      </c>
      <c r="AA8988" t="str">
        <f>"10029-6504"</f>
        <v>10029-6504</v>
      </c>
      <c r="AB8988" t="s">
        <v>78</v>
      </c>
      <c r="AC8988" t="s">
        <v>79</v>
      </c>
      <c r="AD8988" t="s">
        <v>75</v>
      </c>
      <c r="AE8988" t="s">
        <v>80</v>
      </c>
      <c r="AG8988" t="s">
        <v>81</v>
      </c>
    </row>
    <row r="8989" spans="1:33" x14ac:dyDescent="0.25">
      <c r="A8989" t="str">
        <f>"1366657835"</f>
        <v>1366657835</v>
      </c>
      <c r="B8989" t="str">
        <f>"03333617"</f>
        <v>03333617</v>
      </c>
      <c r="C8989" t="s">
        <v>13436</v>
      </c>
      <c r="D8989" t="s">
        <v>38195</v>
      </c>
      <c r="E8989" t="s">
        <v>38196</v>
      </c>
      <c r="G8989" t="s">
        <v>38197</v>
      </c>
      <c r="L8989" t="s">
        <v>83</v>
      </c>
      <c r="M8989" t="s">
        <v>85</v>
      </c>
      <c r="R8989" t="s">
        <v>38198</v>
      </c>
      <c r="W8989" t="s">
        <v>38196</v>
      </c>
      <c r="X8989" t="s">
        <v>38199</v>
      </c>
      <c r="Y8989" t="s">
        <v>97</v>
      </c>
      <c r="Z8989" t="s">
        <v>77</v>
      </c>
      <c r="AA8989" t="str">
        <f>"10029-6501"</f>
        <v>10029-6501</v>
      </c>
      <c r="AB8989" t="s">
        <v>78</v>
      </c>
      <c r="AC8989" t="s">
        <v>79</v>
      </c>
      <c r="AD8989" t="s">
        <v>75</v>
      </c>
      <c r="AE8989" t="s">
        <v>80</v>
      </c>
      <c r="AG8989" t="s">
        <v>81</v>
      </c>
    </row>
    <row r="8990" spans="1:33" x14ac:dyDescent="0.25">
      <c r="A8990" t="str">
        <f>"1366671281"</f>
        <v>1366671281</v>
      </c>
      <c r="B8990" t="str">
        <f>"03775642"</f>
        <v>03775642</v>
      </c>
      <c r="C8990" t="s">
        <v>13436</v>
      </c>
      <c r="D8990" t="s">
        <v>38200</v>
      </c>
      <c r="E8990" t="s">
        <v>38201</v>
      </c>
      <c r="L8990" t="s">
        <v>74</v>
      </c>
      <c r="M8990" t="s">
        <v>75</v>
      </c>
      <c r="R8990" t="s">
        <v>38202</v>
      </c>
      <c r="W8990" t="s">
        <v>38201</v>
      </c>
      <c r="X8990" t="s">
        <v>38203</v>
      </c>
      <c r="Y8990" t="s">
        <v>129</v>
      </c>
      <c r="Z8990" t="s">
        <v>77</v>
      </c>
      <c r="AA8990" t="str">
        <f>"11372-1424"</f>
        <v>11372-1424</v>
      </c>
      <c r="AB8990" t="s">
        <v>82</v>
      </c>
      <c r="AC8990" t="s">
        <v>79</v>
      </c>
      <c r="AD8990" t="s">
        <v>75</v>
      </c>
      <c r="AE8990" t="s">
        <v>80</v>
      </c>
      <c r="AG8990" t="s">
        <v>81</v>
      </c>
    </row>
    <row r="8991" spans="1:33" x14ac:dyDescent="0.25">
      <c r="A8991" t="str">
        <f>"1376860809"</f>
        <v>1376860809</v>
      </c>
      <c r="B8991" t="str">
        <f>"04093225"</f>
        <v>04093225</v>
      </c>
      <c r="C8991" t="s">
        <v>13436</v>
      </c>
      <c r="D8991" t="s">
        <v>38204</v>
      </c>
      <c r="E8991" t="s">
        <v>38205</v>
      </c>
      <c r="L8991" t="s">
        <v>83</v>
      </c>
      <c r="M8991" t="s">
        <v>75</v>
      </c>
      <c r="R8991" t="s">
        <v>38206</v>
      </c>
      <c r="W8991" t="s">
        <v>38205</v>
      </c>
      <c r="X8991" t="s">
        <v>330</v>
      </c>
      <c r="Y8991" t="s">
        <v>97</v>
      </c>
      <c r="Z8991" t="s">
        <v>77</v>
      </c>
      <c r="AA8991" t="str">
        <f>"10029-5204"</f>
        <v>10029-5204</v>
      </c>
      <c r="AB8991" t="s">
        <v>78</v>
      </c>
      <c r="AC8991" t="s">
        <v>79</v>
      </c>
      <c r="AD8991" t="s">
        <v>75</v>
      </c>
      <c r="AE8991" t="s">
        <v>80</v>
      </c>
      <c r="AG8991" t="s">
        <v>81</v>
      </c>
    </row>
    <row r="8992" spans="1:33" x14ac:dyDescent="0.25">
      <c r="A8992" t="str">
        <f>"1376863878"</f>
        <v>1376863878</v>
      </c>
      <c r="B8992" t="str">
        <f>"04388065"</f>
        <v>04388065</v>
      </c>
      <c r="C8992" t="s">
        <v>13436</v>
      </c>
      <c r="D8992" t="s">
        <v>38207</v>
      </c>
      <c r="E8992" t="s">
        <v>38208</v>
      </c>
      <c r="L8992" t="s">
        <v>102</v>
      </c>
      <c r="M8992" t="s">
        <v>75</v>
      </c>
      <c r="R8992" t="s">
        <v>38209</v>
      </c>
      <c r="W8992" t="s">
        <v>38208</v>
      </c>
      <c r="X8992" t="s">
        <v>329</v>
      </c>
      <c r="Y8992" t="s">
        <v>97</v>
      </c>
      <c r="Z8992" t="s">
        <v>77</v>
      </c>
      <c r="AA8992" t="str">
        <f>"10029-6504"</f>
        <v>10029-6504</v>
      </c>
      <c r="AB8992" t="s">
        <v>78</v>
      </c>
      <c r="AC8992" t="s">
        <v>79</v>
      </c>
      <c r="AD8992" t="s">
        <v>75</v>
      </c>
      <c r="AE8992" t="s">
        <v>80</v>
      </c>
      <c r="AG8992" t="s">
        <v>81</v>
      </c>
    </row>
    <row r="8993" spans="1:33" x14ac:dyDescent="0.25">
      <c r="A8993" t="str">
        <f>"1376864058"</f>
        <v>1376864058</v>
      </c>
      <c r="B8993" t="str">
        <f>"03682166"</f>
        <v>03682166</v>
      </c>
      <c r="C8993" t="s">
        <v>13436</v>
      </c>
      <c r="D8993" t="s">
        <v>38210</v>
      </c>
      <c r="E8993" t="s">
        <v>38211</v>
      </c>
      <c r="L8993" t="s">
        <v>105</v>
      </c>
      <c r="M8993" t="s">
        <v>75</v>
      </c>
      <c r="R8993" t="s">
        <v>38212</v>
      </c>
      <c r="W8993" t="s">
        <v>38211</v>
      </c>
      <c r="X8993" t="s">
        <v>4445</v>
      </c>
      <c r="Y8993" t="s">
        <v>87</v>
      </c>
      <c r="Z8993" t="s">
        <v>77</v>
      </c>
      <c r="AA8993" t="str">
        <f>"11201-5809"</f>
        <v>11201-5809</v>
      </c>
      <c r="AB8993" t="s">
        <v>78</v>
      </c>
      <c r="AC8993" t="s">
        <v>79</v>
      </c>
      <c r="AD8993" t="s">
        <v>75</v>
      </c>
      <c r="AE8993" t="s">
        <v>80</v>
      </c>
      <c r="AG8993" t="s">
        <v>81</v>
      </c>
    </row>
    <row r="8994" spans="1:33" x14ac:dyDescent="0.25">
      <c r="A8994" t="str">
        <f>"1376867325"</f>
        <v>1376867325</v>
      </c>
      <c r="B8994" t="str">
        <f>"04466919"</f>
        <v>04466919</v>
      </c>
      <c r="C8994" t="s">
        <v>13436</v>
      </c>
      <c r="D8994" t="s">
        <v>38213</v>
      </c>
      <c r="E8994" t="s">
        <v>38214</v>
      </c>
      <c r="L8994" t="s">
        <v>102</v>
      </c>
      <c r="M8994" t="s">
        <v>75</v>
      </c>
      <c r="R8994" t="s">
        <v>38215</v>
      </c>
      <c r="W8994" t="s">
        <v>38214</v>
      </c>
      <c r="AB8994" t="s">
        <v>78</v>
      </c>
      <c r="AC8994" t="s">
        <v>79</v>
      </c>
      <c r="AD8994" t="s">
        <v>75</v>
      </c>
      <c r="AE8994" t="s">
        <v>80</v>
      </c>
      <c r="AG8994" t="s">
        <v>81</v>
      </c>
    </row>
    <row r="8995" spans="1:33" x14ac:dyDescent="0.25">
      <c r="A8995" t="str">
        <f>"1376868810"</f>
        <v>1376868810</v>
      </c>
      <c r="B8995" t="str">
        <f>"03873989"</f>
        <v>03873989</v>
      </c>
      <c r="C8995" t="s">
        <v>13436</v>
      </c>
      <c r="D8995" t="s">
        <v>38216</v>
      </c>
      <c r="E8995" t="s">
        <v>38217</v>
      </c>
      <c r="G8995" t="s">
        <v>38218</v>
      </c>
      <c r="L8995" t="s">
        <v>74</v>
      </c>
      <c r="M8995" t="s">
        <v>75</v>
      </c>
      <c r="R8995" t="s">
        <v>38219</v>
      </c>
      <c r="W8995" t="s">
        <v>38217</v>
      </c>
      <c r="X8995" t="s">
        <v>1455</v>
      </c>
      <c r="Y8995" t="s">
        <v>91</v>
      </c>
      <c r="Z8995" t="s">
        <v>77</v>
      </c>
      <c r="AA8995" t="str">
        <f>"11373-1329"</f>
        <v>11373-1329</v>
      </c>
      <c r="AB8995" t="s">
        <v>78</v>
      </c>
      <c r="AC8995" t="s">
        <v>79</v>
      </c>
      <c r="AD8995" t="s">
        <v>75</v>
      </c>
      <c r="AE8995" t="s">
        <v>80</v>
      </c>
      <c r="AG8995" t="s">
        <v>81</v>
      </c>
    </row>
    <row r="8996" spans="1:33" x14ac:dyDescent="0.25">
      <c r="A8996" t="str">
        <f>"1376885285"</f>
        <v>1376885285</v>
      </c>
      <c r="C8996" t="s">
        <v>13436</v>
      </c>
      <c r="K8996" t="s">
        <v>99</v>
      </c>
      <c r="L8996" t="s">
        <v>102</v>
      </c>
      <c r="M8996" t="s">
        <v>75</v>
      </c>
      <c r="R8996" t="s">
        <v>38220</v>
      </c>
      <c r="S8996" t="s">
        <v>32043</v>
      </c>
      <c r="T8996" t="s">
        <v>97</v>
      </c>
      <c r="U8996" t="s">
        <v>77</v>
      </c>
      <c r="V8996" t="str">
        <f>"100296504"</f>
        <v>100296504</v>
      </c>
      <c r="AC8996" t="s">
        <v>79</v>
      </c>
      <c r="AD8996" t="s">
        <v>75</v>
      </c>
      <c r="AE8996" t="s">
        <v>103</v>
      </c>
      <c r="AG8996" t="s">
        <v>81</v>
      </c>
    </row>
    <row r="8997" spans="1:33" x14ac:dyDescent="0.25">
      <c r="A8997" t="str">
        <f>"1144251604"</f>
        <v>1144251604</v>
      </c>
      <c r="B8997" t="str">
        <f>"01636617"</f>
        <v>01636617</v>
      </c>
      <c r="C8997" t="s">
        <v>13436</v>
      </c>
      <c r="D8997" t="s">
        <v>38221</v>
      </c>
      <c r="E8997" t="s">
        <v>38222</v>
      </c>
      <c r="G8997" t="s">
        <v>38223</v>
      </c>
      <c r="L8997" t="s">
        <v>84</v>
      </c>
      <c r="M8997" t="s">
        <v>85</v>
      </c>
      <c r="R8997" t="s">
        <v>38224</v>
      </c>
      <c r="W8997" t="s">
        <v>38222</v>
      </c>
      <c r="X8997" t="s">
        <v>329</v>
      </c>
      <c r="Y8997" t="s">
        <v>97</v>
      </c>
      <c r="Z8997" t="s">
        <v>77</v>
      </c>
      <c r="AA8997" t="str">
        <f>"10029-6500"</f>
        <v>10029-6500</v>
      </c>
      <c r="AB8997" t="s">
        <v>78</v>
      </c>
      <c r="AC8997" t="s">
        <v>79</v>
      </c>
      <c r="AD8997" t="s">
        <v>75</v>
      </c>
      <c r="AE8997" t="s">
        <v>80</v>
      </c>
      <c r="AG8997" t="s">
        <v>81</v>
      </c>
    </row>
    <row r="8998" spans="1:33" x14ac:dyDescent="0.25">
      <c r="A8998" t="str">
        <f>"1144258609"</f>
        <v>1144258609</v>
      </c>
      <c r="B8998" t="str">
        <f>"02288851"</f>
        <v>02288851</v>
      </c>
      <c r="C8998" t="s">
        <v>13436</v>
      </c>
      <c r="D8998" t="s">
        <v>38225</v>
      </c>
      <c r="E8998" t="s">
        <v>38226</v>
      </c>
      <c r="G8998" t="s">
        <v>38227</v>
      </c>
      <c r="L8998" t="s">
        <v>83</v>
      </c>
      <c r="M8998" t="s">
        <v>85</v>
      </c>
      <c r="R8998" t="s">
        <v>38228</v>
      </c>
      <c r="W8998" t="s">
        <v>38226</v>
      </c>
      <c r="X8998" t="s">
        <v>329</v>
      </c>
      <c r="Y8998" t="s">
        <v>97</v>
      </c>
      <c r="Z8998" t="s">
        <v>77</v>
      </c>
      <c r="AA8998" t="str">
        <f>"10029-6504"</f>
        <v>10029-6504</v>
      </c>
      <c r="AB8998" t="s">
        <v>78</v>
      </c>
      <c r="AC8998" t="s">
        <v>79</v>
      </c>
      <c r="AD8998" t="s">
        <v>75</v>
      </c>
      <c r="AE8998" t="s">
        <v>80</v>
      </c>
      <c r="AG8998" t="s">
        <v>81</v>
      </c>
    </row>
    <row r="8999" spans="1:33" x14ac:dyDescent="0.25">
      <c r="A8999" t="str">
        <f>"1144259433"</f>
        <v>1144259433</v>
      </c>
      <c r="B8999" t="str">
        <f>"03114638"</f>
        <v>03114638</v>
      </c>
      <c r="C8999" t="s">
        <v>13436</v>
      </c>
      <c r="D8999" t="s">
        <v>38229</v>
      </c>
      <c r="E8999" t="s">
        <v>38230</v>
      </c>
      <c r="G8999" t="s">
        <v>38231</v>
      </c>
      <c r="L8999" t="s">
        <v>83</v>
      </c>
      <c r="M8999" t="s">
        <v>85</v>
      </c>
      <c r="R8999" t="s">
        <v>38232</v>
      </c>
      <c r="W8999" t="s">
        <v>38233</v>
      </c>
      <c r="X8999" t="s">
        <v>842</v>
      </c>
      <c r="Y8999" t="s">
        <v>97</v>
      </c>
      <c r="Z8999" t="s">
        <v>77</v>
      </c>
      <c r="AA8999" t="str">
        <f>"10029-6501"</f>
        <v>10029-6501</v>
      </c>
      <c r="AB8999" t="s">
        <v>78</v>
      </c>
      <c r="AC8999" t="s">
        <v>79</v>
      </c>
      <c r="AD8999" t="s">
        <v>75</v>
      </c>
      <c r="AE8999" t="s">
        <v>80</v>
      </c>
      <c r="AG8999" t="s">
        <v>81</v>
      </c>
    </row>
    <row r="9000" spans="1:33" x14ac:dyDescent="0.25">
      <c r="A9000" t="str">
        <f>"1306067186"</f>
        <v>1306067186</v>
      </c>
      <c r="B9000" t="str">
        <f>"02925079"</f>
        <v>02925079</v>
      </c>
      <c r="C9000" t="s">
        <v>13436</v>
      </c>
      <c r="D9000" t="s">
        <v>38234</v>
      </c>
      <c r="E9000" t="s">
        <v>38235</v>
      </c>
      <c r="G9000" t="s">
        <v>38236</v>
      </c>
      <c r="L9000" t="s">
        <v>83</v>
      </c>
      <c r="M9000" t="s">
        <v>85</v>
      </c>
      <c r="R9000" t="s">
        <v>38237</v>
      </c>
      <c r="W9000" t="s">
        <v>38238</v>
      </c>
      <c r="X9000" t="s">
        <v>942</v>
      </c>
      <c r="Y9000" t="s">
        <v>97</v>
      </c>
      <c r="Z9000" t="s">
        <v>77</v>
      </c>
      <c r="AA9000" t="str">
        <f>"10029-6508"</f>
        <v>10029-6508</v>
      </c>
      <c r="AB9000" t="s">
        <v>78</v>
      </c>
      <c r="AC9000" t="s">
        <v>79</v>
      </c>
      <c r="AD9000" t="s">
        <v>75</v>
      </c>
      <c r="AE9000" t="s">
        <v>80</v>
      </c>
      <c r="AG9000" t="s">
        <v>81</v>
      </c>
    </row>
    <row r="9001" spans="1:33" x14ac:dyDescent="0.25">
      <c r="A9001" t="str">
        <f>"1306070685"</f>
        <v>1306070685</v>
      </c>
      <c r="B9001" t="str">
        <f>"03589246"</f>
        <v>03589246</v>
      </c>
      <c r="C9001" t="s">
        <v>13436</v>
      </c>
      <c r="D9001" t="s">
        <v>38239</v>
      </c>
      <c r="E9001" t="s">
        <v>38240</v>
      </c>
      <c r="L9001" t="s">
        <v>84</v>
      </c>
      <c r="M9001" t="s">
        <v>85</v>
      </c>
      <c r="R9001" t="s">
        <v>38241</v>
      </c>
      <c r="W9001" t="s">
        <v>38242</v>
      </c>
      <c r="X9001" t="s">
        <v>1010</v>
      </c>
      <c r="Y9001" t="s">
        <v>97</v>
      </c>
      <c r="Z9001" t="s">
        <v>77</v>
      </c>
      <c r="AA9001" t="str">
        <f>"10035-3832"</f>
        <v>10035-3832</v>
      </c>
      <c r="AB9001" t="s">
        <v>78</v>
      </c>
      <c r="AC9001" t="s">
        <v>79</v>
      </c>
      <c r="AD9001" t="s">
        <v>75</v>
      </c>
      <c r="AE9001" t="s">
        <v>80</v>
      </c>
      <c r="AG9001" t="s">
        <v>81</v>
      </c>
    </row>
    <row r="9002" spans="1:33" x14ac:dyDescent="0.25">
      <c r="A9002" t="str">
        <f>"1295068005"</f>
        <v>1295068005</v>
      </c>
      <c r="B9002" t="str">
        <f>"03536023"</f>
        <v>03536023</v>
      </c>
      <c r="C9002" t="s">
        <v>13436</v>
      </c>
      <c r="D9002" t="s">
        <v>38243</v>
      </c>
      <c r="E9002" t="s">
        <v>38244</v>
      </c>
      <c r="G9002" t="s">
        <v>38245</v>
      </c>
      <c r="L9002" t="s">
        <v>83</v>
      </c>
      <c r="M9002" t="s">
        <v>75</v>
      </c>
      <c r="R9002" t="s">
        <v>38246</v>
      </c>
      <c r="W9002" t="s">
        <v>38247</v>
      </c>
      <c r="X9002" t="s">
        <v>38248</v>
      </c>
      <c r="Y9002" t="s">
        <v>145</v>
      </c>
      <c r="Z9002" t="s">
        <v>77</v>
      </c>
      <c r="AA9002" t="str">
        <f>"11360-0000"</f>
        <v>11360-0000</v>
      </c>
      <c r="AB9002" t="s">
        <v>78</v>
      </c>
      <c r="AC9002" t="s">
        <v>79</v>
      </c>
      <c r="AD9002" t="s">
        <v>75</v>
      </c>
      <c r="AE9002" t="s">
        <v>80</v>
      </c>
      <c r="AG9002" t="s">
        <v>81</v>
      </c>
    </row>
    <row r="9003" spans="1:33" x14ac:dyDescent="0.25">
      <c r="A9003" t="str">
        <f>"1295068492"</f>
        <v>1295068492</v>
      </c>
      <c r="B9003" t="str">
        <f>"03161593"</f>
        <v>03161593</v>
      </c>
      <c r="C9003" t="s">
        <v>13436</v>
      </c>
      <c r="D9003" t="s">
        <v>38249</v>
      </c>
      <c r="E9003" t="s">
        <v>38250</v>
      </c>
      <c r="G9003" t="s">
        <v>38251</v>
      </c>
      <c r="L9003" t="s">
        <v>74</v>
      </c>
      <c r="M9003" t="s">
        <v>75</v>
      </c>
      <c r="R9003" t="s">
        <v>38252</v>
      </c>
      <c r="W9003" t="s">
        <v>38252</v>
      </c>
      <c r="X9003" t="s">
        <v>272</v>
      </c>
      <c r="Y9003" t="s">
        <v>97</v>
      </c>
      <c r="Z9003" t="s">
        <v>77</v>
      </c>
      <c r="AA9003" t="str">
        <f>"10029-6501"</f>
        <v>10029-6501</v>
      </c>
      <c r="AB9003" t="s">
        <v>78</v>
      </c>
      <c r="AC9003" t="s">
        <v>79</v>
      </c>
      <c r="AD9003" t="s">
        <v>75</v>
      </c>
      <c r="AE9003" t="s">
        <v>80</v>
      </c>
      <c r="AG9003" t="s">
        <v>81</v>
      </c>
    </row>
    <row r="9004" spans="1:33" x14ac:dyDescent="0.25">
      <c r="A9004" t="str">
        <f>"1295072866"</f>
        <v>1295072866</v>
      </c>
      <c r="C9004" t="s">
        <v>13436</v>
      </c>
      <c r="K9004" t="s">
        <v>99</v>
      </c>
      <c r="L9004" t="s">
        <v>102</v>
      </c>
      <c r="M9004" t="s">
        <v>75</v>
      </c>
      <c r="R9004" t="s">
        <v>38253</v>
      </c>
      <c r="S9004" t="s">
        <v>27937</v>
      </c>
      <c r="T9004" t="s">
        <v>97</v>
      </c>
      <c r="U9004" t="s">
        <v>77</v>
      </c>
      <c r="V9004" t="str">
        <f>"10003"</f>
        <v>10003</v>
      </c>
      <c r="AC9004" t="s">
        <v>79</v>
      </c>
      <c r="AD9004" t="s">
        <v>75</v>
      </c>
      <c r="AE9004" t="s">
        <v>103</v>
      </c>
      <c r="AG9004" t="s">
        <v>81</v>
      </c>
    </row>
    <row r="9005" spans="1:33" x14ac:dyDescent="0.25">
      <c r="A9005" t="str">
        <f>"1295077451"</f>
        <v>1295077451</v>
      </c>
      <c r="C9005" t="s">
        <v>13436</v>
      </c>
      <c r="K9005" t="s">
        <v>99</v>
      </c>
      <c r="L9005" t="s">
        <v>102</v>
      </c>
      <c r="M9005" t="s">
        <v>75</v>
      </c>
      <c r="R9005" t="s">
        <v>38254</v>
      </c>
      <c r="S9005" t="s">
        <v>26494</v>
      </c>
      <c r="T9005" t="s">
        <v>97</v>
      </c>
      <c r="U9005" t="s">
        <v>77</v>
      </c>
      <c r="V9005" t="str">
        <f>"10029"</f>
        <v>10029</v>
      </c>
      <c r="AC9005" t="s">
        <v>79</v>
      </c>
      <c r="AD9005" t="s">
        <v>75</v>
      </c>
      <c r="AE9005" t="s">
        <v>103</v>
      </c>
      <c r="AG9005" t="s">
        <v>81</v>
      </c>
    </row>
    <row r="9006" spans="1:33" x14ac:dyDescent="0.25">
      <c r="A9006" t="str">
        <f>"1295077600"</f>
        <v>1295077600</v>
      </c>
      <c r="C9006" t="s">
        <v>13436</v>
      </c>
      <c r="K9006" t="s">
        <v>99</v>
      </c>
      <c r="L9006" t="s">
        <v>102</v>
      </c>
      <c r="M9006" t="s">
        <v>75</v>
      </c>
      <c r="R9006" t="s">
        <v>38255</v>
      </c>
      <c r="S9006" t="s">
        <v>329</v>
      </c>
      <c r="T9006" t="s">
        <v>97</v>
      </c>
      <c r="U9006" t="s">
        <v>77</v>
      </c>
      <c r="V9006" t="str">
        <f>"100296500"</f>
        <v>100296500</v>
      </c>
      <c r="AC9006" t="s">
        <v>79</v>
      </c>
      <c r="AD9006" t="s">
        <v>75</v>
      </c>
      <c r="AE9006" t="s">
        <v>103</v>
      </c>
      <c r="AG9006" t="s">
        <v>81</v>
      </c>
    </row>
    <row r="9007" spans="1:33" x14ac:dyDescent="0.25">
      <c r="A9007" t="str">
        <f>"1295078111"</f>
        <v>1295078111</v>
      </c>
      <c r="C9007" t="s">
        <v>13436</v>
      </c>
      <c r="K9007" t="s">
        <v>99</v>
      </c>
      <c r="L9007" t="s">
        <v>102</v>
      </c>
      <c r="M9007" t="s">
        <v>75</v>
      </c>
      <c r="R9007" t="s">
        <v>38256</v>
      </c>
      <c r="S9007" t="s">
        <v>38257</v>
      </c>
      <c r="T9007" t="s">
        <v>97</v>
      </c>
      <c r="U9007" t="s">
        <v>77</v>
      </c>
      <c r="V9007" t="str">
        <f>"10029"</f>
        <v>10029</v>
      </c>
      <c r="AC9007" t="s">
        <v>79</v>
      </c>
      <c r="AD9007" t="s">
        <v>75</v>
      </c>
      <c r="AE9007" t="s">
        <v>103</v>
      </c>
      <c r="AG9007" t="s">
        <v>81</v>
      </c>
    </row>
    <row r="9008" spans="1:33" x14ac:dyDescent="0.25">
      <c r="A9008" t="str">
        <f>"1881848794"</f>
        <v>1881848794</v>
      </c>
      <c r="B9008" t="str">
        <f>"03511680"</f>
        <v>03511680</v>
      </c>
      <c r="C9008" t="s">
        <v>13436</v>
      </c>
      <c r="D9008" t="s">
        <v>38258</v>
      </c>
      <c r="E9008" t="s">
        <v>38259</v>
      </c>
      <c r="L9008" t="s">
        <v>83</v>
      </c>
      <c r="M9008" t="s">
        <v>85</v>
      </c>
      <c r="R9008" t="s">
        <v>38260</v>
      </c>
      <c r="W9008" t="s">
        <v>38261</v>
      </c>
      <c r="X9008" t="s">
        <v>2926</v>
      </c>
      <c r="Y9008" t="s">
        <v>97</v>
      </c>
      <c r="Z9008" t="s">
        <v>77</v>
      </c>
      <c r="AA9008" t="str">
        <f>"10029-6503"</f>
        <v>10029-6503</v>
      </c>
      <c r="AB9008" t="s">
        <v>78</v>
      </c>
      <c r="AC9008" t="s">
        <v>79</v>
      </c>
      <c r="AD9008" t="s">
        <v>75</v>
      </c>
      <c r="AE9008" t="s">
        <v>80</v>
      </c>
      <c r="AG9008" t="s">
        <v>81</v>
      </c>
    </row>
    <row r="9009" spans="1:33" x14ac:dyDescent="0.25">
      <c r="A9009" t="str">
        <f>"1881853497"</f>
        <v>1881853497</v>
      </c>
      <c r="B9009" t="str">
        <f>"03366387"</f>
        <v>03366387</v>
      </c>
      <c r="C9009" t="s">
        <v>13436</v>
      </c>
      <c r="D9009" t="s">
        <v>38262</v>
      </c>
      <c r="E9009" t="s">
        <v>38263</v>
      </c>
      <c r="L9009" t="s">
        <v>84</v>
      </c>
      <c r="M9009" t="s">
        <v>85</v>
      </c>
      <c r="R9009" t="s">
        <v>38264</v>
      </c>
      <c r="W9009" t="s">
        <v>38265</v>
      </c>
      <c r="X9009" t="s">
        <v>253</v>
      </c>
      <c r="Y9009" t="s">
        <v>131</v>
      </c>
      <c r="Z9009" t="s">
        <v>77</v>
      </c>
      <c r="AA9009" t="str">
        <f>"10466-2604"</f>
        <v>10466-2604</v>
      </c>
      <c r="AB9009" t="s">
        <v>78</v>
      </c>
      <c r="AC9009" t="s">
        <v>79</v>
      </c>
      <c r="AD9009" t="s">
        <v>75</v>
      </c>
      <c r="AE9009" t="s">
        <v>80</v>
      </c>
      <c r="AG9009" t="s">
        <v>81</v>
      </c>
    </row>
    <row r="9010" spans="1:33" x14ac:dyDescent="0.25">
      <c r="A9010" t="str">
        <f>"1801114574"</f>
        <v>1801114574</v>
      </c>
      <c r="B9010" t="str">
        <f>"03574210"</f>
        <v>03574210</v>
      </c>
      <c r="C9010" t="s">
        <v>13436</v>
      </c>
      <c r="D9010" t="s">
        <v>38266</v>
      </c>
      <c r="E9010" t="s">
        <v>38267</v>
      </c>
      <c r="L9010" t="s">
        <v>84</v>
      </c>
      <c r="M9010" t="s">
        <v>85</v>
      </c>
      <c r="R9010" t="s">
        <v>38268</v>
      </c>
      <c r="W9010" t="s">
        <v>38267</v>
      </c>
      <c r="X9010" t="s">
        <v>329</v>
      </c>
      <c r="Y9010" t="s">
        <v>97</v>
      </c>
      <c r="Z9010" t="s">
        <v>77</v>
      </c>
      <c r="AA9010" t="str">
        <f>"10029-6500"</f>
        <v>10029-6500</v>
      </c>
      <c r="AB9010" t="s">
        <v>78</v>
      </c>
      <c r="AC9010" t="s">
        <v>79</v>
      </c>
      <c r="AD9010" t="s">
        <v>75</v>
      </c>
      <c r="AE9010" t="s">
        <v>80</v>
      </c>
      <c r="AG9010" t="s">
        <v>81</v>
      </c>
    </row>
    <row r="9011" spans="1:33" x14ac:dyDescent="0.25">
      <c r="A9011" t="str">
        <f>"1255608857"</f>
        <v>1255608857</v>
      </c>
      <c r="B9011" t="str">
        <f>"03484200"</f>
        <v>03484200</v>
      </c>
      <c r="C9011" t="s">
        <v>13436</v>
      </c>
      <c r="D9011" t="s">
        <v>38269</v>
      </c>
      <c r="E9011" t="s">
        <v>38270</v>
      </c>
      <c r="L9011" t="s">
        <v>94</v>
      </c>
      <c r="M9011" t="s">
        <v>75</v>
      </c>
      <c r="R9011" t="s">
        <v>38270</v>
      </c>
      <c r="W9011" t="s">
        <v>38270</v>
      </c>
      <c r="X9011" t="s">
        <v>130</v>
      </c>
      <c r="Y9011" t="s">
        <v>131</v>
      </c>
      <c r="Z9011" t="s">
        <v>77</v>
      </c>
      <c r="AA9011" t="str">
        <f>"10461-1119"</f>
        <v>10461-1119</v>
      </c>
      <c r="AB9011" t="s">
        <v>78</v>
      </c>
      <c r="AC9011" t="s">
        <v>79</v>
      </c>
      <c r="AD9011" t="s">
        <v>75</v>
      </c>
      <c r="AE9011" t="s">
        <v>80</v>
      </c>
      <c r="AG9011" t="s">
        <v>81</v>
      </c>
    </row>
    <row r="9012" spans="1:33" x14ac:dyDescent="0.25">
      <c r="A9012" t="str">
        <f>"1558792457"</f>
        <v>1558792457</v>
      </c>
      <c r="C9012" t="s">
        <v>13436</v>
      </c>
      <c r="G9012" t="s">
        <v>38271</v>
      </c>
      <c r="K9012" t="s">
        <v>99</v>
      </c>
      <c r="L9012" t="s">
        <v>102</v>
      </c>
      <c r="M9012" t="s">
        <v>75</v>
      </c>
      <c r="R9012" t="s">
        <v>38272</v>
      </c>
      <c r="S9012" t="s">
        <v>38273</v>
      </c>
      <c r="T9012" t="s">
        <v>217</v>
      </c>
      <c r="U9012" t="s">
        <v>77</v>
      </c>
      <c r="V9012" t="str">
        <f>"115572418"</f>
        <v>115572418</v>
      </c>
      <c r="AC9012" t="s">
        <v>79</v>
      </c>
      <c r="AD9012" t="s">
        <v>75</v>
      </c>
      <c r="AE9012" t="s">
        <v>103</v>
      </c>
      <c r="AG9012" t="s">
        <v>81</v>
      </c>
    </row>
    <row r="9013" spans="1:33" x14ac:dyDescent="0.25">
      <c r="A9013" t="str">
        <f>"1558798892"</f>
        <v>1558798892</v>
      </c>
      <c r="B9013" t="str">
        <f>"03768572"</f>
        <v>03768572</v>
      </c>
      <c r="C9013" t="s">
        <v>13436</v>
      </c>
      <c r="D9013" t="s">
        <v>38274</v>
      </c>
      <c r="E9013" t="s">
        <v>38275</v>
      </c>
      <c r="L9013" t="s">
        <v>74</v>
      </c>
      <c r="M9013" t="s">
        <v>75</v>
      </c>
      <c r="R9013" t="s">
        <v>38276</v>
      </c>
      <c r="W9013" t="s">
        <v>38275</v>
      </c>
      <c r="X9013" t="s">
        <v>11597</v>
      </c>
      <c r="Y9013" t="s">
        <v>2128</v>
      </c>
      <c r="Z9013" t="s">
        <v>77</v>
      </c>
      <c r="AA9013" t="str">
        <f>"11743-2743"</f>
        <v>11743-2743</v>
      </c>
      <c r="AB9013" t="s">
        <v>78</v>
      </c>
      <c r="AC9013" t="s">
        <v>79</v>
      </c>
      <c r="AD9013" t="s">
        <v>75</v>
      </c>
      <c r="AE9013" t="s">
        <v>80</v>
      </c>
      <c r="AG9013" t="s">
        <v>81</v>
      </c>
    </row>
    <row r="9014" spans="1:33" x14ac:dyDescent="0.25">
      <c r="A9014" t="str">
        <f>"1568413300"</f>
        <v>1568413300</v>
      </c>
      <c r="B9014" t="str">
        <f>"03441072"</f>
        <v>03441072</v>
      </c>
      <c r="C9014" t="s">
        <v>13436</v>
      </c>
      <c r="D9014" t="s">
        <v>38277</v>
      </c>
      <c r="E9014" t="s">
        <v>38278</v>
      </c>
      <c r="G9014" t="s">
        <v>38279</v>
      </c>
      <c r="L9014" t="s">
        <v>83</v>
      </c>
      <c r="M9014" t="s">
        <v>85</v>
      </c>
      <c r="R9014" t="s">
        <v>38280</v>
      </c>
      <c r="W9014" t="s">
        <v>38278</v>
      </c>
      <c r="X9014" t="s">
        <v>38281</v>
      </c>
      <c r="Y9014" t="s">
        <v>97</v>
      </c>
      <c r="Z9014" t="s">
        <v>77</v>
      </c>
      <c r="AA9014" t="str">
        <f>"10029-6500"</f>
        <v>10029-6500</v>
      </c>
      <c r="AB9014" t="s">
        <v>78</v>
      </c>
      <c r="AC9014" t="s">
        <v>79</v>
      </c>
      <c r="AD9014" t="s">
        <v>75</v>
      </c>
      <c r="AE9014" t="s">
        <v>80</v>
      </c>
      <c r="AG9014" t="s">
        <v>81</v>
      </c>
    </row>
    <row r="9015" spans="1:33" x14ac:dyDescent="0.25">
      <c r="A9015" t="str">
        <f>"1568423358"</f>
        <v>1568423358</v>
      </c>
      <c r="B9015" t="str">
        <f>"01716027"</f>
        <v>01716027</v>
      </c>
      <c r="C9015" t="s">
        <v>13436</v>
      </c>
      <c r="D9015" t="s">
        <v>38282</v>
      </c>
      <c r="E9015" t="s">
        <v>38283</v>
      </c>
      <c r="G9015" t="s">
        <v>38284</v>
      </c>
      <c r="L9015" t="s">
        <v>83</v>
      </c>
      <c r="M9015" t="s">
        <v>85</v>
      </c>
      <c r="R9015" t="s">
        <v>38285</v>
      </c>
      <c r="W9015" t="s">
        <v>38283</v>
      </c>
      <c r="X9015" t="s">
        <v>6254</v>
      </c>
      <c r="Y9015" t="s">
        <v>227</v>
      </c>
      <c r="Z9015" t="s">
        <v>77</v>
      </c>
      <c r="AA9015" t="str">
        <f>"10601-1712"</f>
        <v>10601-1712</v>
      </c>
      <c r="AB9015" t="s">
        <v>78</v>
      </c>
      <c r="AC9015" t="s">
        <v>79</v>
      </c>
      <c r="AD9015" t="s">
        <v>75</v>
      </c>
      <c r="AE9015" t="s">
        <v>80</v>
      </c>
      <c r="AG9015" t="s">
        <v>81</v>
      </c>
    </row>
    <row r="9016" spans="1:33" x14ac:dyDescent="0.25">
      <c r="A9016" t="str">
        <f>"1518048966"</f>
        <v>1518048966</v>
      </c>
      <c r="B9016" t="str">
        <f>"02842648"</f>
        <v>02842648</v>
      </c>
      <c r="C9016" t="s">
        <v>13436</v>
      </c>
      <c r="D9016" t="s">
        <v>38286</v>
      </c>
      <c r="E9016" t="s">
        <v>38287</v>
      </c>
      <c r="L9016" t="s">
        <v>83</v>
      </c>
      <c r="M9016" t="s">
        <v>85</v>
      </c>
      <c r="R9016" t="s">
        <v>38288</v>
      </c>
      <c r="W9016" t="s">
        <v>38287</v>
      </c>
      <c r="X9016" t="s">
        <v>173</v>
      </c>
      <c r="Y9016" t="s">
        <v>87</v>
      </c>
      <c r="Z9016" t="s">
        <v>77</v>
      </c>
      <c r="AA9016" t="str">
        <f>"11219-2916"</f>
        <v>11219-2916</v>
      </c>
      <c r="AB9016" t="s">
        <v>78</v>
      </c>
      <c r="AC9016" t="s">
        <v>79</v>
      </c>
      <c r="AD9016" t="s">
        <v>75</v>
      </c>
      <c r="AE9016" t="s">
        <v>80</v>
      </c>
      <c r="AG9016" t="s">
        <v>81</v>
      </c>
    </row>
    <row r="9017" spans="1:33" x14ac:dyDescent="0.25">
      <c r="A9017" t="str">
        <f>"1518049782"</f>
        <v>1518049782</v>
      </c>
      <c r="B9017" t="str">
        <f>"01953502"</f>
        <v>01953502</v>
      </c>
      <c r="C9017" t="s">
        <v>13436</v>
      </c>
      <c r="D9017" t="s">
        <v>38289</v>
      </c>
      <c r="E9017" t="s">
        <v>38290</v>
      </c>
      <c r="G9017" t="s">
        <v>38291</v>
      </c>
      <c r="L9017" t="s">
        <v>83</v>
      </c>
      <c r="M9017" t="s">
        <v>85</v>
      </c>
      <c r="R9017" t="s">
        <v>38292</v>
      </c>
      <c r="W9017" t="s">
        <v>38290</v>
      </c>
      <c r="X9017" t="s">
        <v>2586</v>
      </c>
      <c r="Y9017" t="s">
        <v>131</v>
      </c>
      <c r="Z9017" t="s">
        <v>77</v>
      </c>
      <c r="AA9017" t="str">
        <f>"10467-2404"</f>
        <v>10467-2404</v>
      </c>
      <c r="AB9017" t="s">
        <v>78</v>
      </c>
      <c r="AC9017" t="s">
        <v>79</v>
      </c>
      <c r="AD9017" t="s">
        <v>75</v>
      </c>
      <c r="AE9017" t="s">
        <v>80</v>
      </c>
      <c r="AG9017" t="s">
        <v>81</v>
      </c>
    </row>
    <row r="9018" spans="1:33" x14ac:dyDescent="0.25">
      <c r="A9018" t="str">
        <f>"1518068162"</f>
        <v>1518068162</v>
      </c>
      <c r="B9018" t="str">
        <f>"02497583"</f>
        <v>02497583</v>
      </c>
      <c r="C9018" t="s">
        <v>13436</v>
      </c>
      <c r="D9018" t="s">
        <v>38293</v>
      </c>
      <c r="E9018" t="s">
        <v>38294</v>
      </c>
      <c r="G9018" t="s">
        <v>38295</v>
      </c>
      <c r="L9018" t="s">
        <v>83</v>
      </c>
      <c r="M9018" t="s">
        <v>85</v>
      </c>
      <c r="R9018" t="s">
        <v>38296</v>
      </c>
      <c r="W9018" t="s">
        <v>38294</v>
      </c>
      <c r="X9018" t="s">
        <v>19893</v>
      </c>
      <c r="Y9018" t="s">
        <v>97</v>
      </c>
      <c r="Z9018" t="s">
        <v>77</v>
      </c>
      <c r="AA9018" t="str">
        <f>"10003"</f>
        <v>10003</v>
      </c>
      <c r="AB9018" t="s">
        <v>78</v>
      </c>
      <c r="AC9018" t="s">
        <v>79</v>
      </c>
      <c r="AD9018" t="s">
        <v>75</v>
      </c>
      <c r="AE9018" t="s">
        <v>80</v>
      </c>
      <c r="AG9018" t="s">
        <v>81</v>
      </c>
    </row>
    <row r="9019" spans="1:33" x14ac:dyDescent="0.25">
      <c r="A9019" t="str">
        <f>"1518125681"</f>
        <v>1518125681</v>
      </c>
      <c r="B9019" t="str">
        <f>"03110643"</f>
        <v>03110643</v>
      </c>
      <c r="C9019" t="s">
        <v>13436</v>
      </c>
      <c r="D9019" t="s">
        <v>38297</v>
      </c>
      <c r="E9019" t="s">
        <v>38298</v>
      </c>
      <c r="G9019" t="s">
        <v>38299</v>
      </c>
      <c r="L9019" t="s">
        <v>83</v>
      </c>
      <c r="M9019" t="s">
        <v>85</v>
      </c>
      <c r="R9019" t="s">
        <v>38300</v>
      </c>
      <c r="W9019" t="s">
        <v>38301</v>
      </c>
      <c r="X9019" t="s">
        <v>842</v>
      </c>
      <c r="Y9019" t="s">
        <v>97</v>
      </c>
      <c r="Z9019" t="s">
        <v>77</v>
      </c>
      <c r="AA9019" t="str">
        <f>"10029-6501"</f>
        <v>10029-6501</v>
      </c>
      <c r="AB9019" t="s">
        <v>78</v>
      </c>
      <c r="AC9019" t="s">
        <v>79</v>
      </c>
      <c r="AD9019" t="s">
        <v>75</v>
      </c>
      <c r="AE9019" t="s">
        <v>80</v>
      </c>
      <c r="AG9019" t="s">
        <v>81</v>
      </c>
    </row>
    <row r="9020" spans="1:33" x14ac:dyDescent="0.25">
      <c r="A9020" t="str">
        <f>"1518125798"</f>
        <v>1518125798</v>
      </c>
      <c r="B9020" t="str">
        <f>"03116525"</f>
        <v>03116525</v>
      </c>
      <c r="C9020" t="s">
        <v>13436</v>
      </c>
      <c r="D9020" t="s">
        <v>38302</v>
      </c>
      <c r="E9020" t="s">
        <v>38303</v>
      </c>
      <c r="G9020" t="s">
        <v>38304</v>
      </c>
      <c r="L9020" t="s">
        <v>83</v>
      </c>
      <c r="M9020" t="s">
        <v>85</v>
      </c>
      <c r="R9020" t="s">
        <v>38305</v>
      </c>
      <c r="W9020" t="s">
        <v>38303</v>
      </c>
      <c r="X9020" t="s">
        <v>185</v>
      </c>
      <c r="Y9020" t="s">
        <v>97</v>
      </c>
      <c r="Z9020" t="s">
        <v>77</v>
      </c>
      <c r="AA9020" t="str">
        <f>"10035-2709"</f>
        <v>10035-2709</v>
      </c>
      <c r="AB9020" t="s">
        <v>78</v>
      </c>
      <c r="AC9020" t="s">
        <v>79</v>
      </c>
      <c r="AD9020" t="s">
        <v>75</v>
      </c>
      <c r="AE9020" t="s">
        <v>80</v>
      </c>
      <c r="AG9020" t="s">
        <v>81</v>
      </c>
    </row>
    <row r="9021" spans="1:33" x14ac:dyDescent="0.25">
      <c r="A9021" t="str">
        <f>"1518166719"</f>
        <v>1518166719</v>
      </c>
      <c r="B9021" t="str">
        <f>"03261929"</f>
        <v>03261929</v>
      </c>
      <c r="C9021" t="s">
        <v>13436</v>
      </c>
      <c r="D9021" t="s">
        <v>38306</v>
      </c>
      <c r="E9021" t="s">
        <v>38307</v>
      </c>
      <c r="G9021" t="s">
        <v>38308</v>
      </c>
      <c r="L9021" t="s">
        <v>84</v>
      </c>
      <c r="M9021" t="s">
        <v>85</v>
      </c>
      <c r="R9021" t="s">
        <v>38309</v>
      </c>
      <c r="W9021" t="s">
        <v>38309</v>
      </c>
      <c r="X9021" t="s">
        <v>272</v>
      </c>
      <c r="Y9021" t="s">
        <v>97</v>
      </c>
      <c r="Z9021" t="s">
        <v>77</v>
      </c>
      <c r="AA9021" t="str">
        <f>"10029-6501"</f>
        <v>10029-6501</v>
      </c>
      <c r="AB9021" t="s">
        <v>78</v>
      </c>
      <c r="AC9021" t="s">
        <v>79</v>
      </c>
      <c r="AD9021" t="s">
        <v>75</v>
      </c>
      <c r="AE9021" t="s">
        <v>80</v>
      </c>
      <c r="AG9021" t="s">
        <v>81</v>
      </c>
    </row>
    <row r="9022" spans="1:33" x14ac:dyDescent="0.25">
      <c r="A9022" t="str">
        <f>"1518200674"</f>
        <v>1518200674</v>
      </c>
      <c r="C9022" t="s">
        <v>13436</v>
      </c>
      <c r="K9022" t="s">
        <v>99</v>
      </c>
      <c r="L9022" t="s">
        <v>74</v>
      </c>
      <c r="M9022" t="s">
        <v>75</v>
      </c>
      <c r="R9022" t="s">
        <v>38310</v>
      </c>
      <c r="S9022" t="s">
        <v>13562</v>
      </c>
      <c r="T9022" t="s">
        <v>97</v>
      </c>
      <c r="U9022" t="s">
        <v>77</v>
      </c>
      <c r="V9022" t="str">
        <f>"100296508"</f>
        <v>100296508</v>
      </c>
      <c r="AC9022" t="s">
        <v>79</v>
      </c>
      <c r="AD9022" t="s">
        <v>75</v>
      </c>
      <c r="AE9022" t="s">
        <v>103</v>
      </c>
      <c r="AG9022" t="s">
        <v>81</v>
      </c>
    </row>
    <row r="9023" spans="1:33" x14ac:dyDescent="0.25">
      <c r="A9023" t="str">
        <f>"1518209436"</f>
        <v>1518209436</v>
      </c>
      <c r="C9023" t="s">
        <v>13436</v>
      </c>
      <c r="K9023" t="s">
        <v>99</v>
      </c>
      <c r="L9023" t="s">
        <v>102</v>
      </c>
      <c r="M9023" t="s">
        <v>75</v>
      </c>
      <c r="R9023" t="s">
        <v>38311</v>
      </c>
      <c r="S9023" t="s">
        <v>12625</v>
      </c>
      <c r="T9023" t="s">
        <v>1783</v>
      </c>
      <c r="U9023" t="s">
        <v>1784</v>
      </c>
      <c r="V9023" t="str">
        <f>"191044319"</f>
        <v>191044319</v>
      </c>
      <c r="AC9023" t="s">
        <v>79</v>
      </c>
      <c r="AD9023" t="s">
        <v>75</v>
      </c>
      <c r="AE9023" t="s">
        <v>103</v>
      </c>
      <c r="AG9023" t="s">
        <v>81</v>
      </c>
    </row>
    <row r="9024" spans="1:33" x14ac:dyDescent="0.25">
      <c r="A9024" t="str">
        <f>"1679679963"</f>
        <v>1679679963</v>
      </c>
      <c r="B9024" t="str">
        <f>"02478384"</f>
        <v>02478384</v>
      </c>
      <c r="C9024" t="s">
        <v>13436</v>
      </c>
      <c r="D9024" t="s">
        <v>5532</v>
      </c>
      <c r="E9024" t="s">
        <v>5533</v>
      </c>
      <c r="G9024" t="s">
        <v>38312</v>
      </c>
      <c r="L9024" t="s">
        <v>83</v>
      </c>
      <c r="M9024" t="s">
        <v>75</v>
      </c>
      <c r="R9024" t="s">
        <v>5534</v>
      </c>
      <c r="W9024" t="s">
        <v>5535</v>
      </c>
      <c r="X9024" t="s">
        <v>5536</v>
      </c>
      <c r="Y9024" t="s">
        <v>97</v>
      </c>
      <c r="Z9024" t="s">
        <v>77</v>
      </c>
      <c r="AA9024" t="str">
        <f>"10016-3801"</f>
        <v>10016-3801</v>
      </c>
      <c r="AB9024" t="s">
        <v>128</v>
      </c>
      <c r="AC9024" t="s">
        <v>79</v>
      </c>
      <c r="AD9024" t="s">
        <v>75</v>
      </c>
      <c r="AE9024" t="s">
        <v>80</v>
      </c>
      <c r="AG9024" t="s">
        <v>81</v>
      </c>
    </row>
    <row r="9025" spans="1:33" x14ac:dyDescent="0.25">
      <c r="A9025" t="str">
        <f>"1699863357"</f>
        <v>1699863357</v>
      </c>
      <c r="B9025" t="str">
        <f>"02931235"</f>
        <v>02931235</v>
      </c>
      <c r="C9025" t="s">
        <v>13436</v>
      </c>
      <c r="D9025" t="s">
        <v>38313</v>
      </c>
      <c r="E9025" t="s">
        <v>38314</v>
      </c>
      <c r="G9025" t="s">
        <v>38315</v>
      </c>
      <c r="L9025" t="s">
        <v>143</v>
      </c>
      <c r="M9025" t="s">
        <v>75</v>
      </c>
      <c r="R9025" t="s">
        <v>38316</v>
      </c>
      <c r="W9025" t="s">
        <v>38317</v>
      </c>
      <c r="X9025" t="s">
        <v>173</v>
      </c>
      <c r="Y9025" t="s">
        <v>87</v>
      </c>
      <c r="Z9025" t="s">
        <v>77</v>
      </c>
      <c r="AA9025" t="str">
        <f>"11219-2916"</f>
        <v>11219-2916</v>
      </c>
      <c r="AB9025" t="s">
        <v>78</v>
      </c>
      <c r="AC9025" t="s">
        <v>79</v>
      </c>
      <c r="AD9025" t="s">
        <v>75</v>
      </c>
      <c r="AE9025" t="s">
        <v>80</v>
      </c>
      <c r="AG9025" t="s">
        <v>81</v>
      </c>
    </row>
    <row r="9026" spans="1:33" x14ac:dyDescent="0.25">
      <c r="A9026" t="str">
        <f>"1700950565"</f>
        <v>1700950565</v>
      </c>
      <c r="B9026" t="str">
        <f>"01365535"</f>
        <v>01365535</v>
      </c>
      <c r="C9026" t="s">
        <v>13436</v>
      </c>
      <c r="D9026" t="s">
        <v>38318</v>
      </c>
      <c r="E9026" t="s">
        <v>38319</v>
      </c>
      <c r="G9026" t="s">
        <v>38320</v>
      </c>
      <c r="L9026" t="s">
        <v>84</v>
      </c>
      <c r="M9026" t="s">
        <v>75</v>
      </c>
      <c r="R9026" t="s">
        <v>38321</v>
      </c>
      <c r="W9026" t="s">
        <v>38319</v>
      </c>
      <c r="X9026" t="s">
        <v>5119</v>
      </c>
      <c r="Y9026" t="s">
        <v>87</v>
      </c>
      <c r="Z9026" t="s">
        <v>77</v>
      </c>
      <c r="AA9026" t="str">
        <f>"11215-5004"</f>
        <v>11215-5004</v>
      </c>
      <c r="AB9026" t="s">
        <v>78</v>
      </c>
      <c r="AC9026" t="s">
        <v>79</v>
      </c>
      <c r="AD9026" t="s">
        <v>75</v>
      </c>
      <c r="AE9026" t="s">
        <v>80</v>
      </c>
      <c r="AG9026" t="s">
        <v>81</v>
      </c>
    </row>
    <row r="9027" spans="1:33" x14ac:dyDescent="0.25">
      <c r="A9027" t="str">
        <f>"1770532285"</f>
        <v>1770532285</v>
      </c>
      <c r="B9027" t="str">
        <f>"01724267"</f>
        <v>01724267</v>
      </c>
      <c r="C9027" t="s">
        <v>13436</v>
      </c>
      <c r="D9027" t="s">
        <v>38322</v>
      </c>
      <c r="E9027" t="s">
        <v>38323</v>
      </c>
      <c r="L9027" t="s">
        <v>84</v>
      </c>
      <c r="M9027" t="s">
        <v>75</v>
      </c>
      <c r="R9027" t="s">
        <v>38324</v>
      </c>
      <c r="W9027" t="s">
        <v>38323</v>
      </c>
      <c r="X9027" t="s">
        <v>4040</v>
      </c>
      <c r="Y9027" t="s">
        <v>87</v>
      </c>
      <c r="Z9027" t="s">
        <v>77</v>
      </c>
      <c r="AA9027" t="str">
        <f>"11220-4718"</f>
        <v>11220-4718</v>
      </c>
      <c r="AB9027" t="s">
        <v>78</v>
      </c>
      <c r="AC9027" t="s">
        <v>79</v>
      </c>
      <c r="AD9027" t="s">
        <v>75</v>
      </c>
      <c r="AE9027" t="s">
        <v>80</v>
      </c>
      <c r="AG9027" t="s">
        <v>81</v>
      </c>
    </row>
    <row r="9028" spans="1:33" x14ac:dyDescent="0.25">
      <c r="A9028" t="str">
        <f>"1770538886"</f>
        <v>1770538886</v>
      </c>
      <c r="B9028" t="str">
        <f>"01745459"</f>
        <v>01745459</v>
      </c>
      <c r="C9028" t="s">
        <v>13436</v>
      </c>
      <c r="D9028" t="s">
        <v>6139</v>
      </c>
      <c r="E9028" t="s">
        <v>6140</v>
      </c>
      <c r="L9028" t="s">
        <v>83</v>
      </c>
      <c r="M9028" t="s">
        <v>75</v>
      </c>
      <c r="R9028" t="s">
        <v>6141</v>
      </c>
      <c r="W9028" t="s">
        <v>6140</v>
      </c>
      <c r="X9028" t="s">
        <v>185</v>
      </c>
      <c r="Y9028" t="s">
        <v>97</v>
      </c>
      <c r="Z9028" t="s">
        <v>77</v>
      </c>
      <c r="AA9028" t="str">
        <f>"10035-2709"</f>
        <v>10035-2709</v>
      </c>
      <c r="AB9028" t="s">
        <v>78</v>
      </c>
      <c r="AC9028" t="s">
        <v>79</v>
      </c>
      <c r="AD9028" t="s">
        <v>75</v>
      </c>
      <c r="AE9028" t="s">
        <v>80</v>
      </c>
      <c r="AG9028" t="s">
        <v>81</v>
      </c>
    </row>
    <row r="9029" spans="1:33" x14ac:dyDescent="0.25">
      <c r="A9029" t="str">
        <f>"1770541120"</f>
        <v>1770541120</v>
      </c>
      <c r="B9029" t="str">
        <f>"01801216"</f>
        <v>01801216</v>
      </c>
      <c r="C9029" t="s">
        <v>13436</v>
      </c>
      <c r="D9029" t="s">
        <v>38325</v>
      </c>
      <c r="E9029" t="s">
        <v>38326</v>
      </c>
      <c r="G9029" t="s">
        <v>38327</v>
      </c>
      <c r="L9029" t="s">
        <v>83</v>
      </c>
      <c r="M9029" t="s">
        <v>85</v>
      </c>
      <c r="R9029" t="s">
        <v>38328</v>
      </c>
      <c r="W9029" t="s">
        <v>38326</v>
      </c>
      <c r="X9029" t="s">
        <v>297</v>
      </c>
      <c r="Y9029" t="s">
        <v>139</v>
      </c>
      <c r="Z9029" t="s">
        <v>77</v>
      </c>
      <c r="AA9029" t="str">
        <f>"11355-5044"</f>
        <v>11355-5044</v>
      </c>
      <c r="AB9029" t="s">
        <v>78</v>
      </c>
      <c r="AC9029" t="s">
        <v>79</v>
      </c>
      <c r="AD9029" t="s">
        <v>75</v>
      </c>
      <c r="AE9029" t="s">
        <v>80</v>
      </c>
      <c r="AG9029" t="s">
        <v>81</v>
      </c>
    </row>
    <row r="9030" spans="1:33" x14ac:dyDescent="0.25">
      <c r="A9030" t="str">
        <f>"1770544025"</f>
        <v>1770544025</v>
      </c>
      <c r="B9030" t="str">
        <f>"01285285"</f>
        <v>01285285</v>
      </c>
      <c r="C9030" t="s">
        <v>13436</v>
      </c>
      <c r="D9030" t="s">
        <v>38329</v>
      </c>
      <c r="E9030" t="s">
        <v>38330</v>
      </c>
      <c r="G9030" t="s">
        <v>38331</v>
      </c>
      <c r="L9030" t="s">
        <v>84</v>
      </c>
      <c r="M9030" t="s">
        <v>85</v>
      </c>
      <c r="R9030" t="s">
        <v>38332</v>
      </c>
      <c r="W9030" t="s">
        <v>38330</v>
      </c>
      <c r="X9030" t="s">
        <v>329</v>
      </c>
      <c r="Y9030" t="s">
        <v>97</v>
      </c>
      <c r="Z9030" t="s">
        <v>77</v>
      </c>
      <c r="AA9030" t="str">
        <f>"10029-6500"</f>
        <v>10029-6500</v>
      </c>
      <c r="AB9030" t="s">
        <v>78</v>
      </c>
      <c r="AC9030" t="s">
        <v>79</v>
      </c>
      <c r="AD9030" t="s">
        <v>75</v>
      </c>
      <c r="AE9030" t="s">
        <v>80</v>
      </c>
      <c r="AG9030" t="s">
        <v>81</v>
      </c>
    </row>
    <row r="9031" spans="1:33" x14ac:dyDescent="0.25">
      <c r="A9031" t="str">
        <f>"1770578379"</f>
        <v>1770578379</v>
      </c>
      <c r="B9031" t="str">
        <f>"02915020"</f>
        <v>02915020</v>
      </c>
      <c r="C9031" t="s">
        <v>13436</v>
      </c>
      <c r="D9031" t="s">
        <v>38333</v>
      </c>
      <c r="E9031" t="s">
        <v>38334</v>
      </c>
      <c r="G9031" t="s">
        <v>38335</v>
      </c>
      <c r="L9031" t="s">
        <v>83</v>
      </c>
      <c r="M9031" t="s">
        <v>85</v>
      </c>
      <c r="R9031" t="s">
        <v>38336</v>
      </c>
      <c r="W9031" t="s">
        <v>38334</v>
      </c>
      <c r="X9031" t="s">
        <v>329</v>
      </c>
      <c r="Y9031" t="s">
        <v>97</v>
      </c>
      <c r="Z9031" t="s">
        <v>77</v>
      </c>
      <c r="AA9031" t="str">
        <f>"10029-6500"</f>
        <v>10029-6500</v>
      </c>
      <c r="AB9031" t="s">
        <v>78</v>
      </c>
      <c r="AC9031" t="s">
        <v>79</v>
      </c>
      <c r="AD9031" t="s">
        <v>75</v>
      </c>
      <c r="AE9031" t="s">
        <v>80</v>
      </c>
      <c r="AG9031" t="s">
        <v>81</v>
      </c>
    </row>
    <row r="9032" spans="1:33" x14ac:dyDescent="0.25">
      <c r="A9032" t="str">
        <f>"1770579260"</f>
        <v>1770579260</v>
      </c>
      <c r="B9032" t="str">
        <f>"01176003"</f>
        <v>01176003</v>
      </c>
      <c r="C9032" t="s">
        <v>13436</v>
      </c>
      <c r="D9032" t="s">
        <v>38337</v>
      </c>
      <c r="E9032" t="s">
        <v>38338</v>
      </c>
      <c r="G9032" t="s">
        <v>38339</v>
      </c>
      <c r="L9032" t="s">
        <v>84</v>
      </c>
      <c r="M9032" t="s">
        <v>75</v>
      </c>
      <c r="R9032" t="s">
        <v>38340</v>
      </c>
      <c r="W9032" t="s">
        <v>38338</v>
      </c>
      <c r="X9032" t="s">
        <v>1897</v>
      </c>
      <c r="Y9032" t="s">
        <v>190</v>
      </c>
      <c r="Z9032" t="s">
        <v>77</v>
      </c>
      <c r="AA9032" t="str">
        <f>"11102-3249"</f>
        <v>11102-3249</v>
      </c>
      <c r="AB9032" t="s">
        <v>78</v>
      </c>
      <c r="AC9032" t="s">
        <v>79</v>
      </c>
      <c r="AD9032" t="s">
        <v>75</v>
      </c>
      <c r="AE9032" t="s">
        <v>80</v>
      </c>
      <c r="AG9032" t="s">
        <v>81</v>
      </c>
    </row>
    <row r="9033" spans="1:33" x14ac:dyDescent="0.25">
      <c r="A9033" t="str">
        <f>"1467730945"</f>
        <v>1467730945</v>
      </c>
      <c r="B9033" t="str">
        <f>"03472617"</f>
        <v>03472617</v>
      </c>
      <c r="C9033" t="s">
        <v>13436</v>
      </c>
      <c r="D9033" t="s">
        <v>38341</v>
      </c>
      <c r="E9033" t="s">
        <v>38342</v>
      </c>
      <c r="G9033" t="s">
        <v>38343</v>
      </c>
      <c r="L9033" t="s">
        <v>84</v>
      </c>
      <c r="M9033" t="s">
        <v>75</v>
      </c>
      <c r="R9033" t="s">
        <v>38344</v>
      </c>
      <c r="W9033" t="s">
        <v>38345</v>
      </c>
      <c r="X9033" t="s">
        <v>4444</v>
      </c>
      <c r="Y9033" t="s">
        <v>97</v>
      </c>
      <c r="Z9033" t="s">
        <v>77</v>
      </c>
      <c r="AA9033" t="str">
        <f>"10009-5335"</f>
        <v>10009-5335</v>
      </c>
      <c r="AB9033" t="s">
        <v>78</v>
      </c>
      <c r="AC9033" t="s">
        <v>79</v>
      </c>
      <c r="AD9033" t="s">
        <v>75</v>
      </c>
      <c r="AE9033" t="s">
        <v>80</v>
      </c>
      <c r="AG9033" t="s">
        <v>81</v>
      </c>
    </row>
    <row r="9034" spans="1:33" x14ac:dyDescent="0.25">
      <c r="A9034" t="str">
        <f>"1396777413"</f>
        <v>1396777413</v>
      </c>
      <c r="B9034" t="str">
        <f>"02584870"</f>
        <v>02584870</v>
      </c>
      <c r="C9034" t="s">
        <v>13436</v>
      </c>
      <c r="D9034" t="s">
        <v>38346</v>
      </c>
      <c r="E9034" t="s">
        <v>38347</v>
      </c>
      <c r="G9034" t="s">
        <v>38348</v>
      </c>
      <c r="L9034" t="s">
        <v>83</v>
      </c>
      <c r="M9034" t="s">
        <v>75</v>
      </c>
      <c r="R9034" t="s">
        <v>38349</v>
      </c>
      <c r="W9034" t="s">
        <v>38347</v>
      </c>
      <c r="X9034" t="s">
        <v>272</v>
      </c>
      <c r="Y9034" t="s">
        <v>97</v>
      </c>
      <c r="Z9034" t="s">
        <v>77</v>
      </c>
      <c r="AA9034" t="str">
        <f>"10029-6501"</f>
        <v>10029-6501</v>
      </c>
      <c r="AB9034" t="s">
        <v>78</v>
      </c>
      <c r="AC9034" t="s">
        <v>79</v>
      </c>
      <c r="AD9034" t="s">
        <v>75</v>
      </c>
      <c r="AE9034" t="s">
        <v>80</v>
      </c>
      <c r="AG9034" t="s">
        <v>81</v>
      </c>
    </row>
    <row r="9035" spans="1:33" x14ac:dyDescent="0.25">
      <c r="A9035" t="str">
        <f>"1902822000"</f>
        <v>1902822000</v>
      </c>
      <c r="B9035" t="str">
        <f>"03567508"</f>
        <v>03567508</v>
      </c>
      <c r="C9035" t="s">
        <v>13436</v>
      </c>
      <c r="D9035" t="s">
        <v>38350</v>
      </c>
      <c r="E9035" t="s">
        <v>38351</v>
      </c>
      <c r="G9035" t="s">
        <v>38352</v>
      </c>
      <c r="L9035" t="s">
        <v>74</v>
      </c>
      <c r="M9035" t="s">
        <v>75</v>
      </c>
      <c r="R9035" t="s">
        <v>38351</v>
      </c>
      <c r="W9035" t="s">
        <v>38351</v>
      </c>
      <c r="X9035" t="s">
        <v>181</v>
      </c>
      <c r="Y9035" t="s">
        <v>97</v>
      </c>
      <c r="Z9035" t="s">
        <v>77</v>
      </c>
      <c r="AA9035" t="str">
        <f>"10025-1716"</f>
        <v>10025-1716</v>
      </c>
      <c r="AB9035" t="s">
        <v>125</v>
      </c>
      <c r="AC9035" t="s">
        <v>79</v>
      </c>
      <c r="AD9035" t="s">
        <v>75</v>
      </c>
      <c r="AE9035" t="s">
        <v>80</v>
      </c>
      <c r="AG9035" t="s">
        <v>81</v>
      </c>
    </row>
    <row r="9036" spans="1:33" x14ac:dyDescent="0.25">
      <c r="A9036" t="str">
        <f>"1407292600"</f>
        <v>1407292600</v>
      </c>
      <c r="C9036" t="s">
        <v>13436</v>
      </c>
      <c r="G9036" t="s">
        <v>38353</v>
      </c>
      <c r="K9036" t="s">
        <v>99</v>
      </c>
      <c r="L9036" t="s">
        <v>102</v>
      </c>
      <c r="M9036" t="s">
        <v>75</v>
      </c>
      <c r="R9036" t="s">
        <v>38354</v>
      </c>
      <c r="S9036" t="s">
        <v>329</v>
      </c>
      <c r="T9036" t="s">
        <v>97</v>
      </c>
      <c r="U9036" t="s">
        <v>77</v>
      </c>
      <c r="V9036" t="str">
        <f>"100296504"</f>
        <v>100296504</v>
      </c>
      <c r="AC9036" t="s">
        <v>79</v>
      </c>
      <c r="AD9036" t="s">
        <v>75</v>
      </c>
      <c r="AE9036" t="s">
        <v>103</v>
      </c>
      <c r="AG9036" t="s">
        <v>81</v>
      </c>
    </row>
    <row r="9037" spans="1:33" x14ac:dyDescent="0.25">
      <c r="A9037" t="str">
        <f>"1225297047"</f>
        <v>1225297047</v>
      </c>
      <c r="B9037" t="str">
        <f>"03158156"</f>
        <v>03158156</v>
      </c>
      <c r="C9037" t="s">
        <v>13436</v>
      </c>
      <c r="D9037" t="s">
        <v>38355</v>
      </c>
      <c r="E9037" t="s">
        <v>38356</v>
      </c>
      <c r="G9037" t="s">
        <v>38357</v>
      </c>
      <c r="L9037" t="s">
        <v>83</v>
      </c>
      <c r="M9037" t="s">
        <v>75</v>
      </c>
      <c r="R9037" t="s">
        <v>38358</v>
      </c>
      <c r="W9037" t="s">
        <v>38359</v>
      </c>
      <c r="X9037" t="s">
        <v>38360</v>
      </c>
      <c r="Y9037" t="s">
        <v>97</v>
      </c>
      <c r="Z9037" t="s">
        <v>77</v>
      </c>
      <c r="AA9037" t="str">
        <f>"10029-6503"</f>
        <v>10029-6503</v>
      </c>
      <c r="AB9037" t="s">
        <v>78</v>
      </c>
      <c r="AC9037" t="s">
        <v>79</v>
      </c>
      <c r="AD9037" t="s">
        <v>75</v>
      </c>
      <c r="AE9037" t="s">
        <v>80</v>
      </c>
      <c r="AG9037" t="s">
        <v>81</v>
      </c>
    </row>
    <row r="9038" spans="1:33" x14ac:dyDescent="0.25">
      <c r="A9038" t="str">
        <f>"1346581816"</f>
        <v>1346581816</v>
      </c>
      <c r="B9038" t="str">
        <f>"04108756"</f>
        <v>04108756</v>
      </c>
      <c r="C9038" t="s">
        <v>13436</v>
      </c>
      <c r="D9038" t="s">
        <v>38361</v>
      </c>
      <c r="E9038" t="s">
        <v>38362</v>
      </c>
      <c r="G9038" t="s">
        <v>38363</v>
      </c>
      <c r="L9038" t="s">
        <v>74</v>
      </c>
      <c r="M9038" t="s">
        <v>75</v>
      </c>
      <c r="R9038" t="s">
        <v>38362</v>
      </c>
      <c r="W9038" t="s">
        <v>38362</v>
      </c>
      <c r="X9038" t="s">
        <v>329</v>
      </c>
      <c r="Y9038" t="s">
        <v>97</v>
      </c>
      <c r="Z9038" t="s">
        <v>77</v>
      </c>
      <c r="AA9038" t="str">
        <f>"10029-6504"</f>
        <v>10029-6504</v>
      </c>
      <c r="AB9038" t="s">
        <v>78</v>
      </c>
      <c r="AC9038" t="s">
        <v>79</v>
      </c>
      <c r="AD9038" t="s">
        <v>75</v>
      </c>
      <c r="AE9038" t="s">
        <v>80</v>
      </c>
      <c r="AG9038" t="s">
        <v>81</v>
      </c>
    </row>
    <row r="9039" spans="1:33" x14ac:dyDescent="0.25">
      <c r="A9039" t="str">
        <f>"1144425067"</f>
        <v>1144425067</v>
      </c>
      <c r="B9039" t="str">
        <f>"04079012"</f>
        <v>04079012</v>
      </c>
      <c r="C9039" t="s">
        <v>13436</v>
      </c>
      <c r="D9039" t="s">
        <v>38364</v>
      </c>
      <c r="E9039" t="s">
        <v>38365</v>
      </c>
      <c r="G9039" t="s">
        <v>38366</v>
      </c>
      <c r="L9039" t="s">
        <v>83</v>
      </c>
      <c r="M9039" t="s">
        <v>75</v>
      </c>
      <c r="R9039" t="s">
        <v>38367</v>
      </c>
      <c r="W9039" t="s">
        <v>38365</v>
      </c>
      <c r="X9039" t="s">
        <v>329</v>
      </c>
      <c r="Y9039" t="s">
        <v>97</v>
      </c>
      <c r="Z9039" t="s">
        <v>77</v>
      </c>
      <c r="AA9039" t="str">
        <f>"10029-6504"</f>
        <v>10029-6504</v>
      </c>
      <c r="AB9039" t="s">
        <v>78</v>
      </c>
      <c r="AC9039" t="s">
        <v>79</v>
      </c>
      <c r="AD9039" t="s">
        <v>75</v>
      </c>
      <c r="AE9039" t="s">
        <v>80</v>
      </c>
      <c r="AG9039" t="s">
        <v>81</v>
      </c>
    </row>
    <row r="9040" spans="1:33" x14ac:dyDescent="0.25">
      <c r="A9040" t="str">
        <f>"1730406943"</f>
        <v>1730406943</v>
      </c>
      <c r="C9040" t="s">
        <v>13436</v>
      </c>
      <c r="K9040" t="s">
        <v>99</v>
      </c>
      <c r="L9040" t="s">
        <v>102</v>
      </c>
      <c r="M9040" t="s">
        <v>75</v>
      </c>
      <c r="R9040" t="s">
        <v>38368</v>
      </c>
      <c r="S9040" t="s">
        <v>38369</v>
      </c>
      <c r="T9040" t="s">
        <v>38370</v>
      </c>
      <c r="U9040" t="s">
        <v>2395</v>
      </c>
      <c r="V9040" t="str">
        <f>"554550390"</f>
        <v>554550390</v>
      </c>
      <c r="AC9040" t="s">
        <v>79</v>
      </c>
      <c r="AD9040" t="s">
        <v>75</v>
      </c>
      <c r="AE9040" t="s">
        <v>103</v>
      </c>
      <c r="AG9040" t="s">
        <v>81</v>
      </c>
    </row>
    <row r="9041" spans="1:33" x14ac:dyDescent="0.25">
      <c r="A9041" t="str">
        <f>"1730419300"</f>
        <v>1730419300</v>
      </c>
      <c r="B9041" t="str">
        <f>"02339935"</f>
        <v>02339935</v>
      </c>
      <c r="C9041" t="s">
        <v>13436</v>
      </c>
      <c r="D9041" t="s">
        <v>38371</v>
      </c>
      <c r="E9041" t="s">
        <v>38372</v>
      </c>
      <c r="G9041" t="s">
        <v>38373</v>
      </c>
      <c r="L9041" t="s">
        <v>74</v>
      </c>
      <c r="M9041" t="s">
        <v>75</v>
      </c>
      <c r="R9041" t="s">
        <v>38374</v>
      </c>
      <c r="W9041" t="s">
        <v>38372</v>
      </c>
      <c r="X9041" t="s">
        <v>272</v>
      </c>
      <c r="Y9041" t="s">
        <v>97</v>
      </c>
      <c r="Z9041" t="s">
        <v>77</v>
      </c>
      <c r="AA9041" t="str">
        <f>"10029-6501"</f>
        <v>10029-6501</v>
      </c>
      <c r="AB9041" t="s">
        <v>78</v>
      </c>
      <c r="AC9041" t="s">
        <v>79</v>
      </c>
      <c r="AD9041" t="s">
        <v>75</v>
      </c>
      <c r="AE9041" t="s">
        <v>80</v>
      </c>
      <c r="AG9041" t="s">
        <v>81</v>
      </c>
    </row>
    <row r="9042" spans="1:33" x14ac:dyDescent="0.25">
      <c r="A9042" t="str">
        <f>"1730421355"</f>
        <v>1730421355</v>
      </c>
      <c r="C9042" t="s">
        <v>13436</v>
      </c>
      <c r="K9042" t="s">
        <v>99</v>
      </c>
      <c r="L9042" t="s">
        <v>102</v>
      </c>
      <c r="M9042" t="s">
        <v>75</v>
      </c>
      <c r="R9042" t="s">
        <v>38375</v>
      </c>
      <c r="S9042" t="s">
        <v>329</v>
      </c>
      <c r="T9042" t="s">
        <v>97</v>
      </c>
      <c r="U9042" t="s">
        <v>77</v>
      </c>
      <c r="V9042" t="str">
        <f>"100296500"</f>
        <v>100296500</v>
      </c>
      <c r="AC9042" t="s">
        <v>79</v>
      </c>
      <c r="AD9042" t="s">
        <v>75</v>
      </c>
      <c r="AE9042" t="s">
        <v>103</v>
      </c>
      <c r="AG9042" t="s">
        <v>81</v>
      </c>
    </row>
    <row r="9043" spans="1:33" x14ac:dyDescent="0.25">
      <c r="A9043" t="str">
        <f>"1730422387"</f>
        <v>1730422387</v>
      </c>
      <c r="C9043" t="s">
        <v>13436</v>
      </c>
      <c r="K9043" t="s">
        <v>99</v>
      </c>
      <c r="L9043" t="s">
        <v>102</v>
      </c>
      <c r="M9043" t="s">
        <v>75</v>
      </c>
      <c r="R9043" t="s">
        <v>38376</v>
      </c>
      <c r="S9043" t="s">
        <v>28338</v>
      </c>
      <c r="T9043" t="s">
        <v>97</v>
      </c>
      <c r="U9043" t="s">
        <v>77</v>
      </c>
      <c r="V9043" t="str">
        <f>"100091834"</f>
        <v>100091834</v>
      </c>
      <c r="AC9043" t="s">
        <v>79</v>
      </c>
      <c r="AD9043" t="s">
        <v>75</v>
      </c>
      <c r="AE9043" t="s">
        <v>103</v>
      </c>
      <c r="AG9043" t="s">
        <v>81</v>
      </c>
    </row>
    <row r="9044" spans="1:33" x14ac:dyDescent="0.25">
      <c r="A9044" t="str">
        <f>"1730422445"</f>
        <v>1730422445</v>
      </c>
      <c r="B9044" t="str">
        <f>"04549400"</f>
        <v>04549400</v>
      </c>
      <c r="C9044" t="s">
        <v>13436</v>
      </c>
      <c r="D9044" t="s">
        <v>38377</v>
      </c>
      <c r="E9044" t="s">
        <v>38378</v>
      </c>
      <c r="L9044" t="s">
        <v>102</v>
      </c>
      <c r="M9044" t="s">
        <v>75</v>
      </c>
      <c r="R9044" t="s">
        <v>38379</v>
      </c>
      <c r="W9044" t="s">
        <v>38378</v>
      </c>
      <c r="AB9044" t="s">
        <v>78</v>
      </c>
      <c r="AC9044" t="s">
        <v>79</v>
      </c>
      <c r="AD9044" t="s">
        <v>75</v>
      </c>
      <c r="AE9044" t="s">
        <v>80</v>
      </c>
      <c r="AG9044" t="s">
        <v>81</v>
      </c>
    </row>
    <row r="9045" spans="1:33" x14ac:dyDescent="0.25">
      <c r="A9045" t="str">
        <f>"1730455809"</f>
        <v>1730455809</v>
      </c>
      <c r="C9045" t="s">
        <v>13436</v>
      </c>
      <c r="K9045" t="s">
        <v>99</v>
      </c>
      <c r="L9045" t="s">
        <v>102</v>
      </c>
      <c r="M9045" t="s">
        <v>75</v>
      </c>
      <c r="R9045" t="s">
        <v>38380</v>
      </c>
      <c r="S9045" t="s">
        <v>329</v>
      </c>
      <c r="T9045" t="s">
        <v>97</v>
      </c>
      <c r="U9045" t="s">
        <v>77</v>
      </c>
      <c r="V9045" t="str">
        <f>"100296504"</f>
        <v>100296504</v>
      </c>
      <c r="AC9045" t="s">
        <v>79</v>
      </c>
      <c r="AD9045" t="s">
        <v>75</v>
      </c>
      <c r="AE9045" t="s">
        <v>103</v>
      </c>
      <c r="AG9045" t="s">
        <v>81</v>
      </c>
    </row>
    <row r="9046" spans="1:33" x14ac:dyDescent="0.25">
      <c r="A9046" t="str">
        <f>"1730465063"</f>
        <v>1730465063</v>
      </c>
      <c r="B9046" t="str">
        <f>"03601136"</f>
        <v>03601136</v>
      </c>
      <c r="C9046" t="s">
        <v>13436</v>
      </c>
      <c r="D9046" t="s">
        <v>38381</v>
      </c>
      <c r="E9046" t="s">
        <v>38382</v>
      </c>
      <c r="G9046" t="s">
        <v>38383</v>
      </c>
      <c r="L9046" t="s">
        <v>105</v>
      </c>
      <c r="M9046" t="s">
        <v>75</v>
      </c>
      <c r="R9046" t="s">
        <v>38384</v>
      </c>
      <c r="W9046" t="s">
        <v>38385</v>
      </c>
      <c r="X9046" t="s">
        <v>1734</v>
      </c>
      <c r="Y9046" t="s">
        <v>97</v>
      </c>
      <c r="Z9046" t="s">
        <v>77</v>
      </c>
      <c r="AA9046" t="str">
        <f>"10032-3726"</f>
        <v>10032-3726</v>
      </c>
      <c r="AB9046" t="s">
        <v>125</v>
      </c>
      <c r="AC9046" t="s">
        <v>79</v>
      </c>
      <c r="AD9046" t="s">
        <v>75</v>
      </c>
      <c r="AE9046" t="s">
        <v>80</v>
      </c>
      <c r="AG9046" t="s">
        <v>81</v>
      </c>
    </row>
    <row r="9047" spans="1:33" x14ac:dyDescent="0.25">
      <c r="A9047" t="str">
        <f>"1730479692"</f>
        <v>1730479692</v>
      </c>
      <c r="B9047" t="str">
        <f>"04209734"</f>
        <v>04209734</v>
      </c>
      <c r="C9047" t="s">
        <v>13436</v>
      </c>
      <c r="D9047" t="s">
        <v>38386</v>
      </c>
      <c r="E9047" t="s">
        <v>38387</v>
      </c>
      <c r="L9047" t="s">
        <v>83</v>
      </c>
      <c r="M9047" t="s">
        <v>75</v>
      </c>
      <c r="R9047" t="s">
        <v>38388</v>
      </c>
      <c r="W9047" t="s">
        <v>38389</v>
      </c>
      <c r="X9047" t="s">
        <v>30740</v>
      </c>
      <c r="Y9047" t="s">
        <v>97</v>
      </c>
      <c r="Z9047" t="s">
        <v>77</v>
      </c>
      <c r="AA9047" t="str">
        <f>"10029-6504"</f>
        <v>10029-6504</v>
      </c>
      <c r="AB9047" t="s">
        <v>78</v>
      </c>
      <c r="AC9047" t="s">
        <v>79</v>
      </c>
      <c r="AD9047" t="s">
        <v>75</v>
      </c>
      <c r="AE9047" t="s">
        <v>80</v>
      </c>
      <c r="AG9047" t="s">
        <v>81</v>
      </c>
    </row>
    <row r="9048" spans="1:33" x14ac:dyDescent="0.25">
      <c r="A9048" t="str">
        <f>"1730488305"</f>
        <v>1730488305</v>
      </c>
      <c r="C9048" t="s">
        <v>13436</v>
      </c>
      <c r="K9048" t="s">
        <v>99</v>
      </c>
      <c r="L9048" t="s">
        <v>74</v>
      </c>
      <c r="M9048" t="s">
        <v>75</v>
      </c>
      <c r="R9048" t="s">
        <v>38390</v>
      </c>
      <c r="S9048" t="s">
        <v>20393</v>
      </c>
      <c r="T9048" t="s">
        <v>97</v>
      </c>
      <c r="U9048" t="s">
        <v>77</v>
      </c>
      <c r="V9048" t="str">
        <f>"100295204"</f>
        <v>100295204</v>
      </c>
      <c r="AC9048" t="s">
        <v>79</v>
      </c>
      <c r="AD9048" t="s">
        <v>75</v>
      </c>
      <c r="AE9048" t="s">
        <v>103</v>
      </c>
      <c r="AG9048" t="s">
        <v>81</v>
      </c>
    </row>
    <row r="9049" spans="1:33" x14ac:dyDescent="0.25">
      <c r="A9049" t="str">
        <f>"1194787044"</f>
        <v>1194787044</v>
      </c>
      <c r="B9049" t="str">
        <f>"01634486"</f>
        <v>01634486</v>
      </c>
      <c r="C9049" t="s">
        <v>13436</v>
      </c>
      <c r="D9049" t="s">
        <v>38391</v>
      </c>
      <c r="E9049" t="s">
        <v>38392</v>
      </c>
      <c r="G9049" t="s">
        <v>38393</v>
      </c>
      <c r="L9049" t="s">
        <v>83</v>
      </c>
      <c r="M9049" t="s">
        <v>75</v>
      </c>
      <c r="R9049" t="s">
        <v>38394</v>
      </c>
      <c r="W9049" t="s">
        <v>38392</v>
      </c>
      <c r="X9049" t="s">
        <v>32596</v>
      </c>
      <c r="Y9049" t="s">
        <v>87</v>
      </c>
      <c r="Z9049" t="s">
        <v>77</v>
      </c>
      <c r="AA9049" t="str">
        <f>"11234-2644"</f>
        <v>11234-2644</v>
      </c>
      <c r="AB9049" t="s">
        <v>78</v>
      </c>
      <c r="AC9049" t="s">
        <v>79</v>
      </c>
      <c r="AD9049" t="s">
        <v>75</v>
      </c>
      <c r="AE9049" t="s">
        <v>80</v>
      </c>
      <c r="AG9049" t="s">
        <v>81</v>
      </c>
    </row>
    <row r="9050" spans="1:33" x14ac:dyDescent="0.25">
      <c r="A9050" t="str">
        <f>"1205060159"</f>
        <v>1205060159</v>
      </c>
      <c r="B9050" t="str">
        <f>"03190145"</f>
        <v>03190145</v>
      </c>
      <c r="C9050" t="s">
        <v>13436</v>
      </c>
      <c r="D9050" t="s">
        <v>38395</v>
      </c>
      <c r="E9050" t="s">
        <v>38396</v>
      </c>
      <c r="G9050" t="s">
        <v>38397</v>
      </c>
      <c r="L9050" t="s">
        <v>84</v>
      </c>
      <c r="M9050" t="s">
        <v>85</v>
      </c>
      <c r="R9050" t="s">
        <v>38396</v>
      </c>
      <c r="W9050" t="s">
        <v>38396</v>
      </c>
      <c r="X9050" t="s">
        <v>12928</v>
      </c>
      <c r="Y9050" t="s">
        <v>87</v>
      </c>
      <c r="Z9050" t="s">
        <v>77</v>
      </c>
      <c r="AA9050" t="str">
        <f>"11211-7823"</f>
        <v>11211-7823</v>
      </c>
      <c r="AB9050" t="s">
        <v>78</v>
      </c>
      <c r="AC9050" t="s">
        <v>79</v>
      </c>
      <c r="AD9050" t="s">
        <v>75</v>
      </c>
      <c r="AE9050" t="s">
        <v>80</v>
      </c>
      <c r="AG9050" t="s">
        <v>81</v>
      </c>
    </row>
    <row r="9051" spans="1:33" x14ac:dyDescent="0.25">
      <c r="A9051" t="str">
        <f>"1730501008"</f>
        <v>1730501008</v>
      </c>
      <c r="B9051" t="str">
        <f>"03963137"</f>
        <v>03963137</v>
      </c>
      <c r="C9051" t="s">
        <v>13436</v>
      </c>
      <c r="D9051" t="s">
        <v>38398</v>
      </c>
      <c r="E9051" t="s">
        <v>38399</v>
      </c>
      <c r="G9051" t="s">
        <v>38400</v>
      </c>
      <c r="L9051" t="s">
        <v>102</v>
      </c>
      <c r="M9051" t="s">
        <v>75</v>
      </c>
      <c r="R9051" t="s">
        <v>38401</v>
      </c>
      <c r="W9051" t="s">
        <v>38399</v>
      </c>
      <c r="X9051" t="s">
        <v>38402</v>
      </c>
      <c r="Y9051" t="s">
        <v>97</v>
      </c>
      <c r="Z9051" t="s">
        <v>77</v>
      </c>
      <c r="AA9051" t="str">
        <f>"10029-6504"</f>
        <v>10029-6504</v>
      </c>
      <c r="AB9051" t="s">
        <v>78</v>
      </c>
      <c r="AC9051" t="s">
        <v>79</v>
      </c>
      <c r="AD9051" t="s">
        <v>75</v>
      </c>
      <c r="AE9051" t="s">
        <v>80</v>
      </c>
      <c r="AG9051" t="s">
        <v>81</v>
      </c>
    </row>
    <row r="9052" spans="1:33" x14ac:dyDescent="0.25">
      <c r="A9052" t="str">
        <f>"1619906427"</f>
        <v>1619906427</v>
      </c>
      <c r="B9052" t="str">
        <f>"00192190"</f>
        <v>00192190</v>
      </c>
      <c r="C9052" t="s">
        <v>13436</v>
      </c>
      <c r="D9052" t="s">
        <v>38403</v>
      </c>
      <c r="E9052" t="s">
        <v>38404</v>
      </c>
      <c r="G9052" t="s">
        <v>38405</v>
      </c>
      <c r="L9052" t="s">
        <v>84</v>
      </c>
      <c r="M9052" t="s">
        <v>85</v>
      </c>
      <c r="R9052" t="s">
        <v>38406</v>
      </c>
      <c r="W9052" t="s">
        <v>38404</v>
      </c>
      <c r="X9052" t="s">
        <v>329</v>
      </c>
      <c r="Y9052" t="s">
        <v>97</v>
      </c>
      <c r="Z9052" t="s">
        <v>77</v>
      </c>
      <c r="AA9052" t="str">
        <f>"10029-6504"</f>
        <v>10029-6504</v>
      </c>
      <c r="AB9052" t="s">
        <v>78</v>
      </c>
      <c r="AC9052" t="s">
        <v>79</v>
      </c>
      <c r="AD9052" t="s">
        <v>75</v>
      </c>
      <c r="AE9052" t="s">
        <v>80</v>
      </c>
      <c r="AG9052" t="s">
        <v>81</v>
      </c>
    </row>
    <row r="9053" spans="1:33" x14ac:dyDescent="0.25">
      <c r="A9053" t="str">
        <f>"1992048078"</f>
        <v>1992048078</v>
      </c>
      <c r="C9053" t="s">
        <v>13436</v>
      </c>
      <c r="K9053" t="s">
        <v>99</v>
      </c>
      <c r="L9053" t="s">
        <v>102</v>
      </c>
      <c r="M9053" t="s">
        <v>75</v>
      </c>
      <c r="R9053" t="s">
        <v>38407</v>
      </c>
      <c r="S9053" t="s">
        <v>329</v>
      </c>
      <c r="T9053" t="s">
        <v>97</v>
      </c>
      <c r="U9053" t="s">
        <v>77</v>
      </c>
      <c r="V9053" t="str">
        <f>"100296504"</f>
        <v>100296504</v>
      </c>
      <c r="AC9053" t="s">
        <v>79</v>
      </c>
      <c r="AD9053" t="s">
        <v>75</v>
      </c>
      <c r="AE9053" t="s">
        <v>103</v>
      </c>
      <c r="AG9053" t="s">
        <v>81</v>
      </c>
    </row>
    <row r="9054" spans="1:33" x14ac:dyDescent="0.25">
      <c r="A9054" t="str">
        <f>"1992724835"</f>
        <v>1992724835</v>
      </c>
      <c r="B9054" t="str">
        <f>"02144425"</f>
        <v>02144425</v>
      </c>
      <c r="C9054" t="s">
        <v>13436</v>
      </c>
      <c r="D9054" t="s">
        <v>38408</v>
      </c>
      <c r="E9054" t="s">
        <v>38409</v>
      </c>
      <c r="G9054" t="s">
        <v>38410</v>
      </c>
      <c r="L9054" t="s">
        <v>102</v>
      </c>
      <c r="M9054" t="s">
        <v>75</v>
      </c>
      <c r="R9054" t="s">
        <v>38411</v>
      </c>
      <c r="W9054" t="s">
        <v>38409</v>
      </c>
      <c r="X9054" t="s">
        <v>15025</v>
      </c>
      <c r="Y9054" t="s">
        <v>97</v>
      </c>
      <c r="Z9054" t="s">
        <v>77</v>
      </c>
      <c r="AA9054" t="str">
        <f>"10025-2756"</f>
        <v>10025-2756</v>
      </c>
      <c r="AB9054" t="s">
        <v>125</v>
      </c>
      <c r="AC9054" t="s">
        <v>79</v>
      </c>
      <c r="AD9054" t="s">
        <v>75</v>
      </c>
      <c r="AE9054" t="s">
        <v>80</v>
      </c>
      <c r="AG9054" t="s">
        <v>81</v>
      </c>
    </row>
    <row r="9055" spans="1:33" x14ac:dyDescent="0.25">
      <c r="A9055" t="str">
        <f>"1851561419"</f>
        <v>1851561419</v>
      </c>
      <c r="B9055" t="str">
        <f>"03826051"</f>
        <v>03826051</v>
      </c>
      <c r="C9055" t="s">
        <v>38412</v>
      </c>
      <c r="D9055" t="s">
        <v>38413</v>
      </c>
      <c r="E9055" t="s">
        <v>38414</v>
      </c>
      <c r="G9055" t="s">
        <v>35048</v>
      </c>
      <c r="H9055" t="s">
        <v>35049</v>
      </c>
      <c r="J9055" t="s">
        <v>35050</v>
      </c>
      <c r="L9055" t="s">
        <v>83</v>
      </c>
      <c r="M9055" t="s">
        <v>75</v>
      </c>
      <c r="R9055" t="s">
        <v>38415</v>
      </c>
      <c r="W9055" t="s">
        <v>38416</v>
      </c>
      <c r="X9055" t="s">
        <v>2582</v>
      </c>
      <c r="Y9055" t="s">
        <v>97</v>
      </c>
      <c r="Z9055" t="s">
        <v>77</v>
      </c>
      <c r="AA9055" t="str">
        <f>"10012-2413"</f>
        <v>10012-2413</v>
      </c>
      <c r="AB9055" t="s">
        <v>78</v>
      </c>
      <c r="AC9055" t="s">
        <v>79</v>
      </c>
      <c r="AD9055" t="s">
        <v>75</v>
      </c>
      <c r="AE9055" t="s">
        <v>80</v>
      </c>
      <c r="AG9055" t="s">
        <v>81</v>
      </c>
    </row>
    <row r="9056" spans="1:33" x14ac:dyDescent="0.25">
      <c r="A9056" t="str">
        <f>"1295908119"</f>
        <v>1295908119</v>
      </c>
      <c r="B9056" t="str">
        <f>"03822891"</f>
        <v>03822891</v>
      </c>
      <c r="C9056" t="s">
        <v>38417</v>
      </c>
      <c r="D9056" t="s">
        <v>38418</v>
      </c>
      <c r="E9056" t="s">
        <v>38419</v>
      </c>
      <c r="G9056" t="s">
        <v>35048</v>
      </c>
      <c r="H9056" t="s">
        <v>35049</v>
      </c>
      <c r="J9056" t="s">
        <v>35050</v>
      </c>
      <c r="L9056" t="s">
        <v>83</v>
      </c>
      <c r="M9056" t="s">
        <v>75</v>
      </c>
      <c r="R9056" t="s">
        <v>38420</v>
      </c>
      <c r="W9056" t="s">
        <v>38419</v>
      </c>
      <c r="X9056" t="s">
        <v>2582</v>
      </c>
      <c r="Y9056" t="s">
        <v>97</v>
      </c>
      <c r="Z9056" t="s">
        <v>77</v>
      </c>
      <c r="AA9056" t="str">
        <f>"10012-2413"</f>
        <v>10012-2413</v>
      </c>
      <c r="AB9056" t="s">
        <v>78</v>
      </c>
      <c r="AC9056" t="s">
        <v>79</v>
      </c>
      <c r="AD9056" t="s">
        <v>75</v>
      </c>
      <c r="AE9056" t="s">
        <v>80</v>
      </c>
      <c r="AG9056" t="s">
        <v>81</v>
      </c>
    </row>
    <row r="9057" spans="1:33" x14ac:dyDescent="0.25">
      <c r="A9057" t="str">
        <f>"1558446682"</f>
        <v>1558446682</v>
      </c>
      <c r="B9057" t="str">
        <f>"02585151"</f>
        <v>02585151</v>
      </c>
      <c r="C9057" t="s">
        <v>38421</v>
      </c>
      <c r="D9057" t="s">
        <v>5315</v>
      </c>
      <c r="E9057" t="s">
        <v>5316</v>
      </c>
      <c r="G9057" t="s">
        <v>35048</v>
      </c>
      <c r="H9057" t="s">
        <v>35049</v>
      </c>
      <c r="J9057" t="s">
        <v>35050</v>
      </c>
      <c r="L9057" t="s">
        <v>84</v>
      </c>
      <c r="M9057" t="s">
        <v>75</v>
      </c>
      <c r="R9057" t="s">
        <v>5316</v>
      </c>
      <c r="W9057" t="s">
        <v>5317</v>
      </c>
      <c r="X9057" t="s">
        <v>5316</v>
      </c>
      <c r="Y9057" t="s">
        <v>131</v>
      </c>
      <c r="Z9057" t="s">
        <v>77</v>
      </c>
      <c r="AA9057" t="str">
        <f>"10458-5871"</f>
        <v>10458-5871</v>
      </c>
      <c r="AB9057" t="s">
        <v>78</v>
      </c>
      <c r="AC9057" t="s">
        <v>79</v>
      </c>
      <c r="AD9057" t="s">
        <v>75</v>
      </c>
      <c r="AE9057" t="s">
        <v>80</v>
      </c>
      <c r="AG9057" t="s">
        <v>81</v>
      </c>
    </row>
    <row r="9058" spans="1:33" x14ac:dyDescent="0.25">
      <c r="A9058" t="str">
        <f>"1497736847"</f>
        <v>1497736847</v>
      </c>
      <c r="B9058" t="str">
        <f>"02333291"</f>
        <v>02333291</v>
      </c>
      <c r="C9058" t="s">
        <v>38422</v>
      </c>
      <c r="D9058" t="s">
        <v>5606</v>
      </c>
      <c r="E9058" t="s">
        <v>5607</v>
      </c>
      <c r="G9058" t="s">
        <v>35048</v>
      </c>
      <c r="H9058" t="s">
        <v>35049</v>
      </c>
      <c r="J9058" t="s">
        <v>35050</v>
      </c>
      <c r="L9058" t="s">
        <v>83</v>
      </c>
      <c r="M9058" t="s">
        <v>75</v>
      </c>
      <c r="R9058" t="s">
        <v>5608</v>
      </c>
      <c r="W9058" t="s">
        <v>5607</v>
      </c>
      <c r="X9058" t="s">
        <v>432</v>
      </c>
      <c r="Y9058" t="s">
        <v>97</v>
      </c>
      <c r="Z9058" t="s">
        <v>77</v>
      </c>
      <c r="AA9058" t="str">
        <f>"10034-1159"</f>
        <v>10034-1159</v>
      </c>
      <c r="AB9058" t="s">
        <v>78</v>
      </c>
      <c r="AC9058" t="s">
        <v>79</v>
      </c>
      <c r="AD9058" t="s">
        <v>75</v>
      </c>
      <c r="AE9058" t="s">
        <v>80</v>
      </c>
      <c r="AG9058" t="s">
        <v>81</v>
      </c>
    </row>
    <row r="9059" spans="1:33" x14ac:dyDescent="0.25">
      <c r="A9059" t="str">
        <f>"1245572452"</f>
        <v>1245572452</v>
      </c>
      <c r="B9059" t="str">
        <f>"04010422"</f>
        <v>04010422</v>
      </c>
      <c r="C9059" t="s">
        <v>38423</v>
      </c>
      <c r="D9059" t="s">
        <v>38424</v>
      </c>
      <c r="E9059" t="s">
        <v>38425</v>
      </c>
      <c r="G9059" t="s">
        <v>35048</v>
      </c>
      <c r="H9059" t="s">
        <v>35049</v>
      </c>
      <c r="J9059" t="s">
        <v>35050</v>
      </c>
      <c r="L9059" t="s">
        <v>83</v>
      </c>
      <c r="M9059" t="s">
        <v>75</v>
      </c>
      <c r="R9059" t="s">
        <v>38425</v>
      </c>
      <c r="W9059" t="s">
        <v>38425</v>
      </c>
      <c r="X9059" t="s">
        <v>2582</v>
      </c>
      <c r="Y9059" t="s">
        <v>97</v>
      </c>
      <c r="Z9059" t="s">
        <v>77</v>
      </c>
      <c r="AA9059" t="str">
        <f>"10012-2413"</f>
        <v>10012-2413</v>
      </c>
      <c r="AB9059" t="s">
        <v>78</v>
      </c>
      <c r="AC9059" t="s">
        <v>79</v>
      </c>
      <c r="AD9059" t="s">
        <v>75</v>
      </c>
      <c r="AE9059" t="s">
        <v>80</v>
      </c>
      <c r="AG9059" t="s">
        <v>81</v>
      </c>
    </row>
    <row r="9060" spans="1:33" x14ac:dyDescent="0.25">
      <c r="A9060" t="str">
        <f>"1639498249"</f>
        <v>1639498249</v>
      </c>
      <c r="B9060" t="str">
        <f>"03232735"</f>
        <v>03232735</v>
      </c>
      <c r="C9060" t="s">
        <v>38426</v>
      </c>
      <c r="D9060" t="s">
        <v>5297</v>
      </c>
      <c r="E9060" t="s">
        <v>5298</v>
      </c>
      <c r="G9060" t="s">
        <v>35048</v>
      </c>
      <c r="H9060" t="s">
        <v>35049</v>
      </c>
      <c r="J9060" t="s">
        <v>35050</v>
      </c>
      <c r="L9060" t="s">
        <v>84</v>
      </c>
      <c r="M9060" t="s">
        <v>75</v>
      </c>
      <c r="R9060" t="s">
        <v>5299</v>
      </c>
      <c r="W9060" t="s">
        <v>5298</v>
      </c>
      <c r="X9060" t="s">
        <v>4779</v>
      </c>
      <c r="Y9060" t="s">
        <v>131</v>
      </c>
      <c r="Z9060" t="s">
        <v>77</v>
      </c>
      <c r="AA9060" t="str">
        <f>"10467-2401"</f>
        <v>10467-2401</v>
      </c>
      <c r="AB9060" t="s">
        <v>78</v>
      </c>
      <c r="AC9060" t="s">
        <v>79</v>
      </c>
      <c r="AD9060" t="s">
        <v>75</v>
      </c>
      <c r="AE9060" t="s">
        <v>80</v>
      </c>
      <c r="AG9060" t="s">
        <v>81</v>
      </c>
    </row>
    <row r="9061" spans="1:33" x14ac:dyDescent="0.25">
      <c r="A9061" t="str">
        <f>"1265644280"</f>
        <v>1265644280</v>
      </c>
      <c r="B9061" t="str">
        <f>"03386445"</f>
        <v>03386445</v>
      </c>
      <c r="C9061" t="s">
        <v>38427</v>
      </c>
      <c r="D9061" t="s">
        <v>38428</v>
      </c>
      <c r="E9061" t="s">
        <v>38429</v>
      </c>
      <c r="G9061" t="s">
        <v>35048</v>
      </c>
      <c r="H9061" t="s">
        <v>35049</v>
      </c>
      <c r="J9061" t="s">
        <v>35050</v>
      </c>
      <c r="L9061" t="s">
        <v>83</v>
      </c>
      <c r="M9061" t="s">
        <v>85</v>
      </c>
      <c r="R9061" t="s">
        <v>38430</v>
      </c>
      <c r="W9061" t="s">
        <v>38429</v>
      </c>
      <c r="X9061" t="s">
        <v>2582</v>
      </c>
      <c r="Y9061" t="s">
        <v>97</v>
      </c>
      <c r="Z9061" t="s">
        <v>77</v>
      </c>
      <c r="AA9061" t="str">
        <f>"10012-2413"</f>
        <v>10012-2413</v>
      </c>
      <c r="AB9061" t="s">
        <v>78</v>
      </c>
      <c r="AC9061" t="s">
        <v>79</v>
      </c>
      <c r="AD9061" t="s">
        <v>75</v>
      </c>
      <c r="AE9061" t="s">
        <v>80</v>
      </c>
      <c r="AG9061" t="s">
        <v>81</v>
      </c>
    </row>
    <row r="9062" spans="1:33" x14ac:dyDescent="0.25">
      <c r="A9062" t="str">
        <f>"1457502080"</f>
        <v>1457502080</v>
      </c>
      <c r="B9062" t="str">
        <f>"03078842"</f>
        <v>03078842</v>
      </c>
      <c r="C9062" t="s">
        <v>38431</v>
      </c>
      <c r="D9062" t="s">
        <v>38432</v>
      </c>
      <c r="E9062" t="s">
        <v>38433</v>
      </c>
      <c r="G9062" t="s">
        <v>35048</v>
      </c>
      <c r="H9062" t="s">
        <v>35049</v>
      </c>
      <c r="J9062" t="s">
        <v>35050</v>
      </c>
      <c r="L9062" t="s">
        <v>83</v>
      </c>
      <c r="M9062" t="s">
        <v>75</v>
      </c>
      <c r="R9062" t="s">
        <v>38434</v>
      </c>
      <c r="W9062" t="s">
        <v>38433</v>
      </c>
      <c r="X9062" t="s">
        <v>173</v>
      </c>
      <c r="Y9062" t="s">
        <v>87</v>
      </c>
      <c r="Z9062" t="s">
        <v>77</v>
      </c>
      <c r="AA9062" t="str">
        <f>"11219-2916"</f>
        <v>11219-2916</v>
      </c>
      <c r="AB9062" t="s">
        <v>114</v>
      </c>
      <c r="AC9062" t="s">
        <v>79</v>
      </c>
      <c r="AD9062" t="s">
        <v>75</v>
      </c>
      <c r="AE9062" t="s">
        <v>80</v>
      </c>
      <c r="AG9062" t="s">
        <v>81</v>
      </c>
    </row>
    <row r="9063" spans="1:33" x14ac:dyDescent="0.25">
      <c r="A9063" t="str">
        <f>"1144433921"</f>
        <v>1144433921</v>
      </c>
      <c r="B9063" t="str">
        <f>"02877865"</f>
        <v>02877865</v>
      </c>
      <c r="C9063" t="s">
        <v>38435</v>
      </c>
      <c r="D9063" t="s">
        <v>38436</v>
      </c>
      <c r="E9063" t="s">
        <v>38437</v>
      </c>
      <c r="G9063" t="s">
        <v>35048</v>
      </c>
      <c r="H9063" t="s">
        <v>35049</v>
      </c>
      <c r="J9063" t="s">
        <v>35050</v>
      </c>
      <c r="L9063" t="s">
        <v>83</v>
      </c>
      <c r="M9063" t="s">
        <v>75</v>
      </c>
      <c r="R9063" t="s">
        <v>38438</v>
      </c>
      <c r="W9063" t="s">
        <v>38437</v>
      </c>
      <c r="X9063" t="s">
        <v>234</v>
      </c>
      <c r="Y9063" t="s">
        <v>97</v>
      </c>
      <c r="Z9063" t="s">
        <v>77</v>
      </c>
      <c r="AA9063" t="str">
        <f>"10032-3729"</f>
        <v>10032-3729</v>
      </c>
      <c r="AB9063" t="s">
        <v>78</v>
      </c>
      <c r="AC9063" t="s">
        <v>79</v>
      </c>
      <c r="AD9063" t="s">
        <v>75</v>
      </c>
      <c r="AE9063" t="s">
        <v>80</v>
      </c>
      <c r="AG9063" t="s">
        <v>81</v>
      </c>
    </row>
    <row r="9064" spans="1:33" x14ac:dyDescent="0.25">
      <c r="A9064" t="str">
        <f>"1942410337"</f>
        <v>1942410337</v>
      </c>
      <c r="B9064" t="str">
        <f>"02920776"</f>
        <v>02920776</v>
      </c>
      <c r="C9064" t="s">
        <v>13436</v>
      </c>
      <c r="D9064" t="s">
        <v>38439</v>
      </c>
      <c r="E9064" t="s">
        <v>38440</v>
      </c>
      <c r="G9064" t="s">
        <v>38441</v>
      </c>
      <c r="L9064" t="s">
        <v>74</v>
      </c>
      <c r="M9064" t="s">
        <v>85</v>
      </c>
      <c r="R9064" t="s">
        <v>38442</v>
      </c>
      <c r="W9064" t="s">
        <v>38440</v>
      </c>
      <c r="X9064" t="s">
        <v>329</v>
      </c>
      <c r="Y9064" t="s">
        <v>97</v>
      </c>
      <c r="Z9064" t="s">
        <v>77</v>
      </c>
      <c r="AA9064" t="str">
        <f>"10029-6504"</f>
        <v>10029-6504</v>
      </c>
      <c r="AB9064" t="s">
        <v>78</v>
      </c>
      <c r="AC9064" t="s">
        <v>79</v>
      </c>
      <c r="AD9064" t="s">
        <v>75</v>
      </c>
      <c r="AE9064" t="s">
        <v>80</v>
      </c>
      <c r="AG9064" t="s">
        <v>81</v>
      </c>
    </row>
    <row r="9065" spans="1:33" x14ac:dyDescent="0.25">
      <c r="A9065" t="str">
        <f>"1942442884"</f>
        <v>1942442884</v>
      </c>
      <c r="C9065" t="s">
        <v>13436</v>
      </c>
      <c r="K9065" t="s">
        <v>99</v>
      </c>
      <c r="L9065" t="s">
        <v>74</v>
      </c>
      <c r="M9065" t="s">
        <v>75</v>
      </c>
      <c r="R9065" t="s">
        <v>38443</v>
      </c>
      <c r="S9065" t="s">
        <v>38444</v>
      </c>
      <c r="T9065" t="s">
        <v>38445</v>
      </c>
      <c r="U9065" t="s">
        <v>156</v>
      </c>
      <c r="V9065" t="str">
        <f>"088444255"</f>
        <v>088444255</v>
      </c>
      <c r="AC9065" t="s">
        <v>79</v>
      </c>
      <c r="AD9065" t="s">
        <v>75</v>
      </c>
      <c r="AE9065" t="s">
        <v>103</v>
      </c>
      <c r="AG9065" t="s">
        <v>81</v>
      </c>
    </row>
    <row r="9066" spans="1:33" x14ac:dyDescent="0.25">
      <c r="A9066" t="str">
        <f>"1942448345"</f>
        <v>1942448345</v>
      </c>
      <c r="B9066" t="str">
        <f>"03493450"</f>
        <v>03493450</v>
      </c>
      <c r="C9066" t="s">
        <v>13436</v>
      </c>
      <c r="D9066" t="s">
        <v>38446</v>
      </c>
      <c r="E9066" t="s">
        <v>38447</v>
      </c>
      <c r="L9066" t="s">
        <v>84</v>
      </c>
      <c r="M9066" t="s">
        <v>85</v>
      </c>
      <c r="R9066" t="s">
        <v>38448</v>
      </c>
      <c r="W9066" t="s">
        <v>38447</v>
      </c>
      <c r="X9066" t="s">
        <v>272</v>
      </c>
      <c r="Y9066" t="s">
        <v>97</v>
      </c>
      <c r="Z9066" t="s">
        <v>77</v>
      </c>
      <c r="AA9066" t="str">
        <f>"10029-6501"</f>
        <v>10029-6501</v>
      </c>
      <c r="AB9066" t="s">
        <v>78</v>
      </c>
      <c r="AC9066" t="s">
        <v>79</v>
      </c>
      <c r="AD9066" t="s">
        <v>75</v>
      </c>
      <c r="AE9066" t="s">
        <v>80</v>
      </c>
      <c r="AG9066" t="s">
        <v>81</v>
      </c>
    </row>
    <row r="9067" spans="1:33" x14ac:dyDescent="0.25">
      <c r="A9067" t="str">
        <f>"1942453386"</f>
        <v>1942453386</v>
      </c>
      <c r="B9067" t="str">
        <f>"03127286"</f>
        <v>03127286</v>
      </c>
      <c r="C9067" t="s">
        <v>13436</v>
      </c>
      <c r="D9067" t="s">
        <v>38449</v>
      </c>
      <c r="E9067" t="s">
        <v>38450</v>
      </c>
      <c r="G9067" t="s">
        <v>38451</v>
      </c>
      <c r="L9067" t="s">
        <v>74</v>
      </c>
      <c r="M9067" t="s">
        <v>85</v>
      </c>
      <c r="R9067" t="s">
        <v>38452</v>
      </c>
      <c r="W9067" t="s">
        <v>38453</v>
      </c>
      <c r="X9067" t="s">
        <v>38454</v>
      </c>
      <c r="Y9067" t="s">
        <v>97</v>
      </c>
      <c r="Z9067" t="s">
        <v>77</v>
      </c>
      <c r="AA9067" t="str">
        <f>"10019-8022"</f>
        <v>10019-8022</v>
      </c>
      <c r="AB9067" t="s">
        <v>78</v>
      </c>
      <c r="AC9067" t="s">
        <v>79</v>
      </c>
      <c r="AD9067" t="s">
        <v>75</v>
      </c>
      <c r="AE9067" t="s">
        <v>80</v>
      </c>
      <c r="AG9067" t="s">
        <v>81</v>
      </c>
    </row>
    <row r="9068" spans="1:33" x14ac:dyDescent="0.25">
      <c r="A9068" t="str">
        <f>"1942459797"</f>
        <v>1942459797</v>
      </c>
      <c r="B9068" t="str">
        <f>"03114972"</f>
        <v>03114972</v>
      </c>
      <c r="C9068" t="s">
        <v>13436</v>
      </c>
      <c r="D9068" t="s">
        <v>38455</v>
      </c>
      <c r="E9068" t="s">
        <v>38456</v>
      </c>
      <c r="G9068" t="s">
        <v>38457</v>
      </c>
      <c r="L9068" t="s">
        <v>74</v>
      </c>
      <c r="M9068" t="s">
        <v>85</v>
      </c>
      <c r="R9068" t="s">
        <v>38458</v>
      </c>
      <c r="W9068" t="s">
        <v>38459</v>
      </c>
      <c r="X9068" t="s">
        <v>38460</v>
      </c>
      <c r="Y9068" t="s">
        <v>155</v>
      </c>
      <c r="Z9068" t="s">
        <v>77</v>
      </c>
      <c r="AA9068" t="str">
        <f>"10305-3400"</f>
        <v>10305-3400</v>
      </c>
      <c r="AB9068" t="s">
        <v>78</v>
      </c>
      <c r="AC9068" t="s">
        <v>79</v>
      </c>
      <c r="AD9068" t="s">
        <v>75</v>
      </c>
      <c r="AE9068" t="s">
        <v>80</v>
      </c>
      <c r="AG9068" t="s">
        <v>81</v>
      </c>
    </row>
    <row r="9069" spans="1:33" x14ac:dyDescent="0.25">
      <c r="A9069" t="str">
        <f>"1942483649"</f>
        <v>1942483649</v>
      </c>
      <c r="B9069" t="str">
        <f>"04501433"</f>
        <v>04501433</v>
      </c>
      <c r="C9069" t="s">
        <v>13436</v>
      </c>
      <c r="D9069" t="s">
        <v>38461</v>
      </c>
      <c r="E9069" t="s">
        <v>38462</v>
      </c>
      <c r="G9069" t="s">
        <v>38463</v>
      </c>
      <c r="L9069" t="s">
        <v>102</v>
      </c>
      <c r="M9069" t="s">
        <v>75</v>
      </c>
      <c r="R9069" t="s">
        <v>38464</v>
      </c>
      <c r="W9069" t="s">
        <v>38465</v>
      </c>
      <c r="AB9069" t="s">
        <v>78</v>
      </c>
      <c r="AC9069" t="s">
        <v>79</v>
      </c>
      <c r="AD9069" t="s">
        <v>75</v>
      </c>
      <c r="AE9069" t="s">
        <v>80</v>
      </c>
      <c r="AG9069" t="s">
        <v>81</v>
      </c>
    </row>
    <row r="9070" spans="1:33" x14ac:dyDescent="0.25">
      <c r="A9070" t="str">
        <f>"1942497987"</f>
        <v>1942497987</v>
      </c>
      <c r="B9070" t="str">
        <f>"02790072"</f>
        <v>02790072</v>
      </c>
      <c r="C9070" t="s">
        <v>13436</v>
      </c>
      <c r="D9070" t="s">
        <v>38466</v>
      </c>
      <c r="E9070" t="s">
        <v>38467</v>
      </c>
      <c r="G9070" t="s">
        <v>38468</v>
      </c>
      <c r="L9070" t="s">
        <v>74</v>
      </c>
      <c r="M9070" t="s">
        <v>75</v>
      </c>
      <c r="R9070" t="s">
        <v>38469</v>
      </c>
      <c r="W9070" t="s">
        <v>38467</v>
      </c>
      <c r="X9070" t="s">
        <v>16604</v>
      </c>
      <c r="Y9070" t="s">
        <v>97</v>
      </c>
      <c r="Z9070" t="s">
        <v>77</v>
      </c>
      <c r="AA9070" t="str">
        <f>"10029-6504"</f>
        <v>10029-6504</v>
      </c>
      <c r="AB9070" t="s">
        <v>78</v>
      </c>
      <c r="AC9070" t="s">
        <v>79</v>
      </c>
      <c r="AD9070" t="s">
        <v>75</v>
      </c>
      <c r="AE9070" t="s">
        <v>80</v>
      </c>
      <c r="AG9070" t="s">
        <v>81</v>
      </c>
    </row>
    <row r="9071" spans="1:33" x14ac:dyDescent="0.25">
      <c r="A9071" t="str">
        <f>"1720416076"</f>
        <v>1720416076</v>
      </c>
      <c r="B9071" t="str">
        <f>"04007558"</f>
        <v>04007558</v>
      </c>
      <c r="C9071" t="s">
        <v>13436</v>
      </c>
      <c r="D9071" t="s">
        <v>38470</v>
      </c>
      <c r="E9071" t="s">
        <v>38471</v>
      </c>
      <c r="L9071" t="s">
        <v>74</v>
      </c>
      <c r="M9071" t="s">
        <v>75</v>
      </c>
      <c r="R9071" t="s">
        <v>38471</v>
      </c>
      <c r="W9071" t="s">
        <v>38471</v>
      </c>
      <c r="X9071" t="s">
        <v>235</v>
      </c>
      <c r="Y9071" t="s">
        <v>190</v>
      </c>
      <c r="Z9071" t="s">
        <v>77</v>
      </c>
      <c r="AA9071" t="str">
        <f>"11102-2448"</f>
        <v>11102-2448</v>
      </c>
      <c r="AB9071" t="s">
        <v>78</v>
      </c>
      <c r="AC9071" t="s">
        <v>79</v>
      </c>
      <c r="AD9071" t="s">
        <v>75</v>
      </c>
      <c r="AE9071" t="s">
        <v>80</v>
      </c>
      <c r="AG9071" t="s">
        <v>81</v>
      </c>
    </row>
    <row r="9072" spans="1:33" x14ac:dyDescent="0.25">
      <c r="A9072" t="str">
        <f>"1467496497"</f>
        <v>1467496497</v>
      </c>
      <c r="B9072" t="str">
        <f>"02105677"</f>
        <v>02105677</v>
      </c>
      <c r="C9072" t="s">
        <v>13436</v>
      </c>
      <c r="D9072" t="s">
        <v>38472</v>
      </c>
      <c r="E9072" t="s">
        <v>38473</v>
      </c>
      <c r="G9072" t="s">
        <v>38474</v>
      </c>
      <c r="L9072" t="s">
        <v>83</v>
      </c>
      <c r="M9072" t="s">
        <v>75</v>
      </c>
      <c r="R9072" t="s">
        <v>38475</v>
      </c>
      <c r="W9072" t="s">
        <v>38473</v>
      </c>
      <c r="X9072" t="s">
        <v>38476</v>
      </c>
      <c r="Y9072" t="s">
        <v>190</v>
      </c>
      <c r="Z9072" t="s">
        <v>77</v>
      </c>
      <c r="AA9072" t="str">
        <f>"11102-2448"</f>
        <v>11102-2448</v>
      </c>
      <c r="AB9072" t="s">
        <v>78</v>
      </c>
      <c r="AC9072" t="s">
        <v>79</v>
      </c>
      <c r="AD9072" t="s">
        <v>75</v>
      </c>
      <c r="AE9072" t="s">
        <v>80</v>
      </c>
      <c r="AG9072" t="s">
        <v>81</v>
      </c>
    </row>
    <row r="9073" spans="1:33" x14ac:dyDescent="0.25">
      <c r="A9073" t="str">
        <f>"1003042664"</f>
        <v>1003042664</v>
      </c>
      <c r="B9073" t="str">
        <f>"03270197"</f>
        <v>03270197</v>
      </c>
      <c r="C9073" t="s">
        <v>13436</v>
      </c>
      <c r="D9073" t="s">
        <v>38477</v>
      </c>
      <c r="E9073" t="s">
        <v>38478</v>
      </c>
      <c r="G9073" t="s">
        <v>38479</v>
      </c>
      <c r="L9073" t="s">
        <v>74</v>
      </c>
      <c r="M9073" t="s">
        <v>75</v>
      </c>
      <c r="R9073" t="s">
        <v>38480</v>
      </c>
      <c r="W9073" t="s">
        <v>38478</v>
      </c>
      <c r="X9073" t="s">
        <v>4799</v>
      </c>
      <c r="Y9073" t="s">
        <v>87</v>
      </c>
      <c r="Z9073" t="s">
        <v>77</v>
      </c>
      <c r="AA9073" t="str">
        <f>"11234-2625"</f>
        <v>11234-2625</v>
      </c>
      <c r="AB9073" t="s">
        <v>78</v>
      </c>
      <c r="AC9073" t="s">
        <v>79</v>
      </c>
      <c r="AD9073" t="s">
        <v>75</v>
      </c>
      <c r="AE9073" t="s">
        <v>80</v>
      </c>
      <c r="AG9073" t="s">
        <v>81</v>
      </c>
    </row>
    <row r="9074" spans="1:33" x14ac:dyDescent="0.25">
      <c r="A9074" t="str">
        <f>"1003857210"</f>
        <v>1003857210</v>
      </c>
      <c r="B9074" t="str">
        <f>"02658666"</f>
        <v>02658666</v>
      </c>
      <c r="C9074" t="s">
        <v>13436</v>
      </c>
      <c r="D9074" t="s">
        <v>38481</v>
      </c>
      <c r="E9074" t="s">
        <v>38482</v>
      </c>
      <c r="G9074" t="s">
        <v>38483</v>
      </c>
      <c r="L9074" t="s">
        <v>83</v>
      </c>
      <c r="M9074" t="s">
        <v>75</v>
      </c>
      <c r="R9074" t="s">
        <v>38484</v>
      </c>
      <c r="W9074" t="s">
        <v>38482</v>
      </c>
      <c r="X9074" t="s">
        <v>38485</v>
      </c>
      <c r="Y9074" t="s">
        <v>97</v>
      </c>
      <c r="Z9074" t="s">
        <v>77</v>
      </c>
      <c r="AA9074" t="str">
        <f>"10013-4116"</f>
        <v>10013-4116</v>
      </c>
      <c r="AB9074" t="s">
        <v>128</v>
      </c>
      <c r="AC9074" t="s">
        <v>79</v>
      </c>
      <c r="AD9074" t="s">
        <v>75</v>
      </c>
      <c r="AE9074" t="s">
        <v>80</v>
      </c>
      <c r="AG9074" t="s">
        <v>81</v>
      </c>
    </row>
    <row r="9075" spans="1:33" x14ac:dyDescent="0.25">
      <c r="A9075" t="str">
        <f>"1013116839"</f>
        <v>1013116839</v>
      </c>
      <c r="B9075" t="str">
        <f>"03052733"</f>
        <v>03052733</v>
      </c>
      <c r="C9075" t="s">
        <v>13436</v>
      </c>
      <c r="D9075" t="s">
        <v>38486</v>
      </c>
      <c r="E9075" t="s">
        <v>38487</v>
      </c>
      <c r="G9075" t="s">
        <v>38488</v>
      </c>
      <c r="L9075" t="s">
        <v>94</v>
      </c>
      <c r="M9075" t="s">
        <v>75</v>
      </c>
      <c r="R9075" t="s">
        <v>38489</v>
      </c>
      <c r="W9075" t="s">
        <v>38490</v>
      </c>
      <c r="X9075" t="s">
        <v>5520</v>
      </c>
      <c r="Y9075" t="s">
        <v>2128</v>
      </c>
      <c r="Z9075" t="s">
        <v>77</v>
      </c>
      <c r="AA9075" t="str">
        <f>"11743-2787"</f>
        <v>11743-2787</v>
      </c>
      <c r="AB9075" t="s">
        <v>78</v>
      </c>
      <c r="AC9075" t="s">
        <v>79</v>
      </c>
      <c r="AD9075" t="s">
        <v>75</v>
      </c>
      <c r="AE9075" t="s">
        <v>80</v>
      </c>
      <c r="AG9075" t="s">
        <v>81</v>
      </c>
    </row>
    <row r="9076" spans="1:33" x14ac:dyDescent="0.25">
      <c r="A9076" t="str">
        <f>"1013917400"</f>
        <v>1013917400</v>
      </c>
      <c r="B9076" t="str">
        <f>"01455710"</f>
        <v>01455710</v>
      </c>
      <c r="C9076" t="s">
        <v>13436</v>
      </c>
      <c r="D9076" t="s">
        <v>38491</v>
      </c>
      <c r="E9076" t="s">
        <v>38492</v>
      </c>
      <c r="G9076" t="s">
        <v>38493</v>
      </c>
      <c r="L9076" t="s">
        <v>83</v>
      </c>
      <c r="M9076" t="s">
        <v>75</v>
      </c>
      <c r="R9076" t="s">
        <v>38492</v>
      </c>
      <c r="W9076" t="s">
        <v>38492</v>
      </c>
      <c r="Y9076" t="s">
        <v>87</v>
      </c>
      <c r="Z9076" t="s">
        <v>77</v>
      </c>
      <c r="AA9076" t="str">
        <f>"11229-1112"</f>
        <v>11229-1112</v>
      </c>
      <c r="AB9076" t="s">
        <v>78</v>
      </c>
      <c r="AC9076" t="s">
        <v>79</v>
      </c>
      <c r="AD9076" t="s">
        <v>75</v>
      </c>
      <c r="AE9076" t="s">
        <v>80</v>
      </c>
      <c r="AG9076" t="s">
        <v>81</v>
      </c>
    </row>
    <row r="9077" spans="1:33" x14ac:dyDescent="0.25">
      <c r="A9077" t="str">
        <f>"1255618757"</f>
        <v>1255618757</v>
      </c>
      <c r="C9077" t="s">
        <v>13436</v>
      </c>
      <c r="K9077" t="s">
        <v>99</v>
      </c>
      <c r="L9077" t="s">
        <v>102</v>
      </c>
      <c r="M9077" t="s">
        <v>75</v>
      </c>
      <c r="R9077" t="s">
        <v>38494</v>
      </c>
      <c r="S9077" t="s">
        <v>249</v>
      </c>
      <c r="T9077" t="s">
        <v>212</v>
      </c>
      <c r="U9077" t="s">
        <v>77</v>
      </c>
      <c r="V9077" t="str">
        <f>"118034914"</f>
        <v>118034914</v>
      </c>
      <c r="AC9077" t="s">
        <v>79</v>
      </c>
      <c r="AD9077" t="s">
        <v>75</v>
      </c>
      <c r="AE9077" t="s">
        <v>103</v>
      </c>
      <c r="AG9077" t="s">
        <v>81</v>
      </c>
    </row>
    <row r="9078" spans="1:33" x14ac:dyDescent="0.25">
      <c r="A9078" t="str">
        <f>"1255620282"</f>
        <v>1255620282</v>
      </c>
      <c r="B9078" t="str">
        <f>"03924316"</f>
        <v>03924316</v>
      </c>
      <c r="C9078" t="s">
        <v>13436</v>
      </c>
      <c r="D9078" t="s">
        <v>38495</v>
      </c>
      <c r="E9078" t="s">
        <v>38496</v>
      </c>
      <c r="G9078" t="s">
        <v>38497</v>
      </c>
      <c r="L9078" t="s">
        <v>94</v>
      </c>
      <c r="M9078" t="s">
        <v>75</v>
      </c>
      <c r="R9078" t="s">
        <v>38498</v>
      </c>
      <c r="W9078" t="s">
        <v>38496</v>
      </c>
      <c r="X9078" t="s">
        <v>329</v>
      </c>
      <c r="Y9078" t="s">
        <v>97</v>
      </c>
      <c r="Z9078" t="s">
        <v>77</v>
      </c>
      <c r="AA9078" t="str">
        <f>"10029-6504"</f>
        <v>10029-6504</v>
      </c>
      <c r="AB9078" t="s">
        <v>78</v>
      </c>
      <c r="AC9078" t="s">
        <v>79</v>
      </c>
      <c r="AD9078" t="s">
        <v>75</v>
      </c>
      <c r="AE9078" t="s">
        <v>80</v>
      </c>
      <c r="AG9078" t="s">
        <v>81</v>
      </c>
    </row>
    <row r="9079" spans="1:33" x14ac:dyDescent="0.25">
      <c r="A9079" t="str">
        <f>"1265773675"</f>
        <v>1265773675</v>
      </c>
      <c r="C9079" t="s">
        <v>13436</v>
      </c>
      <c r="K9079" t="s">
        <v>99</v>
      </c>
      <c r="L9079" t="s">
        <v>102</v>
      </c>
      <c r="M9079" t="s">
        <v>75</v>
      </c>
      <c r="R9079" t="s">
        <v>38499</v>
      </c>
      <c r="S9079" t="s">
        <v>900</v>
      </c>
      <c r="T9079" t="s">
        <v>97</v>
      </c>
      <c r="U9079" t="s">
        <v>77</v>
      </c>
      <c r="V9079" t="str">
        <f>"100323725"</f>
        <v>100323725</v>
      </c>
      <c r="AC9079" t="s">
        <v>79</v>
      </c>
      <c r="AD9079" t="s">
        <v>75</v>
      </c>
      <c r="AE9079" t="s">
        <v>103</v>
      </c>
      <c r="AG9079" t="s">
        <v>81</v>
      </c>
    </row>
    <row r="9080" spans="1:33" x14ac:dyDescent="0.25">
      <c r="A9080" t="str">
        <f>"1265775019"</f>
        <v>1265775019</v>
      </c>
      <c r="C9080" t="s">
        <v>13436</v>
      </c>
      <c r="K9080" t="s">
        <v>99</v>
      </c>
      <c r="L9080" t="s">
        <v>102</v>
      </c>
      <c r="M9080" t="s">
        <v>75</v>
      </c>
      <c r="R9080" t="s">
        <v>38500</v>
      </c>
      <c r="S9080" t="s">
        <v>3553</v>
      </c>
      <c r="T9080" t="s">
        <v>97</v>
      </c>
      <c r="U9080" t="s">
        <v>77</v>
      </c>
      <c r="V9080" t="str">
        <f>"100033851"</f>
        <v>100033851</v>
      </c>
      <c r="AC9080" t="s">
        <v>79</v>
      </c>
      <c r="AD9080" t="s">
        <v>75</v>
      </c>
      <c r="AE9080" t="s">
        <v>103</v>
      </c>
      <c r="AG9080" t="s">
        <v>81</v>
      </c>
    </row>
    <row r="9081" spans="1:33" x14ac:dyDescent="0.25">
      <c r="A9081" t="str">
        <f>"1265775134"</f>
        <v>1265775134</v>
      </c>
      <c r="B9081" t="str">
        <f>"03727084"</f>
        <v>03727084</v>
      </c>
      <c r="C9081" t="s">
        <v>13436</v>
      </c>
      <c r="D9081" t="s">
        <v>38501</v>
      </c>
      <c r="E9081" t="s">
        <v>38502</v>
      </c>
      <c r="G9081" t="s">
        <v>38503</v>
      </c>
      <c r="L9081" t="s">
        <v>74</v>
      </c>
      <c r="M9081" t="s">
        <v>75</v>
      </c>
      <c r="R9081" t="s">
        <v>38504</v>
      </c>
      <c r="W9081" t="s">
        <v>38502</v>
      </c>
      <c r="X9081" t="s">
        <v>329</v>
      </c>
      <c r="Y9081" t="s">
        <v>97</v>
      </c>
      <c r="Z9081" t="s">
        <v>77</v>
      </c>
      <c r="AA9081" t="str">
        <f>"10029-6504"</f>
        <v>10029-6504</v>
      </c>
      <c r="AB9081" t="s">
        <v>78</v>
      </c>
      <c r="AC9081" t="s">
        <v>79</v>
      </c>
      <c r="AD9081" t="s">
        <v>75</v>
      </c>
      <c r="AE9081" t="s">
        <v>80</v>
      </c>
      <c r="AG9081" t="s">
        <v>81</v>
      </c>
    </row>
    <row r="9082" spans="1:33" x14ac:dyDescent="0.25">
      <c r="A9082" t="str">
        <f>"1265775225"</f>
        <v>1265775225</v>
      </c>
      <c r="C9082" t="s">
        <v>13436</v>
      </c>
      <c r="K9082" t="s">
        <v>99</v>
      </c>
      <c r="L9082" t="s">
        <v>102</v>
      </c>
      <c r="M9082" t="s">
        <v>75</v>
      </c>
      <c r="R9082" t="s">
        <v>38505</v>
      </c>
      <c r="S9082" t="s">
        <v>329</v>
      </c>
      <c r="T9082" t="s">
        <v>97</v>
      </c>
      <c r="U9082" t="s">
        <v>77</v>
      </c>
      <c r="V9082" t="str">
        <f>"100296500"</f>
        <v>100296500</v>
      </c>
      <c r="AC9082" t="s">
        <v>79</v>
      </c>
      <c r="AD9082" t="s">
        <v>75</v>
      </c>
      <c r="AE9082" t="s">
        <v>103</v>
      </c>
      <c r="AG9082" t="s">
        <v>81</v>
      </c>
    </row>
    <row r="9083" spans="1:33" x14ac:dyDescent="0.25">
      <c r="A9083" t="str">
        <f>"1427167139"</f>
        <v>1427167139</v>
      </c>
      <c r="B9083" t="str">
        <f>"01603525"</f>
        <v>01603525</v>
      </c>
      <c r="C9083" t="s">
        <v>13436</v>
      </c>
      <c r="D9083" t="s">
        <v>38506</v>
      </c>
      <c r="E9083" t="s">
        <v>38507</v>
      </c>
      <c r="G9083" t="s">
        <v>38508</v>
      </c>
      <c r="L9083" t="s">
        <v>74</v>
      </c>
      <c r="M9083" t="s">
        <v>85</v>
      </c>
      <c r="R9083" t="s">
        <v>38509</v>
      </c>
      <c r="W9083" t="s">
        <v>38510</v>
      </c>
      <c r="X9083" t="s">
        <v>2926</v>
      </c>
      <c r="Y9083" t="s">
        <v>97</v>
      </c>
      <c r="Z9083" t="s">
        <v>77</v>
      </c>
      <c r="AA9083" t="str">
        <f>"10029-6503"</f>
        <v>10029-6503</v>
      </c>
      <c r="AB9083" t="s">
        <v>78</v>
      </c>
      <c r="AC9083" t="s">
        <v>79</v>
      </c>
      <c r="AD9083" t="s">
        <v>75</v>
      </c>
      <c r="AE9083" t="s">
        <v>80</v>
      </c>
      <c r="AG9083" t="s">
        <v>81</v>
      </c>
    </row>
    <row r="9084" spans="1:33" x14ac:dyDescent="0.25">
      <c r="A9084" t="str">
        <f>"1427208610"</f>
        <v>1427208610</v>
      </c>
      <c r="B9084" t="str">
        <f>"03730476"</f>
        <v>03730476</v>
      </c>
      <c r="C9084" t="s">
        <v>13436</v>
      </c>
      <c r="D9084" t="s">
        <v>38511</v>
      </c>
      <c r="E9084" t="s">
        <v>38512</v>
      </c>
      <c r="G9084" t="s">
        <v>38513</v>
      </c>
      <c r="L9084" t="s">
        <v>102</v>
      </c>
      <c r="M9084" t="s">
        <v>75</v>
      </c>
      <c r="R9084" t="s">
        <v>38514</v>
      </c>
      <c r="W9084" t="s">
        <v>38512</v>
      </c>
      <c r="X9084" t="s">
        <v>38515</v>
      </c>
      <c r="Y9084" t="s">
        <v>97</v>
      </c>
      <c r="Z9084" t="s">
        <v>77</v>
      </c>
      <c r="AA9084" t="str">
        <f>"10029-6504"</f>
        <v>10029-6504</v>
      </c>
      <c r="AB9084" t="s">
        <v>78</v>
      </c>
      <c r="AC9084" t="s">
        <v>79</v>
      </c>
      <c r="AD9084" t="s">
        <v>75</v>
      </c>
      <c r="AE9084" t="s">
        <v>80</v>
      </c>
      <c r="AG9084" t="s">
        <v>81</v>
      </c>
    </row>
    <row r="9085" spans="1:33" x14ac:dyDescent="0.25">
      <c r="A9085" t="str">
        <f>"1427212612"</f>
        <v>1427212612</v>
      </c>
      <c r="B9085" t="str">
        <f>"03938218"</f>
        <v>03938218</v>
      </c>
      <c r="C9085" t="s">
        <v>13436</v>
      </c>
      <c r="D9085" t="s">
        <v>38516</v>
      </c>
      <c r="E9085" t="s">
        <v>38517</v>
      </c>
      <c r="G9085" t="s">
        <v>38518</v>
      </c>
      <c r="L9085" t="s">
        <v>74</v>
      </c>
      <c r="M9085" t="s">
        <v>75</v>
      </c>
      <c r="R9085" t="s">
        <v>38519</v>
      </c>
      <c r="W9085" t="s">
        <v>38517</v>
      </c>
      <c r="X9085" t="s">
        <v>38520</v>
      </c>
      <c r="Y9085" t="s">
        <v>97</v>
      </c>
      <c r="Z9085" t="s">
        <v>77</v>
      </c>
      <c r="AA9085" t="str">
        <f>"10029-6504"</f>
        <v>10029-6504</v>
      </c>
      <c r="AB9085" t="s">
        <v>78</v>
      </c>
      <c r="AC9085" t="s">
        <v>79</v>
      </c>
      <c r="AD9085" t="s">
        <v>75</v>
      </c>
      <c r="AE9085" t="s">
        <v>80</v>
      </c>
      <c r="AG9085" t="s">
        <v>81</v>
      </c>
    </row>
    <row r="9086" spans="1:33" x14ac:dyDescent="0.25">
      <c r="A9086" t="str">
        <f>"1427217173"</f>
        <v>1427217173</v>
      </c>
      <c r="B9086" t="str">
        <f>"03441370"</f>
        <v>03441370</v>
      </c>
      <c r="C9086" t="s">
        <v>13436</v>
      </c>
      <c r="D9086" t="s">
        <v>38521</v>
      </c>
      <c r="E9086" t="s">
        <v>38522</v>
      </c>
      <c r="L9086" t="s">
        <v>74</v>
      </c>
      <c r="M9086" t="s">
        <v>75</v>
      </c>
      <c r="R9086" t="s">
        <v>38522</v>
      </c>
      <c r="W9086" t="s">
        <v>38522</v>
      </c>
      <c r="X9086" t="s">
        <v>843</v>
      </c>
      <c r="Y9086" t="s">
        <v>97</v>
      </c>
      <c r="Z9086" t="s">
        <v>77</v>
      </c>
      <c r="AA9086" t="str">
        <f>"10016-6402"</f>
        <v>10016-6402</v>
      </c>
      <c r="AB9086" t="s">
        <v>78</v>
      </c>
      <c r="AC9086" t="s">
        <v>79</v>
      </c>
      <c r="AD9086" t="s">
        <v>75</v>
      </c>
      <c r="AE9086" t="s">
        <v>80</v>
      </c>
      <c r="AG9086" t="s">
        <v>81</v>
      </c>
    </row>
    <row r="9087" spans="1:33" x14ac:dyDescent="0.25">
      <c r="A9087" t="str">
        <f>"1093809949"</f>
        <v>1093809949</v>
      </c>
      <c r="B9087" t="str">
        <f>"00418002"</f>
        <v>00418002</v>
      </c>
      <c r="C9087" t="s">
        <v>13436</v>
      </c>
      <c r="D9087" t="s">
        <v>38523</v>
      </c>
      <c r="E9087" t="s">
        <v>38524</v>
      </c>
      <c r="G9087" t="s">
        <v>38525</v>
      </c>
      <c r="L9087" t="s">
        <v>74</v>
      </c>
      <c r="M9087" t="s">
        <v>75</v>
      </c>
      <c r="R9087" t="s">
        <v>38526</v>
      </c>
      <c r="W9087" t="s">
        <v>38524</v>
      </c>
      <c r="X9087" t="s">
        <v>5812</v>
      </c>
      <c r="Y9087" t="s">
        <v>97</v>
      </c>
      <c r="Z9087" t="s">
        <v>77</v>
      </c>
      <c r="AA9087" t="str">
        <f>"10128-1111"</f>
        <v>10128-1111</v>
      </c>
      <c r="AB9087" t="s">
        <v>128</v>
      </c>
      <c r="AC9087" t="s">
        <v>79</v>
      </c>
      <c r="AD9087" t="s">
        <v>75</v>
      </c>
      <c r="AE9087" t="s">
        <v>80</v>
      </c>
      <c r="AG9087" t="s">
        <v>81</v>
      </c>
    </row>
    <row r="9088" spans="1:33" x14ac:dyDescent="0.25">
      <c r="A9088" t="str">
        <f>"1093866386"</f>
        <v>1093866386</v>
      </c>
      <c r="B9088" t="str">
        <f>"01737246"</f>
        <v>01737246</v>
      </c>
      <c r="C9088" t="s">
        <v>13436</v>
      </c>
      <c r="D9088" t="s">
        <v>38527</v>
      </c>
      <c r="E9088" t="s">
        <v>38528</v>
      </c>
      <c r="G9088" t="s">
        <v>38529</v>
      </c>
      <c r="L9088" t="s">
        <v>83</v>
      </c>
      <c r="M9088" t="s">
        <v>75</v>
      </c>
      <c r="R9088" t="s">
        <v>38530</v>
      </c>
      <c r="W9088" t="s">
        <v>38528</v>
      </c>
      <c r="X9088" t="s">
        <v>1194</v>
      </c>
      <c r="Y9088" t="s">
        <v>87</v>
      </c>
      <c r="Z9088" t="s">
        <v>77</v>
      </c>
      <c r="AA9088" t="str">
        <f>"11238-4266"</f>
        <v>11238-4266</v>
      </c>
      <c r="AB9088" t="s">
        <v>78</v>
      </c>
      <c r="AC9088" t="s">
        <v>79</v>
      </c>
      <c r="AD9088" t="s">
        <v>75</v>
      </c>
      <c r="AE9088" t="s">
        <v>80</v>
      </c>
      <c r="AG9088" t="s">
        <v>81</v>
      </c>
    </row>
    <row r="9089" spans="1:33" x14ac:dyDescent="0.25">
      <c r="A9089" t="str">
        <f>"1104128800"</f>
        <v>1104128800</v>
      </c>
      <c r="C9089" t="s">
        <v>13436</v>
      </c>
      <c r="G9089" t="s">
        <v>38531</v>
      </c>
      <c r="K9089" t="s">
        <v>99</v>
      </c>
      <c r="L9089" t="s">
        <v>74</v>
      </c>
      <c r="M9089" t="s">
        <v>75</v>
      </c>
      <c r="R9089" t="s">
        <v>38532</v>
      </c>
      <c r="S9089" t="s">
        <v>38533</v>
      </c>
      <c r="T9089" t="s">
        <v>97</v>
      </c>
      <c r="U9089" t="s">
        <v>77</v>
      </c>
      <c r="V9089" t="str">
        <f>"10003"</f>
        <v>10003</v>
      </c>
      <c r="AC9089" t="s">
        <v>79</v>
      </c>
      <c r="AD9089" t="s">
        <v>75</v>
      </c>
      <c r="AE9089" t="s">
        <v>103</v>
      </c>
      <c r="AG9089" t="s">
        <v>81</v>
      </c>
    </row>
    <row r="9090" spans="1:33" x14ac:dyDescent="0.25">
      <c r="A9090" t="str">
        <f>"1124215827"</f>
        <v>1124215827</v>
      </c>
      <c r="B9090" t="str">
        <f>"03067847"</f>
        <v>03067847</v>
      </c>
      <c r="C9090" t="s">
        <v>13436</v>
      </c>
      <c r="D9090" t="s">
        <v>38534</v>
      </c>
      <c r="E9090" t="s">
        <v>38535</v>
      </c>
      <c r="G9090" t="s">
        <v>38536</v>
      </c>
      <c r="L9090" t="s">
        <v>83</v>
      </c>
      <c r="M9090" t="s">
        <v>75</v>
      </c>
      <c r="R9090" t="s">
        <v>38537</v>
      </c>
      <c r="W9090" t="s">
        <v>38538</v>
      </c>
      <c r="X9090" t="s">
        <v>31697</v>
      </c>
      <c r="Y9090" t="s">
        <v>97</v>
      </c>
      <c r="Z9090" t="s">
        <v>77</v>
      </c>
      <c r="AA9090" t="str">
        <f>"10003-3314"</f>
        <v>10003-3314</v>
      </c>
      <c r="AB9090" t="s">
        <v>128</v>
      </c>
      <c r="AC9090" t="s">
        <v>79</v>
      </c>
      <c r="AD9090" t="s">
        <v>75</v>
      </c>
      <c r="AE9090" t="s">
        <v>80</v>
      </c>
      <c r="AG9090" t="s">
        <v>81</v>
      </c>
    </row>
    <row r="9091" spans="1:33" x14ac:dyDescent="0.25">
      <c r="A9091" t="str">
        <f>"1154471472"</f>
        <v>1154471472</v>
      </c>
      <c r="B9091" t="str">
        <f>"00907488"</f>
        <v>00907488</v>
      </c>
      <c r="C9091" t="s">
        <v>13436</v>
      </c>
      <c r="D9091" t="s">
        <v>38539</v>
      </c>
      <c r="E9091" t="s">
        <v>38540</v>
      </c>
      <c r="G9091" t="s">
        <v>38541</v>
      </c>
      <c r="L9091" t="s">
        <v>84</v>
      </c>
      <c r="M9091" t="s">
        <v>85</v>
      </c>
      <c r="R9091" t="s">
        <v>38542</v>
      </c>
      <c r="W9091" t="s">
        <v>38540</v>
      </c>
      <c r="X9091" t="s">
        <v>7306</v>
      </c>
      <c r="Y9091" t="s">
        <v>87</v>
      </c>
      <c r="Z9091" t="s">
        <v>77</v>
      </c>
      <c r="AA9091" t="str">
        <f>"11211-7823"</f>
        <v>11211-7823</v>
      </c>
      <c r="AB9091" t="s">
        <v>78</v>
      </c>
      <c r="AC9091" t="s">
        <v>79</v>
      </c>
      <c r="AD9091" t="s">
        <v>75</v>
      </c>
      <c r="AE9091" t="s">
        <v>80</v>
      </c>
      <c r="AG9091" t="s">
        <v>81</v>
      </c>
    </row>
    <row r="9092" spans="1:33" x14ac:dyDescent="0.25">
      <c r="A9092" t="str">
        <f>"1164452975"</f>
        <v>1164452975</v>
      </c>
      <c r="B9092" t="str">
        <f>"02714001"</f>
        <v>02714001</v>
      </c>
      <c r="C9092" t="s">
        <v>13436</v>
      </c>
      <c r="D9092" t="s">
        <v>38543</v>
      </c>
      <c r="E9092" t="s">
        <v>38544</v>
      </c>
      <c r="G9092" t="s">
        <v>38545</v>
      </c>
      <c r="L9092" t="s">
        <v>83</v>
      </c>
      <c r="M9092" t="s">
        <v>75</v>
      </c>
      <c r="R9092" t="s">
        <v>38546</v>
      </c>
      <c r="W9092" t="s">
        <v>38544</v>
      </c>
      <c r="X9092" t="s">
        <v>2587</v>
      </c>
      <c r="Y9092" t="s">
        <v>97</v>
      </c>
      <c r="Z9092" t="s">
        <v>77</v>
      </c>
      <c r="AA9092" t="str">
        <f>"10003-3314"</f>
        <v>10003-3314</v>
      </c>
      <c r="AB9092" t="s">
        <v>78</v>
      </c>
      <c r="AC9092" t="s">
        <v>79</v>
      </c>
      <c r="AD9092" t="s">
        <v>75</v>
      </c>
      <c r="AE9092" t="s">
        <v>80</v>
      </c>
      <c r="AG9092" t="s">
        <v>81</v>
      </c>
    </row>
    <row r="9093" spans="1:33" x14ac:dyDescent="0.25">
      <c r="A9093" t="str">
        <f>"1174604094"</f>
        <v>1174604094</v>
      </c>
      <c r="B9093" t="str">
        <f>"02913362"</f>
        <v>02913362</v>
      </c>
      <c r="C9093" t="s">
        <v>13436</v>
      </c>
      <c r="D9093" t="s">
        <v>38547</v>
      </c>
      <c r="E9093" t="s">
        <v>38548</v>
      </c>
      <c r="G9093" t="s">
        <v>38549</v>
      </c>
      <c r="L9093" t="s">
        <v>74</v>
      </c>
      <c r="M9093" t="s">
        <v>75</v>
      </c>
      <c r="R9093" t="s">
        <v>38550</v>
      </c>
      <c r="W9093" t="s">
        <v>38548</v>
      </c>
      <c r="X9093" t="s">
        <v>270</v>
      </c>
      <c r="Y9093" t="s">
        <v>87</v>
      </c>
      <c r="Z9093" t="s">
        <v>77</v>
      </c>
      <c r="AA9093" t="str">
        <f>"11213-1122"</f>
        <v>11213-1122</v>
      </c>
      <c r="AB9093" t="s">
        <v>78</v>
      </c>
      <c r="AC9093" t="s">
        <v>79</v>
      </c>
      <c r="AD9093" t="s">
        <v>75</v>
      </c>
      <c r="AE9093" t="s">
        <v>80</v>
      </c>
      <c r="AG9093" t="s">
        <v>81</v>
      </c>
    </row>
    <row r="9094" spans="1:33" x14ac:dyDescent="0.25">
      <c r="A9094" t="str">
        <f>"1184874646"</f>
        <v>1184874646</v>
      </c>
      <c r="C9094" t="s">
        <v>13436</v>
      </c>
      <c r="G9094" t="s">
        <v>38551</v>
      </c>
      <c r="K9094" t="s">
        <v>99</v>
      </c>
      <c r="L9094" t="s">
        <v>102</v>
      </c>
      <c r="M9094" t="s">
        <v>75</v>
      </c>
      <c r="R9094" t="s">
        <v>38552</v>
      </c>
      <c r="S9094" t="s">
        <v>38553</v>
      </c>
      <c r="T9094" t="s">
        <v>97</v>
      </c>
      <c r="U9094" t="s">
        <v>77</v>
      </c>
      <c r="V9094" t="str">
        <f>"10003"</f>
        <v>10003</v>
      </c>
      <c r="AC9094" t="s">
        <v>79</v>
      </c>
      <c r="AD9094" t="s">
        <v>75</v>
      </c>
      <c r="AE9094" t="s">
        <v>103</v>
      </c>
      <c r="AG9094" t="s">
        <v>81</v>
      </c>
    </row>
    <row r="9095" spans="1:33" x14ac:dyDescent="0.25">
      <c r="A9095" t="str">
        <f>"1598832669"</f>
        <v>1598832669</v>
      </c>
      <c r="B9095" t="str">
        <f>"00683674"</f>
        <v>00683674</v>
      </c>
      <c r="C9095" t="s">
        <v>38554</v>
      </c>
      <c r="D9095" t="s">
        <v>38555</v>
      </c>
      <c r="E9095" t="s">
        <v>38556</v>
      </c>
      <c r="F9095">
        <v>135562186</v>
      </c>
      <c r="G9095" t="s">
        <v>38557</v>
      </c>
      <c r="H9095" t="s">
        <v>1148</v>
      </c>
      <c r="J9095" t="s">
        <v>38558</v>
      </c>
      <c r="L9095" t="s">
        <v>37</v>
      </c>
      <c r="M9095" t="s">
        <v>85</v>
      </c>
      <c r="R9095" t="s">
        <v>38559</v>
      </c>
      <c r="W9095" t="s">
        <v>38556</v>
      </c>
      <c r="X9095" t="s">
        <v>38560</v>
      </c>
      <c r="Y9095" t="s">
        <v>131</v>
      </c>
      <c r="Z9095" t="s">
        <v>77</v>
      </c>
      <c r="AA9095" t="str">
        <f>"10462-3510"</f>
        <v>10462-3510</v>
      </c>
      <c r="AB9095" t="s">
        <v>107</v>
      </c>
      <c r="AC9095" t="s">
        <v>79</v>
      </c>
      <c r="AD9095" t="s">
        <v>75</v>
      </c>
      <c r="AE9095" t="s">
        <v>80</v>
      </c>
      <c r="AG9095" t="s">
        <v>81</v>
      </c>
    </row>
    <row r="9096" spans="1:33" x14ac:dyDescent="0.25">
      <c r="A9096" t="str">
        <f>"1710054887"</f>
        <v>1710054887</v>
      </c>
      <c r="B9096" t="str">
        <f>"00733844"</f>
        <v>00733844</v>
      </c>
      <c r="C9096" t="s">
        <v>38554</v>
      </c>
      <c r="D9096" t="s">
        <v>38561</v>
      </c>
      <c r="E9096" t="s">
        <v>38562</v>
      </c>
      <c r="F9096">
        <v>135562186</v>
      </c>
      <c r="G9096" t="s">
        <v>38557</v>
      </c>
      <c r="H9096" t="s">
        <v>1148</v>
      </c>
      <c r="J9096" t="s">
        <v>38558</v>
      </c>
      <c r="L9096" t="s">
        <v>37</v>
      </c>
      <c r="M9096" t="s">
        <v>85</v>
      </c>
      <c r="R9096" t="s">
        <v>38559</v>
      </c>
      <c r="W9096" t="s">
        <v>38562</v>
      </c>
      <c r="X9096" t="s">
        <v>38563</v>
      </c>
      <c r="Y9096" t="s">
        <v>155</v>
      </c>
      <c r="Z9096" t="s">
        <v>77</v>
      </c>
      <c r="AA9096" t="str">
        <f>"10301-4510"</f>
        <v>10301-4510</v>
      </c>
      <c r="AB9096" t="s">
        <v>107</v>
      </c>
      <c r="AC9096" t="s">
        <v>79</v>
      </c>
      <c r="AD9096" t="s">
        <v>75</v>
      </c>
      <c r="AE9096" t="s">
        <v>80</v>
      </c>
      <c r="AG9096" t="s">
        <v>81</v>
      </c>
    </row>
    <row r="9097" spans="1:33" x14ac:dyDescent="0.25">
      <c r="A9097" t="str">
        <f>"1770650855"</f>
        <v>1770650855</v>
      </c>
      <c r="B9097" t="str">
        <f>"00717822"</f>
        <v>00717822</v>
      </c>
      <c r="C9097" t="s">
        <v>38554</v>
      </c>
      <c r="D9097" t="s">
        <v>38564</v>
      </c>
      <c r="E9097" t="s">
        <v>38565</v>
      </c>
      <c r="F9097">
        <v>135562186</v>
      </c>
      <c r="G9097" t="s">
        <v>38557</v>
      </c>
      <c r="H9097" t="s">
        <v>1148</v>
      </c>
      <c r="J9097" t="s">
        <v>38558</v>
      </c>
      <c r="L9097" t="s">
        <v>37</v>
      </c>
      <c r="M9097" t="s">
        <v>85</v>
      </c>
      <c r="R9097" t="s">
        <v>38559</v>
      </c>
      <c r="W9097" t="s">
        <v>38565</v>
      </c>
      <c r="X9097" t="s">
        <v>38566</v>
      </c>
      <c r="Y9097" t="s">
        <v>97</v>
      </c>
      <c r="Z9097" t="s">
        <v>77</v>
      </c>
      <c r="AA9097" t="str">
        <f>"10011-2463"</f>
        <v>10011-2463</v>
      </c>
      <c r="AB9097" t="s">
        <v>107</v>
      </c>
      <c r="AC9097" t="s">
        <v>79</v>
      </c>
      <c r="AD9097" t="s">
        <v>75</v>
      </c>
      <c r="AE9097" t="s">
        <v>80</v>
      </c>
      <c r="AG9097" t="s">
        <v>81</v>
      </c>
    </row>
    <row r="9098" spans="1:33" x14ac:dyDescent="0.25">
      <c r="A9098" t="str">
        <f>"1982771077"</f>
        <v>1982771077</v>
      </c>
      <c r="B9098" t="str">
        <f>"01113428"</f>
        <v>01113428</v>
      </c>
      <c r="C9098" t="s">
        <v>38554</v>
      </c>
      <c r="D9098" t="s">
        <v>38567</v>
      </c>
      <c r="E9098" t="s">
        <v>38568</v>
      </c>
      <c r="G9098" t="s">
        <v>38557</v>
      </c>
      <c r="H9098" t="s">
        <v>1148</v>
      </c>
      <c r="J9098" t="s">
        <v>38558</v>
      </c>
      <c r="L9098" t="s">
        <v>102</v>
      </c>
      <c r="M9098" t="s">
        <v>85</v>
      </c>
      <c r="R9098" t="s">
        <v>38559</v>
      </c>
      <c r="W9098" t="s">
        <v>38568</v>
      </c>
      <c r="X9098" t="s">
        <v>38569</v>
      </c>
      <c r="Y9098" t="s">
        <v>131</v>
      </c>
      <c r="Z9098" t="s">
        <v>77</v>
      </c>
      <c r="AA9098" t="str">
        <f>"10470-1011"</f>
        <v>10470-1011</v>
      </c>
      <c r="AB9098" t="s">
        <v>107</v>
      </c>
      <c r="AC9098" t="s">
        <v>79</v>
      </c>
      <c r="AD9098" t="s">
        <v>75</v>
      </c>
      <c r="AE9098" t="s">
        <v>80</v>
      </c>
      <c r="AG9098" t="s">
        <v>81</v>
      </c>
    </row>
    <row r="9099" spans="1:33" x14ac:dyDescent="0.25">
      <c r="A9099" t="str">
        <f>"1922175017"</f>
        <v>1922175017</v>
      </c>
      <c r="B9099" t="str">
        <f>"01114736"</f>
        <v>01114736</v>
      </c>
      <c r="C9099" t="s">
        <v>38554</v>
      </c>
      <c r="D9099" t="s">
        <v>38570</v>
      </c>
      <c r="E9099" t="s">
        <v>38571</v>
      </c>
      <c r="F9099">
        <v>135562186</v>
      </c>
      <c r="G9099" t="s">
        <v>38557</v>
      </c>
      <c r="H9099" t="s">
        <v>1148</v>
      </c>
      <c r="J9099" t="s">
        <v>38558</v>
      </c>
      <c r="L9099" t="s">
        <v>37</v>
      </c>
      <c r="M9099" t="s">
        <v>85</v>
      </c>
      <c r="R9099" t="s">
        <v>38559</v>
      </c>
      <c r="W9099" t="s">
        <v>38571</v>
      </c>
      <c r="X9099" t="s">
        <v>38572</v>
      </c>
      <c r="Y9099" t="s">
        <v>131</v>
      </c>
      <c r="Z9099" t="s">
        <v>77</v>
      </c>
      <c r="AA9099" t="str">
        <f>"10473-3632"</f>
        <v>10473-3632</v>
      </c>
      <c r="AB9099" t="s">
        <v>107</v>
      </c>
      <c r="AC9099" t="s">
        <v>79</v>
      </c>
      <c r="AD9099" t="s">
        <v>75</v>
      </c>
      <c r="AE9099" t="s">
        <v>80</v>
      </c>
      <c r="AG9099" t="s">
        <v>81</v>
      </c>
    </row>
    <row r="9100" spans="1:33" x14ac:dyDescent="0.25">
      <c r="A9100" t="str">
        <f>"1063589166"</f>
        <v>1063589166</v>
      </c>
      <c r="B9100" t="str">
        <f>"00717813"</f>
        <v>00717813</v>
      </c>
      <c r="C9100" t="s">
        <v>38554</v>
      </c>
      <c r="D9100" t="s">
        <v>38573</v>
      </c>
      <c r="E9100" t="s">
        <v>38574</v>
      </c>
      <c r="F9100">
        <v>135562186</v>
      </c>
      <c r="G9100" t="s">
        <v>38557</v>
      </c>
      <c r="H9100" t="s">
        <v>1148</v>
      </c>
      <c r="J9100" t="s">
        <v>38558</v>
      </c>
      <c r="L9100" t="s">
        <v>37</v>
      </c>
      <c r="M9100" t="s">
        <v>85</v>
      </c>
      <c r="R9100" t="s">
        <v>38559</v>
      </c>
      <c r="W9100" t="s">
        <v>38574</v>
      </c>
      <c r="X9100" t="s">
        <v>38575</v>
      </c>
      <c r="Y9100" t="s">
        <v>2671</v>
      </c>
      <c r="Z9100" t="s">
        <v>77</v>
      </c>
      <c r="AA9100" t="str">
        <f>"11946-4127"</f>
        <v>11946-4127</v>
      </c>
      <c r="AB9100" t="s">
        <v>107</v>
      </c>
      <c r="AC9100" t="s">
        <v>79</v>
      </c>
      <c r="AD9100" t="s">
        <v>75</v>
      </c>
      <c r="AE9100" t="s">
        <v>80</v>
      </c>
      <c r="AG9100" t="s">
        <v>81</v>
      </c>
    </row>
    <row r="9101" spans="1:33" x14ac:dyDescent="0.25">
      <c r="A9101" t="str">
        <f>"1356419808"</f>
        <v>1356419808</v>
      </c>
      <c r="B9101" t="str">
        <f>"00728914"</f>
        <v>00728914</v>
      </c>
      <c r="C9101" t="s">
        <v>38554</v>
      </c>
      <c r="D9101" t="s">
        <v>38576</v>
      </c>
      <c r="E9101" t="s">
        <v>38577</v>
      </c>
      <c r="F9101">
        <v>135562186</v>
      </c>
      <c r="G9101" t="s">
        <v>38557</v>
      </c>
      <c r="H9101" t="s">
        <v>1148</v>
      </c>
      <c r="J9101" t="s">
        <v>38558</v>
      </c>
      <c r="L9101" t="s">
        <v>37</v>
      </c>
      <c r="M9101" t="s">
        <v>85</v>
      </c>
      <c r="R9101" t="s">
        <v>38559</v>
      </c>
      <c r="W9101" t="s">
        <v>38577</v>
      </c>
      <c r="X9101" t="s">
        <v>38578</v>
      </c>
      <c r="Y9101" t="s">
        <v>5760</v>
      </c>
      <c r="Z9101" t="s">
        <v>77</v>
      </c>
      <c r="AA9101" t="str">
        <f>"11937-2647"</f>
        <v>11937-2647</v>
      </c>
      <c r="AB9101" t="s">
        <v>107</v>
      </c>
      <c r="AC9101" t="s">
        <v>79</v>
      </c>
      <c r="AD9101" t="s">
        <v>75</v>
      </c>
      <c r="AE9101" t="s">
        <v>80</v>
      </c>
      <c r="AG9101" t="s">
        <v>81</v>
      </c>
    </row>
    <row r="9102" spans="1:33" x14ac:dyDescent="0.25">
      <c r="A9102" t="str">
        <f>"1770609521"</f>
        <v>1770609521</v>
      </c>
      <c r="B9102" t="str">
        <f>"03914830"</f>
        <v>03914830</v>
      </c>
      <c r="C9102" t="s">
        <v>13436</v>
      </c>
      <c r="D9102" t="s">
        <v>38579</v>
      </c>
      <c r="E9102" t="s">
        <v>38580</v>
      </c>
      <c r="G9102" t="s">
        <v>38581</v>
      </c>
      <c r="L9102" t="s">
        <v>83</v>
      </c>
      <c r="M9102" t="s">
        <v>85</v>
      </c>
      <c r="R9102" t="s">
        <v>38580</v>
      </c>
      <c r="W9102" t="s">
        <v>38582</v>
      </c>
      <c r="X9102" t="s">
        <v>272</v>
      </c>
      <c r="Y9102" t="s">
        <v>97</v>
      </c>
      <c r="Z9102" t="s">
        <v>77</v>
      </c>
      <c r="AA9102" t="str">
        <f>"10029-6501"</f>
        <v>10029-6501</v>
      </c>
      <c r="AB9102" t="s">
        <v>78</v>
      </c>
      <c r="AC9102" t="s">
        <v>79</v>
      </c>
      <c r="AD9102" t="s">
        <v>75</v>
      </c>
      <c r="AE9102" t="s">
        <v>80</v>
      </c>
      <c r="AG9102" t="s">
        <v>81</v>
      </c>
    </row>
    <row r="9103" spans="1:33" x14ac:dyDescent="0.25">
      <c r="A9103" t="str">
        <f>"1770710402"</f>
        <v>1770710402</v>
      </c>
      <c r="C9103" t="s">
        <v>13436</v>
      </c>
      <c r="K9103" t="s">
        <v>99</v>
      </c>
      <c r="L9103" t="s">
        <v>102</v>
      </c>
      <c r="M9103" t="s">
        <v>75</v>
      </c>
      <c r="R9103" t="s">
        <v>38583</v>
      </c>
      <c r="S9103" t="s">
        <v>38584</v>
      </c>
      <c r="T9103" t="s">
        <v>2262</v>
      </c>
      <c r="U9103" t="s">
        <v>123</v>
      </c>
      <c r="V9103" t="str">
        <f>"022155400"</f>
        <v>022155400</v>
      </c>
      <c r="AC9103" t="s">
        <v>79</v>
      </c>
      <c r="AD9103" t="s">
        <v>75</v>
      </c>
      <c r="AE9103" t="s">
        <v>103</v>
      </c>
      <c r="AG9103" t="s">
        <v>81</v>
      </c>
    </row>
    <row r="9104" spans="1:33" x14ac:dyDescent="0.25">
      <c r="A9104" t="str">
        <f>"1770730236"</f>
        <v>1770730236</v>
      </c>
      <c r="B9104" t="str">
        <f>"03815583"</f>
        <v>03815583</v>
      </c>
      <c r="C9104" t="s">
        <v>13436</v>
      </c>
      <c r="D9104" t="s">
        <v>38585</v>
      </c>
      <c r="E9104" t="s">
        <v>38586</v>
      </c>
      <c r="G9104" t="s">
        <v>38587</v>
      </c>
      <c r="L9104" t="s">
        <v>102</v>
      </c>
      <c r="M9104" t="s">
        <v>75</v>
      </c>
      <c r="R9104" t="s">
        <v>38588</v>
      </c>
      <c r="W9104" t="s">
        <v>38586</v>
      </c>
      <c r="X9104" t="s">
        <v>4029</v>
      </c>
      <c r="Y9104" t="s">
        <v>97</v>
      </c>
      <c r="Z9104" t="s">
        <v>77</v>
      </c>
      <c r="AA9104" t="str">
        <f>"10029-6503"</f>
        <v>10029-6503</v>
      </c>
      <c r="AB9104" t="s">
        <v>78</v>
      </c>
      <c r="AC9104" t="s">
        <v>79</v>
      </c>
      <c r="AD9104" t="s">
        <v>75</v>
      </c>
      <c r="AE9104" t="s">
        <v>80</v>
      </c>
      <c r="AG9104" t="s">
        <v>81</v>
      </c>
    </row>
    <row r="9105" spans="1:33" x14ac:dyDescent="0.25">
      <c r="A9105" t="str">
        <f>"1912927005"</f>
        <v>1912927005</v>
      </c>
      <c r="B9105" t="str">
        <f>"00994367"</f>
        <v>00994367</v>
      </c>
      <c r="C9105" t="s">
        <v>13436</v>
      </c>
      <c r="D9105" t="s">
        <v>38589</v>
      </c>
      <c r="E9105" t="s">
        <v>38590</v>
      </c>
      <c r="L9105" t="s">
        <v>83</v>
      </c>
      <c r="M9105" t="s">
        <v>85</v>
      </c>
      <c r="R9105" t="s">
        <v>38591</v>
      </c>
      <c r="W9105" t="s">
        <v>38590</v>
      </c>
      <c r="X9105" t="s">
        <v>4628</v>
      </c>
      <c r="Y9105" t="s">
        <v>131</v>
      </c>
      <c r="Z9105" t="s">
        <v>77</v>
      </c>
      <c r="AA9105" t="str">
        <f>"10467-2702"</f>
        <v>10467-2702</v>
      </c>
      <c r="AB9105" t="s">
        <v>78</v>
      </c>
      <c r="AC9105" t="s">
        <v>79</v>
      </c>
      <c r="AD9105" t="s">
        <v>75</v>
      </c>
      <c r="AE9105" t="s">
        <v>80</v>
      </c>
      <c r="AG9105" t="s">
        <v>81</v>
      </c>
    </row>
    <row r="9106" spans="1:33" x14ac:dyDescent="0.25">
      <c r="A9106" t="str">
        <f>"1295904084"</f>
        <v>1295904084</v>
      </c>
      <c r="B9106" t="str">
        <f>"03649992"</f>
        <v>03649992</v>
      </c>
      <c r="C9106" t="s">
        <v>13436</v>
      </c>
      <c r="D9106" t="s">
        <v>38592</v>
      </c>
      <c r="E9106" t="s">
        <v>38593</v>
      </c>
      <c r="G9106" t="s">
        <v>38594</v>
      </c>
      <c r="L9106" t="s">
        <v>83</v>
      </c>
      <c r="M9106" t="s">
        <v>75</v>
      </c>
      <c r="R9106" t="s">
        <v>38593</v>
      </c>
      <c r="W9106" t="s">
        <v>38593</v>
      </c>
      <c r="X9106" t="s">
        <v>38595</v>
      </c>
      <c r="Y9106" t="s">
        <v>97</v>
      </c>
      <c r="Z9106" t="s">
        <v>77</v>
      </c>
      <c r="AA9106" t="str">
        <f>"10087-8284"</f>
        <v>10087-8284</v>
      </c>
      <c r="AB9106" t="s">
        <v>78</v>
      </c>
      <c r="AC9106" t="s">
        <v>79</v>
      </c>
      <c r="AD9106" t="s">
        <v>75</v>
      </c>
      <c r="AE9106" t="s">
        <v>80</v>
      </c>
      <c r="AG9106" t="s">
        <v>81</v>
      </c>
    </row>
    <row r="9107" spans="1:33" x14ac:dyDescent="0.25">
      <c r="A9107" t="str">
        <f>"1295905636"</f>
        <v>1295905636</v>
      </c>
      <c r="C9107" t="s">
        <v>13436</v>
      </c>
      <c r="G9107" t="s">
        <v>38596</v>
      </c>
      <c r="K9107" t="s">
        <v>99</v>
      </c>
      <c r="L9107" t="s">
        <v>102</v>
      </c>
      <c r="M9107" t="s">
        <v>75</v>
      </c>
      <c r="R9107" t="s">
        <v>38597</v>
      </c>
      <c r="S9107" t="s">
        <v>130</v>
      </c>
      <c r="T9107" t="s">
        <v>131</v>
      </c>
      <c r="U9107" t="s">
        <v>77</v>
      </c>
      <c r="V9107" t="str">
        <f>"104611138"</f>
        <v>104611138</v>
      </c>
      <c r="AC9107" t="s">
        <v>79</v>
      </c>
      <c r="AD9107" t="s">
        <v>75</v>
      </c>
      <c r="AE9107" t="s">
        <v>103</v>
      </c>
      <c r="AG9107" t="s">
        <v>81</v>
      </c>
    </row>
    <row r="9108" spans="1:33" x14ac:dyDescent="0.25">
      <c r="A9108" t="str">
        <f>"1295930840"</f>
        <v>1295930840</v>
      </c>
      <c r="B9108" t="str">
        <f>"03365799"</f>
        <v>03365799</v>
      </c>
      <c r="C9108" t="s">
        <v>13436</v>
      </c>
      <c r="D9108" t="s">
        <v>38598</v>
      </c>
      <c r="E9108" t="s">
        <v>38599</v>
      </c>
      <c r="G9108" t="s">
        <v>38600</v>
      </c>
      <c r="L9108" t="s">
        <v>83</v>
      </c>
      <c r="M9108" t="s">
        <v>85</v>
      </c>
      <c r="R9108" t="s">
        <v>38601</v>
      </c>
      <c r="W9108" t="s">
        <v>38602</v>
      </c>
      <c r="X9108" t="s">
        <v>272</v>
      </c>
      <c r="Y9108" t="s">
        <v>97</v>
      </c>
      <c r="Z9108" t="s">
        <v>77</v>
      </c>
      <c r="AA9108" t="str">
        <f>"10029-6501"</f>
        <v>10029-6501</v>
      </c>
      <c r="AB9108" t="s">
        <v>78</v>
      </c>
      <c r="AC9108" t="s">
        <v>79</v>
      </c>
      <c r="AD9108" t="s">
        <v>75</v>
      </c>
      <c r="AE9108" t="s">
        <v>80</v>
      </c>
      <c r="AG9108" t="s">
        <v>81</v>
      </c>
    </row>
    <row r="9109" spans="1:33" x14ac:dyDescent="0.25">
      <c r="A9109" t="str">
        <f>"1295940237"</f>
        <v>1295940237</v>
      </c>
      <c r="B9109" t="str">
        <f>"03343184"</f>
        <v>03343184</v>
      </c>
      <c r="C9109" t="s">
        <v>13436</v>
      </c>
      <c r="D9109" t="s">
        <v>38603</v>
      </c>
      <c r="E9109" t="s">
        <v>38604</v>
      </c>
      <c r="G9109" t="s">
        <v>38605</v>
      </c>
      <c r="L9109" t="s">
        <v>83</v>
      </c>
      <c r="M9109" t="s">
        <v>85</v>
      </c>
      <c r="R9109" t="s">
        <v>38606</v>
      </c>
      <c r="W9109" t="s">
        <v>38604</v>
      </c>
      <c r="X9109" t="s">
        <v>329</v>
      </c>
      <c r="Y9109" t="s">
        <v>97</v>
      </c>
      <c r="Z9109" t="s">
        <v>77</v>
      </c>
      <c r="AA9109" t="str">
        <f>"10029-6500"</f>
        <v>10029-6500</v>
      </c>
      <c r="AB9109" t="s">
        <v>78</v>
      </c>
      <c r="AC9109" t="s">
        <v>79</v>
      </c>
      <c r="AD9109" t="s">
        <v>75</v>
      </c>
      <c r="AE9109" t="s">
        <v>80</v>
      </c>
      <c r="AG9109" t="s">
        <v>81</v>
      </c>
    </row>
    <row r="9110" spans="1:33" x14ac:dyDescent="0.25">
      <c r="A9110" t="str">
        <f>"1295949204"</f>
        <v>1295949204</v>
      </c>
      <c r="C9110" t="s">
        <v>13436</v>
      </c>
      <c r="K9110" t="s">
        <v>99</v>
      </c>
      <c r="L9110" t="s">
        <v>102</v>
      </c>
      <c r="M9110" t="s">
        <v>75</v>
      </c>
      <c r="R9110" t="s">
        <v>38607</v>
      </c>
      <c r="S9110" t="s">
        <v>38608</v>
      </c>
      <c r="T9110" t="s">
        <v>97</v>
      </c>
      <c r="U9110" t="s">
        <v>77</v>
      </c>
      <c r="V9110" t="str">
        <f>"100033805"</f>
        <v>100033805</v>
      </c>
      <c r="AC9110" t="s">
        <v>79</v>
      </c>
      <c r="AD9110" t="s">
        <v>75</v>
      </c>
      <c r="AE9110" t="s">
        <v>103</v>
      </c>
      <c r="AG9110" t="s">
        <v>81</v>
      </c>
    </row>
    <row r="9111" spans="1:33" x14ac:dyDescent="0.25">
      <c r="A9111" t="str">
        <f>"1053341560"</f>
        <v>1053341560</v>
      </c>
      <c r="B9111" t="str">
        <f>"02657367"</f>
        <v>02657367</v>
      </c>
      <c r="C9111" t="s">
        <v>13436</v>
      </c>
      <c r="D9111" t="s">
        <v>38609</v>
      </c>
      <c r="E9111" t="s">
        <v>38610</v>
      </c>
      <c r="G9111" t="s">
        <v>38611</v>
      </c>
      <c r="L9111" t="s">
        <v>83</v>
      </c>
      <c r="M9111" t="s">
        <v>85</v>
      </c>
      <c r="R9111" t="s">
        <v>38612</v>
      </c>
      <c r="W9111" t="s">
        <v>38613</v>
      </c>
      <c r="X9111" t="s">
        <v>329</v>
      </c>
      <c r="Y9111" t="s">
        <v>97</v>
      </c>
      <c r="Z9111" t="s">
        <v>77</v>
      </c>
      <c r="AA9111" t="str">
        <f>"10029-6500"</f>
        <v>10029-6500</v>
      </c>
      <c r="AB9111" t="s">
        <v>78</v>
      </c>
      <c r="AC9111" t="s">
        <v>79</v>
      </c>
      <c r="AD9111" t="s">
        <v>75</v>
      </c>
      <c r="AE9111" t="s">
        <v>80</v>
      </c>
      <c r="AG9111" t="s">
        <v>81</v>
      </c>
    </row>
    <row r="9112" spans="1:33" x14ac:dyDescent="0.25">
      <c r="A9112" t="str">
        <f>"1053342469"</f>
        <v>1053342469</v>
      </c>
      <c r="B9112" t="str">
        <f>"00124323"</f>
        <v>00124323</v>
      </c>
      <c r="C9112" t="s">
        <v>13436</v>
      </c>
      <c r="D9112" t="s">
        <v>38614</v>
      </c>
      <c r="E9112" t="s">
        <v>38615</v>
      </c>
      <c r="G9112" t="s">
        <v>38616</v>
      </c>
      <c r="L9112" t="s">
        <v>83</v>
      </c>
      <c r="M9112" t="s">
        <v>85</v>
      </c>
      <c r="R9112" t="s">
        <v>38617</v>
      </c>
      <c r="W9112" t="s">
        <v>38615</v>
      </c>
      <c r="X9112" t="s">
        <v>38618</v>
      </c>
      <c r="Y9112" t="s">
        <v>97</v>
      </c>
      <c r="Z9112" t="s">
        <v>77</v>
      </c>
      <c r="AA9112" t="str">
        <f>"10029-6501"</f>
        <v>10029-6501</v>
      </c>
      <c r="AB9112" t="s">
        <v>78</v>
      </c>
      <c r="AC9112" t="s">
        <v>79</v>
      </c>
      <c r="AD9112" t="s">
        <v>75</v>
      </c>
      <c r="AE9112" t="s">
        <v>80</v>
      </c>
      <c r="AG9112" t="s">
        <v>81</v>
      </c>
    </row>
    <row r="9113" spans="1:33" x14ac:dyDescent="0.25">
      <c r="A9113" t="str">
        <f>"1922347004"</f>
        <v>1922347004</v>
      </c>
      <c r="B9113" t="str">
        <f>"03694593"</f>
        <v>03694593</v>
      </c>
      <c r="C9113" t="s">
        <v>13436</v>
      </c>
      <c r="D9113" t="s">
        <v>38619</v>
      </c>
      <c r="E9113" t="s">
        <v>38620</v>
      </c>
      <c r="L9113" t="s">
        <v>74</v>
      </c>
      <c r="M9113" t="s">
        <v>75</v>
      </c>
      <c r="R9113" t="s">
        <v>38621</v>
      </c>
      <c r="W9113" t="s">
        <v>38620</v>
      </c>
      <c r="X9113" t="s">
        <v>38622</v>
      </c>
      <c r="Y9113" t="s">
        <v>97</v>
      </c>
      <c r="Z9113" t="s">
        <v>77</v>
      </c>
      <c r="AA9113" t="str">
        <f>"10075-0866"</f>
        <v>10075-0866</v>
      </c>
      <c r="AB9113" t="s">
        <v>78</v>
      </c>
      <c r="AC9113" t="s">
        <v>79</v>
      </c>
      <c r="AD9113" t="s">
        <v>75</v>
      </c>
      <c r="AE9113" t="s">
        <v>80</v>
      </c>
      <c r="AG9113" t="s">
        <v>81</v>
      </c>
    </row>
    <row r="9114" spans="1:33" x14ac:dyDescent="0.25">
      <c r="A9114" t="str">
        <f>"1922351774"</f>
        <v>1922351774</v>
      </c>
      <c r="B9114" t="str">
        <f>"04426413"</f>
        <v>04426413</v>
      </c>
      <c r="C9114" t="s">
        <v>13436</v>
      </c>
      <c r="D9114" t="s">
        <v>38623</v>
      </c>
      <c r="E9114" t="s">
        <v>38624</v>
      </c>
      <c r="G9114" t="s">
        <v>38625</v>
      </c>
      <c r="L9114" t="s">
        <v>102</v>
      </c>
      <c r="M9114" t="s">
        <v>75</v>
      </c>
      <c r="R9114" t="s">
        <v>38626</v>
      </c>
      <c r="W9114" t="s">
        <v>38624</v>
      </c>
      <c r="X9114" t="s">
        <v>38627</v>
      </c>
      <c r="Y9114" t="s">
        <v>87</v>
      </c>
      <c r="Z9114" t="s">
        <v>77</v>
      </c>
      <c r="AA9114" t="str">
        <f>"11214-5119"</f>
        <v>11214-5119</v>
      </c>
      <c r="AB9114" t="s">
        <v>78</v>
      </c>
      <c r="AC9114" t="s">
        <v>79</v>
      </c>
      <c r="AD9114" t="s">
        <v>75</v>
      </c>
      <c r="AE9114" t="s">
        <v>80</v>
      </c>
      <c r="AG9114" t="s">
        <v>81</v>
      </c>
    </row>
    <row r="9115" spans="1:33" x14ac:dyDescent="0.25">
      <c r="A9115" t="str">
        <f>"1922373703"</f>
        <v>1922373703</v>
      </c>
      <c r="C9115" t="s">
        <v>13436</v>
      </c>
      <c r="K9115" t="s">
        <v>99</v>
      </c>
      <c r="L9115" t="s">
        <v>102</v>
      </c>
      <c r="M9115" t="s">
        <v>85</v>
      </c>
      <c r="R9115" t="s">
        <v>38628</v>
      </c>
      <c r="S9115" t="s">
        <v>12415</v>
      </c>
      <c r="T9115" t="s">
        <v>97</v>
      </c>
      <c r="U9115" t="s">
        <v>77</v>
      </c>
      <c r="V9115" t="str">
        <f>"10003"</f>
        <v>10003</v>
      </c>
      <c r="AC9115" t="s">
        <v>79</v>
      </c>
      <c r="AD9115" t="s">
        <v>75</v>
      </c>
      <c r="AE9115" t="s">
        <v>103</v>
      </c>
      <c r="AG9115" t="s">
        <v>81</v>
      </c>
    </row>
    <row r="9116" spans="1:33" x14ac:dyDescent="0.25">
      <c r="A9116" t="str">
        <f>"1922393495"</f>
        <v>1922393495</v>
      </c>
      <c r="C9116" t="s">
        <v>13436</v>
      </c>
      <c r="G9116" t="s">
        <v>38629</v>
      </c>
      <c r="K9116" t="s">
        <v>99</v>
      </c>
      <c r="L9116" t="s">
        <v>94</v>
      </c>
      <c r="M9116" t="s">
        <v>85</v>
      </c>
      <c r="R9116" t="s">
        <v>38630</v>
      </c>
      <c r="S9116" t="s">
        <v>610</v>
      </c>
      <c r="T9116" t="s">
        <v>87</v>
      </c>
      <c r="U9116" t="s">
        <v>77</v>
      </c>
      <c r="V9116" t="str">
        <f>"112032012"</f>
        <v>112032012</v>
      </c>
      <c r="AC9116" t="s">
        <v>79</v>
      </c>
      <c r="AD9116" t="s">
        <v>75</v>
      </c>
      <c r="AE9116" t="s">
        <v>103</v>
      </c>
      <c r="AG9116" t="s">
        <v>81</v>
      </c>
    </row>
    <row r="9117" spans="1:33" x14ac:dyDescent="0.25">
      <c r="A9117" t="str">
        <f>"1932104494"</f>
        <v>1932104494</v>
      </c>
      <c r="B9117" t="str">
        <f>"01553662"</f>
        <v>01553662</v>
      </c>
      <c r="C9117" t="s">
        <v>13436</v>
      </c>
      <c r="D9117" t="s">
        <v>38631</v>
      </c>
      <c r="E9117" t="s">
        <v>38632</v>
      </c>
      <c r="G9117" t="s">
        <v>38633</v>
      </c>
      <c r="L9117" t="s">
        <v>83</v>
      </c>
      <c r="M9117" t="s">
        <v>85</v>
      </c>
      <c r="R9117" t="s">
        <v>38634</v>
      </c>
      <c r="W9117" t="s">
        <v>38632</v>
      </c>
      <c r="X9117" t="s">
        <v>674</v>
      </c>
      <c r="Y9117" t="s">
        <v>236</v>
      </c>
      <c r="Z9117" t="s">
        <v>77</v>
      </c>
      <c r="AA9117" t="str">
        <f>"11103-2224"</f>
        <v>11103-2224</v>
      </c>
      <c r="AB9117" t="s">
        <v>78</v>
      </c>
      <c r="AC9117" t="s">
        <v>79</v>
      </c>
      <c r="AD9117" t="s">
        <v>75</v>
      </c>
      <c r="AE9117" t="s">
        <v>80</v>
      </c>
      <c r="AG9117" t="s">
        <v>81</v>
      </c>
    </row>
    <row r="9118" spans="1:33" x14ac:dyDescent="0.25">
      <c r="A9118" t="str">
        <f>"1932107752"</f>
        <v>1932107752</v>
      </c>
      <c r="C9118" t="s">
        <v>13436</v>
      </c>
      <c r="K9118" t="s">
        <v>99</v>
      </c>
      <c r="L9118" t="s">
        <v>102</v>
      </c>
      <c r="M9118" t="s">
        <v>85</v>
      </c>
      <c r="R9118" t="s">
        <v>38635</v>
      </c>
      <c r="S9118" t="s">
        <v>38636</v>
      </c>
      <c r="T9118" t="s">
        <v>97</v>
      </c>
      <c r="U9118" t="s">
        <v>77</v>
      </c>
      <c r="V9118" t="str">
        <f>"100296500"</f>
        <v>100296500</v>
      </c>
      <c r="AC9118" t="s">
        <v>79</v>
      </c>
      <c r="AD9118" t="s">
        <v>75</v>
      </c>
      <c r="AE9118" t="s">
        <v>103</v>
      </c>
      <c r="AG9118" t="s">
        <v>81</v>
      </c>
    </row>
    <row r="9119" spans="1:33" x14ac:dyDescent="0.25">
      <c r="A9119" t="str">
        <f>"1104198951"</f>
        <v>1104198951</v>
      </c>
      <c r="B9119" t="str">
        <f>"03737982"</f>
        <v>03737982</v>
      </c>
      <c r="C9119" t="s">
        <v>13436</v>
      </c>
      <c r="D9119" t="s">
        <v>38637</v>
      </c>
      <c r="E9119" t="s">
        <v>38638</v>
      </c>
      <c r="G9119" t="s">
        <v>38639</v>
      </c>
      <c r="L9119" t="s">
        <v>74</v>
      </c>
      <c r="M9119" t="s">
        <v>75</v>
      </c>
      <c r="R9119" t="s">
        <v>38640</v>
      </c>
      <c r="W9119" t="s">
        <v>38638</v>
      </c>
      <c r="X9119" t="s">
        <v>5264</v>
      </c>
      <c r="Y9119" t="s">
        <v>1798</v>
      </c>
      <c r="Z9119" t="s">
        <v>77</v>
      </c>
      <c r="AA9119" t="str">
        <f>"10573-4674"</f>
        <v>10573-4674</v>
      </c>
      <c r="AB9119" t="s">
        <v>125</v>
      </c>
      <c r="AC9119" t="s">
        <v>79</v>
      </c>
      <c r="AD9119" t="s">
        <v>75</v>
      </c>
      <c r="AE9119" t="s">
        <v>80</v>
      </c>
      <c r="AG9119" t="s">
        <v>81</v>
      </c>
    </row>
    <row r="9120" spans="1:33" x14ac:dyDescent="0.25">
      <c r="A9120" t="str">
        <f>"1578503595"</f>
        <v>1578503595</v>
      </c>
      <c r="C9120" t="s">
        <v>13436</v>
      </c>
      <c r="G9120" t="s">
        <v>38641</v>
      </c>
      <c r="K9120" t="s">
        <v>99</v>
      </c>
      <c r="L9120" t="s">
        <v>102</v>
      </c>
      <c r="M9120" t="s">
        <v>75</v>
      </c>
      <c r="R9120" t="s">
        <v>38642</v>
      </c>
      <c r="S9120" t="s">
        <v>38643</v>
      </c>
      <c r="T9120" t="s">
        <v>4861</v>
      </c>
      <c r="U9120" t="s">
        <v>156</v>
      </c>
      <c r="V9120" t="str">
        <f>"076311808"</f>
        <v>076311808</v>
      </c>
      <c r="AC9120" t="s">
        <v>79</v>
      </c>
      <c r="AD9120" t="s">
        <v>75</v>
      </c>
      <c r="AE9120" t="s">
        <v>103</v>
      </c>
      <c r="AG9120" t="s">
        <v>81</v>
      </c>
    </row>
    <row r="9121" spans="1:33" x14ac:dyDescent="0.25">
      <c r="A9121" t="str">
        <f>"1881920502"</f>
        <v>1881920502</v>
      </c>
      <c r="B9121" t="str">
        <f>"03162443"</f>
        <v>03162443</v>
      </c>
      <c r="C9121" t="s">
        <v>13436</v>
      </c>
      <c r="D9121" t="s">
        <v>38644</v>
      </c>
      <c r="E9121" t="s">
        <v>38645</v>
      </c>
      <c r="G9121" t="s">
        <v>38646</v>
      </c>
      <c r="L9121" t="s">
        <v>83</v>
      </c>
      <c r="M9121" t="s">
        <v>75</v>
      </c>
      <c r="R9121" t="s">
        <v>38647</v>
      </c>
      <c r="W9121" t="s">
        <v>38647</v>
      </c>
      <c r="X9121" t="s">
        <v>38648</v>
      </c>
      <c r="Y9121" t="s">
        <v>87</v>
      </c>
      <c r="Z9121" t="s">
        <v>77</v>
      </c>
      <c r="AA9121" t="str">
        <f>"11214-5193"</f>
        <v>11214-5193</v>
      </c>
      <c r="AB9121" t="s">
        <v>78</v>
      </c>
      <c r="AC9121" t="s">
        <v>79</v>
      </c>
      <c r="AD9121" t="s">
        <v>75</v>
      </c>
      <c r="AE9121" t="s">
        <v>80</v>
      </c>
      <c r="AG9121" t="s">
        <v>81</v>
      </c>
    </row>
    <row r="9122" spans="1:33" x14ac:dyDescent="0.25">
      <c r="A9122" t="str">
        <f>"1629126719"</f>
        <v>1629126719</v>
      </c>
      <c r="B9122" t="str">
        <f>"03365524"</f>
        <v>03365524</v>
      </c>
      <c r="C9122" t="s">
        <v>13436</v>
      </c>
      <c r="D9122" t="s">
        <v>2201</v>
      </c>
      <c r="E9122" t="s">
        <v>2200</v>
      </c>
      <c r="G9122" t="s">
        <v>38649</v>
      </c>
      <c r="L9122" t="s">
        <v>74</v>
      </c>
      <c r="M9122" t="s">
        <v>75</v>
      </c>
      <c r="R9122" t="s">
        <v>2200</v>
      </c>
      <c r="W9122" t="s">
        <v>2202</v>
      </c>
      <c r="X9122" t="s">
        <v>637</v>
      </c>
      <c r="Y9122" t="s">
        <v>97</v>
      </c>
      <c r="Z9122" t="s">
        <v>77</v>
      </c>
      <c r="AA9122" t="str">
        <f>"10170-1699"</f>
        <v>10170-1699</v>
      </c>
      <c r="AB9122" t="s">
        <v>78</v>
      </c>
      <c r="AC9122" t="s">
        <v>79</v>
      </c>
      <c r="AD9122" t="s">
        <v>75</v>
      </c>
      <c r="AE9122" t="s">
        <v>80</v>
      </c>
      <c r="AG9122" t="s">
        <v>81</v>
      </c>
    </row>
    <row r="9123" spans="1:33" x14ac:dyDescent="0.25">
      <c r="A9123" t="str">
        <f>"1467738302"</f>
        <v>1467738302</v>
      </c>
      <c r="B9123" t="str">
        <f>"04135677"</f>
        <v>04135677</v>
      </c>
      <c r="C9123" t="s">
        <v>13436</v>
      </c>
      <c r="D9123" t="s">
        <v>38650</v>
      </c>
      <c r="E9123" t="s">
        <v>38651</v>
      </c>
      <c r="L9123" t="s">
        <v>83</v>
      </c>
      <c r="M9123" t="s">
        <v>75</v>
      </c>
      <c r="R9123" t="s">
        <v>38652</v>
      </c>
      <c r="W9123" t="s">
        <v>38653</v>
      </c>
      <c r="X9123" t="s">
        <v>235</v>
      </c>
      <c r="Y9123" t="s">
        <v>236</v>
      </c>
      <c r="Z9123" t="s">
        <v>77</v>
      </c>
      <c r="AA9123" t="str">
        <f>"11102-2448"</f>
        <v>11102-2448</v>
      </c>
      <c r="AB9123" t="s">
        <v>78</v>
      </c>
      <c r="AC9123" t="s">
        <v>79</v>
      </c>
      <c r="AD9123" t="s">
        <v>75</v>
      </c>
      <c r="AE9123" t="s">
        <v>80</v>
      </c>
      <c r="AG9123" t="s">
        <v>81</v>
      </c>
    </row>
    <row r="9124" spans="1:33" x14ac:dyDescent="0.25">
      <c r="A9124" t="str">
        <f>"1467742494"</f>
        <v>1467742494</v>
      </c>
      <c r="C9124" t="s">
        <v>13436</v>
      </c>
      <c r="K9124" t="s">
        <v>99</v>
      </c>
      <c r="L9124" t="s">
        <v>102</v>
      </c>
      <c r="M9124" t="s">
        <v>75</v>
      </c>
      <c r="R9124" t="s">
        <v>38654</v>
      </c>
      <c r="S9124" t="s">
        <v>38655</v>
      </c>
      <c r="T9124" t="s">
        <v>1752</v>
      </c>
      <c r="U9124" t="s">
        <v>156</v>
      </c>
      <c r="V9124" t="str">
        <f>"070395009"</f>
        <v>070395009</v>
      </c>
      <c r="AC9124" t="s">
        <v>79</v>
      </c>
      <c r="AD9124" t="s">
        <v>75</v>
      </c>
      <c r="AE9124" t="s">
        <v>103</v>
      </c>
      <c r="AG9124" t="s">
        <v>81</v>
      </c>
    </row>
    <row r="9125" spans="1:33" x14ac:dyDescent="0.25">
      <c r="A9125" t="str">
        <f>"1467746479"</f>
        <v>1467746479</v>
      </c>
      <c r="B9125" t="str">
        <f>"03454244"</f>
        <v>03454244</v>
      </c>
      <c r="C9125" t="s">
        <v>13436</v>
      </c>
      <c r="D9125" t="s">
        <v>38656</v>
      </c>
      <c r="E9125" t="s">
        <v>38657</v>
      </c>
      <c r="G9125" t="s">
        <v>38658</v>
      </c>
      <c r="L9125" t="s">
        <v>94</v>
      </c>
      <c r="M9125" t="s">
        <v>75</v>
      </c>
      <c r="R9125" t="s">
        <v>38657</v>
      </c>
      <c r="W9125" t="s">
        <v>38659</v>
      </c>
      <c r="X9125" t="s">
        <v>329</v>
      </c>
      <c r="Y9125" t="s">
        <v>97</v>
      </c>
      <c r="Z9125" t="s">
        <v>77</v>
      </c>
      <c r="AA9125" t="str">
        <f>"10029-6504"</f>
        <v>10029-6504</v>
      </c>
      <c r="AB9125" t="s">
        <v>78</v>
      </c>
      <c r="AC9125" t="s">
        <v>79</v>
      </c>
      <c r="AD9125" t="s">
        <v>75</v>
      </c>
      <c r="AE9125" t="s">
        <v>80</v>
      </c>
      <c r="AG9125" t="s">
        <v>81</v>
      </c>
    </row>
    <row r="9126" spans="1:33" x14ac:dyDescent="0.25">
      <c r="A9126" t="str">
        <f>"1467756825"</f>
        <v>1467756825</v>
      </c>
      <c r="C9126" t="s">
        <v>13436</v>
      </c>
      <c r="G9126" t="s">
        <v>38660</v>
      </c>
      <c r="K9126" t="s">
        <v>99</v>
      </c>
      <c r="L9126" t="s">
        <v>102</v>
      </c>
      <c r="M9126" t="s">
        <v>75</v>
      </c>
      <c r="R9126" t="s">
        <v>38661</v>
      </c>
      <c r="S9126" t="s">
        <v>38662</v>
      </c>
      <c r="T9126" t="s">
        <v>97</v>
      </c>
      <c r="U9126" t="s">
        <v>77</v>
      </c>
      <c r="V9126" t="str">
        <f>"100173033"</f>
        <v>100173033</v>
      </c>
      <c r="AC9126" t="s">
        <v>79</v>
      </c>
      <c r="AD9126" t="s">
        <v>75</v>
      </c>
      <c r="AE9126" t="s">
        <v>103</v>
      </c>
      <c r="AG9126" t="s">
        <v>81</v>
      </c>
    </row>
    <row r="9127" spans="1:33" x14ac:dyDescent="0.25">
      <c r="A9127" t="str">
        <f>"1902001514"</f>
        <v>1902001514</v>
      </c>
      <c r="B9127" t="str">
        <f>"03504987"</f>
        <v>03504987</v>
      </c>
      <c r="C9127" t="s">
        <v>13436</v>
      </c>
      <c r="D9127" t="s">
        <v>38663</v>
      </c>
      <c r="E9127" t="s">
        <v>38664</v>
      </c>
      <c r="L9127" t="s">
        <v>83</v>
      </c>
      <c r="M9127" t="s">
        <v>85</v>
      </c>
      <c r="R9127" t="s">
        <v>38665</v>
      </c>
      <c r="W9127" t="s">
        <v>38666</v>
      </c>
      <c r="X9127" t="s">
        <v>942</v>
      </c>
      <c r="Y9127" t="s">
        <v>97</v>
      </c>
      <c r="Z9127" t="s">
        <v>77</v>
      </c>
      <c r="AA9127" t="str">
        <f>"10029-6508"</f>
        <v>10029-6508</v>
      </c>
      <c r="AB9127" t="s">
        <v>78</v>
      </c>
      <c r="AC9127" t="s">
        <v>79</v>
      </c>
      <c r="AD9127" t="s">
        <v>75</v>
      </c>
      <c r="AE9127" t="s">
        <v>80</v>
      </c>
      <c r="AG9127" t="s">
        <v>81</v>
      </c>
    </row>
    <row r="9128" spans="1:33" x14ac:dyDescent="0.25">
      <c r="A9128" t="str">
        <f>"1962726539"</f>
        <v>1962726539</v>
      </c>
      <c r="B9128" t="str">
        <f>"04229856"</f>
        <v>04229856</v>
      </c>
      <c r="C9128" t="s">
        <v>13436</v>
      </c>
      <c r="D9128" t="s">
        <v>38667</v>
      </c>
      <c r="E9128" t="s">
        <v>38668</v>
      </c>
      <c r="G9128" t="s">
        <v>38669</v>
      </c>
      <c r="L9128" t="s">
        <v>94</v>
      </c>
      <c r="M9128" t="s">
        <v>85</v>
      </c>
      <c r="R9128" t="s">
        <v>38670</v>
      </c>
      <c r="W9128" t="s">
        <v>38668</v>
      </c>
      <c r="X9128" t="s">
        <v>38671</v>
      </c>
      <c r="Y9128" t="s">
        <v>97</v>
      </c>
      <c r="Z9128" t="s">
        <v>77</v>
      </c>
      <c r="AA9128" t="str">
        <f>"10036-7000"</f>
        <v>10036-7000</v>
      </c>
      <c r="AB9128" t="s">
        <v>78</v>
      </c>
      <c r="AC9128" t="s">
        <v>79</v>
      </c>
      <c r="AD9128" t="s">
        <v>75</v>
      </c>
      <c r="AE9128" t="s">
        <v>80</v>
      </c>
      <c r="AG9128" t="s">
        <v>81</v>
      </c>
    </row>
    <row r="9129" spans="1:33" x14ac:dyDescent="0.25">
      <c r="A9129" t="str">
        <f>"1962795864"</f>
        <v>1962795864</v>
      </c>
      <c r="B9129" t="str">
        <f>"03941453"</f>
        <v>03941453</v>
      </c>
      <c r="C9129" t="s">
        <v>13436</v>
      </c>
      <c r="D9129" t="s">
        <v>38672</v>
      </c>
      <c r="E9129" t="s">
        <v>38673</v>
      </c>
      <c r="L9129" t="s">
        <v>74</v>
      </c>
      <c r="M9129" t="s">
        <v>75</v>
      </c>
      <c r="R9129" t="s">
        <v>38674</v>
      </c>
      <c r="W9129" t="s">
        <v>38675</v>
      </c>
      <c r="X9129" t="s">
        <v>191</v>
      </c>
      <c r="Y9129" t="s">
        <v>97</v>
      </c>
      <c r="Z9129" t="s">
        <v>77</v>
      </c>
      <c r="AA9129" t="str">
        <f>"10019-1147"</f>
        <v>10019-1147</v>
      </c>
      <c r="AB9129" t="s">
        <v>78</v>
      </c>
      <c r="AC9129" t="s">
        <v>79</v>
      </c>
      <c r="AD9129" t="s">
        <v>75</v>
      </c>
      <c r="AE9129" t="s">
        <v>80</v>
      </c>
      <c r="AG9129" t="s">
        <v>81</v>
      </c>
    </row>
    <row r="9130" spans="1:33" x14ac:dyDescent="0.25">
      <c r="A9130" t="str">
        <f>"1962795971"</f>
        <v>1962795971</v>
      </c>
      <c r="C9130" t="s">
        <v>13436</v>
      </c>
      <c r="G9130" t="s">
        <v>38676</v>
      </c>
      <c r="K9130" t="s">
        <v>99</v>
      </c>
      <c r="L9130" t="s">
        <v>74</v>
      </c>
      <c r="M9130" t="s">
        <v>75</v>
      </c>
      <c r="R9130" t="s">
        <v>38677</v>
      </c>
      <c r="S9130" t="s">
        <v>38678</v>
      </c>
      <c r="T9130" t="s">
        <v>97</v>
      </c>
      <c r="U9130" t="s">
        <v>77</v>
      </c>
      <c r="V9130" t="str">
        <f>"100033805"</f>
        <v>100033805</v>
      </c>
      <c r="AC9130" t="s">
        <v>79</v>
      </c>
      <c r="AD9130" t="s">
        <v>75</v>
      </c>
      <c r="AE9130" t="s">
        <v>103</v>
      </c>
      <c r="AG9130" t="s">
        <v>81</v>
      </c>
    </row>
    <row r="9131" spans="1:33" x14ac:dyDescent="0.25">
      <c r="A9131" t="str">
        <f>"1972529782"</f>
        <v>1972529782</v>
      </c>
      <c r="B9131" t="str">
        <f>"00998256"</f>
        <v>00998256</v>
      </c>
      <c r="C9131" t="s">
        <v>13436</v>
      </c>
      <c r="D9131" t="s">
        <v>38679</v>
      </c>
      <c r="E9131" t="s">
        <v>38680</v>
      </c>
      <c r="L9131" t="s">
        <v>83</v>
      </c>
      <c r="M9131" t="s">
        <v>85</v>
      </c>
      <c r="R9131" t="s">
        <v>38681</v>
      </c>
      <c r="W9131" t="s">
        <v>38680</v>
      </c>
      <c r="X9131" t="s">
        <v>329</v>
      </c>
      <c r="Y9131" t="s">
        <v>97</v>
      </c>
      <c r="Z9131" t="s">
        <v>77</v>
      </c>
      <c r="AA9131" t="str">
        <f>"10029-6504"</f>
        <v>10029-6504</v>
      </c>
      <c r="AB9131" t="s">
        <v>78</v>
      </c>
      <c r="AC9131" t="s">
        <v>79</v>
      </c>
      <c r="AD9131" t="s">
        <v>75</v>
      </c>
      <c r="AE9131" t="s">
        <v>80</v>
      </c>
      <c r="AG9131" t="s">
        <v>81</v>
      </c>
    </row>
    <row r="9132" spans="1:33" x14ac:dyDescent="0.25">
      <c r="A9132" t="str">
        <f>"1710207196"</f>
        <v>1710207196</v>
      </c>
      <c r="B9132" t="str">
        <f>"03805341"</f>
        <v>03805341</v>
      </c>
      <c r="C9132" t="s">
        <v>13436</v>
      </c>
      <c r="D9132" t="s">
        <v>38682</v>
      </c>
      <c r="E9132" t="s">
        <v>38683</v>
      </c>
      <c r="L9132" t="s">
        <v>105</v>
      </c>
      <c r="M9132" t="s">
        <v>75</v>
      </c>
      <c r="R9132" t="s">
        <v>38684</v>
      </c>
      <c r="W9132" t="s">
        <v>38683</v>
      </c>
      <c r="X9132" t="s">
        <v>13841</v>
      </c>
      <c r="Y9132" t="s">
        <v>97</v>
      </c>
      <c r="Z9132" t="s">
        <v>77</v>
      </c>
      <c r="AA9132" t="str">
        <f>"10003-3851"</f>
        <v>10003-3851</v>
      </c>
      <c r="AB9132" t="s">
        <v>78</v>
      </c>
      <c r="AC9132" t="s">
        <v>79</v>
      </c>
      <c r="AD9132" t="s">
        <v>75</v>
      </c>
      <c r="AE9132" t="s">
        <v>80</v>
      </c>
      <c r="AG9132" t="s">
        <v>81</v>
      </c>
    </row>
    <row r="9133" spans="1:33" x14ac:dyDescent="0.25">
      <c r="A9133" t="str">
        <f>"1740217538"</f>
        <v>1740217538</v>
      </c>
      <c r="B9133" t="str">
        <f>"02282662"</f>
        <v>02282662</v>
      </c>
      <c r="C9133" t="s">
        <v>13436</v>
      </c>
      <c r="D9133" t="s">
        <v>38685</v>
      </c>
      <c r="E9133" t="s">
        <v>38686</v>
      </c>
      <c r="G9133" t="s">
        <v>38687</v>
      </c>
      <c r="L9133" t="s">
        <v>74</v>
      </c>
      <c r="M9133" t="s">
        <v>85</v>
      </c>
      <c r="R9133" t="s">
        <v>38688</v>
      </c>
      <c r="W9133" t="s">
        <v>38686</v>
      </c>
      <c r="X9133" t="s">
        <v>4897</v>
      </c>
      <c r="Y9133" t="s">
        <v>97</v>
      </c>
      <c r="Z9133" t="s">
        <v>77</v>
      </c>
      <c r="AA9133" t="str">
        <f>"10029"</f>
        <v>10029</v>
      </c>
      <c r="AB9133" t="s">
        <v>78</v>
      </c>
      <c r="AC9133" t="s">
        <v>79</v>
      </c>
      <c r="AD9133" t="s">
        <v>75</v>
      </c>
      <c r="AE9133" t="s">
        <v>80</v>
      </c>
      <c r="AG9133" t="s">
        <v>81</v>
      </c>
    </row>
    <row r="9134" spans="1:33" x14ac:dyDescent="0.25">
      <c r="A9134" t="str">
        <f>"1255443743"</f>
        <v>1255443743</v>
      </c>
      <c r="B9134" t="str">
        <f>"00775719"</f>
        <v>00775719</v>
      </c>
      <c r="C9134" t="s">
        <v>13436</v>
      </c>
      <c r="D9134" t="s">
        <v>38689</v>
      </c>
      <c r="E9134" t="s">
        <v>38690</v>
      </c>
      <c r="L9134" t="s">
        <v>74</v>
      </c>
      <c r="M9134" t="s">
        <v>85</v>
      </c>
      <c r="R9134" t="s">
        <v>38691</v>
      </c>
      <c r="W9134" t="s">
        <v>38692</v>
      </c>
      <c r="X9134" t="s">
        <v>2926</v>
      </c>
      <c r="Y9134" t="s">
        <v>97</v>
      </c>
      <c r="Z9134" t="s">
        <v>77</v>
      </c>
      <c r="AA9134" t="str">
        <f>"10029-6503"</f>
        <v>10029-6503</v>
      </c>
      <c r="AB9134" t="s">
        <v>78</v>
      </c>
      <c r="AC9134" t="s">
        <v>79</v>
      </c>
      <c r="AD9134" t="s">
        <v>75</v>
      </c>
      <c r="AE9134" t="s">
        <v>80</v>
      </c>
      <c r="AG9134" t="s">
        <v>81</v>
      </c>
    </row>
    <row r="9135" spans="1:33" x14ac:dyDescent="0.25">
      <c r="A9135" t="str">
        <f>"1255494605"</f>
        <v>1255494605</v>
      </c>
      <c r="B9135" t="str">
        <f>"02902954"</f>
        <v>02902954</v>
      </c>
      <c r="C9135" t="s">
        <v>13436</v>
      </c>
      <c r="D9135" t="s">
        <v>38693</v>
      </c>
      <c r="E9135" t="s">
        <v>38694</v>
      </c>
      <c r="G9135" t="s">
        <v>38695</v>
      </c>
      <c r="L9135" t="s">
        <v>83</v>
      </c>
      <c r="M9135" t="s">
        <v>85</v>
      </c>
      <c r="R9135" t="s">
        <v>38696</v>
      </c>
      <c r="W9135" t="s">
        <v>38694</v>
      </c>
      <c r="X9135" t="s">
        <v>38697</v>
      </c>
      <c r="Y9135" t="s">
        <v>87</v>
      </c>
      <c r="Z9135" t="s">
        <v>77</v>
      </c>
      <c r="AA9135" t="str">
        <f>"11201-5232"</f>
        <v>11201-5232</v>
      </c>
      <c r="AB9135" t="s">
        <v>78</v>
      </c>
      <c r="AC9135" t="s">
        <v>79</v>
      </c>
      <c r="AD9135" t="s">
        <v>75</v>
      </c>
      <c r="AE9135" t="s">
        <v>80</v>
      </c>
      <c r="AG9135" t="s">
        <v>81</v>
      </c>
    </row>
    <row r="9136" spans="1:33" x14ac:dyDescent="0.25">
      <c r="A9136" t="str">
        <f>"1255496725"</f>
        <v>1255496725</v>
      </c>
      <c r="B9136" t="str">
        <f>"02674422"</f>
        <v>02674422</v>
      </c>
      <c r="C9136" t="s">
        <v>13436</v>
      </c>
      <c r="D9136" t="s">
        <v>38698</v>
      </c>
      <c r="E9136" t="s">
        <v>38699</v>
      </c>
      <c r="G9136" t="s">
        <v>38700</v>
      </c>
      <c r="L9136" t="s">
        <v>84</v>
      </c>
      <c r="M9136" t="s">
        <v>85</v>
      </c>
      <c r="R9136" t="s">
        <v>38701</v>
      </c>
      <c r="W9136" t="s">
        <v>38699</v>
      </c>
      <c r="X9136" t="s">
        <v>329</v>
      </c>
      <c r="Y9136" t="s">
        <v>97</v>
      </c>
      <c r="Z9136" t="s">
        <v>77</v>
      </c>
      <c r="AA9136" t="str">
        <f>"10029-6504"</f>
        <v>10029-6504</v>
      </c>
      <c r="AB9136" t="s">
        <v>78</v>
      </c>
      <c r="AC9136" t="s">
        <v>79</v>
      </c>
      <c r="AD9136" t="s">
        <v>75</v>
      </c>
      <c r="AE9136" t="s">
        <v>80</v>
      </c>
      <c r="AG9136" t="s">
        <v>81</v>
      </c>
    </row>
    <row r="9137" spans="1:33" x14ac:dyDescent="0.25">
      <c r="A9137" t="str">
        <f>"1326461377"</f>
        <v>1326461377</v>
      </c>
      <c r="C9137" t="s">
        <v>13436</v>
      </c>
      <c r="G9137" t="s">
        <v>38702</v>
      </c>
      <c r="K9137" t="s">
        <v>99</v>
      </c>
      <c r="L9137" t="s">
        <v>102</v>
      </c>
      <c r="M9137" t="s">
        <v>75</v>
      </c>
      <c r="R9137" t="s">
        <v>38703</v>
      </c>
      <c r="S9137" t="s">
        <v>38704</v>
      </c>
      <c r="T9137" t="s">
        <v>4474</v>
      </c>
      <c r="U9137" t="s">
        <v>673</v>
      </c>
      <c r="V9137" t="str">
        <f>"402022150"</f>
        <v>402022150</v>
      </c>
      <c r="AC9137" t="s">
        <v>79</v>
      </c>
      <c r="AD9137" t="s">
        <v>75</v>
      </c>
      <c r="AE9137" t="s">
        <v>103</v>
      </c>
      <c r="AG9137" t="s">
        <v>81</v>
      </c>
    </row>
    <row r="9138" spans="1:33" x14ac:dyDescent="0.25">
      <c r="A9138" t="str">
        <f>"1326465451"</f>
        <v>1326465451</v>
      </c>
      <c r="C9138" t="s">
        <v>13436</v>
      </c>
      <c r="K9138" t="s">
        <v>99</v>
      </c>
      <c r="L9138" t="s">
        <v>102</v>
      </c>
      <c r="M9138" t="s">
        <v>75</v>
      </c>
      <c r="R9138" t="s">
        <v>38705</v>
      </c>
      <c r="S9138" t="s">
        <v>3553</v>
      </c>
      <c r="T9138" t="s">
        <v>97</v>
      </c>
      <c r="U9138" t="s">
        <v>77</v>
      </c>
      <c r="V9138" t="str">
        <f>"100033851"</f>
        <v>100033851</v>
      </c>
      <c r="AC9138" t="s">
        <v>79</v>
      </c>
      <c r="AD9138" t="s">
        <v>75</v>
      </c>
      <c r="AE9138" t="s">
        <v>103</v>
      </c>
      <c r="AG9138" t="s">
        <v>81</v>
      </c>
    </row>
    <row r="9139" spans="1:33" x14ac:dyDescent="0.25">
      <c r="A9139" t="str">
        <f>"1326466087"</f>
        <v>1326466087</v>
      </c>
      <c r="C9139" t="s">
        <v>13436</v>
      </c>
      <c r="K9139" t="s">
        <v>99</v>
      </c>
      <c r="L9139" t="s">
        <v>102</v>
      </c>
      <c r="M9139" t="s">
        <v>75</v>
      </c>
      <c r="R9139" t="s">
        <v>38706</v>
      </c>
      <c r="S9139" t="s">
        <v>38707</v>
      </c>
      <c r="T9139" t="s">
        <v>11614</v>
      </c>
      <c r="U9139" t="s">
        <v>11615</v>
      </c>
      <c r="V9139" t="str">
        <f>"200103491"</f>
        <v>200103491</v>
      </c>
      <c r="AC9139" t="s">
        <v>79</v>
      </c>
      <c r="AD9139" t="s">
        <v>75</v>
      </c>
      <c r="AE9139" t="s">
        <v>103</v>
      </c>
      <c r="AG9139" t="s">
        <v>81</v>
      </c>
    </row>
    <row r="9140" spans="1:33" x14ac:dyDescent="0.25">
      <c r="A9140" t="str">
        <f>"1225244650"</f>
        <v>1225244650</v>
      </c>
      <c r="B9140" t="str">
        <f>"03742638"</f>
        <v>03742638</v>
      </c>
      <c r="C9140" t="s">
        <v>13436</v>
      </c>
      <c r="D9140" t="s">
        <v>38708</v>
      </c>
      <c r="E9140" t="s">
        <v>38709</v>
      </c>
      <c r="G9140" t="s">
        <v>38710</v>
      </c>
      <c r="L9140" t="s">
        <v>102</v>
      </c>
      <c r="M9140" t="s">
        <v>75</v>
      </c>
      <c r="R9140" t="s">
        <v>38711</v>
      </c>
      <c r="W9140" t="s">
        <v>38712</v>
      </c>
      <c r="X9140" t="s">
        <v>329</v>
      </c>
      <c r="Y9140" t="s">
        <v>97</v>
      </c>
      <c r="Z9140" t="s">
        <v>77</v>
      </c>
      <c r="AA9140" t="str">
        <f>"10029-6504"</f>
        <v>10029-6504</v>
      </c>
      <c r="AB9140" t="s">
        <v>78</v>
      </c>
      <c r="AC9140" t="s">
        <v>79</v>
      </c>
      <c r="AD9140" t="s">
        <v>75</v>
      </c>
      <c r="AE9140" t="s">
        <v>80</v>
      </c>
      <c r="AG9140" t="s">
        <v>81</v>
      </c>
    </row>
    <row r="9141" spans="1:33" x14ac:dyDescent="0.25">
      <c r="A9141" t="str">
        <f>"1225260045"</f>
        <v>1225260045</v>
      </c>
      <c r="B9141" t="str">
        <f>"03751728"</f>
        <v>03751728</v>
      </c>
      <c r="C9141" t="s">
        <v>13436</v>
      </c>
      <c r="D9141" t="s">
        <v>38713</v>
      </c>
      <c r="E9141" t="s">
        <v>38714</v>
      </c>
      <c r="G9141" t="s">
        <v>38715</v>
      </c>
      <c r="L9141" t="s">
        <v>102</v>
      </c>
      <c r="M9141" t="s">
        <v>75</v>
      </c>
      <c r="R9141" t="s">
        <v>38716</v>
      </c>
      <c r="W9141" t="s">
        <v>38714</v>
      </c>
      <c r="X9141" t="s">
        <v>38717</v>
      </c>
      <c r="Y9141" t="s">
        <v>97</v>
      </c>
      <c r="Z9141" t="s">
        <v>77</v>
      </c>
      <c r="AA9141" t="str">
        <f>"10029-6504"</f>
        <v>10029-6504</v>
      </c>
      <c r="AB9141" t="s">
        <v>78</v>
      </c>
      <c r="AC9141" t="s">
        <v>79</v>
      </c>
      <c r="AD9141" t="s">
        <v>75</v>
      </c>
      <c r="AE9141" t="s">
        <v>80</v>
      </c>
      <c r="AG9141" t="s">
        <v>81</v>
      </c>
    </row>
    <row r="9142" spans="1:33" x14ac:dyDescent="0.25">
      <c r="A9142" t="str">
        <f>"1225266695"</f>
        <v>1225266695</v>
      </c>
      <c r="B9142" t="str">
        <f>"03973342"</f>
        <v>03973342</v>
      </c>
      <c r="C9142" t="s">
        <v>13436</v>
      </c>
      <c r="D9142" t="s">
        <v>4168</v>
      </c>
      <c r="E9142" t="s">
        <v>4169</v>
      </c>
      <c r="L9142" t="s">
        <v>105</v>
      </c>
      <c r="M9142" t="s">
        <v>75</v>
      </c>
      <c r="R9142" t="s">
        <v>4170</v>
      </c>
      <c r="W9142" t="s">
        <v>4169</v>
      </c>
      <c r="X9142" t="s">
        <v>1076</v>
      </c>
      <c r="Y9142" t="s">
        <v>97</v>
      </c>
      <c r="Z9142" t="s">
        <v>77</v>
      </c>
      <c r="AA9142" t="str">
        <f>"10025-1737"</f>
        <v>10025-1737</v>
      </c>
      <c r="AB9142" t="s">
        <v>78</v>
      </c>
      <c r="AC9142" t="s">
        <v>79</v>
      </c>
      <c r="AD9142" t="s">
        <v>75</v>
      </c>
      <c r="AE9142" t="s">
        <v>80</v>
      </c>
      <c r="AG9142" t="s">
        <v>81</v>
      </c>
    </row>
    <row r="9143" spans="1:33" x14ac:dyDescent="0.25">
      <c r="A9143" t="str">
        <f>"1225268246"</f>
        <v>1225268246</v>
      </c>
      <c r="B9143" t="str">
        <f>"01157386"</f>
        <v>01157386</v>
      </c>
      <c r="C9143" t="s">
        <v>13436</v>
      </c>
      <c r="D9143" t="s">
        <v>38718</v>
      </c>
      <c r="E9143" t="s">
        <v>38719</v>
      </c>
      <c r="G9143" t="s">
        <v>38720</v>
      </c>
      <c r="L9143" t="s">
        <v>102</v>
      </c>
      <c r="M9143" t="s">
        <v>75</v>
      </c>
      <c r="R9143" t="s">
        <v>38721</v>
      </c>
      <c r="W9143" t="s">
        <v>38719</v>
      </c>
      <c r="X9143" t="s">
        <v>5864</v>
      </c>
      <c r="Y9143" t="s">
        <v>97</v>
      </c>
      <c r="Z9143" t="s">
        <v>77</v>
      </c>
      <c r="AA9143" t="str">
        <f>"10029-5208"</f>
        <v>10029-5208</v>
      </c>
      <c r="AB9143" t="s">
        <v>78</v>
      </c>
      <c r="AC9143" t="s">
        <v>79</v>
      </c>
      <c r="AD9143" t="s">
        <v>75</v>
      </c>
      <c r="AE9143" t="s">
        <v>80</v>
      </c>
      <c r="AG9143" t="s">
        <v>81</v>
      </c>
    </row>
    <row r="9144" spans="1:33" x14ac:dyDescent="0.25">
      <c r="A9144" t="str">
        <f>"1225270986"</f>
        <v>1225270986</v>
      </c>
      <c r="B9144" t="str">
        <f>"03562645"</f>
        <v>03562645</v>
      </c>
      <c r="C9144" t="s">
        <v>13436</v>
      </c>
      <c r="D9144" t="s">
        <v>38722</v>
      </c>
      <c r="E9144" t="s">
        <v>38723</v>
      </c>
      <c r="G9144" t="s">
        <v>38724</v>
      </c>
      <c r="L9144" t="s">
        <v>74</v>
      </c>
      <c r="M9144" t="s">
        <v>85</v>
      </c>
      <c r="R9144" t="s">
        <v>38725</v>
      </c>
      <c r="W9144" t="s">
        <v>38723</v>
      </c>
      <c r="X9144" t="s">
        <v>329</v>
      </c>
      <c r="Y9144" t="s">
        <v>97</v>
      </c>
      <c r="Z9144" t="s">
        <v>77</v>
      </c>
      <c r="AA9144" t="str">
        <f>"10029-6500"</f>
        <v>10029-6500</v>
      </c>
      <c r="AB9144" t="s">
        <v>78</v>
      </c>
      <c r="AC9144" t="s">
        <v>79</v>
      </c>
      <c r="AD9144" t="s">
        <v>75</v>
      </c>
      <c r="AE9144" t="s">
        <v>80</v>
      </c>
      <c r="AG9144" t="s">
        <v>81</v>
      </c>
    </row>
    <row r="9145" spans="1:33" x14ac:dyDescent="0.25">
      <c r="A9145" t="str">
        <f>"1225271190"</f>
        <v>1225271190</v>
      </c>
      <c r="B9145" t="str">
        <f>"03117806"</f>
        <v>03117806</v>
      </c>
      <c r="C9145" t="s">
        <v>13436</v>
      </c>
      <c r="D9145" t="s">
        <v>38726</v>
      </c>
      <c r="E9145" t="s">
        <v>38727</v>
      </c>
      <c r="G9145" t="s">
        <v>38728</v>
      </c>
      <c r="L9145" t="s">
        <v>74</v>
      </c>
      <c r="M9145" t="s">
        <v>75</v>
      </c>
      <c r="R9145" t="s">
        <v>38727</v>
      </c>
      <c r="W9145" t="s">
        <v>38727</v>
      </c>
      <c r="X9145" t="s">
        <v>11156</v>
      </c>
      <c r="Y9145" t="s">
        <v>97</v>
      </c>
      <c r="Z9145" t="s">
        <v>77</v>
      </c>
      <c r="AA9145" t="str">
        <f>"10029-6504"</f>
        <v>10029-6504</v>
      </c>
      <c r="AB9145" t="s">
        <v>78</v>
      </c>
      <c r="AC9145" t="s">
        <v>79</v>
      </c>
      <c r="AD9145" t="s">
        <v>75</v>
      </c>
      <c r="AE9145" t="s">
        <v>80</v>
      </c>
      <c r="AG9145" t="s">
        <v>81</v>
      </c>
    </row>
    <row r="9146" spans="1:33" x14ac:dyDescent="0.25">
      <c r="A9146" t="str">
        <f>"1225288830"</f>
        <v>1225288830</v>
      </c>
      <c r="B9146" t="str">
        <f>"03712365"</f>
        <v>03712365</v>
      </c>
      <c r="C9146" t="s">
        <v>13436</v>
      </c>
      <c r="D9146" t="s">
        <v>38729</v>
      </c>
      <c r="E9146" t="s">
        <v>38730</v>
      </c>
      <c r="L9146" t="s">
        <v>74</v>
      </c>
      <c r="M9146" t="s">
        <v>75</v>
      </c>
      <c r="R9146" t="s">
        <v>38731</v>
      </c>
      <c r="W9146" t="s">
        <v>38730</v>
      </c>
      <c r="X9146" t="s">
        <v>272</v>
      </c>
      <c r="Y9146" t="s">
        <v>97</v>
      </c>
      <c r="Z9146" t="s">
        <v>77</v>
      </c>
      <c r="AA9146" t="str">
        <f>"10029-6501"</f>
        <v>10029-6501</v>
      </c>
      <c r="AB9146" t="s">
        <v>78</v>
      </c>
      <c r="AC9146" t="s">
        <v>79</v>
      </c>
      <c r="AD9146" t="s">
        <v>75</v>
      </c>
      <c r="AE9146" t="s">
        <v>80</v>
      </c>
      <c r="AG9146" t="s">
        <v>81</v>
      </c>
    </row>
    <row r="9147" spans="1:33" x14ac:dyDescent="0.25">
      <c r="A9147" t="str">
        <f>"1225291511"</f>
        <v>1225291511</v>
      </c>
      <c r="B9147" t="str">
        <f>"03204322"</f>
        <v>03204322</v>
      </c>
      <c r="C9147" t="s">
        <v>13436</v>
      </c>
      <c r="D9147" t="s">
        <v>38732</v>
      </c>
      <c r="E9147" t="s">
        <v>38733</v>
      </c>
      <c r="G9147" t="s">
        <v>38734</v>
      </c>
      <c r="L9147" t="s">
        <v>83</v>
      </c>
      <c r="M9147" t="s">
        <v>85</v>
      </c>
      <c r="R9147" t="s">
        <v>38735</v>
      </c>
      <c r="W9147" t="s">
        <v>38733</v>
      </c>
      <c r="X9147" t="s">
        <v>11436</v>
      </c>
      <c r="Y9147" t="s">
        <v>97</v>
      </c>
      <c r="Z9147" t="s">
        <v>77</v>
      </c>
      <c r="AA9147" t="str">
        <f>"10029-6203"</f>
        <v>10029-6203</v>
      </c>
      <c r="AB9147" t="s">
        <v>78</v>
      </c>
      <c r="AC9147" t="s">
        <v>79</v>
      </c>
      <c r="AD9147" t="s">
        <v>75</v>
      </c>
      <c r="AE9147" t="s">
        <v>80</v>
      </c>
      <c r="AG9147" t="s">
        <v>81</v>
      </c>
    </row>
    <row r="9148" spans="1:33" x14ac:dyDescent="0.25">
      <c r="A9148" t="str">
        <f>"1518224476"</f>
        <v>1518224476</v>
      </c>
      <c r="C9148" t="s">
        <v>13436</v>
      </c>
      <c r="K9148" t="s">
        <v>99</v>
      </c>
      <c r="L9148" t="s">
        <v>102</v>
      </c>
      <c r="M9148" t="s">
        <v>75</v>
      </c>
      <c r="R9148" t="s">
        <v>38736</v>
      </c>
      <c r="S9148" t="s">
        <v>191</v>
      </c>
      <c r="T9148" t="s">
        <v>97</v>
      </c>
      <c r="U9148" t="s">
        <v>77</v>
      </c>
      <c r="V9148" t="str">
        <f>"100191147"</f>
        <v>100191147</v>
      </c>
      <c r="AC9148" t="s">
        <v>79</v>
      </c>
      <c r="AD9148" t="s">
        <v>75</v>
      </c>
      <c r="AE9148" t="s">
        <v>103</v>
      </c>
      <c r="AG9148" t="s">
        <v>81</v>
      </c>
    </row>
    <row r="9149" spans="1:33" x14ac:dyDescent="0.25">
      <c r="A9149" t="str">
        <f>"1518233600"</f>
        <v>1518233600</v>
      </c>
      <c r="C9149" t="s">
        <v>13436</v>
      </c>
      <c r="K9149" t="s">
        <v>99</v>
      </c>
      <c r="L9149" t="s">
        <v>102</v>
      </c>
      <c r="M9149" t="s">
        <v>75</v>
      </c>
      <c r="R9149" t="s">
        <v>38737</v>
      </c>
      <c r="S9149" t="s">
        <v>38738</v>
      </c>
      <c r="T9149" t="s">
        <v>38739</v>
      </c>
      <c r="U9149" t="s">
        <v>156</v>
      </c>
      <c r="V9149" t="str">
        <f>"070134047"</f>
        <v>070134047</v>
      </c>
      <c r="AC9149" t="s">
        <v>79</v>
      </c>
      <c r="AD9149" t="s">
        <v>75</v>
      </c>
      <c r="AE9149" t="s">
        <v>103</v>
      </c>
      <c r="AG9149" t="s">
        <v>81</v>
      </c>
    </row>
    <row r="9150" spans="1:33" x14ac:dyDescent="0.25">
      <c r="A9150" t="str">
        <f>"1518258714"</f>
        <v>1518258714</v>
      </c>
      <c r="C9150" t="s">
        <v>13436</v>
      </c>
      <c r="K9150" t="s">
        <v>99</v>
      </c>
      <c r="L9150" t="s">
        <v>102</v>
      </c>
      <c r="M9150" t="s">
        <v>75</v>
      </c>
      <c r="R9150" t="s">
        <v>38740</v>
      </c>
      <c r="S9150" t="s">
        <v>38741</v>
      </c>
      <c r="T9150" t="s">
        <v>97</v>
      </c>
      <c r="U9150" t="s">
        <v>77</v>
      </c>
      <c r="V9150" t="str">
        <f>"100033314"</f>
        <v>100033314</v>
      </c>
      <c r="AC9150" t="s">
        <v>79</v>
      </c>
      <c r="AD9150" t="s">
        <v>75</v>
      </c>
      <c r="AE9150" t="s">
        <v>103</v>
      </c>
      <c r="AG9150" t="s">
        <v>81</v>
      </c>
    </row>
    <row r="9151" spans="1:33" x14ac:dyDescent="0.25">
      <c r="A9151" t="str">
        <f>"1518260702"</f>
        <v>1518260702</v>
      </c>
      <c r="C9151" t="s">
        <v>13436</v>
      </c>
      <c r="K9151" t="s">
        <v>99</v>
      </c>
      <c r="L9151" t="s">
        <v>102</v>
      </c>
      <c r="M9151" t="s">
        <v>75</v>
      </c>
      <c r="R9151" t="s">
        <v>38742</v>
      </c>
      <c r="S9151" t="s">
        <v>38743</v>
      </c>
      <c r="T9151" t="s">
        <v>213</v>
      </c>
      <c r="U9151" t="s">
        <v>77</v>
      </c>
      <c r="V9151" t="str">
        <f>"117586231"</f>
        <v>117586231</v>
      </c>
      <c r="AC9151" t="s">
        <v>79</v>
      </c>
      <c r="AD9151" t="s">
        <v>75</v>
      </c>
      <c r="AE9151" t="s">
        <v>103</v>
      </c>
      <c r="AG9151" t="s">
        <v>81</v>
      </c>
    </row>
    <row r="9152" spans="1:33" x14ac:dyDescent="0.25">
      <c r="A9152" t="str">
        <f>"1598761660"</f>
        <v>1598761660</v>
      </c>
      <c r="B9152" t="str">
        <f>"01971017"</f>
        <v>01971017</v>
      </c>
      <c r="C9152" t="s">
        <v>13436</v>
      </c>
      <c r="D9152" t="s">
        <v>38744</v>
      </c>
      <c r="E9152" t="s">
        <v>38745</v>
      </c>
      <c r="G9152" t="s">
        <v>38746</v>
      </c>
      <c r="L9152" t="s">
        <v>74</v>
      </c>
      <c r="M9152" t="s">
        <v>85</v>
      </c>
      <c r="R9152" t="s">
        <v>38747</v>
      </c>
      <c r="W9152" t="s">
        <v>38745</v>
      </c>
      <c r="X9152" t="s">
        <v>27352</v>
      </c>
      <c r="Y9152" t="s">
        <v>160</v>
      </c>
      <c r="Z9152" t="s">
        <v>77</v>
      </c>
      <c r="AA9152" t="str">
        <f>"11030-3008"</f>
        <v>11030-3008</v>
      </c>
      <c r="AB9152" t="s">
        <v>78</v>
      </c>
      <c r="AC9152" t="s">
        <v>79</v>
      </c>
      <c r="AD9152" t="s">
        <v>75</v>
      </c>
      <c r="AE9152" t="s">
        <v>80</v>
      </c>
      <c r="AG9152" t="s">
        <v>81</v>
      </c>
    </row>
    <row r="9153" spans="1:33" x14ac:dyDescent="0.25">
      <c r="A9153" t="str">
        <f>"1831426709"</f>
        <v>1831426709</v>
      </c>
      <c r="B9153" t="str">
        <f>"03343271"</f>
        <v>03343271</v>
      </c>
      <c r="C9153" t="s">
        <v>13436</v>
      </c>
      <c r="D9153" t="s">
        <v>38748</v>
      </c>
      <c r="E9153" t="s">
        <v>38749</v>
      </c>
      <c r="G9153" t="s">
        <v>38750</v>
      </c>
      <c r="L9153" t="s">
        <v>74</v>
      </c>
      <c r="M9153" t="s">
        <v>75</v>
      </c>
      <c r="R9153" t="s">
        <v>38749</v>
      </c>
      <c r="W9153" t="s">
        <v>38749</v>
      </c>
      <c r="X9153" t="s">
        <v>38751</v>
      </c>
      <c r="Y9153" t="s">
        <v>87</v>
      </c>
      <c r="Z9153" t="s">
        <v>77</v>
      </c>
      <c r="AA9153" t="str">
        <f>"11234-5512"</f>
        <v>11234-5512</v>
      </c>
      <c r="AB9153" t="s">
        <v>78</v>
      </c>
      <c r="AC9153" t="s">
        <v>79</v>
      </c>
      <c r="AD9153" t="s">
        <v>75</v>
      </c>
      <c r="AE9153" t="s">
        <v>80</v>
      </c>
      <c r="AG9153" t="s">
        <v>81</v>
      </c>
    </row>
    <row r="9154" spans="1:33" x14ac:dyDescent="0.25">
      <c r="A9154" t="str">
        <f>"1740215409"</f>
        <v>1740215409</v>
      </c>
      <c r="B9154" t="str">
        <f>"02091216"</f>
        <v>02091216</v>
      </c>
      <c r="C9154" t="s">
        <v>13436</v>
      </c>
      <c r="D9154" t="s">
        <v>38752</v>
      </c>
      <c r="E9154" t="s">
        <v>38753</v>
      </c>
      <c r="L9154" t="s">
        <v>84</v>
      </c>
      <c r="M9154" t="s">
        <v>85</v>
      </c>
      <c r="R9154" t="s">
        <v>38754</v>
      </c>
      <c r="W9154" t="s">
        <v>38753</v>
      </c>
      <c r="X9154" t="s">
        <v>11176</v>
      </c>
      <c r="Y9154" t="s">
        <v>97</v>
      </c>
      <c r="Z9154" t="s">
        <v>77</v>
      </c>
      <c r="AA9154" t="str">
        <f>"10029-6542"</f>
        <v>10029-6542</v>
      </c>
      <c r="AB9154" t="s">
        <v>78</v>
      </c>
      <c r="AC9154" t="s">
        <v>79</v>
      </c>
      <c r="AD9154" t="s">
        <v>75</v>
      </c>
      <c r="AE9154" t="s">
        <v>80</v>
      </c>
      <c r="AG9154" t="s">
        <v>81</v>
      </c>
    </row>
    <row r="9155" spans="1:33" x14ac:dyDescent="0.25">
      <c r="A9155" t="str">
        <f>"1689075509"</f>
        <v>1689075509</v>
      </c>
      <c r="B9155" t="str">
        <f>"04140323"</f>
        <v>04140323</v>
      </c>
      <c r="C9155" t="s">
        <v>13436</v>
      </c>
      <c r="D9155" t="s">
        <v>38755</v>
      </c>
      <c r="E9155" t="s">
        <v>38756</v>
      </c>
      <c r="G9155" t="s">
        <v>38757</v>
      </c>
      <c r="L9155" t="s">
        <v>74</v>
      </c>
      <c r="M9155" t="s">
        <v>75</v>
      </c>
      <c r="R9155" t="s">
        <v>38758</v>
      </c>
      <c r="W9155" t="s">
        <v>38756</v>
      </c>
      <c r="X9155" t="s">
        <v>995</v>
      </c>
      <c r="Y9155" t="s">
        <v>97</v>
      </c>
      <c r="Z9155" t="s">
        <v>77</v>
      </c>
      <c r="AA9155" t="str">
        <f>"10013-4554"</f>
        <v>10013-4554</v>
      </c>
      <c r="AB9155" t="s">
        <v>78</v>
      </c>
      <c r="AC9155" t="s">
        <v>79</v>
      </c>
      <c r="AD9155" t="s">
        <v>75</v>
      </c>
      <c r="AE9155" t="s">
        <v>80</v>
      </c>
      <c r="AG9155" t="s">
        <v>81</v>
      </c>
    </row>
    <row r="9156" spans="1:33" x14ac:dyDescent="0.25">
      <c r="A9156" t="str">
        <f>"1831347913"</f>
        <v>1831347913</v>
      </c>
      <c r="C9156" t="s">
        <v>13436</v>
      </c>
      <c r="G9156" t="s">
        <v>38759</v>
      </c>
      <c r="K9156" t="s">
        <v>99</v>
      </c>
      <c r="L9156" t="s">
        <v>102</v>
      </c>
      <c r="M9156" t="s">
        <v>75</v>
      </c>
      <c r="R9156" t="s">
        <v>38760</v>
      </c>
      <c r="S9156" t="s">
        <v>33706</v>
      </c>
      <c r="T9156" t="s">
        <v>97</v>
      </c>
      <c r="U9156" t="s">
        <v>77</v>
      </c>
      <c r="V9156" t="str">
        <f>"101283107"</f>
        <v>101283107</v>
      </c>
      <c r="AC9156" t="s">
        <v>79</v>
      </c>
      <c r="AD9156" t="s">
        <v>75</v>
      </c>
      <c r="AE9156" t="s">
        <v>103</v>
      </c>
      <c r="AG9156" t="s">
        <v>81</v>
      </c>
    </row>
    <row r="9157" spans="1:33" x14ac:dyDescent="0.25">
      <c r="A9157" t="str">
        <f>"1447492400"</f>
        <v>1447492400</v>
      </c>
      <c r="B9157" t="str">
        <f>"03795131"</f>
        <v>03795131</v>
      </c>
      <c r="C9157" t="s">
        <v>13436</v>
      </c>
      <c r="D9157" t="s">
        <v>38761</v>
      </c>
      <c r="E9157" t="s">
        <v>38762</v>
      </c>
      <c r="G9157" t="s">
        <v>38763</v>
      </c>
      <c r="L9157" t="s">
        <v>83</v>
      </c>
      <c r="M9157" t="s">
        <v>75</v>
      </c>
      <c r="R9157" t="s">
        <v>38764</v>
      </c>
      <c r="W9157" t="s">
        <v>38762</v>
      </c>
      <c r="X9157" t="s">
        <v>4766</v>
      </c>
      <c r="Y9157" t="s">
        <v>97</v>
      </c>
      <c r="Z9157" t="s">
        <v>77</v>
      </c>
      <c r="AA9157" t="str">
        <f>"10021-4823"</f>
        <v>10021-4823</v>
      </c>
      <c r="AB9157" t="s">
        <v>78</v>
      </c>
      <c r="AC9157" t="s">
        <v>79</v>
      </c>
      <c r="AD9157" t="s">
        <v>75</v>
      </c>
      <c r="AE9157" t="s">
        <v>80</v>
      </c>
      <c r="AG9157" t="s">
        <v>81</v>
      </c>
    </row>
    <row r="9158" spans="1:33" x14ac:dyDescent="0.25">
      <c r="A9158" t="str">
        <f>"1649563180"</f>
        <v>1649563180</v>
      </c>
      <c r="B9158" t="str">
        <f>"04250946"</f>
        <v>04250946</v>
      </c>
      <c r="C9158" t="s">
        <v>13436</v>
      </c>
      <c r="D9158" t="s">
        <v>38765</v>
      </c>
      <c r="E9158" t="s">
        <v>38766</v>
      </c>
      <c r="G9158" t="s">
        <v>38767</v>
      </c>
      <c r="L9158" t="s">
        <v>74</v>
      </c>
      <c r="M9158" t="s">
        <v>75</v>
      </c>
      <c r="R9158" t="s">
        <v>38768</v>
      </c>
      <c r="W9158" t="s">
        <v>38766</v>
      </c>
      <c r="X9158" t="s">
        <v>2587</v>
      </c>
      <c r="Y9158" t="s">
        <v>97</v>
      </c>
      <c r="Z9158" t="s">
        <v>77</v>
      </c>
      <c r="AA9158" t="str">
        <f>"10003-3314"</f>
        <v>10003-3314</v>
      </c>
      <c r="AB9158" t="s">
        <v>78</v>
      </c>
      <c r="AC9158" t="s">
        <v>79</v>
      </c>
      <c r="AD9158" t="s">
        <v>75</v>
      </c>
      <c r="AE9158" t="s">
        <v>80</v>
      </c>
      <c r="AG9158" t="s">
        <v>81</v>
      </c>
    </row>
    <row r="9159" spans="1:33" x14ac:dyDescent="0.25">
      <c r="A9159" t="str">
        <f>"1639444078"</f>
        <v>1639444078</v>
      </c>
      <c r="C9159" t="s">
        <v>13436</v>
      </c>
      <c r="K9159" t="s">
        <v>99</v>
      </c>
      <c r="L9159" t="s">
        <v>102</v>
      </c>
      <c r="M9159" t="s">
        <v>75</v>
      </c>
      <c r="R9159" t="s">
        <v>38769</v>
      </c>
      <c r="S9159" t="s">
        <v>38770</v>
      </c>
      <c r="T9159" t="s">
        <v>161</v>
      </c>
      <c r="U9159" t="s">
        <v>77</v>
      </c>
      <c r="V9159" t="str">
        <f>"110421101"</f>
        <v>110421101</v>
      </c>
      <c r="AC9159" t="s">
        <v>79</v>
      </c>
      <c r="AD9159" t="s">
        <v>75</v>
      </c>
      <c r="AE9159" t="s">
        <v>103</v>
      </c>
      <c r="AG9159" t="s">
        <v>81</v>
      </c>
    </row>
    <row r="9160" spans="1:33" x14ac:dyDescent="0.25">
      <c r="A9160" t="str">
        <f>"1639445083"</f>
        <v>1639445083</v>
      </c>
      <c r="C9160" t="s">
        <v>13436</v>
      </c>
      <c r="K9160" t="s">
        <v>99</v>
      </c>
      <c r="L9160" t="s">
        <v>102</v>
      </c>
      <c r="M9160" t="s">
        <v>75</v>
      </c>
      <c r="R9160" t="s">
        <v>38771</v>
      </c>
      <c r="S9160" t="s">
        <v>38772</v>
      </c>
      <c r="T9160" t="s">
        <v>131</v>
      </c>
      <c r="U9160" t="s">
        <v>77</v>
      </c>
      <c r="V9160" t="str">
        <f>"104633224"</f>
        <v>104633224</v>
      </c>
      <c r="AC9160" t="s">
        <v>79</v>
      </c>
      <c r="AD9160" t="s">
        <v>75</v>
      </c>
      <c r="AE9160" t="s">
        <v>103</v>
      </c>
      <c r="AG9160" t="s">
        <v>81</v>
      </c>
    </row>
    <row r="9161" spans="1:33" x14ac:dyDescent="0.25">
      <c r="A9161" t="str">
        <f>"1639449606"</f>
        <v>1639449606</v>
      </c>
      <c r="C9161" t="s">
        <v>13436</v>
      </c>
      <c r="K9161" t="s">
        <v>99</v>
      </c>
      <c r="L9161" t="s">
        <v>102</v>
      </c>
      <c r="M9161" t="s">
        <v>75</v>
      </c>
      <c r="R9161" t="s">
        <v>38773</v>
      </c>
      <c r="S9161" t="s">
        <v>270</v>
      </c>
      <c r="T9161" t="s">
        <v>87</v>
      </c>
      <c r="U9161" t="s">
        <v>77</v>
      </c>
      <c r="V9161" t="str">
        <f>"112131122"</f>
        <v>112131122</v>
      </c>
      <c r="AC9161" t="s">
        <v>79</v>
      </c>
      <c r="AD9161" t="s">
        <v>75</v>
      </c>
      <c r="AE9161" t="s">
        <v>103</v>
      </c>
      <c r="AG9161" t="s">
        <v>81</v>
      </c>
    </row>
    <row r="9162" spans="1:33" x14ac:dyDescent="0.25">
      <c r="A9162" t="str">
        <f>"1639455512"</f>
        <v>1639455512</v>
      </c>
      <c r="B9162" t="str">
        <f>"04181233"</f>
        <v>04181233</v>
      </c>
      <c r="C9162" t="s">
        <v>13436</v>
      </c>
      <c r="D9162" t="s">
        <v>38774</v>
      </c>
      <c r="E9162" t="s">
        <v>38775</v>
      </c>
      <c r="L9162" t="s">
        <v>105</v>
      </c>
      <c r="M9162" t="s">
        <v>75</v>
      </c>
      <c r="R9162" t="s">
        <v>38775</v>
      </c>
      <c r="W9162" t="s">
        <v>38775</v>
      </c>
      <c r="X9162" t="s">
        <v>318</v>
      </c>
      <c r="Y9162" t="s">
        <v>131</v>
      </c>
      <c r="Z9162" t="s">
        <v>77</v>
      </c>
      <c r="AA9162" t="str">
        <f>"10457-7606"</f>
        <v>10457-7606</v>
      </c>
      <c r="AB9162" t="s">
        <v>78</v>
      </c>
      <c r="AC9162" t="s">
        <v>79</v>
      </c>
      <c r="AD9162" t="s">
        <v>75</v>
      </c>
      <c r="AE9162" t="s">
        <v>80</v>
      </c>
      <c r="AG9162" t="s">
        <v>81</v>
      </c>
    </row>
    <row r="9163" spans="1:33" x14ac:dyDescent="0.25">
      <c r="A9163" t="str">
        <f>"1811901747"</f>
        <v>1811901747</v>
      </c>
      <c r="C9163" t="s">
        <v>13436</v>
      </c>
      <c r="G9163" t="s">
        <v>38776</v>
      </c>
      <c r="K9163" t="s">
        <v>99</v>
      </c>
      <c r="L9163" t="s">
        <v>102</v>
      </c>
      <c r="M9163" t="s">
        <v>75</v>
      </c>
      <c r="R9163" t="s">
        <v>38777</v>
      </c>
      <c r="S9163" t="s">
        <v>38778</v>
      </c>
      <c r="T9163" t="s">
        <v>97</v>
      </c>
      <c r="U9163" t="s">
        <v>77</v>
      </c>
      <c r="V9163" t="str">
        <f>"10019"</f>
        <v>10019</v>
      </c>
      <c r="AC9163" t="s">
        <v>79</v>
      </c>
      <c r="AD9163" t="s">
        <v>75</v>
      </c>
      <c r="AE9163" t="s">
        <v>103</v>
      </c>
      <c r="AG9163" t="s">
        <v>81</v>
      </c>
    </row>
    <row r="9164" spans="1:33" x14ac:dyDescent="0.25">
      <c r="A9164" t="str">
        <f>"1811915630"</f>
        <v>1811915630</v>
      </c>
      <c r="B9164" t="str">
        <f>"02577237"</f>
        <v>02577237</v>
      </c>
      <c r="C9164" t="s">
        <v>13436</v>
      </c>
      <c r="D9164" t="s">
        <v>38779</v>
      </c>
      <c r="E9164" t="s">
        <v>38780</v>
      </c>
      <c r="L9164" t="s">
        <v>74</v>
      </c>
      <c r="M9164" t="s">
        <v>85</v>
      </c>
      <c r="R9164" t="s">
        <v>38781</v>
      </c>
      <c r="W9164" t="s">
        <v>38780</v>
      </c>
      <c r="X9164" t="s">
        <v>272</v>
      </c>
      <c r="Y9164" t="s">
        <v>97</v>
      </c>
      <c r="Z9164" t="s">
        <v>77</v>
      </c>
      <c r="AA9164" t="str">
        <f>"10029-6501"</f>
        <v>10029-6501</v>
      </c>
      <c r="AB9164" t="s">
        <v>78</v>
      </c>
      <c r="AC9164" t="s">
        <v>79</v>
      </c>
      <c r="AD9164" t="s">
        <v>75</v>
      </c>
      <c r="AE9164" t="s">
        <v>80</v>
      </c>
      <c r="AG9164" t="s">
        <v>81</v>
      </c>
    </row>
    <row r="9165" spans="1:33" x14ac:dyDescent="0.25">
      <c r="A9165" t="str">
        <f>"1811917370"</f>
        <v>1811917370</v>
      </c>
      <c r="B9165" t="str">
        <f>"02756072"</f>
        <v>02756072</v>
      </c>
      <c r="C9165" t="s">
        <v>13436</v>
      </c>
      <c r="D9165" t="s">
        <v>38782</v>
      </c>
      <c r="E9165" t="s">
        <v>38783</v>
      </c>
      <c r="G9165" t="s">
        <v>38784</v>
      </c>
      <c r="L9165" t="s">
        <v>83</v>
      </c>
      <c r="M9165" t="s">
        <v>85</v>
      </c>
      <c r="R9165" t="s">
        <v>38785</v>
      </c>
      <c r="W9165" t="s">
        <v>38783</v>
      </c>
      <c r="X9165" t="s">
        <v>138</v>
      </c>
      <c r="Y9165" t="s">
        <v>139</v>
      </c>
      <c r="Z9165" t="s">
        <v>77</v>
      </c>
      <c r="AA9165" t="str">
        <f>"11355-5045"</f>
        <v>11355-5045</v>
      </c>
      <c r="AB9165" t="s">
        <v>78</v>
      </c>
      <c r="AC9165" t="s">
        <v>79</v>
      </c>
      <c r="AD9165" t="s">
        <v>75</v>
      </c>
      <c r="AE9165" t="s">
        <v>80</v>
      </c>
      <c r="AG9165" t="s">
        <v>81</v>
      </c>
    </row>
    <row r="9166" spans="1:33" x14ac:dyDescent="0.25">
      <c r="A9166" t="str">
        <f>"1376610485"</f>
        <v>1376610485</v>
      </c>
      <c r="B9166" t="str">
        <f>"00758012"</f>
        <v>00758012</v>
      </c>
      <c r="C9166" t="s">
        <v>38554</v>
      </c>
      <c r="D9166" t="s">
        <v>38786</v>
      </c>
      <c r="E9166" t="s">
        <v>38787</v>
      </c>
      <c r="F9166">
        <v>135562186</v>
      </c>
      <c r="G9166" t="s">
        <v>38557</v>
      </c>
      <c r="H9166" t="s">
        <v>1148</v>
      </c>
      <c r="J9166" t="s">
        <v>38558</v>
      </c>
      <c r="L9166" t="s">
        <v>37</v>
      </c>
      <c r="M9166" t="s">
        <v>85</v>
      </c>
      <c r="R9166" t="s">
        <v>38559</v>
      </c>
      <c r="W9166" t="s">
        <v>38787</v>
      </c>
      <c r="X9166" t="s">
        <v>38788</v>
      </c>
      <c r="Y9166" t="s">
        <v>5760</v>
      </c>
      <c r="Z9166" t="s">
        <v>77</v>
      </c>
      <c r="AA9166" t="str">
        <f>"11937-5193"</f>
        <v>11937-5193</v>
      </c>
      <c r="AB9166" t="s">
        <v>107</v>
      </c>
      <c r="AC9166" t="s">
        <v>79</v>
      </c>
      <c r="AD9166" t="s">
        <v>75</v>
      </c>
      <c r="AE9166" t="s">
        <v>80</v>
      </c>
      <c r="AG9166" t="s">
        <v>81</v>
      </c>
    </row>
    <row r="9167" spans="1:33" x14ac:dyDescent="0.25">
      <c r="A9167" t="str">
        <f>"1790878866"</f>
        <v>1790878866</v>
      </c>
      <c r="B9167" t="str">
        <f>"03151200"</f>
        <v>03151200</v>
      </c>
      <c r="C9167" t="s">
        <v>13436</v>
      </c>
      <c r="D9167" t="s">
        <v>6173</v>
      </c>
      <c r="E9167" t="s">
        <v>6174</v>
      </c>
      <c r="G9167" t="s">
        <v>38789</v>
      </c>
      <c r="L9167" t="s">
        <v>83</v>
      </c>
      <c r="M9167" t="s">
        <v>75</v>
      </c>
      <c r="R9167" t="s">
        <v>6175</v>
      </c>
      <c r="W9167" t="s">
        <v>6174</v>
      </c>
      <c r="X9167" t="s">
        <v>1850</v>
      </c>
      <c r="Y9167" t="s">
        <v>131</v>
      </c>
      <c r="Z9167" t="s">
        <v>77</v>
      </c>
      <c r="AA9167" t="str">
        <f>"10467-2404"</f>
        <v>10467-2404</v>
      </c>
      <c r="AB9167" t="s">
        <v>78</v>
      </c>
      <c r="AC9167" t="s">
        <v>79</v>
      </c>
      <c r="AD9167" t="s">
        <v>75</v>
      </c>
      <c r="AE9167" t="s">
        <v>80</v>
      </c>
      <c r="AG9167" t="s">
        <v>81</v>
      </c>
    </row>
    <row r="9168" spans="1:33" x14ac:dyDescent="0.25">
      <c r="A9168" t="str">
        <f>"1932179355"</f>
        <v>1932179355</v>
      </c>
      <c r="B9168" t="str">
        <f>"01362023"</f>
        <v>01362023</v>
      </c>
      <c r="C9168" t="s">
        <v>13436</v>
      </c>
      <c r="D9168" t="s">
        <v>38790</v>
      </c>
      <c r="E9168" t="s">
        <v>38791</v>
      </c>
      <c r="G9168" t="s">
        <v>38792</v>
      </c>
      <c r="L9168" t="s">
        <v>74</v>
      </c>
      <c r="M9168" t="s">
        <v>75</v>
      </c>
      <c r="R9168" t="s">
        <v>38793</v>
      </c>
      <c r="W9168" t="s">
        <v>38791</v>
      </c>
      <c r="X9168" t="s">
        <v>38794</v>
      </c>
      <c r="Y9168" t="s">
        <v>97</v>
      </c>
      <c r="Z9168" t="s">
        <v>77</v>
      </c>
      <c r="AA9168" t="str">
        <f>"10029-6501"</f>
        <v>10029-6501</v>
      </c>
      <c r="AB9168" t="s">
        <v>78</v>
      </c>
      <c r="AC9168" t="s">
        <v>79</v>
      </c>
      <c r="AD9168" t="s">
        <v>75</v>
      </c>
      <c r="AE9168" t="s">
        <v>80</v>
      </c>
      <c r="AG9168" t="s">
        <v>81</v>
      </c>
    </row>
    <row r="9169" spans="1:33" x14ac:dyDescent="0.25">
      <c r="A9169" t="str">
        <f>"1396979951"</f>
        <v>1396979951</v>
      </c>
      <c r="B9169" t="str">
        <f>"03989228"</f>
        <v>03989228</v>
      </c>
      <c r="C9169" t="s">
        <v>13436</v>
      </c>
      <c r="D9169" t="s">
        <v>38795</v>
      </c>
      <c r="E9169" t="s">
        <v>38796</v>
      </c>
      <c r="G9169" t="s">
        <v>38797</v>
      </c>
      <c r="L9169" t="s">
        <v>74</v>
      </c>
      <c r="M9169" t="s">
        <v>75</v>
      </c>
      <c r="R9169" t="s">
        <v>38796</v>
      </c>
      <c r="W9169" t="s">
        <v>38796</v>
      </c>
      <c r="X9169" t="s">
        <v>14029</v>
      </c>
      <c r="Y9169" t="s">
        <v>97</v>
      </c>
      <c r="Z9169" t="s">
        <v>77</v>
      </c>
      <c r="AA9169" t="str">
        <f>"10029-6501"</f>
        <v>10029-6501</v>
      </c>
      <c r="AB9169" t="s">
        <v>78</v>
      </c>
      <c r="AC9169" t="s">
        <v>79</v>
      </c>
      <c r="AD9169" t="s">
        <v>75</v>
      </c>
      <c r="AE9169" t="s">
        <v>80</v>
      </c>
      <c r="AG9169" t="s">
        <v>81</v>
      </c>
    </row>
    <row r="9170" spans="1:33" x14ac:dyDescent="0.25">
      <c r="A9170" t="str">
        <f>"1942469895"</f>
        <v>1942469895</v>
      </c>
      <c r="B9170" t="str">
        <f>"04062617"</f>
        <v>04062617</v>
      </c>
      <c r="C9170" t="s">
        <v>13436</v>
      </c>
      <c r="D9170" t="s">
        <v>38798</v>
      </c>
      <c r="E9170" t="s">
        <v>38799</v>
      </c>
      <c r="G9170" t="s">
        <v>38800</v>
      </c>
      <c r="L9170" t="s">
        <v>83</v>
      </c>
      <c r="M9170" t="s">
        <v>75</v>
      </c>
      <c r="R9170" t="s">
        <v>38799</v>
      </c>
      <c r="W9170" t="s">
        <v>38799</v>
      </c>
      <c r="X9170" t="s">
        <v>329</v>
      </c>
      <c r="Y9170" t="s">
        <v>97</v>
      </c>
      <c r="Z9170" t="s">
        <v>77</v>
      </c>
      <c r="AA9170" t="str">
        <f>"10029-6504"</f>
        <v>10029-6504</v>
      </c>
      <c r="AB9170" t="s">
        <v>78</v>
      </c>
      <c r="AC9170" t="s">
        <v>79</v>
      </c>
      <c r="AD9170" t="s">
        <v>75</v>
      </c>
      <c r="AE9170" t="s">
        <v>80</v>
      </c>
      <c r="AG9170" t="s">
        <v>81</v>
      </c>
    </row>
    <row r="9171" spans="1:33" x14ac:dyDescent="0.25">
      <c r="A9171" t="str">
        <f>"1952528630"</f>
        <v>1952528630</v>
      </c>
      <c r="C9171" t="s">
        <v>13436</v>
      </c>
      <c r="G9171" t="s">
        <v>38801</v>
      </c>
      <c r="K9171" t="s">
        <v>99</v>
      </c>
      <c r="L9171" t="s">
        <v>102</v>
      </c>
      <c r="M9171" t="s">
        <v>75</v>
      </c>
      <c r="R9171" t="s">
        <v>38802</v>
      </c>
      <c r="S9171" t="s">
        <v>38803</v>
      </c>
      <c r="T9171" t="s">
        <v>97</v>
      </c>
      <c r="U9171" t="s">
        <v>77</v>
      </c>
      <c r="V9171" t="str">
        <f>"10029"</f>
        <v>10029</v>
      </c>
      <c r="AC9171" t="s">
        <v>79</v>
      </c>
      <c r="AD9171" t="s">
        <v>75</v>
      </c>
      <c r="AE9171" t="s">
        <v>103</v>
      </c>
      <c r="AG9171" t="s">
        <v>81</v>
      </c>
    </row>
    <row r="9172" spans="1:33" x14ac:dyDescent="0.25">
      <c r="A9172" t="str">
        <f>"1104227271"</f>
        <v>1104227271</v>
      </c>
      <c r="C9172" t="s">
        <v>13436</v>
      </c>
      <c r="G9172" t="s">
        <v>38804</v>
      </c>
      <c r="K9172" t="s">
        <v>99</v>
      </c>
      <c r="L9172" t="s">
        <v>102</v>
      </c>
      <c r="M9172" t="s">
        <v>75</v>
      </c>
      <c r="R9172" t="s">
        <v>38805</v>
      </c>
      <c r="S9172" t="s">
        <v>6041</v>
      </c>
      <c r="T9172" t="s">
        <v>97</v>
      </c>
      <c r="U9172" t="s">
        <v>77</v>
      </c>
      <c r="V9172" t="str">
        <f>"10029"</f>
        <v>10029</v>
      </c>
      <c r="AC9172" t="s">
        <v>79</v>
      </c>
      <c r="AD9172" t="s">
        <v>75</v>
      </c>
      <c r="AE9172" t="s">
        <v>103</v>
      </c>
      <c r="AG9172" t="s">
        <v>81</v>
      </c>
    </row>
    <row r="9173" spans="1:33" x14ac:dyDescent="0.25">
      <c r="A9173" t="str">
        <f>"1659532224"</f>
        <v>1659532224</v>
      </c>
      <c r="B9173" t="str">
        <f>"03393799"</f>
        <v>03393799</v>
      </c>
      <c r="C9173" t="s">
        <v>13436</v>
      </c>
      <c r="D9173" t="s">
        <v>38806</v>
      </c>
      <c r="E9173" t="s">
        <v>38807</v>
      </c>
      <c r="G9173" t="s">
        <v>38808</v>
      </c>
      <c r="L9173" t="s">
        <v>83</v>
      </c>
      <c r="M9173" t="s">
        <v>75</v>
      </c>
      <c r="R9173" t="s">
        <v>38809</v>
      </c>
      <c r="W9173" t="s">
        <v>38810</v>
      </c>
      <c r="X9173" t="s">
        <v>13562</v>
      </c>
      <c r="Y9173" t="s">
        <v>97</v>
      </c>
      <c r="Z9173" t="s">
        <v>77</v>
      </c>
      <c r="AA9173" t="str">
        <f>"10029-6508"</f>
        <v>10029-6508</v>
      </c>
      <c r="AB9173" t="s">
        <v>78</v>
      </c>
      <c r="AC9173" t="s">
        <v>79</v>
      </c>
      <c r="AD9173" t="s">
        <v>75</v>
      </c>
      <c r="AE9173" t="s">
        <v>80</v>
      </c>
      <c r="AG9173" t="s">
        <v>81</v>
      </c>
    </row>
    <row r="9174" spans="1:33" x14ac:dyDescent="0.25">
      <c r="A9174" t="str">
        <f>"1912300229"</f>
        <v>1912300229</v>
      </c>
      <c r="B9174" t="str">
        <f>"04575884"</f>
        <v>04575884</v>
      </c>
      <c r="C9174" t="s">
        <v>13436</v>
      </c>
      <c r="D9174" t="s">
        <v>38811</v>
      </c>
      <c r="E9174" t="s">
        <v>38812</v>
      </c>
      <c r="G9174" t="s">
        <v>38813</v>
      </c>
      <c r="L9174" t="s">
        <v>74</v>
      </c>
      <c r="M9174" t="s">
        <v>75</v>
      </c>
      <c r="R9174" t="s">
        <v>38814</v>
      </c>
      <c r="W9174" t="s">
        <v>38812</v>
      </c>
      <c r="AB9174" t="s">
        <v>78</v>
      </c>
      <c r="AC9174" t="s">
        <v>79</v>
      </c>
      <c r="AD9174" t="s">
        <v>75</v>
      </c>
      <c r="AE9174" t="s">
        <v>80</v>
      </c>
      <c r="AG9174" t="s">
        <v>81</v>
      </c>
    </row>
    <row r="9175" spans="1:33" x14ac:dyDescent="0.25">
      <c r="A9175" t="str">
        <f>"1043268428"</f>
        <v>1043268428</v>
      </c>
      <c r="B9175" t="str">
        <f>"02744489"</f>
        <v>02744489</v>
      </c>
      <c r="C9175" t="s">
        <v>13436</v>
      </c>
      <c r="D9175" t="s">
        <v>38815</v>
      </c>
      <c r="E9175" t="s">
        <v>38816</v>
      </c>
      <c r="G9175" t="s">
        <v>38817</v>
      </c>
      <c r="L9175" t="s">
        <v>74</v>
      </c>
      <c r="M9175" t="s">
        <v>75</v>
      </c>
      <c r="R9175" t="s">
        <v>38818</v>
      </c>
      <c r="W9175" t="s">
        <v>38816</v>
      </c>
      <c r="X9175" t="s">
        <v>17583</v>
      </c>
      <c r="Y9175" t="s">
        <v>97</v>
      </c>
      <c r="Z9175" t="s">
        <v>77</v>
      </c>
      <c r="AA9175" t="str">
        <f>"10029-6501"</f>
        <v>10029-6501</v>
      </c>
      <c r="AB9175" t="s">
        <v>78</v>
      </c>
      <c r="AC9175" t="s">
        <v>79</v>
      </c>
      <c r="AD9175" t="s">
        <v>75</v>
      </c>
      <c r="AE9175" t="s">
        <v>80</v>
      </c>
      <c r="AG9175" t="s">
        <v>81</v>
      </c>
    </row>
    <row r="9176" spans="1:33" x14ac:dyDescent="0.25">
      <c r="A9176" t="str">
        <f>"1700020096"</f>
        <v>1700020096</v>
      </c>
      <c r="C9176" t="s">
        <v>13436</v>
      </c>
      <c r="K9176" t="s">
        <v>99</v>
      </c>
      <c r="L9176" t="s">
        <v>102</v>
      </c>
      <c r="M9176" t="s">
        <v>75</v>
      </c>
      <c r="R9176" t="s">
        <v>38819</v>
      </c>
      <c r="S9176" t="s">
        <v>38820</v>
      </c>
      <c r="T9176" t="s">
        <v>1783</v>
      </c>
      <c r="U9176" t="s">
        <v>1784</v>
      </c>
      <c r="V9176" t="str">
        <f>"191075127"</f>
        <v>191075127</v>
      </c>
      <c r="AC9176" t="s">
        <v>79</v>
      </c>
      <c r="AD9176" t="s">
        <v>75</v>
      </c>
      <c r="AE9176" t="s">
        <v>103</v>
      </c>
      <c r="AG9176" t="s">
        <v>81</v>
      </c>
    </row>
    <row r="9177" spans="1:33" x14ac:dyDescent="0.25">
      <c r="A9177" t="str">
        <f>"1700024197"</f>
        <v>1700024197</v>
      </c>
      <c r="B9177" t="str">
        <f>"03750218"</f>
        <v>03750218</v>
      </c>
      <c r="C9177" t="s">
        <v>13436</v>
      </c>
      <c r="D9177" t="s">
        <v>38821</v>
      </c>
      <c r="E9177" t="s">
        <v>38822</v>
      </c>
      <c r="G9177" t="s">
        <v>38823</v>
      </c>
      <c r="L9177" t="s">
        <v>102</v>
      </c>
      <c r="M9177" t="s">
        <v>75</v>
      </c>
      <c r="R9177" t="s">
        <v>38824</v>
      </c>
      <c r="W9177" t="s">
        <v>38822</v>
      </c>
      <c r="X9177" t="s">
        <v>329</v>
      </c>
      <c r="Y9177" t="s">
        <v>97</v>
      </c>
      <c r="Z9177" t="s">
        <v>77</v>
      </c>
      <c r="AA9177" t="str">
        <f>"10029-6504"</f>
        <v>10029-6504</v>
      </c>
      <c r="AB9177" t="s">
        <v>78</v>
      </c>
      <c r="AC9177" t="s">
        <v>79</v>
      </c>
      <c r="AD9177" t="s">
        <v>75</v>
      </c>
      <c r="AE9177" t="s">
        <v>80</v>
      </c>
      <c r="AG9177" t="s">
        <v>81</v>
      </c>
    </row>
    <row r="9178" spans="1:33" x14ac:dyDescent="0.25">
      <c r="A9178" t="str">
        <f>"1700040607"</f>
        <v>1700040607</v>
      </c>
      <c r="B9178" t="str">
        <f>"03566745"</f>
        <v>03566745</v>
      </c>
      <c r="C9178" t="s">
        <v>13436</v>
      </c>
      <c r="D9178" t="s">
        <v>38825</v>
      </c>
      <c r="E9178" t="s">
        <v>38826</v>
      </c>
      <c r="G9178" t="s">
        <v>38827</v>
      </c>
      <c r="L9178" t="s">
        <v>102</v>
      </c>
      <c r="M9178" t="s">
        <v>75</v>
      </c>
      <c r="R9178" t="s">
        <v>38828</v>
      </c>
      <c r="W9178" t="s">
        <v>38826</v>
      </c>
      <c r="X9178" t="s">
        <v>1076</v>
      </c>
      <c r="Y9178" t="s">
        <v>97</v>
      </c>
      <c r="Z9178" t="s">
        <v>77</v>
      </c>
      <c r="AA9178" t="str">
        <f>"10025-1737"</f>
        <v>10025-1737</v>
      </c>
      <c r="AB9178" t="s">
        <v>125</v>
      </c>
      <c r="AC9178" t="s">
        <v>79</v>
      </c>
      <c r="AD9178" t="s">
        <v>75</v>
      </c>
      <c r="AE9178" t="s">
        <v>80</v>
      </c>
      <c r="AG9178" t="s">
        <v>81</v>
      </c>
    </row>
    <row r="9179" spans="1:33" x14ac:dyDescent="0.25">
      <c r="A9179" t="str">
        <f>"1700044682"</f>
        <v>1700044682</v>
      </c>
      <c r="B9179" t="str">
        <f>"03030811"</f>
        <v>03030811</v>
      </c>
      <c r="C9179" t="s">
        <v>13436</v>
      </c>
      <c r="D9179" t="s">
        <v>38829</v>
      </c>
      <c r="E9179" t="s">
        <v>38830</v>
      </c>
      <c r="G9179" t="s">
        <v>38831</v>
      </c>
      <c r="L9179" t="s">
        <v>84</v>
      </c>
      <c r="M9179" t="s">
        <v>85</v>
      </c>
      <c r="R9179" t="s">
        <v>38832</v>
      </c>
      <c r="W9179" t="s">
        <v>38830</v>
      </c>
      <c r="X9179" t="s">
        <v>38833</v>
      </c>
      <c r="Y9179" t="s">
        <v>97</v>
      </c>
      <c r="Z9179" t="s">
        <v>77</v>
      </c>
      <c r="AA9179" t="str">
        <f>"10029-6500"</f>
        <v>10029-6500</v>
      </c>
      <c r="AB9179" t="s">
        <v>78</v>
      </c>
      <c r="AC9179" t="s">
        <v>79</v>
      </c>
      <c r="AD9179" t="s">
        <v>75</v>
      </c>
      <c r="AE9179" t="s">
        <v>80</v>
      </c>
      <c r="AG9179" t="s">
        <v>81</v>
      </c>
    </row>
    <row r="9180" spans="1:33" x14ac:dyDescent="0.25">
      <c r="A9180" t="str">
        <f>"1700045531"</f>
        <v>1700045531</v>
      </c>
      <c r="B9180" t="str">
        <f>"03586069"</f>
        <v>03586069</v>
      </c>
      <c r="C9180" t="s">
        <v>13436</v>
      </c>
      <c r="D9180" t="s">
        <v>38834</v>
      </c>
      <c r="E9180" t="s">
        <v>38835</v>
      </c>
      <c r="G9180" t="s">
        <v>38836</v>
      </c>
      <c r="L9180" t="s">
        <v>83</v>
      </c>
      <c r="M9180" t="s">
        <v>85</v>
      </c>
      <c r="R9180" t="s">
        <v>38837</v>
      </c>
      <c r="W9180" t="s">
        <v>38835</v>
      </c>
      <c r="X9180" t="s">
        <v>2926</v>
      </c>
      <c r="Y9180" t="s">
        <v>97</v>
      </c>
      <c r="Z9180" t="s">
        <v>77</v>
      </c>
      <c r="AA9180" t="str">
        <f>"10029-6503"</f>
        <v>10029-6503</v>
      </c>
      <c r="AB9180" t="s">
        <v>78</v>
      </c>
      <c r="AC9180" t="s">
        <v>79</v>
      </c>
      <c r="AD9180" t="s">
        <v>75</v>
      </c>
      <c r="AE9180" t="s">
        <v>80</v>
      </c>
      <c r="AG9180" t="s">
        <v>81</v>
      </c>
    </row>
    <row r="9181" spans="1:33" x14ac:dyDescent="0.25">
      <c r="A9181" t="str">
        <f>"1700046133"</f>
        <v>1700046133</v>
      </c>
      <c r="B9181" t="str">
        <f>"03716492"</f>
        <v>03716492</v>
      </c>
      <c r="C9181" t="s">
        <v>13436</v>
      </c>
      <c r="D9181" t="s">
        <v>38838</v>
      </c>
      <c r="E9181" t="s">
        <v>38839</v>
      </c>
      <c r="G9181" t="s">
        <v>38840</v>
      </c>
      <c r="L9181" t="s">
        <v>74</v>
      </c>
      <c r="M9181" t="s">
        <v>85</v>
      </c>
      <c r="R9181" t="s">
        <v>38841</v>
      </c>
      <c r="W9181" t="s">
        <v>38839</v>
      </c>
      <c r="X9181" t="s">
        <v>272</v>
      </c>
      <c r="Y9181" t="s">
        <v>97</v>
      </c>
      <c r="Z9181" t="s">
        <v>77</v>
      </c>
      <c r="AA9181" t="str">
        <f>"10029-6501"</f>
        <v>10029-6501</v>
      </c>
      <c r="AB9181" t="s">
        <v>78</v>
      </c>
      <c r="AC9181" t="s">
        <v>79</v>
      </c>
      <c r="AD9181" t="s">
        <v>75</v>
      </c>
      <c r="AE9181" t="s">
        <v>80</v>
      </c>
      <c r="AG9181" t="s">
        <v>81</v>
      </c>
    </row>
    <row r="9182" spans="1:33" x14ac:dyDescent="0.25">
      <c r="A9182" t="str">
        <f>"1700047602"</f>
        <v>1700047602</v>
      </c>
      <c r="B9182" t="str">
        <f>"03785577"</f>
        <v>03785577</v>
      </c>
      <c r="C9182" t="s">
        <v>13436</v>
      </c>
      <c r="D9182" t="s">
        <v>38842</v>
      </c>
      <c r="E9182" t="s">
        <v>38843</v>
      </c>
      <c r="G9182" t="s">
        <v>38844</v>
      </c>
      <c r="L9182" t="s">
        <v>74</v>
      </c>
      <c r="M9182" t="s">
        <v>75</v>
      </c>
      <c r="R9182" t="s">
        <v>38843</v>
      </c>
      <c r="W9182" t="s">
        <v>38843</v>
      </c>
      <c r="X9182" t="s">
        <v>38845</v>
      </c>
      <c r="Y9182" t="s">
        <v>97</v>
      </c>
      <c r="Z9182" t="s">
        <v>77</v>
      </c>
      <c r="AA9182" t="str">
        <f>"10016-4309"</f>
        <v>10016-4309</v>
      </c>
      <c r="AB9182" t="s">
        <v>78</v>
      </c>
      <c r="AC9182" t="s">
        <v>79</v>
      </c>
      <c r="AD9182" t="s">
        <v>75</v>
      </c>
      <c r="AE9182" t="s">
        <v>80</v>
      </c>
      <c r="AG9182" t="s">
        <v>81</v>
      </c>
    </row>
    <row r="9183" spans="1:33" x14ac:dyDescent="0.25">
      <c r="A9183" t="str">
        <f>"1962819680"</f>
        <v>1962819680</v>
      </c>
      <c r="B9183" t="str">
        <f>"04087683"</f>
        <v>04087683</v>
      </c>
      <c r="C9183" t="s">
        <v>38846</v>
      </c>
      <c r="D9183" t="s">
        <v>38847</v>
      </c>
      <c r="E9183" t="s">
        <v>38848</v>
      </c>
      <c r="G9183" t="s">
        <v>35048</v>
      </c>
      <c r="H9183" t="s">
        <v>35049</v>
      </c>
      <c r="J9183" t="s">
        <v>35050</v>
      </c>
      <c r="L9183" t="s">
        <v>83</v>
      </c>
      <c r="M9183" t="s">
        <v>75</v>
      </c>
      <c r="R9183" t="s">
        <v>38849</v>
      </c>
      <c r="W9183" t="s">
        <v>38848</v>
      </c>
      <c r="X9183" t="s">
        <v>2582</v>
      </c>
      <c r="Y9183" t="s">
        <v>97</v>
      </c>
      <c r="Z9183" t="s">
        <v>77</v>
      </c>
      <c r="AA9183" t="str">
        <f>"10012-2413"</f>
        <v>10012-2413</v>
      </c>
      <c r="AB9183" t="s">
        <v>78</v>
      </c>
      <c r="AC9183" t="s">
        <v>79</v>
      </c>
      <c r="AD9183" t="s">
        <v>75</v>
      </c>
      <c r="AE9183" t="s">
        <v>80</v>
      </c>
      <c r="AG9183" t="s">
        <v>81</v>
      </c>
    </row>
    <row r="9184" spans="1:33" x14ac:dyDescent="0.25">
      <c r="A9184" t="str">
        <f>"1942573217"</f>
        <v>1942573217</v>
      </c>
      <c r="B9184" t="str">
        <f>"03596756"</f>
        <v>03596756</v>
      </c>
      <c r="C9184" t="s">
        <v>32778</v>
      </c>
      <c r="D9184" t="s">
        <v>32779</v>
      </c>
      <c r="E9184" t="s">
        <v>32780</v>
      </c>
      <c r="L9184" t="s">
        <v>1790</v>
      </c>
      <c r="M9184" t="s">
        <v>85</v>
      </c>
      <c r="R9184" t="s">
        <v>32782</v>
      </c>
      <c r="W9184" t="s">
        <v>32782</v>
      </c>
      <c r="X9184" t="s">
        <v>11098</v>
      </c>
      <c r="Y9184" t="s">
        <v>97</v>
      </c>
      <c r="Z9184" t="s">
        <v>77</v>
      </c>
      <c r="AA9184" t="str">
        <f>"10025-6901"</f>
        <v>10025-6901</v>
      </c>
      <c r="AB9184" t="s">
        <v>122</v>
      </c>
      <c r="AC9184" t="s">
        <v>79</v>
      </c>
      <c r="AD9184" t="s">
        <v>75</v>
      </c>
      <c r="AE9184" t="s">
        <v>80</v>
      </c>
      <c r="AG9184" t="s">
        <v>81</v>
      </c>
    </row>
    <row r="9185" spans="1:33" x14ac:dyDescent="0.25">
      <c r="A9185" t="str">
        <f>"1154504405"</f>
        <v>1154504405</v>
      </c>
      <c r="C9185" t="s">
        <v>37139</v>
      </c>
      <c r="K9185" t="s">
        <v>99</v>
      </c>
      <c r="L9185" t="s">
        <v>102</v>
      </c>
      <c r="M9185" t="s">
        <v>75</v>
      </c>
      <c r="R9185" t="s">
        <v>2267</v>
      </c>
      <c r="S9185" t="s">
        <v>2268</v>
      </c>
      <c r="T9185" t="s">
        <v>87</v>
      </c>
      <c r="U9185" t="s">
        <v>77</v>
      </c>
      <c r="V9185" t="str">
        <f>"112242114"</f>
        <v>112242114</v>
      </c>
      <c r="AC9185" t="s">
        <v>79</v>
      </c>
      <c r="AD9185" t="s">
        <v>75</v>
      </c>
      <c r="AE9185" t="s">
        <v>103</v>
      </c>
      <c r="AG9185" t="s">
        <v>81</v>
      </c>
    </row>
    <row r="9186" spans="1:33" x14ac:dyDescent="0.25">
      <c r="A9186" t="str">
        <f>"1366571978"</f>
        <v>1366571978</v>
      </c>
      <c r="B9186" t="str">
        <f>"02999402"</f>
        <v>02999402</v>
      </c>
      <c r="C9186" t="s">
        <v>35123</v>
      </c>
      <c r="D9186" t="s">
        <v>35124</v>
      </c>
      <c r="E9186" t="s">
        <v>35125</v>
      </c>
      <c r="L9186" t="s">
        <v>104</v>
      </c>
      <c r="M9186" t="s">
        <v>85</v>
      </c>
      <c r="R9186" t="s">
        <v>35126</v>
      </c>
      <c r="W9186" t="s">
        <v>35125</v>
      </c>
      <c r="X9186" t="s">
        <v>35127</v>
      </c>
      <c r="Y9186" t="s">
        <v>97</v>
      </c>
      <c r="Z9186" t="s">
        <v>77</v>
      </c>
      <c r="AA9186" t="str">
        <f>"10011-6701"</f>
        <v>10011-6701</v>
      </c>
      <c r="AB9186" t="s">
        <v>122</v>
      </c>
      <c r="AC9186" t="s">
        <v>79</v>
      </c>
      <c r="AD9186" t="s">
        <v>75</v>
      </c>
      <c r="AE9186" t="s">
        <v>80</v>
      </c>
      <c r="AG9186" t="s">
        <v>81</v>
      </c>
    </row>
    <row r="9187" spans="1:33" x14ac:dyDescent="0.25">
      <c r="A9187" t="str">
        <f>"1700999109"</f>
        <v>1700999109</v>
      </c>
      <c r="B9187" t="str">
        <f>"02999420"</f>
        <v>02999420</v>
      </c>
      <c r="C9187" t="s">
        <v>35123</v>
      </c>
      <c r="D9187" t="s">
        <v>35124</v>
      </c>
      <c r="E9187" t="s">
        <v>35125</v>
      </c>
      <c r="L9187" t="s">
        <v>104</v>
      </c>
      <c r="M9187" t="s">
        <v>85</v>
      </c>
      <c r="R9187" t="s">
        <v>35126</v>
      </c>
      <c r="W9187" t="s">
        <v>35125</v>
      </c>
      <c r="X9187" t="s">
        <v>35127</v>
      </c>
      <c r="Y9187" t="s">
        <v>97</v>
      </c>
      <c r="Z9187" t="s">
        <v>77</v>
      </c>
      <c r="AA9187" t="str">
        <f>"10011-6701"</f>
        <v>10011-6701</v>
      </c>
      <c r="AB9187" t="s">
        <v>122</v>
      </c>
      <c r="AC9187" t="s">
        <v>79</v>
      </c>
      <c r="AD9187" t="s">
        <v>75</v>
      </c>
      <c r="AE9187" t="s">
        <v>80</v>
      </c>
      <c r="AG9187" t="s">
        <v>81</v>
      </c>
    </row>
    <row r="9188" spans="1:33" x14ac:dyDescent="0.25">
      <c r="A9188" t="str">
        <f>"1861458119"</f>
        <v>1861458119</v>
      </c>
      <c r="B9188" t="str">
        <f>"00233601"</f>
        <v>00233601</v>
      </c>
      <c r="C9188" t="s">
        <v>38850</v>
      </c>
      <c r="D9188" t="s">
        <v>38851</v>
      </c>
      <c r="E9188" t="s">
        <v>38852</v>
      </c>
      <c r="G9188" t="s">
        <v>38850</v>
      </c>
      <c r="H9188" t="s">
        <v>38853</v>
      </c>
      <c r="J9188" t="s">
        <v>38854</v>
      </c>
      <c r="L9188" t="s">
        <v>84</v>
      </c>
      <c r="M9188" t="s">
        <v>75</v>
      </c>
      <c r="R9188" t="s">
        <v>38855</v>
      </c>
      <c r="W9188" t="s">
        <v>38852</v>
      </c>
      <c r="X9188" t="s">
        <v>38856</v>
      </c>
      <c r="Y9188" t="s">
        <v>131</v>
      </c>
      <c r="Z9188" t="s">
        <v>77</v>
      </c>
      <c r="AA9188" t="str">
        <f>"10471-1602"</f>
        <v>10471-1602</v>
      </c>
      <c r="AB9188" t="s">
        <v>78</v>
      </c>
      <c r="AC9188" t="s">
        <v>79</v>
      </c>
      <c r="AD9188" t="s">
        <v>75</v>
      </c>
      <c r="AE9188" t="s">
        <v>80</v>
      </c>
      <c r="AG9188" t="s">
        <v>81</v>
      </c>
    </row>
    <row r="9189" spans="1:33" x14ac:dyDescent="0.25">
      <c r="A9189" t="str">
        <f>"1720255813"</f>
        <v>1720255813</v>
      </c>
      <c r="B9189" t="str">
        <f>"03136885"</f>
        <v>03136885</v>
      </c>
      <c r="C9189" t="s">
        <v>38857</v>
      </c>
      <c r="D9189" t="s">
        <v>3574</v>
      </c>
      <c r="E9189" t="s">
        <v>3575</v>
      </c>
      <c r="G9189" t="s">
        <v>38857</v>
      </c>
      <c r="H9189" t="s">
        <v>38858</v>
      </c>
      <c r="J9189" t="s">
        <v>38859</v>
      </c>
      <c r="L9189" t="s">
        <v>83</v>
      </c>
      <c r="M9189" t="s">
        <v>85</v>
      </c>
      <c r="R9189" t="s">
        <v>3576</v>
      </c>
      <c r="W9189" t="s">
        <v>3575</v>
      </c>
      <c r="X9189" t="s">
        <v>318</v>
      </c>
      <c r="Y9189" t="s">
        <v>131</v>
      </c>
      <c r="Z9189" t="s">
        <v>77</v>
      </c>
      <c r="AA9189" t="str">
        <f>"10457-7606"</f>
        <v>10457-7606</v>
      </c>
      <c r="AB9189" t="s">
        <v>78</v>
      </c>
      <c r="AC9189" t="s">
        <v>79</v>
      </c>
      <c r="AD9189" t="s">
        <v>75</v>
      </c>
      <c r="AE9189" t="s">
        <v>80</v>
      </c>
      <c r="AG9189" t="s">
        <v>81</v>
      </c>
    </row>
    <row r="9190" spans="1:33" x14ac:dyDescent="0.25">
      <c r="A9190" t="str">
        <f>"1134414360"</f>
        <v>1134414360</v>
      </c>
      <c r="B9190" t="str">
        <f>"03441774"</f>
        <v>03441774</v>
      </c>
      <c r="C9190" t="s">
        <v>38860</v>
      </c>
      <c r="D9190" t="s">
        <v>38861</v>
      </c>
      <c r="E9190" t="s">
        <v>38862</v>
      </c>
      <c r="G9190" t="s">
        <v>33758</v>
      </c>
      <c r="H9190" t="s">
        <v>473</v>
      </c>
      <c r="J9190" t="s">
        <v>474</v>
      </c>
      <c r="L9190" t="s">
        <v>83</v>
      </c>
      <c r="M9190" t="s">
        <v>75</v>
      </c>
      <c r="R9190" t="s">
        <v>38863</v>
      </c>
      <c r="W9190" t="s">
        <v>38862</v>
      </c>
      <c r="X9190" t="s">
        <v>3732</v>
      </c>
      <c r="Y9190" t="s">
        <v>87</v>
      </c>
      <c r="Z9190" t="s">
        <v>77</v>
      </c>
      <c r="AA9190" t="str">
        <f>"11206-4419"</f>
        <v>11206-4419</v>
      </c>
      <c r="AB9190" t="s">
        <v>78</v>
      </c>
      <c r="AC9190" t="s">
        <v>79</v>
      </c>
      <c r="AD9190" t="s">
        <v>75</v>
      </c>
      <c r="AE9190" t="s">
        <v>80</v>
      </c>
      <c r="AG9190" t="s">
        <v>81</v>
      </c>
    </row>
    <row r="9191" spans="1:33" x14ac:dyDescent="0.25">
      <c r="A9191" t="str">
        <f>"1801895248"</f>
        <v>1801895248</v>
      </c>
      <c r="B9191" t="str">
        <f>"02671901"</f>
        <v>02671901</v>
      </c>
      <c r="C9191" t="s">
        <v>38864</v>
      </c>
      <c r="D9191" t="s">
        <v>38865</v>
      </c>
      <c r="E9191" t="s">
        <v>38866</v>
      </c>
      <c r="G9191" t="s">
        <v>38864</v>
      </c>
      <c r="H9191" t="s">
        <v>38867</v>
      </c>
      <c r="J9191" t="s">
        <v>38868</v>
      </c>
      <c r="L9191" t="s">
        <v>84</v>
      </c>
      <c r="M9191" t="s">
        <v>85</v>
      </c>
      <c r="R9191" t="s">
        <v>38869</v>
      </c>
      <c r="W9191" t="s">
        <v>38870</v>
      </c>
      <c r="X9191" t="s">
        <v>19249</v>
      </c>
      <c r="Y9191" t="s">
        <v>97</v>
      </c>
      <c r="Z9191" t="s">
        <v>77</v>
      </c>
      <c r="AA9191" t="str">
        <f>"10003-0000"</f>
        <v>10003-0000</v>
      </c>
      <c r="AB9191" t="s">
        <v>78</v>
      </c>
      <c r="AC9191" t="s">
        <v>79</v>
      </c>
      <c r="AD9191" t="s">
        <v>75</v>
      </c>
      <c r="AE9191" t="s">
        <v>80</v>
      </c>
      <c r="AG9191" t="s">
        <v>81</v>
      </c>
    </row>
    <row r="9192" spans="1:33" x14ac:dyDescent="0.25">
      <c r="A9192" t="str">
        <f>"1487721007"</f>
        <v>1487721007</v>
      </c>
      <c r="C9192" t="s">
        <v>38871</v>
      </c>
      <c r="G9192" t="s">
        <v>32933</v>
      </c>
      <c r="H9192" t="s">
        <v>32934</v>
      </c>
      <c r="J9192" t="s">
        <v>32935</v>
      </c>
      <c r="K9192" t="s">
        <v>99</v>
      </c>
      <c r="L9192" t="s">
        <v>102</v>
      </c>
      <c r="M9192" t="s">
        <v>75</v>
      </c>
      <c r="R9192" t="s">
        <v>38872</v>
      </c>
      <c r="S9192" t="s">
        <v>38873</v>
      </c>
      <c r="T9192" t="s">
        <v>87</v>
      </c>
      <c r="U9192" t="s">
        <v>77</v>
      </c>
      <c r="V9192" t="str">
        <f>"112117672"</f>
        <v>112117672</v>
      </c>
      <c r="AC9192" t="s">
        <v>79</v>
      </c>
      <c r="AD9192" t="s">
        <v>75</v>
      </c>
      <c r="AE9192" t="s">
        <v>103</v>
      </c>
      <c r="AG9192" t="s">
        <v>81</v>
      </c>
    </row>
    <row r="9193" spans="1:33" x14ac:dyDescent="0.25">
      <c r="B9193" t="str">
        <f>"02568243"</f>
        <v>02568243</v>
      </c>
      <c r="C9193" t="s">
        <v>38874</v>
      </c>
      <c r="D9193" t="s">
        <v>27831</v>
      </c>
      <c r="E9193" t="s">
        <v>27832</v>
      </c>
      <c r="L9193" t="s">
        <v>1305</v>
      </c>
      <c r="M9193" t="s">
        <v>85</v>
      </c>
      <c r="W9193" t="s">
        <v>27832</v>
      </c>
      <c r="X9193" t="s">
        <v>38875</v>
      </c>
      <c r="Y9193" t="s">
        <v>97</v>
      </c>
      <c r="Z9193" t="s">
        <v>77</v>
      </c>
      <c r="AA9193" t="str">
        <f>"10003"</f>
        <v>10003</v>
      </c>
      <c r="AB9193" t="s">
        <v>98</v>
      </c>
      <c r="AC9193" t="s">
        <v>79</v>
      </c>
      <c r="AD9193" t="s">
        <v>75</v>
      </c>
      <c r="AE9193" t="s">
        <v>80</v>
      </c>
      <c r="AG9193" t="s">
        <v>81</v>
      </c>
    </row>
    <row r="9194" spans="1:33" x14ac:dyDescent="0.25">
      <c r="A9194" t="str">
        <f>"1710208236"</f>
        <v>1710208236</v>
      </c>
      <c r="B9194" t="str">
        <f>"04371624"</f>
        <v>04371624</v>
      </c>
      <c r="C9194" t="s">
        <v>13436</v>
      </c>
      <c r="D9194" t="s">
        <v>38876</v>
      </c>
      <c r="E9194" t="s">
        <v>38877</v>
      </c>
      <c r="L9194" t="s">
        <v>102</v>
      </c>
      <c r="M9194" t="s">
        <v>75</v>
      </c>
      <c r="R9194" t="s">
        <v>38878</v>
      </c>
      <c r="W9194" t="s">
        <v>38877</v>
      </c>
      <c r="X9194" t="s">
        <v>329</v>
      </c>
      <c r="Y9194" t="s">
        <v>97</v>
      </c>
      <c r="Z9194" t="s">
        <v>77</v>
      </c>
      <c r="AA9194" t="str">
        <f>"10029-6504"</f>
        <v>10029-6504</v>
      </c>
      <c r="AB9194" t="s">
        <v>78</v>
      </c>
      <c r="AC9194" t="s">
        <v>79</v>
      </c>
      <c r="AD9194" t="s">
        <v>75</v>
      </c>
      <c r="AE9194" t="s">
        <v>80</v>
      </c>
      <c r="AG9194" t="s">
        <v>81</v>
      </c>
    </row>
    <row r="9195" spans="1:33" x14ac:dyDescent="0.25">
      <c r="A9195" t="str">
        <f>"1710211586"</f>
        <v>1710211586</v>
      </c>
      <c r="B9195" t="str">
        <f>"03160941"</f>
        <v>03160941</v>
      </c>
      <c r="C9195" t="s">
        <v>13436</v>
      </c>
      <c r="D9195" t="s">
        <v>38879</v>
      </c>
      <c r="E9195" t="s">
        <v>38880</v>
      </c>
      <c r="L9195" t="s">
        <v>102</v>
      </c>
      <c r="M9195" t="s">
        <v>75</v>
      </c>
      <c r="R9195" t="s">
        <v>38881</v>
      </c>
      <c r="W9195" t="s">
        <v>38880</v>
      </c>
      <c r="X9195" t="s">
        <v>2587</v>
      </c>
      <c r="Y9195" t="s">
        <v>97</v>
      </c>
      <c r="Z9195" t="s">
        <v>77</v>
      </c>
      <c r="AA9195" t="str">
        <f>"10003-3314"</f>
        <v>10003-3314</v>
      </c>
      <c r="AB9195" t="s">
        <v>78</v>
      </c>
      <c r="AC9195" t="s">
        <v>79</v>
      </c>
      <c r="AD9195" t="s">
        <v>75</v>
      </c>
      <c r="AE9195" t="s">
        <v>80</v>
      </c>
      <c r="AG9195" t="s">
        <v>81</v>
      </c>
    </row>
    <row r="9196" spans="1:33" x14ac:dyDescent="0.25">
      <c r="A9196" t="str">
        <f>"1710216809"</f>
        <v>1710216809</v>
      </c>
      <c r="B9196" t="str">
        <f>"03796967"</f>
        <v>03796967</v>
      </c>
      <c r="C9196" t="s">
        <v>13436</v>
      </c>
      <c r="D9196" t="s">
        <v>38882</v>
      </c>
      <c r="E9196" t="s">
        <v>38883</v>
      </c>
      <c r="G9196" t="s">
        <v>38884</v>
      </c>
      <c r="L9196" t="s">
        <v>74</v>
      </c>
      <c r="M9196" t="s">
        <v>75</v>
      </c>
      <c r="R9196" t="s">
        <v>38883</v>
      </c>
      <c r="W9196" t="s">
        <v>38883</v>
      </c>
      <c r="X9196" t="s">
        <v>11436</v>
      </c>
      <c r="Y9196" t="s">
        <v>97</v>
      </c>
      <c r="Z9196" t="s">
        <v>77</v>
      </c>
      <c r="AA9196" t="str">
        <f>"10029-6503"</f>
        <v>10029-6503</v>
      </c>
      <c r="AB9196" t="s">
        <v>78</v>
      </c>
      <c r="AC9196" t="s">
        <v>79</v>
      </c>
      <c r="AD9196" t="s">
        <v>75</v>
      </c>
      <c r="AE9196" t="s">
        <v>80</v>
      </c>
      <c r="AG9196" t="s">
        <v>81</v>
      </c>
    </row>
    <row r="9197" spans="1:33" x14ac:dyDescent="0.25">
      <c r="A9197" t="str">
        <f>"1710229505"</f>
        <v>1710229505</v>
      </c>
      <c r="C9197" t="s">
        <v>13436</v>
      </c>
      <c r="K9197" t="s">
        <v>99</v>
      </c>
      <c r="L9197" t="s">
        <v>102</v>
      </c>
      <c r="M9197" t="s">
        <v>75</v>
      </c>
      <c r="R9197" t="s">
        <v>38885</v>
      </c>
      <c r="S9197" t="s">
        <v>329</v>
      </c>
      <c r="T9197" t="s">
        <v>97</v>
      </c>
      <c r="U9197" t="s">
        <v>77</v>
      </c>
      <c r="V9197" t="str">
        <f>"100296500"</f>
        <v>100296500</v>
      </c>
      <c r="AC9197" t="s">
        <v>79</v>
      </c>
      <c r="AD9197" t="s">
        <v>75</v>
      </c>
      <c r="AE9197" t="s">
        <v>103</v>
      </c>
      <c r="AG9197" t="s">
        <v>81</v>
      </c>
    </row>
    <row r="9198" spans="1:33" x14ac:dyDescent="0.25">
      <c r="B9198" t="str">
        <f>"00843485"</f>
        <v>00843485</v>
      </c>
      <c r="C9198" t="s">
        <v>38886</v>
      </c>
      <c r="D9198" t="s">
        <v>1317</v>
      </c>
      <c r="E9198" t="s">
        <v>1318</v>
      </c>
      <c r="L9198" t="s">
        <v>106</v>
      </c>
      <c r="M9198" t="s">
        <v>85</v>
      </c>
      <c r="W9198" t="s">
        <v>38887</v>
      </c>
      <c r="X9198" t="s">
        <v>12034</v>
      </c>
      <c r="Y9198" t="s">
        <v>87</v>
      </c>
      <c r="Z9198" t="s">
        <v>77</v>
      </c>
      <c r="AA9198" t="str">
        <f>"11236-4001"</f>
        <v>11236-4001</v>
      </c>
      <c r="AB9198" t="s">
        <v>107</v>
      </c>
      <c r="AC9198" t="s">
        <v>79</v>
      </c>
      <c r="AD9198" t="s">
        <v>75</v>
      </c>
      <c r="AE9198" t="s">
        <v>80</v>
      </c>
      <c r="AG9198" t="s">
        <v>81</v>
      </c>
    </row>
    <row r="9199" spans="1:33" x14ac:dyDescent="0.25">
      <c r="B9199" t="str">
        <f>"00997580"</f>
        <v>00997580</v>
      </c>
      <c r="C9199" t="s">
        <v>38888</v>
      </c>
      <c r="D9199" t="s">
        <v>38889</v>
      </c>
      <c r="E9199" t="s">
        <v>38890</v>
      </c>
      <c r="L9199" t="s">
        <v>211</v>
      </c>
      <c r="M9199" t="s">
        <v>85</v>
      </c>
      <c r="W9199" t="s">
        <v>38891</v>
      </c>
      <c r="X9199" t="s">
        <v>38892</v>
      </c>
      <c r="Y9199" t="s">
        <v>97</v>
      </c>
      <c r="Z9199" t="s">
        <v>77</v>
      </c>
      <c r="AA9199" t="str">
        <f>"10031-4611"</f>
        <v>10031-4611</v>
      </c>
      <c r="AB9199" t="s">
        <v>122</v>
      </c>
      <c r="AC9199" t="s">
        <v>79</v>
      </c>
      <c r="AD9199" t="s">
        <v>75</v>
      </c>
      <c r="AE9199" t="s">
        <v>80</v>
      </c>
      <c r="AG9199" t="s">
        <v>81</v>
      </c>
    </row>
    <row r="9200" spans="1:33" x14ac:dyDescent="0.25">
      <c r="A9200" t="str">
        <f>"1023208139"</f>
        <v>1023208139</v>
      </c>
      <c r="B9200" t="str">
        <f>"03008239"</f>
        <v>03008239</v>
      </c>
      <c r="C9200" t="s">
        <v>35308</v>
      </c>
      <c r="D9200" t="s">
        <v>973</v>
      </c>
      <c r="E9200" t="s">
        <v>974</v>
      </c>
      <c r="L9200" t="s">
        <v>119</v>
      </c>
      <c r="M9200" t="s">
        <v>85</v>
      </c>
      <c r="R9200" t="s">
        <v>1749</v>
      </c>
      <c r="W9200" t="s">
        <v>974</v>
      </c>
      <c r="X9200" t="s">
        <v>2385</v>
      </c>
      <c r="Y9200" t="s">
        <v>976</v>
      </c>
      <c r="Z9200" t="s">
        <v>77</v>
      </c>
      <c r="AA9200" t="str">
        <f>"12302-4523"</f>
        <v>12302-4523</v>
      </c>
      <c r="AB9200" t="s">
        <v>96</v>
      </c>
      <c r="AC9200" t="s">
        <v>79</v>
      </c>
      <c r="AD9200" t="s">
        <v>75</v>
      </c>
      <c r="AE9200" t="s">
        <v>80</v>
      </c>
      <c r="AG9200" t="s">
        <v>81</v>
      </c>
    </row>
    <row r="9201" spans="1:33" x14ac:dyDescent="0.25">
      <c r="A9201" t="str">
        <f>"1235185612"</f>
        <v>1235185612</v>
      </c>
      <c r="B9201" t="str">
        <f>"01420800"</f>
        <v>01420800</v>
      </c>
      <c r="C9201" t="s">
        <v>35308</v>
      </c>
      <c r="D9201" t="s">
        <v>973</v>
      </c>
      <c r="E9201" t="s">
        <v>974</v>
      </c>
      <c r="L9201" t="s">
        <v>119</v>
      </c>
      <c r="M9201" t="s">
        <v>85</v>
      </c>
      <c r="R9201" t="s">
        <v>1749</v>
      </c>
      <c r="W9201" t="s">
        <v>974</v>
      </c>
      <c r="X9201" t="s">
        <v>975</v>
      </c>
      <c r="Y9201" t="s">
        <v>976</v>
      </c>
      <c r="Z9201" t="s">
        <v>77</v>
      </c>
      <c r="AA9201" t="str">
        <f>"12302-4523"</f>
        <v>12302-4523</v>
      </c>
      <c r="AB9201" t="s">
        <v>96</v>
      </c>
      <c r="AC9201" t="s">
        <v>79</v>
      </c>
      <c r="AD9201" t="s">
        <v>75</v>
      </c>
      <c r="AE9201" t="s">
        <v>80</v>
      </c>
      <c r="AG9201" t="s">
        <v>81</v>
      </c>
    </row>
    <row r="9202" spans="1:33" x14ac:dyDescent="0.25">
      <c r="A9202" t="str">
        <f>"1205180700"</f>
        <v>1205180700</v>
      </c>
      <c r="B9202" t="str">
        <f>"03750007"</f>
        <v>03750007</v>
      </c>
      <c r="C9202" t="s">
        <v>13436</v>
      </c>
      <c r="D9202" t="s">
        <v>38893</v>
      </c>
      <c r="E9202" t="s">
        <v>38894</v>
      </c>
      <c r="G9202" t="s">
        <v>38895</v>
      </c>
      <c r="L9202" t="s">
        <v>83</v>
      </c>
      <c r="M9202" t="s">
        <v>75</v>
      </c>
      <c r="R9202" t="s">
        <v>38896</v>
      </c>
      <c r="W9202" t="s">
        <v>38897</v>
      </c>
      <c r="X9202" t="s">
        <v>4518</v>
      </c>
      <c r="Y9202" t="s">
        <v>4482</v>
      </c>
      <c r="Z9202" t="s">
        <v>77</v>
      </c>
      <c r="AA9202" t="str">
        <f>"14424-2049"</f>
        <v>14424-2049</v>
      </c>
      <c r="AB9202" t="s">
        <v>78</v>
      </c>
      <c r="AC9202" t="s">
        <v>79</v>
      </c>
      <c r="AD9202" t="s">
        <v>75</v>
      </c>
      <c r="AE9202" t="s">
        <v>80</v>
      </c>
      <c r="AG9202" t="s">
        <v>81</v>
      </c>
    </row>
    <row r="9203" spans="1:33" x14ac:dyDescent="0.25">
      <c r="A9203" t="str">
        <f>"1205190683"</f>
        <v>1205190683</v>
      </c>
      <c r="C9203" t="s">
        <v>13436</v>
      </c>
      <c r="K9203" t="s">
        <v>99</v>
      </c>
      <c r="L9203" t="s">
        <v>102</v>
      </c>
      <c r="M9203" t="s">
        <v>75</v>
      </c>
      <c r="R9203" t="s">
        <v>38898</v>
      </c>
      <c r="S9203" t="s">
        <v>38899</v>
      </c>
      <c r="T9203" t="s">
        <v>4603</v>
      </c>
      <c r="U9203" t="s">
        <v>4604</v>
      </c>
      <c r="V9203" t="str">
        <f>"392164500"</f>
        <v>392164500</v>
      </c>
      <c r="AC9203" t="s">
        <v>79</v>
      </c>
      <c r="AD9203" t="s">
        <v>75</v>
      </c>
      <c r="AE9203" t="s">
        <v>103</v>
      </c>
      <c r="AG9203" t="s">
        <v>81</v>
      </c>
    </row>
    <row r="9204" spans="1:33" x14ac:dyDescent="0.25">
      <c r="A9204" t="str">
        <f>"1205193570"</f>
        <v>1205193570</v>
      </c>
      <c r="C9204" t="s">
        <v>13436</v>
      </c>
      <c r="K9204" t="s">
        <v>99</v>
      </c>
      <c r="L9204" t="s">
        <v>102</v>
      </c>
      <c r="M9204" t="s">
        <v>75</v>
      </c>
      <c r="R9204" t="s">
        <v>38900</v>
      </c>
      <c r="S9204" t="s">
        <v>38901</v>
      </c>
      <c r="T9204" t="s">
        <v>28253</v>
      </c>
      <c r="U9204" t="s">
        <v>4569</v>
      </c>
      <c r="V9204" t="str">
        <f>"M6A2G7"</f>
        <v>M6A2G7</v>
      </c>
      <c r="AC9204" t="s">
        <v>79</v>
      </c>
      <c r="AD9204" t="s">
        <v>75</v>
      </c>
      <c r="AE9204" t="s">
        <v>103</v>
      </c>
      <c r="AG9204" t="s">
        <v>81</v>
      </c>
    </row>
    <row r="9205" spans="1:33" x14ac:dyDescent="0.25">
      <c r="A9205" t="str">
        <f>"1205195617"</f>
        <v>1205195617</v>
      </c>
      <c r="C9205" t="s">
        <v>13436</v>
      </c>
      <c r="K9205" t="s">
        <v>99</v>
      </c>
      <c r="L9205" t="s">
        <v>102</v>
      </c>
      <c r="M9205" t="s">
        <v>75</v>
      </c>
      <c r="R9205" t="s">
        <v>38902</v>
      </c>
      <c r="S9205" t="s">
        <v>38903</v>
      </c>
      <c r="T9205" t="s">
        <v>13547</v>
      </c>
      <c r="U9205" t="s">
        <v>4619</v>
      </c>
      <c r="V9205" t="str">
        <f>"352131920"</f>
        <v>352131920</v>
      </c>
      <c r="AC9205" t="s">
        <v>79</v>
      </c>
      <c r="AD9205" t="s">
        <v>75</v>
      </c>
      <c r="AE9205" t="s">
        <v>103</v>
      </c>
      <c r="AG9205" t="s">
        <v>81</v>
      </c>
    </row>
    <row r="9206" spans="1:33" x14ac:dyDescent="0.25">
      <c r="A9206" t="str">
        <f>"1437303179"</f>
        <v>1437303179</v>
      </c>
      <c r="C9206" t="s">
        <v>13436</v>
      </c>
      <c r="G9206" t="s">
        <v>38904</v>
      </c>
      <c r="K9206" t="s">
        <v>99</v>
      </c>
      <c r="L9206" t="s">
        <v>102</v>
      </c>
      <c r="M9206" t="s">
        <v>75</v>
      </c>
      <c r="R9206" t="s">
        <v>38905</v>
      </c>
      <c r="S9206" t="s">
        <v>38906</v>
      </c>
      <c r="T9206" t="s">
        <v>97</v>
      </c>
      <c r="U9206" t="s">
        <v>77</v>
      </c>
      <c r="V9206" t="str">
        <f>"100296574"</f>
        <v>100296574</v>
      </c>
      <c r="AC9206" t="s">
        <v>79</v>
      </c>
      <c r="AD9206" t="s">
        <v>75</v>
      </c>
      <c r="AE9206" t="s">
        <v>103</v>
      </c>
      <c r="AG9206" t="s">
        <v>81</v>
      </c>
    </row>
    <row r="9207" spans="1:33" x14ac:dyDescent="0.25">
      <c r="A9207" t="str">
        <f>"1083873517"</f>
        <v>1083873517</v>
      </c>
      <c r="B9207" t="str">
        <f>"03545920"</f>
        <v>03545920</v>
      </c>
      <c r="C9207" t="s">
        <v>13436</v>
      </c>
      <c r="D9207" t="s">
        <v>38907</v>
      </c>
      <c r="E9207" t="s">
        <v>38908</v>
      </c>
      <c r="L9207" t="s">
        <v>74</v>
      </c>
      <c r="M9207" t="s">
        <v>85</v>
      </c>
      <c r="R9207" t="s">
        <v>38908</v>
      </c>
      <c r="W9207" t="s">
        <v>38908</v>
      </c>
      <c r="X9207" t="s">
        <v>38909</v>
      </c>
      <c r="Y9207" t="s">
        <v>97</v>
      </c>
      <c r="Z9207" t="s">
        <v>77</v>
      </c>
      <c r="AA9207" t="str">
        <f>"10107-0001"</f>
        <v>10107-0001</v>
      </c>
      <c r="AB9207" t="s">
        <v>78</v>
      </c>
      <c r="AC9207" t="s">
        <v>79</v>
      </c>
      <c r="AD9207" t="s">
        <v>75</v>
      </c>
      <c r="AE9207" t="s">
        <v>80</v>
      </c>
      <c r="AG9207" t="s">
        <v>81</v>
      </c>
    </row>
    <row r="9208" spans="1:33" x14ac:dyDescent="0.25">
      <c r="A9208" t="str">
        <f>"1083873574"</f>
        <v>1083873574</v>
      </c>
      <c r="B9208" t="str">
        <f>"04173126"</f>
        <v>04173126</v>
      </c>
      <c r="C9208" t="s">
        <v>13436</v>
      </c>
      <c r="D9208" t="s">
        <v>38910</v>
      </c>
      <c r="E9208" t="s">
        <v>38911</v>
      </c>
      <c r="L9208" t="s">
        <v>74</v>
      </c>
      <c r="M9208" t="s">
        <v>75</v>
      </c>
      <c r="R9208" t="s">
        <v>38912</v>
      </c>
      <c r="W9208" t="s">
        <v>38911</v>
      </c>
      <c r="X9208" t="s">
        <v>38913</v>
      </c>
      <c r="Y9208" t="s">
        <v>97</v>
      </c>
      <c r="Z9208" t="s">
        <v>77</v>
      </c>
      <c r="AA9208" t="str">
        <f>"10029-6503"</f>
        <v>10029-6503</v>
      </c>
      <c r="AB9208" t="s">
        <v>78</v>
      </c>
      <c r="AC9208" t="s">
        <v>79</v>
      </c>
      <c r="AD9208" t="s">
        <v>75</v>
      </c>
      <c r="AE9208" t="s">
        <v>80</v>
      </c>
      <c r="AG9208" t="s">
        <v>81</v>
      </c>
    </row>
    <row r="9209" spans="1:33" x14ac:dyDescent="0.25">
      <c r="A9209" t="str">
        <f>"1235559857"</f>
        <v>1235559857</v>
      </c>
      <c r="C9209" t="s">
        <v>13436</v>
      </c>
      <c r="K9209" t="s">
        <v>99</v>
      </c>
      <c r="L9209" t="s">
        <v>102</v>
      </c>
      <c r="M9209" t="s">
        <v>75</v>
      </c>
      <c r="R9209" t="s">
        <v>38914</v>
      </c>
      <c r="S9209" t="s">
        <v>38915</v>
      </c>
      <c r="T9209" t="s">
        <v>97</v>
      </c>
      <c r="U9209" t="s">
        <v>77</v>
      </c>
      <c r="V9209" t="str">
        <f>"100296503"</f>
        <v>100296503</v>
      </c>
      <c r="AC9209" t="s">
        <v>79</v>
      </c>
      <c r="AD9209" t="s">
        <v>75</v>
      </c>
      <c r="AE9209" t="s">
        <v>103</v>
      </c>
      <c r="AG9209" t="s">
        <v>81</v>
      </c>
    </row>
    <row r="9210" spans="1:33" x14ac:dyDescent="0.25">
      <c r="A9210" t="str">
        <f>"1235561796"</f>
        <v>1235561796</v>
      </c>
      <c r="C9210" t="s">
        <v>13436</v>
      </c>
      <c r="G9210" t="s">
        <v>38916</v>
      </c>
      <c r="K9210" t="s">
        <v>99</v>
      </c>
      <c r="L9210" t="s">
        <v>102</v>
      </c>
      <c r="M9210" t="s">
        <v>75</v>
      </c>
      <c r="R9210" t="s">
        <v>38917</v>
      </c>
      <c r="S9210" t="s">
        <v>38918</v>
      </c>
      <c r="T9210" t="s">
        <v>36192</v>
      </c>
      <c r="U9210" t="s">
        <v>156</v>
      </c>
      <c r="V9210" t="str">
        <f>"07024"</f>
        <v>07024</v>
      </c>
      <c r="AC9210" t="s">
        <v>79</v>
      </c>
      <c r="AD9210" t="s">
        <v>75</v>
      </c>
      <c r="AE9210" t="s">
        <v>103</v>
      </c>
      <c r="AG9210" t="s">
        <v>81</v>
      </c>
    </row>
    <row r="9211" spans="1:33" x14ac:dyDescent="0.25">
      <c r="A9211" t="str">
        <f>"1235570615"</f>
        <v>1235570615</v>
      </c>
      <c r="C9211" t="s">
        <v>13436</v>
      </c>
      <c r="K9211" t="s">
        <v>99</v>
      </c>
      <c r="L9211" t="s">
        <v>102</v>
      </c>
      <c r="M9211" t="s">
        <v>75</v>
      </c>
      <c r="R9211" t="s">
        <v>38919</v>
      </c>
      <c r="S9211" t="s">
        <v>181</v>
      </c>
      <c r="T9211" t="s">
        <v>97</v>
      </c>
      <c r="U9211" t="s">
        <v>77</v>
      </c>
      <c r="V9211" t="str">
        <f>"100251716"</f>
        <v>100251716</v>
      </c>
      <c r="AC9211" t="s">
        <v>79</v>
      </c>
      <c r="AD9211" t="s">
        <v>75</v>
      </c>
      <c r="AE9211" t="s">
        <v>103</v>
      </c>
      <c r="AG9211" t="s">
        <v>81</v>
      </c>
    </row>
    <row r="9212" spans="1:33" x14ac:dyDescent="0.25">
      <c r="A9212" t="str">
        <f>"1235574559"</f>
        <v>1235574559</v>
      </c>
      <c r="C9212" t="s">
        <v>13436</v>
      </c>
      <c r="K9212" t="s">
        <v>99</v>
      </c>
      <c r="L9212" t="s">
        <v>102</v>
      </c>
      <c r="M9212" t="s">
        <v>75</v>
      </c>
      <c r="R9212" t="s">
        <v>38920</v>
      </c>
      <c r="S9212" t="s">
        <v>23601</v>
      </c>
      <c r="T9212" t="s">
        <v>97</v>
      </c>
      <c r="U9212" t="s">
        <v>77</v>
      </c>
      <c r="V9212" t="str">
        <f>"100296503"</f>
        <v>100296503</v>
      </c>
      <c r="AC9212" t="s">
        <v>79</v>
      </c>
      <c r="AD9212" t="s">
        <v>75</v>
      </c>
      <c r="AE9212" t="s">
        <v>103</v>
      </c>
      <c r="AG9212" t="s">
        <v>81</v>
      </c>
    </row>
    <row r="9213" spans="1:33" x14ac:dyDescent="0.25">
      <c r="A9213" t="str">
        <f>"1235576257"</f>
        <v>1235576257</v>
      </c>
      <c r="C9213" t="s">
        <v>13436</v>
      </c>
      <c r="K9213" t="s">
        <v>99</v>
      </c>
      <c r="L9213" t="s">
        <v>102</v>
      </c>
      <c r="M9213" t="s">
        <v>75</v>
      </c>
      <c r="R9213" t="s">
        <v>38921</v>
      </c>
      <c r="S9213" t="s">
        <v>191</v>
      </c>
      <c r="T9213" t="s">
        <v>97</v>
      </c>
      <c r="U9213" t="s">
        <v>77</v>
      </c>
      <c r="V9213" t="str">
        <f>"100191147"</f>
        <v>100191147</v>
      </c>
      <c r="AC9213" t="s">
        <v>79</v>
      </c>
      <c r="AD9213" t="s">
        <v>75</v>
      </c>
      <c r="AE9213" t="s">
        <v>103</v>
      </c>
      <c r="AG9213" t="s">
        <v>81</v>
      </c>
    </row>
    <row r="9214" spans="1:33" x14ac:dyDescent="0.25">
      <c r="A9214" t="str">
        <f>"1598773137"</f>
        <v>1598773137</v>
      </c>
      <c r="C9214" t="s">
        <v>13436</v>
      </c>
      <c r="G9214" t="s">
        <v>38922</v>
      </c>
      <c r="K9214" t="s">
        <v>99</v>
      </c>
      <c r="L9214" t="s">
        <v>102</v>
      </c>
      <c r="M9214" t="s">
        <v>75</v>
      </c>
      <c r="R9214" t="s">
        <v>38923</v>
      </c>
      <c r="S9214" t="s">
        <v>38924</v>
      </c>
      <c r="T9214" t="s">
        <v>131</v>
      </c>
      <c r="U9214" t="s">
        <v>77</v>
      </c>
      <c r="V9214" t="str">
        <f>"104683904"</f>
        <v>104683904</v>
      </c>
      <c r="AC9214" t="s">
        <v>79</v>
      </c>
      <c r="AD9214" t="s">
        <v>75</v>
      </c>
      <c r="AE9214" t="s">
        <v>103</v>
      </c>
      <c r="AG9214" t="s">
        <v>81</v>
      </c>
    </row>
    <row r="9215" spans="1:33" x14ac:dyDescent="0.25">
      <c r="A9215" t="str">
        <f>"1598773525"</f>
        <v>1598773525</v>
      </c>
      <c r="B9215" t="str">
        <f>"01675272"</f>
        <v>01675272</v>
      </c>
      <c r="C9215" t="s">
        <v>13436</v>
      </c>
      <c r="D9215" t="s">
        <v>38925</v>
      </c>
      <c r="E9215" t="s">
        <v>38926</v>
      </c>
      <c r="G9215" t="s">
        <v>38927</v>
      </c>
      <c r="L9215" t="s">
        <v>84</v>
      </c>
      <c r="M9215" t="s">
        <v>85</v>
      </c>
      <c r="R9215" t="s">
        <v>38928</v>
      </c>
      <c r="W9215" t="s">
        <v>38926</v>
      </c>
      <c r="X9215" t="s">
        <v>38929</v>
      </c>
      <c r="Y9215" t="s">
        <v>131</v>
      </c>
      <c r="Z9215" t="s">
        <v>77</v>
      </c>
      <c r="AA9215" t="str">
        <f>"10473-4553"</f>
        <v>10473-4553</v>
      </c>
      <c r="AB9215" t="s">
        <v>78</v>
      </c>
      <c r="AC9215" t="s">
        <v>79</v>
      </c>
      <c r="AD9215" t="s">
        <v>75</v>
      </c>
      <c r="AE9215" t="s">
        <v>80</v>
      </c>
      <c r="AG9215" t="s">
        <v>81</v>
      </c>
    </row>
    <row r="9216" spans="1:33" x14ac:dyDescent="0.25">
      <c r="A9216" t="str">
        <f>"1053548495"</f>
        <v>1053548495</v>
      </c>
      <c r="B9216" t="str">
        <f>"03687538"</f>
        <v>03687538</v>
      </c>
      <c r="C9216" t="s">
        <v>13436</v>
      </c>
      <c r="D9216" t="s">
        <v>38930</v>
      </c>
      <c r="E9216" t="s">
        <v>38931</v>
      </c>
      <c r="L9216" t="s">
        <v>74</v>
      </c>
      <c r="M9216" t="s">
        <v>75</v>
      </c>
      <c r="R9216" t="s">
        <v>38931</v>
      </c>
      <c r="W9216" t="s">
        <v>38931</v>
      </c>
      <c r="X9216" t="s">
        <v>235</v>
      </c>
      <c r="Y9216" t="s">
        <v>236</v>
      </c>
      <c r="Z9216" t="s">
        <v>77</v>
      </c>
      <c r="AA9216" t="str">
        <f>"11102-2448"</f>
        <v>11102-2448</v>
      </c>
      <c r="AB9216" t="s">
        <v>78</v>
      </c>
      <c r="AC9216" t="s">
        <v>79</v>
      </c>
      <c r="AD9216" t="s">
        <v>75</v>
      </c>
      <c r="AE9216" t="s">
        <v>80</v>
      </c>
      <c r="AG9216" t="s">
        <v>81</v>
      </c>
    </row>
    <row r="9217" spans="1:33" x14ac:dyDescent="0.25">
      <c r="A9217" t="str">
        <f>"1053553065"</f>
        <v>1053553065</v>
      </c>
      <c r="C9217" t="s">
        <v>13436</v>
      </c>
      <c r="K9217" t="s">
        <v>99</v>
      </c>
      <c r="L9217" t="s">
        <v>102</v>
      </c>
      <c r="M9217" t="s">
        <v>75</v>
      </c>
      <c r="R9217" t="s">
        <v>38932</v>
      </c>
      <c r="S9217" t="s">
        <v>38933</v>
      </c>
      <c r="T9217" t="s">
        <v>87</v>
      </c>
      <c r="U9217" t="s">
        <v>77</v>
      </c>
      <c r="V9217" t="str">
        <f>"112356127"</f>
        <v>112356127</v>
      </c>
      <c r="AC9217" t="s">
        <v>79</v>
      </c>
      <c r="AD9217" t="s">
        <v>75</v>
      </c>
      <c r="AE9217" t="s">
        <v>103</v>
      </c>
      <c r="AG9217" t="s">
        <v>81</v>
      </c>
    </row>
    <row r="9218" spans="1:33" x14ac:dyDescent="0.25">
      <c r="A9218" t="str">
        <f>"1053553941"</f>
        <v>1053553941</v>
      </c>
      <c r="B9218" t="str">
        <f>"04451947"</f>
        <v>04451947</v>
      </c>
      <c r="C9218" t="s">
        <v>13436</v>
      </c>
      <c r="D9218" t="s">
        <v>38934</v>
      </c>
      <c r="E9218" t="s">
        <v>38935</v>
      </c>
      <c r="L9218" t="s">
        <v>74</v>
      </c>
      <c r="M9218" t="s">
        <v>75</v>
      </c>
      <c r="R9218" t="s">
        <v>38936</v>
      </c>
      <c r="W9218" t="s">
        <v>38935</v>
      </c>
      <c r="AB9218" t="s">
        <v>78</v>
      </c>
      <c r="AC9218" t="s">
        <v>79</v>
      </c>
      <c r="AD9218" t="s">
        <v>75</v>
      </c>
      <c r="AE9218" t="s">
        <v>80</v>
      </c>
      <c r="AG9218" t="s">
        <v>81</v>
      </c>
    </row>
    <row r="9219" spans="1:33" x14ac:dyDescent="0.25">
      <c r="A9219" t="str">
        <f>"1740454073"</f>
        <v>1740454073</v>
      </c>
      <c r="B9219" t="str">
        <f>"04331480"</f>
        <v>04331480</v>
      </c>
      <c r="C9219" t="s">
        <v>13436</v>
      </c>
      <c r="D9219" t="s">
        <v>38937</v>
      </c>
      <c r="E9219" t="s">
        <v>38938</v>
      </c>
      <c r="G9219" t="s">
        <v>38939</v>
      </c>
      <c r="L9219" t="s">
        <v>102</v>
      </c>
      <c r="M9219" t="s">
        <v>75</v>
      </c>
      <c r="R9219" t="s">
        <v>38940</v>
      </c>
      <c r="W9219" t="s">
        <v>38938</v>
      </c>
      <c r="X9219" t="s">
        <v>222</v>
      </c>
      <c r="Y9219" t="s">
        <v>199</v>
      </c>
      <c r="Z9219" t="s">
        <v>77</v>
      </c>
      <c r="AA9219" t="str">
        <f>"11706-8408"</f>
        <v>11706-8408</v>
      </c>
      <c r="AB9219" t="s">
        <v>78</v>
      </c>
      <c r="AC9219" t="s">
        <v>79</v>
      </c>
      <c r="AD9219" t="s">
        <v>75</v>
      </c>
      <c r="AE9219" t="s">
        <v>80</v>
      </c>
      <c r="AG9219" t="s">
        <v>81</v>
      </c>
    </row>
    <row r="9220" spans="1:33" x14ac:dyDescent="0.25">
      <c r="A9220" t="str">
        <f>"1225386980"</f>
        <v>1225386980</v>
      </c>
      <c r="B9220" t="str">
        <f>"03765868"</f>
        <v>03765868</v>
      </c>
      <c r="C9220" t="s">
        <v>13436</v>
      </c>
      <c r="D9220" t="s">
        <v>38941</v>
      </c>
      <c r="E9220" t="s">
        <v>38942</v>
      </c>
      <c r="L9220" t="s">
        <v>102</v>
      </c>
      <c r="M9220" t="s">
        <v>75</v>
      </c>
      <c r="R9220" t="s">
        <v>38943</v>
      </c>
      <c r="W9220" t="s">
        <v>38942</v>
      </c>
      <c r="X9220" t="s">
        <v>272</v>
      </c>
      <c r="Y9220" t="s">
        <v>97</v>
      </c>
      <c r="Z9220" t="s">
        <v>77</v>
      </c>
      <c r="AA9220" t="str">
        <f>"10029-6501"</f>
        <v>10029-6501</v>
      </c>
      <c r="AB9220" t="s">
        <v>78</v>
      </c>
      <c r="AC9220" t="s">
        <v>79</v>
      </c>
      <c r="AD9220" t="s">
        <v>75</v>
      </c>
      <c r="AE9220" t="s">
        <v>80</v>
      </c>
      <c r="AG9220" t="s">
        <v>81</v>
      </c>
    </row>
    <row r="9221" spans="1:33" x14ac:dyDescent="0.25">
      <c r="A9221" t="str">
        <f>"1225394117"</f>
        <v>1225394117</v>
      </c>
      <c r="C9221" t="s">
        <v>13436</v>
      </c>
      <c r="K9221" t="s">
        <v>99</v>
      </c>
      <c r="L9221" t="s">
        <v>102</v>
      </c>
      <c r="M9221" t="s">
        <v>75</v>
      </c>
      <c r="R9221" t="s">
        <v>38944</v>
      </c>
      <c r="S9221" t="s">
        <v>14063</v>
      </c>
      <c r="T9221" t="s">
        <v>97</v>
      </c>
      <c r="U9221" t="s">
        <v>77</v>
      </c>
      <c r="V9221" t="str">
        <f>"100296574"</f>
        <v>100296574</v>
      </c>
      <c r="AC9221" t="s">
        <v>79</v>
      </c>
      <c r="AD9221" t="s">
        <v>75</v>
      </c>
      <c r="AE9221" t="s">
        <v>103</v>
      </c>
      <c r="AG9221" t="s">
        <v>81</v>
      </c>
    </row>
    <row r="9222" spans="1:33" x14ac:dyDescent="0.25">
      <c r="A9222" t="str">
        <f>"1366699050"</f>
        <v>1366699050</v>
      </c>
      <c r="B9222" t="str">
        <f>"03737551"</f>
        <v>03737551</v>
      </c>
      <c r="C9222" t="s">
        <v>13436</v>
      </c>
      <c r="D9222" t="s">
        <v>38945</v>
      </c>
      <c r="E9222" t="s">
        <v>38946</v>
      </c>
      <c r="G9222" t="s">
        <v>38947</v>
      </c>
      <c r="L9222" t="s">
        <v>74</v>
      </c>
      <c r="M9222" t="s">
        <v>75</v>
      </c>
      <c r="R9222" t="s">
        <v>38948</v>
      </c>
      <c r="W9222" t="s">
        <v>38946</v>
      </c>
      <c r="X9222" t="s">
        <v>38949</v>
      </c>
      <c r="Y9222" t="s">
        <v>97</v>
      </c>
      <c r="Z9222" t="s">
        <v>77</v>
      </c>
      <c r="AA9222" t="str">
        <f>"10029-6504"</f>
        <v>10029-6504</v>
      </c>
      <c r="AB9222" t="s">
        <v>78</v>
      </c>
      <c r="AC9222" t="s">
        <v>79</v>
      </c>
      <c r="AD9222" t="s">
        <v>75</v>
      </c>
      <c r="AE9222" t="s">
        <v>80</v>
      </c>
      <c r="AG9222" t="s">
        <v>81</v>
      </c>
    </row>
    <row r="9223" spans="1:33" x14ac:dyDescent="0.25">
      <c r="A9223" t="str">
        <f>"1366708000"</f>
        <v>1366708000</v>
      </c>
      <c r="C9223" t="s">
        <v>13436</v>
      </c>
      <c r="K9223" t="s">
        <v>99</v>
      </c>
      <c r="L9223" t="s">
        <v>102</v>
      </c>
      <c r="M9223" t="s">
        <v>75</v>
      </c>
      <c r="R9223" t="s">
        <v>38950</v>
      </c>
      <c r="S9223" t="s">
        <v>38951</v>
      </c>
      <c r="T9223" t="s">
        <v>139</v>
      </c>
      <c r="U9223" t="s">
        <v>77</v>
      </c>
      <c r="V9223" t="str">
        <f>"113582443"</f>
        <v>113582443</v>
      </c>
      <c r="AC9223" t="s">
        <v>79</v>
      </c>
      <c r="AD9223" t="s">
        <v>75</v>
      </c>
      <c r="AE9223" t="s">
        <v>103</v>
      </c>
      <c r="AG9223" t="s">
        <v>81</v>
      </c>
    </row>
    <row r="9224" spans="1:33" x14ac:dyDescent="0.25">
      <c r="A9224" t="str">
        <f>"1366709982"</f>
        <v>1366709982</v>
      </c>
      <c r="B9224" t="str">
        <f>"04364307"</f>
        <v>04364307</v>
      </c>
      <c r="C9224" t="s">
        <v>13436</v>
      </c>
      <c r="D9224" t="s">
        <v>38952</v>
      </c>
      <c r="E9224" t="s">
        <v>38953</v>
      </c>
      <c r="L9224" t="s">
        <v>74</v>
      </c>
      <c r="M9224" t="s">
        <v>75</v>
      </c>
      <c r="R9224" t="s">
        <v>38954</v>
      </c>
      <c r="W9224" t="s">
        <v>38953</v>
      </c>
      <c r="X9224" t="s">
        <v>442</v>
      </c>
      <c r="Y9224" t="s">
        <v>97</v>
      </c>
      <c r="Z9224" t="s">
        <v>77</v>
      </c>
      <c r="AA9224" t="str">
        <f>"10065-6007"</f>
        <v>10065-6007</v>
      </c>
      <c r="AB9224" t="s">
        <v>78</v>
      </c>
      <c r="AC9224" t="s">
        <v>79</v>
      </c>
      <c r="AD9224" t="s">
        <v>75</v>
      </c>
      <c r="AE9224" t="s">
        <v>80</v>
      </c>
      <c r="AG9224" t="s">
        <v>81</v>
      </c>
    </row>
    <row r="9225" spans="1:33" x14ac:dyDescent="0.25">
      <c r="A9225" t="str">
        <f>"1366715633"</f>
        <v>1366715633</v>
      </c>
      <c r="C9225" t="s">
        <v>13436</v>
      </c>
      <c r="K9225" t="s">
        <v>99</v>
      </c>
      <c r="L9225" t="s">
        <v>102</v>
      </c>
      <c r="M9225" t="s">
        <v>75</v>
      </c>
      <c r="R9225" t="s">
        <v>38955</v>
      </c>
      <c r="S9225" t="s">
        <v>38956</v>
      </c>
      <c r="T9225" t="s">
        <v>38957</v>
      </c>
      <c r="U9225" t="s">
        <v>4504</v>
      </c>
      <c r="V9225" t="str">
        <f>"028603280"</f>
        <v>028603280</v>
      </c>
      <c r="AC9225" t="s">
        <v>79</v>
      </c>
      <c r="AD9225" t="s">
        <v>75</v>
      </c>
      <c r="AE9225" t="s">
        <v>103</v>
      </c>
      <c r="AG9225" t="s">
        <v>81</v>
      </c>
    </row>
    <row r="9226" spans="1:33" x14ac:dyDescent="0.25">
      <c r="A9226" t="str">
        <f>"1366717290"</f>
        <v>1366717290</v>
      </c>
      <c r="B9226" t="str">
        <f>"03729242"</f>
        <v>03729242</v>
      </c>
      <c r="C9226" t="s">
        <v>13436</v>
      </c>
      <c r="D9226" t="s">
        <v>38958</v>
      </c>
      <c r="E9226" t="s">
        <v>38959</v>
      </c>
      <c r="G9226" t="s">
        <v>38960</v>
      </c>
      <c r="L9226" t="s">
        <v>74</v>
      </c>
      <c r="M9226" t="s">
        <v>75</v>
      </c>
      <c r="R9226" t="s">
        <v>38961</v>
      </c>
      <c r="W9226" t="s">
        <v>38959</v>
      </c>
      <c r="X9226" t="s">
        <v>329</v>
      </c>
      <c r="Y9226" t="s">
        <v>97</v>
      </c>
      <c r="Z9226" t="s">
        <v>77</v>
      </c>
      <c r="AA9226" t="str">
        <f>"10029-6504"</f>
        <v>10029-6504</v>
      </c>
      <c r="AB9226" t="s">
        <v>78</v>
      </c>
      <c r="AC9226" t="s">
        <v>79</v>
      </c>
      <c r="AD9226" t="s">
        <v>75</v>
      </c>
      <c r="AE9226" t="s">
        <v>80</v>
      </c>
      <c r="AG9226" t="s">
        <v>81</v>
      </c>
    </row>
    <row r="9227" spans="1:33" x14ac:dyDescent="0.25">
      <c r="A9227" t="str">
        <f>"1598932170"</f>
        <v>1598932170</v>
      </c>
      <c r="C9227" t="s">
        <v>13436</v>
      </c>
      <c r="K9227" t="s">
        <v>99</v>
      </c>
      <c r="L9227" t="s">
        <v>74</v>
      </c>
      <c r="M9227" t="s">
        <v>75</v>
      </c>
      <c r="R9227" t="s">
        <v>38962</v>
      </c>
      <c r="S9227" t="s">
        <v>22296</v>
      </c>
      <c r="T9227" t="s">
        <v>97</v>
      </c>
      <c r="U9227" t="s">
        <v>77</v>
      </c>
      <c r="V9227" t="str">
        <f>"100296500"</f>
        <v>100296500</v>
      </c>
      <c r="AC9227" t="s">
        <v>79</v>
      </c>
      <c r="AD9227" t="s">
        <v>75</v>
      </c>
      <c r="AE9227" t="s">
        <v>103</v>
      </c>
      <c r="AG9227" t="s">
        <v>81</v>
      </c>
    </row>
    <row r="9228" spans="1:33" x14ac:dyDescent="0.25">
      <c r="A9228" t="str">
        <f>"1538378427"</f>
        <v>1538378427</v>
      </c>
      <c r="B9228" t="str">
        <f>"03358216"</f>
        <v>03358216</v>
      </c>
      <c r="C9228" t="s">
        <v>13436</v>
      </c>
      <c r="D9228" t="s">
        <v>38963</v>
      </c>
      <c r="E9228" t="s">
        <v>38964</v>
      </c>
      <c r="G9228" t="s">
        <v>38965</v>
      </c>
      <c r="L9228" t="s">
        <v>83</v>
      </c>
      <c r="M9228" t="s">
        <v>85</v>
      </c>
      <c r="R9228" t="s">
        <v>38966</v>
      </c>
      <c r="W9228" t="s">
        <v>38964</v>
      </c>
      <c r="X9228" t="s">
        <v>329</v>
      </c>
      <c r="Y9228" t="s">
        <v>97</v>
      </c>
      <c r="Z9228" t="s">
        <v>77</v>
      </c>
      <c r="AA9228" t="str">
        <f>"10029-6500"</f>
        <v>10029-6500</v>
      </c>
      <c r="AB9228" t="s">
        <v>78</v>
      </c>
      <c r="AC9228" t="s">
        <v>79</v>
      </c>
      <c r="AD9228" t="s">
        <v>75</v>
      </c>
      <c r="AE9228" t="s">
        <v>80</v>
      </c>
      <c r="AG9228" t="s">
        <v>81</v>
      </c>
    </row>
    <row r="9229" spans="1:33" x14ac:dyDescent="0.25">
      <c r="A9229" t="str">
        <f>"1538389127"</f>
        <v>1538389127</v>
      </c>
      <c r="B9229" t="str">
        <f>"03029403"</f>
        <v>03029403</v>
      </c>
      <c r="C9229" t="s">
        <v>13436</v>
      </c>
      <c r="D9229" t="s">
        <v>38967</v>
      </c>
      <c r="E9229" t="s">
        <v>38968</v>
      </c>
      <c r="G9229" t="s">
        <v>38969</v>
      </c>
      <c r="L9229" t="s">
        <v>83</v>
      </c>
      <c r="M9229" t="s">
        <v>75</v>
      </c>
      <c r="R9229" t="s">
        <v>38970</v>
      </c>
      <c r="W9229" t="s">
        <v>38971</v>
      </c>
      <c r="X9229" t="s">
        <v>234</v>
      </c>
      <c r="Y9229" t="s">
        <v>97</v>
      </c>
      <c r="Z9229" t="s">
        <v>77</v>
      </c>
      <c r="AA9229" t="str">
        <f>"10032-3729"</f>
        <v>10032-3729</v>
      </c>
      <c r="AB9229" t="s">
        <v>78</v>
      </c>
      <c r="AC9229" t="s">
        <v>79</v>
      </c>
      <c r="AD9229" t="s">
        <v>75</v>
      </c>
      <c r="AE9229" t="s">
        <v>80</v>
      </c>
      <c r="AG9229" t="s">
        <v>81</v>
      </c>
    </row>
    <row r="9230" spans="1:33" x14ac:dyDescent="0.25">
      <c r="A9230" t="str">
        <f>"1013927235"</f>
        <v>1013927235</v>
      </c>
      <c r="B9230" t="str">
        <f>"01989660"</f>
        <v>01989660</v>
      </c>
      <c r="C9230" t="s">
        <v>13436</v>
      </c>
      <c r="D9230" t="s">
        <v>38972</v>
      </c>
      <c r="E9230" t="s">
        <v>38973</v>
      </c>
      <c r="G9230" t="s">
        <v>38974</v>
      </c>
      <c r="L9230" t="s">
        <v>84</v>
      </c>
      <c r="M9230" t="s">
        <v>85</v>
      </c>
      <c r="R9230" t="s">
        <v>38975</v>
      </c>
      <c r="W9230" t="s">
        <v>38973</v>
      </c>
      <c r="X9230" t="s">
        <v>4486</v>
      </c>
      <c r="Y9230" t="s">
        <v>97</v>
      </c>
      <c r="Z9230" t="s">
        <v>77</v>
      </c>
      <c r="AA9230" t="str">
        <f>"10016-6055"</f>
        <v>10016-6055</v>
      </c>
      <c r="AB9230" t="s">
        <v>78</v>
      </c>
      <c r="AC9230" t="s">
        <v>79</v>
      </c>
      <c r="AD9230" t="s">
        <v>75</v>
      </c>
      <c r="AE9230" t="s">
        <v>80</v>
      </c>
      <c r="AG9230" t="s">
        <v>81</v>
      </c>
    </row>
    <row r="9231" spans="1:33" x14ac:dyDescent="0.25">
      <c r="A9231" t="str">
        <f>"1023014776"</f>
        <v>1023014776</v>
      </c>
      <c r="B9231" t="str">
        <f>"00580209"</f>
        <v>00580209</v>
      </c>
      <c r="C9231" t="s">
        <v>13436</v>
      </c>
      <c r="D9231" t="s">
        <v>38976</v>
      </c>
      <c r="E9231" t="s">
        <v>38977</v>
      </c>
      <c r="G9231" t="s">
        <v>38978</v>
      </c>
      <c r="L9231" t="s">
        <v>83</v>
      </c>
      <c r="M9231" t="s">
        <v>85</v>
      </c>
      <c r="R9231" t="s">
        <v>38979</v>
      </c>
      <c r="W9231" t="s">
        <v>38977</v>
      </c>
      <c r="X9231" t="s">
        <v>12499</v>
      </c>
      <c r="Y9231" t="s">
        <v>97</v>
      </c>
      <c r="Z9231" t="s">
        <v>77</v>
      </c>
      <c r="AA9231" t="str">
        <f>"10021-2805"</f>
        <v>10021-2805</v>
      </c>
      <c r="AB9231" t="s">
        <v>78</v>
      </c>
      <c r="AC9231" t="s">
        <v>79</v>
      </c>
      <c r="AD9231" t="s">
        <v>75</v>
      </c>
      <c r="AE9231" t="s">
        <v>80</v>
      </c>
      <c r="AG9231" t="s">
        <v>81</v>
      </c>
    </row>
    <row r="9232" spans="1:33" x14ac:dyDescent="0.25">
      <c r="A9232" t="str">
        <f>"1023042009"</f>
        <v>1023042009</v>
      </c>
      <c r="B9232" t="str">
        <f>"01697332"</f>
        <v>01697332</v>
      </c>
      <c r="C9232" t="s">
        <v>13436</v>
      </c>
      <c r="D9232" t="s">
        <v>38980</v>
      </c>
      <c r="E9232" t="s">
        <v>38981</v>
      </c>
      <c r="G9232" t="s">
        <v>38982</v>
      </c>
      <c r="L9232" t="s">
        <v>74</v>
      </c>
      <c r="M9232" t="s">
        <v>75</v>
      </c>
      <c r="R9232" t="s">
        <v>38983</v>
      </c>
      <c r="W9232" t="s">
        <v>38981</v>
      </c>
      <c r="Y9232" t="s">
        <v>87</v>
      </c>
      <c r="Z9232" t="s">
        <v>77</v>
      </c>
      <c r="AA9232" t="str">
        <f>"11201-5493"</f>
        <v>11201-5493</v>
      </c>
      <c r="AB9232" t="s">
        <v>78</v>
      </c>
      <c r="AC9232" t="s">
        <v>79</v>
      </c>
      <c r="AD9232" t="s">
        <v>75</v>
      </c>
      <c r="AE9232" t="s">
        <v>80</v>
      </c>
      <c r="AG9232" t="s">
        <v>81</v>
      </c>
    </row>
    <row r="9233" spans="1:33" x14ac:dyDescent="0.25">
      <c r="A9233" t="str">
        <f>"1023056512"</f>
        <v>1023056512</v>
      </c>
      <c r="B9233" t="str">
        <f>"00853269"</f>
        <v>00853269</v>
      </c>
      <c r="C9233" t="s">
        <v>13436</v>
      </c>
      <c r="D9233" t="s">
        <v>38984</v>
      </c>
      <c r="E9233" t="s">
        <v>38985</v>
      </c>
      <c r="G9233" t="s">
        <v>38986</v>
      </c>
      <c r="L9233" t="s">
        <v>83</v>
      </c>
      <c r="M9233" t="s">
        <v>75</v>
      </c>
      <c r="R9233" t="s">
        <v>38987</v>
      </c>
      <c r="W9233" t="s">
        <v>38985</v>
      </c>
      <c r="X9233" t="s">
        <v>38988</v>
      </c>
      <c r="Y9233" t="s">
        <v>97</v>
      </c>
      <c r="Z9233" t="s">
        <v>77</v>
      </c>
      <c r="AA9233" t="str">
        <f>"10023-5034"</f>
        <v>10023-5034</v>
      </c>
      <c r="AB9233" t="s">
        <v>78</v>
      </c>
      <c r="AC9233" t="s">
        <v>79</v>
      </c>
      <c r="AD9233" t="s">
        <v>75</v>
      </c>
      <c r="AE9233" t="s">
        <v>80</v>
      </c>
      <c r="AG9233" t="s">
        <v>81</v>
      </c>
    </row>
    <row r="9234" spans="1:33" x14ac:dyDescent="0.25">
      <c r="A9234" t="str">
        <f>"1023115631"</f>
        <v>1023115631</v>
      </c>
      <c r="B9234" t="str">
        <f>"01750036"</f>
        <v>01750036</v>
      </c>
      <c r="C9234" t="s">
        <v>13436</v>
      </c>
      <c r="D9234" t="s">
        <v>38989</v>
      </c>
      <c r="E9234" t="s">
        <v>38990</v>
      </c>
      <c r="G9234" t="s">
        <v>38991</v>
      </c>
      <c r="L9234" t="s">
        <v>83</v>
      </c>
      <c r="M9234" t="s">
        <v>75</v>
      </c>
      <c r="R9234" t="s">
        <v>38992</v>
      </c>
      <c r="W9234" t="s">
        <v>38990</v>
      </c>
      <c r="X9234" t="s">
        <v>38993</v>
      </c>
      <c r="Y9234" t="s">
        <v>87</v>
      </c>
      <c r="Z9234" t="s">
        <v>77</v>
      </c>
      <c r="AA9234" t="str">
        <f>"11212-3139"</f>
        <v>11212-3139</v>
      </c>
      <c r="AB9234" t="s">
        <v>78</v>
      </c>
      <c r="AC9234" t="s">
        <v>79</v>
      </c>
      <c r="AD9234" t="s">
        <v>75</v>
      </c>
      <c r="AE9234" t="s">
        <v>80</v>
      </c>
      <c r="AG9234" t="s">
        <v>81</v>
      </c>
    </row>
    <row r="9235" spans="1:33" x14ac:dyDescent="0.25">
      <c r="A9235" t="str">
        <f>"1023204013"</f>
        <v>1023204013</v>
      </c>
      <c r="B9235" t="str">
        <f>"00233321"</f>
        <v>00233321</v>
      </c>
      <c r="C9235" t="s">
        <v>13436</v>
      </c>
      <c r="D9235" t="s">
        <v>38994</v>
      </c>
      <c r="E9235" t="s">
        <v>38995</v>
      </c>
      <c r="G9235" t="s">
        <v>38996</v>
      </c>
      <c r="L9235" t="s">
        <v>83</v>
      </c>
      <c r="M9235" t="s">
        <v>85</v>
      </c>
      <c r="R9235" t="s">
        <v>38997</v>
      </c>
      <c r="W9235" t="s">
        <v>38995</v>
      </c>
      <c r="X9235" t="s">
        <v>2770</v>
      </c>
      <c r="Y9235" t="s">
        <v>97</v>
      </c>
      <c r="Z9235" t="s">
        <v>77</v>
      </c>
      <c r="AA9235" t="str">
        <f>"10003-2674"</f>
        <v>10003-2674</v>
      </c>
      <c r="AB9235" t="s">
        <v>78</v>
      </c>
      <c r="AC9235" t="s">
        <v>79</v>
      </c>
      <c r="AD9235" t="s">
        <v>75</v>
      </c>
      <c r="AE9235" t="s">
        <v>80</v>
      </c>
      <c r="AG9235" t="s">
        <v>81</v>
      </c>
    </row>
    <row r="9236" spans="1:33" x14ac:dyDescent="0.25">
      <c r="A9236" t="str">
        <f>"1023273828"</f>
        <v>1023273828</v>
      </c>
      <c r="B9236" t="str">
        <f>"03023205"</f>
        <v>03023205</v>
      </c>
      <c r="C9236" t="s">
        <v>13436</v>
      </c>
      <c r="D9236" t="s">
        <v>38998</v>
      </c>
      <c r="E9236" t="s">
        <v>38999</v>
      </c>
      <c r="G9236" t="s">
        <v>39000</v>
      </c>
      <c r="L9236" t="s">
        <v>83</v>
      </c>
      <c r="M9236" t="s">
        <v>75</v>
      </c>
      <c r="R9236" t="s">
        <v>39001</v>
      </c>
      <c r="W9236" t="s">
        <v>38999</v>
      </c>
      <c r="X9236" t="s">
        <v>181</v>
      </c>
      <c r="Y9236" t="s">
        <v>97</v>
      </c>
      <c r="Z9236" t="s">
        <v>77</v>
      </c>
      <c r="AA9236" t="str">
        <f>"10025-1716"</f>
        <v>10025-1716</v>
      </c>
      <c r="AB9236" t="s">
        <v>78</v>
      </c>
      <c r="AC9236" t="s">
        <v>79</v>
      </c>
      <c r="AD9236" t="s">
        <v>75</v>
      </c>
      <c r="AE9236" t="s">
        <v>80</v>
      </c>
      <c r="AG9236" t="s">
        <v>81</v>
      </c>
    </row>
    <row r="9237" spans="1:33" x14ac:dyDescent="0.25">
      <c r="A9237" t="str">
        <f>"1033219456"</f>
        <v>1033219456</v>
      </c>
      <c r="B9237" t="str">
        <f>"01170218"</f>
        <v>01170218</v>
      </c>
      <c r="C9237" t="s">
        <v>13436</v>
      </c>
      <c r="D9237" t="s">
        <v>39002</v>
      </c>
      <c r="E9237" t="s">
        <v>39003</v>
      </c>
      <c r="G9237" t="s">
        <v>39004</v>
      </c>
      <c r="L9237" t="s">
        <v>84</v>
      </c>
      <c r="M9237" t="s">
        <v>75</v>
      </c>
      <c r="R9237" t="s">
        <v>39005</v>
      </c>
      <c r="W9237" t="s">
        <v>39003</v>
      </c>
      <c r="X9237" t="s">
        <v>39006</v>
      </c>
      <c r="Y9237" t="s">
        <v>97</v>
      </c>
      <c r="Z9237" t="s">
        <v>77</v>
      </c>
      <c r="AA9237" t="str">
        <f>"10128-4077"</f>
        <v>10128-4077</v>
      </c>
      <c r="AB9237" t="s">
        <v>78</v>
      </c>
      <c r="AC9237" t="s">
        <v>79</v>
      </c>
      <c r="AD9237" t="s">
        <v>75</v>
      </c>
      <c r="AE9237" t="s">
        <v>80</v>
      </c>
      <c r="AG9237" t="s">
        <v>81</v>
      </c>
    </row>
    <row r="9238" spans="1:33" x14ac:dyDescent="0.25">
      <c r="A9238" t="str">
        <f>"1033222948"</f>
        <v>1033222948</v>
      </c>
      <c r="B9238" t="str">
        <f>"00889712"</f>
        <v>00889712</v>
      </c>
      <c r="C9238" t="s">
        <v>13436</v>
      </c>
      <c r="D9238" t="s">
        <v>39007</v>
      </c>
      <c r="E9238" t="s">
        <v>39008</v>
      </c>
      <c r="G9238" t="s">
        <v>39009</v>
      </c>
      <c r="L9238" t="s">
        <v>102</v>
      </c>
      <c r="M9238" t="s">
        <v>75</v>
      </c>
      <c r="R9238" t="s">
        <v>39010</v>
      </c>
      <c r="W9238" t="s">
        <v>39008</v>
      </c>
      <c r="X9238" t="s">
        <v>4799</v>
      </c>
      <c r="Y9238" t="s">
        <v>87</v>
      </c>
      <c r="Z9238" t="s">
        <v>77</v>
      </c>
      <c r="AA9238" t="str">
        <f>"11234-2625"</f>
        <v>11234-2625</v>
      </c>
      <c r="AB9238" t="s">
        <v>78</v>
      </c>
      <c r="AC9238" t="s">
        <v>79</v>
      </c>
      <c r="AD9238" t="s">
        <v>75</v>
      </c>
      <c r="AE9238" t="s">
        <v>80</v>
      </c>
      <c r="AG9238" t="s">
        <v>81</v>
      </c>
    </row>
    <row r="9239" spans="1:33" x14ac:dyDescent="0.25">
      <c r="A9239" t="str">
        <f>"1033259593"</f>
        <v>1033259593</v>
      </c>
      <c r="B9239" t="str">
        <f>"02887534"</f>
        <v>02887534</v>
      </c>
      <c r="C9239" t="s">
        <v>13436</v>
      </c>
      <c r="D9239" t="s">
        <v>39011</v>
      </c>
      <c r="E9239" t="s">
        <v>39012</v>
      </c>
      <c r="G9239" t="s">
        <v>39013</v>
      </c>
      <c r="L9239" t="s">
        <v>105</v>
      </c>
      <c r="M9239" t="s">
        <v>85</v>
      </c>
      <c r="R9239" t="s">
        <v>39014</v>
      </c>
      <c r="W9239" t="s">
        <v>39012</v>
      </c>
      <c r="X9239" t="s">
        <v>329</v>
      </c>
      <c r="Y9239" t="s">
        <v>97</v>
      </c>
      <c r="Z9239" t="s">
        <v>77</v>
      </c>
      <c r="AA9239" t="str">
        <f>"10029-6500"</f>
        <v>10029-6500</v>
      </c>
      <c r="AB9239" t="s">
        <v>78</v>
      </c>
      <c r="AC9239" t="s">
        <v>79</v>
      </c>
      <c r="AD9239" t="s">
        <v>75</v>
      </c>
      <c r="AE9239" t="s">
        <v>80</v>
      </c>
      <c r="AG9239" t="s">
        <v>81</v>
      </c>
    </row>
    <row r="9240" spans="1:33" x14ac:dyDescent="0.25">
      <c r="A9240" t="str">
        <f>"1033319850"</f>
        <v>1033319850</v>
      </c>
      <c r="B9240" t="str">
        <f>"03089461"</f>
        <v>03089461</v>
      </c>
      <c r="C9240" t="s">
        <v>13436</v>
      </c>
      <c r="D9240" t="s">
        <v>39015</v>
      </c>
      <c r="E9240" t="s">
        <v>39016</v>
      </c>
      <c r="G9240" t="s">
        <v>39017</v>
      </c>
      <c r="L9240" t="s">
        <v>105</v>
      </c>
      <c r="M9240" t="s">
        <v>85</v>
      </c>
      <c r="R9240" t="s">
        <v>39018</v>
      </c>
      <c r="W9240" t="s">
        <v>39019</v>
      </c>
      <c r="X9240" t="s">
        <v>39020</v>
      </c>
      <c r="Y9240" t="s">
        <v>97</v>
      </c>
      <c r="Z9240" t="s">
        <v>77</v>
      </c>
      <c r="AA9240" t="str">
        <f>"10029-6574"</f>
        <v>10029-6574</v>
      </c>
      <c r="AB9240" t="s">
        <v>78</v>
      </c>
      <c r="AC9240" t="s">
        <v>79</v>
      </c>
      <c r="AD9240" t="s">
        <v>75</v>
      </c>
      <c r="AE9240" t="s">
        <v>80</v>
      </c>
      <c r="AG9240" t="s">
        <v>81</v>
      </c>
    </row>
    <row r="9241" spans="1:33" x14ac:dyDescent="0.25">
      <c r="A9241" t="str">
        <f>"1538450002"</f>
        <v>1538450002</v>
      </c>
      <c r="C9241" t="s">
        <v>13436</v>
      </c>
      <c r="K9241" t="s">
        <v>99</v>
      </c>
      <c r="L9241" t="s">
        <v>74</v>
      </c>
      <c r="M9241" t="s">
        <v>75</v>
      </c>
      <c r="R9241" t="s">
        <v>39021</v>
      </c>
      <c r="S9241" t="s">
        <v>2587</v>
      </c>
      <c r="T9241" t="s">
        <v>97</v>
      </c>
      <c r="U9241" t="s">
        <v>77</v>
      </c>
      <c r="V9241" t="str">
        <f>"100033314"</f>
        <v>100033314</v>
      </c>
      <c r="AC9241" t="s">
        <v>79</v>
      </c>
      <c r="AD9241" t="s">
        <v>75</v>
      </c>
      <c r="AE9241" t="s">
        <v>103</v>
      </c>
      <c r="AG9241" t="s">
        <v>81</v>
      </c>
    </row>
    <row r="9242" spans="1:33" x14ac:dyDescent="0.25">
      <c r="A9242" t="str">
        <f>"1225386725"</f>
        <v>1225386725</v>
      </c>
      <c r="C9242" t="s">
        <v>13436</v>
      </c>
      <c r="K9242" t="s">
        <v>99</v>
      </c>
      <c r="L9242" t="s">
        <v>102</v>
      </c>
      <c r="M9242" t="s">
        <v>75</v>
      </c>
      <c r="R9242" t="s">
        <v>39022</v>
      </c>
      <c r="S9242" t="s">
        <v>11124</v>
      </c>
      <c r="T9242" t="s">
        <v>97</v>
      </c>
      <c r="U9242" t="s">
        <v>77</v>
      </c>
      <c r="V9242" t="str">
        <f>"100296503"</f>
        <v>100296503</v>
      </c>
      <c r="AC9242" t="s">
        <v>79</v>
      </c>
      <c r="AD9242" t="s">
        <v>75</v>
      </c>
      <c r="AE9242" t="s">
        <v>103</v>
      </c>
      <c r="AG9242" t="s">
        <v>81</v>
      </c>
    </row>
    <row r="9243" spans="1:33" x14ac:dyDescent="0.25">
      <c r="A9243" t="str">
        <f>"1003008301"</f>
        <v>1003008301</v>
      </c>
      <c r="B9243" t="str">
        <f>"02003170"</f>
        <v>02003170</v>
      </c>
      <c r="C9243" t="s">
        <v>39023</v>
      </c>
      <c r="D9243" t="s">
        <v>39024</v>
      </c>
      <c r="E9243" t="s">
        <v>39025</v>
      </c>
      <c r="G9243" t="s">
        <v>31777</v>
      </c>
      <c r="H9243" t="s">
        <v>31778</v>
      </c>
      <c r="J9243" t="s">
        <v>31779</v>
      </c>
      <c r="L9243" t="s">
        <v>119</v>
      </c>
      <c r="M9243" t="s">
        <v>85</v>
      </c>
      <c r="R9243" t="s">
        <v>39026</v>
      </c>
      <c r="W9243" t="s">
        <v>39025</v>
      </c>
      <c r="X9243" t="s">
        <v>120</v>
      </c>
      <c r="Y9243" t="s">
        <v>97</v>
      </c>
      <c r="Z9243" t="s">
        <v>77</v>
      </c>
      <c r="AA9243" t="str">
        <f>"10011-4225"</f>
        <v>10011-4225</v>
      </c>
      <c r="AB9243" t="s">
        <v>122</v>
      </c>
      <c r="AC9243" t="s">
        <v>79</v>
      </c>
      <c r="AD9243" t="s">
        <v>75</v>
      </c>
      <c r="AE9243" t="s">
        <v>80</v>
      </c>
      <c r="AG9243" t="s">
        <v>81</v>
      </c>
    </row>
    <row r="9244" spans="1:33" x14ac:dyDescent="0.25">
      <c r="A9244" t="str">
        <f>"1972592590"</f>
        <v>1972592590</v>
      </c>
      <c r="B9244" t="str">
        <f>"01642213"</f>
        <v>01642213</v>
      </c>
      <c r="C9244" t="s">
        <v>13436</v>
      </c>
      <c r="D9244" t="s">
        <v>39027</v>
      </c>
      <c r="E9244" t="s">
        <v>39028</v>
      </c>
      <c r="L9244" t="s">
        <v>83</v>
      </c>
      <c r="M9244" t="s">
        <v>85</v>
      </c>
      <c r="R9244" t="s">
        <v>39029</v>
      </c>
      <c r="W9244" t="s">
        <v>39028</v>
      </c>
      <c r="X9244" t="s">
        <v>2926</v>
      </c>
      <c r="Y9244" t="s">
        <v>97</v>
      </c>
      <c r="Z9244" t="s">
        <v>77</v>
      </c>
      <c r="AA9244" t="str">
        <f>"10029-6503"</f>
        <v>10029-6503</v>
      </c>
      <c r="AB9244" t="s">
        <v>78</v>
      </c>
      <c r="AC9244" t="s">
        <v>79</v>
      </c>
      <c r="AD9244" t="s">
        <v>75</v>
      </c>
      <c r="AE9244" t="s">
        <v>80</v>
      </c>
      <c r="AG9244" t="s">
        <v>81</v>
      </c>
    </row>
    <row r="9245" spans="1:33" x14ac:dyDescent="0.25">
      <c r="A9245" t="str">
        <f>"1972621704"</f>
        <v>1972621704</v>
      </c>
      <c r="B9245" t="str">
        <f>"03126556"</f>
        <v>03126556</v>
      </c>
      <c r="C9245" t="s">
        <v>13436</v>
      </c>
      <c r="D9245" t="s">
        <v>39030</v>
      </c>
      <c r="E9245" t="s">
        <v>39031</v>
      </c>
      <c r="G9245" t="s">
        <v>39032</v>
      </c>
      <c r="L9245" t="s">
        <v>74</v>
      </c>
      <c r="M9245" t="s">
        <v>85</v>
      </c>
      <c r="R9245" t="s">
        <v>39033</v>
      </c>
      <c r="W9245" t="s">
        <v>39034</v>
      </c>
      <c r="X9245" t="s">
        <v>10363</v>
      </c>
      <c r="Y9245" t="s">
        <v>97</v>
      </c>
      <c r="Z9245" t="s">
        <v>77</v>
      </c>
      <c r="AA9245" t="str">
        <f>"10029-6508"</f>
        <v>10029-6508</v>
      </c>
      <c r="AB9245" t="s">
        <v>78</v>
      </c>
      <c r="AC9245" t="s">
        <v>79</v>
      </c>
      <c r="AD9245" t="s">
        <v>75</v>
      </c>
      <c r="AE9245" t="s">
        <v>80</v>
      </c>
      <c r="AG9245" t="s">
        <v>81</v>
      </c>
    </row>
    <row r="9246" spans="1:33" x14ac:dyDescent="0.25">
      <c r="A9246" t="str">
        <f>"1972695492"</f>
        <v>1972695492</v>
      </c>
      <c r="B9246" t="str">
        <f>"02098713"</f>
        <v>02098713</v>
      </c>
      <c r="C9246" t="s">
        <v>13436</v>
      </c>
      <c r="D9246" t="s">
        <v>39035</v>
      </c>
      <c r="E9246" t="s">
        <v>39036</v>
      </c>
      <c r="L9246" t="s">
        <v>83</v>
      </c>
      <c r="M9246" t="s">
        <v>85</v>
      </c>
      <c r="R9246" t="s">
        <v>39037</v>
      </c>
      <c r="W9246" t="s">
        <v>39036</v>
      </c>
      <c r="X9246" t="s">
        <v>329</v>
      </c>
      <c r="Y9246" t="s">
        <v>97</v>
      </c>
      <c r="Z9246" t="s">
        <v>77</v>
      </c>
      <c r="AA9246" t="str">
        <f>"10029-6574"</f>
        <v>10029-6574</v>
      </c>
      <c r="AB9246" t="s">
        <v>78</v>
      </c>
      <c r="AC9246" t="s">
        <v>79</v>
      </c>
      <c r="AD9246" t="s">
        <v>75</v>
      </c>
      <c r="AE9246" t="s">
        <v>80</v>
      </c>
      <c r="AG9246" t="s">
        <v>81</v>
      </c>
    </row>
    <row r="9247" spans="1:33" x14ac:dyDescent="0.25">
      <c r="A9247" t="str">
        <f>"1972712578"</f>
        <v>1972712578</v>
      </c>
      <c r="B9247" t="str">
        <f>"03427483"</f>
        <v>03427483</v>
      </c>
      <c r="C9247" t="s">
        <v>13436</v>
      </c>
      <c r="D9247" t="s">
        <v>39038</v>
      </c>
      <c r="E9247" t="s">
        <v>39039</v>
      </c>
      <c r="G9247" t="s">
        <v>39040</v>
      </c>
      <c r="L9247" t="s">
        <v>83</v>
      </c>
      <c r="M9247" t="s">
        <v>85</v>
      </c>
      <c r="R9247" t="s">
        <v>39041</v>
      </c>
      <c r="W9247" t="s">
        <v>39039</v>
      </c>
      <c r="X9247" t="s">
        <v>39042</v>
      </c>
      <c r="Y9247" t="s">
        <v>97</v>
      </c>
      <c r="Z9247" t="s">
        <v>77</v>
      </c>
      <c r="AA9247" t="str">
        <f>"10016-4942"</f>
        <v>10016-4942</v>
      </c>
      <c r="AB9247" t="s">
        <v>78</v>
      </c>
      <c r="AC9247" t="s">
        <v>79</v>
      </c>
      <c r="AD9247" t="s">
        <v>75</v>
      </c>
      <c r="AE9247" t="s">
        <v>80</v>
      </c>
      <c r="AG9247" t="s">
        <v>81</v>
      </c>
    </row>
    <row r="9248" spans="1:33" x14ac:dyDescent="0.25">
      <c r="A9248" t="str">
        <f>"1760801286"</f>
        <v>1760801286</v>
      </c>
      <c r="C9248" t="s">
        <v>13436</v>
      </c>
      <c r="K9248" t="s">
        <v>99</v>
      </c>
      <c r="L9248" t="s">
        <v>102</v>
      </c>
      <c r="M9248" t="s">
        <v>75</v>
      </c>
      <c r="R9248" t="s">
        <v>39043</v>
      </c>
      <c r="S9248" t="s">
        <v>191</v>
      </c>
      <c r="T9248" t="s">
        <v>97</v>
      </c>
      <c r="U9248" t="s">
        <v>77</v>
      </c>
      <c r="V9248" t="str">
        <f>"100191147"</f>
        <v>100191147</v>
      </c>
      <c r="AC9248" t="s">
        <v>79</v>
      </c>
      <c r="AD9248" t="s">
        <v>75</v>
      </c>
      <c r="AE9248" t="s">
        <v>103</v>
      </c>
      <c r="AG9248" t="s">
        <v>81</v>
      </c>
    </row>
    <row r="9249" spans="1:33" x14ac:dyDescent="0.25">
      <c r="A9249" t="str">
        <f>"1730124025"</f>
        <v>1730124025</v>
      </c>
      <c r="B9249" t="str">
        <f>"00245423"</f>
        <v>00245423</v>
      </c>
      <c r="C9249" t="s">
        <v>39044</v>
      </c>
      <c r="D9249" t="s">
        <v>39045</v>
      </c>
      <c r="E9249" t="s">
        <v>39046</v>
      </c>
      <c r="G9249" t="s">
        <v>39047</v>
      </c>
      <c r="H9249" t="s">
        <v>39048</v>
      </c>
      <c r="L9249" t="s">
        <v>358</v>
      </c>
      <c r="M9249" t="s">
        <v>85</v>
      </c>
      <c r="R9249" t="s">
        <v>39049</v>
      </c>
      <c r="W9249" t="s">
        <v>39046</v>
      </c>
      <c r="X9249" t="s">
        <v>39050</v>
      </c>
      <c r="Y9249" t="s">
        <v>97</v>
      </c>
      <c r="Z9249" t="s">
        <v>77</v>
      </c>
      <c r="AA9249" t="str">
        <f>"10040-2102"</f>
        <v>10040-2102</v>
      </c>
      <c r="AB9249" t="s">
        <v>122</v>
      </c>
      <c r="AC9249" t="s">
        <v>79</v>
      </c>
      <c r="AD9249" t="s">
        <v>75</v>
      </c>
      <c r="AE9249" t="s">
        <v>80</v>
      </c>
      <c r="AG9249" t="s">
        <v>81</v>
      </c>
    </row>
    <row r="9250" spans="1:33" x14ac:dyDescent="0.25">
      <c r="A9250" t="str">
        <f>"1386887529"</f>
        <v>1386887529</v>
      </c>
      <c r="B9250" t="str">
        <f>"03184512"</f>
        <v>03184512</v>
      </c>
      <c r="C9250" t="s">
        <v>39051</v>
      </c>
      <c r="D9250" t="s">
        <v>3376</v>
      </c>
      <c r="E9250" t="s">
        <v>3377</v>
      </c>
      <c r="F9250">
        <v>131991946</v>
      </c>
      <c r="L9250" t="s">
        <v>104</v>
      </c>
      <c r="M9250" t="s">
        <v>85</v>
      </c>
      <c r="R9250" t="s">
        <v>3382</v>
      </c>
      <c r="W9250" t="s">
        <v>3384</v>
      </c>
      <c r="X9250" t="s">
        <v>3385</v>
      </c>
      <c r="Y9250" t="s">
        <v>205</v>
      </c>
      <c r="Z9250" t="s">
        <v>77</v>
      </c>
      <c r="AA9250" t="str">
        <f>"10977-5145"</f>
        <v>10977-5145</v>
      </c>
      <c r="AB9250" t="s">
        <v>107</v>
      </c>
      <c r="AC9250" t="s">
        <v>79</v>
      </c>
      <c r="AD9250" t="s">
        <v>75</v>
      </c>
      <c r="AE9250" t="s">
        <v>80</v>
      </c>
      <c r="AG9250" t="s">
        <v>81</v>
      </c>
    </row>
    <row r="9251" spans="1:33" x14ac:dyDescent="0.25">
      <c r="A9251" t="str">
        <f>"1700869534"</f>
        <v>1700869534</v>
      </c>
      <c r="B9251" t="str">
        <f>"03007361"</f>
        <v>03007361</v>
      </c>
      <c r="C9251" t="s">
        <v>39052</v>
      </c>
      <c r="D9251" t="s">
        <v>39053</v>
      </c>
      <c r="E9251" t="s">
        <v>39054</v>
      </c>
      <c r="L9251" t="s">
        <v>37</v>
      </c>
      <c r="M9251" t="s">
        <v>85</v>
      </c>
      <c r="R9251" t="s">
        <v>39055</v>
      </c>
      <c r="W9251" t="s">
        <v>39054</v>
      </c>
      <c r="X9251" t="s">
        <v>39056</v>
      </c>
      <c r="Y9251" t="s">
        <v>97</v>
      </c>
      <c r="Z9251" t="s">
        <v>77</v>
      </c>
      <c r="AA9251" t="str">
        <f>"10014"</f>
        <v>10014</v>
      </c>
      <c r="AB9251" t="s">
        <v>107</v>
      </c>
      <c r="AC9251" t="s">
        <v>79</v>
      </c>
      <c r="AD9251" t="s">
        <v>75</v>
      </c>
      <c r="AE9251" t="s">
        <v>80</v>
      </c>
      <c r="AG9251" t="s">
        <v>81</v>
      </c>
    </row>
    <row r="9252" spans="1:33" x14ac:dyDescent="0.25">
      <c r="A9252" t="str">
        <f>"1073886131"</f>
        <v>1073886131</v>
      </c>
      <c r="B9252" t="str">
        <f>"03595562"</f>
        <v>03595562</v>
      </c>
      <c r="C9252" t="s">
        <v>32778</v>
      </c>
      <c r="D9252" t="s">
        <v>32779</v>
      </c>
      <c r="E9252" t="s">
        <v>32780</v>
      </c>
      <c r="L9252" t="s">
        <v>1790</v>
      </c>
      <c r="M9252" t="s">
        <v>85</v>
      </c>
      <c r="R9252" t="s">
        <v>32782</v>
      </c>
      <c r="W9252" t="s">
        <v>32782</v>
      </c>
      <c r="X9252" t="s">
        <v>11308</v>
      </c>
      <c r="Y9252" t="s">
        <v>131</v>
      </c>
      <c r="Z9252" t="s">
        <v>77</v>
      </c>
      <c r="AA9252" t="str">
        <f>"10453-5436"</f>
        <v>10453-5436</v>
      </c>
      <c r="AB9252" t="s">
        <v>122</v>
      </c>
      <c r="AC9252" t="s">
        <v>79</v>
      </c>
      <c r="AD9252" t="s">
        <v>75</v>
      </c>
      <c r="AE9252" t="s">
        <v>80</v>
      </c>
      <c r="AG9252" t="s">
        <v>81</v>
      </c>
    </row>
    <row r="9253" spans="1:33" x14ac:dyDescent="0.25">
      <c r="A9253" t="str">
        <f>"1194073056"</f>
        <v>1194073056</v>
      </c>
      <c r="B9253" t="str">
        <f>"03596792"</f>
        <v>03596792</v>
      </c>
      <c r="C9253" t="s">
        <v>32778</v>
      </c>
      <c r="D9253" t="s">
        <v>32779</v>
      </c>
      <c r="E9253" t="s">
        <v>32780</v>
      </c>
      <c r="L9253" t="s">
        <v>1790</v>
      </c>
      <c r="M9253" t="s">
        <v>85</v>
      </c>
      <c r="R9253" t="s">
        <v>32782</v>
      </c>
      <c r="W9253" t="s">
        <v>32782</v>
      </c>
      <c r="X9253" t="s">
        <v>3876</v>
      </c>
      <c r="Y9253" t="s">
        <v>131</v>
      </c>
      <c r="Z9253" t="s">
        <v>77</v>
      </c>
      <c r="AA9253" t="str">
        <f>"10473-2631"</f>
        <v>10473-2631</v>
      </c>
      <c r="AB9253" t="s">
        <v>122</v>
      </c>
      <c r="AC9253" t="s">
        <v>79</v>
      </c>
      <c r="AD9253" t="s">
        <v>75</v>
      </c>
      <c r="AE9253" t="s">
        <v>80</v>
      </c>
      <c r="AG9253" t="s">
        <v>81</v>
      </c>
    </row>
    <row r="9254" spans="1:33" x14ac:dyDescent="0.25">
      <c r="A9254" t="str">
        <f>"1124290069"</f>
        <v>1124290069</v>
      </c>
      <c r="B9254" t="str">
        <f>"00355202"</f>
        <v>00355202</v>
      </c>
      <c r="C9254" t="s">
        <v>39057</v>
      </c>
      <c r="D9254" t="s">
        <v>2940</v>
      </c>
      <c r="E9254" t="s">
        <v>2939</v>
      </c>
      <c r="F9254">
        <v>133110063</v>
      </c>
      <c r="L9254" t="s">
        <v>115</v>
      </c>
      <c r="M9254" t="s">
        <v>85</v>
      </c>
      <c r="R9254" t="s">
        <v>2943</v>
      </c>
      <c r="W9254" t="s">
        <v>2939</v>
      </c>
      <c r="X9254" t="s">
        <v>1163</v>
      </c>
      <c r="Y9254" t="s">
        <v>97</v>
      </c>
      <c r="Z9254" t="s">
        <v>77</v>
      </c>
      <c r="AA9254" t="str">
        <f>"10029-4413"</f>
        <v>10029-4413</v>
      </c>
      <c r="AB9254" t="s">
        <v>93</v>
      </c>
      <c r="AC9254" t="s">
        <v>79</v>
      </c>
      <c r="AD9254" t="s">
        <v>75</v>
      </c>
      <c r="AE9254" t="s">
        <v>80</v>
      </c>
      <c r="AG9254" t="s">
        <v>81</v>
      </c>
    </row>
    <row r="9255" spans="1:33" x14ac:dyDescent="0.25">
      <c r="A9255" t="str">
        <f>"1326046467"</f>
        <v>1326046467</v>
      </c>
      <c r="B9255" t="str">
        <f>"00243614"</f>
        <v>00243614</v>
      </c>
      <c r="C9255" t="s">
        <v>39058</v>
      </c>
      <c r="D9255" t="s">
        <v>39059</v>
      </c>
      <c r="E9255" t="s">
        <v>19316</v>
      </c>
      <c r="L9255" t="s">
        <v>39060</v>
      </c>
      <c r="M9255" t="s">
        <v>85</v>
      </c>
      <c r="R9255" t="s">
        <v>27695</v>
      </c>
      <c r="W9255" t="s">
        <v>19316</v>
      </c>
      <c r="X9255" t="s">
        <v>202</v>
      </c>
      <c r="Y9255" t="s">
        <v>87</v>
      </c>
      <c r="Z9255" t="s">
        <v>77</v>
      </c>
      <c r="AA9255" t="str">
        <f>"11201-5493"</f>
        <v>11201-5493</v>
      </c>
      <c r="AB9255" t="s">
        <v>96</v>
      </c>
      <c r="AC9255" t="s">
        <v>79</v>
      </c>
      <c r="AD9255" t="s">
        <v>75</v>
      </c>
      <c r="AE9255" t="s">
        <v>80</v>
      </c>
      <c r="AG9255" t="s">
        <v>81</v>
      </c>
    </row>
    <row r="9256" spans="1:33" x14ac:dyDescent="0.25">
      <c r="A9256" t="str">
        <f>"1689755662"</f>
        <v>1689755662</v>
      </c>
      <c r="B9256" t="str">
        <f>"02996918"</f>
        <v>02996918</v>
      </c>
      <c r="C9256" t="s">
        <v>35395</v>
      </c>
      <c r="D9256" t="s">
        <v>4425</v>
      </c>
      <c r="E9256" t="s">
        <v>4426</v>
      </c>
      <c r="L9256" t="s">
        <v>104</v>
      </c>
      <c r="M9256" t="s">
        <v>85</v>
      </c>
      <c r="R9256" t="s">
        <v>4427</v>
      </c>
      <c r="W9256" t="s">
        <v>4426</v>
      </c>
      <c r="X9256" t="s">
        <v>4428</v>
      </c>
      <c r="Y9256" t="s">
        <v>1380</v>
      </c>
      <c r="Z9256" t="s">
        <v>77</v>
      </c>
      <c r="AA9256" t="str">
        <f>"11694-1714"</f>
        <v>11694-1714</v>
      </c>
      <c r="AB9256" t="s">
        <v>93</v>
      </c>
      <c r="AC9256" t="s">
        <v>79</v>
      </c>
      <c r="AD9256" t="s">
        <v>75</v>
      </c>
      <c r="AE9256" t="s">
        <v>80</v>
      </c>
      <c r="AG9256" t="s">
        <v>81</v>
      </c>
    </row>
    <row r="9257" spans="1:33" x14ac:dyDescent="0.25">
      <c r="A9257" t="str">
        <f>"1972926681"</f>
        <v>1972926681</v>
      </c>
      <c r="B9257" t="str">
        <f>"02996110"</f>
        <v>02996110</v>
      </c>
      <c r="C9257" t="s">
        <v>39061</v>
      </c>
      <c r="D9257" t="s">
        <v>39062</v>
      </c>
      <c r="E9257" t="s">
        <v>39063</v>
      </c>
      <c r="L9257" t="s">
        <v>106</v>
      </c>
      <c r="M9257" t="s">
        <v>85</v>
      </c>
      <c r="R9257" t="s">
        <v>39064</v>
      </c>
      <c r="W9257" t="s">
        <v>39065</v>
      </c>
      <c r="X9257" t="s">
        <v>39066</v>
      </c>
      <c r="Y9257" t="s">
        <v>141</v>
      </c>
      <c r="Z9257" t="s">
        <v>77</v>
      </c>
      <c r="AA9257" t="str">
        <f>"11377-4965"</f>
        <v>11377-4965</v>
      </c>
      <c r="AB9257" t="s">
        <v>107</v>
      </c>
      <c r="AC9257" t="s">
        <v>79</v>
      </c>
      <c r="AD9257" t="s">
        <v>75</v>
      </c>
      <c r="AE9257" t="s">
        <v>80</v>
      </c>
      <c r="AG9257" t="s">
        <v>81</v>
      </c>
    </row>
    <row r="9258" spans="1:33" x14ac:dyDescent="0.25">
      <c r="A9258" t="str">
        <f>"1538223391"</f>
        <v>1538223391</v>
      </c>
      <c r="B9258" t="str">
        <f>"02945742"</f>
        <v>02945742</v>
      </c>
      <c r="C9258" t="s">
        <v>13436</v>
      </c>
      <c r="D9258" t="s">
        <v>39067</v>
      </c>
      <c r="E9258" t="s">
        <v>39068</v>
      </c>
      <c r="L9258" t="s">
        <v>83</v>
      </c>
      <c r="M9258" t="s">
        <v>75</v>
      </c>
      <c r="R9258" t="s">
        <v>39069</v>
      </c>
      <c r="W9258" t="s">
        <v>39070</v>
      </c>
      <c r="X9258" t="s">
        <v>4799</v>
      </c>
      <c r="Y9258" t="s">
        <v>87</v>
      </c>
      <c r="Z9258" t="s">
        <v>77</v>
      </c>
      <c r="AA9258" t="str">
        <f>"11234-2625"</f>
        <v>11234-2625</v>
      </c>
      <c r="AB9258" t="s">
        <v>78</v>
      </c>
      <c r="AC9258" t="s">
        <v>79</v>
      </c>
      <c r="AD9258" t="s">
        <v>75</v>
      </c>
      <c r="AE9258" t="s">
        <v>80</v>
      </c>
      <c r="AG9258" t="s">
        <v>81</v>
      </c>
    </row>
    <row r="9259" spans="1:33" x14ac:dyDescent="0.25">
      <c r="A9259" t="str">
        <f>"1720387764"</f>
        <v>1720387764</v>
      </c>
      <c r="C9259" t="s">
        <v>13436</v>
      </c>
      <c r="K9259" t="s">
        <v>99</v>
      </c>
      <c r="L9259" t="s">
        <v>102</v>
      </c>
      <c r="M9259" t="s">
        <v>75</v>
      </c>
      <c r="R9259" t="s">
        <v>39071</v>
      </c>
      <c r="S9259" t="s">
        <v>39072</v>
      </c>
      <c r="T9259" t="s">
        <v>97</v>
      </c>
      <c r="U9259" t="s">
        <v>77</v>
      </c>
      <c r="V9259" t="str">
        <f>"100033314"</f>
        <v>100033314</v>
      </c>
      <c r="AC9259" t="s">
        <v>79</v>
      </c>
      <c r="AD9259" t="s">
        <v>75</v>
      </c>
      <c r="AE9259" t="s">
        <v>103</v>
      </c>
      <c r="AG9259" t="s">
        <v>81</v>
      </c>
    </row>
    <row r="9260" spans="1:33" x14ac:dyDescent="0.25">
      <c r="A9260" t="str">
        <f>"1720389133"</f>
        <v>1720389133</v>
      </c>
      <c r="B9260" t="str">
        <f>"03775495"</f>
        <v>03775495</v>
      </c>
      <c r="C9260" t="s">
        <v>13436</v>
      </c>
      <c r="D9260" t="s">
        <v>39073</v>
      </c>
      <c r="E9260" t="s">
        <v>39074</v>
      </c>
      <c r="L9260" t="s">
        <v>74</v>
      </c>
      <c r="M9260" t="s">
        <v>75</v>
      </c>
      <c r="R9260" t="s">
        <v>39075</v>
      </c>
      <c r="W9260" t="s">
        <v>39074</v>
      </c>
      <c r="X9260" t="s">
        <v>842</v>
      </c>
      <c r="Y9260" t="s">
        <v>97</v>
      </c>
      <c r="Z9260" t="s">
        <v>77</v>
      </c>
      <c r="AA9260" t="str">
        <f>"10029-6501"</f>
        <v>10029-6501</v>
      </c>
      <c r="AB9260" t="s">
        <v>78</v>
      </c>
      <c r="AC9260" t="s">
        <v>79</v>
      </c>
      <c r="AD9260" t="s">
        <v>75</v>
      </c>
      <c r="AE9260" t="s">
        <v>80</v>
      </c>
      <c r="AG9260" t="s">
        <v>81</v>
      </c>
    </row>
    <row r="9261" spans="1:33" x14ac:dyDescent="0.25">
      <c r="A9261" t="str">
        <f>"1720405087"</f>
        <v>1720405087</v>
      </c>
      <c r="C9261" t="s">
        <v>13436</v>
      </c>
      <c r="K9261" t="s">
        <v>99</v>
      </c>
      <c r="L9261" t="s">
        <v>102</v>
      </c>
      <c r="M9261" t="s">
        <v>75</v>
      </c>
      <c r="R9261" t="s">
        <v>39076</v>
      </c>
      <c r="S9261" t="s">
        <v>39077</v>
      </c>
      <c r="T9261" t="s">
        <v>4487</v>
      </c>
      <c r="U9261" t="s">
        <v>351</v>
      </c>
      <c r="V9261" t="str">
        <f>"331336742"</f>
        <v>331336742</v>
      </c>
      <c r="AC9261" t="s">
        <v>79</v>
      </c>
      <c r="AD9261" t="s">
        <v>75</v>
      </c>
      <c r="AE9261" t="s">
        <v>103</v>
      </c>
      <c r="AG9261" t="s">
        <v>81</v>
      </c>
    </row>
    <row r="9262" spans="1:33" x14ac:dyDescent="0.25">
      <c r="A9262" t="str">
        <f>"1720405194"</f>
        <v>1720405194</v>
      </c>
      <c r="C9262" t="s">
        <v>13436</v>
      </c>
      <c r="K9262" t="s">
        <v>99</v>
      </c>
      <c r="L9262" t="s">
        <v>102</v>
      </c>
      <c r="M9262" t="s">
        <v>75</v>
      </c>
      <c r="R9262" t="s">
        <v>39078</v>
      </c>
      <c r="S9262" t="s">
        <v>39079</v>
      </c>
      <c r="T9262" t="s">
        <v>4767</v>
      </c>
      <c r="U9262" t="s">
        <v>77</v>
      </c>
      <c r="V9262" t="str">
        <f>"105095201"</f>
        <v>105095201</v>
      </c>
      <c r="AC9262" t="s">
        <v>79</v>
      </c>
      <c r="AD9262" t="s">
        <v>75</v>
      </c>
      <c r="AE9262" t="s">
        <v>103</v>
      </c>
      <c r="AG9262" t="s">
        <v>81</v>
      </c>
    </row>
    <row r="9263" spans="1:33" x14ac:dyDescent="0.25">
      <c r="A9263" t="str">
        <f>"1720405681"</f>
        <v>1720405681</v>
      </c>
      <c r="C9263" t="s">
        <v>13436</v>
      </c>
      <c r="K9263" t="s">
        <v>99</v>
      </c>
      <c r="L9263" t="s">
        <v>102</v>
      </c>
      <c r="M9263" t="s">
        <v>75</v>
      </c>
      <c r="R9263" t="s">
        <v>39080</v>
      </c>
      <c r="S9263" t="s">
        <v>39081</v>
      </c>
      <c r="T9263" t="s">
        <v>97</v>
      </c>
      <c r="U9263" t="s">
        <v>77</v>
      </c>
      <c r="V9263" t="str">
        <f>"10029"</f>
        <v>10029</v>
      </c>
      <c r="AC9263" t="s">
        <v>79</v>
      </c>
      <c r="AD9263" t="s">
        <v>75</v>
      </c>
      <c r="AE9263" t="s">
        <v>103</v>
      </c>
      <c r="AG9263" t="s">
        <v>81</v>
      </c>
    </row>
    <row r="9264" spans="1:33" x14ac:dyDescent="0.25">
      <c r="A9264" t="str">
        <f>"1720405798"</f>
        <v>1720405798</v>
      </c>
      <c r="C9264" t="s">
        <v>13436</v>
      </c>
      <c r="K9264" t="s">
        <v>99</v>
      </c>
      <c r="L9264" t="s">
        <v>102</v>
      </c>
      <c r="M9264" t="s">
        <v>75</v>
      </c>
      <c r="R9264" t="s">
        <v>39082</v>
      </c>
      <c r="S9264" t="s">
        <v>12670</v>
      </c>
      <c r="T9264" t="s">
        <v>97</v>
      </c>
      <c r="U9264" t="s">
        <v>77</v>
      </c>
      <c r="V9264" t="str">
        <f>"100033821"</f>
        <v>100033821</v>
      </c>
      <c r="AC9264" t="s">
        <v>79</v>
      </c>
      <c r="AD9264" t="s">
        <v>75</v>
      </c>
      <c r="AE9264" t="s">
        <v>103</v>
      </c>
      <c r="AG9264" t="s">
        <v>81</v>
      </c>
    </row>
    <row r="9265" spans="1:33" x14ac:dyDescent="0.25">
      <c r="A9265" t="str">
        <f>"1720406093"</f>
        <v>1720406093</v>
      </c>
      <c r="C9265" t="s">
        <v>13436</v>
      </c>
      <c r="K9265" t="s">
        <v>99</v>
      </c>
      <c r="L9265" t="s">
        <v>102</v>
      </c>
      <c r="M9265" t="s">
        <v>75</v>
      </c>
      <c r="R9265" t="s">
        <v>39083</v>
      </c>
      <c r="S9265" t="s">
        <v>191</v>
      </c>
      <c r="T9265" t="s">
        <v>97</v>
      </c>
      <c r="U9265" t="s">
        <v>77</v>
      </c>
      <c r="V9265" t="str">
        <f>"100191147"</f>
        <v>100191147</v>
      </c>
      <c r="AC9265" t="s">
        <v>79</v>
      </c>
      <c r="AD9265" t="s">
        <v>75</v>
      </c>
      <c r="AE9265" t="s">
        <v>103</v>
      </c>
      <c r="AG9265" t="s">
        <v>81</v>
      </c>
    </row>
    <row r="9266" spans="1:33" x14ac:dyDescent="0.25">
      <c r="A9266" t="str">
        <f>"1598801888"</f>
        <v>1598801888</v>
      </c>
      <c r="B9266" t="str">
        <f>"01663818"</f>
        <v>01663818</v>
      </c>
      <c r="C9266" t="s">
        <v>13436</v>
      </c>
      <c r="D9266" t="s">
        <v>39084</v>
      </c>
      <c r="E9266" t="s">
        <v>39085</v>
      </c>
      <c r="G9266" t="s">
        <v>39086</v>
      </c>
      <c r="L9266" t="s">
        <v>83</v>
      </c>
      <c r="M9266" t="s">
        <v>85</v>
      </c>
      <c r="R9266" t="s">
        <v>39087</v>
      </c>
      <c r="W9266" t="s">
        <v>39085</v>
      </c>
      <c r="X9266" t="s">
        <v>272</v>
      </c>
      <c r="Y9266" t="s">
        <v>97</v>
      </c>
      <c r="Z9266" t="s">
        <v>77</v>
      </c>
      <c r="AA9266" t="str">
        <f>"10029-6501"</f>
        <v>10029-6501</v>
      </c>
      <c r="AB9266" t="s">
        <v>78</v>
      </c>
      <c r="AC9266" t="s">
        <v>79</v>
      </c>
      <c r="AD9266" t="s">
        <v>75</v>
      </c>
      <c r="AE9266" t="s">
        <v>80</v>
      </c>
      <c r="AG9266" t="s">
        <v>81</v>
      </c>
    </row>
    <row r="9267" spans="1:33" x14ac:dyDescent="0.25">
      <c r="A9267" t="str">
        <f>"1598806267"</f>
        <v>1598806267</v>
      </c>
      <c r="B9267" t="str">
        <f>"00480144"</f>
        <v>00480144</v>
      </c>
      <c r="C9267" t="s">
        <v>13436</v>
      </c>
      <c r="D9267" t="s">
        <v>39088</v>
      </c>
      <c r="E9267" t="s">
        <v>39089</v>
      </c>
      <c r="G9267" t="s">
        <v>39090</v>
      </c>
      <c r="L9267" t="s">
        <v>84</v>
      </c>
      <c r="M9267" t="s">
        <v>85</v>
      </c>
      <c r="R9267" t="s">
        <v>39091</v>
      </c>
      <c r="W9267" t="s">
        <v>39089</v>
      </c>
      <c r="X9267" t="s">
        <v>39092</v>
      </c>
      <c r="Y9267" t="s">
        <v>194</v>
      </c>
      <c r="Z9267" t="s">
        <v>77</v>
      </c>
      <c r="AA9267" t="str">
        <f>"11378-2821"</f>
        <v>11378-2821</v>
      </c>
      <c r="AB9267" t="s">
        <v>78</v>
      </c>
      <c r="AC9267" t="s">
        <v>79</v>
      </c>
      <c r="AD9267" t="s">
        <v>75</v>
      </c>
      <c r="AE9267" t="s">
        <v>80</v>
      </c>
      <c r="AG9267" t="s">
        <v>81</v>
      </c>
    </row>
    <row r="9268" spans="1:33" x14ac:dyDescent="0.25">
      <c r="A9268" t="str">
        <f>"1598832826"</f>
        <v>1598832826</v>
      </c>
      <c r="B9268" t="str">
        <f>"00764250"</f>
        <v>00764250</v>
      </c>
      <c r="C9268" t="s">
        <v>13436</v>
      </c>
      <c r="D9268" t="s">
        <v>39093</v>
      </c>
      <c r="E9268" t="s">
        <v>39094</v>
      </c>
      <c r="G9268" t="s">
        <v>39095</v>
      </c>
      <c r="L9268" t="s">
        <v>83</v>
      </c>
      <c r="M9268" t="s">
        <v>85</v>
      </c>
      <c r="R9268" t="s">
        <v>39096</v>
      </c>
      <c r="W9268" t="s">
        <v>39094</v>
      </c>
      <c r="X9268" t="s">
        <v>2009</v>
      </c>
      <c r="Y9268" t="s">
        <v>2128</v>
      </c>
      <c r="Z9268" t="s">
        <v>77</v>
      </c>
      <c r="AA9268" t="str">
        <f>"11743-2743"</f>
        <v>11743-2743</v>
      </c>
      <c r="AB9268" t="s">
        <v>78</v>
      </c>
      <c r="AC9268" t="s">
        <v>79</v>
      </c>
      <c r="AD9268" t="s">
        <v>75</v>
      </c>
      <c r="AE9268" t="s">
        <v>80</v>
      </c>
      <c r="AG9268" t="s">
        <v>81</v>
      </c>
    </row>
    <row r="9269" spans="1:33" x14ac:dyDescent="0.25">
      <c r="A9269" t="str">
        <f>"1598845349"</f>
        <v>1598845349</v>
      </c>
      <c r="B9269" t="str">
        <f>"01579088"</f>
        <v>01579088</v>
      </c>
      <c r="C9269" t="s">
        <v>13436</v>
      </c>
      <c r="D9269" t="s">
        <v>39097</v>
      </c>
      <c r="E9269" t="s">
        <v>39098</v>
      </c>
      <c r="G9269" t="s">
        <v>39099</v>
      </c>
      <c r="L9269" t="s">
        <v>83</v>
      </c>
      <c r="M9269" t="s">
        <v>85</v>
      </c>
      <c r="R9269" t="s">
        <v>39100</v>
      </c>
      <c r="W9269" t="s">
        <v>39098</v>
      </c>
      <c r="X9269" t="s">
        <v>39101</v>
      </c>
      <c r="Y9269" t="s">
        <v>97</v>
      </c>
      <c r="Z9269" t="s">
        <v>77</v>
      </c>
      <c r="AA9269" t="str">
        <f>"10021-2147"</f>
        <v>10021-2147</v>
      </c>
      <c r="AB9269" t="s">
        <v>78</v>
      </c>
      <c r="AC9269" t="s">
        <v>79</v>
      </c>
      <c r="AD9269" t="s">
        <v>75</v>
      </c>
      <c r="AE9269" t="s">
        <v>80</v>
      </c>
      <c r="AG9269" t="s">
        <v>81</v>
      </c>
    </row>
    <row r="9270" spans="1:33" x14ac:dyDescent="0.25">
      <c r="A9270" t="str">
        <f>"1598905655"</f>
        <v>1598905655</v>
      </c>
      <c r="B9270" t="str">
        <f>"03936252"</f>
        <v>03936252</v>
      </c>
      <c r="C9270" t="s">
        <v>13436</v>
      </c>
      <c r="D9270" t="s">
        <v>39102</v>
      </c>
      <c r="E9270" t="s">
        <v>39103</v>
      </c>
      <c r="G9270" t="s">
        <v>39104</v>
      </c>
      <c r="L9270" t="s">
        <v>102</v>
      </c>
      <c r="M9270" t="s">
        <v>75</v>
      </c>
      <c r="R9270" t="s">
        <v>39105</v>
      </c>
      <c r="W9270" t="s">
        <v>39103</v>
      </c>
      <c r="X9270" t="s">
        <v>329</v>
      </c>
      <c r="Y9270" t="s">
        <v>97</v>
      </c>
      <c r="Z9270" t="s">
        <v>77</v>
      </c>
      <c r="AA9270" t="str">
        <f>"10029-6504"</f>
        <v>10029-6504</v>
      </c>
      <c r="AB9270" t="s">
        <v>78</v>
      </c>
      <c r="AC9270" t="s">
        <v>79</v>
      </c>
      <c r="AD9270" t="s">
        <v>75</v>
      </c>
      <c r="AE9270" t="s">
        <v>80</v>
      </c>
      <c r="AG9270" t="s">
        <v>81</v>
      </c>
    </row>
    <row r="9271" spans="1:33" x14ac:dyDescent="0.25">
      <c r="A9271" t="str">
        <f>"1598907438"</f>
        <v>1598907438</v>
      </c>
      <c r="B9271" t="str">
        <f>"03747468"</f>
        <v>03747468</v>
      </c>
      <c r="C9271" t="s">
        <v>13436</v>
      </c>
      <c r="D9271" t="s">
        <v>39106</v>
      </c>
      <c r="E9271" t="s">
        <v>39107</v>
      </c>
      <c r="G9271" t="s">
        <v>39108</v>
      </c>
      <c r="L9271" t="s">
        <v>102</v>
      </c>
      <c r="M9271" t="s">
        <v>75</v>
      </c>
      <c r="R9271" t="s">
        <v>39109</v>
      </c>
      <c r="W9271" t="s">
        <v>39107</v>
      </c>
      <c r="X9271" t="s">
        <v>11523</v>
      </c>
      <c r="Y9271" t="s">
        <v>97</v>
      </c>
      <c r="Z9271" t="s">
        <v>77</v>
      </c>
      <c r="AA9271" t="str">
        <f>"10029-6508"</f>
        <v>10029-6508</v>
      </c>
      <c r="AB9271" t="s">
        <v>78</v>
      </c>
      <c r="AC9271" t="s">
        <v>79</v>
      </c>
      <c r="AD9271" t="s">
        <v>75</v>
      </c>
      <c r="AE9271" t="s">
        <v>80</v>
      </c>
      <c r="AG9271" t="s">
        <v>81</v>
      </c>
    </row>
    <row r="9272" spans="1:33" x14ac:dyDescent="0.25">
      <c r="A9272" t="str">
        <f>"1598911547"</f>
        <v>1598911547</v>
      </c>
      <c r="B9272" t="str">
        <f>"04089887"</f>
        <v>04089887</v>
      </c>
      <c r="C9272" t="s">
        <v>13436</v>
      </c>
      <c r="D9272" t="s">
        <v>39110</v>
      </c>
      <c r="E9272" t="s">
        <v>39111</v>
      </c>
      <c r="L9272" t="s">
        <v>74</v>
      </c>
      <c r="M9272" t="s">
        <v>75</v>
      </c>
      <c r="R9272" t="s">
        <v>39112</v>
      </c>
      <c r="W9272" t="s">
        <v>39113</v>
      </c>
      <c r="X9272" t="s">
        <v>442</v>
      </c>
      <c r="Y9272" t="s">
        <v>97</v>
      </c>
      <c r="Z9272" t="s">
        <v>77</v>
      </c>
      <c r="AA9272" t="str">
        <f>"10065-6007"</f>
        <v>10065-6007</v>
      </c>
      <c r="AB9272" t="s">
        <v>78</v>
      </c>
      <c r="AC9272" t="s">
        <v>79</v>
      </c>
      <c r="AD9272" t="s">
        <v>75</v>
      </c>
      <c r="AE9272" t="s">
        <v>80</v>
      </c>
      <c r="AG9272" t="s">
        <v>81</v>
      </c>
    </row>
    <row r="9273" spans="1:33" x14ac:dyDescent="0.25">
      <c r="A9273" t="str">
        <f>"1598924805"</f>
        <v>1598924805</v>
      </c>
      <c r="B9273" t="str">
        <f>"03267769"</f>
        <v>03267769</v>
      </c>
      <c r="C9273" t="s">
        <v>13436</v>
      </c>
      <c r="D9273" t="s">
        <v>39114</v>
      </c>
      <c r="E9273" t="s">
        <v>39115</v>
      </c>
      <c r="L9273" t="s">
        <v>83</v>
      </c>
      <c r="M9273" t="s">
        <v>75</v>
      </c>
      <c r="R9273" t="s">
        <v>39116</v>
      </c>
      <c r="W9273" t="s">
        <v>39117</v>
      </c>
      <c r="X9273" t="s">
        <v>1739</v>
      </c>
      <c r="Y9273" t="s">
        <v>95</v>
      </c>
      <c r="Z9273" t="s">
        <v>77</v>
      </c>
      <c r="AA9273" t="str">
        <f>"12208-1707"</f>
        <v>12208-1707</v>
      </c>
      <c r="AB9273" t="s">
        <v>78</v>
      </c>
      <c r="AC9273" t="s">
        <v>79</v>
      </c>
      <c r="AD9273" t="s">
        <v>75</v>
      </c>
      <c r="AE9273" t="s">
        <v>80</v>
      </c>
      <c r="AG9273" t="s">
        <v>81</v>
      </c>
    </row>
    <row r="9274" spans="1:33" x14ac:dyDescent="0.25">
      <c r="A9274" t="str">
        <f>"1598928327"</f>
        <v>1598928327</v>
      </c>
      <c r="B9274" t="str">
        <f>"03392303"</f>
        <v>03392303</v>
      </c>
      <c r="C9274" t="s">
        <v>13436</v>
      </c>
      <c r="D9274" t="s">
        <v>39118</v>
      </c>
      <c r="E9274" t="s">
        <v>39119</v>
      </c>
      <c r="L9274" t="s">
        <v>84</v>
      </c>
      <c r="M9274" t="s">
        <v>85</v>
      </c>
      <c r="R9274" t="s">
        <v>39119</v>
      </c>
      <c r="W9274" t="s">
        <v>39119</v>
      </c>
      <c r="X9274" t="s">
        <v>11308</v>
      </c>
      <c r="Y9274" t="s">
        <v>131</v>
      </c>
      <c r="Z9274" t="s">
        <v>77</v>
      </c>
      <c r="AA9274" t="str">
        <f>"10453-5436"</f>
        <v>10453-5436</v>
      </c>
      <c r="AB9274" t="s">
        <v>78</v>
      </c>
      <c r="AC9274" t="s">
        <v>79</v>
      </c>
      <c r="AD9274" t="s">
        <v>75</v>
      </c>
      <c r="AE9274" t="s">
        <v>80</v>
      </c>
      <c r="AG9274" t="s">
        <v>81</v>
      </c>
    </row>
    <row r="9275" spans="1:33" x14ac:dyDescent="0.25">
      <c r="A9275" t="str">
        <f>"1093143992"</f>
        <v>1093143992</v>
      </c>
      <c r="C9275" t="s">
        <v>13436</v>
      </c>
      <c r="G9275" t="s">
        <v>39120</v>
      </c>
      <c r="K9275" t="s">
        <v>99</v>
      </c>
      <c r="L9275" t="s">
        <v>74</v>
      </c>
      <c r="M9275" t="s">
        <v>75</v>
      </c>
      <c r="R9275" t="s">
        <v>39121</v>
      </c>
      <c r="S9275" t="s">
        <v>39122</v>
      </c>
      <c r="T9275" t="s">
        <v>39123</v>
      </c>
      <c r="U9275" t="s">
        <v>156</v>
      </c>
      <c r="V9275" t="str">
        <f>"077264149"</f>
        <v>077264149</v>
      </c>
      <c r="AC9275" t="s">
        <v>79</v>
      </c>
      <c r="AD9275" t="s">
        <v>75</v>
      </c>
      <c r="AE9275" t="s">
        <v>103</v>
      </c>
      <c r="AG9275" t="s">
        <v>81</v>
      </c>
    </row>
    <row r="9276" spans="1:33" x14ac:dyDescent="0.25">
      <c r="A9276" t="str">
        <f>"1609010768"</f>
        <v>1609010768</v>
      </c>
      <c r="B9276" t="str">
        <f>"03271712"</f>
        <v>03271712</v>
      </c>
      <c r="C9276" t="s">
        <v>13436</v>
      </c>
      <c r="D9276" t="s">
        <v>39124</v>
      </c>
      <c r="E9276" t="s">
        <v>39125</v>
      </c>
      <c r="G9276" t="s">
        <v>39126</v>
      </c>
      <c r="L9276" t="s">
        <v>83</v>
      </c>
      <c r="M9276" t="s">
        <v>75</v>
      </c>
      <c r="R9276" t="s">
        <v>39127</v>
      </c>
      <c r="W9276" t="s">
        <v>39128</v>
      </c>
      <c r="X9276" t="s">
        <v>1484</v>
      </c>
      <c r="Y9276" t="s">
        <v>87</v>
      </c>
      <c r="Z9276" t="s">
        <v>77</v>
      </c>
      <c r="AA9276" t="str">
        <f>"11201-5465"</f>
        <v>11201-5465</v>
      </c>
      <c r="AB9276" t="s">
        <v>78</v>
      </c>
      <c r="AC9276" t="s">
        <v>79</v>
      </c>
      <c r="AD9276" t="s">
        <v>75</v>
      </c>
      <c r="AE9276" t="s">
        <v>80</v>
      </c>
      <c r="AG9276" t="s">
        <v>81</v>
      </c>
    </row>
    <row r="9277" spans="1:33" x14ac:dyDescent="0.25">
      <c r="A9277" t="str">
        <f>"1609022870"</f>
        <v>1609022870</v>
      </c>
      <c r="B9277" t="str">
        <f>"03637074"</f>
        <v>03637074</v>
      </c>
      <c r="C9277" t="s">
        <v>13436</v>
      </c>
      <c r="D9277" t="s">
        <v>39129</v>
      </c>
      <c r="E9277" t="s">
        <v>39130</v>
      </c>
      <c r="G9277" t="s">
        <v>39131</v>
      </c>
      <c r="L9277" t="s">
        <v>83</v>
      </c>
      <c r="M9277" t="s">
        <v>85</v>
      </c>
      <c r="R9277" t="s">
        <v>39132</v>
      </c>
      <c r="W9277" t="s">
        <v>39130</v>
      </c>
      <c r="X9277" t="s">
        <v>11195</v>
      </c>
      <c r="Y9277" t="s">
        <v>97</v>
      </c>
      <c r="Z9277" t="s">
        <v>77</v>
      </c>
      <c r="AA9277" t="str">
        <f>"10029-6030"</f>
        <v>10029-6030</v>
      </c>
      <c r="AB9277" t="s">
        <v>78</v>
      </c>
      <c r="AC9277" t="s">
        <v>79</v>
      </c>
      <c r="AD9277" t="s">
        <v>75</v>
      </c>
      <c r="AE9277" t="s">
        <v>80</v>
      </c>
      <c r="AG9277" t="s">
        <v>81</v>
      </c>
    </row>
    <row r="9278" spans="1:33" x14ac:dyDescent="0.25">
      <c r="A9278" t="str">
        <f>"1609030543"</f>
        <v>1609030543</v>
      </c>
      <c r="B9278" t="str">
        <f>"03377497"</f>
        <v>03377497</v>
      </c>
      <c r="C9278" t="s">
        <v>13436</v>
      </c>
      <c r="D9278" t="s">
        <v>39133</v>
      </c>
      <c r="E9278" t="s">
        <v>39134</v>
      </c>
      <c r="G9278" t="s">
        <v>39135</v>
      </c>
      <c r="L9278" t="s">
        <v>74</v>
      </c>
      <c r="M9278" t="s">
        <v>75</v>
      </c>
      <c r="R9278" t="s">
        <v>39136</v>
      </c>
      <c r="W9278" t="s">
        <v>39134</v>
      </c>
      <c r="X9278" t="s">
        <v>920</v>
      </c>
      <c r="Y9278" t="s">
        <v>97</v>
      </c>
      <c r="Z9278" t="s">
        <v>77</v>
      </c>
      <c r="AA9278" t="str">
        <f>"10170-1699"</f>
        <v>10170-1699</v>
      </c>
      <c r="AB9278" t="s">
        <v>78</v>
      </c>
      <c r="AC9278" t="s">
        <v>79</v>
      </c>
      <c r="AD9278" t="s">
        <v>75</v>
      </c>
      <c r="AE9278" t="s">
        <v>80</v>
      </c>
      <c r="AG9278" t="s">
        <v>81</v>
      </c>
    </row>
    <row r="9279" spans="1:33" x14ac:dyDescent="0.25">
      <c r="A9279" t="str">
        <f>"1609078518"</f>
        <v>1609078518</v>
      </c>
      <c r="C9279" t="s">
        <v>13436</v>
      </c>
      <c r="K9279" t="s">
        <v>99</v>
      </c>
      <c r="L9279" t="s">
        <v>102</v>
      </c>
      <c r="M9279" t="s">
        <v>75</v>
      </c>
      <c r="R9279" t="s">
        <v>39137</v>
      </c>
      <c r="S9279" t="s">
        <v>181</v>
      </c>
      <c r="T9279" t="s">
        <v>97</v>
      </c>
      <c r="U9279" t="s">
        <v>77</v>
      </c>
      <c r="V9279" t="str">
        <f>"100251716"</f>
        <v>100251716</v>
      </c>
      <c r="AC9279" t="s">
        <v>79</v>
      </c>
      <c r="AD9279" t="s">
        <v>75</v>
      </c>
      <c r="AE9279" t="s">
        <v>103</v>
      </c>
      <c r="AG9279" t="s">
        <v>81</v>
      </c>
    </row>
    <row r="9280" spans="1:33" x14ac:dyDescent="0.25">
      <c r="A9280" t="str">
        <f>"1497072664"</f>
        <v>1497072664</v>
      </c>
      <c r="C9280" t="s">
        <v>13436</v>
      </c>
      <c r="K9280" t="s">
        <v>99</v>
      </c>
      <c r="L9280" t="s">
        <v>102</v>
      </c>
      <c r="M9280" t="s">
        <v>75</v>
      </c>
      <c r="R9280" t="s">
        <v>39138</v>
      </c>
      <c r="S9280" t="s">
        <v>39139</v>
      </c>
      <c r="T9280" t="s">
        <v>35605</v>
      </c>
      <c r="U9280" t="s">
        <v>936</v>
      </c>
      <c r="V9280" t="str">
        <f>"379201511"</f>
        <v>379201511</v>
      </c>
      <c r="AC9280" t="s">
        <v>79</v>
      </c>
      <c r="AD9280" t="s">
        <v>75</v>
      </c>
      <c r="AE9280" t="s">
        <v>103</v>
      </c>
      <c r="AG9280" t="s">
        <v>81</v>
      </c>
    </row>
    <row r="9281" spans="1:33" x14ac:dyDescent="0.25">
      <c r="A9281" t="str">
        <f>"1497075295"</f>
        <v>1497075295</v>
      </c>
      <c r="B9281" t="str">
        <f>"04125119"</f>
        <v>04125119</v>
      </c>
      <c r="C9281" t="s">
        <v>13436</v>
      </c>
      <c r="D9281" t="s">
        <v>39140</v>
      </c>
      <c r="E9281" t="s">
        <v>39141</v>
      </c>
      <c r="L9281" t="s">
        <v>74</v>
      </c>
      <c r="M9281" t="s">
        <v>75</v>
      </c>
      <c r="R9281" t="s">
        <v>39142</v>
      </c>
      <c r="W9281" t="s">
        <v>39141</v>
      </c>
      <c r="X9281" t="s">
        <v>333</v>
      </c>
      <c r="Y9281" t="s">
        <v>97</v>
      </c>
      <c r="Z9281" t="s">
        <v>77</v>
      </c>
      <c r="AA9281" t="str">
        <f>"10016-9196"</f>
        <v>10016-9196</v>
      </c>
      <c r="AB9281" t="s">
        <v>78</v>
      </c>
      <c r="AC9281" t="s">
        <v>79</v>
      </c>
      <c r="AD9281" t="s">
        <v>75</v>
      </c>
      <c r="AE9281" t="s">
        <v>80</v>
      </c>
      <c r="AG9281" t="s">
        <v>81</v>
      </c>
    </row>
    <row r="9282" spans="1:33" x14ac:dyDescent="0.25">
      <c r="A9282" t="str">
        <f>"1245240670"</f>
        <v>1245240670</v>
      </c>
      <c r="B9282" t="str">
        <f>"00425094"</f>
        <v>00425094</v>
      </c>
      <c r="C9282" t="s">
        <v>13436</v>
      </c>
      <c r="D9282" t="s">
        <v>39143</v>
      </c>
      <c r="E9282" t="s">
        <v>39144</v>
      </c>
      <c r="G9282" t="s">
        <v>39145</v>
      </c>
      <c r="L9282" t="s">
        <v>74</v>
      </c>
      <c r="M9282" t="s">
        <v>85</v>
      </c>
      <c r="R9282" t="s">
        <v>39146</v>
      </c>
      <c r="W9282" t="s">
        <v>39147</v>
      </c>
      <c r="X9282" t="s">
        <v>11945</v>
      </c>
      <c r="Y9282" t="s">
        <v>2128</v>
      </c>
      <c r="Z9282" t="s">
        <v>77</v>
      </c>
      <c r="AA9282" t="str">
        <f>"11743-2779"</f>
        <v>11743-2779</v>
      </c>
      <c r="AB9282" t="s">
        <v>78</v>
      </c>
      <c r="AC9282" t="s">
        <v>79</v>
      </c>
      <c r="AD9282" t="s">
        <v>75</v>
      </c>
      <c r="AE9282" t="s">
        <v>80</v>
      </c>
      <c r="AG9282" t="s">
        <v>81</v>
      </c>
    </row>
    <row r="9283" spans="1:33" x14ac:dyDescent="0.25">
      <c r="A9283" t="str">
        <f>"1245247790"</f>
        <v>1245247790</v>
      </c>
      <c r="B9283" t="str">
        <f>"01925511"</f>
        <v>01925511</v>
      </c>
      <c r="C9283" t="s">
        <v>13436</v>
      </c>
      <c r="D9283" t="s">
        <v>39148</v>
      </c>
      <c r="E9283" t="s">
        <v>39149</v>
      </c>
      <c r="L9283" t="s">
        <v>74</v>
      </c>
      <c r="M9283" t="s">
        <v>75</v>
      </c>
      <c r="R9283" t="s">
        <v>39150</v>
      </c>
      <c r="W9283" t="s">
        <v>39149</v>
      </c>
      <c r="X9283" t="s">
        <v>5307</v>
      </c>
      <c r="Y9283" t="s">
        <v>97</v>
      </c>
      <c r="Z9283" t="s">
        <v>77</v>
      </c>
      <c r="AA9283" t="str">
        <f>"10003"</f>
        <v>10003</v>
      </c>
      <c r="AB9283" t="s">
        <v>78</v>
      </c>
      <c r="AC9283" t="s">
        <v>79</v>
      </c>
      <c r="AD9283" t="s">
        <v>75</v>
      </c>
      <c r="AE9283" t="s">
        <v>80</v>
      </c>
      <c r="AG9283" t="s">
        <v>81</v>
      </c>
    </row>
    <row r="9284" spans="1:33" x14ac:dyDescent="0.25">
      <c r="A9284" t="str">
        <f>"1245265297"</f>
        <v>1245265297</v>
      </c>
      <c r="B9284" t="str">
        <f>"01546890"</f>
        <v>01546890</v>
      </c>
      <c r="C9284" t="s">
        <v>13436</v>
      </c>
      <c r="D9284" t="s">
        <v>39151</v>
      </c>
      <c r="E9284" t="s">
        <v>39152</v>
      </c>
      <c r="G9284" t="s">
        <v>39153</v>
      </c>
      <c r="L9284" t="s">
        <v>83</v>
      </c>
      <c r="M9284" t="s">
        <v>85</v>
      </c>
      <c r="R9284" t="s">
        <v>39152</v>
      </c>
      <c r="W9284" t="s">
        <v>39154</v>
      </c>
      <c r="X9284" t="s">
        <v>6014</v>
      </c>
      <c r="Y9284" t="s">
        <v>180</v>
      </c>
      <c r="Z9284" t="s">
        <v>77</v>
      </c>
      <c r="AA9284" t="str">
        <f>"10701-1303"</f>
        <v>10701-1303</v>
      </c>
      <c r="AB9284" t="s">
        <v>78</v>
      </c>
      <c r="AC9284" t="s">
        <v>79</v>
      </c>
      <c r="AD9284" t="s">
        <v>75</v>
      </c>
      <c r="AE9284" t="s">
        <v>80</v>
      </c>
      <c r="AG9284" t="s">
        <v>81</v>
      </c>
    </row>
    <row r="9285" spans="1:33" x14ac:dyDescent="0.25">
      <c r="A9285" t="str">
        <f>"1245265669"</f>
        <v>1245265669</v>
      </c>
      <c r="B9285" t="str">
        <f>"00522683"</f>
        <v>00522683</v>
      </c>
      <c r="C9285" t="s">
        <v>13436</v>
      </c>
      <c r="D9285" t="s">
        <v>39155</v>
      </c>
      <c r="E9285" t="s">
        <v>39156</v>
      </c>
      <c r="G9285" t="s">
        <v>39157</v>
      </c>
      <c r="L9285" t="s">
        <v>84</v>
      </c>
      <c r="M9285" t="s">
        <v>85</v>
      </c>
      <c r="R9285" t="s">
        <v>39158</v>
      </c>
      <c r="W9285" t="s">
        <v>39159</v>
      </c>
      <c r="X9285" t="s">
        <v>6014</v>
      </c>
      <c r="Y9285" t="s">
        <v>180</v>
      </c>
      <c r="Z9285" t="s">
        <v>77</v>
      </c>
      <c r="AA9285" t="str">
        <f>"10701-1303"</f>
        <v>10701-1303</v>
      </c>
      <c r="AB9285" t="s">
        <v>78</v>
      </c>
      <c r="AC9285" t="s">
        <v>79</v>
      </c>
      <c r="AD9285" t="s">
        <v>75</v>
      </c>
      <c r="AE9285" t="s">
        <v>80</v>
      </c>
      <c r="AG9285" t="s">
        <v>81</v>
      </c>
    </row>
    <row r="9286" spans="1:33" x14ac:dyDescent="0.25">
      <c r="A9286" t="str">
        <f>"1245272087"</f>
        <v>1245272087</v>
      </c>
      <c r="B9286" t="str">
        <f>"01765668"</f>
        <v>01765668</v>
      </c>
      <c r="C9286" t="s">
        <v>13436</v>
      </c>
      <c r="D9286" t="s">
        <v>39160</v>
      </c>
      <c r="E9286" t="s">
        <v>39161</v>
      </c>
      <c r="G9286" t="s">
        <v>39162</v>
      </c>
      <c r="L9286" t="s">
        <v>94</v>
      </c>
      <c r="M9286" t="s">
        <v>85</v>
      </c>
      <c r="R9286" t="s">
        <v>39161</v>
      </c>
      <c r="W9286" t="s">
        <v>39161</v>
      </c>
      <c r="X9286" t="s">
        <v>39163</v>
      </c>
      <c r="Y9286" t="s">
        <v>129</v>
      </c>
      <c r="Z9286" t="s">
        <v>77</v>
      </c>
      <c r="AA9286" t="str">
        <f>"11372-1050"</f>
        <v>11372-1050</v>
      </c>
      <c r="AB9286" t="s">
        <v>78</v>
      </c>
      <c r="AC9286" t="s">
        <v>79</v>
      </c>
      <c r="AD9286" t="s">
        <v>75</v>
      </c>
      <c r="AE9286" t="s">
        <v>80</v>
      </c>
      <c r="AG9286" t="s">
        <v>81</v>
      </c>
    </row>
    <row r="9287" spans="1:33" x14ac:dyDescent="0.25">
      <c r="A9287" t="str">
        <f>"1245279462"</f>
        <v>1245279462</v>
      </c>
      <c r="B9287" t="str">
        <f>"01722870"</f>
        <v>01722870</v>
      </c>
      <c r="C9287" t="s">
        <v>13436</v>
      </c>
      <c r="D9287" t="s">
        <v>39164</v>
      </c>
      <c r="E9287" t="s">
        <v>39165</v>
      </c>
      <c r="L9287" t="s">
        <v>84</v>
      </c>
      <c r="M9287" t="s">
        <v>75</v>
      </c>
      <c r="R9287" t="s">
        <v>39166</v>
      </c>
      <c r="W9287" t="s">
        <v>39165</v>
      </c>
      <c r="X9287" t="s">
        <v>39167</v>
      </c>
      <c r="Y9287" t="s">
        <v>190</v>
      </c>
      <c r="Z9287" t="s">
        <v>77</v>
      </c>
      <c r="AA9287" t="str">
        <f>"11106-4134"</f>
        <v>11106-4134</v>
      </c>
      <c r="AB9287" t="s">
        <v>78</v>
      </c>
      <c r="AC9287" t="s">
        <v>79</v>
      </c>
      <c r="AD9287" t="s">
        <v>75</v>
      </c>
      <c r="AE9287" t="s">
        <v>80</v>
      </c>
      <c r="AG9287" t="s">
        <v>81</v>
      </c>
    </row>
    <row r="9288" spans="1:33" x14ac:dyDescent="0.25">
      <c r="A9288" t="str">
        <f>"1245286723"</f>
        <v>1245286723</v>
      </c>
      <c r="B9288" t="str">
        <f>"02809694"</f>
        <v>02809694</v>
      </c>
      <c r="C9288" t="s">
        <v>13436</v>
      </c>
      <c r="D9288" t="s">
        <v>39168</v>
      </c>
      <c r="E9288" t="s">
        <v>39169</v>
      </c>
      <c r="G9288" t="s">
        <v>39170</v>
      </c>
      <c r="L9288" t="s">
        <v>94</v>
      </c>
      <c r="M9288" t="s">
        <v>85</v>
      </c>
      <c r="R9288" t="s">
        <v>39171</v>
      </c>
      <c r="W9288" t="s">
        <v>39169</v>
      </c>
      <c r="X9288" t="s">
        <v>13217</v>
      </c>
      <c r="Y9288" t="s">
        <v>469</v>
      </c>
      <c r="Z9288" t="s">
        <v>123</v>
      </c>
      <c r="AA9288" t="str">
        <f>"01655-0002"</f>
        <v>01655-0002</v>
      </c>
      <c r="AB9288" t="s">
        <v>78</v>
      </c>
      <c r="AC9288" t="s">
        <v>79</v>
      </c>
      <c r="AD9288" t="s">
        <v>75</v>
      </c>
      <c r="AE9288" t="s">
        <v>80</v>
      </c>
      <c r="AG9288" t="s">
        <v>81</v>
      </c>
    </row>
    <row r="9289" spans="1:33" x14ac:dyDescent="0.25">
      <c r="A9289" t="str">
        <f>"1245302702"</f>
        <v>1245302702</v>
      </c>
      <c r="B9289" t="str">
        <f>"02741275"</f>
        <v>02741275</v>
      </c>
      <c r="C9289" t="s">
        <v>13436</v>
      </c>
      <c r="D9289" t="s">
        <v>39172</v>
      </c>
      <c r="E9289" t="s">
        <v>39173</v>
      </c>
      <c r="G9289" t="s">
        <v>39174</v>
      </c>
      <c r="L9289" t="s">
        <v>94</v>
      </c>
      <c r="M9289" t="s">
        <v>75</v>
      </c>
      <c r="R9289" t="s">
        <v>39175</v>
      </c>
      <c r="W9289" t="s">
        <v>39173</v>
      </c>
      <c r="X9289" t="s">
        <v>4480</v>
      </c>
      <c r="Y9289" t="s">
        <v>4481</v>
      </c>
      <c r="Z9289" t="s">
        <v>77</v>
      </c>
      <c r="AA9289" t="str">
        <f>"14895-1150"</f>
        <v>14895-1150</v>
      </c>
      <c r="AB9289" t="s">
        <v>78</v>
      </c>
      <c r="AC9289" t="s">
        <v>79</v>
      </c>
      <c r="AD9289" t="s">
        <v>75</v>
      </c>
      <c r="AE9289" t="s">
        <v>80</v>
      </c>
      <c r="AG9289" t="s">
        <v>81</v>
      </c>
    </row>
    <row r="9290" spans="1:33" x14ac:dyDescent="0.25">
      <c r="A9290" t="str">
        <f>"1245330406"</f>
        <v>1245330406</v>
      </c>
      <c r="B9290" t="str">
        <f>"01983779"</f>
        <v>01983779</v>
      </c>
      <c r="C9290" t="s">
        <v>13436</v>
      </c>
      <c r="D9290" t="s">
        <v>39176</v>
      </c>
      <c r="E9290" t="s">
        <v>39177</v>
      </c>
      <c r="G9290" t="s">
        <v>39178</v>
      </c>
      <c r="L9290" t="s">
        <v>102</v>
      </c>
      <c r="M9290" t="s">
        <v>75</v>
      </c>
      <c r="R9290" t="s">
        <v>39179</v>
      </c>
      <c r="W9290" t="s">
        <v>39177</v>
      </c>
      <c r="X9290" t="s">
        <v>329</v>
      </c>
      <c r="Y9290" t="s">
        <v>97</v>
      </c>
      <c r="Z9290" t="s">
        <v>77</v>
      </c>
      <c r="AA9290" t="str">
        <f>"10029-6500"</f>
        <v>10029-6500</v>
      </c>
      <c r="AB9290" t="s">
        <v>78</v>
      </c>
      <c r="AC9290" t="s">
        <v>79</v>
      </c>
      <c r="AD9290" t="s">
        <v>75</v>
      </c>
      <c r="AE9290" t="s">
        <v>80</v>
      </c>
      <c r="AG9290" t="s">
        <v>81</v>
      </c>
    </row>
    <row r="9291" spans="1:33" x14ac:dyDescent="0.25">
      <c r="A9291" t="str">
        <f>"1245338151"</f>
        <v>1245338151</v>
      </c>
      <c r="C9291" t="s">
        <v>13436</v>
      </c>
      <c r="G9291" t="s">
        <v>39180</v>
      </c>
      <c r="K9291" t="s">
        <v>99</v>
      </c>
      <c r="L9291" t="s">
        <v>102</v>
      </c>
      <c r="M9291" t="s">
        <v>75</v>
      </c>
      <c r="R9291" t="s">
        <v>39181</v>
      </c>
      <c r="S9291" t="s">
        <v>39182</v>
      </c>
      <c r="T9291" t="s">
        <v>97</v>
      </c>
      <c r="U9291" t="s">
        <v>77</v>
      </c>
      <c r="V9291" t="str">
        <f>"10029"</f>
        <v>10029</v>
      </c>
      <c r="AC9291" t="s">
        <v>79</v>
      </c>
      <c r="AD9291" t="s">
        <v>75</v>
      </c>
      <c r="AE9291" t="s">
        <v>103</v>
      </c>
      <c r="AG9291" t="s">
        <v>81</v>
      </c>
    </row>
    <row r="9292" spans="1:33" x14ac:dyDescent="0.25">
      <c r="A9292" t="str">
        <f>"1518216332"</f>
        <v>1518216332</v>
      </c>
      <c r="B9292" t="str">
        <f>"03769642"</f>
        <v>03769642</v>
      </c>
      <c r="C9292" t="s">
        <v>13436</v>
      </c>
      <c r="D9292" t="s">
        <v>39183</v>
      </c>
      <c r="E9292" t="s">
        <v>39184</v>
      </c>
      <c r="G9292" t="s">
        <v>39185</v>
      </c>
      <c r="L9292" t="s">
        <v>102</v>
      </c>
      <c r="M9292" t="s">
        <v>75</v>
      </c>
      <c r="R9292" t="s">
        <v>39186</v>
      </c>
      <c r="W9292" t="s">
        <v>39184</v>
      </c>
      <c r="X9292" t="s">
        <v>13562</v>
      </c>
      <c r="Y9292" t="s">
        <v>97</v>
      </c>
      <c r="Z9292" t="s">
        <v>77</v>
      </c>
      <c r="AA9292" t="str">
        <f>"10029-6508"</f>
        <v>10029-6508</v>
      </c>
      <c r="AB9292" t="s">
        <v>78</v>
      </c>
      <c r="AC9292" t="s">
        <v>79</v>
      </c>
      <c r="AD9292" t="s">
        <v>75</v>
      </c>
      <c r="AE9292" t="s">
        <v>80</v>
      </c>
      <c r="AG9292" t="s">
        <v>81</v>
      </c>
    </row>
    <row r="9293" spans="1:33" x14ac:dyDescent="0.25">
      <c r="A9293" t="str">
        <f>"1518217868"</f>
        <v>1518217868</v>
      </c>
      <c r="B9293" t="str">
        <f>"03718178"</f>
        <v>03718178</v>
      </c>
      <c r="C9293" t="s">
        <v>13436</v>
      </c>
      <c r="D9293" t="s">
        <v>39187</v>
      </c>
      <c r="E9293" t="s">
        <v>39188</v>
      </c>
      <c r="G9293" t="s">
        <v>39189</v>
      </c>
      <c r="L9293" t="s">
        <v>74</v>
      </c>
      <c r="M9293" t="s">
        <v>75</v>
      </c>
      <c r="R9293" t="s">
        <v>39190</v>
      </c>
      <c r="W9293" t="s">
        <v>39188</v>
      </c>
      <c r="X9293" t="s">
        <v>14029</v>
      </c>
      <c r="Y9293" t="s">
        <v>97</v>
      </c>
      <c r="Z9293" t="s">
        <v>77</v>
      </c>
      <c r="AA9293" t="str">
        <f>"10029-6501"</f>
        <v>10029-6501</v>
      </c>
      <c r="AB9293" t="s">
        <v>78</v>
      </c>
      <c r="AC9293" t="s">
        <v>79</v>
      </c>
      <c r="AD9293" t="s">
        <v>75</v>
      </c>
      <c r="AE9293" t="s">
        <v>80</v>
      </c>
      <c r="AG9293" t="s">
        <v>81</v>
      </c>
    </row>
    <row r="9294" spans="1:33" x14ac:dyDescent="0.25">
      <c r="A9294" t="str">
        <f>"1518223528"</f>
        <v>1518223528</v>
      </c>
      <c r="C9294" t="s">
        <v>13436</v>
      </c>
      <c r="K9294" t="s">
        <v>99</v>
      </c>
      <c r="L9294" t="s">
        <v>102</v>
      </c>
      <c r="M9294" t="s">
        <v>75</v>
      </c>
      <c r="R9294" t="s">
        <v>39191</v>
      </c>
      <c r="S9294" t="s">
        <v>14063</v>
      </c>
      <c r="T9294" t="s">
        <v>97</v>
      </c>
      <c r="U9294" t="s">
        <v>77</v>
      </c>
      <c r="V9294" t="str">
        <f>"10029"</f>
        <v>10029</v>
      </c>
      <c r="AC9294" t="s">
        <v>79</v>
      </c>
      <c r="AD9294" t="s">
        <v>75</v>
      </c>
      <c r="AE9294" t="s">
        <v>103</v>
      </c>
      <c r="AG9294" t="s">
        <v>81</v>
      </c>
    </row>
    <row r="9295" spans="1:33" x14ac:dyDescent="0.25">
      <c r="A9295" t="str">
        <f>"1518224450"</f>
        <v>1518224450</v>
      </c>
      <c r="C9295" t="s">
        <v>13436</v>
      </c>
      <c r="K9295" t="s">
        <v>99</v>
      </c>
      <c r="L9295" t="s">
        <v>102</v>
      </c>
      <c r="M9295" t="s">
        <v>75</v>
      </c>
      <c r="R9295" t="s">
        <v>39192</v>
      </c>
      <c r="S9295" t="s">
        <v>181</v>
      </c>
      <c r="T9295" t="s">
        <v>97</v>
      </c>
      <c r="U9295" t="s">
        <v>77</v>
      </c>
      <c r="V9295" t="str">
        <f>"100251716"</f>
        <v>100251716</v>
      </c>
      <c r="AC9295" t="s">
        <v>79</v>
      </c>
      <c r="AD9295" t="s">
        <v>75</v>
      </c>
      <c r="AE9295" t="s">
        <v>103</v>
      </c>
      <c r="AG9295" t="s">
        <v>81</v>
      </c>
    </row>
    <row r="9296" spans="1:33" x14ac:dyDescent="0.25">
      <c r="A9296" t="str">
        <f>"1427025824"</f>
        <v>1427025824</v>
      </c>
      <c r="B9296" t="str">
        <f>"02646239"</f>
        <v>02646239</v>
      </c>
      <c r="C9296" t="s">
        <v>13436</v>
      </c>
      <c r="D9296" t="s">
        <v>39193</v>
      </c>
      <c r="E9296" t="s">
        <v>39194</v>
      </c>
      <c r="G9296" t="s">
        <v>39195</v>
      </c>
      <c r="L9296" t="s">
        <v>74</v>
      </c>
      <c r="M9296" t="s">
        <v>85</v>
      </c>
      <c r="R9296" t="s">
        <v>39196</v>
      </c>
      <c r="W9296" t="s">
        <v>39197</v>
      </c>
      <c r="X9296" t="s">
        <v>835</v>
      </c>
      <c r="Y9296" t="s">
        <v>97</v>
      </c>
      <c r="Z9296" t="s">
        <v>77</v>
      </c>
      <c r="AA9296" t="str">
        <f>"10029-6501"</f>
        <v>10029-6501</v>
      </c>
      <c r="AB9296" t="s">
        <v>78</v>
      </c>
      <c r="AC9296" t="s">
        <v>79</v>
      </c>
      <c r="AD9296" t="s">
        <v>75</v>
      </c>
      <c r="AE9296" t="s">
        <v>80</v>
      </c>
      <c r="AG9296" t="s">
        <v>81</v>
      </c>
    </row>
    <row r="9297" spans="1:33" x14ac:dyDescent="0.25">
      <c r="A9297" t="str">
        <f>"1427029180"</f>
        <v>1427029180</v>
      </c>
      <c r="C9297" t="s">
        <v>13436</v>
      </c>
      <c r="G9297" t="s">
        <v>39198</v>
      </c>
      <c r="K9297" t="s">
        <v>99</v>
      </c>
      <c r="L9297" t="s">
        <v>102</v>
      </c>
      <c r="M9297" t="s">
        <v>85</v>
      </c>
      <c r="R9297" t="s">
        <v>39199</v>
      </c>
      <c r="S9297" t="s">
        <v>39200</v>
      </c>
      <c r="T9297" t="s">
        <v>97</v>
      </c>
      <c r="U9297" t="s">
        <v>77</v>
      </c>
      <c r="V9297" t="str">
        <f>"10038"</f>
        <v>10038</v>
      </c>
      <c r="AC9297" t="s">
        <v>79</v>
      </c>
      <c r="AD9297" t="s">
        <v>75</v>
      </c>
      <c r="AE9297" t="s">
        <v>103</v>
      </c>
      <c r="AG9297" t="s">
        <v>81</v>
      </c>
    </row>
    <row r="9298" spans="1:33" x14ac:dyDescent="0.25">
      <c r="A9298" t="str">
        <f>"1427029461"</f>
        <v>1427029461</v>
      </c>
      <c r="B9298" t="str">
        <f>"03383539"</f>
        <v>03383539</v>
      </c>
      <c r="C9298" t="s">
        <v>13436</v>
      </c>
      <c r="D9298" t="s">
        <v>4559</v>
      </c>
      <c r="E9298" t="s">
        <v>4558</v>
      </c>
      <c r="G9298" t="s">
        <v>39201</v>
      </c>
      <c r="L9298" t="s">
        <v>83</v>
      </c>
      <c r="M9298" t="s">
        <v>85</v>
      </c>
      <c r="R9298" t="s">
        <v>4558</v>
      </c>
      <c r="W9298" t="s">
        <v>4558</v>
      </c>
      <c r="X9298" t="s">
        <v>1780</v>
      </c>
      <c r="Y9298" t="s">
        <v>124</v>
      </c>
      <c r="Z9298" t="s">
        <v>77</v>
      </c>
      <c r="AA9298" t="str">
        <f>"14642-0001"</f>
        <v>14642-0001</v>
      </c>
      <c r="AB9298" t="s">
        <v>78</v>
      </c>
      <c r="AC9298" t="s">
        <v>79</v>
      </c>
      <c r="AD9298" t="s">
        <v>75</v>
      </c>
      <c r="AE9298" t="s">
        <v>80</v>
      </c>
      <c r="AG9298" t="s">
        <v>81</v>
      </c>
    </row>
    <row r="9299" spans="1:33" x14ac:dyDescent="0.25">
      <c r="A9299" t="str">
        <f>"1467428201"</f>
        <v>1467428201</v>
      </c>
      <c r="B9299" t="str">
        <f>"01618184"</f>
        <v>01618184</v>
      </c>
      <c r="C9299" t="s">
        <v>13436</v>
      </c>
      <c r="D9299" t="s">
        <v>39202</v>
      </c>
      <c r="E9299" t="s">
        <v>39203</v>
      </c>
      <c r="G9299" t="s">
        <v>39204</v>
      </c>
      <c r="L9299" t="s">
        <v>83</v>
      </c>
      <c r="M9299" t="s">
        <v>85</v>
      </c>
      <c r="R9299" t="s">
        <v>39205</v>
      </c>
      <c r="W9299" t="s">
        <v>39203</v>
      </c>
      <c r="X9299" t="s">
        <v>39206</v>
      </c>
      <c r="Y9299" t="s">
        <v>97</v>
      </c>
      <c r="Z9299" t="s">
        <v>77</v>
      </c>
      <c r="AA9299" t="str">
        <f>"10029-6501"</f>
        <v>10029-6501</v>
      </c>
      <c r="AB9299" t="s">
        <v>78</v>
      </c>
      <c r="AC9299" t="s">
        <v>79</v>
      </c>
      <c r="AD9299" t="s">
        <v>75</v>
      </c>
      <c r="AE9299" t="s">
        <v>80</v>
      </c>
      <c r="AG9299" t="s">
        <v>81</v>
      </c>
    </row>
    <row r="9300" spans="1:33" x14ac:dyDescent="0.25">
      <c r="A9300" t="str">
        <f>"1467436162"</f>
        <v>1467436162</v>
      </c>
      <c r="B9300" t="str">
        <f>"00634533"</f>
        <v>00634533</v>
      </c>
      <c r="C9300" t="s">
        <v>13436</v>
      </c>
      <c r="D9300" t="s">
        <v>39207</v>
      </c>
      <c r="E9300" t="s">
        <v>39208</v>
      </c>
      <c r="L9300" t="s">
        <v>83</v>
      </c>
      <c r="M9300" t="s">
        <v>85</v>
      </c>
      <c r="R9300" t="s">
        <v>39209</v>
      </c>
      <c r="W9300" t="s">
        <v>39209</v>
      </c>
      <c r="X9300" t="s">
        <v>39210</v>
      </c>
      <c r="Y9300" t="s">
        <v>97</v>
      </c>
      <c r="Z9300" t="s">
        <v>77</v>
      </c>
      <c r="AA9300" t="str">
        <f>"10075-1851"</f>
        <v>10075-1851</v>
      </c>
      <c r="AB9300" t="s">
        <v>78</v>
      </c>
      <c r="AC9300" t="s">
        <v>79</v>
      </c>
      <c r="AD9300" t="s">
        <v>75</v>
      </c>
      <c r="AE9300" t="s">
        <v>80</v>
      </c>
      <c r="AG9300" t="s">
        <v>81</v>
      </c>
    </row>
    <row r="9301" spans="1:33" x14ac:dyDescent="0.25">
      <c r="A9301" t="str">
        <f>"1467446575"</f>
        <v>1467446575</v>
      </c>
      <c r="B9301" t="str">
        <f>"01589959"</f>
        <v>01589959</v>
      </c>
      <c r="C9301" t="s">
        <v>13436</v>
      </c>
      <c r="D9301" t="s">
        <v>39211</v>
      </c>
      <c r="E9301" t="s">
        <v>39212</v>
      </c>
      <c r="G9301" t="s">
        <v>39213</v>
      </c>
      <c r="L9301" t="s">
        <v>83</v>
      </c>
      <c r="M9301" t="s">
        <v>85</v>
      </c>
      <c r="R9301" t="s">
        <v>39214</v>
      </c>
      <c r="W9301" t="s">
        <v>39212</v>
      </c>
      <c r="X9301" t="s">
        <v>248</v>
      </c>
      <c r="Y9301" t="s">
        <v>97</v>
      </c>
      <c r="Z9301" t="s">
        <v>77</v>
      </c>
      <c r="AA9301" t="str">
        <f>"10065-7471"</f>
        <v>10065-7471</v>
      </c>
      <c r="AB9301" t="s">
        <v>78</v>
      </c>
      <c r="AC9301" t="s">
        <v>79</v>
      </c>
      <c r="AD9301" t="s">
        <v>75</v>
      </c>
      <c r="AE9301" t="s">
        <v>80</v>
      </c>
      <c r="AG9301" t="s">
        <v>81</v>
      </c>
    </row>
    <row r="9302" spans="1:33" x14ac:dyDescent="0.25">
      <c r="A9302" t="str">
        <f>"1467452029"</f>
        <v>1467452029</v>
      </c>
      <c r="B9302" t="str">
        <f>"03819418"</f>
        <v>03819418</v>
      </c>
      <c r="C9302" t="s">
        <v>13436</v>
      </c>
      <c r="D9302" t="s">
        <v>39215</v>
      </c>
      <c r="E9302" t="s">
        <v>39216</v>
      </c>
      <c r="G9302" t="s">
        <v>39217</v>
      </c>
      <c r="L9302" t="s">
        <v>84</v>
      </c>
      <c r="M9302" t="s">
        <v>85</v>
      </c>
      <c r="R9302" t="s">
        <v>39218</v>
      </c>
      <c r="W9302" t="s">
        <v>39216</v>
      </c>
      <c r="X9302" t="s">
        <v>11945</v>
      </c>
      <c r="Y9302" t="s">
        <v>2128</v>
      </c>
      <c r="Z9302" t="s">
        <v>77</v>
      </c>
      <c r="AA9302" t="str">
        <f>"11743-2779"</f>
        <v>11743-2779</v>
      </c>
      <c r="AB9302" t="s">
        <v>78</v>
      </c>
      <c r="AC9302" t="s">
        <v>79</v>
      </c>
      <c r="AD9302" t="s">
        <v>75</v>
      </c>
      <c r="AE9302" t="s">
        <v>80</v>
      </c>
      <c r="AG9302" t="s">
        <v>81</v>
      </c>
    </row>
    <row r="9303" spans="1:33" x14ac:dyDescent="0.25">
      <c r="A9303" t="str">
        <f>"1467473090"</f>
        <v>1467473090</v>
      </c>
      <c r="B9303" t="str">
        <f>"02287561"</f>
        <v>02287561</v>
      </c>
      <c r="C9303" t="s">
        <v>13436</v>
      </c>
      <c r="D9303" t="s">
        <v>39219</v>
      </c>
      <c r="E9303" t="s">
        <v>39220</v>
      </c>
      <c r="G9303" t="s">
        <v>39221</v>
      </c>
      <c r="L9303" t="s">
        <v>94</v>
      </c>
      <c r="M9303" t="s">
        <v>85</v>
      </c>
      <c r="R9303" t="s">
        <v>39222</v>
      </c>
      <c r="W9303" t="s">
        <v>39220</v>
      </c>
      <c r="X9303" t="s">
        <v>329</v>
      </c>
      <c r="Y9303" t="s">
        <v>97</v>
      </c>
      <c r="Z9303" t="s">
        <v>77</v>
      </c>
      <c r="AA9303" t="str">
        <f>"10029-6500"</f>
        <v>10029-6500</v>
      </c>
      <c r="AB9303" t="s">
        <v>78</v>
      </c>
      <c r="AC9303" t="s">
        <v>79</v>
      </c>
      <c r="AD9303" t="s">
        <v>75</v>
      </c>
      <c r="AE9303" t="s">
        <v>80</v>
      </c>
      <c r="AG9303" t="s">
        <v>81</v>
      </c>
    </row>
    <row r="9304" spans="1:33" x14ac:dyDescent="0.25">
      <c r="A9304" t="str">
        <f>"1467492389"</f>
        <v>1467492389</v>
      </c>
      <c r="B9304" t="str">
        <f>"01878922"</f>
        <v>01878922</v>
      </c>
      <c r="C9304" t="s">
        <v>13436</v>
      </c>
      <c r="D9304" t="s">
        <v>39223</v>
      </c>
      <c r="E9304" t="s">
        <v>39224</v>
      </c>
      <c r="L9304" t="s">
        <v>83</v>
      </c>
      <c r="M9304" t="s">
        <v>85</v>
      </c>
      <c r="R9304" t="s">
        <v>39225</v>
      </c>
      <c r="W9304" t="s">
        <v>39224</v>
      </c>
      <c r="X9304" t="s">
        <v>267</v>
      </c>
      <c r="Y9304" t="s">
        <v>91</v>
      </c>
      <c r="Z9304" t="s">
        <v>77</v>
      </c>
      <c r="AA9304" t="str">
        <f>"11373-1329"</f>
        <v>11373-1329</v>
      </c>
      <c r="AB9304" t="s">
        <v>78</v>
      </c>
      <c r="AC9304" t="s">
        <v>79</v>
      </c>
      <c r="AD9304" t="s">
        <v>75</v>
      </c>
      <c r="AE9304" t="s">
        <v>80</v>
      </c>
      <c r="AG9304" t="s">
        <v>81</v>
      </c>
    </row>
    <row r="9305" spans="1:33" x14ac:dyDescent="0.25">
      <c r="A9305" t="str">
        <f>"1669523783"</f>
        <v>1669523783</v>
      </c>
      <c r="B9305" t="str">
        <f>"01179506"</f>
        <v>01179506</v>
      </c>
      <c r="C9305" t="s">
        <v>13436</v>
      </c>
      <c r="D9305" t="s">
        <v>39226</v>
      </c>
      <c r="E9305" t="s">
        <v>39227</v>
      </c>
      <c r="G9305" t="s">
        <v>39228</v>
      </c>
      <c r="L9305" t="s">
        <v>83</v>
      </c>
      <c r="M9305" t="s">
        <v>75</v>
      </c>
      <c r="R9305" t="s">
        <v>39229</v>
      </c>
      <c r="W9305" t="s">
        <v>39230</v>
      </c>
      <c r="X9305" t="s">
        <v>39231</v>
      </c>
      <c r="Y9305" t="s">
        <v>87</v>
      </c>
      <c r="Z9305" t="s">
        <v>77</v>
      </c>
      <c r="AA9305" t="str">
        <f>"11234-2434"</f>
        <v>11234-2434</v>
      </c>
      <c r="AB9305" t="s">
        <v>128</v>
      </c>
      <c r="AC9305" t="s">
        <v>79</v>
      </c>
      <c r="AD9305" t="s">
        <v>75</v>
      </c>
      <c r="AE9305" t="s">
        <v>80</v>
      </c>
      <c r="AG9305" t="s">
        <v>81</v>
      </c>
    </row>
    <row r="9306" spans="1:33" x14ac:dyDescent="0.25">
      <c r="A9306" t="str">
        <f>"1679519946"</f>
        <v>1679519946</v>
      </c>
      <c r="B9306" t="str">
        <f>"00342618"</f>
        <v>00342618</v>
      </c>
      <c r="C9306" t="s">
        <v>13436</v>
      </c>
      <c r="D9306" t="s">
        <v>39232</v>
      </c>
      <c r="E9306" t="s">
        <v>39233</v>
      </c>
      <c r="G9306" t="s">
        <v>39234</v>
      </c>
      <c r="L9306" t="s">
        <v>83</v>
      </c>
      <c r="M9306" t="s">
        <v>75</v>
      </c>
      <c r="R9306" t="s">
        <v>39235</v>
      </c>
      <c r="W9306" t="s">
        <v>39236</v>
      </c>
      <c r="X9306" t="s">
        <v>39237</v>
      </c>
      <c r="Y9306" t="s">
        <v>155</v>
      </c>
      <c r="Z9306" t="s">
        <v>77</v>
      </c>
      <c r="AA9306" t="str">
        <f>"10301-3321"</f>
        <v>10301-3321</v>
      </c>
      <c r="AB9306" t="s">
        <v>78</v>
      </c>
      <c r="AC9306" t="s">
        <v>79</v>
      </c>
      <c r="AD9306" t="s">
        <v>75</v>
      </c>
      <c r="AE9306" t="s">
        <v>80</v>
      </c>
      <c r="AG9306" t="s">
        <v>81</v>
      </c>
    </row>
    <row r="9307" spans="1:33" x14ac:dyDescent="0.25">
      <c r="A9307" t="str">
        <f>"1285882084"</f>
        <v>1285882084</v>
      </c>
      <c r="B9307" t="str">
        <f>"02143117"</f>
        <v>02143117</v>
      </c>
      <c r="C9307" t="s">
        <v>13436</v>
      </c>
      <c r="D9307" t="s">
        <v>39238</v>
      </c>
      <c r="E9307" t="s">
        <v>39239</v>
      </c>
      <c r="G9307" t="s">
        <v>39240</v>
      </c>
      <c r="L9307" t="s">
        <v>102</v>
      </c>
      <c r="M9307" t="s">
        <v>75</v>
      </c>
      <c r="R9307" t="s">
        <v>39241</v>
      </c>
      <c r="W9307" t="s">
        <v>39239</v>
      </c>
      <c r="X9307" t="s">
        <v>39242</v>
      </c>
      <c r="Y9307" t="s">
        <v>217</v>
      </c>
      <c r="Z9307" t="s">
        <v>77</v>
      </c>
      <c r="AA9307" t="str">
        <f>"11557-1913"</f>
        <v>11557-1913</v>
      </c>
      <c r="AB9307" t="s">
        <v>78</v>
      </c>
      <c r="AC9307" t="s">
        <v>79</v>
      </c>
      <c r="AD9307" t="s">
        <v>75</v>
      </c>
      <c r="AE9307" t="s">
        <v>80</v>
      </c>
      <c r="AG9307" t="s">
        <v>81</v>
      </c>
    </row>
    <row r="9308" spans="1:33" x14ac:dyDescent="0.25">
      <c r="A9308" t="str">
        <f>"1285893016"</f>
        <v>1285893016</v>
      </c>
      <c r="B9308" t="str">
        <f>"03479081"</f>
        <v>03479081</v>
      </c>
      <c r="C9308" t="s">
        <v>13436</v>
      </c>
      <c r="D9308" t="s">
        <v>39243</v>
      </c>
      <c r="E9308" t="s">
        <v>39244</v>
      </c>
      <c r="G9308" t="s">
        <v>39245</v>
      </c>
      <c r="L9308" t="s">
        <v>83</v>
      </c>
      <c r="M9308" t="s">
        <v>85</v>
      </c>
      <c r="R9308" t="s">
        <v>39246</v>
      </c>
      <c r="W9308" t="s">
        <v>39244</v>
      </c>
      <c r="X9308" t="s">
        <v>2926</v>
      </c>
      <c r="Y9308" t="s">
        <v>97</v>
      </c>
      <c r="Z9308" t="s">
        <v>77</v>
      </c>
      <c r="AA9308" t="str">
        <f>"10029-6503"</f>
        <v>10029-6503</v>
      </c>
      <c r="AB9308" t="s">
        <v>78</v>
      </c>
      <c r="AC9308" t="s">
        <v>79</v>
      </c>
      <c r="AD9308" t="s">
        <v>75</v>
      </c>
      <c r="AE9308" t="s">
        <v>80</v>
      </c>
      <c r="AG9308" t="s">
        <v>81</v>
      </c>
    </row>
    <row r="9309" spans="1:33" x14ac:dyDescent="0.25">
      <c r="A9309" t="str">
        <f>"1447226220"</f>
        <v>1447226220</v>
      </c>
      <c r="B9309" t="str">
        <f>"00167955"</f>
        <v>00167955</v>
      </c>
      <c r="C9309" t="s">
        <v>13436</v>
      </c>
      <c r="D9309" t="s">
        <v>39247</v>
      </c>
      <c r="E9309" t="s">
        <v>39248</v>
      </c>
      <c r="G9309" t="s">
        <v>39249</v>
      </c>
      <c r="L9309" t="s">
        <v>74</v>
      </c>
      <c r="M9309" t="s">
        <v>85</v>
      </c>
      <c r="R9309" t="s">
        <v>39250</v>
      </c>
      <c r="W9309" t="s">
        <v>39251</v>
      </c>
      <c r="X9309" t="s">
        <v>38199</v>
      </c>
      <c r="Y9309" t="s">
        <v>97</v>
      </c>
      <c r="Z9309" t="s">
        <v>77</v>
      </c>
      <c r="AA9309" t="str">
        <f>"10029-6501"</f>
        <v>10029-6501</v>
      </c>
      <c r="AB9309" t="s">
        <v>78</v>
      </c>
      <c r="AC9309" t="s">
        <v>79</v>
      </c>
      <c r="AD9309" t="s">
        <v>75</v>
      </c>
      <c r="AE9309" t="s">
        <v>80</v>
      </c>
      <c r="AG9309" t="s">
        <v>81</v>
      </c>
    </row>
    <row r="9310" spans="1:33" x14ac:dyDescent="0.25">
      <c r="A9310" t="str">
        <f>"1447227004"</f>
        <v>1447227004</v>
      </c>
      <c r="B9310" t="str">
        <f>"00123524"</f>
        <v>00123524</v>
      </c>
      <c r="C9310" t="s">
        <v>13436</v>
      </c>
      <c r="D9310" t="s">
        <v>39252</v>
      </c>
      <c r="E9310" t="s">
        <v>39253</v>
      </c>
      <c r="G9310" t="s">
        <v>39254</v>
      </c>
      <c r="L9310" t="s">
        <v>74</v>
      </c>
      <c r="M9310" t="s">
        <v>85</v>
      </c>
      <c r="R9310" t="s">
        <v>39255</v>
      </c>
      <c r="W9310" t="s">
        <v>39256</v>
      </c>
      <c r="X9310" t="s">
        <v>1787</v>
      </c>
      <c r="Y9310" t="s">
        <v>97</v>
      </c>
      <c r="Z9310" t="s">
        <v>77</v>
      </c>
      <c r="AA9310" t="str">
        <f>"10029-6501"</f>
        <v>10029-6501</v>
      </c>
      <c r="AB9310" t="s">
        <v>78</v>
      </c>
      <c r="AC9310" t="s">
        <v>79</v>
      </c>
      <c r="AD9310" t="s">
        <v>75</v>
      </c>
      <c r="AE9310" t="s">
        <v>80</v>
      </c>
      <c r="AG9310" t="s">
        <v>81</v>
      </c>
    </row>
    <row r="9311" spans="1:33" x14ac:dyDescent="0.25">
      <c r="A9311" t="str">
        <f>"1477596179"</f>
        <v>1477596179</v>
      </c>
      <c r="B9311" t="str">
        <f>"02680037"</f>
        <v>02680037</v>
      </c>
      <c r="C9311" t="s">
        <v>13436</v>
      </c>
      <c r="D9311" t="s">
        <v>39257</v>
      </c>
      <c r="E9311" t="s">
        <v>39258</v>
      </c>
      <c r="G9311" t="s">
        <v>39259</v>
      </c>
      <c r="L9311" t="s">
        <v>74</v>
      </c>
      <c r="M9311" t="s">
        <v>85</v>
      </c>
      <c r="R9311" t="s">
        <v>39260</v>
      </c>
      <c r="W9311" t="s">
        <v>39258</v>
      </c>
      <c r="X9311" t="s">
        <v>39261</v>
      </c>
      <c r="Y9311" t="s">
        <v>91</v>
      </c>
      <c r="Z9311" t="s">
        <v>77</v>
      </c>
      <c r="AA9311" t="str">
        <f>"11373-1329"</f>
        <v>11373-1329</v>
      </c>
      <c r="AB9311" t="s">
        <v>78</v>
      </c>
      <c r="AC9311" t="s">
        <v>79</v>
      </c>
      <c r="AD9311" t="s">
        <v>75</v>
      </c>
      <c r="AE9311" t="s">
        <v>80</v>
      </c>
      <c r="AG9311" t="s">
        <v>81</v>
      </c>
    </row>
    <row r="9312" spans="1:33" x14ac:dyDescent="0.25">
      <c r="A9312" t="str">
        <f>"1477598308"</f>
        <v>1477598308</v>
      </c>
      <c r="B9312" t="str">
        <f>"00966858"</f>
        <v>00966858</v>
      </c>
      <c r="C9312" t="s">
        <v>13436</v>
      </c>
      <c r="D9312" t="s">
        <v>39262</v>
      </c>
      <c r="E9312" t="s">
        <v>39263</v>
      </c>
      <c r="G9312" t="s">
        <v>39264</v>
      </c>
      <c r="L9312" t="s">
        <v>83</v>
      </c>
      <c r="M9312" t="s">
        <v>85</v>
      </c>
      <c r="R9312" t="s">
        <v>39265</v>
      </c>
      <c r="W9312" t="s">
        <v>39266</v>
      </c>
      <c r="X9312" t="s">
        <v>39267</v>
      </c>
      <c r="Y9312" t="s">
        <v>1965</v>
      </c>
      <c r="Z9312" t="s">
        <v>77</v>
      </c>
      <c r="AA9312" t="str">
        <f>"11767-1090"</f>
        <v>11767-1090</v>
      </c>
      <c r="AB9312" t="s">
        <v>78</v>
      </c>
      <c r="AC9312" t="s">
        <v>79</v>
      </c>
      <c r="AD9312" t="s">
        <v>75</v>
      </c>
      <c r="AE9312" t="s">
        <v>80</v>
      </c>
      <c r="AG9312" t="s">
        <v>81</v>
      </c>
    </row>
    <row r="9313" spans="1:33" x14ac:dyDescent="0.25">
      <c r="A9313" t="str">
        <f>"1477620540"</f>
        <v>1477620540</v>
      </c>
      <c r="B9313" t="str">
        <f>"01081112"</f>
        <v>01081112</v>
      </c>
      <c r="C9313" t="s">
        <v>13436</v>
      </c>
      <c r="D9313" t="s">
        <v>39268</v>
      </c>
      <c r="E9313" t="s">
        <v>39269</v>
      </c>
      <c r="G9313" t="s">
        <v>39270</v>
      </c>
      <c r="L9313" t="s">
        <v>74</v>
      </c>
      <c r="M9313" t="s">
        <v>85</v>
      </c>
      <c r="R9313" t="s">
        <v>39271</v>
      </c>
      <c r="W9313" t="s">
        <v>39269</v>
      </c>
      <c r="X9313" t="s">
        <v>11460</v>
      </c>
      <c r="Y9313" t="s">
        <v>97</v>
      </c>
      <c r="Z9313" t="s">
        <v>77</v>
      </c>
      <c r="AA9313" t="str">
        <f>"10029-6501"</f>
        <v>10029-6501</v>
      </c>
      <c r="AB9313" t="s">
        <v>78</v>
      </c>
      <c r="AC9313" t="s">
        <v>79</v>
      </c>
      <c r="AD9313" t="s">
        <v>75</v>
      </c>
      <c r="AE9313" t="s">
        <v>80</v>
      </c>
      <c r="AG9313" t="s">
        <v>81</v>
      </c>
    </row>
    <row r="9314" spans="1:33" x14ac:dyDescent="0.25">
      <c r="A9314" t="str">
        <f>"1710034830"</f>
        <v>1710034830</v>
      </c>
      <c r="B9314" t="str">
        <f>"02912169"</f>
        <v>02912169</v>
      </c>
      <c r="C9314" t="s">
        <v>13436</v>
      </c>
      <c r="D9314" t="s">
        <v>39272</v>
      </c>
      <c r="E9314" t="s">
        <v>39273</v>
      </c>
      <c r="G9314" t="s">
        <v>39274</v>
      </c>
      <c r="L9314" t="s">
        <v>84</v>
      </c>
      <c r="M9314" t="s">
        <v>85</v>
      </c>
      <c r="R9314" t="s">
        <v>39275</v>
      </c>
      <c r="W9314" t="s">
        <v>39273</v>
      </c>
      <c r="X9314" t="s">
        <v>6261</v>
      </c>
      <c r="Y9314" t="s">
        <v>131</v>
      </c>
      <c r="Z9314" t="s">
        <v>77</v>
      </c>
      <c r="AA9314" t="str">
        <f>"10452-7904"</f>
        <v>10452-7904</v>
      </c>
      <c r="AB9314" t="s">
        <v>78</v>
      </c>
      <c r="AC9314" t="s">
        <v>79</v>
      </c>
      <c r="AD9314" t="s">
        <v>75</v>
      </c>
      <c r="AE9314" t="s">
        <v>80</v>
      </c>
      <c r="AG9314" t="s">
        <v>81</v>
      </c>
    </row>
    <row r="9315" spans="1:33" x14ac:dyDescent="0.25">
      <c r="A9315" t="str">
        <f>"1710195300"</f>
        <v>1710195300</v>
      </c>
      <c r="C9315" t="s">
        <v>13436</v>
      </c>
      <c r="G9315" t="s">
        <v>39276</v>
      </c>
      <c r="K9315" t="s">
        <v>99</v>
      </c>
      <c r="L9315" t="s">
        <v>102</v>
      </c>
      <c r="M9315" t="s">
        <v>75</v>
      </c>
      <c r="R9315" t="s">
        <v>39277</v>
      </c>
      <c r="S9315" t="s">
        <v>39278</v>
      </c>
      <c r="T9315" t="s">
        <v>97</v>
      </c>
      <c r="U9315" t="s">
        <v>77</v>
      </c>
      <c r="V9315" t="str">
        <f>"100032925"</f>
        <v>100032925</v>
      </c>
      <c r="AC9315" t="s">
        <v>79</v>
      </c>
      <c r="AD9315" t="s">
        <v>75</v>
      </c>
      <c r="AE9315" t="s">
        <v>103</v>
      </c>
      <c r="AG9315" t="s">
        <v>81</v>
      </c>
    </row>
    <row r="9316" spans="1:33" x14ac:dyDescent="0.25">
      <c r="A9316" t="str">
        <f>"1710290515"</f>
        <v>1710290515</v>
      </c>
      <c r="C9316" t="s">
        <v>13436</v>
      </c>
      <c r="G9316" t="s">
        <v>39279</v>
      </c>
      <c r="K9316" t="s">
        <v>99</v>
      </c>
      <c r="L9316" t="s">
        <v>102</v>
      </c>
      <c r="M9316" t="s">
        <v>75</v>
      </c>
      <c r="R9316" t="s">
        <v>39280</v>
      </c>
      <c r="S9316" t="s">
        <v>39281</v>
      </c>
      <c r="T9316" t="s">
        <v>6270</v>
      </c>
      <c r="U9316" t="s">
        <v>77</v>
      </c>
      <c r="V9316" t="str">
        <f>"10003"</f>
        <v>10003</v>
      </c>
      <c r="AC9316" t="s">
        <v>79</v>
      </c>
      <c r="AD9316" t="s">
        <v>75</v>
      </c>
      <c r="AE9316" t="s">
        <v>103</v>
      </c>
      <c r="AG9316" t="s">
        <v>81</v>
      </c>
    </row>
    <row r="9317" spans="1:33" x14ac:dyDescent="0.25">
      <c r="A9317" t="str">
        <f>"1710939392"</f>
        <v>1710939392</v>
      </c>
      <c r="C9317" t="s">
        <v>13436</v>
      </c>
      <c r="G9317" t="s">
        <v>39282</v>
      </c>
      <c r="K9317" t="s">
        <v>99</v>
      </c>
      <c r="L9317" t="s">
        <v>102</v>
      </c>
      <c r="M9317" t="s">
        <v>75</v>
      </c>
      <c r="R9317" t="s">
        <v>39283</v>
      </c>
      <c r="S9317" t="s">
        <v>39284</v>
      </c>
      <c r="T9317" t="s">
        <v>87</v>
      </c>
      <c r="U9317" t="s">
        <v>77</v>
      </c>
      <c r="V9317" t="str">
        <f>"112075017"</f>
        <v>112075017</v>
      </c>
      <c r="AC9317" t="s">
        <v>79</v>
      </c>
      <c r="AD9317" t="s">
        <v>75</v>
      </c>
      <c r="AE9317" t="s">
        <v>103</v>
      </c>
      <c r="AG9317" t="s">
        <v>81</v>
      </c>
    </row>
    <row r="9318" spans="1:33" x14ac:dyDescent="0.25">
      <c r="A9318" t="str">
        <f>"1710964192"</f>
        <v>1710964192</v>
      </c>
      <c r="B9318" t="str">
        <f>"03552623"</f>
        <v>03552623</v>
      </c>
      <c r="C9318" t="s">
        <v>13436</v>
      </c>
      <c r="D9318" t="s">
        <v>39285</v>
      </c>
      <c r="E9318" t="s">
        <v>39286</v>
      </c>
      <c r="G9318" t="s">
        <v>39287</v>
      </c>
      <c r="L9318" t="s">
        <v>74</v>
      </c>
      <c r="M9318" t="s">
        <v>75</v>
      </c>
      <c r="R9318" t="s">
        <v>39286</v>
      </c>
      <c r="W9318" t="s">
        <v>39286</v>
      </c>
      <c r="X9318" t="s">
        <v>39288</v>
      </c>
      <c r="Y9318" t="s">
        <v>87</v>
      </c>
      <c r="Z9318" t="s">
        <v>77</v>
      </c>
      <c r="AA9318" t="str">
        <f>"11204-4934"</f>
        <v>11204-4934</v>
      </c>
      <c r="AB9318" t="s">
        <v>78</v>
      </c>
      <c r="AC9318" t="s">
        <v>79</v>
      </c>
      <c r="AD9318" t="s">
        <v>75</v>
      </c>
      <c r="AE9318" t="s">
        <v>80</v>
      </c>
      <c r="AG9318" t="s">
        <v>81</v>
      </c>
    </row>
    <row r="9319" spans="1:33" x14ac:dyDescent="0.25">
      <c r="A9319" t="str">
        <f>"1720040702"</f>
        <v>1720040702</v>
      </c>
      <c r="B9319" t="str">
        <f>"02359662"</f>
        <v>02359662</v>
      </c>
      <c r="C9319" t="s">
        <v>13436</v>
      </c>
      <c r="D9319" t="s">
        <v>39289</v>
      </c>
      <c r="E9319" t="s">
        <v>39290</v>
      </c>
      <c r="G9319" t="s">
        <v>39291</v>
      </c>
      <c r="L9319" t="s">
        <v>84</v>
      </c>
      <c r="M9319" t="s">
        <v>85</v>
      </c>
      <c r="R9319" t="s">
        <v>39292</v>
      </c>
      <c r="W9319" t="s">
        <v>39290</v>
      </c>
      <c r="X9319" t="s">
        <v>39293</v>
      </c>
      <c r="Y9319" t="s">
        <v>87</v>
      </c>
      <c r="Z9319" t="s">
        <v>77</v>
      </c>
      <c r="AA9319" t="str">
        <f>"11201-6004"</f>
        <v>11201-6004</v>
      </c>
      <c r="AB9319" t="s">
        <v>78</v>
      </c>
      <c r="AC9319" t="s">
        <v>79</v>
      </c>
      <c r="AD9319" t="s">
        <v>75</v>
      </c>
      <c r="AE9319" t="s">
        <v>80</v>
      </c>
      <c r="AG9319" t="s">
        <v>81</v>
      </c>
    </row>
    <row r="9320" spans="1:33" x14ac:dyDescent="0.25">
      <c r="A9320" t="str">
        <f>"1396763744"</f>
        <v>1396763744</v>
      </c>
      <c r="B9320" t="str">
        <f>"00977679"</f>
        <v>00977679</v>
      </c>
      <c r="C9320" t="s">
        <v>13436</v>
      </c>
      <c r="D9320" t="s">
        <v>39294</v>
      </c>
      <c r="E9320" t="s">
        <v>39295</v>
      </c>
      <c r="G9320" t="s">
        <v>39296</v>
      </c>
      <c r="L9320" t="s">
        <v>102</v>
      </c>
      <c r="M9320" t="s">
        <v>75</v>
      </c>
      <c r="R9320" t="s">
        <v>39297</v>
      </c>
      <c r="W9320" t="s">
        <v>39295</v>
      </c>
      <c r="X9320" t="s">
        <v>228</v>
      </c>
      <c r="Y9320" t="s">
        <v>91</v>
      </c>
      <c r="Z9320" t="s">
        <v>77</v>
      </c>
      <c r="AA9320" t="str">
        <f>"11373-1329"</f>
        <v>11373-1329</v>
      </c>
      <c r="AB9320" t="s">
        <v>78</v>
      </c>
      <c r="AC9320" t="s">
        <v>79</v>
      </c>
      <c r="AD9320" t="s">
        <v>75</v>
      </c>
      <c r="AE9320" t="s">
        <v>80</v>
      </c>
      <c r="AG9320" t="s">
        <v>81</v>
      </c>
    </row>
    <row r="9321" spans="1:33" x14ac:dyDescent="0.25">
      <c r="B9321" t="str">
        <f>"01703488"</f>
        <v>01703488</v>
      </c>
      <c r="C9321" t="s">
        <v>39298</v>
      </c>
      <c r="D9321" t="s">
        <v>39299</v>
      </c>
      <c r="E9321" t="s">
        <v>39300</v>
      </c>
      <c r="L9321" t="s">
        <v>106</v>
      </c>
      <c r="M9321" t="s">
        <v>85</v>
      </c>
      <c r="W9321" t="s">
        <v>39300</v>
      </c>
      <c r="X9321" t="s">
        <v>39301</v>
      </c>
      <c r="Y9321" t="s">
        <v>179</v>
      </c>
      <c r="Z9321" t="s">
        <v>77</v>
      </c>
      <c r="AA9321" t="str">
        <f>"11550-5624"</f>
        <v>11550-5624</v>
      </c>
      <c r="AB9321" t="s">
        <v>107</v>
      </c>
      <c r="AC9321" t="s">
        <v>79</v>
      </c>
      <c r="AD9321" t="s">
        <v>75</v>
      </c>
      <c r="AE9321" t="s">
        <v>80</v>
      </c>
      <c r="AG9321" t="s">
        <v>81</v>
      </c>
    </row>
    <row r="9322" spans="1:33" x14ac:dyDescent="0.25">
      <c r="A9322" t="str">
        <f>"1437245495"</f>
        <v>1437245495</v>
      </c>
      <c r="B9322" t="str">
        <f>"03354161"</f>
        <v>03354161</v>
      </c>
      <c r="C9322" t="s">
        <v>39302</v>
      </c>
      <c r="D9322" t="s">
        <v>39303</v>
      </c>
      <c r="E9322" t="s">
        <v>39304</v>
      </c>
      <c r="G9322" t="s">
        <v>35048</v>
      </c>
      <c r="H9322" t="s">
        <v>35049</v>
      </c>
      <c r="J9322" t="s">
        <v>35050</v>
      </c>
      <c r="L9322" t="s">
        <v>83</v>
      </c>
      <c r="M9322" t="s">
        <v>85</v>
      </c>
      <c r="R9322" t="s">
        <v>39305</v>
      </c>
      <c r="W9322" t="s">
        <v>39304</v>
      </c>
      <c r="X9322" t="s">
        <v>2582</v>
      </c>
      <c r="Y9322" t="s">
        <v>97</v>
      </c>
      <c r="Z9322" t="s">
        <v>77</v>
      </c>
      <c r="AA9322" t="str">
        <f>"10012-2413"</f>
        <v>10012-2413</v>
      </c>
      <c r="AB9322" t="s">
        <v>78</v>
      </c>
      <c r="AC9322" t="s">
        <v>79</v>
      </c>
      <c r="AD9322" t="s">
        <v>75</v>
      </c>
      <c r="AE9322" t="s">
        <v>80</v>
      </c>
      <c r="AG9322" t="s">
        <v>81</v>
      </c>
    </row>
    <row r="9323" spans="1:33" x14ac:dyDescent="0.25">
      <c r="A9323" t="str">
        <f>"1558548446"</f>
        <v>1558548446</v>
      </c>
      <c r="B9323" t="str">
        <f>"03463467"</f>
        <v>03463467</v>
      </c>
      <c r="C9323" t="s">
        <v>39306</v>
      </c>
      <c r="D9323" t="s">
        <v>39307</v>
      </c>
      <c r="E9323" t="s">
        <v>39308</v>
      </c>
      <c r="G9323" t="s">
        <v>35048</v>
      </c>
      <c r="H9323" t="s">
        <v>35049</v>
      </c>
      <c r="J9323" t="s">
        <v>35050</v>
      </c>
      <c r="L9323" t="s">
        <v>83</v>
      </c>
      <c r="M9323" t="s">
        <v>85</v>
      </c>
      <c r="R9323" t="s">
        <v>39309</v>
      </c>
      <c r="W9323" t="s">
        <v>39308</v>
      </c>
      <c r="X9323" t="s">
        <v>2582</v>
      </c>
      <c r="Y9323" t="s">
        <v>97</v>
      </c>
      <c r="Z9323" t="s">
        <v>77</v>
      </c>
      <c r="AA9323" t="str">
        <f>"10012-2413"</f>
        <v>10012-2413</v>
      </c>
      <c r="AB9323" t="s">
        <v>78</v>
      </c>
      <c r="AC9323" t="s">
        <v>79</v>
      </c>
      <c r="AD9323" t="s">
        <v>75</v>
      </c>
      <c r="AE9323" t="s">
        <v>80</v>
      </c>
      <c r="AG9323" t="s">
        <v>81</v>
      </c>
    </row>
    <row r="9324" spans="1:33" x14ac:dyDescent="0.25">
      <c r="A9324" t="str">
        <f>"1588733380"</f>
        <v>1588733380</v>
      </c>
      <c r="B9324" t="str">
        <f>"02440926"</f>
        <v>02440926</v>
      </c>
      <c r="C9324" t="s">
        <v>39310</v>
      </c>
      <c r="D9324" t="s">
        <v>39311</v>
      </c>
      <c r="E9324" t="s">
        <v>39312</v>
      </c>
      <c r="G9324" t="s">
        <v>35048</v>
      </c>
      <c r="H9324" t="s">
        <v>35049</v>
      </c>
      <c r="J9324" t="s">
        <v>35050</v>
      </c>
      <c r="L9324" t="s">
        <v>83</v>
      </c>
      <c r="M9324" t="s">
        <v>85</v>
      </c>
      <c r="R9324" t="s">
        <v>39313</v>
      </c>
      <c r="W9324" t="s">
        <v>39312</v>
      </c>
      <c r="X9324" t="s">
        <v>264</v>
      </c>
      <c r="Y9324" t="s">
        <v>131</v>
      </c>
      <c r="Z9324" t="s">
        <v>77</v>
      </c>
      <c r="AA9324" t="str">
        <f>"10461-1197"</f>
        <v>10461-1197</v>
      </c>
      <c r="AB9324" t="s">
        <v>78</v>
      </c>
      <c r="AC9324" t="s">
        <v>79</v>
      </c>
      <c r="AD9324" t="s">
        <v>75</v>
      </c>
      <c r="AE9324" t="s">
        <v>80</v>
      </c>
      <c r="AG9324" t="s">
        <v>81</v>
      </c>
    </row>
    <row r="9325" spans="1:33" x14ac:dyDescent="0.25">
      <c r="A9325" t="str">
        <f>"1487828232"</f>
        <v>1487828232</v>
      </c>
      <c r="B9325" t="str">
        <f>"03822882"</f>
        <v>03822882</v>
      </c>
      <c r="C9325" t="s">
        <v>39314</v>
      </c>
      <c r="D9325" t="s">
        <v>39315</v>
      </c>
      <c r="E9325" t="s">
        <v>39316</v>
      </c>
      <c r="G9325" t="s">
        <v>35048</v>
      </c>
      <c r="H9325" t="s">
        <v>35049</v>
      </c>
      <c r="J9325" t="s">
        <v>35050</v>
      </c>
      <c r="L9325" t="s">
        <v>83</v>
      </c>
      <c r="M9325" t="s">
        <v>75</v>
      </c>
      <c r="R9325" t="s">
        <v>39317</v>
      </c>
      <c r="W9325" t="s">
        <v>39316</v>
      </c>
      <c r="X9325" t="s">
        <v>36803</v>
      </c>
      <c r="Y9325" t="s">
        <v>87</v>
      </c>
      <c r="Z9325" t="s">
        <v>77</v>
      </c>
      <c r="AA9325" t="str">
        <f>"11201-4405"</f>
        <v>11201-4405</v>
      </c>
      <c r="AB9325" t="s">
        <v>78</v>
      </c>
      <c r="AC9325" t="s">
        <v>79</v>
      </c>
      <c r="AD9325" t="s">
        <v>75</v>
      </c>
      <c r="AE9325" t="s">
        <v>80</v>
      </c>
      <c r="AG9325" t="s">
        <v>81</v>
      </c>
    </row>
    <row r="9326" spans="1:33" x14ac:dyDescent="0.25">
      <c r="A9326" t="str">
        <f>"1548201064"</f>
        <v>1548201064</v>
      </c>
      <c r="B9326" t="str">
        <f>"02112141"</f>
        <v>02112141</v>
      </c>
      <c r="C9326" t="s">
        <v>13436</v>
      </c>
      <c r="D9326" t="s">
        <v>39318</v>
      </c>
      <c r="E9326" t="s">
        <v>39319</v>
      </c>
      <c r="L9326" t="s">
        <v>74</v>
      </c>
      <c r="M9326" t="s">
        <v>75</v>
      </c>
      <c r="W9326" t="s">
        <v>39320</v>
      </c>
      <c r="X9326" t="s">
        <v>200</v>
      </c>
      <c r="Y9326" t="s">
        <v>97</v>
      </c>
      <c r="Z9326" t="s">
        <v>77</v>
      </c>
      <c r="AA9326" t="str">
        <f>"10032-3720"</f>
        <v>10032-3720</v>
      </c>
      <c r="AB9326" t="s">
        <v>78</v>
      </c>
      <c r="AC9326" t="s">
        <v>79</v>
      </c>
      <c r="AD9326" t="s">
        <v>75</v>
      </c>
      <c r="AE9326" t="s">
        <v>80</v>
      </c>
      <c r="AG9326" t="s">
        <v>81</v>
      </c>
    </row>
    <row r="9327" spans="1:33" x14ac:dyDescent="0.25">
      <c r="A9327" t="str">
        <f>"1548448095"</f>
        <v>1548448095</v>
      </c>
      <c r="B9327" t="str">
        <f>"03078879"</f>
        <v>03078879</v>
      </c>
      <c r="C9327" t="s">
        <v>13436</v>
      </c>
      <c r="D9327" t="s">
        <v>39321</v>
      </c>
      <c r="E9327" t="s">
        <v>39322</v>
      </c>
      <c r="L9327" t="s">
        <v>94</v>
      </c>
      <c r="M9327" t="s">
        <v>85</v>
      </c>
      <c r="R9327" t="s">
        <v>39323</v>
      </c>
      <c r="W9327" t="s">
        <v>39324</v>
      </c>
      <c r="X9327" t="s">
        <v>28615</v>
      </c>
      <c r="Y9327" t="s">
        <v>97</v>
      </c>
      <c r="Z9327" t="s">
        <v>77</v>
      </c>
      <c r="AA9327" t="str">
        <f>"10011-0001"</f>
        <v>10011-0001</v>
      </c>
      <c r="AB9327" t="s">
        <v>78</v>
      </c>
      <c r="AC9327" t="s">
        <v>79</v>
      </c>
      <c r="AD9327" t="s">
        <v>75</v>
      </c>
      <c r="AE9327" t="s">
        <v>80</v>
      </c>
      <c r="AG9327" t="s">
        <v>81</v>
      </c>
    </row>
    <row r="9328" spans="1:33" x14ac:dyDescent="0.25">
      <c r="A9328" t="str">
        <f>"1548456890"</f>
        <v>1548456890</v>
      </c>
      <c r="B9328" t="str">
        <f>"03553720"</f>
        <v>03553720</v>
      </c>
      <c r="C9328" t="s">
        <v>13436</v>
      </c>
      <c r="D9328" t="s">
        <v>39325</v>
      </c>
      <c r="E9328" t="s">
        <v>39326</v>
      </c>
      <c r="L9328" t="s">
        <v>83</v>
      </c>
      <c r="M9328" t="s">
        <v>75</v>
      </c>
      <c r="R9328" t="s">
        <v>39327</v>
      </c>
      <c r="W9328" t="s">
        <v>39326</v>
      </c>
      <c r="X9328" t="s">
        <v>26014</v>
      </c>
      <c r="Y9328" t="s">
        <v>87</v>
      </c>
      <c r="Z9328" t="s">
        <v>77</v>
      </c>
      <c r="AA9328" t="str">
        <f>"11235-2727"</f>
        <v>11235-2727</v>
      </c>
      <c r="AB9328" t="s">
        <v>78</v>
      </c>
      <c r="AC9328" t="s">
        <v>79</v>
      </c>
      <c r="AD9328" t="s">
        <v>75</v>
      </c>
      <c r="AE9328" t="s">
        <v>80</v>
      </c>
      <c r="AG9328" t="s">
        <v>81</v>
      </c>
    </row>
    <row r="9329" spans="1:33" x14ac:dyDescent="0.25">
      <c r="A9329" t="str">
        <f>"1689916918"</f>
        <v>1689916918</v>
      </c>
      <c r="C9329" t="s">
        <v>13436</v>
      </c>
      <c r="K9329" t="s">
        <v>99</v>
      </c>
      <c r="L9329" t="s">
        <v>102</v>
      </c>
      <c r="M9329" t="s">
        <v>75</v>
      </c>
      <c r="R9329" t="s">
        <v>39328</v>
      </c>
      <c r="S9329" t="s">
        <v>39329</v>
      </c>
      <c r="T9329" t="s">
        <v>27139</v>
      </c>
      <c r="U9329" t="s">
        <v>2595</v>
      </c>
      <c r="V9329" t="str">
        <f>"943052200"</f>
        <v>943052200</v>
      </c>
      <c r="AC9329" t="s">
        <v>79</v>
      </c>
      <c r="AD9329" t="s">
        <v>75</v>
      </c>
      <c r="AE9329" t="s">
        <v>103</v>
      </c>
      <c r="AG9329" t="s">
        <v>81</v>
      </c>
    </row>
    <row r="9330" spans="1:33" x14ac:dyDescent="0.25">
      <c r="A9330" t="str">
        <f>"1689917221"</f>
        <v>1689917221</v>
      </c>
      <c r="C9330" t="s">
        <v>13436</v>
      </c>
      <c r="K9330" t="s">
        <v>99</v>
      </c>
      <c r="L9330" t="s">
        <v>102</v>
      </c>
      <c r="M9330" t="s">
        <v>75</v>
      </c>
      <c r="R9330" t="s">
        <v>39330</v>
      </c>
      <c r="S9330" t="s">
        <v>39331</v>
      </c>
      <c r="T9330" t="s">
        <v>97</v>
      </c>
      <c r="U9330" t="s">
        <v>77</v>
      </c>
      <c r="V9330" t="str">
        <f>"100296500"</f>
        <v>100296500</v>
      </c>
      <c r="AC9330" t="s">
        <v>79</v>
      </c>
      <c r="AD9330" t="s">
        <v>75</v>
      </c>
      <c r="AE9330" t="s">
        <v>103</v>
      </c>
      <c r="AG9330" t="s">
        <v>81</v>
      </c>
    </row>
    <row r="9331" spans="1:33" x14ac:dyDescent="0.25">
      <c r="A9331" t="str">
        <f>"1689923427"</f>
        <v>1689923427</v>
      </c>
      <c r="C9331" t="s">
        <v>13436</v>
      </c>
      <c r="G9331" t="s">
        <v>39332</v>
      </c>
      <c r="K9331" t="s">
        <v>99</v>
      </c>
      <c r="L9331" t="s">
        <v>102</v>
      </c>
      <c r="M9331" t="s">
        <v>75</v>
      </c>
      <c r="R9331" t="s">
        <v>39333</v>
      </c>
      <c r="S9331" t="s">
        <v>12769</v>
      </c>
      <c r="T9331" t="s">
        <v>4861</v>
      </c>
      <c r="U9331" t="s">
        <v>156</v>
      </c>
      <c r="V9331" t="str">
        <f>"076311808"</f>
        <v>076311808</v>
      </c>
      <c r="AC9331" t="s">
        <v>79</v>
      </c>
      <c r="AD9331" t="s">
        <v>75</v>
      </c>
      <c r="AE9331" t="s">
        <v>103</v>
      </c>
      <c r="AG9331" t="s">
        <v>81</v>
      </c>
    </row>
    <row r="9332" spans="1:33" x14ac:dyDescent="0.25">
      <c r="A9332" t="str">
        <f>"1689952418"</f>
        <v>1689952418</v>
      </c>
      <c r="C9332" t="s">
        <v>13436</v>
      </c>
      <c r="K9332" t="s">
        <v>99</v>
      </c>
      <c r="L9332" t="s">
        <v>102</v>
      </c>
      <c r="M9332" t="s">
        <v>75</v>
      </c>
      <c r="R9332" t="s">
        <v>39334</v>
      </c>
      <c r="S9332" t="s">
        <v>39335</v>
      </c>
      <c r="T9332" t="s">
        <v>182</v>
      </c>
      <c r="U9332" t="s">
        <v>77</v>
      </c>
      <c r="V9332" t="str">
        <f>"115012318"</f>
        <v>115012318</v>
      </c>
      <c r="AC9332" t="s">
        <v>79</v>
      </c>
      <c r="AD9332" t="s">
        <v>75</v>
      </c>
      <c r="AE9332" t="s">
        <v>103</v>
      </c>
      <c r="AG9332" t="s">
        <v>81</v>
      </c>
    </row>
    <row r="9333" spans="1:33" x14ac:dyDescent="0.25">
      <c r="A9333" t="str">
        <f>"1659399483"</f>
        <v>1659399483</v>
      </c>
      <c r="B9333" t="str">
        <f>"01512321"</f>
        <v>01512321</v>
      </c>
      <c r="C9333" t="s">
        <v>13436</v>
      </c>
      <c r="D9333" t="s">
        <v>39336</v>
      </c>
      <c r="E9333" t="s">
        <v>39337</v>
      </c>
      <c r="G9333" t="s">
        <v>39338</v>
      </c>
      <c r="L9333" t="s">
        <v>83</v>
      </c>
      <c r="M9333" t="s">
        <v>85</v>
      </c>
      <c r="R9333" t="s">
        <v>39339</v>
      </c>
      <c r="W9333" t="s">
        <v>39337</v>
      </c>
      <c r="X9333" t="s">
        <v>272</v>
      </c>
      <c r="Y9333" t="s">
        <v>97</v>
      </c>
      <c r="Z9333" t="s">
        <v>77</v>
      </c>
      <c r="AA9333" t="str">
        <f>"10029-6501"</f>
        <v>10029-6501</v>
      </c>
      <c r="AB9333" t="s">
        <v>78</v>
      </c>
      <c r="AC9333" t="s">
        <v>79</v>
      </c>
      <c r="AD9333" t="s">
        <v>75</v>
      </c>
      <c r="AE9333" t="s">
        <v>80</v>
      </c>
      <c r="AG9333" t="s">
        <v>81</v>
      </c>
    </row>
    <row r="9334" spans="1:33" x14ac:dyDescent="0.25">
      <c r="A9334" t="str">
        <f>"1659456549"</f>
        <v>1659456549</v>
      </c>
      <c r="B9334" t="str">
        <f>"03165859"</f>
        <v>03165859</v>
      </c>
      <c r="C9334" t="s">
        <v>13436</v>
      </c>
      <c r="D9334" t="s">
        <v>39340</v>
      </c>
      <c r="E9334" t="s">
        <v>39341</v>
      </c>
      <c r="G9334" t="s">
        <v>39342</v>
      </c>
      <c r="L9334" t="s">
        <v>83</v>
      </c>
      <c r="M9334" t="s">
        <v>85</v>
      </c>
      <c r="R9334" t="s">
        <v>39341</v>
      </c>
      <c r="W9334" t="s">
        <v>39341</v>
      </c>
      <c r="X9334" t="s">
        <v>39343</v>
      </c>
      <c r="Y9334" t="s">
        <v>97</v>
      </c>
      <c r="Z9334" t="s">
        <v>77</v>
      </c>
      <c r="AA9334" t="str">
        <f>"10029-6501"</f>
        <v>10029-6501</v>
      </c>
      <c r="AB9334" t="s">
        <v>78</v>
      </c>
      <c r="AC9334" t="s">
        <v>79</v>
      </c>
      <c r="AD9334" t="s">
        <v>75</v>
      </c>
      <c r="AE9334" t="s">
        <v>80</v>
      </c>
      <c r="AG9334" t="s">
        <v>81</v>
      </c>
    </row>
    <row r="9335" spans="1:33" x14ac:dyDescent="0.25">
      <c r="A9335" t="str">
        <f>"1366615544"</f>
        <v>1366615544</v>
      </c>
      <c r="B9335" t="str">
        <f>"02474380"</f>
        <v>02474380</v>
      </c>
      <c r="C9335" t="s">
        <v>39344</v>
      </c>
      <c r="D9335" t="s">
        <v>39345</v>
      </c>
      <c r="E9335" t="s">
        <v>39346</v>
      </c>
      <c r="G9335" t="s">
        <v>35048</v>
      </c>
      <c r="H9335" t="s">
        <v>35049</v>
      </c>
      <c r="J9335" t="s">
        <v>35050</v>
      </c>
      <c r="L9335" t="s">
        <v>83</v>
      </c>
      <c r="M9335" t="s">
        <v>85</v>
      </c>
      <c r="R9335" t="s">
        <v>39347</v>
      </c>
      <c r="W9335" t="s">
        <v>39348</v>
      </c>
      <c r="X9335" t="s">
        <v>39349</v>
      </c>
      <c r="Y9335" t="s">
        <v>97</v>
      </c>
      <c r="Z9335" t="s">
        <v>77</v>
      </c>
      <c r="AA9335" t="str">
        <f>"10451-5603"</f>
        <v>10451-5603</v>
      </c>
      <c r="AB9335" t="s">
        <v>78</v>
      </c>
      <c r="AC9335" t="s">
        <v>79</v>
      </c>
      <c r="AD9335" t="s">
        <v>75</v>
      </c>
      <c r="AE9335" t="s">
        <v>80</v>
      </c>
      <c r="AG9335" t="s">
        <v>81</v>
      </c>
    </row>
    <row r="9336" spans="1:33" x14ac:dyDescent="0.25">
      <c r="A9336" t="str">
        <f>"1922033919"</f>
        <v>1922033919</v>
      </c>
      <c r="C9336" t="s">
        <v>13436</v>
      </c>
      <c r="G9336" t="s">
        <v>39350</v>
      </c>
      <c r="K9336" t="s">
        <v>99</v>
      </c>
      <c r="L9336" t="s">
        <v>102</v>
      </c>
      <c r="M9336" t="s">
        <v>75</v>
      </c>
      <c r="R9336" t="s">
        <v>39351</v>
      </c>
      <c r="S9336" t="s">
        <v>39352</v>
      </c>
      <c r="T9336" t="s">
        <v>469</v>
      </c>
      <c r="U9336" t="s">
        <v>123</v>
      </c>
      <c r="V9336" t="str">
        <f>"01613"</f>
        <v>01613</v>
      </c>
      <c r="AC9336" t="s">
        <v>79</v>
      </c>
      <c r="AD9336" t="s">
        <v>75</v>
      </c>
      <c r="AE9336" t="s">
        <v>103</v>
      </c>
      <c r="AG9336" t="s">
        <v>81</v>
      </c>
    </row>
    <row r="9337" spans="1:33" x14ac:dyDescent="0.25">
      <c r="A9337" t="str">
        <f>"1043344112"</f>
        <v>1043344112</v>
      </c>
      <c r="B9337" t="str">
        <f>"02978265"</f>
        <v>02978265</v>
      </c>
      <c r="C9337" t="s">
        <v>13436</v>
      </c>
      <c r="D9337" t="s">
        <v>39353</v>
      </c>
      <c r="E9337" t="s">
        <v>39354</v>
      </c>
      <c r="G9337" t="s">
        <v>39355</v>
      </c>
      <c r="L9337" t="s">
        <v>102</v>
      </c>
      <c r="M9337" t="s">
        <v>75</v>
      </c>
      <c r="R9337" t="s">
        <v>39356</v>
      </c>
      <c r="W9337" t="s">
        <v>39357</v>
      </c>
      <c r="X9337" t="s">
        <v>267</v>
      </c>
      <c r="Y9337" t="s">
        <v>91</v>
      </c>
      <c r="Z9337" t="s">
        <v>77</v>
      </c>
      <c r="AA9337" t="str">
        <f>"11373-1329"</f>
        <v>11373-1329</v>
      </c>
      <c r="AB9337" t="s">
        <v>78</v>
      </c>
      <c r="AC9337" t="s">
        <v>79</v>
      </c>
      <c r="AD9337" t="s">
        <v>75</v>
      </c>
      <c r="AE9337" t="s">
        <v>80</v>
      </c>
      <c r="AG9337" t="s">
        <v>81</v>
      </c>
    </row>
    <row r="9338" spans="1:33" x14ac:dyDescent="0.25">
      <c r="A9338" t="str">
        <f>"1962660191"</f>
        <v>1962660191</v>
      </c>
      <c r="B9338" t="str">
        <f>"04062539"</f>
        <v>04062539</v>
      </c>
      <c r="C9338" t="s">
        <v>13436</v>
      </c>
      <c r="D9338" t="s">
        <v>39358</v>
      </c>
      <c r="E9338" t="s">
        <v>39359</v>
      </c>
      <c r="G9338" t="s">
        <v>39360</v>
      </c>
      <c r="L9338" t="s">
        <v>83</v>
      </c>
      <c r="M9338" t="s">
        <v>75</v>
      </c>
      <c r="R9338" t="s">
        <v>39361</v>
      </c>
      <c r="W9338" t="s">
        <v>39362</v>
      </c>
      <c r="X9338" t="s">
        <v>13562</v>
      </c>
      <c r="Y9338" t="s">
        <v>97</v>
      </c>
      <c r="Z9338" t="s">
        <v>77</v>
      </c>
      <c r="AA9338" t="str">
        <f>"10029-6508"</f>
        <v>10029-6508</v>
      </c>
      <c r="AB9338" t="s">
        <v>78</v>
      </c>
      <c r="AC9338" t="s">
        <v>79</v>
      </c>
      <c r="AD9338" t="s">
        <v>75</v>
      </c>
      <c r="AE9338" t="s">
        <v>80</v>
      </c>
      <c r="AG9338" t="s">
        <v>81</v>
      </c>
    </row>
    <row r="9339" spans="1:33" x14ac:dyDescent="0.25">
      <c r="A9339" t="str">
        <f>"1972621746"</f>
        <v>1972621746</v>
      </c>
      <c r="B9339" t="str">
        <f>"00085896"</f>
        <v>00085896</v>
      </c>
      <c r="C9339" t="s">
        <v>13436</v>
      </c>
      <c r="D9339" t="s">
        <v>39363</v>
      </c>
      <c r="E9339" t="s">
        <v>39364</v>
      </c>
      <c r="G9339" t="s">
        <v>39365</v>
      </c>
      <c r="L9339" t="s">
        <v>102</v>
      </c>
      <c r="M9339" t="s">
        <v>75</v>
      </c>
      <c r="R9339" t="s">
        <v>39366</v>
      </c>
      <c r="W9339" t="s">
        <v>39364</v>
      </c>
      <c r="X9339" t="s">
        <v>26671</v>
      </c>
      <c r="Y9339" t="s">
        <v>97</v>
      </c>
      <c r="Z9339" t="s">
        <v>77</v>
      </c>
      <c r="AA9339" t="str">
        <f>"10029-6501"</f>
        <v>10029-6501</v>
      </c>
      <c r="AB9339" t="s">
        <v>78</v>
      </c>
      <c r="AC9339" t="s">
        <v>79</v>
      </c>
      <c r="AD9339" t="s">
        <v>75</v>
      </c>
      <c r="AE9339" t="s">
        <v>80</v>
      </c>
      <c r="AG9339" t="s">
        <v>81</v>
      </c>
    </row>
    <row r="9340" spans="1:33" x14ac:dyDescent="0.25">
      <c r="A9340" t="str">
        <f>"1790954311"</f>
        <v>1790954311</v>
      </c>
      <c r="B9340" t="str">
        <f>"03208766"</f>
        <v>03208766</v>
      </c>
      <c r="C9340" t="s">
        <v>13436</v>
      </c>
      <c r="D9340" t="s">
        <v>6179</v>
      </c>
      <c r="E9340" t="s">
        <v>6180</v>
      </c>
      <c r="G9340" t="s">
        <v>39367</v>
      </c>
      <c r="L9340" t="s">
        <v>74</v>
      </c>
      <c r="M9340" t="s">
        <v>75</v>
      </c>
      <c r="R9340" t="s">
        <v>6181</v>
      </c>
      <c r="W9340" t="s">
        <v>6180</v>
      </c>
      <c r="X9340" t="s">
        <v>6182</v>
      </c>
      <c r="Y9340" t="s">
        <v>6183</v>
      </c>
      <c r="Z9340" t="s">
        <v>77</v>
      </c>
      <c r="AA9340" t="str">
        <f>"10033-7362"</f>
        <v>10033-7362</v>
      </c>
      <c r="AB9340" t="s">
        <v>78</v>
      </c>
      <c r="AC9340" t="s">
        <v>79</v>
      </c>
      <c r="AD9340" t="s">
        <v>75</v>
      </c>
      <c r="AE9340" t="s">
        <v>80</v>
      </c>
      <c r="AG9340" t="s">
        <v>81</v>
      </c>
    </row>
    <row r="9341" spans="1:33" x14ac:dyDescent="0.25">
      <c r="A9341" t="str">
        <f>"1649673203"</f>
        <v>1649673203</v>
      </c>
      <c r="C9341" t="s">
        <v>13436</v>
      </c>
      <c r="G9341" t="s">
        <v>39368</v>
      </c>
      <c r="K9341" t="s">
        <v>99</v>
      </c>
      <c r="L9341" t="s">
        <v>102</v>
      </c>
      <c r="M9341" t="s">
        <v>75</v>
      </c>
      <c r="R9341" t="s">
        <v>39369</v>
      </c>
      <c r="S9341" t="s">
        <v>329</v>
      </c>
      <c r="T9341" t="s">
        <v>97</v>
      </c>
      <c r="U9341" t="s">
        <v>77</v>
      </c>
      <c r="V9341" t="str">
        <f>"100296504"</f>
        <v>100296504</v>
      </c>
      <c r="AC9341" t="s">
        <v>79</v>
      </c>
      <c r="AD9341" t="s">
        <v>75</v>
      </c>
      <c r="AE9341" t="s">
        <v>103</v>
      </c>
      <c r="AG9341" t="s">
        <v>81</v>
      </c>
    </row>
    <row r="9342" spans="1:33" x14ac:dyDescent="0.25">
      <c r="A9342" t="str">
        <f>"1740389717"</f>
        <v>1740389717</v>
      </c>
      <c r="B9342" t="str">
        <f>"02947708"</f>
        <v>02947708</v>
      </c>
      <c r="C9342" t="s">
        <v>13436</v>
      </c>
      <c r="D9342" t="s">
        <v>39370</v>
      </c>
      <c r="E9342" t="s">
        <v>39371</v>
      </c>
      <c r="G9342" t="s">
        <v>39372</v>
      </c>
      <c r="L9342" t="s">
        <v>74</v>
      </c>
      <c r="M9342" t="s">
        <v>75</v>
      </c>
      <c r="R9342" t="s">
        <v>39373</v>
      </c>
      <c r="W9342" t="s">
        <v>39371</v>
      </c>
      <c r="X9342" t="s">
        <v>39374</v>
      </c>
      <c r="Y9342" t="s">
        <v>131</v>
      </c>
      <c r="Z9342" t="s">
        <v>77</v>
      </c>
      <c r="AA9342" t="str">
        <f>"10468-3904"</f>
        <v>10468-3904</v>
      </c>
      <c r="AB9342" t="s">
        <v>78</v>
      </c>
      <c r="AC9342" t="s">
        <v>79</v>
      </c>
      <c r="AD9342" t="s">
        <v>75</v>
      </c>
      <c r="AE9342" t="s">
        <v>80</v>
      </c>
      <c r="AG9342" t="s">
        <v>81</v>
      </c>
    </row>
    <row r="9343" spans="1:33" x14ac:dyDescent="0.25">
      <c r="A9343" t="str">
        <f>"1437405016"</f>
        <v>1437405016</v>
      </c>
      <c r="B9343" t="str">
        <f>"02288939"</f>
        <v>02288939</v>
      </c>
      <c r="C9343" t="s">
        <v>13436</v>
      </c>
      <c r="D9343" t="s">
        <v>39375</v>
      </c>
      <c r="E9343" t="s">
        <v>39376</v>
      </c>
      <c r="G9343" t="s">
        <v>39377</v>
      </c>
      <c r="L9343" t="s">
        <v>102</v>
      </c>
      <c r="M9343" t="s">
        <v>75</v>
      </c>
      <c r="R9343" t="s">
        <v>39378</v>
      </c>
      <c r="W9343" t="s">
        <v>39376</v>
      </c>
      <c r="X9343" t="s">
        <v>37942</v>
      </c>
      <c r="Y9343" t="s">
        <v>97</v>
      </c>
      <c r="Z9343" t="s">
        <v>77</v>
      </c>
      <c r="AA9343" t="str">
        <f>"10029-6810"</f>
        <v>10029-6810</v>
      </c>
      <c r="AB9343" t="s">
        <v>78</v>
      </c>
      <c r="AC9343" t="s">
        <v>79</v>
      </c>
      <c r="AD9343" t="s">
        <v>75</v>
      </c>
      <c r="AE9343" t="s">
        <v>80</v>
      </c>
      <c r="AG9343" t="s">
        <v>81</v>
      </c>
    </row>
    <row r="9344" spans="1:33" x14ac:dyDescent="0.25">
      <c r="A9344" t="str">
        <f>"1770547291"</f>
        <v>1770547291</v>
      </c>
      <c r="B9344" t="str">
        <f>"04030168"</f>
        <v>04030168</v>
      </c>
      <c r="C9344" t="s">
        <v>13436</v>
      </c>
      <c r="D9344" t="s">
        <v>39379</v>
      </c>
      <c r="E9344" t="s">
        <v>39380</v>
      </c>
      <c r="G9344" t="s">
        <v>39381</v>
      </c>
      <c r="L9344" t="s">
        <v>83</v>
      </c>
      <c r="M9344" t="s">
        <v>75</v>
      </c>
      <c r="R9344" t="s">
        <v>39382</v>
      </c>
      <c r="W9344" t="s">
        <v>39380</v>
      </c>
      <c r="X9344" t="s">
        <v>32850</v>
      </c>
      <c r="Y9344" t="s">
        <v>97</v>
      </c>
      <c r="Z9344" t="s">
        <v>77</v>
      </c>
      <c r="AA9344" t="str">
        <f>"10029-5204"</f>
        <v>10029-5204</v>
      </c>
      <c r="AB9344" t="s">
        <v>78</v>
      </c>
      <c r="AC9344" t="s">
        <v>79</v>
      </c>
      <c r="AD9344" t="s">
        <v>75</v>
      </c>
      <c r="AE9344" t="s">
        <v>80</v>
      </c>
      <c r="AG9344" t="s">
        <v>81</v>
      </c>
    </row>
    <row r="9345" spans="1:33" x14ac:dyDescent="0.25">
      <c r="A9345" t="str">
        <f>"1720190192"</f>
        <v>1720190192</v>
      </c>
      <c r="C9345" t="s">
        <v>13436</v>
      </c>
      <c r="G9345" t="s">
        <v>39383</v>
      </c>
      <c r="K9345" t="s">
        <v>99</v>
      </c>
      <c r="L9345" t="s">
        <v>102</v>
      </c>
      <c r="M9345" t="s">
        <v>75</v>
      </c>
      <c r="R9345" t="s">
        <v>39384</v>
      </c>
      <c r="S9345" t="s">
        <v>39385</v>
      </c>
      <c r="T9345" t="s">
        <v>97</v>
      </c>
      <c r="U9345" t="s">
        <v>77</v>
      </c>
      <c r="V9345" t="str">
        <f>"100296500"</f>
        <v>100296500</v>
      </c>
      <c r="AC9345" t="s">
        <v>79</v>
      </c>
      <c r="AD9345" t="s">
        <v>75</v>
      </c>
      <c r="AE9345" t="s">
        <v>103</v>
      </c>
      <c r="AG9345" t="s">
        <v>81</v>
      </c>
    </row>
    <row r="9346" spans="1:33" x14ac:dyDescent="0.25">
      <c r="A9346" t="str">
        <f>"1164558193"</f>
        <v>1164558193</v>
      </c>
      <c r="C9346" t="s">
        <v>13436</v>
      </c>
      <c r="G9346" t="s">
        <v>39386</v>
      </c>
      <c r="K9346" t="s">
        <v>99</v>
      </c>
      <c r="L9346" t="s">
        <v>74</v>
      </c>
      <c r="M9346" t="s">
        <v>75</v>
      </c>
      <c r="R9346" t="s">
        <v>39387</v>
      </c>
      <c r="S9346" t="s">
        <v>39388</v>
      </c>
      <c r="T9346" t="s">
        <v>97</v>
      </c>
      <c r="U9346" t="s">
        <v>77</v>
      </c>
      <c r="V9346" t="str">
        <f>"100296574"</f>
        <v>100296574</v>
      </c>
      <c r="AC9346" t="s">
        <v>79</v>
      </c>
      <c r="AD9346" t="s">
        <v>75</v>
      </c>
      <c r="AE9346" t="s">
        <v>103</v>
      </c>
      <c r="AG9346" t="s">
        <v>81</v>
      </c>
    </row>
    <row r="9347" spans="1:33" x14ac:dyDescent="0.25">
      <c r="A9347" t="str">
        <f>"1255697140"</f>
        <v>1255697140</v>
      </c>
      <c r="C9347" t="s">
        <v>13436</v>
      </c>
      <c r="K9347" t="s">
        <v>99</v>
      </c>
      <c r="L9347" t="s">
        <v>102</v>
      </c>
      <c r="M9347" t="s">
        <v>75</v>
      </c>
      <c r="R9347" t="s">
        <v>39389</v>
      </c>
      <c r="S9347" t="s">
        <v>39390</v>
      </c>
      <c r="T9347" t="s">
        <v>87</v>
      </c>
      <c r="U9347" t="s">
        <v>77</v>
      </c>
      <c r="V9347" t="str">
        <f>"11215"</f>
        <v>11215</v>
      </c>
      <c r="AC9347" t="s">
        <v>79</v>
      </c>
      <c r="AD9347" t="s">
        <v>75</v>
      </c>
      <c r="AE9347" t="s">
        <v>103</v>
      </c>
      <c r="AG9347" t="s">
        <v>81</v>
      </c>
    </row>
    <row r="9348" spans="1:33" x14ac:dyDescent="0.25">
      <c r="A9348" t="str">
        <f>"1609081934"</f>
        <v>1609081934</v>
      </c>
      <c r="B9348" t="str">
        <f>"03096540"</f>
        <v>03096540</v>
      </c>
      <c r="C9348" t="s">
        <v>13436</v>
      </c>
      <c r="D9348" t="s">
        <v>39391</v>
      </c>
      <c r="E9348" t="s">
        <v>39392</v>
      </c>
      <c r="G9348" t="s">
        <v>39393</v>
      </c>
      <c r="L9348" t="s">
        <v>84</v>
      </c>
      <c r="M9348" t="s">
        <v>85</v>
      </c>
      <c r="R9348" t="s">
        <v>39394</v>
      </c>
      <c r="W9348" t="s">
        <v>39392</v>
      </c>
      <c r="X9348" t="s">
        <v>330</v>
      </c>
      <c r="Y9348" t="s">
        <v>97</v>
      </c>
      <c r="Z9348" t="s">
        <v>77</v>
      </c>
      <c r="AA9348" t="str">
        <f>"10029-5204"</f>
        <v>10029-5204</v>
      </c>
      <c r="AB9348" t="s">
        <v>78</v>
      </c>
      <c r="AC9348" t="s">
        <v>79</v>
      </c>
      <c r="AD9348" t="s">
        <v>75</v>
      </c>
      <c r="AE9348" t="s">
        <v>80</v>
      </c>
      <c r="AG9348" t="s">
        <v>81</v>
      </c>
    </row>
    <row r="9349" spans="1:33" x14ac:dyDescent="0.25">
      <c r="A9349" t="str">
        <f>"1609092766"</f>
        <v>1609092766</v>
      </c>
      <c r="B9349" t="str">
        <f>"02890288"</f>
        <v>02890288</v>
      </c>
      <c r="C9349" t="s">
        <v>13436</v>
      </c>
      <c r="D9349" t="s">
        <v>39395</v>
      </c>
      <c r="E9349" t="s">
        <v>39396</v>
      </c>
      <c r="G9349" t="s">
        <v>39397</v>
      </c>
      <c r="L9349" t="s">
        <v>83</v>
      </c>
      <c r="M9349" t="s">
        <v>75</v>
      </c>
      <c r="R9349" t="s">
        <v>39398</v>
      </c>
      <c r="W9349" t="s">
        <v>39396</v>
      </c>
      <c r="X9349" t="s">
        <v>30377</v>
      </c>
      <c r="Y9349" t="s">
        <v>97</v>
      </c>
      <c r="Z9349" t="s">
        <v>77</v>
      </c>
      <c r="AA9349" t="str">
        <f>"10029-6501"</f>
        <v>10029-6501</v>
      </c>
      <c r="AB9349" t="s">
        <v>78</v>
      </c>
      <c r="AC9349" t="s">
        <v>79</v>
      </c>
      <c r="AD9349" t="s">
        <v>75</v>
      </c>
      <c r="AE9349" t="s">
        <v>80</v>
      </c>
      <c r="AG9349" t="s">
        <v>81</v>
      </c>
    </row>
    <row r="9350" spans="1:33" x14ac:dyDescent="0.25">
      <c r="A9350" t="str">
        <f>"1609104835"</f>
        <v>1609104835</v>
      </c>
      <c r="B9350" t="str">
        <f>"03238337"</f>
        <v>03238337</v>
      </c>
      <c r="C9350" t="s">
        <v>13436</v>
      </c>
      <c r="D9350" t="s">
        <v>39399</v>
      </c>
      <c r="E9350" t="s">
        <v>39400</v>
      </c>
      <c r="G9350" t="s">
        <v>39401</v>
      </c>
      <c r="L9350" t="s">
        <v>102</v>
      </c>
      <c r="M9350" t="s">
        <v>75</v>
      </c>
      <c r="R9350" t="s">
        <v>39402</v>
      </c>
      <c r="W9350" t="s">
        <v>39403</v>
      </c>
      <c r="X9350" t="s">
        <v>334</v>
      </c>
      <c r="Y9350" t="s">
        <v>171</v>
      </c>
      <c r="Z9350" t="s">
        <v>77</v>
      </c>
      <c r="AA9350" t="str">
        <f>"11418-2897"</f>
        <v>11418-2897</v>
      </c>
      <c r="AB9350" t="s">
        <v>78</v>
      </c>
      <c r="AC9350" t="s">
        <v>79</v>
      </c>
      <c r="AD9350" t="s">
        <v>75</v>
      </c>
      <c r="AE9350" t="s">
        <v>80</v>
      </c>
      <c r="AG9350" t="s">
        <v>81</v>
      </c>
    </row>
    <row r="9351" spans="1:33" x14ac:dyDescent="0.25">
      <c r="A9351" t="str">
        <f>"1376826883"</f>
        <v>1376826883</v>
      </c>
      <c r="B9351" t="str">
        <f>"03404675"</f>
        <v>03404675</v>
      </c>
      <c r="C9351" t="s">
        <v>13436</v>
      </c>
      <c r="D9351" t="s">
        <v>39404</v>
      </c>
      <c r="E9351" t="s">
        <v>39405</v>
      </c>
      <c r="L9351" t="s">
        <v>83</v>
      </c>
      <c r="M9351" t="s">
        <v>85</v>
      </c>
      <c r="R9351" t="s">
        <v>39406</v>
      </c>
      <c r="W9351" t="s">
        <v>39405</v>
      </c>
      <c r="X9351" t="s">
        <v>39407</v>
      </c>
      <c r="Y9351" t="s">
        <v>129</v>
      </c>
      <c r="Z9351" t="s">
        <v>77</v>
      </c>
      <c r="AA9351" t="str">
        <f>"11372-7011"</f>
        <v>11372-7011</v>
      </c>
      <c r="AB9351" t="s">
        <v>78</v>
      </c>
      <c r="AC9351" t="s">
        <v>79</v>
      </c>
      <c r="AD9351" t="s">
        <v>75</v>
      </c>
      <c r="AE9351" t="s">
        <v>80</v>
      </c>
      <c r="AG9351" t="s">
        <v>81</v>
      </c>
    </row>
    <row r="9352" spans="1:33" x14ac:dyDescent="0.25">
      <c r="A9352" t="str">
        <f>"1376829556"</f>
        <v>1376829556</v>
      </c>
      <c r="C9352" t="s">
        <v>13436</v>
      </c>
      <c r="G9352" t="s">
        <v>39408</v>
      </c>
      <c r="K9352" t="s">
        <v>99</v>
      </c>
      <c r="L9352" t="s">
        <v>102</v>
      </c>
      <c r="M9352" t="s">
        <v>75</v>
      </c>
      <c r="R9352" t="s">
        <v>39409</v>
      </c>
      <c r="S9352" t="s">
        <v>901</v>
      </c>
      <c r="T9352" t="s">
        <v>97</v>
      </c>
      <c r="U9352" t="s">
        <v>77</v>
      </c>
      <c r="V9352" t="str">
        <f>"100215663"</f>
        <v>100215663</v>
      </c>
      <c r="AC9352" t="s">
        <v>79</v>
      </c>
      <c r="AD9352" t="s">
        <v>75</v>
      </c>
      <c r="AE9352" t="s">
        <v>103</v>
      </c>
      <c r="AG9352" t="s">
        <v>81</v>
      </c>
    </row>
    <row r="9353" spans="1:33" x14ac:dyDescent="0.25">
      <c r="A9353" t="str">
        <f>"1376835751"</f>
        <v>1376835751</v>
      </c>
      <c r="C9353" t="s">
        <v>13436</v>
      </c>
      <c r="K9353" t="s">
        <v>99</v>
      </c>
      <c r="L9353" t="s">
        <v>102</v>
      </c>
      <c r="M9353" t="s">
        <v>75</v>
      </c>
      <c r="R9353" t="s">
        <v>39410</v>
      </c>
      <c r="S9353" t="s">
        <v>39411</v>
      </c>
      <c r="T9353" t="s">
        <v>2686</v>
      </c>
      <c r="U9353" t="s">
        <v>1784</v>
      </c>
      <c r="V9353" t="str">
        <f>"178219118"</f>
        <v>178219118</v>
      </c>
      <c r="AC9353" t="s">
        <v>79</v>
      </c>
      <c r="AD9353" t="s">
        <v>75</v>
      </c>
      <c r="AE9353" t="s">
        <v>103</v>
      </c>
      <c r="AG9353" t="s">
        <v>81</v>
      </c>
    </row>
    <row r="9354" spans="1:33" x14ac:dyDescent="0.25">
      <c r="A9354" t="str">
        <f>"1376840561"</f>
        <v>1376840561</v>
      </c>
      <c r="C9354" t="s">
        <v>13436</v>
      </c>
      <c r="G9354" t="s">
        <v>39412</v>
      </c>
      <c r="K9354" t="s">
        <v>99</v>
      </c>
      <c r="L9354" t="s">
        <v>102</v>
      </c>
      <c r="M9354" t="s">
        <v>75</v>
      </c>
      <c r="R9354" t="s">
        <v>39413</v>
      </c>
      <c r="S9354" t="s">
        <v>39414</v>
      </c>
      <c r="T9354" t="s">
        <v>97</v>
      </c>
      <c r="U9354" t="s">
        <v>77</v>
      </c>
      <c r="V9354" t="str">
        <f>"100033314"</f>
        <v>100033314</v>
      </c>
      <c r="AC9354" t="s">
        <v>79</v>
      </c>
      <c r="AD9354" t="s">
        <v>75</v>
      </c>
      <c r="AE9354" t="s">
        <v>103</v>
      </c>
      <c r="AG9354" t="s">
        <v>81</v>
      </c>
    </row>
    <row r="9355" spans="1:33" x14ac:dyDescent="0.25">
      <c r="A9355" t="str">
        <f>"1376842872"</f>
        <v>1376842872</v>
      </c>
      <c r="C9355" t="s">
        <v>13436</v>
      </c>
      <c r="K9355" t="s">
        <v>99</v>
      </c>
      <c r="L9355" t="s">
        <v>102</v>
      </c>
      <c r="M9355" t="s">
        <v>75</v>
      </c>
      <c r="R9355" t="s">
        <v>39415</v>
      </c>
      <c r="S9355" t="s">
        <v>39416</v>
      </c>
      <c r="T9355" t="s">
        <v>97</v>
      </c>
      <c r="U9355" t="s">
        <v>77</v>
      </c>
      <c r="V9355" t="str">
        <f>"101281735"</f>
        <v>101281735</v>
      </c>
      <c r="AC9355" t="s">
        <v>79</v>
      </c>
      <c r="AD9355" t="s">
        <v>75</v>
      </c>
      <c r="AE9355" t="s">
        <v>103</v>
      </c>
      <c r="AG9355" t="s">
        <v>81</v>
      </c>
    </row>
    <row r="9356" spans="1:33" x14ac:dyDescent="0.25">
      <c r="A9356" t="str">
        <f>"1295960722"</f>
        <v>1295960722</v>
      </c>
      <c r="B9356" t="str">
        <f>"03711204"</f>
        <v>03711204</v>
      </c>
      <c r="C9356" t="s">
        <v>13436</v>
      </c>
      <c r="D9356" t="s">
        <v>39417</v>
      </c>
      <c r="E9356" t="s">
        <v>39418</v>
      </c>
      <c r="L9356" t="s">
        <v>74</v>
      </c>
      <c r="M9356" t="s">
        <v>75</v>
      </c>
      <c r="R9356" t="s">
        <v>39419</v>
      </c>
      <c r="W9356" t="s">
        <v>39418</v>
      </c>
      <c r="X9356" t="s">
        <v>2926</v>
      </c>
      <c r="Y9356" t="s">
        <v>97</v>
      </c>
      <c r="Z9356" t="s">
        <v>77</v>
      </c>
      <c r="AA9356" t="str">
        <f>"10029-6503"</f>
        <v>10029-6503</v>
      </c>
      <c r="AB9356" t="s">
        <v>78</v>
      </c>
      <c r="AC9356" t="s">
        <v>79</v>
      </c>
      <c r="AD9356" t="s">
        <v>75</v>
      </c>
      <c r="AE9356" t="s">
        <v>80</v>
      </c>
      <c r="AG9356" t="s">
        <v>81</v>
      </c>
    </row>
    <row r="9357" spans="1:33" x14ac:dyDescent="0.25">
      <c r="A9357" t="str">
        <f>"1295963072"</f>
        <v>1295963072</v>
      </c>
      <c r="C9357" t="s">
        <v>13436</v>
      </c>
      <c r="K9357" t="s">
        <v>99</v>
      </c>
      <c r="L9357" t="s">
        <v>102</v>
      </c>
      <c r="M9357" t="s">
        <v>75</v>
      </c>
      <c r="R9357" t="s">
        <v>39420</v>
      </c>
      <c r="S9357" t="s">
        <v>39421</v>
      </c>
      <c r="T9357" t="s">
        <v>97</v>
      </c>
      <c r="U9357" t="s">
        <v>77</v>
      </c>
      <c r="V9357" t="str">
        <f>"100237451"</f>
        <v>100237451</v>
      </c>
      <c r="AC9357" t="s">
        <v>79</v>
      </c>
      <c r="AD9357" t="s">
        <v>75</v>
      </c>
      <c r="AE9357" t="s">
        <v>103</v>
      </c>
      <c r="AG9357" t="s">
        <v>81</v>
      </c>
    </row>
    <row r="9358" spans="1:33" x14ac:dyDescent="0.25">
      <c r="A9358" t="str">
        <f>"1295993517"</f>
        <v>1295993517</v>
      </c>
      <c r="B9358" t="str">
        <f>"03473301"</f>
        <v>03473301</v>
      </c>
      <c r="C9358" t="s">
        <v>13436</v>
      </c>
      <c r="D9358" t="s">
        <v>39422</v>
      </c>
      <c r="E9358" t="s">
        <v>39423</v>
      </c>
      <c r="G9358" t="s">
        <v>39424</v>
      </c>
      <c r="L9358" t="s">
        <v>83</v>
      </c>
      <c r="M9358" t="s">
        <v>85</v>
      </c>
      <c r="R9358" t="s">
        <v>39425</v>
      </c>
      <c r="W9358" t="s">
        <v>39426</v>
      </c>
      <c r="X9358" t="s">
        <v>1455</v>
      </c>
      <c r="Y9358" t="s">
        <v>91</v>
      </c>
      <c r="Z9358" t="s">
        <v>77</v>
      </c>
      <c r="AA9358" t="str">
        <f>"11373-1329"</f>
        <v>11373-1329</v>
      </c>
      <c r="AB9358" t="s">
        <v>78</v>
      </c>
      <c r="AC9358" t="s">
        <v>79</v>
      </c>
      <c r="AD9358" t="s">
        <v>75</v>
      </c>
      <c r="AE9358" t="s">
        <v>80</v>
      </c>
      <c r="AG9358" t="s">
        <v>81</v>
      </c>
    </row>
    <row r="9359" spans="1:33" x14ac:dyDescent="0.25">
      <c r="A9359" t="str">
        <f>"1295993822"</f>
        <v>1295993822</v>
      </c>
      <c r="B9359" t="str">
        <f>"03488337"</f>
        <v>03488337</v>
      </c>
      <c r="C9359" t="s">
        <v>13436</v>
      </c>
      <c r="D9359" t="s">
        <v>39427</v>
      </c>
      <c r="E9359" t="s">
        <v>39428</v>
      </c>
      <c r="G9359" t="s">
        <v>39429</v>
      </c>
      <c r="L9359" t="s">
        <v>83</v>
      </c>
      <c r="M9359" t="s">
        <v>75</v>
      </c>
      <c r="R9359" t="s">
        <v>39430</v>
      </c>
      <c r="W9359" t="s">
        <v>39428</v>
      </c>
      <c r="X9359" t="s">
        <v>2926</v>
      </c>
      <c r="Y9359" t="s">
        <v>97</v>
      </c>
      <c r="Z9359" t="s">
        <v>77</v>
      </c>
      <c r="AA9359" t="str">
        <f>"10029-6503"</f>
        <v>10029-6503</v>
      </c>
      <c r="AB9359" t="s">
        <v>78</v>
      </c>
      <c r="AC9359" t="s">
        <v>79</v>
      </c>
      <c r="AD9359" t="s">
        <v>75</v>
      </c>
      <c r="AE9359" t="s">
        <v>80</v>
      </c>
      <c r="AG9359" t="s">
        <v>81</v>
      </c>
    </row>
    <row r="9360" spans="1:33" x14ac:dyDescent="0.25">
      <c r="A9360" t="str">
        <f>"1295997641"</f>
        <v>1295997641</v>
      </c>
      <c r="C9360" t="s">
        <v>13436</v>
      </c>
      <c r="K9360" t="s">
        <v>99</v>
      </c>
      <c r="L9360" t="s">
        <v>102</v>
      </c>
      <c r="M9360" t="s">
        <v>75</v>
      </c>
      <c r="R9360" t="s">
        <v>39431</v>
      </c>
      <c r="S9360" t="s">
        <v>610</v>
      </c>
      <c r="T9360" t="s">
        <v>87</v>
      </c>
      <c r="U9360" t="s">
        <v>77</v>
      </c>
      <c r="V9360" t="str">
        <f>"112032012"</f>
        <v>112032012</v>
      </c>
      <c r="AC9360" t="s">
        <v>79</v>
      </c>
      <c r="AD9360" t="s">
        <v>75</v>
      </c>
      <c r="AE9360" t="s">
        <v>103</v>
      </c>
      <c r="AG9360" t="s">
        <v>81</v>
      </c>
    </row>
    <row r="9361" spans="1:33" x14ac:dyDescent="0.25">
      <c r="A9361" t="str">
        <f>"1427218817"</f>
        <v>1427218817</v>
      </c>
      <c r="B9361" t="str">
        <f>"03412562"</f>
        <v>03412562</v>
      </c>
      <c r="C9361" t="s">
        <v>13436</v>
      </c>
      <c r="D9361" t="s">
        <v>39432</v>
      </c>
      <c r="E9361" t="s">
        <v>39433</v>
      </c>
      <c r="G9361" t="s">
        <v>39434</v>
      </c>
      <c r="L9361" t="s">
        <v>74</v>
      </c>
      <c r="M9361" t="s">
        <v>85</v>
      </c>
      <c r="R9361" t="s">
        <v>39435</v>
      </c>
      <c r="W9361" t="s">
        <v>39433</v>
      </c>
      <c r="X9361" t="s">
        <v>329</v>
      </c>
      <c r="Y9361" t="s">
        <v>97</v>
      </c>
      <c r="Z9361" t="s">
        <v>77</v>
      </c>
      <c r="AA9361" t="str">
        <f>"10029-6500"</f>
        <v>10029-6500</v>
      </c>
      <c r="AB9361" t="s">
        <v>78</v>
      </c>
      <c r="AC9361" t="s">
        <v>79</v>
      </c>
      <c r="AD9361" t="s">
        <v>75</v>
      </c>
      <c r="AE9361" t="s">
        <v>80</v>
      </c>
      <c r="AG9361" t="s">
        <v>81</v>
      </c>
    </row>
    <row r="9362" spans="1:33" x14ac:dyDescent="0.25">
      <c r="A9362" t="str">
        <f>"1427249036"</f>
        <v>1427249036</v>
      </c>
      <c r="B9362" t="str">
        <f>"03652917"</f>
        <v>03652917</v>
      </c>
      <c r="C9362" t="s">
        <v>13436</v>
      </c>
      <c r="D9362" t="s">
        <v>39436</v>
      </c>
      <c r="E9362" t="s">
        <v>39437</v>
      </c>
      <c r="G9362" t="s">
        <v>39438</v>
      </c>
      <c r="L9362" t="s">
        <v>74</v>
      </c>
      <c r="M9362" t="s">
        <v>75</v>
      </c>
      <c r="R9362" t="s">
        <v>39439</v>
      </c>
      <c r="W9362" t="s">
        <v>39437</v>
      </c>
      <c r="X9362" t="s">
        <v>272</v>
      </c>
      <c r="Y9362" t="s">
        <v>97</v>
      </c>
      <c r="Z9362" t="s">
        <v>77</v>
      </c>
      <c r="AA9362" t="str">
        <f>"10029-6501"</f>
        <v>10029-6501</v>
      </c>
      <c r="AB9362" t="s">
        <v>78</v>
      </c>
      <c r="AC9362" t="s">
        <v>79</v>
      </c>
      <c r="AD9362" t="s">
        <v>75</v>
      </c>
      <c r="AE9362" t="s">
        <v>80</v>
      </c>
      <c r="AG9362" t="s">
        <v>81</v>
      </c>
    </row>
    <row r="9363" spans="1:33" x14ac:dyDescent="0.25">
      <c r="A9363" t="str">
        <f>"1427284710"</f>
        <v>1427284710</v>
      </c>
      <c r="C9363" t="s">
        <v>13436</v>
      </c>
      <c r="K9363" t="s">
        <v>99</v>
      </c>
      <c r="L9363" t="s">
        <v>102</v>
      </c>
      <c r="M9363" t="s">
        <v>75</v>
      </c>
      <c r="R9363" t="s">
        <v>39440</v>
      </c>
      <c r="S9363" t="s">
        <v>39441</v>
      </c>
      <c r="T9363" t="s">
        <v>4606</v>
      </c>
      <c r="U9363" t="s">
        <v>3878</v>
      </c>
      <c r="V9363" t="str">
        <f>"75390"</f>
        <v>75390</v>
      </c>
      <c r="AC9363" t="s">
        <v>79</v>
      </c>
      <c r="AD9363" t="s">
        <v>75</v>
      </c>
      <c r="AE9363" t="s">
        <v>103</v>
      </c>
      <c r="AG9363" t="s">
        <v>81</v>
      </c>
    </row>
    <row r="9364" spans="1:33" x14ac:dyDescent="0.25">
      <c r="A9364" t="str">
        <f>"1013354810"</f>
        <v>1013354810</v>
      </c>
      <c r="C9364" t="s">
        <v>13436</v>
      </c>
      <c r="K9364" t="s">
        <v>99</v>
      </c>
      <c r="L9364" t="s">
        <v>102</v>
      </c>
      <c r="M9364" t="s">
        <v>75</v>
      </c>
      <c r="R9364" t="s">
        <v>39442</v>
      </c>
      <c r="S9364" t="s">
        <v>32359</v>
      </c>
      <c r="T9364" t="s">
        <v>97</v>
      </c>
      <c r="U9364" t="s">
        <v>77</v>
      </c>
      <c r="V9364" t="str">
        <f>"100191147"</f>
        <v>100191147</v>
      </c>
      <c r="AC9364" t="s">
        <v>79</v>
      </c>
      <c r="AD9364" t="s">
        <v>75</v>
      </c>
      <c r="AE9364" t="s">
        <v>103</v>
      </c>
      <c r="AG9364" t="s">
        <v>81</v>
      </c>
    </row>
    <row r="9365" spans="1:33" x14ac:dyDescent="0.25">
      <c r="A9365" t="str">
        <f>"1013902444"</f>
        <v>1013902444</v>
      </c>
      <c r="B9365" t="str">
        <f>"00790001"</f>
        <v>00790001</v>
      </c>
      <c r="C9365" t="s">
        <v>13436</v>
      </c>
      <c r="D9365" t="s">
        <v>39443</v>
      </c>
      <c r="E9365" t="s">
        <v>39444</v>
      </c>
      <c r="G9365" t="s">
        <v>39445</v>
      </c>
      <c r="L9365" t="s">
        <v>83</v>
      </c>
      <c r="M9365" t="s">
        <v>85</v>
      </c>
      <c r="R9365" t="s">
        <v>39446</v>
      </c>
      <c r="W9365" t="s">
        <v>39444</v>
      </c>
      <c r="X9365" t="s">
        <v>39447</v>
      </c>
      <c r="Y9365" t="s">
        <v>97</v>
      </c>
      <c r="Z9365" t="s">
        <v>77</v>
      </c>
      <c r="AA9365" t="str">
        <f>"10029-6500"</f>
        <v>10029-6500</v>
      </c>
      <c r="AB9365" t="s">
        <v>78</v>
      </c>
      <c r="AC9365" t="s">
        <v>79</v>
      </c>
      <c r="AD9365" t="s">
        <v>75</v>
      </c>
      <c r="AE9365" t="s">
        <v>80</v>
      </c>
      <c r="AG9365" t="s">
        <v>81</v>
      </c>
    </row>
    <row r="9366" spans="1:33" x14ac:dyDescent="0.25">
      <c r="A9366" t="str">
        <f>"1801857578"</f>
        <v>1801857578</v>
      </c>
      <c r="B9366" t="str">
        <f>"01299247"</f>
        <v>01299247</v>
      </c>
      <c r="C9366" t="s">
        <v>13436</v>
      </c>
      <c r="D9366" t="s">
        <v>39448</v>
      </c>
      <c r="E9366" t="s">
        <v>39449</v>
      </c>
      <c r="L9366" t="s">
        <v>83</v>
      </c>
      <c r="M9366" t="s">
        <v>85</v>
      </c>
      <c r="R9366" t="s">
        <v>39450</v>
      </c>
      <c r="W9366" t="s">
        <v>39449</v>
      </c>
      <c r="X9366" t="s">
        <v>272</v>
      </c>
      <c r="Y9366" t="s">
        <v>97</v>
      </c>
      <c r="Z9366" t="s">
        <v>77</v>
      </c>
      <c r="AA9366" t="str">
        <f>"10029-6501"</f>
        <v>10029-6501</v>
      </c>
      <c r="AB9366" t="s">
        <v>78</v>
      </c>
      <c r="AC9366" t="s">
        <v>79</v>
      </c>
      <c r="AD9366" t="s">
        <v>75</v>
      </c>
      <c r="AE9366" t="s">
        <v>80</v>
      </c>
      <c r="AG9366" t="s">
        <v>81</v>
      </c>
    </row>
    <row r="9367" spans="1:33" x14ac:dyDescent="0.25">
      <c r="A9367" t="str">
        <f>"1801859806"</f>
        <v>1801859806</v>
      </c>
      <c r="B9367" t="str">
        <f>"01690624"</f>
        <v>01690624</v>
      </c>
      <c r="C9367" t="s">
        <v>13436</v>
      </c>
      <c r="D9367" t="s">
        <v>39451</v>
      </c>
      <c r="E9367" t="s">
        <v>39452</v>
      </c>
      <c r="L9367" t="s">
        <v>83</v>
      </c>
      <c r="M9367" t="s">
        <v>85</v>
      </c>
      <c r="R9367" t="s">
        <v>39453</v>
      </c>
      <c r="W9367" t="s">
        <v>39452</v>
      </c>
      <c r="X9367" t="s">
        <v>39454</v>
      </c>
      <c r="Y9367" t="s">
        <v>97</v>
      </c>
      <c r="Z9367" t="s">
        <v>77</v>
      </c>
      <c r="AA9367" t="str">
        <f>"10029-6501"</f>
        <v>10029-6501</v>
      </c>
      <c r="AB9367" t="s">
        <v>78</v>
      </c>
      <c r="AC9367" t="s">
        <v>79</v>
      </c>
      <c r="AD9367" t="s">
        <v>75</v>
      </c>
      <c r="AE9367" t="s">
        <v>80</v>
      </c>
      <c r="AG9367" t="s">
        <v>81</v>
      </c>
    </row>
    <row r="9368" spans="1:33" x14ac:dyDescent="0.25">
      <c r="A9368" t="str">
        <f>"1801860804"</f>
        <v>1801860804</v>
      </c>
      <c r="B9368" t="str">
        <f>"02720863"</f>
        <v>02720863</v>
      </c>
      <c r="C9368" t="s">
        <v>13436</v>
      </c>
      <c r="D9368" t="s">
        <v>39455</v>
      </c>
      <c r="E9368" t="s">
        <v>39456</v>
      </c>
      <c r="L9368" t="s">
        <v>83</v>
      </c>
      <c r="M9368" t="s">
        <v>85</v>
      </c>
      <c r="R9368" t="s">
        <v>39457</v>
      </c>
      <c r="W9368" t="s">
        <v>39458</v>
      </c>
      <c r="X9368" t="s">
        <v>200</v>
      </c>
      <c r="Y9368" t="s">
        <v>97</v>
      </c>
      <c r="Z9368" t="s">
        <v>77</v>
      </c>
      <c r="AA9368" t="str">
        <f>"10032-3720"</f>
        <v>10032-3720</v>
      </c>
      <c r="AB9368" t="s">
        <v>78</v>
      </c>
      <c r="AC9368" t="s">
        <v>79</v>
      </c>
      <c r="AD9368" t="s">
        <v>75</v>
      </c>
      <c r="AE9368" t="s">
        <v>80</v>
      </c>
      <c r="AG9368" t="s">
        <v>81</v>
      </c>
    </row>
    <row r="9369" spans="1:33" x14ac:dyDescent="0.25">
      <c r="A9369" t="str">
        <f>"1417292285"</f>
        <v>1417292285</v>
      </c>
      <c r="B9369" t="str">
        <f>"03558858"</f>
        <v>03558858</v>
      </c>
      <c r="C9369" t="s">
        <v>13436</v>
      </c>
      <c r="D9369" t="s">
        <v>39459</v>
      </c>
      <c r="E9369" t="s">
        <v>39460</v>
      </c>
      <c r="G9369" t="s">
        <v>39461</v>
      </c>
      <c r="L9369" t="s">
        <v>74</v>
      </c>
      <c r="M9369" t="s">
        <v>75</v>
      </c>
      <c r="R9369" t="s">
        <v>39460</v>
      </c>
      <c r="W9369" t="s">
        <v>39460</v>
      </c>
      <c r="X9369" t="s">
        <v>235</v>
      </c>
      <c r="Y9369" t="s">
        <v>190</v>
      </c>
      <c r="Z9369" t="s">
        <v>77</v>
      </c>
      <c r="AA9369" t="str">
        <f>"11102-2448"</f>
        <v>11102-2448</v>
      </c>
      <c r="AB9369" t="s">
        <v>78</v>
      </c>
      <c r="AC9369" t="s">
        <v>79</v>
      </c>
      <c r="AD9369" t="s">
        <v>75</v>
      </c>
      <c r="AE9369" t="s">
        <v>80</v>
      </c>
      <c r="AG9369" t="s">
        <v>81</v>
      </c>
    </row>
    <row r="9370" spans="1:33" x14ac:dyDescent="0.25">
      <c r="A9370" t="str">
        <f>"1417295999"</f>
        <v>1417295999</v>
      </c>
      <c r="C9370" t="s">
        <v>13436</v>
      </c>
      <c r="G9370" t="s">
        <v>39462</v>
      </c>
      <c r="K9370" t="s">
        <v>99</v>
      </c>
      <c r="L9370" t="s">
        <v>102</v>
      </c>
      <c r="M9370" t="s">
        <v>75</v>
      </c>
      <c r="R9370" t="s">
        <v>39463</v>
      </c>
      <c r="S9370" t="s">
        <v>39464</v>
      </c>
      <c r="T9370" t="s">
        <v>2633</v>
      </c>
      <c r="U9370" t="s">
        <v>1842</v>
      </c>
      <c r="V9370" t="str">
        <f>"069049317"</f>
        <v>069049317</v>
      </c>
      <c r="AC9370" t="s">
        <v>79</v>
      </c>
      <c r="AD9370" t="s">
        <v>75</v>
      </c>
      <c r="AE9370" t="s">
        <v>103</v>
      </c>
      <c r="AG9370" t="s">
        <v>81</v>
      </c>
    </row>
    <row r="9371" spans="1:33" x14ac:dyDescent="0.25">
      <c r="A9371" t="str">
        <f>"1417299033"</f>
        <v>1417299033</v>
      </c>
      <c r="C9371" t="s">
        <v>13436</v>
      </c>
      <c r="K9371" t="s">
        <v>99</v>
      </c>
      <c r="L9371" t="s">
        <v>102</v>
      </c>
      <c r="M9371" t="s">
        <v>75</v>
      </c>
      <c r="R9371" t="s">
        <v>39465</v>
      </c>
      <c r="S9371" t="s">
        <v>329</v>
      </c>
      <c r="T9371" t="s">
        <v>97</v>
      </c>
      <c r="U9371" t="s">
        <v>77</v>
      </c>
      <c r="V9371" t="str">
        <f>"100296500"</f>
        <v>100296500</v>
      </c>
      <c r="AC9371" t="s">
        <v>79</v>
      </c>
      <c r="AD9371" t="s">
        <v>75</v>
      </c>
      <c r="AE9371" t="s">
        <v>103</v>
      </c>
      <c r="AG9371" t="s">
        <v>81</v>
      </c>
    </row>
    <row r="9372" spans="1:33" x14ac:dyDescent="0.25">
      <c r="A9372" t="str">
        <f>"1417362708"</f>
        <v>1417362708</v>
      </c>
      <c r="C9372" t="s">
        <v>13436</v>
      </c>
      <c r="G9372" t="s">
        <v>39466</v>
      </c>
      <c r="K9372" t="s">
        <v>99</v>
      </c>
      <c r="L9372" t="s">
        <v>102</v>
      </c>
      <c r="M9372" t="s">
        <v>75</v>
      </c>
      <c r="R9372" t="s">
        <v>39467</v>
      </c>
      <c r="S9372" t="s">
        <v>12769</v>
      </c>
      <c r="T9372" t="s">
        <v>4861</v>
      </c>
      <c r="U9372" t="s">
        <v>156</v>
      </c>
      <c r="V9372" t="str">
        <f>"076311808"</f>
        <v>076311808</v>
      </c>
      <c r="AC9372" t="s">
        <v>79</v>
      </c>
      <c r="AD9372" t="s">
        <v>75</v>
      </c>
      <c r="AE9372" t="s">
        <v>103</v>
      </c>
      <c r="AG9372" t="s">
        <v>81</v>
      </c>
    </row>
    <row r="9373" spans="1:33" x14ac:dyDescent="0.25">
      <c r="A9373" t="str">
        <f>"1417374638"</f>
        <v>1417374638</v>
      </c>
      <c r="C9373" t="s">
        <v>13436</v>
      </c>
      <c r="K9373" t="s">
        <v>99</v>
      </c>
      <c r="L9373" t="s">
        <v>102</v>
      </c>
      <c r="M9373" t="s">
        <v>75</v>
      </c>
      <c r="R9373" t="s">
        <v>39468</v>
      </c>
      <c r="S9373" t="s">
        <v>3553</v>
      </c>
      <c r="T9373" t="s">
        <v>97</v>
      </c>
      <c r="U9373" t="s">
        <v>77</v>
      </c>
      <c r="V9373" t="str">
        <f>"100033851"</f>
        <v>100033851</v>
      </c>
      <c r="AC9373" t="s">
        <v>79</v>
      </c>
      <c r="AD9373" t="s">
        <v>75</v>
      </c>
      <c r="AE9373" t="s">
        <v>103</v>
      </c>
      <c r="AG9373" t="s">
        <v>81</v>
      </c>
    </row>
    <row r="9374" spans="1:33" x14ac:dyDescent="0.25">
      <c r="A9374" t="str">
        <f>"1861460859"</f>
        <v>1861460859</v>
      </c>
      <c r="B9374" t="str">
        <f>"00275970"</f>
        <v>00275970</v>
      </c>
      <c r="C9374" t="s">
        <v>13436</v>
      </c>
      <c r="D9374" t="s">
        <v>39469</v>
      </c>
      <c r="E9374" t="s">
        <v>39470</v>
      </c>
      <c r="G9374" t="s">
        <v>39471</v>
      </c>
      <c r="L9374" t="s">
        <v>102</v>
      </c>
      <c r="M9374" t="s">
        <v>85</v>
      </c>
      <c r="R9374" t="s">
        <v>39472</v>
      </c>
      <c r="W9374" t="s">
        <v>39470</v>
      </c>
      <c r="Y9374" t="s">
        <v>97</v>
      </c>
      <c r="Z9374" t="s">
        <v>77</v>
      </c>
      <c r="AA9374" t="str">
        <f>"10029-6500"</f>
        <v>10029-6500</v>
      </c>
      <c r="AB9374" t="s">
        <v>93</v>
      </c>
      <c r="AC9374" t="s">
        <v>79</v>
      </c>
      <c r="AD9374" t="s">
        <v>75</v>
      </c>
      <c r="AE9374" t="s">
        <v>80</v>
      </c>
      <c r="AG9374" t="s">
        <v>81</v>
      </c>
    </row>
    <row r="9375" spans="1:33" x14ac:dyDescent="0.25">
      <c r="A9375" t="str">
        <f>"1861468837"</f>
        <v>1861468837</v>
      </c>
      <c r="B9375" t="str">
        <f>"02409401"</f>
        <v>02409401</v>
      </c>
      <c r="C9375" t="s">
        <v>13436</v>
      </c>
      <c r="D9375" t="s">
        <v>39473</v>
      </c>
      <c r="E9375" t="s">
        <v>39474</v>
      </c>
      <c r="G9375" t="s">
        <v>39475</v>
      </c>
      <c r="L9375" t="s">
        <v>74</v>
      </c>
      <c r="M9375" t="s">
        <v>85</v>
      </c>
      <c r="R9375" t="s">
        <v>39476</v>
      </c>
      <c r="W9375" t="s">
        <v>39474</v>
      </c>
      <c r="X9375" t="s">
        <v>20124</v>
      </c>
      <c r="Y9375" t="s">
        <v>97</v>
      </c>
      <c r="Z9375" t="s">
        <v>77</v>
      </c>
      <c r="AA9375" t="str">
        <f>"10029-6542"</f>
        <v>10029-6542</v>
      </c>
      <c r="AB9375" t="s">
        <v>78</v>
      </c>
      <c r="AC9375" t="s">
        <v>79</v>
      </c>
      <c r="AD9375" t="s">
        <v>75</v>
      </c>
      <c r="AE9375" t="s">
        <v>80</v>
      </c>
      <c r="AG9375" t="s">
        <v>81</v>
      </c>
    </row>
    <row r="9376" spans="1:33" x14ac:dyDescent="0.25">
      <c r="A9376" t="str">
        <f>"1861498875"</f>
        <v>1861498875</v>
      </c>
      <c r="B9376" t="str">
        <f>"01849307"</f>
        <v>01849307</v>
      </c>
      <c r="C9376" t="s">
        <v>13436</v>
      </c>
      <c r="D9376" t="s">
        <v>39477</v>
      </c>
      <c r="E9376" t="s">
        <v>39478</v>
      </c>
      <c r="L9376" t="s">
        <v>74</v>
      </c>
      <c r="M9376" t="s">
        <v>85</v>
      </c>
      <c r="R9376" t="s">
        <v>39478</v>
      </c>
      <c r="W9376" t="s">
        <v>39478</v>
      </c>
      <c r="X9376" t="s">
        <v>27352</v>
      </c>
      <c r="Y9376" t="s">
        <v>160</v>
      </c>
      <c r="Z9376" t="s">
        <v>77</v>
      </c>
      <c r="AA9376" t="str">
        <f>"11030-3008"</f>
        <v>11030-3008</v>
      </c>
      <c r="AB9376" t="s">
        <v>78</v>
      </c>
      <c r="AC9376" t="s">
        <v>79</v>
      </c>
      <c r="AD9376" t="s">
        <v>75</v>
      </c>
      <c r="AE9376" t="s">
        <v>80</v>
      </c>
      <c r="AG9376" t="s">
        <v>81</v>
      </c>
    </row>
    <row r="9377" spans="1:33" x14ac:dyDescent="0.25">
      <c r="A9377" t="str">
        <f>"1861543795"</f>
        <v>1861543795</v>
      </c>
      <c r="B9377" t="str">
        <f>"03567177"</f>
        <v>03567177</v>
      </c>
      <c r="C9377" t="s">
        <v>13436</v>
      </c>
      <c r="D9377" t="s">
        <v>39479</v>
      </c>
      <c r="E9377" t="s">
        <v>39480</v>
      </c>
      <c r="G9377" t="s">
        <v>39481</v>
      </c>
      <c r="L9377" t="s">
        <v>102</v>
      </c>
      <c r="M9377" t="s">
        <v>75</v>
      </c>
      <c r="R9377" t="s">
        <v>39480</v>
      </c>
      <c r="W9377" t="s">
        <v>39480</v>
      </c>
      <c r="X9377" t="s">
        <v>181</v>
      </c>
      <c r="Y9377" t="s">
        <v>97</v>
      </c>
      <c r="Z9377" t="s">
        <v>77</v>
      </c>
      <c r="AA9377" t="str">
        <f>"10025-1716"</f>
        <v>10025-1716</v>
      </c>
      <c r="AB9377" t="s">
        <v>125</v>
      </c>
      <c r="AC9377" t="s">
        <v>79</v>
      </c>
      <c r="AD9377" t="s">
        <v>75</v>
      </c>
      <c r="AE9377" t="s">
        <v>80</v>
      </c>
      <c r="AG9377" t="s">
        <v>81</v>
      </c>
    </row>
    <row r="9378" spans="1:33" x14ac:dyDescent="0.25">
      <c r="A9378" t="str">
        <f>"1720276199"</f>
        <v>1720276199</v>
      </c>
      <c r="C9378" t="s">
        <v>13436</v>
      </c>
      <c r="K9378" t="s">
        <v>99</v>
      </c>
      <c r="L9378" t="s">
        <v>102</v>
      </c>
      <c r="M9378" t="s">
        <v>75</v>
      </c>
      <c r="R9378" t="s">
        <v>39482</v>
      </c>
      <c r="S9378" t="s">
        <v>176</v>
      </c>
      <c r="T9378" t="s">
        <v>171</v>
      </c>
      <c r="U9378" t="s">
        <v>77</v>
      </c>
      <c r="V9378" t="str">
        <f>"114321121"</f>
        <v>114321121</v>
      </c>
      <c r="AC9378" t="s">
        <v>79</v>
      </c>
      <c r="AD9378" t="s">
        <v>75</v>
      </c>
      <c r="AE9378" t="s">
        <v>103</v>
      </c>
      <c r="AG9378" t="s">
        <v>81</v>
      </c>
    </row>
    <row r="9379" spans="1:33" x14ac:dyDescent="0.25">
      <c r="A9379" t="str">
        <f>"1720303258"</f>
        <v>1720303258</v>
      </c>
      <c r="C9379" t="s">
        <v>13436</v>
      </c>
      <c r="K9379" t="s">
        <v>99</v>
      </c>
      <c r="L9379" t="s">
        <v>102</v>
      </c>
      <c r="M9379" t="s">
        <v>75</v>
      </c>
      <c r="R9379" t="s">
        <v>39483</v>
      </c>
      <c r="S9379" t="s">
        <v>39484</v>
      </c>
      <c r="T9379" t="s">
        <v>4515</v>
      </c>
      <c r="U9379" t="s">
        <v>1842</v>
      </c>
      <c r="V9379" t="str">
        <f>"066064237"</f>
        <v>066064237</v>
      </c>
      <c r="AC9379" t="s">
        <v>79</v>
      </c>
      <c r="AD9379" t="s">
        <v>75</v>
      </c>
      <c r="AE9379" t="s">
        <v>103</v>
      </c>
      <c r="AG9379" t="s">
        <v>81</v>
      </c>
    </row>
    <row r="9380" spans="1:33" x14ac:dyDescent="0.25">
      <c r="A9380" t="str">
        <f>"1447380738"</f>
        <v>1447380738</v>
      </c>
      <c r="B9380" t="str">
        <f>"00974149"</f>
        <v>00974149</v>
      </c>
      <c r="C9380" t="s">
        <v>39485</v>
      </c>
      <c r="D9380" t="s">
        <v>39486</v>
      </c>
      <c r="E9380" t="s">
        <v>39487</v>
      </c>
      <c r="G9380" t="s">
        <v>33762</v>
      </c>
      <c r="H9380" t="s">
        <v>33763</v>
      </c>
      <c r="J9380" t="s">
        <v>33764</v>
      </c>
      <c r="L9380" t="s">
        <v>83</v>
      </c>
      <c r="M9380" t="s">
        <v>85</v>
      </c>
      <c r="R9380" t="s">
        <v>39488</v>
      </c>
      <c r="W9380" t="s">
        <v>39487</v>
      </c>
      <c r="X9380" t="s">
        <v>33766</v>
      </c>
      <c r="Y9380" t="s">
        <v>216</v>
      </c>
      <c r="Z9380" t="s">
        <v>77</v>
      </c>
      <c r="AA9380" t="str">
        <f>"11691-5425"</f>
        <v>11691-5425</v>
      </c>
      <c r="AB9380" t="s">
        <v>78</v>
      </c>
      <c r="AC9380" t="s">
        <v>79</v>
      </c>
      <c r="AD9380" t="s">
        <v>75</v>
      </c>
      <c r="AE9380" t="s">
        <v>80</v>
      </c>
      <c r="AG9380" t="s">
        <v>81</v>
      </c>
    </row>
    <row r="9381" spans="1:33" x14ac:dyDescent="0.25">
      <c r="A9381" t="str">
        <f>"1609978329"</f>
        <v>1609978329</v>
      </c>
      <c r="B9381" t="str">
        <f>"01849590"</f>
        <v>01849590</v>
      </c>
      <c r="C9381" t="s">
        <v>39489</v>
      </c>
      <c r="D9381" t="s">
        <v>1665</v>
      </c>
      <c r="E9381" t="s">
        <v>1666</v>
      </c>
      <c r="G9381" t="s">
        <v>39489</v>
      </c>
      <c r="H9381" t="s">
        <v>39490</v>
      </c>
      <c r="J9381" t="s">
        <v>39491</v>
      </c>
      <c r="L9381" t="s">
        <v>84</v>
      </c>
      <c r="M9381" t="s">
        <v>75</v>
      </c>
      <c r="R9381" t="s">
        <v>1664</v>
      </c>
      <c r="W9381" t="s">
        <v>1667</v>
      </c>
      <c r="X9381" t="s">
        <v>1668</v>
      </c>
      <c r="Y9381" t="s">
        <v>254</v>
      </c>
      <c r="Z9381" t="s">
        <v>77</v>
      </c>
      <c r="AA9381" t="str">
        <f>"11374-2926"</f>
        <v>11374-2926</v>
      </c>
      <c r="AB9381" t="s">
        <v>78</v>
      </c>
      <c r="AC9381" t="s">
        <v>79</v>
      </c>
      <c r="AD9381" t="s">
        <v>75</v>
      </c>
      <c r="AE9381" t="s">
        <v>80</v>
      </c>
      <c r="AG9381" t="s">
        <v>81</v>
      </c>
    </row>
    <row r="9382" spans="1:33" x14ac:dyDescent="0.25">
      <c r="A9382" t="str">
        <f>"1497199814"</f>
        <v>1497199814</v>
      </c>
      <c r="B9382" t="str">
        <f>"03788543"</f>
        <v>03788543</v>
      </c>
      <c r="C9382" t="s">
        <v>39492</v>
      </c>
      <c r="D9382" t="s">
        <v>3707</v>
      </c>
      <c r="E9382" t="s">
        <v>3708</v>
      </c>
      <c r="G9382" t="s">
        <v>33758</v>
      </c>
      <c r="H9382" t="s">
        <v>473</v>
      </c>
      <c r="J9382" t="s">
        <v>474</v>
      </c>
      <c r="L9382" t="s">
        <v>74</v>
      </c>
      <c r="M9382" t="s">
        <v>75</v>
      </c>
      <c r="R9382" t="s">
        <v>3709</v>
      </c>
      <c r="W9382" t="s">
        <v>3710</v>
      </c>
      <c r="X9382" t="s">
        <v>3711</v>
      </c>
      <c r="Y9382" t="s">
        <v>1783</v>
      </c>
      <c r="Z9382" t="s">
        <v>1784</v>
      </c>
      <c r="AA9382" t="str">
        <f>"19170-7893"</f>
        <v>19170-7893</v>
      </c>
      <c r="AB9382" t="s">
        <v>78</v>
      </c>
      <c r="AC9382" t="s">
        <v>79</v>
      </c>
      <c r="AD9382" t="s">
        <v>75</v>
      </c>
      <c r="AE9382" t="s">
        <v>80</v>
      </c>
      <c r="AG9382" t="s">
        <v>81</v>
      </c>
    </row>
    <row r="9383" spans="1:33" x14ac:dyDescent="0.25">
      <c r="A9383" t="str">
        <f>"1730157702"</f>
        <v>1730157702</v>
      </c>
      <c r="B9383" t="str">
        <f>"00834304"</f>
        <v>00834304</v>
      </c>
      <c r="C9383" t="s">
        <v>39493</v>
      </c>
      <c r="D9383" t="s">
        <v>39494</v>
      </c>
      <c r="E9383" t="s">
        <v>39495</v>
      </c>
      <c r="G9383" t="s">
        <v>39493</v>
      </c>
      <c r="H9383" t="s">
        <v>39496</v>
      </c>
      <c r="J9383" t="s">
        <v>39497</v>
      </c>
      <c r="L9383" t="s">
        <v>84</v>
      </c>
      <c r="M9383" t="s">
        <v>85</v>
      </c>
      <c r="R9383" t="s">
        <v>39495</v>
      </c>
      <c r="W9383" t="s">
        <v>39495</v>
      </c>
      <c r="X9383" t="s">
        <v>39498</v>
      </c>
      <c r="Y9383" t="s">
        <v>139</v>
      </c>
      <c r="Z9383" t="s">
        <v>77</v>
      </c>
      <c r="AA9383" t="str">
        <f>"11355-3213"</f>
        <v>11355-3213</v>
      </c>
      <c r="AB9383" t="s">
        <v>78</v>
      </c>
      <c r="AC9383" t="s">
        <v>79</v>
      </c>
      <c r="AD9383" t="s">
        <v>75</v>
      </c>
      <c r="AE9383" t="s">
        <v>80</v>
      </c>
      <c r="AG9383" t="s">
        <v>81</v>
      </c>
    </row>
    <row r="9384" spans="1:33" x14ac:dyDescent="0.25">
      <c r="A9384" t="str">
        <f>"1730258682"</f>
        <v>1730258682</v>
      </c>
      <c r="B9384" t="str">
        <f>"02055627"</f>
        <v>02055627</v>
      </c>
      <c r="C9384" t="s">
        <v>39499</v>
      </c>
      <c r="D9384" t="s">
        <v>39500</v>
      </c>
      <c r="E9384" t="s">
        <v>39501</v>
      </c>
      <c r="G9384" t="s">
        <v>39502</v>
      </c>
      <c r="H9384" t="s">
        <v>39503</v>
      </c>
      <c r="J9384" t="s">
        <v>39504</v>
      </c>
      <c r="L9384" t="s">
        <v>84</v>
      </c>
      <c r="M9384" t="s">
        <v>75</v>
      </c>
      <c r="R9384" t="s">
        <v>39505</v>
      </c>
      <c r="W9384" t="s">
        <v>39501</v>
      </c>
      <c r="X9384" t="s">
        <v>39506</v>
      </c>
      <c r="Y9384" t="s">
        <v>309</v>
      </c>
      <c r="Z9384" t="s">
        <v>77</v>
      </c>
      <c r="AA9384" t="str">
        <f>"11419-2220"</f>
        <v>11419-2220</v>
      </c>
      <c r="AB9384" t="s">
        <v>78</v>
      </c>
      <c r="AC9384" t="s">
        <v>79</v>
      </c>
      <c r="AD9384" t="s">
        <v>75</v>
      </c>
      <c r="AE9384" t="s">
        <v>80</v>
      </c>
      <c r="AG9384" t="s">
        <v>81</v>
      </c>
    </row>
    <row r="9385" spans="1:33" x14ac:dyDescent="0.25">
      <c r="A9385" t="str">
        <f>"1184668220"</f>
        <v>1184668220</v>
      </c>
      <c r="B9385" t="str">
        <f>"00583968"</f>
        <v>00583968</v>
      </c>
      <c r="C9385" t="s">
        <v>39507</v>
      </c>
      <c r="D9385" t="s">
        <v>39508</v>
      </c>
      <c r="E9385" t="s">
        <v>39509</v>
      </c>
      <c r="G9385" t="s">
        <v>32933</v>
      </c>
      <c r="H9385" t="s">
        <v>32934</v>
      </c>
      <c r="J9385" t="s">
        <v>32935</v>
      </c>
      <c r="L9385" t="s">
        <v>83</v>
      </c>
      <c r="M9385" t="s">
        <v>85</v>
      </c>
      <c r="R9385" t="s">
        <v>39510</v>
      </c>
      <c r="W9385" t="s">
        <v>39511</v>
      </c>
      <c r="X9385" t="s">
        <v>39512</v>
      </c>
      <c r="Y9385" t="s">
        <v>87</v>
      </c>
      <c r="Z9385" t="s">
        <v>77</v>
      </c>
      <c r="AA9385" t="str">
        <f>"11229-1175"</f>
        <v>11229-1175</v>
      </c>
      <c r="AB9385" t="s">
        <v>78</v>
      </c>
      <c r="AC9385" t="s">
        <v>79</v>
      </c>
      <c r="AD9385" t="s">
        <v>75</v>
      </c>
      <c r="AE9385" t="s">
        <v>80</v>
      </c>
      <c r="AG9385" t="s">
        <v>81</v>
      </c>
    </row>
    <row r="9386" spans="1:33" x14ac:dyDescent="0.25">
      <c r="A9386" t="str">
        <f>"1679747950"</f>
        <v>1679747950</v>
      </c>
      <c r="B9386" t="str">
        <f>"02531491"</f>
        <v>02531491</v>
      </c>
      <c r="C9386" t="s">
        <v>13436</v>
      </c>
      <c r="D9386" t="s">
        <v>39513</v>
      </c>
      <c r="E9386" t="s">
        <v>39514</v>
      </c>
      <c r="G9386" t="s">
        <v>39515</v>
      </c>
      <c r="L9386" t="s">
        <v>83</v>
      </c>
      <c r="M9386" t="s">
        <v>85</v>
      </c>
      <c r="R9386" t="s">
        <v>39516</v>
      </c>
      <c r="W9386" t="s">
        <v>39514</v>
      </c>
      <c r="X9386" t="s">
        <v>4897</v>
      </c>
      <c r="Y9386" t="s">
        <v>97</v>
      </c>
      <c r="Z9386" t="s">
        <v>77</v>
      </c>
      <c r="AA9386" t="str">
        <f>"10029"</f>
        <v>10029</v>
      </c>
      <c r="AB9386" t="s">
        <v>78</v>
      </c>
      <c r="AC9386" t="s">
        <v>79</v>
      </c>
      <c r="AD9386" t="s">
        <v>75</v>
      </c>
      <c r="AE9386" t="s">
        <v>80</v>
      </c>
      <c r="AG9386" t="s">
        <v>81</v>
      </c>
    </row>
    <row r="9387" spans="1:33" x14ac:dyDescent="0.25">
      <c r="A9387" t="str">
        <f>"1861652570"</f>
        <v>1861652570</v>
      </c>
      <c r="B9387" t="str">
        <f>"03727213"</f>
        <v>03727213</v>
      </c>
      <c r="C9387" t="s">
        <v>13436</v>
      </c>
      <c r="D9387" t="s">
        <v>39517</v>
      </c>
      <c r="E9387" t="s">
        <v>39518</v>
      </c>
      <c r="L9387" t="s">
        <v>74</v>
      </c>
      <c r="M9387" t="s">
        <v>75</v>
      </c>
      <c r="R9387" t="s">
        <v>39518</v>
      </c>
      <c r="W9387" t="s">
        <v>39518</v>
      </c>
      <c r="X9387" t="s">
        <v>39519</v>
      </c>
      <c r="Y9387" t="s">
        <v>97</v>
      </c>
      <c r="Z9387" t="s">
        <v>77</v>
      </c>
      <c r="AA9387" t="str">
        <f>"10029-6501"</f>
        <v>10029-6501</v>
      </c>
      <c r="AB9387" t="s">
        <v>78</v>
      </c>
      <c r="AC9387" t="s">
        <v>79</v>
      </c>
      <c r="AD9387" t="s">
        <v>75</v>
      </c>
      <c r="AE9387" t="s">
        <v>80</v>
      </c>
      <c r="AG9387" t="s">
        <v>81</v>
      </c>
    </row>
    <row r="9388" spans="1:33" x14ac:dyDescent="0.25">
      <c r="A9388" t="str">
        <f>"1679916456"</f>
        <v>1679916456</v>
      </c>
      <c r="C9388" t="s">
        <v>13436</v>
      </c>
      <c r="K9388" t="s">
        <v>99</v>
      </c>
      <c r="L9388" t="s">
        <v>102</v>
      </c>
      <c r="M9388" t="s">
        <v>75</v>
      </c>
      <c r="R9388" t="s">
        <v>39520</v>
      </c>
      <c r="S9388" t="s">
        <v>39521</v>
      </c>
      <c r="T9388" t="s">
        <v>4615</v>
      </c>
      <c r="U9388" t="s">
        <v>3878</v>
      </c>
      <c r="V9388" t="str">
        <f>"770544153"</f>
        <v>770544153</v>
      </c>
      <c r="AC9388" t="s">
        <v>79</v>
      </c>
      <c r="AD9388" t="s">
        <v>75</v>
      </c>
      <c r="AE9388" t="s">
        <v>103</v>
      </c>
      <c r="AG9388" t="s">
        <v>81</v>
      </c>
    </row>
    <row r="9389" spans="1:33" x14ac:dyDescent="0.25">
      <c r="A9389" t="str">
        <f>"1679917561"</f>
        <v>1679917561</v>
      </c>
      <c r="C9389" t="s">
        <v>13436</v>
      </c>
      <c r="K9389" t="s">
        <v>99</v>
      </c>
      <c r="L9389" t="s">
        <v>102</v>
      </c>
      <c r="M9389" t="s">
        <v>75</v>
      </c>
      <c r="R9389" t="s">
        <v>39522</v>
      </c>
      <c r="S9389" t="s">
        <v>20910</v>
      </c>
      <c r="T9389" t="s">
        <v>97</v>
      </c>
      <c r="U9389" t="s">
        <v>77</v>
      </c>
      <c r="V9389" t="str">
        <f>"10019"</f>
        <v>10019</v>
      </c>
      <c r="AC9389" t="s">
        <v>79</v>
      </c>
      <c r="AD9389" t="s">
        <v>75</v>
      </c>
      <c r="AE9389" t="s">
        <v>103</v>
      </c>
      <c r="AG9389" t="s">
        <v>81</v>
      </c>
    </row>
    <row r="9390" spans="1:33" x14ac:dyDescent="0.25">
      <c r="A9390" t="str">
        <f>"1679917918"</f>
        <v>1679917918</v>
      </c>
      <c r="C9390" t="s">
        <v>13436</v>
      </c>
      <c r="K9390" t="s">
        <v>99</v>
      </c>
      <c r="L9390" t="s">
        <v>102</v>
      </c>
      <c r="M9390" t="s">
        <v>75</v>
      </c>
      <c r="R9390" t="s">
        <v>39523</v>
      </c>
      <c r="S9390" t="s">
        <v>39524</v>
      </c>
      <c r="T9390" t="s">
        <v>97</v>
      </c>
      <c r="U9390" t="s">
        <v>77</v>
      </c>
      <c r="V9390" t="str">
        <f>"100191147"</f>
        <v>100191147</v>
      </c>
      <c r="AC9390" t="s">
        <v>79</v>
      </c>
      <c r="AD9390" t="s">
        <v>75</v>
      </c>
      <c r="AE9390" t="s">
        <v>103</v>
      </c>
      <c r="AG9390" t="s">
        <v>81</v>
      </c>
    </row>
    <row r="9391" spans="1:33" x14ac:dyDescent="0.25">
      <c r="A9391" t="str">
        <f>"1679983738"</f>
        <v>1679983738</v>
      </c>
      <c r="C9391" t="s">
        <v>13436</v>
      </c>
      <c r="K9391" t="s">
        <v>99</v>
      </c>
      <c r="L9391" t="s">
        <v>102</v>
      </c>
      <c r="M9391" t="s">
        <v>75</v>
      </c>
      <c r="R9391" t="s">
        <v>39525</v>
      </c>
      <c r="S9391" t="s">
        <v>14063</v>
      </c>
      <c r="T9391" t="s">
        <v>97</v>
      </c>
      <c r="U9391" t="s">
        <v>77</v>
      </c>
      <c r="V9391" t="str">
        <f>"100296574"</f>
        <v>100296574</v>
      </c>
      <c r="AC9391" t="s">
        <v>79</v>
      </c>
      <c r="AD9391" t="s">
        <v>75</v>
      </c>
      <c r="AE9391" t="s">
        <v>103</v>
      </c>
      <c r="AG9391" t="s">
        <v>81</v>
      </c>
    </row>
    <row r="9392" spans="1:33" x14ac:dyDescent="0.25">
      <c r="A9392" t="str">
        <f>"1093845117"</f>
        <v>1093845117</v>
      </c>
      <c r="B9392" t="str">
        <f>"03269069"</f>
        <v>03269069</v>
      </c>
      <c r="C9392" t="s">
        <v>13436</v>
      </c>
      <c r="D9392" t="s">
        <v>39526</v>
      </c>
      <c r="E9392" t="s">
        <v>39527</v>
      </c>
      <c r="G9392" t="s">
        <v>39528</v>
      </c>
      <c r="L9392" t="s">
        <v>74</v>
      </c>
      <c r="M9392" t="s">
        <v>75</v>
      </c>
      <c r="R9392" t="s">
        <v>39529</v>
      </c>
      <c r="W9392" t="s">
        <v>39527</v>
      </c>
      <c r="X9392" t="s">
        <v>4799</v>
      </c>
      <c r="Y9392" t="s">
        <v>87</v>
      </c>
      <c r="Z9392" t="s">
        <v>77</v>
      </c>
      <c r="AA9392" t="str">
        <f>"11234-2625"</f>
        <v>11234-2625</v>
      </c>
      <c r="AB9392" t="s">
        <v>78</v>
      </c>
      <c r="AC9392" t="s">
        <v>79</v>
      </c>
      <c r="AD9392" t="s">
        <v>75</v>
      </c>
      <c r="AE9392" t="s">
        <v>80</v>
      </c>
      <c r="AG9392" t="s">
        <v>81</v>
      </c>
    </row>
    <row r="9393" spans="1:33" x14ac:dyDescent="0.25">
      <c r="A9393" t="str">
        <f>"1619920907"</f>
        <v>1619920907</v>
      </c>
      <c r="B9393" t="str">
        <f>"00903695"</f>
        <v>00903695</v>
      </c>
      <c r="C9393" t="s">
        <v>13436</v>
      </c>
      <c r="D9393" t="s">
        <v>39530</v>
      </c>
      <c r="E9393" t="s">
        <v>39531</v>
      </c>
      <c r="G9393" t="s">
        <v>39532</v>
      </c>
      <c r="L9393" t="s">
        <v>83</v>
      </c>
      <c r="M9393" t="s">
        <v>85</v>
      </c>
      <c r="R9393" t="s">
        <v>39533</v>
      </c>
      <c r="W9393" t="s">
        <v>39531</v>
      </c>
      <c r="X9393" t="s">
        <v>1909</v>
      </c>
      <c r="Y9393" t="s">
        <v>97</v>
      </c>
      <c r="Z9393" t="s">
        <v>77</v>
      </c>
      <c r="AA9393" t="str">
        <f>"10029-6503"</f>
        <v>10029-6503</v>
      </c>
      <c r="AB9393" t="s">
        <v>78</v>
      </c>
      <c r="AC9393" t="s">
        <v>79</v>
      </c>
      <c r="AD9393" t="s">
        <v>75</v>
      </c>
      <c r="AE9393" t="s">
        <v>80</v>
      </c>
      <c r="AG9393" t="s">
        <v>81</v>
      </c>
    </row>
    <row r="9394" spans="1:33" x14ac:dyDescent="0.25">
      <c r="A9394" t="str">
        <f>"1740482918"</f>
        <v>1740482918</v>
      </c>
      <c r="B9394" t="str">
        <f>"03507182"</f>
        <v>03507182</v>
      </c>
      <c r="C9394" t="s">
        <v>13436</v>
      </c>
      <c r="D9394" t="s">
        <v>39534</v>
      </c>
      <c r="E9394" t="s">
        <v>39535</v>
      </c>
      <c r="G9394" t="s">
        <v>39536</v>
      </c>
      <c r="L9394" t="s">
        <v>83</v>
      </c>
      <c r="M9394" t="s">
        <v>85</v>
      </c>
      <c r="R9394" t="s">
        <v>39537</v>
      </c>
      <c r="W9394" t="s">
        <v>39535</v>
      </c>
      <c r="X9394" t="s">
        <v>2926</v>
      </c>
      <c r="Y9394" t="s">
        <v>97</v>
      </c>
      <c r="Z9394" t="s">
        <v>77</v>
      </c>
      <c r="AA9394" t="str">
        <f>"10029-6503"</f>
        <v>10029-6503</v>
      </c>
      <c r="AB9394" t="s">
        <v>78</v>
      </c>
      <c r="AC9394" t="s">
        <v>79</v>
      </c>
      <c r="AD9394" t="s">
        <v>75</v>
      </c>
      <c r="AE9394" t="s">
        <v>80</v>
      </c>
      <c r="AG9394" t="s">
        <v>81</v>
      </c>
    </row>
    <row r="9395" spans="1:33" x14ac:dyDescent="0.25">
      <c r="A9395" t="str">
        <f>"1740487420"</f>
        <v>1740487420</v>
      </c>
      <c r="C9395" t="s">
        <v>13436</v>
      </c>
      <c r="G9395" t="s">
        <v>39538</v>
      </c>
      <c r="K9395" t="s">
        <v>99</v>
      </c>
      <c r="L9395" t="s">
        <v>102</v>
      </c>
      <c r="M9395" t="s">
        <v>75</v>
      </c>
      <c r="R9395" t="s">
        <v>39539</v>
      </c>
      <c r="S9395" t="s">
        <v>39540</v>
      </c>
      <c r="T9395" t="s">
        <v>97</v>
      </c>
      <c r="U9395" t="s">
        <v>77</v>
      </c>
      <c r="V9395" t="str">
        <f>"100296500"</f>
        <v>100296500</v>
      </c>
      <c r="AC9395" t="s">
        <v>79</v>
      </c>
      <c r="AD9395" t="s">
        <v>75</v>
      </c>
      <c r="AE9395" t="s">
        <v>103</v>
      </c>
      <c r="AG9395" t="s">
        <v>81</v>
      </c>
    </row>
    <row r="9396" spans="1:33" x14ac:dyDescent="0.25">
      <c r="A9396" t="str">
        <f>"1487972592"</f>
        <v>1487972592</v>
      </c>
      <c r="C9396" t="s">
        <v>13436</v>
      </c>
      <c r="K9396" t="s">
        <v>99</v>
      </c>
      <c r="L9396" t="s">
        <v>102</v>
      </c>
      <c r="M9396" t="s">
        <v>75</v>
      </c>
      <c r="R9396" t="s">
        <v>39541</v>
      </c>
      <c r="S9396" t="s">
        <v>37332</v>
      </c>
      <c r="T9396" t="s">
        <v>97</v>
      </c>
      <c r="U9396" t="s">
        <v>77</v>
      </c>
      <c r="V9396" t="str">
        <f>"100296514"</f>
        <v>100296514</v>
      </c>
      <c r="AC9396" t="s">
        <v>79</v>
      </c>
      <c r="AD9396" t="s">
        <v>75</v>
      </c>
      <c r="AE9396" t="s">
        <v>103</v>
      </c>
      <c r="AG9396" t="s">
        <v>81</v>
      </c>
    </row>
    <row r="9397" spans="1:33" x14ac:dyDescent="0.25">
      <c r="A9397" t="str">
        <f>"1497012025"</f>
        <v>1497012025</v>
      </c>
      <c r="B9397" t="str">
        <f>"04207503"</f>
        <v>04207503</v>
      </c>
      <c r="C9397" t="s">
        <v>13436</v>
      </c>
      <c r="D9397" t="s">
        <v>39542</v>
      </c>
      <c r="E9397" t="s">
        <v>39543</v>
      </c>
      <c r="L9397" t="s">
        <v>83</v>
      </c>
      <c r="M9397" t="s">
        <v>75</v>
      </c>
      <c r="R9397" t="s">
        <v>39543</v>
      </c>
      <c r="W9397" t="s">
        <v>39544</v>
      </c>
      <c r="X9397" t="s">
        <v>4446</v>
      </c>
      <c r="Y9397" t="s">
        <v>131</v>
      </c>
      <c r="Z9397" t="s">
        <v>77</v>
      </c>
      <c r="AA9397" t="str">
        <f>"10453-6018"</f>
        <v>10453-6018</v>
      </c>
      <c r="AB9397" t="s">
        <v>78</v>
      </c>
      <c r="AC9397" t="s">
        <v>79</v>
      </c>
      <c r="AD9397" t="s">
        <v>75</v>
      </c>
      <c r="AE9397" t="s">
        <v>80</v>
      </c>
      <c r="AG9397" t="s">
        <v>81</v>
      </c>
    </row>
    <row r="9398" spans="1:33" x14ac:dyDescent="0.25">
      <c r="A9398" t="str">
        <f>"1497012272"</f>
        <v>1497012272</v>
      </c>
      <c r="C9398" t="s">
        <v>13436</v>
      </c>
      <c r="K9398" t="s">
        <v>99</v>
      </c>
      <c r="L9398" t="s">
        <v>102</v>
      </c>
      <c r="M9398" t="s">
        <v>75</v>
      </c>
      <c r="R9398" t="s">
        <v>39545</v>
      </c>
      <c r="S9398" t="s">
        <v>39546</v>
      </c>
      <c r="T9398" t="s">
        <v>38042</v>
      </c>
      <c r="U9398" t="s">
        <v>2634</v>
      </c>
      <c r="V9398" t="str">
        <f>"731208131"</f>
        <v>731208131</v>
      </c>
      <c r="AC9398" t="s">
        <v>79</v>
      </c>
      <c r="AD9398" t="s">
        <v>75</v>
      </c>
      <c r="AE9398" t="s">
        <v>103</v>
      </c>
      <c r="AG9398" t="s">
        <v>81</v>
      </c>
    </row>
    <row r="9399" spans="1:33" x14ac:dyDescent="0.25">
      <c r="A9399" t="str">
        <f>"1912167784"</f>
        <v>1912167784</v>
      </c>
      <c r="B9399" t="str">
        <f>"04012828"</f>
        <v>04012828</v>
      </c>
      <c r="C9399" t="s">
        <v>13436</v>
      </c>
      <c r="D9399" t="s">
        <v>39547</v>
      </c>
      <c r="E9399" t="s">
        <v>39548</v>
      </c>
      <c r="L9399" t="s">
        <v>74</v>
      </c>
      <c r="M9399" t="s">
        <v>75</v>
      </c>
      <c r="R9399" t="s">
        <v>39549</v>
      </c>
      <c r="W9399" t="s">
        <v>39548</v>
      </c>
      <c r="X9399" t="s">
        <v>3433</v>
      </c>
      <c r="Y9399" t="s">
        <v>97</v>
      </c>
      <c r="Z9399" t="s">
        <v>77</v>
      </c>
      <c r="AA9399" t="str">
        <f>"10003-3805"</f>
        <v>10003-3805</v>
      </c>
      <c r="AB9399" t="s">
        <v>78</v>
      </c>
      <c r="AC9399" t="s">
        <v>79</v>
      </c>
      <c r="AD9399" t="s">
        <v>75</v>
      </c>
      <c r="AE9399" t="s">
        <v>80</v>
      </c>
      <c r="AG9399" t="s">
        <v>81</v>
      </c>
    </row>
    <row r="9400" spans="1:33" x14ac:dyDescent="0.25">
      <c r="A9400" t="str">
        <f>"1689994733"</f>
        <v>1689994733</v>
      </c>
      <c r="B9400" t="str">
        <f>"03805850"</f>
        <v>03805850</v>
      </c>
      <c r="C9400" t="s">
        <v>13436</v>
      </c>
      <c r="D9400" t="s">
        <v>39550</v>
      </c>
      <c r="E9400" t="s">
        <v>39551</v>
      </c>
      <c r="L9400" t="s">
        <v>74</v>
      </c>
      <c r="M9400" t="s">
        <v>75</v>
      </c>
      <c r="R9400" t="s">
        <v>39552</v>
      </c>
      <c r="W9400" t="s">
        <v>39551</v>
      </c>
      <c r="X9400" t="s">
        <v>5585</v>
      </c>
      <c r="Y9400" t="s">
        <v>97</v>
      </c>
      <c r="Z9400" t="s">
        <v>77</v>
      </c>
      <c r="AA9400" t="str">
        <f>"10003-0000"</f>
        <v>10003-0000</v>
      </c>
      <c r="AB9400" t="s">
        <v>78</v>
      </c>
      <c r="AC9400" t="s">
        <v>79</v>
      </c>
      <c r="AD9400" t="s">
        <v>75</v>
      </c>
      <c r="AE9400" t="s">
        <v>80</v>
      </c>
      <c r="AG9400" t="s">
        <v>81</v>
      </c>
    </row>
    <row r="9401" spans="1:33" x14ac:dyDescent="0.25">
      <c r="A9401" t="str">
        <f>"1942472105"</f>
        <v>1942472105</v>
      </c>
      <c r="B9401" t="str">
        <f>"03402971"</f>
        <v>03402971</v>
      </c>
      <c r="C9401" t="s">
        <v>13436</v>
      </c>
      <c r="D9401" t="s">
        <v>39553</v>
      </c>
      <c r="E9401" t="s">
        <v>39554</v>
      </c>
      <c r="L9401" t="s">
        <v>143</v>
      </c>
      <c r="M9401" t="s">
        <v>85</v>
      </c>
      <c r="R9401" t="s">
        <v>39555</v>
      </c>
      <c r="W9401" t="s">
        <v>39556</v>
      </c>
      <c r="X9401" t="s">
        <v>39557</v>
      </c>
      <c r="Y9401" t="s">
        <v>97</v>
      </c>
      <c r="Z9401" t="s">
        <v>77</v>
      </c>
      <c r="AA9401" t="str">
        <f>"10029-7406"</f>
        <v>10029-7406</v>
      </c>
      <c r="AB9401" t="s">
        <v>78</v>
      </c>
      <c r="AC9401" t="s">
        <v>79</v>
      </c>
      <c r="AD9401" t="s">
        <v>75</v>
      </c>
      <c r="AE9401" t="s">
        <v>80</v>
      </c>
      <c r="AG9401" t="s">
        <v>81</v>
      </c>
    </row>
    <row r="9402" spans="1:33" x14ac:dyDescent="0.25">
      <c r="A9402" t="str">
        <f>"1275679722"</f>
        <v>1275679722</v>
      </c>
      <c r="B9402" t="str">
        <f>"01992401"</f>
        <v>01992401</v>
      </c>
      <c r="C9402" t="s">
        <v>13436</v>
      </c>
      <c r="D9402" t="s">
        <v>39558</v>
      </c>
      <c r="E9402" t="s">
        <v>39559</v>
      </c>
      <c r="L9402" t="s">
        <v>102</v>
      </c>
      <c r="M9402" t="s">
        <v>75</v>
      </c>
      <c r="R9402" t="s">
        <v>39560</v>
      </c>
      <c r="W9402" t="s">
        <v>39559</v>
      </c>
      <c r="X9402" t="s">
        <v>2926</v>
      </c>
      <c r="Y9402" t="s">
        <v>97</v>
      </c>
      <c r="Z9402" t="s">
        <v>77</v>
      </c>
      <c r="AA9402" t="str">
        <f>"10029-6503"</f>
        <v>10029-6503</v>
      </c>
      <c r="AB9402" t="s">
        <v>78</v>
      </c>
      <c r="AC9402" t="s">
        <v>79</v>
      </c>
      <c r="AD9402" t="s">
        <v>75</v>
      </c>
      <c r="AE9402" t="s">
        <v>80</v>
      </c>
      <c r="AG9402" t="s">
        <v>81</v>
      </c>
    </row>
    <row r="9403" spans="1:33" x14ac:dyDescent="0.25">
      <c r="A9403" t="str">
        <f>"1194863167"</f>
        <v>1194863167</v>
      </c>
      <c r="B9403" t="str">
        <f>"00100707"</f>
        <v>00100707</v>
      </c>
      <c r="C9403" t="s">
        <v>13436</v>
      </c>
      <c r="D9403" t="s">
        <v>39561</v>
      </c>
      <c r="E9403" t="s">
        <v>39562</v>
      </c>
      <c r="L9403" t="s">
        <v>102</v>
      </c>
      <c r="M9403" t="s">
        <v>75</v>
      </c>
      <c r="R9403" t="s">
        <v>39563</v>
      </c>
      <c r="W9403" t="s">
        <v>39562</v>
      </c>
      <c r="Y9403" t="s">
        <v>97</v>
      </c>
      <c r="Z9403" t="s">
        <v>77</v>
      </c>
      <c r="AA9403" t="str">
        <f>"10029-6503"</f>
        <v>10029-6503</v>
      </c>
      <c r="AB9403" t="s">
        <v>78</v>
      </c>
      <c r="AC9403" t="s">
        <v>79</v>
      </c>
      <c r="AD9403" t="s">
        <v>75</v>
      </c>
      <c r="AE9403" t="s">
        <v>80</v>
      </c>
      <c r="AG9403" t="s">
        <v>81</v>
      </c>
    </row>
    <row r="9404" spans="1:33" x14ac:dyDescent="0.25">
      <c r="A9404" t="str">
        <f>"1033265525"</f>
        <v>1033265525</v>
      </c>
      <c r="B9404" t="str">
        <f>"02670964"</f>
        <v>02670964</v>
      </c>
      <c r="C9404" t="s">
        <v>13436</v>
      </c>
      <c r="D9404" t="s">
        <v>39564</v>
      </c>
      <c r="E9404" t="s">
        <v>39565</v>
      </c>
      <c r="L9404" t="s">
        <v>102</v>
      </c>
      <c r="M9404" t="s">
        <v>75</v>
      </c>
      <c r="R9404" t="s">
        <v>39566</v>
      </c>
      <c r="W9404" t="s">
        <v>39565</v>
      </c>
      <c r="X9404" t="s">
        <v>329</v>
      </c>
      <c r="Y9404" t="s">
        <v>97</v>
      </c>
      <c r="Z9404" t="s">
        <v>77</v>
      </c>
      <c r="AA9404" t="str">
        <f>"10029-6500"</f>
        <v>10029-6500</v>
      </c>
      <c r="AB9404" t="s">
        <v>78</v>
      </c>
      <c r="AC9404" t="s">
        <v>79</v>
      </c>
      <c r="AD9404" t="s">
        <v>75</v>
      </c>
      <c r="AE9404" t="s">
        <v>80</v>
      </c>
      <c r="AG9404" t="s">
        <v>81</v>
      </c>
    </row>
    <row r="9405" spans="1:33" x14ac:dyDescent="0.25">
      <c r="A9405" t="str">
        <f>"1124062179"</f>
        <v>1124062179</v>
      </c>
      <c r="B9405" t="str">
        <f>"00673941"</f>
        <v>00673941</v>
      </c>
      <c r="C9405" t="s">
        <v>13436</v>
      </c>
      <c r="D9405" t="s">
        <v>39567</v>
      </c>
      <c r="E9405" t="s">
        <v>39568</v>
      </c>
      <c r="L9405" t="s">
        <v>102</v>
      </c>
      <c r="M9405" t="s">
        <v>75</v>
      </c>
      <c r="R9405" t="s">
        <v>39569</v>
      </c>
      <c r="W9405" t="s">
        <v>39568</v>
      </c>
      <c r="X9405" t="s">
        <v>2113</v>
      </c>
      <c r="Y9405" t="s">
        <v>97</v>
      </c>
      <c r="Z9405" t="s">
        <v>77</v>
      </c>
      <c r="AA9405" t="str">
        <f>"10032-3720"</f>
        <v>10032-3720</v>
      </c>
      <c r="AB9405" t="s">
        <v>78</v>
      </c>
      <c r="AC9405" t="s">
        <v>79</v>
      </c>
      <c r="AD9405" t="s">
        <v>75</v>
      </c>
      <c r="AE9405" t="s">
        <v>80</v>
      </c>
      <c r="AG9405" t="s">
        <v>81</v>
      </c>
    </row>
    <row r="9406" spans="1:33" x14ac:dyDescent="0.25">
      <c r="A9406" t="str">
        <f>"1811993835"</f>
        <v>1811993835</v>
      </c>
      <c r="B9406" t="str">
        <f>"00301473"</f>
        <v>00301473</v>
      </c>
      <c r="C9406" t="s">
        <v>13436</v>
      </c>
      <c r="D9406" t="s">
        <v>39570</v>
      </c>
      <c r="E9406" t="s">
        <v>39571</v>
      </c>
      <c r="L9406" t="s">
        <v>74</v>
      </c>
      <c r="M9406" t="s">
        <v>75</v>
      </c>
      <c r="R9406" t="s">
        <v>39572</v>
      </c>
      <c r="W9406" t="s">
        <v>39573</v>
      </c>
      <c r="X9406" t="s">
        <v>5042</v>
      </c>
      <c r="Y9406" t="s">
        <v>97</v>
      </c>
      <c r="Z9406" t="s">
        <v>77</v>
      </c>
      <c r="AA9406" t="str">
        <f>"10010-4020"</f>
        <v>10010-4020</v>
      </c>
      <c r="AB9406" t="s">
        <v>82</v>
      </c>
      <c r="AC9406" t="s">
        <v>79</v>
      </c>
      <c r="AD9406" t="s">
        <v>75</v>
      </c>
      <c r="AE9406" t="s">
        <v>80</v>
      </c>
      <c r="AG9406" t="s">
        <v>81</v>
      </c>
    </row>
    <row r="9407" spans="1:33" x14ac:dyDescent="0.25">
      <c r="A9407" t="str">
        <f>"1316298284"</f>
        <v>1316298284</v>
      </c>
      <c r="C9407" t="s">
        <v>13436</v>
      </c>
      <c r="K9407" t="s">
        <v>99</v>
      </c>
      <c r="L9407" t="s">
        <v>74</v>
      </c>
      <c r="M9407" t="s">
        <v>75</v>
      </c>
      <c r="R9407" t="s">
        <v>39574</v>
      </c>
      <c r="S9407" t="s">
        <v>39575</v>
      </c>
      <c r="T9407" t="s">
        <v>97</v>
      </c>
      <c r="U9407" t="s">
        <v>77</v>
      </c>
      <c r="V9407" t="str">
        <f>"100034201"</f>
        <v>100034201</v>
      </c>
      <c r="AC9407" t="s">
        <v>79</v>
      </c>
      <c r="AD9407" t="s">
        <v>75</v>
      </c>
      <c r="AE9407" t="s">
        <v>103</v>
      </c>
      <c r="AG9407" t="s">
        <v>81</v>
      </c>
    </row>
    <row r="9408" spans="1:33" x14ac:dyDescent="0.25">
      <c r="A9408" t="str">
        <f>"1104227255"</f>
        <v>1104227255</v>
      </c>
      <c r="C9408" t="s">
        <v>13436</v>
      </c>
      <c r="K9408" t="s">
        <v>99</v>
      </c>
      <c r="L9408" t="s">
        <v>102</v>
      </c>
      <c r="M9408" t="s">
        <v>75</v>
      </c>
      <c r="R9408" t="s">
        <v>39576</v>
      </c>
      <c r="S9408" t="s">
        <v>39577</v>
      </c>
      <c r="T9408" t="s">
        <v>97</v>
      </c>
      <c r="U9408" t="s">
        <v>77</v>
      </c>
      <c r="V9408" t="str">
        <f>"100166601"</f>
        <v>100166601</v>
      </c>
      <c r="AC9408" t="s">
        <v>79</v>
      </c>
      <c r="AD9408" t="s">
        <v>75</v>
      </c>
      <c r="AE9408" t="s">
        <v>103</v>
      </c>
      <c r="AG9408" t="s">
        <v>81</v>
      </c>
    </row>
    <row r="9409" spans="1:33" x14ac:dyDescent="0.25">
      <c r="A9409" t="str">
        <f>"1386761344"</f>
        <v>1386761344</v>
      </c>
      <c r="B9409" t="str">
        <f>"03245136"</f>
        <v>03245136</v>
      </c>
      <c r="C9409" t="s">
        <v>13436</v>
      </c>
      <c r="D9409" t="s">
        <v>39578</v>
      </c>
      <c r="E9409" t="s">
        <v>39579</v>
      </c>
      <c r="L9409" t="s">
        <v>143</v>
      </c>
      <c r="M9409" t="s">
        <v>75</v>
      </c>
      <c r="R9409" t="s">
        <v>39580</v>
      </c>
      <c r="W9409" t="s">
        <v>39581</v>
      </c>
      <c r="X9409" t="s">
        <v>159</v>
      </c>
      <c r="Y9409" t="s">
        <v>160</v>
      </c>
      <c r="Z9409" t="s">
        <v>77</v>
      </c>
      <c r="AA9409" t="str">
        <f>"11030-3816"</f>
        <v>11030-3816</v>
      </c>
      <c r="AB9409" t="s">
        <v>78</v>
      </c>
      <c r="AC9409" t="s">
        <v>79</v>
      </c>
      <c r="AD9409" t="s">
        <v>75</v>
      </c>
      <c r="AE9409" t="s">
        <v>80</v>
      </c>
      <c r="AG9409" t="s">
        <v>81</v>
      </c>
    </row>
    <row r="9410" spans="1:33" x14ac:dyDescent="0.25">
      <c r="A9410" t="str">
        <f>"1609149137"</f>
        <v>1609149137</v>
      </c>
      <c r="B9410" t="str">
        <f>"04044762"</f>
        <v>04044762</v>
      </c>
      <c r="C9410" t="s">
        <v>13436</v>
      </c>
      <c r="D9410" t="s">
        <v>39582</v>
      </c>
      <c r="E9410" t="s">
        <v>39583</v>
      </c>
      <c r="L9410" t="s">
        <v>74</v>
      </c>
      <c r="M9410" t="s">
        <v>75</v>
      </c>
      <c r="R9410" t="s">
        <v>39584</v>
      </c>
      <c r="W9410" t="s">
        <v>39583</v>
      </c>
      <c r="X9410" t="s">
        <v>235</v>
      </c>
      <c r="Y9410" t="s">
        <v>190</v>
      </c>
      <c r="Z9410" t="s">
        <v>77</v>
      </c>
      <c r="AA9410" t="str">
        <f>"11102-2448"</f>
        <v>11102-2448</v>
      </c>
      <c r="AB9410" t="s">
        <v>78</v>
      </c>
      <c r="AC9410" t="s">
        <v>79</v>
      </c>
      <c r="AD9410" t="s">
        <v>75</v>
      </c>
      <c r="AE9410" t="s">
        <v>80</v>
      </c>
      <c r="AG9410" t="s">
        <v>81</v>
      </c>
    </row>
    <row r="9411" spans="1:33" x14ac:dyDescent="0.25">
      <c r="A9411" t="str">
        <f>"1457678674"</f>
        <v>1457678674</v>
      </c>
      <c r="B9411" t="str">
        <f>"03261209"</f>
        <v>03261209</v>
      </c>
      <c r="C9411" t="s">
        <v>13436</v>
      </c>
      <c r="D9411" t="s">
        <v>614</v>
      </c>
      <c r="E9411" t="s">
        <v>615</v>
      </c>
      <c r="L9411" t="s">
        <v>83</v>
      </c>
      <c r="M9411" t="s">
        <v>75</v>
      </c>
      <c r="R9411" t="s">
        <v>613</v>
      </c>
      <c r="W9411" t="s">
        <v>613</v>
      </c>
      <c r="X9411" t="s">
        <v>616</v>
      </c>
      <c r="Y9411" t="s">
        <v>171</v>
      </c>
      <c r="Z9411" t="s">
        <v>77</v>
      </c>
      <c r="AA9411" t="str">
        <f>"11418-2832"</f>
        <v>11418-2832</v>
      </c>
      <c r="AB9411" t="s">
        <v>78</v>
      </c>
      <c r="AC9411" t="s">
        <v>79</v>
      </c>
      <c r="AD9411" t="s">
        <v>75</v>
      </c>
      <c r="AE9411" t="s">
        <v>80</v>
      </c>
      <c r="AG9411" t="s">
        <v>81</v>
      </c>
    </row>
    <row r="9412" spans="1:33" x14ac:dyDescent="0.25">
      <c r="A9412" t="str">
        <f>"1750662243"</f>
        <v>1750662243</v>
      </c>
      <c r="B9412" t="str">
        <f>"04007549"</f>
        <v>04007549</v>
      </c>
      <c r="C9412" t="s">
        <v>13436</v>
      </c>
      <c r="D9412" t="s">
        <v>39585</v>
      </c>
      <c r="E9412" t="s">
        <v>39586</v>
      </c>
      <c r="L9412" t="s">
        <v>74</v>
      </c>
      <c r="M9412" t="s">
        <v>75</v>
      </c>
      <c r="R9412" t="s">
        <v>39586</v>
      </c>
      <c r="W9412" t="s">
        <v>39586</v>
      </c>
      <c r="X9412" t="s">
        <v>235</v>
      </c>
      <c r="Y9412" t="s">
        <v>190</v>
      </c>
      <c r="Z9412" t="s">
        <v>77</v>
      </c>
      <c r="AA9412" t="str">
        <f>"11102-2448"</f>
        <v>11102-2448</v>
      </c>
      <c r="AB9412" t="s">
        <v>78</v>
      </c>
      <c r="AC9412" t="s">
        <v>79</v>
      </c>
      <c r="AD9412" t="s">
        <v>75</v>
      </c>
      <c r="AE9412" t="s">
        <v>80</v>
      </c>
      <c r="AG9412" t="s">
        <v>81</v>
      </c>
    </row>
    <row r="9413" spans="1:33" x14ac:dyDescent="0.25">
      <c r="A9413" t="str">
        <f>"1609285329"</f>
        <v>1609285329</v>
      </c>
      <c r="C9413" t="s">
        <v>13436</v>
      </c>
      <c r="K9413" t="s">
        <v>99</v>
      </c>
      <c r="L9413" t="s">
        <v>74</v>
      </c>
      <c r="M9413" t="s">
        <v>75</v>
      </c>
      <c r="R9413" t="s">
        <v>39587</v>
      </c>
      <c r="S9413" t="s">
        <v>39588</v>
      </c>
      <c r="T9413" t="s">
        <v>254</v>
      </c>
      <c r="U9413" t="s">
        <v>77</v>
      </c>
      <c r="V9413" t="str">
        <f>"113742526"</f>
        <v>113742526</v>
      </c>
      <c r="AC9413" t="s">
        <v>79</v>
      </c>
      <c r="AD9413" t="s">
        <v>75</v>
      </c>
      <c r="AE9413" t="s">
        <v>103</v>
      </c>
      <c r="AG9413" t="s">
        <v>81</v>
      </c>
    </row>
    <row r="9414" spans="1:33" x14ac:dyDescent="0.25">
      <c r="A9414" t="str">
        <f>"1396173571"</f>
        <v>1396173571</v>
      </c>
      <c r="B9414" t="str">
        <f>"04256204"</f>
        <v>04256204</v>
      </c>
      <c r="C9414" t="s">
        <v>13436</v>
      </c>
      <c r="D9414" t="s">
        <v>39589</v>
      </c>
      <c r="E9414" t="s">
        <v>39590</v>
      </c>
      <c r="L9414" t="s">
        <v>74</v>
      </c>
      <c r="M9414" t="s">
        <v>75</v>
      </c>
      <c r="R9414" t="s">
        <v>39590</v>
      </c>
      <c r="W9414" t="s">
        <v>39590</v>
      </c>
      <c r="X9414" t="s">
        <v>1778</v>
      </c>
      <c r="Y9414" t="s">
        <v>1779</v>
      </c>
      <c r="Z9414" t="s">
        <v>77</v>
      </c>
      <c r="AA9414" t="str">
        <f>"11572-1551"</f>
        <v>11572-1551</v>
      </c>
      <c r="AB9414" t="s">
        <v>78</v>
      </c>
      <c r="AC9414" t="s">
        <v>79</v>
      </c>
      <c r="AD9414" t="s">
        <v>75</v>
      </c>
      <c r="AE9414" t="s">
        <v>80</v>
      </c>
      <c r="AG9414" t="s">
        <v>81</v>
      </c>
    </row>
    <row r="9415" spans="1:33" x14ac:dyDescent="0.25">
      <c r="A9415" t="str">
        <f>"1083874226"</f>
        <v>1083874226</v>
      </c>
      <c r="B9415" t="str">
        <f>"03047110"</f>
        <v>03047110</v>
      </c>
      <c r="C9415" t="s">
        <v>13436</v>
      </c>
      <c r="D9415" t="s">
        <v>5669</v>
      </c>
      <c r="E9415" t="s">
        <v>5670</v>
      </c>
      <c r="G9415" t="s">
        <v>39591</v>
      </c>
      <c r="L9415" t="s">
        <v>84</v>
      </c>
      <c r="M9415" t="s">
        <v>75</v>
      </c>
      <c r="R9415" t="s">
        <v>5671</v>
      </c>
      <c r="W9415" t="s">
        <v>5670</v>
      </c>
      <c r="X9415" t="s">
        <v>5672</v>
      </c>
      <c r="Y9415" t="s">
        <v>97</v>
      </c>
      <c r="Z9415" t="s">
        <v>77</v>
      </c>
      <c r="AA9415" t="str">
        <f>"10035-1641"</f>
        <v>10035-1641</v>
      </c>
      <c r="AB9415" t="s">
        <v>78</v>
      </c>
      <c r="AC9415" t="s">
        <v>79</v>
      </c>
      <c r="AD9415" t="s">
        <v>75</v>
      </c>
      <c r="AE9415" t="s">
        <v>80</v>
      </c>
      <c r="AG9415" t="s">
        <v>81</v>
      </c>
    </row>
    <row r="9416" spans="1:33" x14ac:dyDescent="0.25">
      <c r="A9416" t="str">
        <f>"1083904528"</f>
        <v>1083904528</v>
      </c>
      <c r="C9416" t="s">
        <v>13436</v>
      </c>
      <c r="K9416" t="s">
        <v>99</v>
      </c>
      <c r="L9416" t="s">
        <v>102</v>
      </c>
      <c r="M9416" t="s">
        <v>75</v>
      </c>
      <c r="R9416" t="s">
        <v>39592</v>
      </c>
      <c r="S9416" t="s">
        <v>39593</v>
      </c>
      <c r="T9416" t="s">
        <v>97</v>
      </c>
      <c r="U9416" t="s">
        <v>77</v>
      </c>
      <c r="V9416" t="str">
        <f>"100033805"</f>
        <v>100033805</v>
      </c>
      <c r="AC9416" t="s">
        <v>79</v>
      </c>
      <c r="AD9416" t="s">
        <v>75</v>
      </c>
      <c r="AE9416" t="s">
        <v>103</v>
      </c>
      <c r="AG9416" t="s">
        <v>81</v>
      </c>
    </row>
    <row r="9417" spans="1:33" x14ac:dyDescent="0.25">
      <c r="A9417" t="str">
        <f>"1083904593"</f>
        <v>1083904593</v>
      </c>
      <c r="C9417" t="s">
        <v>13436</v>
      </c>
      <c r="K9417" t="s">
        <v>99</v>
      </c>
      <c r="L9417" t="s">
        <v>102</v>
      </c>
      <c r="M9417" t="s">
        <v>75</v>
      </c>
      <c r="R9417" t="s">
        <v>39594</v>
      </c>
      <c r="S9417" t="s">
        <v>181</v>
      </c>
      <c r="T9417" t="s">
        <v>97</v>
      </c>
      <c r="U9417" t="s">
        <v>77</v>
      </c>
      <c r="V9417" t="str">
        <f>"100251716"</f>
        <v>100251716</v>
      </c>
      <c r="AC9417" t="s">
        <v>79</v>
      </c>
      <c r="AD9417" t="s">
        <v>75</v>
      </c>
      <c r="AE9417" t="s">
        <v>103</v>
      </c>
      <c r="AG9417" t="s">
        <v>81</v>
      </c>
    </row>
    <row r="9418" spans="1:33" x14ac:dyDescent="0.25">
      <c r="A9418" t="str">
        <f>"1083907372"</f>
        <v>1083907372</v>
      </c>
      <c r="C9418" t="s">
        <v>13436</v>
      </c>
      <c r="K9418" t="s">
        <v>99</v>
      </c>
      <c r="L9418" t="s">
        <v>102</v>
      </c>
      <c r="M9418" t="s">
        <v>75</v>
      </c>
      <c r="R9418" t="s">
        <v>39595</v>
      </c>
      <c r="S9418" t="s">
        <v>39596</v>
      </c>
      <c r="T9418" t="s">
        <v>34855</v>
      </c>
      <c r="U9418" t="s">
        <v>2595</v>
      </c>
      <c r="V9418" t="str">
        <f>"920371300"</f>
        <v>920371300</v>
      </c>
      <c r="AC9418" t="s">
        <v>79</v>
      </c>
      <c r="AD9418" t="s">
        <v>75</v>
      </c>
      <c r="AE9418" t="s">
        <v>103</v>
      </c>
      <c r="AG9418" t="s">
        <v>81</v>
      </c>
    </row>
    <row r="9419" spans="1:33" x14ac:dyDescent="0.25">
      <c r="A9419" t="str">
        <f>"1083910822"</f>
        <v>1083910822</v>
      </c>
      <c r="C9419" t="s">
        <v>13436</v>
      </c>
      <c r="G9419" t="s">
        <v>39597</v>
      </c>
      <c r="K9419" t="s">
        <v>99</v>
      </c>
      <c r="L9419" t="s">
        <v>74</v>
      </c>
      <c r="M9419" t="s">
        <v>75</v>
      </c>
      <c r="R9419" t="s">
        <v>39598</v>
      </c>
      <c r="S9419" t="s">
        <v>39599</v>
      </c>
      <c r="T9419" t="s">
        <v>39600</v>
      </c>
      <c r="U9419" t="s">
        <v>77</v>
      </c>
      <c r="V9419" t="str">
        <f>"10029"</f>
        <v>10029</v>
      </c>
      <c r="AC9419" t="s">
        <v>79</v>
      </c>
      <c r="AD9419" t="s">
        <v>75</v>
      </c>
      <c r="AE9419" t="s">
        <v>103</v>
      </c>
      <c r="AG9419" t="s">
        <v>81</v>
      </c>
    </row>
    <row r="9420" spans="1:33" x14ac:dyDescent="0.25">
      <c r="A9420" t="str">
        <f>"1982721197"</f>
        <v>1982721197</v>
      </c>
      <c r="B9420" t="str">
        <f>"03002242"</f>
        <v>03002242</v>
      </c>
      <c r="C9420" t="s">
        <v>39601</v>
      </c>
      <c r="D9420" t="s">
        <v>3760</v>
      </c>
      <c r="E9420" t="s">
        <v>3761</v>
      </c>
      <c r="F9420">
        <v>135675643</v>
      </c>
      <c r="G9420" t="s">
        <v>39602</v>
      </c>
      <c r="H9420" t="s">
        <v>39603</v>
      </c>
      <c r="J9420" t="s">
        <v>39604</v>
      </c>
      <c r="L9420" t="s">
        <v>37</v>
      </c>
      <c r="M9420" t="s">
        <v>75</v>
      </c>
      <c r="R9420" t="s">
        <v>3762</v>
      </c>
      <c r="W9420" t="s">
        <v>3761</v>
      </c>
      <c r="X9420" t="s">
        <v>3763</v>
      </c>
      <c r="Y9420" t="s">
        <v>131</v>
      </c>
      <c r="Z9420" t="s">
        <v>77</v>
      </c>
      <c r="AA9420" t="str">
        <f>"10456-5002"</f>
        <v>10456-5002</v>
      </c>
      <c r="AB9420" t="s">
        <v>107</v>
      </c>
      <c r="AC9420" t="s">
        <v>79</v>
      </c>
      <c r="AD9420" t="s">
        <v>75</v>
      </c>
      <c r="AE9420" t="s">
        <v>80</v>
      </c>
      <c r="AG9420" t="s">
        <v>81</v>
      </c>
    </row>
    <row r="9421" spans="1:33" x14ac:dyDescent="0.25">
      <c r="A9421" t="str">
        <f>"1750670394"</f>
        <v>1750670394</v>
      </c>
      <c r="B9421" t="str">
        <f>"03764165"</f>
        <v>03764165</v>
      </c>
      <c r="C9421" t="s">
        <v>13436</v>
      </c>
      <c r="D9421" t="s">
        <v>39605</v>
      </c>
      <c r="E9421" t="s">
        <v>39606</v>
      </c>
      <c r="G9421" t="s">
        <v>39607</v>
      </c>
      <c r="L9421" t="s">
        <v>74</v>
      </c>
      <c r="M9421" t="s">
        <v>75</v>
      </c>
      <c r="R9421" t="s">
        <v>39608</v>
      </c>
      <c r="W9421" t="s">
        <v>39606</v>
      </c>
      <c r="X9421" t="s">
        <v>25370</v>
      </c>
      <c r="Y9421" t="s">
        <v>97</v>
      </c>
      <c r="Z9421" t="s">
        <v>77</v>
      </c>
      <c r="AA9421" t="str">
        <f>"10029-6504"</f>
        <v>10029-6504</v>
      </c>
      <c r="AB9421" t="s">
        <v>78</v>
      </c>
      <c r="AC9421" t="s">
        <v>79</v>
      </c>
      <c r="AD9421" t="s">
        <v>75</v>
      </c>
      <c r="AE9421" t="s">
        <v>80</v>
      </c>
      <c r="AG9421" t="s">
        <v>81</v>
      </c>
    </row>
    <row r="9422" spans="1:33" x14ac:dyDescent="0.25">
      <c r="A9422" t="str">
        <f>"1750671962"</f>
        <v>1750671962</v>
      </c>
      <c r="B9422" t="str">
        <f>"03831472"</f>
        <v>03831472</v>
      </c>
      <c r="C9422" t="s">
        <v>13436</v>
      </c>
      <c r="D9422" t="s">
        <v>39609</v>
      </c>
      <c r="E9422" t="s">
        <v>39610</v>
      </c>
      <c r="L9422" t="s">
        <v>74</v>
      </c>
      <c r="M9422" t="s">
        <v>75</v>
      </c>
      <c r="R9422" t="s">
        <v>39611</v>
      </c>
      <c r="W9422" t="s">
        <v>39612</v>
      </c>
      <c r="X9422" t="s">
        <v>12390</v>
      </c>
      <c r="Y9422" t="s">
        <v>97</v>
      </c>
      <c r="Z9422" t="s">
        <v>77</v>
      </c>
      <c r="AA9422" t="str">
        <f>"10003-4201"</f>
        <v>10003-4201</v>
      </c>
      <c r="AB9422" t="s">
        <v>78</v>
      </c>
      <c r="AC9422" t="s">
        <v>79</v>
      </c>
      <c r="AD9422" t="s">
        <v>75</v>
      </c>
      <c r="AE9422" t="s">
        <v>80</v>
      </c>
      <c r="AG9422" t="s">
        <v>81</v>
      </c>
    </row>
    <row r="9423" spans="1:33" x14ac:dyDescent="0.25">
      <c r="A9423" t="str">
        <f>"1750672127"</f>
        <v>1750672127</v>
      </c>
      <c r="C9423" t="s">
        <v>13436</v>
      </c>
      <c r="K9423" t="s">
        <v>99</v>
      </c>
      <c r="L9423" t="s">
        <v>102</v>
      </c>
      <c r="M9423" t="s">
        <v>75</v>
      </c>
      <c r="R9423" t="s">
        <v>39613</v>
      </c>
      <c r="S9423" t="s">
        <v>181</v>
      </c>
      <c r="T9423" t="s">
        <v>97</v>
      </c>
      <c r="U9423" t="s">
        <v>77</v>
      </c>
      <c r="V9423" t="str">
        <f>"100251716"</f>
        <v>100251716</v>
      </c>
      <c r="AC9423" t="s">
        <v>79</v>
      </c>
      <c r="AD9423" t="s">
        <v>75</v>
      </c>
      <c r="AE9423" t="s">
        <v>103</v>
      </c>
      <c r="AG9423" t="s">
        <v>81</v>
      </c>
    </row>
    <row r="9424" spans="1:33" x14ac:dyDescent="0.25">
      <c r="A9424" t="str">
        <f>"1750672838"</f>
        <v>1750672838</v>
      </c>
      <c r="C9424" t="s">
        <v>13436</v>
      </c>
      <c r="G9424" t="s">
        <v>39614</v>
      </c>
      <c r="K9424" t="s">
        <v>99</v>
      </c>
      <c r="L9424" t="s">
        <v>74</v>
      </c>
      <c r="M9424" t="s">
        <v>75</v>
      </c>
      <c r="R9424" t="s">
        <v>39615</v>
      </c>
      <c r="S9424" t="s">
        <v>39616</v>
      </c>
      <c r="T9424" t="s">
        <v>97</v>
      </c>
      <c r="U9424" t="s">
        <v>77</v>
      </c>
      <c r="V9424" t="str">
        <f>"100033314"</f>
        <v>100033314</v>
      </c>
      <c r="AC9424" t="s">
        <v>79</v>
      </c>
      <c r="AD9424" t="s">
        <v>75</v>
      </c>
      <c r="AE9424" t="s">
        <v>103</v>
      </c>
      <c r="AG9424" t="s">
        <v>81</v>
      </c>
    </row>
    <row r="9425" spans="1:33" x14ac:dyDescent="0.25">
      <c r="A9425" t="str">
        <f>"1750673570"</f>
        <v>1750673570</v>
      </c>
      <c r="C9425" t="s">
        <v>13436</v>
      </c>
      <c r="K9425" t="s">
        <v>99</v>
      </c>
      <c r="L9425" t="s">
        <v>102</v>
      </c>
      <c r="M9425" t="s">
        <v>75</v>
      </c>
      <c r="R9425" t="s">
        <v>39617</v>
      </c>
      <c r="S9425" t="s">
        <v>39618</v>
      </c>
      <c r="T9425" t="s">
        <v>39619</v>
      </c>
      <c r="U9425" t="s">
        <v>3878</v>
      </c>
      <c r="V9425" t="str">
        <f>"782369907"</f>
        <v>782369907</v>
      </c>
      <c r="AC9425" t="s">
        <v>79</v>
      </c>
      <c r="AD9425" t="s">
        <v>75</v>
      </c>
      <c r="AE9425" t="s">
        <v>103</v>
      </c>
      <c r="AG9425" t="s">
        <v>81</v>
      </c>
    </row>
    <row r="9426" spans="1:33" x14ac:dyDescent="0.25">
      <c r="A9426" t="str">
        <f>"1750692745"</f>
        <v>1750692745</v>
      </c>
      <c r="C9426" t="s">
        <v>13436</v>
      </c>
      <c r="K9426" t="s">
        <v>99</v>
      </c>
      <c r="L9426" t="s">
        <v>102</v>
      </c>
      <c r="M9426" t="s">
        <v>75</v>
      </c>
      <c r="R9426" t="s">
        <v>39620</v>
      </c>
      <c r="S9426" t="s">
        <v>39621</v>
      </c>
      <c r="T9426" t="s">
        <v>39622</v>
      </c>
      <c r="U9426" t="s">
        <v>2661</v>
      </c>
      <c r="V9426" t="str">
        <f>"217426700"</f>
        <v>217426700</v>
      </c>
      <c r="AC9426" t="s">
        <v>79</v>
      </c>
      <c r="AD9426" t="s">
        <v>75</v>
      </c>
      <c r="AE9426" t="s">
        <v>103</v>
      </c>
      <c r="AG9426" t="s">
        <v>81</v>
      </c>
    </row>
    <row r="9427" spans="1:33" x14ac:dyDescent="0.25">
      <c r="A9427" t="str">
        <f>"1386886547"</f>
        <v>1386886547</v>
      </c>
      <c r="C9427" t="s">
        <v>13436</v>
      </c>
      <c r="G9427" t="s">
        <v>39623</v>
      </c>
      <c r="K9427" t="s">
        <v>99</v>
      </c>
      <c r="L9427" t="s">
        <v>102</v>
      </c>
      <c r="M9427" t="s">
        <v>75</v>
      </c>
      <c r="R9427" t="s">
        <v>39624</v>
      </c>
      <c r="S9427" t="s">
        <v>28764</v>
      </c>
      <c r="T9427" t="s">
        <v>97</v>
      </c>
      <c r="U9427" t="s">
        <v>77</v>
      </c>
      <c r="V9427" t="str">
        <f>"100296514"</f>
        <v>100296514</v>
      </c>
      <c r="AC9427" t="s">
        <v>79</v>
      </c>
      <c r="AD9427" t="s">
        <v>75</v>
      </c>
      <c r="AE9427" t="s">
        <v>103</v>
      </c>
      <c r="AG9427" t="s">
        <v>81</v>
      </c>
    </row>
    <row r="9428" spans="1:33" x14ac:dyDescent="0.25">
      <c r="A9428" t="str">
        <f>"1639588924"</f>
        <v>1639588924</v>
      </c>
      <c r="C9428" t="s">
        <v>13436</v>
      </c>
      <c r="G9428" t="s">
        <v>39625</v>
      </c>
      <c r="K9428" t="s">
        <v>99</v>
      </c>
      <c r="L9428" t="s">
        <v>102</v>
      </c>
      <c r="M9428" t="s">
        <v>75</v>
      </c>
      <c r="R9428" t="s">
        <v>39626</v>
      </c>
      <c r="S9428" t="s">
        <v>39627</v>
      </c>
      <c r="T9428" t="s">
        <v>5256</v>
      </c>
      <c r="U9428" t="s">
        <v>156</v>
      </c>
      <c r="V9428" t="str">
        <f>"08002"</f>
        <v>08002</v>
      </c>
      <c r="AC9428" t="s">
        <v>79</v>
      </c>
      <c r="AD9428" t="s">
        <v>75</v>
      </c>
      <c r="AE9428" t="s">
        <v>103</v>
      </c>
      <c r="AG9428" t="s">
        <v>81</v>
      </c>
    </row>
    <row r="9429" spans="1:33" x14ac:dyDescent="0.25">
      <c r="A9429" t="str">
        <f>"1275823163"</f>
        <v>1275823163</v>
      </c>
      <c r="B9429" t="str">
        <f>"03989526"</f>
        <v>03989526</v>
      </c>
      <c r="C9429" t="s">
        <v>13436</v>
      </c>
      <c r="D9429" t="s">
        <v>39628</v>
      </c>
      <c r="E9429" t="s">
        <v>39629</v>
      </c>
      <c r="G9429" t="s">
        <v>39630</v>
      </c>
      <c r="L9429" t="s">
        <v>83</v>
      </c>
      <c r="M9429" t="s">
        <v>75</v>
      </c>
      <c r="R9429" t="s">
        <v>39629</v>
      </c>
      <c r="W9429" t="s">
        <v>39629</v>
      </c>
      <c r="X9429" t="s">
        <v>9122</v>
      </c>
      <c r="Y9429" t="s">
        <v>87</v>
      </c>
      <c r="Z9429" t="s">
        <v>77</v>
      </c>
      <c r="AA9429" t="str">
        <f>"11201-3026"</f>
        <v>11201-3026</v>
      </c>
      <c r="AB9429" t="s">
        <v>78</v>
      </c>
      <c r="AC9429" t="s">
        <v>79</v>
      </c>
      <c r="AD9429" t="s">
        <v>75</v>
      </c>
      <c r="AE9429" t="s">
        <v>80</v>
      </c>
      <c r="AG9429" t="s">
        <v>81</v>
      </c>
    </row>
    <row r="9430" spans="1:33" x14ac:dyDescent="0.25">
      <c r="A9430" t="str">
        <f>"1629418314"</f>
        <v>1629418314</v>
      </c>
      <c r="B9430" t="str">
        <f>"04602026"</f>
        <v>04602026</v>
      </c>
      <c r="C9430" t="s">
        <v>13436</v>
      </c>
      <c r="D9430" t="s">
        <v>39631</v>
      </c>
      <c r="E9430" t="s">
        <v>39632</v>
      </c>
      <c r="G9430" t="s">
        <v>39633</v>
      </c>
      <c r="L9430" t="s">
        <v>102</v>
      </c>
      <c r="M9430" t="s">
        <v>75</v>
      </c>
      <c r="R9430" t="s">
        <v>39634</v>
      </c>
      <c r="W9430" t="s">
        <v>39632</v>
      </c>
      <c r="AB9430" t="s">
        <v>114</v>
      </c>
      <c r="AC9430" t="s">
        <v>79</v>
      </c>
      <c r="AD9430" t="s">
        <v>75</v>
      </c>
      <c r="AE9430" t="s">
        <v>80</v>
      </c>
      <c r="AG9430" t="s">
        <v>81</v>
      </c>
    </row>
    <row r="9431" spans="1:33" x14ac:dyDescent="0.25">
      <c r="A9431" t="str">
        <f>"1669532487"</f>
        <v>1669532487</v>
      </c>
      <c r="C9431" t="s">
        <v>13436</v>
      </c>
      <c r="G9431" t="s">
        <v>39635</v>
      </c>
      <c r="K9431" t="s">
        <v>99</v>
      </c>
      <c r="L9431" t="s">
        <v>102</v>
      </c>
      <c r="M9431" t="s">
        <v>75</v>
      </c>
      <c r="R9431" t="s">
        <v>39636</v>
      </c>
      <c r="S9431" t="s">
        <v>39637</v>
      </c>
      <c r="T9431" t="s">
        <v>97</v>
      </c>
      <c r="U9431" t="s">
        <v>77</v>
      </c>
      <c r="V9431" t="str">
        <f>"100296514"</f>
        <v>100296514</v>
      </c>
      <c r="AC9431" t="s">
        <v>79</v>
      </c>
      <c r="AD9431" t="s">
        <v>75</v>
      </c>
      <c r="AE9431" t="s">
        <v>103</v>
      </c>
      <c r="AG9431" t="s">
        <v>81</v>
      </c>
    </row>
    <row r="9432" spans="1:33" x14ac:dyDescent="0.25">
      <c r="A9432" t="str">
        <f>"1508116369"</f>
        <v>1508116369</v>
      </c>
      <c r="C9432" t="s">
        <v>13436</v>
      </c>
      <c r="G9432" t="s">
        <v>39638</v>
      </c>
      <c r="K9432" t="s">
        <v>99</v>
      </c>
      <c r="L9432" t="s">
        <v>74</v>
      </c>
      <c r="M9432" t="s">
        <v>75</v>
      </c>
      <c r="R9432" t="s">
        <v>39639</v>
      </c>
      <c r="S9432" t="s">
        <v>39640</v>
      </c>
      <c r="T9432" t="s">
        <v>39641</v>
      </c>
      <c r="U9432" t="s">
        <v>77</v>
      </c>
      <c r="V9432" t="str">
        <f>"115602204"</f>
        <v>115602204</v>
      </c>
      <c r="AC9432" t="s">
        <v>79</v>
      </c>
      <c r="AD9432" t="s">
        <v>75</v>
      </c>
      <c r="AE9432" t="s">
        <v>103</v>
      </c>
      <c r="AG9432" t="s">
        <v>81</v>
      </c>
    </row>
    <row r="9433" spans="1:33" x14ac:dyDescent="0.25">
      <c r="A9433" t="str">
        <f>"1972511103"</f>
        <v>1972511103</v>
      </c>
      <c r="B9433" t="str">
        <f>"04022524"</f>
        <v>04022524</v>
      </c>
      <c r="C9433" t="s">
        <v>13436</v>
      </c>
      <c r="D9433" t="s">
        <v>39642</v>
      </c>
      <c r="E9433" t="s">
        <v>39643</v>
      </c>
      <c r="G9433" t="s">
        <v>39644</v>
      </c>
      <c r="L9433" t="s">
        <v>74</v>
      </c>
      <c r="M9433" t="s">
        <v>75</v>
      </c>
      <c r="R9433" t="s">
        <v>39645</v>
      </c>
      <c r="W9433" t="s">
        <v>39646</v>
      </c>
      <c r="X9433" t="s">
        <v>2926</v>
      </c>
      <c r="Y9433" t="s">
        <v>97</v>
      </c>
      <c r="Z9433" t="s">
        <v>77</v>
      </c>
      <c r="AA9433" t="str">
        <f>"10029-6503"</f>
        <v>10029-6503</v>
      </c>
      <c r="AB9433" t="s">
        <v>78</v>
      </c>
      <c r="AC9433" t="s">
        <v>79</v>
      </c>
      <c r="AD9433" t="s">
        <v>75</v>
      </c>
      <c r="AE9433" t="s">
        <v>80</v>
      </c>
      <c r="AG9433" t="s">
        <v>81</v>
      </c>
    </row>
    <row r="9434" spans="1:33" x14ac:dyDescent="0.25">
      <c r="A9434" t="str">
        <f>"1679983985"</f>
        <v>1679983985</v>
      </c>
      <c r="C9434" t="s">
        <v>13436</v>
      </c>
      <c r="K9434" t="s">
        <v>99</v>
      </c>
      <c r="L9434" t="s">
        <v>102</v>
      </c>
      <c r="M9434" t="s">
        <v>75</v>
      </c>
      <c r="AC9434" t="s">
        <v>79</v>
      </c>
      <c r="AD9434" t="s">
        <v>75</v>
      </c>
      <c r="AE9434" t="s">
        <v>103</v>
      </c>
      <c r="AG9434" t="s">
        <v>81</v>
      </c>
    </row>
    <row r="9435" spans="1:33" x14ac:dyDescent="0.25">
      <c r="A9435" t="str">
        <f>"1679990873"</f>
        <v>1679990873</v>
      </c>
      <c r="C9435" t="s">
        <v>13436</v>
      </c>
      <c r="K9435" t="s">
        <v>99</v>
      </c>
      <c r="L9435" t="s">
        <v>102</v>
      </c>
      <c r="M9435" t="s">
        <v>75</v>
      </c>
      <c r="R9435" t="s">
        <v>39647</v>
      </c>
      <c r="S9435" t="s">
        <v>39648</v>
      </c>
      <c r="T9435" t="s">
        <v>39649</v>
      </c>
      <c r="U9435" t="s">
        <v>156</v>
      </c>
      <c r="V9435" t="str">
        <f>"076262244"</f>
        <v>076262244</v>
      </c>
      <c r="AC9435" t="s">
        <v>79</v>
      </c>
      <c r="AD9435" t="s">
        <v>75</v>
      </c>
      <c r="AE9435" t="s">
        <v>103</v>
      </c>
      <c r="AG9435" t="s">
        <v>81</v>
      </c>
    </row>
    <row r="9436" spans="1:33" x14ac:dyDescent="0.25">
      <c r="A9436" t="str">
        <f>"1679991095"</f>
        <v>1679991095</v>
      </c>
      <c r="C9436" t="s">
        <v>13436</v>
      </c>
      <c r="K9436" t="s">
        <v>99</v>
      </c>
      <c r="L9436" t="s">
        <v>102</v>
      </c>
      <c r="M9436" t="s">
        <v>75</v>
      </c>
      <c r="R9436" t="s">
        <v>39650</v>
      </c>
      <c r="S9436" t="s">
        <v>39651</v>
      </c>
      <c r="T9436" t="s">
        <v>39652</v>
      </c>
      <c r="U9436" t="s">
        <v>2632</v>
      </c>
      <c r="V9436" t="str">
        <f>"201487335"</f>
        <v>201487335</v>
      </c>
      <c r="AC9436" t="s">
        <v>79</v>
      </c>
      <c r="AD9436" t="s">
        <v>75</v>
      </c>
      <c r="AE9436" t="s">
        <v>103</v>
      </c>
      <c r="AG9436" t="s">
        <v>81</v>
      </c>
    </row>
    <row r="9437" spans="1:33" x14ac:dyDescent="0.25">
      <c r="A9437" t="str">
        <f>"1679991616"</f>
        <v>1679991616</v>
      </c>
      <c r="B9437" t="str">
        <f>"04302750"</f>
        <v>04302750</v>
      </c>
      <c r="C9437" t="s">
        <v>13436</v>
      </c>
      <c r="D9437" t="s">
        <v>39653</v>
      </c>
      <c r="E9437" t="s">
        <v>39654</v>
      </c>
      <c r="L9437" t="s">
        <v>74</v>
      </c>
      <c r="M9437" t="s">
        <v>75</v>
      </c>
      <c r="R9437" t="s">
        <v>4634</v>
      </c>
      <c r="W9437" t="s">
        <v>39654</v>
      </c>
      <c r="X9437" t="s">
        <v>306</v>
      </c>
      <c r="Y9437" t="s">
        <v>97</v>
      </c>
      <c r="Z9437" t="s">
        <v>77</v>
      </c>
      <c r="AA9437" t="str">
        <f>"10003-4201"</f>
        <v>10003-4201</v>
      </c>
      <c r="AB9437" t="s">
        <v>78</v>
      </c>
      <c r="AC9437" t="s">
        <v>79</v>
      </c>
      <c r="AD9437" t="s">
        <v>75</v>
      </c>
      <c r="AE9437" t="s">
        <v>80</v>
      </c>
      <c r="AG9437" t="s">
        <v>81</v>
      </c>
    </row>
    <row r="9438" spans="1:33" x14ac:dyDescent="0.25">
      <c r="A9438" t="str">
        <f>"1720192602"</f>
        <v>1720192602</v>
      </c>
      <c r="B9438" t="str">
        <f>"02334072"</f>
        <v>02334072</v>
      </c>
      <c r="C9438" t="s">
        <v>13436</v>
      </c>
      <c r="D9438" t="s">
        <v>39655</v>
      </c>
      <c r="E9438" t="s">
        <v>39656</v>
      </c>
      <c r="G9438" t="s">
        <v>39657</v>
      </c>
      <c r="L9438" t="s">
        <v>84</v>
      </c>
      <c r="M9438" t="s">
        <v>85</v>
      </c>
      <c r="R9438" t="s">
        <v>39658</v>
      </c>
      <c r="W9438" t="s">
        <v>39656</v>
      </c>
      <c r="X9438" t="s">
        <v>329</v>
      </c>
      <c r="Y9438" t="s">
        <v>97</v>
      </c>
      <c r="Z9438" t="s">
        <v>77</v>
      </c>
      <c r="AA9438" t="str">
        <f>"10029-6504"</f>
        <v>10029-6504</v>
      </c>
      <c r="AB9438" t="s">
        <v>78</v>
      </c>
      <c r="AC9438" t="s">
        <v>79</v>
      </c>
      <c r="AD9438" t="s">
        <v>75</v>
      </c>
      <c r="AE9438" t="s">
        <v>80</v>
      </c>
      <c r="AG9438" t="s">
        <v>81</v>
      </c>
    </row>
    <row r="9439" spans="1:33" x14ac:dyDescent="0.25">
      <c r="A9439" t="str">
        <f>"1720203722"</f>
        <v>1720203722</v>
      </c>
      <c r="C9439" t="s">
        <v>13436</v>
      </c>
      <c r="G9439" t="s">
        <v>39659</v>
      </c>
      <c r="K9439" t="s">
        <v>99</v>
      </c>
      <c r="L9439" t="s">
        <v>74</v>
      </c>
      <c r="M9439" t="s">
        <v>75</v>
      </c>
      <c r="R9439" t="s">
        <v>39660</v>
      </c>
      <c r="S9439" t="s">
        <v>6108</v>
      </c>
      <c r="T9439" t="s">
        <v>190</v>
      </c>
      <c r="U9439" t="s">
        <v>77</v>
      </c>
      <c r="V9439" t="str">
        <f>"111031621"</f>
        <v>111031621</v>
      </c>
      <c r="AC9439" t="s">
        <v>79</v>
      </c>
      <c r="AD9439" t="s">
        <v>75</v>
      </c>
      <c r="AE9439" t="s">
        <v>103</v>
      </c>
      <c r="AG9439" t="s">
        <v>81</v>
      </c>
    </row>
    <row r="9440" spans="1:33" x14ac:dyDescent="0.25">
      <c r="A9440" t="str">
        <f>"1720215015"</f>
        <v>1720215015</v>
      </c>
      <c r="B9440" t="str">
        <f>"03322694"</f>
        <v>03322694</v>
      </c>
      <c r="C9440" t="s">
        <v>13436</v>
      </c>
      <c r="D9440" t="s">
        <v>39661</v>
      </c>
      <c r="E9440" t="s">
        <v>39662</v>
      </c>
      <c r="G9440" t="s">
        <v>39663</v>
      </c>
      <c r="L9440" t="s">
        <v>83</v>
      </c>
      <c r="M9440" t="s">
        <v>75</v>
      </c>
      <c r="R9440" t="s">
        <v>39662</v>
      </c>
      <c r="W9440" t="s">
        <v>39662</v>
      </c>
      <c r="X9440" t="s">
        <v>23664</v>
      </c>
      <c r="Y9440" t="s">
        <v>97</v>
      </c>
      <c r="Z9440" t="s">
        <v>77</v>
      </c>
      <c r="AA9440" t="str">
        <f>"10029-6574"</f>
        <v>10029-6574</v>
      </c>
      <c r="AB9440" t="s">
        <v>78</v>
      </c>
      <c r="AC9440" t="s">
        <v>79</v>
      </c>
      <c r="AD9440" t="s">
        <v>75</v>
      </c>
      <c r="AE9440" t="s">
        <v>80</v>
      </c>
      <c r="AG9440" t="s">
        <v>81</v>
      </c>
    </row>
    <row r="9441" spans="1:33" x14ac:dyDescent="0.25">
      <c r="A9441" t="str">
        <f>"1720227440"</f>
        <v>1720227440</v>
      </c>
      <c r="B9441" t="str">
        <f>"03136578"</f>
        <v>03136578</v>
      </c>
      <c r="C9441" t="s">
        <v>13436</v>
      </c>
      <c r="D9441" t="s">
        <v>39664</v>
      </c>
      <c r="E9441" t="s">
        <v>39665</v>
      </c>
      <c r="G9441" t="s">
        <v>39666</v>
      </c>
      <c r="L9441" t="s">
        <v>83</v>
      </c>
      <c r="M9441" t="s">
        <v>85</v>
      </c>
      <c r="R9441" t="s">
        <v>39667</v>
      </c>
      <c r="W9441" t="s">
        <v>39668</v>
      </c>
      <c r="X9441" t="s">
        <v>187</v>
      </c>
      <c r="Y9441" t="s">
        <v>161</v>
      </c>
      <c r="Z9441" t="s">
        <v>77</v>
      </c>
      <c r="AA9441" t="str">
        <f>"11040-1402"</f>
        <v>11040-1402</v>
      </c>
      <c r="AB9441" t="s">
        <v>78</v>
      </c>
      <c r="AC9441" t="s">
        <v>79</v>
      </c>
      <c r="AD9441" t="s">
        <v>75</v>
      </c>
      <c r="AE9441" t="s">
        <v>80</v>
      </c>
      <c r="AG9441" t="s">
        <v>81</v>
      </c>
    </row>
    <row r="9442" spans="1:33" x14ac:dyDescent="0.25">
      <c r="A9442" t="str">
        <f>"1770859506"</f>
        <v>1770859506</v>
      </c>
      <c r="C9442" t="s">
        <v>13436</v>
      </c>
      <c r="K9442" t="s">
        <v>99</v>
      </c>
      <c r="L9442" t="s">
        <v>102</v>
      </c>
      <c r="M9442" t="s">
        <v>75</v>
      </c>
      <c r="R9442" t="s">
        <v>39669</v>
      </c>
      <c r="S9442" t="s">
        <v>191</v>
      </c>
      <c r="T9442" t="s">
        <v>97</v>
      </c>
      <c r="U9442" t="s">
        <v>77</v>
      </c>
      <c r="V9442" t="str">
        <f>"100191147"</f>
        <v>100191147</v>
      </c>
      <c r="AC9442" t="s">
        <v>79</v>
      </c>
      <c r="AD9442" t="s">
        <v>75</v>
      </c>
      <c r="AE9442" t="s">
        <v>103</v>
      </c>
      <c r="AG9442" t="s">
        <v>81</v>
      </c>
    </row>
    <row r="9443" spans="1:33" x14ac:dyDescent="0.25">
      <c r="A9443" t="str">
        <f>"1770859662"</f>
        <v>1770859662</v>
      </c>
      <c r="C9443" t="s">
        <v>13436</v>
      </c>
      <c r="K9443" t="s">
        <v>99</v>
      </c>
      <c r="L9443" t="s">
        <v>102</v>
      </c>
      <c r="M9443" t="s">
        <v>75</v>
      </c>
      <c r="R9443" t="s">
        <v>39670</v>
      </c>
      <c r="S9443" t="s">
        <v>39671</v>
      </c>
      <c r="T9443" t="s">
        <v>97</v>
      </c>
      <c r="U9443" t="s">
        <v>77</v>
      </c>
      <c r="V9443" t="str">
        <f>"101282514"</f>
        <v>101282514</v>
      </c>
      <c r="AC9443" t="s">
        <v>79</v>
      </c>
      <c r="AD9443" t="s">
        <v>75</v>
      </c>
      <c r="AE9443" t="s">
        <v>103</v>
      </c>
      <c r="AG9443" t="s">
        <v>81</v>
      </c>
    </row>
    <row r="9444" spans="1:33" x14ac:dyDescent="0.25">
      <c r="A9444" t="str">
        <f>"1770867566"</f>
        <v>1770867566</v>
      </c>
      <c r="B9444" t="str">
        <f>"03726501"</f>
        <v>03726501</v>
      </c>
      <c r="C9444" t="s">
        <v>13436</v>
      </c>
      <c r="D9444" t="s">
        <v>39672</v>
      </c>
      <c r="E9444" t="s">
        <v>39673</v>
      </c>
      <c r="G9444" t="s">
        <v>39674</v>
      </c>
      <c r="L9444" t="s">
        <v>102</v>
      </c>
      <c r="M9444" t="s">
        <v>75</v>
      </c>
      <c r="R9444" t="s">
        <v>39673</v>
      </c>
      <c r="W9444" t="s">
        <v>39675</v>
      </c>
      <c r="X9444" t="s">
        <v>329</v>
      </c>
      <c r="Y9444" t="s">
        <v>97</v>
      </c>
      <c r="Z9444" t="s">
        <v>77</v>
      </c>
      <c r="AA9444" t="str">
        <f>"10029-6504"</f>
        <v>10029-6504</v>
      </c>
      <c r="AB9444" t="s">
        <v>78</v>
      </c>
      <c r="AC9444" t="s">
        <v>79</v>
      </c>
      <c r="AD9444" t="s">
        <v>75</v>
      </c>
      <c r="AE9444" t="s">
        <v>80</v>
      </c>
      <c r="AG9444" t="s">
        <v>81</v>
      </c>
    </row>
    <row r="9445" spans="1:33" x14ac:dyDescent="0.25">
      <c r="A9445" t="str">
        <f>"1447331087"</f>
        <v>1447331087</v>
      </c>
      <c r="B9445" t="str">
        <f>"02798185"</f>
        <v>02798185</v>
      </c>
      <c r="C9445" t="s">
        <v>13436</v>
      </c>
      <c r="D9445" t="s">
        <v>39676</v>
      </c>
      <c r="E9445" t="s">
        <v>39677</v>
      </c>
      <c r="L9445" t="s">
        <v>83</v>
      </c>
      <c r="M9445" t="s">
        <v>75</v>
      </c>
      <c r="R9445" t="s">
        <v>39678</v>
      </c>
      <c r="W9445" t="s">
        <v>39677</v>
      </c>
      <c r="X9445" t="s">
        <v>3392</v>
      </c>
      <c r="Y9445" t="s">
        <v>97</v>
      </c>
      <c r="Z9445" t="s">
        <v>77</v>
      </c>
      <c r="AA9445" t="str">
        <f>"10003"</f>
        <v>10003</v>
      </c>
      <c r="AB9445" t="s">
        <v>78</v>
      </c>
      <c r="AC9445" t="s">
        <v>79</v>
      </c>
      <c r="AD9445" t="s">
        <v>75</v>
      </c>
      <c r="AE9445" t="s">
        <v>80</v>
      </c>
      <c r="AG9445" t="s">
        <v>81</v>
      </c>
    </row>
    <row r="9446" spans="1:33" x14ac:dyDescent="0.25">
      <c r="A9446" t="str">
        <f>"1447403191"</f>
        <v>1447403191</v>
      </c>
      <c r="C9446" t="s">
        <v>13436</v>
      </c>
      <c r="K9446" t="s">
        <v>99</v>
      </c>
      <c r="L9446" t="s">
        <v>102</v>
      </c>
      <c r="M9446" t="s">
        <v>75</v>
      </c>
      <c r="R9446" t="s">
        <v>39679</v>
      </c>
      <c r="S9446" t="s">
        <v>39680</v>
      </c>
      <c r="T9446" t="s">
        <v>894</v>
      </c>
      <c r="U9446" t="s">
        <v>77</v>
      </c>
      <c r="V9446" t="str">
        <f>"10035"</f>
        <v>10035</v>
      </c>
      <c r="AC9446" t="s">
        <v>79</v>
      </c>
      <c r="AD9446" t="s">
        <v>75</v>
      </c>
      <c r="AE9446" t="s">
        <v>103</v>
      </c>
      <c r="AG9446" t="s">
        <v>81</v>
      </c>
    </row>
    <row r="9447" spans="1:33" x14ac:dyDescent="0.25">
      <c r="A9447" t="str">
        <f>"1962489880"</f>
        <v>1962489880</v>
      </c>
      <c r="B9447" t="str">
        <f>"01580854"</f>
        <v>01580854</v>
      </c>
      <c r="C9447" t="s">
        <v>13436</v>
      </c>
      <c r="D9447" t="s">
        <v>39681</v>
      </c>
      <c r="E9447" t="s">
        <v>39682</v>
      </c>
      <c r="L9447" t="s">
        <v>83</v>
      </c>
      <c r="M9447" t="s">
        <v>75</v>
      </c>
      <c r="R9447" t="s">
        <v>39683</v>
      </c>
      <c r="W9447" t="s">
        <v>39682</v>
      </c>
      <c r="X9447" t="s">
        <v>39684</v>
      </c>
      <c r="Y9447" t="s">
        <v>97</v>
      </c>
      <c r="Z9447" t="s">
        <v>77</v>
      </c>
      <c r="AA9447" t="str">
        <f>"10014-5002"</f>
        <v>10014-5002</v>
      </c>
      <c r="AB9447" t="s">
        <v>78</v>
      </c>
      <c r="AC9447" t="s">
        <v>79</v>
      </c>
      <c r="AD9447" t="s">
        <v>75</v>
      </c>
      <c r="AE9447" t="s">
        <v>80</v>
      </c>
      <c r="AG9447" t="s">
        <v>81</v>
      </c>
    </row>
    <row r="9448" spans="1:33" x14ac:dyDescent="0.25">
      <c r="A9448" t="str">
        <f>"1962546887"</f>
        <v>1962546887</v>
      </c>
      <c r="B9448" t="str">
        <f>"01454939"</f>
        <v>01454939</v>
      </c>
      <c r="C9448" t="s">
        <v>13436</v>
      </c>
      <c r="D9448" t="s">
        <v>39685</v>
      </c>
      <c r="E9448" t="s">
        <v>39686</v>
      </c>
      <c r="G9448" t="s">
        <v>39687</v>
      </c>
      <c r="L9448" t="s">
        <v>84</v>
      </c>
      <c r="M9448" t="s">
        <v>85</v>
      </c>
      <c r="R9448" t="s">
        <v>39688</v>
      </c>
      <c r="W9448" t="s">
        <v>39686</v>
      </c>
      <c r="X9448" t="s">
        <v>39689</v>
      </c>
      <c r="Y9448" t="s">
        <v>97</v>
      </c>
      <c r="Z9448" t="s">
        <v>77</v>
      </c>
      <c r="AA9448" t="str">
        <f>"10011-4612"</f>
        <v>10011-4612</v>
      </c>
      <c r="AB9448" t="s">
        <v>78</v>
      </c>
      <c r="AC9448" t="s">
        <v>79</v>
      </c>
      <c r="AD9448" t="s">
        <v>75</v>
      </c>
      <c r="AE9448" t="s">
        <v>80</v>
      </c>
      <c r="AG9448" t="s">
        <v>81</v>
      </c>
    </row>
    <row r="9449" spans="1:33" x14ac:dyDescent="0.25">
      <c r="A9449" t="str">
        <f>"1780992560"</f>
        <v>1780992560</v>
      </c>
      <c r="B9449" t="str">
        <f>"03529086"</f>
        <v>03529086</v>
      </c>
      <c r="C9449" t="s">
        <v>13436</v>
      </c>
      <c r="D9449" t="s">
        <v>39690</v>
      </c>
      <c r="E9449" t="s">
        <v>39691</v>
      </c>
      <c r="G9449" t="s">
        <v>39692</v>
      </c>
      <c r="L9449" t="s">
        <v>74</v>
      </c>
      <c r="M9449" t="s">
        <v>75</v>
      </c>
      <c r="R9449" t="s">
        <v>39693</v>
      </c>
      <c r="W9449" t="s">
        <v>39691</v>
      </c>
      <c r="X9449" t="s">
        <v>6696</v>
      </c>
      <c r="Y9449" t="s">
        <v>97</v>
      </c>
      <c r="Z9449" t="s">
        <v>77</v>
      </c>
      <c r="AA9449" t="str">
        <f>"10003-0000"</f>
        <v>10003-0000</v>
      </c>
      <c r="AB9449" t="s">
        <v>78</v>
      </c>
      <c r="AC9449" t="s">
        <v>79</v>
      </c>
      <c r="AD9449" t="s">
        <v>75</v>
      </c>
      <c r="AE9449" t="s">
        <v>80</v>
      </c>
      <c r="AG9449" t="s">
        <v>81</v>
      </c>
    </row>
    <row r="9450" spans="1:33" x14ac:dyDescent="0.25">
      <c r="A9450" t="str">
        <f>"1801197769"</f>
        <v>1801197769</v>
      </c>
      <c r="C9450" t="s">
        <v>13436</v>
      </c>
      <c r="G9450" t="s">
        <v>39694</v>
      </c>
      <c r="K9450" t="s">
        <v>99</v>
      </c>
      <c r="L9450" t="s">
        <v>102</v>
      </c>
      <c r="M9450" t="s">
        <v>75</v>
      </c>
      <c r="R9450" t="s">
        <v>39695</v>
      </c>
      <c r="S9450" t="s">
        <v>39696</v>
      </c>
      <c r="T9450" t="s">
        <v>97</v>
      </c>
      <c r="U9450" t="s">
        <v>77</v>
      </c>
      <c r="V9450" t="str">
        <f>"100033851"</f>
        <v>100033851</v>
      </c>
      <c r="AC9450" t="s">
        <v>79</v>
      </c>
      <c r="AD9450" t="s">
        <v>75</v>
      </c>
      <c r="AE9450" t="s">
        <v>103</v>
      </c>
      <c r="AG9450" t="s">
        <v>81</v>
      </c>
    </row>
    <row r="9451" spans="1:33" x14ac:dyDescent="0.25">
      <c r="A9451" t="str">
        <f>"1841252103"</f>
        <v>1841252103</v>
      </c>
      <c r="B9451" t="str">
        <f>"02236184"</f>
        <v>02236184</v>
      </c>
      <c r="C9451" t="s">
        <v>13436</v>
      </c>
      <c r="D9451" t="s">
        <v>39697</v>
      </c>
      <c r="E9451" t="s">
        <v>39698</v>
      </c>
      <c r="G9451" t="s">
        <v>39699</v>
      </c>
      <c r="L9451" t="s">
        <v>84</v>
      </c>
      <c r="M9451" t="s">
        <v>75</v>
      </c>
      <c r="R9451" t="s">
        <v>39700</v>
      </c>
      <c r="W9451" t="s">
        <v>39698</v>
      </c>
      <c r="X9451" t="s">
        <v>15724</v>
      </c>
      <c r="Y9451" t="s">
        <v>97</v>
      </c>
      <c r="Z9451" t="s">
        <v>77</v>
      </c>
      <c r="AA9451" t="str">
        <f>"10011-2202"</f>
        <v>10011-2202</v>
      </c>
      <c r="AB9451" t="s">
        <v>78</v>
      </c>
      <c r="AC9451" t="s">
        <v>79</v>
      </c>
      <c r="AD9451" t="s">
        <v>75</v>
      </c>
      <c r="AE9451" t="s">
        <v>80</v>
      </c>
      <c r="AG9451" t="s">
        <v>81</v>
      </c>
    </row>
    <row r="9452" spans="1:33" x14ac:dyDescent="0.25">
      <c r="A9452" t="str">
        <f>"1841552536"</f>
        <v>1841552536</v>
      </c>
      <c r="B9452" t="str">
        <f>"03464606"</f>
        <v>03464606</v>
      </c>
      <c r="C9452" t="s">
        <v>13436</v>
      </c>
      <c r="D9452" t="s">
        <v>39701</v>
      </c>
      <c r="E9452" t="s">
        <v>39702</v>
      </c>
      <c r="G9452" t="s">
        <v>39703</v>
      </c>
      <c r="L9452" t="s">
        <v>83</v>
      </c>
      <c r="M9452" t="s">
        <v>85</v>
      </c>
      <c r="R9452" t="s">
        <v>39704</v>
      </c>
      <c r="W9452" t="s">
        <v>39702</v>
      </c>
      <c r="X9452" t="s">
        <v>4534</v>
      </c>
      <c r="Y9452" t="s">
        <v>124</v>
      </c>
      <c r="Z9452" t="s">
        <v>77</v>
      </c>
      <c r="AA9452" t="str">
        <f>"14609-7115"</f>
        <v>14609-7115</v>
      </c>
      <c r="AB9452" t="s">
        <v>114</v>
      </c>
      <c r="AC9452" t="s">
        <v>79</v>
      </c>
      <c r="AD9452" t="s">
        <v>75</v>
      </c>
      <c r="AE9452" t="s">
        <v>80</v>
      </c>
      <c r="AG9452" t="s">
        <v>81</v>
      </c>
    </row>
    <row r="9453" spans="1:33" x14ac:dyDescent="0.25">
      <c r="A9453" t="str">
        <f>"1851304372"</f>
        <v>1851304372</v>
      </c>
      <c r="B9453" t="str">
        <f>"02822553"</f>
        <v>02822553</v>
      </c>
      <c r="C9453" t="s">
        <v>13436</v>
      </c>
      <c r="D9453" t="s">
        <v>39705</v>
      </c>
      <c r="E9453" t="s">
        <v>39706</v>
      </c>
      <c r="G9453" t="s">
        <v>39707</v>
      </c>
      <c r="L9453" t="s">
        <v>83</v>
      </c>
      <c r="M9453" t="s">
        <v>75</v>
      </c>
      <c r="R9453" t="s">
        <v>39706</v>
      </c>
      <c r="W9453" t="s">
        <v>39706</v>
      </c>
      <c r="X9453" t="s">
        <v>323</v>
      </c>
      <c r="Y9453" t="s">
        <v>87</v>
      </c>
      <c r="Z9453" t="s">
        <v>77</v>
      </c>
      <c r="AA9453" t="str">
        <f>"11201-5509"</f>
        <v>11201-5509</v>
      </c>
      <c r="AB9453" t="s">
        <v>78</v>
      </c>
      <c r="AC9453" t="s">
        <v>79</v>
      </c>
      <c r="AD9453" t="s">
        <v>75</v>
      </c>
      <c r="AE9453" t="s">
        <v>80</v>
      </c>
      <c r="AG9453" t="s">
        <v>81</v>
      </c>
    </row>
    <row r="9454" spans="1:33" x14ac:dyDescent="0.25">
      <c r="A9454" t="str">
        <f>"1851363055"</f>
        <v>1851363055</v>
      </c>
      <c r="B9454" t="str">
        <f>"01125204"</f>
        <v>01125204</v>
      </c>
      <c r="C9454" t="s">
        <v>13436</v>
      </c>
      <c r="D9454" t="s">
        <v>39708</v>
      </c>
      <c r="E9454" t="s">
        <v>39709</v>
      </c>
      <c r="G9454" t="s">
        <v>39710</v>
      </c>
      <c r="L9454" t="s">
        <v>83</v>
      </c>
      <c r="M9454" t="s">
        <v>85</v>
      </c>
      <c r="R9454" t="s">
        <v>39711</v>
      </c>
      <c r="W9454" t="s">
        <v>39712</v>
      </c>
      <c r="X9454" t="s">
        <v>2608</v>
      </c>
      <c r="Y9454" t="s">
        <v>97</v>
      </c>
      <c r="Z9454" t="s">
        <v>77</v>
      </c>
      <c r="AA9454" t="str">
        <f>"10003-4201"</f>
        <v>10003-4201</v>
      </c>
      <c r="AB9454" t="s">
        <v>78</v>
      </c>
      <c r="AC9454" t="s">
        <v>79</v>
      </c>
      <c r="AD9454" t="s">
        <v>75</v>
      </c>
      <c r="AE9454" t="s">
        <v>80</v>
      </c>
      <c r="AG9454" t="s">
        <v>81</v>
      </c>
    </row>
    <row r="9455" spans="1:33" x14ac:dyDescent="0.25">
      <c r="A9455" t="str">
        <f>"1861458564"</f>
        <v>1861458564</v>
      </c>
      <c r="B9455" t="str">
        <f>"03191857"</f>
        <v>03191857</v>
      </c>
      <c r="C9455" t="s">
        <v>13436</v>
      </c>
      <c r="D9455" t="s">
        <v>39713</v>
      </c>
      <c r="E9455" t="s">
        <v>39714</v>
      </c>
      <c r="G9455" t="s">
        <v>39715</v>
      </c>
      <c r="L9455" t="s">
        <v>74</v>
      </c>
      <c r="M9455" t="s">
        <v>75</v>
      </c>
      <c r="R9455" t="s">
        <v>39716</v>
      </c>
      <c r="W9455" t="s">
        <v>39714</v>
      </c>
      <c r="X9455" t="s">
        <v>2587</v>
      </c>
      <c r="Y9455" t="s">
        <v>97</v>
      </c>
      <c r="Z9455" t="s">
        <v>77</v>
      </c>
      <c r="AA9455" t="str">
        <f>"10003-3314"</f>
        <v>10003-3314</v>
      </c>
      <c r="AB9455" t="s">
        <v>78</v>
      </c>
      <c r="AC9455" t="s">
        <v>79</v>
      </c>
      <c r="AD9455" t="s">
        <v>75</v>
      </c>
      <c r="AE9455" t="s">
        <v>80</v>
      </c>
      <c r="AG9455" t="s">
        <v>81</v>
      </c>
    </row>
    <row r="9456" spans="1:33" x14ac:dyDescent="0.25">
      <c r="A9456" t="str">
        <f>"1861582769"</f>
        <v>1861582769</v>
      </c>
      <c r="C9456" t="s">
        <v>13436</v>
      </c>
      <c r="G9456" t="s">
        <v>39717</v>
      </c>
      <c r="K9456" t="s">
        <v>99</v>
      </c>
      <c r="L9456" t="s">
        <v>102</v>
      </c>
      <c r="M9456" t="s">
        <v>75</v>
      </c>
      <c r="R9456" t="s">
        <v>39718</v>
      </c>
      <c r="S9456" t="s">
        <v>4814</v>
      </c>
      <c r="T9456" t="s">
        <v>131</v>
      </c>
      <c r="U9456" t="s">
        <v>77</v>
      </c>
      <c r="V9456" t="str">
        <f>"10461"</f>
        <v>10461</v>
      </c>
      <c r="AC9456" t="s">
        <v>79</v>
      </c>
      <c r="AD9456" t="s">
        <v>75</v>
      </c>
      <c r="AE9456" t="s">
        <v>103</v>
      </c>
      <c r="AG9456" t="s">
        <v>81</v>
      </c>
    </row>
    <row r="9457" spans="1:33" x14ac:dyDescent="0.25">
      <c r="A9457" t="str">
        <f>"1861747511"</f>
        <v>1861747511</v>
      </c>
      <c r="B9457" t="str">
        <f>"03743946"</f>
        <v>03743946</v>
      </c>
      <c r="C9457" t="s">
        <v>13436</v>
      </c>
      <c r="D9457" t="s">
        <v>39719</v>
      </c>
      <c r="E9457" t="s">
        <v>39720</v>
      </c>
      <c r="G9457" t="s">
        <v>39721</v>
      </c>
      <c r="L9457" t="s">
        <v>102</v>
      </c>
      <c r="M9457" t="s">
        <v>75</v>
      </c>
      <c r="R9457" t="s">
        <v>39722</v>
      </c>
      <c r="W9457" t="s">
        <v>39720</v>
      </c>
      <c r="X9457" t="s">
        <v>329</v>
      </c>
      <c r="Y9457" t="s">
        <v>97</v>
      </c>
      <c r="Z9457" t="s">
        <v>77</v>
      </c>
      <c r="AA9457" t="str">
        <f>"10029-6504"</f>
        <v>10029-6504</v>
      </c>
      <c r="AB9457" t="s">
        <v>78</v>
      </c>
      <c r="AC9457" t="s">
        <v>79</v>
      </c>
      <c r="AD9457" t="s">
        <v>75</v>
      </c>
      <c r="AE9457" t="s">
        <v>80</v>
      </c>
      <c r="AG9457" t="s">
        <v>81</v>
      </c>
    </row>
    <row r="9458" spans="1:33" x14ac:dyDescent="0.25">
      <c r="A9458" t="str">
        <f>"1871717512"</f>
        <v>1871717512</v>
      </c>
      <c r="B9458" t="str">
        <f>"03285949"</f>
        <v>03285949</v>
      </c>
      <c r="C9458" t="s">
        <v>13436</v>
      </c>
      <c r="D9458" t="s">
        <v>39723</v>
      </c>
      <c r="E9458" t="s">
        <v>39724</v>
      </c>
      <c r="G9458" t="s">
        <v>39725</v>
      </c>
      <c r="L9458" t="s">
        <v>102</v>
      </c>
      <c r="M9458" t="s">
        <v>85</v>
      </c>
      <c r="R9458" t="s">
        <v>39724</v>
      </c>
      <c r="W9458" t="s">
        <v>39724</v>
      </c>
      <c r="X9458" t="s">
        <v>539</v>
      </c>
      <c r="Y9458" t="s">
        <v>97</v>
      </c>
      <c r="Z9458" t="s">
        <v>77</v>
      </c>
      <c r="AA9458" t="str">
        <f>"10003-3804"</f>
        <v>10003-3804</v>
      </c>
      <c r="AB9458" t="s">
        <v>78</v>
      </c>
      <c r="AC9458" t="s">
        <v>79</v>
      </c>
      <c r="AD9458" t="s">
        <v>75</v>
      </c>
      <c r="AE9458" t="s">
        <v>80</v>
      </c>
      <c r="AG9458" t="s">
        <v>81</v>
      </c>
    </row>
    <row r="9459" spans="1:33" x14ac:dyDescent="0.25">
      <c r="A9459" t="str">
        <f>"1881703478"</f>
        <v>1881703478</v>
      </c>
      <c r="B9459" t="str">
        <f>"02374830"</f>
        <v>02374830</v>
      </c>
      <c r="C9459" t="s">
        <v>13436</v>
      </c>
      <c r="D9459" t="s">
        <v>39726</v>
      </c>
      <c r="E9459" t="s">
        <v>39727</v>
      </c>
      <c r="G9459" t="s">
        <v>39728</v>
      </c>
      <c r="L9459" t="s">
        <v>102</v>
      </c>
      <c r="M9459" t="s">
        <v>75</v>
      </c>
      <c r="R9459" t="s">
        <v>39729</v>
      </c>
      <c r="W9459" t="s">
        <v>39727</v>
      </c>
      <c r="X9459" t="s">
        <v>173</v>
      </c>
      <c r="Y9459" t="s">
        <v>87</v>
      </c>
      <c r="Z9459" t="s">
        <v>77</v>
      </c>
      <c r="AA9459" t="str">
        <f>"11219-2916"</f>
        <v>11219-2916</v>
      </c>
      <c r="AB9459" t="s">
        <v>78</v>
      </c>
      <c r="AC9459" t="s">
        <v>79</v>
      </c>
      <c r="AD9459" t="s">
        <v>75</v>
      </c>
      <c r="AE9459" t="s">
        <v>80</v>
      </c>
      <c r="AG9459" t="s">
        <v>81</v>
      </c>
    </row>
    <row r="9460" spans="1:33" x14ac:dyDescent="0.25">
      <c r="A9460" t="str">
        <f>"1881906873"</f>
        <v>1881906873</v>
      </c>
      <c r="B9460" t="str">
        <f>"03272759"</f>
        <v>03272759</v>
      </c>
      <c r="C9460" t="s">
        <v>13436</v>
      </c>
      <c r="D9460" t="s">
        <v>39730</v>
      </c>
      <c r="E9460" t="s">
        <v>39731</v>
      </c>
      <c r="G9460" t="s">
        <v>34181</v>
      </c>
      <c r="L9460" t="s">
        <v>37</v>
      </c>
      <c r="M9460" t="s">
        <v>75</v>
      </c>
      <c r="R9460" t="s">
        <v>39732</v>
      </c>
      <c r="W9460" t="s">
        <v>39731</v>
      </c>
      <c r="X9460" t="s">
        <v>191</v>
      </c>
      <c r="Y9460" t="s">
        <v>97</v>
      </c>
      <c r="Z9460" t="s">
        <v>77</v>
      </c>
      <c r="AA9460" t="str">
        <f>"10019-1147"</f>
        <v>10019-1147</v>
      </c>
      <c r="AB9460" t="s">
        <v>127</v>
      </c>
      <c r="AC9460" t="s">
        <v>79</v>
      </c>
      <c r="AD9460" t="s">
        <v>75</v>
      </c>
      <c r="AE9460" t="s">
        <v>80</v>
      </c>
      <c r="AG9460" t="s">
        <v>81</v>
      </c>
    </row>
    <row r="9461" spans="1:33" x14ac:dyDescent="0.25">
      <c r="A9461" t="str">
        <f>"1902034705"</f>
        <v>1902034705</v>
      </c>
      <c r="B9461" t="str">
        <f>"03818233"</f>
        <v>03818233</v>
      </c>
      <c r="C9461" t="s">
        <v>13436</v>
      </c>
      <c r="D9461" t="s">
        <v>39733</v>
      </c>
      <c r="E9461" t="s">
        <v>39734</v>
      </c>
      <c r="G9461" t="s">
        <v>39735</v>
      </c>
      <c r="L9461" t="s">
        <v>74</v>
      </c>
      <c r="M9461" t="s">
        <v>75</v>
      </c>
      <c r="R9461" t="s">
        <v>39736</v>
      </c>
      <c r="W9461" t="s">
        <v>39734</v>
      </c>
      <c r="X9461" t="s">
        <v>4799</v>
      </c>
      <c r="Y9461" t="s">
        <v>87</v>
      </c>
      <c r="Z9461" t="s">
        <v>77</v>
      </c>
      <c r="AA9461" t="str">
        <f>"11234-2625"</f>
        <v>11234-2625</v>
      </c>
      <c r="AB9461" t="s">
        <v>78</v>
      </c>
      <c r="AC9461" t="s">
        <v>79</v>
      </c>
      <c r="AD9461" t="s">
        <v>75</v>
      </c>
      <c r="AE9461" t="s">
        <v>80</v>
      </c>
      <c r="AG9461" t="s">
        <v>81</v>
      </c>
    </row>
    <row r="9462" spans="1:33" x14ac:dyDescent="0.25">
      <c r="A9462" t="str">
        <f>"1912160664"</f>
        <v>1912160664</v>
      </c>
      <c r="B9462" t="str">
        <f>"03394098"</f>
        <v>03394098</v>
      </c>
      <c r="C9462" t="s">
        <v>13436</v>
      </c>
      <c r="D9462" t="s">
        <v>39737</v>
      </c>
      <c r="E9462" t="s">
        <v>39738</v>
      </c>
      <c r="G9462" t="s">
        <v>39739</v>
      </c>
      <c r="L9462" t="s">
        <v>83</v>
      </c>
      <c r="M9462" t="s">
        <v>75</v>
      </c>
      <c r="R9462" t="s">
        <v>39740</v>
      </c>
      <c r="W9462" t="s">
        <v>39738</v>
      </c>
      <c r="X9462" t="s">
        <v>3553</v>
      </c>
      <c r="Y9462" t="s">
        <v>97</v>
      </c>
      <c r="Z9462" t="s">
        <v>77</v>
      </c>
      <c r="AA9462" t="str">
        <f>"10003-3851"</f>
        <v>10003-3851</v>
      </c>
      <c r="AB9462" t="s">
        <v>128</v>
      </c>
      <c r="AC9462" t="s">
        <v>79</v>
      </c>
      <c r="AD9462" t="s">
        <v>75</v>
      </c>
      <c r="AE9462" t="s">
        <v>80</v>
      </c>
      <c r="AG9462" t="s">
        <v>81</v>
      </c>
    </row>
    <row r="9463" spans="1:33" x14ac:dyDescent="0.25">
      <c r="A9463" t="str">
        <f>"1891134565"</f>
        <v>1891134565</v>
      </c>
      <c r="C9463" t="s">
        <v>39741</v>
      </c>
      <c r="G9463" t="s">
        <v>32379</v>
      </c>
      <c r="H9463" t="s">
        <v>183</v>
      </c>
      <c r="J9463" t="s">
        <v>184</v>
      </c>
      <c r="K9463" t="s">
        <v>2011</v>
      </c>
      <c r="L9463" t="s">
        <v>102</v>
      </c>
      <c r="M9463" t="s">
        <v>75</v>
      </c>
      <c r="R9463" t="s">
        <v>3808</v>
      </c>
      <c r="S9463" t="s">
        <v>3809</v>
      </c>
      <c r="T9463" t="s">
        <v>87</v>
      </c>
      <c r="U9463" t="s">
        <v>77</v>
      </c>
      <c r="V9463" t="str">
        <f>"112351410"</f>
        <v>112351410</v>
      </c>
      <c r="AC9463" t="s">
        <v>79</v>
      </c>
      <c r="AD9463" t="s">
        <v>75</v>
      </c>
      <c r="AE9463" t="s">
        <v>103</v>
      </c>
      <c r="AG9463" t="s">
        <v>81</v>
      </c>
    </row>
    <row r="9464" spans="1:33" x14ac:dyDescent="0.25">
      <c r="A9464" t="str">
        <f>"1982907952"</f>
        <v>1982907952</v>
      </c>
      <c r="C9464" t="s">
        <v>13436</v>
      </c>
      <c r="G9464" t="s">
        <v>39742</v>
      </c>
      <c r="K9464" t="s">
        <v>99</v>
      </c>
      <c r="L9464" t="s">
        <v>102</v>
      </c>
      <c r="M9464" t="s">
        <v>75</v>
      </c>
      <c r="R9464" t="s">
        <v>39743</v>
      </c>
      <c r="S9464" t="s">
        <v>39744</v>
      </c>
      <c r="T9464" t="s">
        <v>97</v>
      </c>
      <c r="U9464" t="s">
        <v>77</v>
      </c>
      <c r="V9464" t="str">
        <f>"10003"</f>
        <v>10003</v>
      </c>
      <c r="AC9464" t="s">
        <v>79</v>
      </c>
      <c r="AD9464" t="s">
        <v>75</v>
      </c>
      <c r="AE9464" t="s">
        <v>103</v>
      </c>
      <c r="AG9464" t="s">
        <v>81</v>
      </c>
    </row>
    <row r="9465" spans="1:33" x14ac:dyDescent="0.25">
      <c r="A9465" t="str">
        <f>"1992021984"</f>
        <v>1992021984</v>
      </c>
      <c r="B9465" t="str">
        <f>"03279485"</f>
        <v>03279485</v>
      </c>
      <c r="C9465" t="s">
        <v>13436</v>
      </c>
      <c r="D9465" t="s">
        <v>39745</v>
      </c>
      <c r="E9465" t="s">
        <v>39746</v>
      </c>
      <c r="G9465" t="s">
        <v>39747</v>
      </c>
      <c r="L9465" t="s">
        <v>74</v>
      </c>
      <c r="M9465" t="s">
        <v>85</v>
      </c>
      <c r="R9465" t="s">
        <v>39748</v>
      </c>
      <c r="W9465" t="s">
        <v>39748</v>
      </c>
      <c r="X9465" t="s">
        <v>259</v>
      </c>
      <c r="Y9465" t="s">
        <v>139</v>
      </c>
      <c r="Z9465" t="s">
        <v>77</v>
      </c>
      <c r="AA9465" t="str">
        <f>"11355-2205"</f>
        <v>11355-2205</v>
      </c>
      <c r="AB9465" t="s">
        <v>78</v>
      </c>
      <c r="AC9465" t="s">
        <v>79</v>
      </c>
      <c r="AD9465" t="s">
        <v>75</v>
      </c>
      <c r="AE9465" t="s">
        <v>80</v>
      </c>
      <c r="AG9465" t="s">
        <v>81</v>
      </c>
    </row>
    <row r="9466" spans="1:33" x14ac:dyDescent="0.25">
      <c r="A9466" t="str">
        <f>"1992139679"</f>
        <v>1992139679</v>
      </c>
      <c r="B9466" t="str">
        <f>"03795695"</f>
        <v>03795695</v>
      </c>
      <c r="C9466" t="s">
        <v>13436</v>
      </c>
      <c r="D9466" t="s">
        <v>39749</v>
      </c>
      <c r="E9466" t="s">
        <v>39750</v>
      </c>
      <c r="G9466" t="s">
        <v>39751</v>
      </c>
      <c r="L9466" t="s">
        <v>74</v>
      </c>
      <c r="M9466" t="s">
        <v>75</v>
      </c>
      <c r="R9466" t="s">
        <v>39752</v>
      </c>
      <c r="W9466" t="s">
        <v>39750</v>
      </c>
      <c r="X9466" t="s">
        <v>4799</v>
      </c>
      <c r="Y9466" t="s">
        <v>87</v>
      </c>
      <c r="Z9466" t="s">
        <v>77</v>
      </c>
      <c r="AA9466" t="str">
        <f>"11234-2625"</f>
        <v>11234-2625</v>
      </c>
      <c r="AB9466" t="s">
        <v>78</v>
      </c>
      <c r="AC9466" t="s">
        <v>79</v>
      </c>
      <c r="AD9466" t="s">
        <v>75</v>
      </c>
      <c r="AE9466" t="s">
        <v>80</v>
      </c>
      <c r="AG9466" t="s">
        <v>81</v>
      </c>
    </row>
    <row r="9467" spans="1:33" x14ac:dyDescent="0.25">
      <c r="A9467" t="str">
        <f>"1750652608"</f>
        <v>1750652608</v>
      </c>
      <c r="B9467" t="str">
        <f>"03518081"</f>
        <v>03518081</v>
      </c>
      <c r="C9467" t="s">
        <v>39753</v>
      </c>
      <c r="D9467" t="s">
        <v>5822</v>
      </c>
      <c r="E9467" t="s">
        <v>5823</v>
      </c>
      <c r="G9467" t="s">
        <v>35048</v>
      </c>
      <c r="H9467" t="s">
        <v>35049</v>
      </c>
      <c r="J9467" t="s">
        <v>35050</v>
      </c>
      <c r="L9467" t="s">
        <v>83</v>
      </c>
      <c r="M9467" t="s">
        <v>75</v>
      </c>
      <c r="R9467" t="s">
        <v>5824</v>
      </c>
      <c r="W9467" t="s">
        <v>5823</v>
      </c>
      <c r="X9467" t="s">
        <v>4670</v>
      </c>
      <c r="Y9467" t="s">
        <v>131</v>
      </c>
      <c r="Z9467" t="s">
        <v>77</v>
      </c>
      <c r="AA9467" t="str">
        <f>"10458-4710"</f>
        <v>10458-4710</v>
      </c>
      <c r="AB9467" t="s">
        <v>78</v>
      </c>
      <c r="AC9467" t="s">
        <v>79</v>
      </c>
      <c r="AD9467" t="s">
        <v>75</v>
      </c>
      <c r="AE9467" t="s">
        <v>80</v>
      </c>
      <c r="AG9467" t="s">
        <v>81</v>
      </c>
    </row>
    <row r="9468" spans="1:33" x14ac:dyDescent="0.25">
      <c r="A9468" t="str">
        <f>"1215174941"</f>
        <v>1215174941</v>
      </c>
      <c r="B9468" t="str">
        <f>"03153651"</f>
        <v>03153651</v>
      </c>
      <c r="C9468" t="s">
        <v>39754</v>
      </c>
      <c r="D9468" t="s">
        <v>39755</v>
      </c>
      <c r="E9468" t="s">
        <v>39756</v>
      </c>
      <c r="G9468" t="s">
        <v>23992</v>
      </c>
      <c r="H9468" t="s">
        <v>23993</v>
      </c>
      <c r="J9468" t="s">
        <v>23994</v>
      </c>
      <c r="L9468" t="s">
        <v>84</v>
      </c>
      <c r="M9468" t="s">
        <v>75</v>
      </c>
      <c r="R9468" t="s">
        <v>39757</v>
      </c>
      <c r="W9468" t="s">
        <v>39757</v>
      </c>
      <c r="X9468" t="s">
        <v>23995</v>
      </c>
      <c r="Y9468" t="s">
        <v>87</v>
      </c>
      <c r="Z9468" t="s">
        <v>77</v>
      </c>
      <c r="AA9468" t="str">
        <f>"11205-3820"</f>
        <v>11205-3820</v>
      </c>
      <c r="AB9468" t="s">
        <v>78</v>
      </c>
      <c r="AC9468" t="s">
        <v>79</v>
      </c>
      <c r="AD9468" t="s">
        <v>75</v>
      </c>
      <c r="AE9468" t="s">
        <v>80</v>
      </c>
      <c r="AG9468" t="s">
        <v>81</v>
      </c>
    </row>
    <row r="9469" spans="1:33" x14ac:dyDescent="0.25">
      <c r="A9469" t="str">
        <f>"1063771202"</f>
        <v>1063771202</v>
      </c>
      <c r="B9469" t="str">
        <f>"03805254"</f>
        <v>03805254</v>
      </c>
      <c r="C9469" t="s">
        <v>39758</v>
      </c>
      <c r="D9469" t="s">
        <v>39759</v>
      </c>
      <c r="E9469" t="s">
        <v>39760</v>
      </c>
      <c r="G9469" t="s">
        <v>23992</v>
      </c>
      <c r="H9469" t="s">
        <v>23993</v>
      </c>
      <c r="J9469" t="s">
        <v>23994</v>
      </c>
      <c r="L9469" t="s">
        <v>74</v>
      </c>
      <c r="M9469" t="s">
        <v>75</v>
      </c>
      <c r="R9469" t="s">
        <v>39760</v>
      </c>
      <c r="W9469" t="s">
        <v>39760</v>
      </c>
      <c r="X9469" t="s">
        <v>23995</v>
      </c>
      <c r="Y9469" t="s">
        <v>87</v>
      </c>
      <c r="Z9469" t="s">
        <v>77</v>
      </c>
      <c r="AA9469" t="str">
        <f>"11205-3820"</f>
        <v>11205-3820</v>
      </c>
      <c r="AB9469" t="s">
        <v>78</v>
      </c>
      <c r="AC9469" t="s">
        <v>79</v>
      </c>
      <c r="AD9469" t="s">
        <v>75</v>
      </c>
      <c r="AE9469" t="s">
        <v>80</v>
      </c>
      <c r="AG9469" t="s">
        <v>81</v>
      </c>
    </row>
    <row r="9470" spans="1:33" x14ac:dyDescent="0.25">
      <c r="A9470" t="str">
        <f>"1619016011"</f>
        <v>1619016011</v>
      </c>
      <c r="B9470" t="str">
        <f>"00216573"</f>
        <v>00216573</v>
      </c>
      <c r="C9470" t="s">
        <v>39761</v>
      </c>
      <c r="D9470" t="s">
        <v>39762</v>
      </c>
      <c r="E9470" t="s">
        <v>39763</v>
      </c>
      <c r="G9470" t="s">
        <v>23992</v>
      </c>
      <c r="H9470" t="s">
        <v>23993</v>
      </c>
      <c r="J9470" t="s">
        <v>23994</v>
      </c>
      <c r="L9470" t="s">
        <v>84</v>
      </c>
      <c r="M9470" t="s">
        <v>75</v>
      </c>
      <c r="R9470" t="s">
        <v>39764</v>
      </c>
      <c r="W9470" t="s">
        <v>39765</v>
      </c>
      <c r="X9470" t="s">
        <v>39766</v>
      </c>
      <c r="Y9470" t="s">
        <v>87</v>
      </c>
      <c r="Z9470" t="s">
        <v>77</v>
      </c>
      <c r="AA9470" t="str">
        <f>"11238-5031"</f>
        <v>11238-5031</v>
      </c>
      <c r="AB9470" t="s">
        <v>78</v>
      </c>
      <c r="AC9470" t="s">
        <v>79</v>
      </c>
      <c r="AD9470" t="s">
        <v>75</v>
      </c>
      <c r="AE9470" t="s">
        <v>80</v>
      </c>
      <c r="AG9470" t="s">
        <v>81</v>
      </c>
    </row>
    <row r="9471" spans="1:33" x14ac:dyDescent="0.25">
      <c r="A9471" t="str">
        <f>"1609915206"</f>
        <v>1609915206</v>
      </c>
      <c r="B9471" t="str">
        <f>"02996490"</f>
        <v>02996490</v>
      </c>
      <c r="C9471" t="s">
        <v>39767</v>
      </c>
      <c r="D9471" t="s">
        <v>3376</v>
      </c>
      <c r="E9471" t="s">
        <v>3377</v>
      </c>
      <c r="F9471">
        <v>131991946</v>
      </c>
      <c r="G9471" t="s">
        <v>39768</v>
      </c>
      <c r="H9471" t="s">
        <v>3150</v>
      </c>
      <c r="J9471" t="s">
        <v>3151</v>
      </c>
      <c r="L9471" t="s">
        <v>104</v>
      </c>
      <c r="M9471" t="s">
        <v>85</v>
      </c>
      <c r="R9471" t="s">
        <v>3378</v>
      </c>
      <c r="W9471" t="s">
        <v>3379</v>
      </c>
      <c r="X9471" t="s">
        <v>3380</v>
      </c>
      <c r="Y9471" t="s">
        <v>3381</v>
      </c>
      <c r="Z9471" t="s">
        <v>77</v>
      </c>
      <c r="AA9471" t="str">
        <f>"10570-3135"</f>
        <v>10570-3135</v>
      </c>
      <c r="AB9471" t="s">
        <v>93</v>
      </c>
      <c r="AC9471" t="s">
        <v>79</v>
      </c>
      <c r="AD9471" t="s">
        <v>75</v>
      </c>
      <c r="AE9471" t="s">
        <v>80</v>
      </c>
      <c r="AG9471" t="s">
        <v>81</v>
      </c>
    </row>
    <row r="9472" spans="1:33" x14ac:dyDescent="0.25">
      <c r="A9472" t="str">
        <f>"1629040829"</f>
        <v>1629040829</v>
      </c>
      <c r="B9472" t="str">
        <f>"01607565"</f>
        <v>01607565</v>
      </c>
      <c r="C9472" t="s">
        <v>13436</v>
      </c>
      <c r="D9472" t="s">
        <v>39769</v>
      </c>
      <c r="E9472" t="s">
        <v>39770</v>
      </c>
      <c r="G9472" t="s">
        <v>39771</v>
      </c>
      <c r="L9472" t="s">
        <v>83</v>
      </c>
      <c r="M9472" t="s">
        <v>85</v>
      </c>
      <c r="R9472" t="s">
        <v>39772</v>
      </c>
      <c r="W9472" t="s">
        <v>39772</v>
      </c>
      <c r="X9472" t="s">
        <v>14992</v>
      </c>
      <c r="Y9472" t="s">
        <v>97</v>
      </c>
      <c r="Z9472" t="s">
        <v>77</v>
      </c>
      <c r="AA9472" t="str">
        <f>"10029-6503"</f>
        <v>10029-6503</v>
      </c>
      <c r="AB9472" t="s">
        <v>78</v>
      </c>
      <c r="AC9472" t="s">
        <v>79</v>
      </c>
      <c r="AD9472" t="s">
        <v>75</v>
      </c>
      <c r="AE9472" t="s">
        <v>80</v>
      </c>
      <c r="AG9472" t="s">
        <v>81</v>
      </c>
    </row>
    <row r="9473" spans="1:33" x14ac:dyDescent="0.25">
      <c r="A9473" t="str">
        <f>"1629149711"</f>
        <v>1629149711</v>
      </c>
      <c r="B9473" t="str">
        <f>"01530116"</f>
        <v>01530116</v>
      </c>
      <c r="C9473" t="s">
        <v>13436</v>
      </c>
      <c r="D9473" t="s">
        <v>39773</v>
      </c>
      <c r="E9473" t="s">
        <v>39774</v>
      </c>
      <c r="G9473" t="s">
        <v>39775</v>
      </c>
      <c r="L9473" t="s">
        <v>83</v>
      </c>
      <c r="M9473" t="s">
        <v>85</v>
      </c>
      <c r="R9473" t="s">
        <v>39776</v>
      </c>
      <c r="W9473" t="s">
        <v>39774</v>
      </c>
      <c r="X9473" t="s">
        <v>13819</v>
      </c>
      <c r="Y9473" t="s">
        <v>97</v>
      </c>
      <c r="Z9473" t="s">
        <v>77</v>
      </c>
      <c r="AA9473" t="str">
        <f>"10029-6508"</f>
        <v>10029-6508</v>
      </c>
      <c r="AB9473" t="s">
        <v>78</v>
      </c>
      <c r="AC9473" t="s">
        <v>79</v>
      </c>
      <c r="AD9473" t="s">
        <v>75</v>
      </c>
      <c r="AE9473" t="s">
        <v>80</v>
      </c>
      <c r="AG9473" t="s">
        <v>81</v>
      </c>
    </row>
    <row r="9474" spans="1:33" x14ac:dyDescent="0.25">
      <c r="A9474" t="str">
        <f>"1821232620"</f>
        <v>1821232620</v>
      </c>
      <c r="B9474" t="str">
        <f>"03159588"</f>
        <v>03159588</v>
      </c>
      <c r="C9474" t="s">
        <v>13436</v>
      </c>
      <c r="D9474" t="s">
        <v>39777</v>
      </c>
      <c r="E9474" t="s">
        <v>39778</v>
      </c>
      <c r="G9474" t="s">
        <v>39779</v>
      </c>
      <c r="L9474" t="s">
        <v>74</v>
      </c>
      <c r="M9474" t="s">
        <v>85</v>
      </c>
      <c r="R9474" t="s">
        <v>39778</v>
      </c>
      <c r="W9474" t="s">
        <v>39780</v>
      </c>
      <c r="X9474" t="s">
        <v>39781</v>
      </c>
      <c r="Y9474" t="s">
        <v>139</v>
      </c>
      <c r="Z9474" t="s">
        <v>77</v>
      </c>
      <c r="AA9474" t="str">
        <f>"11354-5508"</f>
        <v>11354-5508</v>
      </c>
      <c r="AB9474" t="s">
        <v>78</v>
      </c>
      <c r="AC9474" t="s">
        <v>79</v>
      </c>
      <c r="AD9474" t="s">
        <v>75</v>
      </c>
      <c r="AE9474" t="s">
        <v>80</v>
      </c>
      <c r="AG9474" t="s">
        <v>81</v>
      </c>
    </row>
    <row r="9475" spans="1:33" x14ac:dyDescent="0.25">
      <c r="A9475" t="str">
        <f>"1821250671"</f>
        <v>1821250671</v>
      </c>
      <c r="C9475" t="s">
        <v>13436</v>
      </c>
      <c r="G9475" t="s">
        <v>39782</v>
      </c>
      <c r="K9475" t="s">
        <v>99</v>
      </c>
      <c r="L9475" t="s">
        <v>102</v>
      </c>
      <c r="M9475" t="s">
        <v>85</v>
      </c>
      <c r="R9475" t="s">
        <v>39783</v>
      </c>
      <c r="S9475" t="s">
        <v>39784</v>
      </c>
      <c r="T9475" t="s">
        <v>87</v>
      </c>
      <c r="U9475" t="s">
        <v>77</v>
      </c>
      <c r="V9475" t="str">
        <f>"112032056"</f>
        <v>112032056</v>
      </c>
      <c r="AC9475" t="s">
        <v>79</v>
      </c>
      <c r="AD9475" t="s">
        <v>75</v>
      </c>
      <c r="AE9475" t="s">
        <v>103</v>
      </c>
      <c r="AG9475" t="s">
        <v>81</v>
      </c>
    </row>
    <row r="9476" spans="1:33" x14ac:dyDescent="0.25">
      <c r="A9476" t="str">
        <f>"1821272824"</f>
        <v>1821272824</v>
      </c>
      <c r="B9476" t="str">
        <f>"03384407"</f>
        <v>03384407</v>
      </c>
      <c r="C9476" t="s">
        <v>13436</v>
      </c>
      <c r="D9476" t="s">
        <v>39785</v>
      </c>
      <c r="E9476" t="s">
        <v>39786</v>
      </c>
      <c r="G9476" t="s">
        <v>39787</v>
      </c>
      <c r="L9476" t="s">
        <v>74</v>
      </c>
      <c r="M9476" t="s">
        <v>75</v>
      </c>
      <c r="R9476" t="s">
        <v>39788</v>
      </c>
      <c r="W9476" t="s">
        <v>39786</v>
      </c>
      <c r="X9476" t="s">
        <v>16604</v>
      </c>
      <c r="Y9476" t="s">
        <v>97</v>
      </c>
      <c r="Z9476" t="s">
        <v>77</v>
      </c>
      <c r="AA9476" t="str">
        <f>"10029-6504"</f>
        <v>10029-6504</v>
      </c>
      <c r="AB9476" t="s">
        <v>78</v>
      </c>
      <c r="AC9476" t="s">
        <v>79</v>
      </c>
      <c r="AD9476" t="s">
        <v>75</v>
      </c>
      <c r="AE9476" t="s">
        <v>80</v>
      </c>
      <c r="AG9476" t="s">
        <v>81</v>
      </c>
    </row>
    <row r="9477" spans="1:33" x14ac:dyDescent="0.25">
      <c r="A9477" t="str">
        <f>"1821325457"</f>
        <v>1821325457</v>
      </c>
      <c r="B9477" t="str">
        <f>"03517640"</f>
        <v>03517640</v>
      </c>
      <c r="C9477" t="s">
        <v>13436</v>
      </c>
      <c r="D9477" t="s">
        <v>39789</v>
      </c>
      <c r="E9477" t="s">
        <v>39790</v>
      </c>
      <c r="G9477" t="s">
        <v>39791</v>
      </c>
      <c r="L9477" t="s">
        <v>83</v>
      </c>
      <c r="M9477" t="s">
        <v>85</v>
      </c>
      <c r="R9477" t="s">
        <v>39790</v>
      </c>
      <c r="W9477" t="s">
        <v>39792</v>
      </c>
      <c r="X9477" t="s">
        <v>39793</v>
      </c>
      <c r="Y9477" t="s">
        <v>97</v>
      </c>
      <c r="Z9477" t="s">
        <v>77</v>
      </c>
      <c r="AA9477" t="str">
        <f>"10025-1737"</f>
        <v>10025-1737</v>
      </c>
      <c r="AB9477" t="s">
        <v>78</v>
      </c>
      <c r="AC9477" t="s">
        <v>79</v>
      </c>
      <c r="AD9477" t="s">
        <v>75</v>
      </c>
      <c r="AE9477" t="s">
        <v>80</v>
      </c>
      <c r="AG9477" t="s">
        <v>81</v>
      </c>
    </row>
    <row r="9478" spans="1:33" x14ac:dyDescent="0.25">
      <c r="A9478" t="str">
        <f>"1821363029"</f>
        <v>1821363029</v>
      </c>
      <c r="C9478" t="s">
        <v>13436</v>
      </c>
      <c r="K9478" t="s">
        <v>99</v>
      </c>
      <c r="L9478" t="s">
        <v>102</v>
      </c>
      <c r="M9478" t="s">
        <v>75</v>
      </c>
      <c r="R9478" t="s">
        <v>39794</v>
      </c>
      <c r="S9478" t="s">
        <v>39795</v>
      </c>
      <c r="T9478" t="s">
        <v>97</v>
      </c>
      <c r="U9478" t="s">
        <v>77</v>
      </c>
      <c r="V9478" t="str">
        <f>"100036005"</f>
        <v>100036005</v>
      </c>
      <c r="AC9478" t="s">
        <v>79</v>
      </c>
      <c r="AD9478" t="s">
        <v>75</v>
      </c>
      <c r="AE9478" t="s">
        <v>103</v>
      </c>
      <c r="AG9478" t="s">
        <v>81</v>
      </c>
    </row>
    <row r="9479" spans="1:33" x14ac:dyDescent="0.25">
      <c r="A9479" t="str">
        <f>"1285037895"</f>
        <v>1285037895</v>
      </c>
      <c r="C9479" t="s">
        <v>13436</v>
      </c>
      <c r="G9479" t="s">
        <v>39796</v>
      </c>
      <c r="K9479" t="s">
        <v>99</v>
      </c>
      <c r="L9479" t="s">
        <v>74</v>
      </c>
      <c r="M9479" t="s">
        <v>75</v>
      </c>
      <c r="R9479" t="s">
        <v>39797</v>
      </c>
      <c r="S9479" t="s">
        <v>329</v>
      </c>
      <c r="T9479" t="s">
        <v>97</v>
      </c>
      <c r="U9479" t="s">
        <v>77</v>
      </c>
      <c r="V9479" t="str">
        <f>"100296504"</f>
        <v>100296504</v>
      </c>
      <c r="AC9479" t="s">
        <v>79</v>
      </c>
      <c r="AD9479" t="s">
        <v>75</v>
      </c>
      <c r="AE9479" t="s">
        <v>103</v>
      </c>
      <c r="AG9479" t="s">
        <v>81</v>
      </c>
    </row>
    <row r="9480" spans="1:33" x14ac:dyDescent="0.25">
      <c r="A9480" t="str">
        <f>"1043215353"</f>
        <v>1043215353</v>
      </c>
      <c r="B9480" t="str">
        <f>"01260613"</f>
        <v>01260613</v>
      </c>
      <c r="C9480" t="s">
        <v>13436</v>
      </c>
      <c r="D9480" t="s">
        <v>39798</v>
      </c>
      <c r="E9480" t="s">
        <v>39799</v>
      </c>
      <c r="G9480" t="s">
        <v>39800</v>
      </c>
      <c r="L9480" t="s">
        <v>83</v>
      </c>
      <c r="M9480" t="s">
        <v>75</v>
      </c>
      <c r="R9480" t="s">
        <v>39801</v>
      </c>
      <c r="W9480" t="s">
        <v>39799</v>
      </c>
      <c r="X9480" t="s">
        <v>1739</v>
      </c>
      <c r="Y9480" t="s">
        <v>95</v>
      </c>
      <c r="Z9480" t="s">
        <v>77</v>
      </c>
      <c r="AA9480" t="str">
        <f>"12208-1707"</f>
        <v>12208-1707</v>
      </c>
      <c r="AB9480" t="s">
        <v>78</v>
      </c>
      <c r="AC9480" t="s">
        <v>79</v>
      </c>
      <c r="AD9480" t="s">
        <v>75</v>
      </c>
      <c r="AE9480" t="s">
        <v>80</v>
      </c>
      <c r="AG9480" t="s">
        <v>81</v>
      </c>
    </row>
    <row r="9481" spans="1:33" x14ac:dyDescent="0.25">
      <c r="A9481" t="str">
        <f>"1598731564"</f>
        <v>1598731564</v>
      </c>
      <c r="B9481" t="str">
        <f>"02354992"</f>
        <v>02354992</v>
      </c>
      <c r="C9481" t="s">
        <v>13436</v>
      </c>
      <c r="D9481" t="s">
        <v>39802</v>
      </c>
      <c r="E9481" t="s">
        <v>39803</v>
      </c>
      <c r="G9481" t="s">
        <v>39804</v>
      </c>
      <c r="L9481" t="s">
        <v>84</v>
      </c>
      <c r="M9481" t="s">
        <v>75</v>
      </c>
      <c r="R9481" t="s">
        <v>39805</v>
      </c>
      <c r="W9481" t="s">
        <v>39803</v>
      </c>
      <c r="X9481" t="s">
        <v>39806</v>
      </c>
      <c r="Y9481" t="s">
        <v>87</v>
      </c>
      <c r="Z9481" t="s">
        <v>77</v>
      </c>
      <c r="AA9481" t="str">
        <f>"11235-6009"</f>
        <v>11235-6009</v>
      </c>
      <c r="AB9481" t="s">
        <v>78</v>
      </c>
      <c r="AC9481" t="s">
        <v>79</v>
      </c>
      <c r="AD9481" t="s">
        <v>75</v>
      </c>
      <c r="AE9481" t="s">
        <v>80</v>
      </c>
      <c r="AG9481" t="s">
        <v>81</v>
      </c>
    </row>
    <row r="9482" spans="1:33" x14ac:dyDescent="0.25">
      <c r="A9482" t="str">
        <f>"1992824189"</f>
        <v>1992824189</v>
      </c>
      <c r="B9482" t="str">
        <f>"01203974"</f>
        <v>01203974</v>
      </c>
      <c r="C9482" t="s">
        <v>39807</v>
      </c>
      <c r="D9482" t="s">
        <v>39808</v>
      </c>
      <c r="E9482" t="s">
        <v>39809</v>
      </c>
      <c r="G9482" t="s">
        <v>39810</v>
      </c>
      <c r="H9482" t="s">
        <v>39811</v>
      </c>
      <c r="J9482" t="s">
        <v>39812</v>
      </c>
      <c r="L9482" t="s">
        <v>35</v>
      </c>
      <c r="M9482" t="s">
        <v>85</v>
      </c>
      <c r="R9482" t="s">
        <v>39813</v>
      </c>
      <c r="W9482" t="s">
        <v>39809</v>
      </c>
      <c r="X9482" t="s">
        <v>39814</v>
      </c>
      <c r="Y9482" t="s">
        <v>87</v>
      </c>
      <c r="Z9482" t="s">
        <v>77</v>
      </c>
      <c r="AA9482" t="str">
        <f>"11210-2927"</f>
        <v>11210-2927</v>
      </c>
      <c r="AB9482" t="s">
        <v>98</v>
      </c>
      <c r="AC9482" t="s">
        <v>79</v>
      </c>
      <c r="AD9482" t="s">
        <v>75</v>
      </c>
      <c r="AE9482" t="s">
        <v>80</v>
      </c>
      <c r="AG9482" t="s">
        <v>81</v>
      </c>
    </row>
    <row r="9483" spans="1:33" x14ac:dyDescent="0.25">
      <c r="A9483" t="str">
        <f>"1982662334"</f>
        <v>1982662334</v>
      </c>
      <c r="B9483" t="str">
        <f>"01801569"</f>
        <v>01801569</v>
      </c>
      <c r="C9483" t="s">
        <v>13436</v>
      </c>
      <c r="D9483" t="s">
        <v>39815</v>
      </c>
      <c r="E9483" t="s">
        <v>39816</v>
      </c>
      <c r="L9483" t="s">
        <v>83</v>
      </c>
      <c r="M9483" t="s">
        <v>85</v>
      </c>
      <c r="R9483" t="s">
        <v>39817</v>
      </c>
      <c r="W9483" t="s">
        <v>39818</v>
      </c>
      <c r="X9483" t="s">
        <v>17583</v>
      </c>
      <c r="Y9483" t="s">
        <v>97</v>
      </c>
      <c r="Z9483" t="s">
        <v>77</v>
      </c>
      <c r="AA9483" t="str">
        <f>"10029-6501"</f>
        <v>10029-6501</v>
      </c>
      <c r="AB9483" t="s">
        <v>78</v>
      </c>
      <c r="AC9483" t="s">
        <v>79</v>
      </c>
      <c r="AD9483" t="s">
        <v>75</v>
      </c>
      <c r="AE9483" t="s">
        <v>80</v>
      </c>
      <c r="AG9483" t="s">
        <v>81</v>
      </c>
    </row>
    <row r="9484" spans="1:33" x14ac:dyDescent="0.25">
      <c r="A9484" t="str">
        <f>"1255508420"</f>
        <v>1255508420</v>
      </c>
      <c r="B9484" t="str">
        <f>"04548110"</f>
        <v>04548110</v>
      </c>
      <c r="C9484" t="s">
        <v>13436</v>
      </c>
      <c r="D9484" t="s">
        <v>39819</v>
      </c>
      <c r="E9484" t="s">
        <v>39820</v>
      </c>
      <c r="L9484" t="s">
        <v>74</v>
      </c>
      <c r="M9484" t="s">
        <v>75</v>
      </c>
      <c r="R9484" t="s">
        <v>39820</v>
      </c>
      <c r="W9484" t="s">
        <v>39820</v>
      </c>
      <c r="AB9484" t="s">
        <v>78</v>
      </c>
      <c r="AC9484" t="s">
        <v>79</v>
      </c>
      <c r="AD9484" t="s">
        <v>75</v>
      </c>
      <c r="AE9484" t="s">
        <v>80</v>
      </c>
      <c r="AG9484" t="s">
        <v>81</v>
      </c>
    </row>
    <row r="9485" spans="1:33" x14ac:dyDescent="0.25">
      <c r="A9485" t="str">
        <f>"1255634572"</f>
        <v>1255634572</v>
      </c>
      <c r="C9485" t="s">
        <v>13436</v>
      </c>
      <c r="K9485" t="s">
        <v>99</v>
      </c>
      <c r="L9485" t="s">
        <v>102</v>
      </c>
      <c r="M9485" t="s">
        <v>75</v>
      </c>
      <c r="R9485" t="s">
        <v>39821</v>
      </c>
      <c r="S9485" t="s">
        <v>39822</v>
      </c>
      <c r="T9485" t="s">
        <v>97</v>
      </c>
      <c r="U9485" t="s">
        <v>77</v>
      </c>
      <c r="V9485" t="str">
        <f>"100164319"</f>
        <v>100164319</v>
      </c>
      <c r="AC9485" t="s">
        <v>79</v>
      </c>
      <c r="AD9485" t="s">
        <v>75</v>
      </c>
      <c r="AE9485" t="s">
        <v>103</v>
      </c>
      <c r="AG9485" t="s">
        <v>81</v>
      </c>
    </row>
    <row r="9486" spans="1:33" x14ac:dyDescent="0.25">
      <c r="A9486" t="str">
        <f>"1255655882"</f>
        <v>1255655882</v>
      </c>
      <c r="C9486" t="s">
        <v>13436</v>
      </c>
      <c r="K9486" t="s">
        <v>99</v>
      </c>
      <c r="L9486" t="s">
        <v>102</v>
      </c>
      <c r="M9486" t="s">
        <v>75</v>
      </c>
      <c r="R9486" t="s">
        <v>39823</v>
      </c>
      <c r="S9486" t="s">
        <v>39824</v>
      </c>
      <c r="T9486" t="s">
        <v>87</v>
      </c>
      <c r="U9486" t="s">
        <v>77</v>
      </c>
      <c r="V9486" t="str">
        <f>"112164405"</f>
        <v>112164405</v>
      </c>
      <c r="AC9486" t="s">
        <v>79</v>
      </c>
      <c r="AD9486" t="s">
        <v>75</v>
      </c>
      <c r="AE9486" t="s">
        <v>103</v>
      </c>
      <c r="AG9486" t="s">
        <v>81</v>
      </c>
    </row>
    <row r="9487" spans="1:33" x14ac:dyDescent="0.25">
      <c r="A9487" t="str">
        <f>"1265750640"</f>
        <v>1265750640</v>
      </c>
      <c r="B9487" t="str">
        <f>"03960381"</f>
        <v>03960381</v>
      </c>
      <c r="C9487" t="s">
        <v>13436</v>
      </c>
      <c r="D9487" t="s">
        <v>39825</v>
      </c>
      <c r="E9487" t="s">
        <v>39826</v>
      </c>
      <c r="L9487" t="s">
        <v>105</v>
      </c>
      <c r="M9487" t="s">
        <v>75</v>
      </c>
      <c r="R9487" t="s">
        <v>39827</v>
      </c>
      <c r="W9487" t="s">
        <v>39826</v>
      </c>
      <c r="X9487" t="s">
        <v>39828</v>
      </c>
      <c r="Y9487" t="s">
        <v>97</v>
      </c>
      <c r="Z9487" t="s">
        <v>77</v>
      </c>
      <c r="AA9487" t="str">
        <f>"10003-0000"</f>
        <v>10003-0000</v>
      </c>
      <c r="AB9487" t="s">
        <v>78</v>
      </c>
      <c r="AC9487" t="s">
        <v>79</v>
      </c>
      <c r="AD9487" t="s">
        <v>75</v>
      </c>
      <c r="AE9487" t="s">
        <v>80</v>
      </c>
      <c r="AG9487" t="s">
        <v>81</v>
      </c>
    </row>
    <row r="9488" spans="1:33" x14ac:dyDescent="0.25">
      <c r="A9488" t="str">
        <f>"1285869339"</f>
        <v>1285869339</v>
      </c>
      <c r="B9488" t="str">
        <f>"02424642"</f>
        <v>02424642</v>
      </c>
      <c r="C9488" t="s">
        <v>13436</v>
      </c>
      <c r="D9488" t="s">
        <v>39829</v>
      </c>
      <c r="E9488" t="s">
        <v>39830</v>
      </c>
      <c r="L9488" t="s">
        <v>102</v>
      </c>
      <c r="M9488" t="s">
        <v>75</v>
      </c>
      <c r="R9488" t="s">
        <v>39831</v>
      </c>
      <c r="W9488" t="s">
        <v>39830</v>
      </c>
      <c r="X9488" t="s">
        <v>39832</v>
      </c>
      <c r="Y9488" t="s">
        <v>97</v>
      </c>
      <c r="Z9488" t="s">
        <v>77</v>
      </c>
      <c r="AA9488" t="str">
        <f>"10003"</f>
        <v>10003</v>
      </c>
      <c r="AB9488" t="s">
        <v>78</v>
      </c>
      <c r="AC9488" t="s">
        <v>79</v>
      </c>
      <c r="AD9488" t="s">
        <v>75</v>
      </c>
      <c r="AE9488" t="s">
        <v>80</v>
      </c>
      <c r="AG9488" t="s">
        <v>81</v>
      </c>
    </row>
    <row r="9489" spans="1:33" x14ac:dyDescent="0.25">
      <c r="A9489" t="str">
        <f>"1922263235"</f>
        <v>1922263235</v>
      </c>
      <c r="B9489" t="str">
        <f>"03041072"</f>
        <v>03041072</v>
      </c>
      <c r="C9489" t="s">
        <v>13436</v>
      </c>
      <c r="D9489" t="s">
        <v>39833</v>
      </c>
      <c r="E9489" t="s">
        <v>39834</v>
      </c>
      <c r="G9489" t="s">
        <v>39835</v>
      </c>
      <c r="L9489" t="s">
        <v>94</v>
      </c>
      <c r="M9489" t="s">
        <v>85</v>
      </c>
      <c r="R9489" t="s">
        <v>39836</v>
      </c>
      <c r="W9489" t="s">
        <v>39837</v>
      </c>
      <c r="X9489" t="s">
        <v>329</v>
      </c>
      <c r="Y9489" t="s">
        <v>97</v>
      </c>
      <c r="Z9489" t="s">
        <v>77</v>
      </c>
      <c r="AA9489" t="str">
        <f>"10029-6500"</f>
        <v>10029-6500</v>
      </c>
      <c r="AB9489" t="s">
        <v>78</v>
      </c>
      <c r="AC9489" t="s">
        <v>79</v>
      </c>
      <c r="AD9489" t="s">
        <v>75</v>
      </c>
      <c r="AE9489" t="s">
        <v>80</v>
      </c>
      <c r="AG9489" t="s">
        <v>81</v>
      </c>
    </row>
    <row r="9490" spans="1:33" x14ac:dyDescent="0.25">
      <c r="A9490" t="str">
        <f>"1922267426"</f>
        <v>1922267426</v>
      </c>
      <c r="B9490" t="str">
        <f>"03668857"</f>
        <v>03668857</v>
      </c>
      <c r="C9490" t="s">
        <v>13436</v>
      </c>
      <c r="D9490" t="s">
        <v>39838</v>
      </c>
      <c r="E9490" t="s">
        <v>39839</v>
      </c>
      <c r="L9490" t="s">
        <v>74</v>
      </c>
      <c r="M9490" t="s">
        <v>85</v>
      </c>
      <c r="R9490" t="s">
        <v>39840</v>
      </c>
      <c r="W9490" t="s">
        <v>39839</v>
      </c>
      <c r="X9490" t="s">
        <v>329</v>
      </c>
      <c r="Y9490" t="s">
        <v>97</v>
      </c>
      <c r="Z9490" t="s">
        <v>77</v>
      </c>
      <c r="AA9490" t="str">
        <f>"10029-6504"</f>
        <v>10029-6504</v>
      </c>
      <c r="AB9490" t="s">
        <v>78</v>
      </c>
      <c r="AC9490" t="s">
        <v>79</v>
      </c>
      <c r="AD9490" t="s">
        <v>75</v>
      </c>
      <c r="AE9490" t="s">
        <v>80</v>
      </c>
      <c r="AG9490" t="s">
        <v>81</v>
      </c>
    </row>
    <row r="9491" spans="1:33" x14ac:dyDescent="0.25">
      <c r="A9491" t="str">
        <f>"1366679094"</f>
        <v>1366679094</v>
      </c>
      <c r="B9491" t="str">
        <f>"03280408"</f>
        <v>03280408</v>
      </c>
      <c r="C9491" t="s">
        <v>13436</v>
      </c>
      <c r="D9491" t="s">
        <v>5597</v>
      </c>
      <c r="E9491" t="s">
        <v>5598</v>
      </c>
      <c r="G9491" t="s">
        <v>39841</v>
      </c>
      <c r="L9491" t="s">
        <v>84</v>
      </c>
      <c r="M9491" t="s">
        <v>75</v>
      </c>
      <c r="R9491" t="s">
        <v>5599</v>
      </c>
      <c r="W9491" t="s">
        <v>5598</v>
      </c>
      <c r="X9491" t="s">
        <v>258</v>
      </c>
      <c r="Y9491" t="s">
        <v>131</v>
      </c>
      <c r="Z9491" t="s">
        <v>77</v>
      </c>
      <c r="AA9491" t="str">
        <f>"10467-2401"</f>
        <v>10467-2401</v>
      </c>
      <c r="AB9491" t="s">
        <v>78</v>
      </c>
      <c r="AC9491" t="s">
        <v>79</v>
      </c>
      <c r="AD9491" t="s">
        <v>75</v>
      </c>
      <c r="AE9491" t="s">
        <v>80</v>
      </c>
      <c r="AG9491" t="s">
        <v>81</v>
      </c>
    </row>
    <row r="9492" spans="1:33" x14ac:dyDescent="0.25">
      <c r="A9492" t="str">
        <f>"1760613061"</f>
        <v>1760613061</v>
      </c>
      <c r="B9492" t="str">
        <f>"03234411"</f>
        <v>03234411</v>
      </c>
      <c r="C9492" t="s">
        <v>13436</v>
      </c>
      <c r="D9492" t="s">
        <v>39842</v>
      </c>
      <c r="E9492" t="s">
        <v>39843</v>
      </c>
      <c r="G9492" t="s">
        <v>39844</v>
      </c>
      <c r="L9492" t="s">
        <v>74</v>
      </c>
      <c r="M9492" t="s">
        <v>75</v>
      </c>
      <c r="R9492" t="s">
        <v>39845</v>
      </c>
      <c r="W9492" t="s">
        <v>39846</v>
      </c>
      <c r="X9492" t="s">
        <v>11436</v>
      </c>
      <c r="Y9492" t="s">
        <v>97</v>
      </c>
      <c r="Z9492" t="s">
        <v>77</v>
      </c>
      <c r="AA9492" t="str">
        <f>"10029-6500"</f>
        <v>10029-6500</v>
      </c>
      <c r="AB9492" t="s">
        <v>78</v>
      </c>
      <c r="AC9492" t="s">
        <v>79</v>
      </c>
      <c r="AD9492" t="s">
        <v>75</v>
      </c>
      <c r="AE9492" t="s">
        <v>80</v>
      </c>
      <c r="AG9492" t="s">
        <v>81</v>
      </c>
    </row>
    <row r="9493" spans="1:33" x14ac:dyDescent="0.25">
      <c r="A9493" t="str">
        <f>"1760617906"</f>
        <v>1760617906</v>
      </c>
      <c r="B9493" t="str">
        <f>"03816828"</f>
        <v>03816828</v>
      </c>
      <c r="C9493" t="s">
        <v>13436</v>
      </c>
      <c r="D9493" t="s">
        <v>39847</v>
      </c>
      <c r="E9493" t="s">
        <v>39848</v>
      </c>
      <c r="G9493" t="s">
        <v>39849</v>
      </c>
      <c r="L9493" t="s">
        <v>83</v>
      </c>
      <c r="M9493" t="s">
        <v>75</v>
      </c>
      <c r="R9493" t="s">
        <v>39848</v>
      </c>
      <c r="W9493" t="s">
        <v>39848</v>
      </c>
      <c r="X9493" t="s">
        <v>39850</v>
      </c>
      <c r="Y9493" t="s">
        <v>97</v>
      </c>
      <c r="Z9493" t="s">
        <v>77</v>
      </c>
      <c r="AA9493" t="str">
        <f>"10003-3804"</f>
        <v>10003-3804</v>
      </c>
      <c r="AB9493" t="s">
        <v>78</v>
      </c>
      <c r="AC9493" t="s">
        <v>79</v>
      </c>
      <c r="AD9493" t="s">
        <v>75</v>
      </c>
      <c r="AE9493" t="s">
        <v>80</v>
      </c>
      <c r="AG9493" t="s">
        <v>81</v>
      </c>
    </row>
    <row r="9494" spans="1:33" x14ac:dyDescent="0.25">
      <c r="A9494" t="str">
        <f>"1760617914"</f>
        <v>1760617914</v>
      </c>
      <c r="B9494" t="str">
        <f>"04138267"</f>
        <v>04138267</v>
      </c>
      <c r="C9494" t="s">
        <v>13436</v>
      </c>
      <c r="D9494" t="s">
        <v>39851</v>
      </c>
      <c r="E9494" t="s">
        <v>39852</v>
      </c>
      <c r="L9494" t="s">
        <v>74</v>
      </c>
      <c r="M9494" t="s">
        <v>75</v>
      </c>
      <c r="R9494" t="s">
        <v>39853</v>
      </c>
      <c r="W9494" t="s">
        <v>39852</v>
      </c>
      <c r="X9494" t="s">
        <v>39854</v>
      </c>
      <c r="Y9494" t="s">
        <v>97</v>
      </c>
      <c r="Z9494" t="s">
        <v>77</v>
      </c>
      <c r="AA9494" t="str">
        <f>"10032-3729"</f>
        <v>10032-3729</v>
      </c>
      <c r="AB9494" t="s">
        <v>78</v>
      </c>
      <c r="AC9494" t="s">
        <v>79</v>
      </c>
      <c r="AD9494" t="s">
        <v>75</v>
      </c>
      <c r="AE9494" t="s">
        <v>80</v>
      </c>
      <c r="AG9494" t="s">
        <v>81</v>
      </c>
    </row>
    <row r="9495" spans="1:33" x14ac:dyDescent="0.25">
      <c r="A9495" t="str">
        <f>"1619940798"</f>
        <v>1619940798</v>
      </c>
      <c r="B9495" t="str">
        <f>"02109108"</f>
        <v>02109108</v>
      </c>
      <c r="C9495" t="s">
        <v>13436</v>
      </c>
      <c r="D9495" t="s">
        <v>39855</v>
      </c>
      <c r="E9495" t="s">
        <v>39856</v>
      </c>
      <c r="G9495" t="s">
        <v>39857</v>
      </c>
      <c r="L9495" t="s">
        <v>83</v>
      </c>
      <c r="M9495" t="s">
        <v>85</v>
      </c>
      <c r="R9495" t="s">
        <v>39858</v>
      </c>
      <c r="W9495" t="s">
        <v>39856</v>
      </c>
      <c r="X9495" t="s">
        <v>39859</v>
      </c>
      <c r="Y9495" t="s">
        <v>1846</v>
      </c>
      <c r="Z9495" t="s">
        <v>1784</v>
      </c>
      <c r="AA9495" t="str">
        <f>"15213-2584"</f>
        <v>15213-2584</v>
      </c>
      <c r="AB9495" t="s">
        <v>78</v>
      </c>
      <c r="AC9495" t="s">
        <v>79</v>
      </c>
      <c r="AD9495" t="s">
        <v>75</v>
      </c>
      <c r="AE9495" t="s">
        <v>80</v>
      </c>
      <c r="AG9495" t="s">
        <v>81</v>
      </c>
    </row>
    <row r="9496" spans="1:33" x14ac:dyDescent="0.25">
      <c r="A9496" t="str">
        <f>"1912297763"</f>
        <v>1912297763</v>
      </c>
      <c r="C9496" t="s">
        <v>13436</v>
      </c>
      <c r="G9496" t="s">
        <v>39860</v>
      </c>
      <c r="K9496" t="s">
        <v>99</v>
      </c>
      <c r="L9496" t="s">
        <v>102</v>
      </c>
      <c r="M9496" t="s">
        <v>75</v>
      </c>
      <c r="R9496" t="s">
        <v>39861</v>
      </c>
      <c r="S9496" t="s">
        <v>39862</v>
      </c>
      <c r="T9496" t="s">
        <v>97</v>
      </c>
      <c r="U9496" t="s">
        <v>77</v>
      </c>
      <c r="V9496" t="str">
        <f>"100033314"</f>
        <v>100033314</v>
      </c>
      <c r="AC9496" t="s">
        <v>79</v>
      </c>
      <c r="AD9496" t="s">
        <v>75</v>
      </c>
      <c r="AE9496" t="s">
        <v>103</v>
      </c>
      <c r="AG9496" t="s">
        <v>81</v>
      </c>
    </row>
    <row r="9497" spans="1:33" x14ac:dyDescent="0.25">
      <c r="A9497" t="str">
        <f>"1932336310"</f>
        <v>1932336310</v>
      </c>
      <c r="B9497" t="str">
        <f>"03688777"</f>
        <v>03688777</v>
      </c>
      <c r="C9497" t="s">
        <v>13436</v>
      </c>
      <c r="D9497" t="s">
        <v>39863</v>
      </c>
      <c r="E9497" t="s">
        <v>39864</v>
      </c>
      <c r="G9497" t="s">
        <v>39865</v>
      </c>
      <c r="L9497" t="s">
        <v>74</v>
      </c>
      <c r="M9497" t="s">
        <v>75</v>
      </c>
      <c r="R9497" t="s">
        <v>39866</v>
      </c>
      <c r="W9497" t="s">
        <v>39864</v>
      </c>
      <c r="X9497" t="s">
        <v>15393</v>
      </c>
      <c r="Y9497" t="s">
        <v>87</v>
      </c>
      <c r="Z9497" t="s">
        <v>77</v>
      </c>
      <c r="AA9497" t="str">
        <f>"11229-1192"</f>
        <v>11229-1192</v>
      </c>
      <c r="AB9497" t="s">
        <v>78</v>
      </c>
      <c r="AC9497" t="s">
        <v>79</v>
      </c>
      <c r="AD9497" t="s">
        <v>75</v>
      </c>
      <c r="AE9497" t="s">
        <v>80</v>
      </c>
      <c r="AG9497" t="s">
        <v>81</v>
      </c>
    </row>
    <row r="9498" spans="1:33" x14ac:dyDescent="0.25">
      <c r="A9498" t="str">
        <f>"1811155088"</f>
        <v>1811155088</v>
      </c>
      <c r="B9498" t="str">
        <f>"03588401"</f>
        <v>03588401</v>
      </c>
      <c r="C9498" t="s">
        <v>13436</v>
      </c>
      <c r="D9498" t="s">
        <v>39867</v>
      </c>
      <c r="E9498" t="s">
        <v>39868</v>
      </c>
      <c r="G9498" t="s">
        <v>39869</v>
      </c>
      <c r="L9498" t="s">
        <v>83</v>
      </c>
      <c r="M9498" t="s">
        <v>85</v>
      </c>
      <c r="R9498" t="s">
        <v>39870</v>
      </c>
      <c r="W9498" t="s">
        <v>39868</v>
      </c>
      <c r="X9498" t="s">
        <v>32967</v>
      </c>
      <c r="Y9498" t="s">
        <v>97</v>
      </c>
      <c r="Z9498" t="s">
        <v>77</v>
      </c>
      <c r="AA9498" t="str">
        <f>"10003-0000"</f>
        <v>10003-0000</v>
      </c>
      <c r="AB9498" t="s">
        <v>78</v>
      </c>
      <c r="AC9498" t="s">
        <v>79</v>
      </c>
      <c r="AD9498" t="s">
        <v>75</v>
      </c>
      <c r="AE9498" t="s">
        <v>80</v>
      </c>
      <c r="AG9498" t="s">
        <v>81</v>
      </c>
    </row>
    <row r="9499" spans="1:33" x14ac:dyDescent="0.25">
      <c r="A9499" t="str">
        <f>"1811159130"</f>
        <v>1811159130</v>
      </c>
      <c r="B9499" t="str">
        <f>"03025674"</f>
        <v>03025674</v>
      </c>
      <c r="C9499" t="s">
        <v>13436</v>
      </c>
      <c r="D9499" t="s">
        <v>39871</v>
      </c>
      <c r="E9499" t="s">
        <v>39872</v>
      </c>
      <c r="G9499" t="s">
        <v>39873</v>
      </c>
      <c r="L9499" t="s">
        <v>74</v>
      </c>
      <c r="M9499" t="s">
        <v>75</v>
      </c>
      <c r="R9499" t="s">
        <v>39874</v>
      </c>
      <c r="W9499" t="s">
        <v>39872</v>
      </c>
      <c r="X9499" t="s">
        <v>246</v>
      </c>
      <c r="Y9499" t="s">
        <v>180</v>
      </c>
      <c r="Z9499" t="s">
        <v>77</v>
      </c>
      <c r="AA9499" t="str">
        <f>"10701-4004"</f>
        <v>10701-4004</v>
      </c>
      <c r="AB9499" t="s">
        <v>78</v>
      </c>
      <c r="AC9499" t="s">
        <v>79</v>
      </c>
      <c r="AD9499" t="s">
        <v>75</v>
      </c>
      <c r="AE9499" t="s">
        <v>80</v>
      </c>
      <c r="AG9499" t="s">
        <v>81</v>
      </c>
    </row>
    <row r="9500" spans="1:33" x14ac:dyDescent="0.25">
      <c r="A9500" t="str">
        <f>"1720307002"</f>
        <v>1720307002</v>
      </c>
      <c r="B9500" t="str">
        <f>"04241461"</f>
        <v>04241461</v>
      </c>
      <c r="C9500" t="s">
        <v>13436</v>
      </c>
      <c r="D9500" t="s">
        <v>39875</v>
      </c>
      <c r="E9500" t="s">
        <v>39876</v>
      </c>
      <c r="L9500" t="s">
        <v>83</v>
      </c>
      <c r="M9500" t="s">
        <v>75</v>
      </c>
      <c r="R9500" t="s">
        <v>39877</v>
      </c>
      <c r="W9500" t="s">
        <v>39876</v>
      </c>
      <c r="X9500" t="s">
        <v>210</v>
      </c>
      <c r="Y9500" t="s">
        <v>209</v>
      </c>
      <c r="Z9500" t="s">
        <v>77</v>
      </c>
      <c r="AA9500" t="str">
        <f>"11794-8191"</f>
        <v>11794-8191</v>
      </c>
      <c r="AB9500" t="s">
        <v>78</v>
      </c>
      <c r="AC9500" t="s">
        <v>79</v>
      </c>
      <c r="AD9500" t="s">
        <v>75</v>
      </c>
      <c r="AE9500" t="s">
        <v>80</v>
      </c>
      <c r="AG9500" t="s">
        <v>81</v>
      </c>
    </row>
    <row r="9501" spans="1:33" x14ac:dyDescent="0.25">
      <c r="A9501" t="str">
        <f>"1720317910"</f>
        <v>1720317910</v>
      </c>
      <c r="C9501" t="s">
        <v>13436</v>
      </c>
      <c r="K9501" t="s">
        <v>99</v>
      </c>
      <c r="L9501" t="s">
        <v>102</v>
      </c>
      <c r="M9501" t="s">
        <v>75</v>
      </c>
      <c r="R9501" t="s">
        <v>39878</v>
      </c>
      <c r="S9501" t="s">
        <v>39879</v>
      </c>
      <c r="T9501" t="s">
        <v>1789</v>
      </c>
      <c r="U9501" t="s">
        <v>285</v>
      </c>
      <c r="V9501" t="str">
        <f>"606223851"</f>
        <v>606223851</v>
      </c>
      <c r="AC9501" t="s">
        <v>79</v>
      </c>
      <c r="AD9501" t="s">
        <v>75</v>
      </c>
      <c r="AE9501" t="s">
        <v>103</v>
      </c>
      <c r="AG9501" t="s">
        <v>81</v>
      </c>
    </row>
    <row r="9502" spans="1:33" x14ac:dyDescent="0.25">
      <c r="A9502" t="str">
        <f>"1720321557"</f>
        <v>1720321557</v>
      </c>
      <c r="C9502" t="s">
        <v>13436</v>
      </c>
      <c r="K9502" t="s">
        <v>99</v>
      </c>
      <c r="L9502" t="s">
        <v>102</v>
      </c>
      <c r="M9502" t="s">
        <v>75</v>
      </c>
      <c r="R9502" t="s">
        <v>39880</v>
      </c>
      <c r="S9502" t="s">
        <v>39881</v>
      </c>
      <c r="T9502" t="s">
        <v>39882</v>
      </c>
      <c r="U9502" t="s">
        <v>156</v>
      </c>
      <c r="V9502" t="str">
        <f>"070202309"</f>
        <v>070202309</v>
      </c>
      <c r="AC9502" t="s">
        <v>79</v>
      </c>
      <c r="AD9502" t="s">
        <v>75</v>
      </c>
      <c r="AE9502" t="s">
        <v>103</v>
      </c>
      <c r="AG9502" t="s">
        <v>81</v>
      </c>
    </row>
    <row r="9503" spans="1:33" x14ac:dyDescent="0.25">
      <c r="A9503" t="str">
        <f>"1720345028"</f>
        <v>1720345028</v>
      </c>
      <c r="B9503" t="str">
        <f>"04600804"</f>
        <v>04600804</v>
      </c>
      <c r="C9503" t="s">
        <v>13436</v>
      </c>
      <c r="D9503" t="s">
        <v>39883</v>
      </c>
      <c r="E9503" t="s">
        <v>39884</v>
      </c>
      <c r="L9503" t="s">
        <v>102</v>
      </c>
      <c r="M9503" t="s">
        <v>75</v>
      </c>
      <c r="R9503" t="s">
        <v>39885</v>
      </c>
      <c r="W9503" t="s">
        <v>39884</v>
      </c>
      <c r="AB9503" t="s">
        <v>78</v>
      </c>
      <c r="AC9503" t="s">
        <v>79</v>
      </c>
      <c r="AD9503" t="s">
        <v>75</v>
      </c>
      <c r="AE9503" t="s">
        <v>80</v>
      </c>
      <c r="AG9503" t="s">
        <v>81</v>
      </c>
    </row>
    <row r="9504" spans="1:33" x14ac:dyDescent="0.25">
      <c r="A9504" t="str">
        <f>"1720345341"</f>
        <v>1720345341</v>
      </c>
      <c r="B9504" t="str">
        <f>"04343459"</f>
        <v>04343459</v>
      </c>
      <c r="C9504" t="s">
        <v>13436</v>
      </c>
      <c r="D9504" t="s">
        <v>39886</v>
      </c>
      <c r="E9504" t="s">
        <v>39887</v>
      </c>
      <c r="L9504" t="s">
        <v>74</v>
      </c>
      <c r="M9504" t="s">
        <v>75</v>
      </c>
      <c r="R9504" t="s">
        <v>39887</v>
      </c>
      <c r="W9504" t="s">
        <v>39887</v>
      </c>
      <c r="X9504" t="s">
        <v>39888</v>
      </c>
      <c r="Y9504" t="s">
        <v>97</v>
      </c>
      <c r="Z9504" t="s">
        <v>77</v>
      </c>
      <c r="AA9504" t="str">
        <f>"10011-4401"</f>
        <v>10011-4401</v>
      </c>
      <c r="AB9504" t="s">
        <v>78</v>
      </c>
      <c r="AC9504" t="s">
        <v>79</v>
      </c>
      <c r="AD9504" t="s">
        <v>75</v>
      </c>
      <c r="AE9504" t="s">
        <v>80</v>
      </c>
      <c r="AG9504" t="s">
        <v>81</v>
      </c>
    </row>
    <row r="9505" spans="1:33" x14ac:dyDescent="0.25">
      <c r="A9505" t="str">
        <f>"1720353808"</f>
        <v>1720353808</v>
      </c>
      <c r="B9505" t="str">
        <f>"04426775"</f>
        <v>04426775</v>
      </c>
      <c r="C9505" t="s">
        <v>13436</v>
      </c>
      <c r="D9505" t="s">
        <v>39889</v>
      </c>
      <c r="E9505" t="s">
        <v>39890</v>
      </c>
      <c r="L9505" t="s">
        <v>102</v>
      </c>
      <c r="M9505" t="s">
        <v>75</v>
      </c>
      <c r="R9505" t="s">
        <v>39891</v>
      </c>
      <c r="W9505" t="s">
        <v>39890</v>
      </c>
      <c r="X9505" t="s">
        <v>267</v>
      </c>
      <c r="Y9505" t="s">
        <v>91</v>
      </c>
      <c r="Z9505" t="s">
        <v>77</v>
      </c>
      <c r="AA9505" t="str">
        <f>"11373-1329"</f>
        <v>11373-1329</v>
      </c>
      <c r="AB9505" t="s">
        <v>78</v>
      </c>
      <c r="AC9505" t="s">
        <v>79</v>
      </c>
      <c r="AD9505" t="s">
        <v>75</v>
      </c>
      <c r="AE9505" t="s">
        <v>80</v>
      </c>
      <c r="AG9505" t="s">
        <v>81</v>
      </c>
    </row>
    <row r="9506" spans="1:33" x14ac:dyDescent="0.25">
      <c r="A9506" t="str">
        <f>"1720366875"</f>
        <v>1720366875</v>
      </c>
      <c r="B9506" t="str">
        <f>"04385291"</f>
        <v>04385291</v>
      </c>
      <c r="C9506" t="s">
        <v>13436</v>
      </c>
      <c r="D9506" t="s">
        <v>39892</v>
      </c>
      <c r="E9506" t="s">
        <v>39893</v>
      </c>
      <c r="L9506" t="s">
        <v>102</v>
      </c>
      <c r="M9506" t="s">
        <v>75</v>
      </c>
      <c r="R9506" t="s">
        <v>39893</v>
      </c>
      <c r="W9506" t="s">
        <v>39893</v>
      </c>
      <c r="X9506" t="s">
        <v>329</v>
      </c>
      <c r="Y9506" t="s">
        <v>97</v>
      </c>
      <c r="Z9506" t="s">
        <v>77</v>
      </c>
      <c r="AA9506" t="str">
        <f>"10029-6504"</f>
        <v>10029-6504</v>
      </c>
      <c r="AB9506" t="s">
        <v>78</v>
      </c>
      <c r="AC9506" t="s">
        <v>79</v>
      </c>
      <c r="AD9506" t="s">
        <v>75</v>
      </c>
      <c r="AE9506" t="s">
        <v>80</v>
      </c>
      <c r="AG9506" t="s">
        <v>81</v>
      </c>
    </row>
    <row r="9507" spans="1:33" x14ac:dyDescent="0.25">
      <c r="A9507" t="str">
        <f>"1952343212"</f>
        <v>1952343212</v>
      </c>
      <c r="B9507" t="str">
        <f>"02350690"</f>
        <v>02350690</v>
      </c>
      <c r="C9507" t="s">
        <v>13436</v>
      </c>
      <c r="D9507" t="s">
        <v>39894</v>
      </c>
      <c r="E9507" t="s">
        <v>39895</v>
      </c>
      <c r="L9507" t="s">
        <v>83</v>
      </c>
      <c r="M9507" t="s">
        <v>85</v>
      </c>
      <c r="R9507" t="s">
        <v>39896</v>
      </c>
      <c r="W9507" t="s">
        <v>39895</v>
      </c>
      <c r="X9507" t="s">
        <v>329</v>
      </c>
      <c r="Y9507" t="s">
        <v>97</v>
      </c>
      <c r="Z9507" t="s">
        <v>77</v>
      </c>
      <c r="AA9507" t="str">
        <f>"10029-6500"</f>
        <v>10029-6500</v>
      </c>
      <c r="AB9507" t="s">
        <v>78</v>
      </c>
      <c r="AC9507" t="s">
        <v>79</v>
      </c>
      <c r="AD9507" t="s">
        <v>75</v>
      </c>
      <c r="AE9507" t="s">
        <v>80</v>
      </c>
      <c r="AG9507" t="s">
        <v>81</v>
      </c>
    </row>
    <row r="9508" spans="1:33" x14ac:dyDescent="0.25">
      <c r="A9508" t="str">
        <f>"1962573121"</f>
        <v>1962573121</v>
      </c>
      <c r="B9508" t="str">
        <f>"02512554"</f>
        <v>02512554</v>
      </c>
      <c r="C9508" t="s">
        <v>13436</v>
      </c>
      <c r="D9508" t="s">
        <v>39897</v>
      </c>
      <c r="E9508" t="s">
        <v>39898</v>
      </c>
      <c r="L9508" t="s">
        <v>84</v>
      </c>
      <c r="M9508" t="s">
        <v>75</v>
      </c>
      <c r="R9508" t="s">
        <v>39899</v>
      </c>
      <c r="W9508" t="s">
        <v>39898</v>
      </c>
      <c r="X9508" t="s">
        <v>39900</v>
      </c>
      <c r="Y9508" t="s">
        <v>87</v>
      </c>
      <c r="Z9508" t="s">
        <v>77</v>
      </c>
      <c r="AA9508" t="str">
        <f>"11224"</f>
        <v>11224</v>
      </c>
      <c r="AB9508" t="s">
        <v>78</v>
      </c>
      <c r="AC9508" t="s">
        <v>79</v>
      </c>
      <c r="AD9508" t="s">
        <v>75</v>
      </c>
      <c r="AE9508" t="s">
        <v>80</v>
      </c>
      <c r="AG9508" t="s">
        <v>81</v>
      </c>
    </row>
    <row r="9509" spans="1:33" x14ac:dyDescent="0.25">
      <c r="A9509" t="str">
        <f>"1588823314"</f>
        <v>1588823314</v>
      </c>
      <c r="B9509" t="str">
        <f>"03240659"</f>
        <v>03240659</v>
      </c>
      <c r="C9509" t="s">
        <v>13436</v>
      </c>
      <c r="D9509" t="s">
        <v>39901</v>
      </c>
      <c r="E9509" t="s">
        <v>39902</v>
      </c>
      <c r="G9509" t="s">
        <v>39903</v>
      </c>
      <c r="L9509" t="s">
        <v>83</v>
      </c>
      <c r="M9509" t="s">
        <v>85</v>
      </c>
      <c r="R9509" t="s">
        <v>39904</v>
      </c>
      <c r="W9509" t="s">
        <v>39902</v>
      </c>
      <c r="X9509" t="s">
        <v>7672</v>
      </c>
      <c r="Y9509" t="s">
        <v>87</v>
      </c>
      <c r="Z9509" t="s">
        <v>77</v>
      </c>
      <c r="AA9509" t="str">
        <f>"11211-7823"</f>
        <v>11211-7823</v>
      </c>
      <c r="AB9509" t="s">
        <v>78</v>
      </c>
      <c r="AC9509" t="s">
        <v>79</v>
      </c>
      <c r="AD9509" t="s">
        <v>75</v>
      </c>
      <c r="AE9509" t="s">
        <v>80</v>
      </c>
      <c r="AG9509" t="s">
        <v>81</v>
      </c>
    </row>
    <row r="9510" spans="1:33" x14ac:dyDescent="0.25">
      <c r="A9510" t="str">
        <f>"1598079444"</f>
        <v>1598079444</v>
      </c>
      <c r="B9510" t="str">
        <f>"04143913"</f>
        <v>04143913</v>
      </c>
      <c r="C9510" t="s">
        <v>13436</v>
      </c>
      <c r="D9510" t="s">
        <v>39905</v>
      </c>
      <c r="E9510" t="s">
        <v>39906</v>
      </c>
      <c r="G9510" t="s">
        <v>39907</v>
      </c>
      <c r="L9510" t="s">
        <v>74</v>
      </c>
      <c r="M9510" t="s">
        <v>75</v>
      </c>
      <c r="R9510" t="s">
        <v>39908</v>
      </c>
      <c r="W9510" t="s">
        <v>39906</v>
      </c>
      <c r="X9510" t="s">
        <v>200</v>
      </c>
      <c r="Y9510" t="s">
        <v>97</v>
      </c>
      <c r="Z9510" t="s">
        <v>77</v>
      </c>
      <c r="AA9510" t="str">
        <f>"10032-3720"</f>
        <v>10032-3720</v>
      </c>
      <c r="AB9510" t="s">
        <v>78</v>
      </c>
      <c r="AC9510" t="s">
        <v>79</v>
      </c>
      <c r="AD9510" t="s">
        <v>75</v>
      </c>
      <c r="AE9510" t="s">
        <v>80</v>
      </c>
      <c r="AG9510" t="s">
        <v>81</v>
      </c>
    </row>
    <row r="9511" spans="1:33" x14ac:dyDescent="0.25">
      <c r="A9511" t="str">
        <f>"1598941262"</f>
        <v>1598941262</v>
      </c>
      <c r="C9511" t="s">
        <v>13436</v>
      </c>
      <c r="G9511" t="s">
        <v>39909</v>
      </c>
      <c r="K9511" t="s">
        <v>99</v>
      </c>
      <c r="L9511" t="s">
        <v>102</v>
      </c>
      <c r="M9511" t="s">
        <v>75</v>
      </c>
      <c r="R9511" t="s">
        <v>39910</v>
      </c>
      <c r="S9511" t="s">
        <v>39911</v>
      </c>
      <c r="T9511" t="s">
        <v>139</v>
      </c>
      <c r="U9511" t="s">
        <v>77</v>
      </c>
      <c r="V9511" t="str">
        <f>"113583230"</f>
        <v>113583230</v>
      </c>
      <c r="AC9511" t="s">
        <v>79</v>
      </c>
      <c r="AD9511" t="s">
        <v>75</v>
      </c>
      <c r="AE9511" t="s">
        <v>103</v>
      </c>
      <c r="AG9511" t="s">
        <v>81</v>
      </c>
    </row>
    <row r="9512" spans="1:33" x14ac:dyDescent="0.25">
      <c r="A9512" t="str">
        <f>"1609056423"</f>
        <v>1609056423</v>
      </c>
      <c r="B9512" t="str">
        <f>"03852031"</f>
        <v>03852031</v>
      </c>
      <c r="C9512" t="s">
        <v>13436</v>
      </c>
      <c r="D9512" t="s">
        <v>39912</v>
      </c>
      <c r="E9512" t="s">
        <v>39913</v>
      </c>
      <c r="G9512" t="s">
        <v>39914</v>
      </c>
      <c r="L9512" t="s">
        <v>74</v>
      </c>
      <c r="M9512" t="s">
        <v>75</v>
      </c>
      <c r="R9512" t="s">
        <v>39915</v>
      </c>
      <c r="W9512" t="s">
        <v>39913</v>
      </c>
      <c r="X9512" t="s">
        <v>39916</v>
      </c>
      <c r="Y9512" t="s">
        <v>87</v>
      </c>
      <c r="Z9512" t="s">
        <v>77</v>
      </c>
      <c r="AA9512" t="str">
        <f>"11219-2916"</f>
        <v>11219-2916</v>
      </c>
      <c r="AB9512" t="s">
        <v>78</v>
      </c>
      <c r="AC9512" t="s">
        <v>79</v>
      </c>
      <c r="AD9512" t="s">
        <v>75</v>
      </c>
      <c r="AE9512" t="s">
        <v>80</v>
      </c>
      <c r="AG9512" t="s">
        <v>81</v>
      </c>
    </row>
    <row r="9513" spans="1:33" x14ac:dyDescent="0.25">
      <c r="A9513" t="str">
        <f>"1609836964"</f>
        <v>1609836964</v>
      </c>
      <c r="B9513" t="str">
        <f>"00864017"</f>
        <v>00864017</v>
      </c>
      <c r="C9513" t="s">
        <v>13436</v>
      </c>
      <c r="D9513" t="s">
        <v>39917</v>
      </c>
      <c r="E9513" t="s">
        <v>39918</v>
      </c>
      <c r="G9513" t="s">
        <v>39919</v>
      </c>
      <c r="L9513" t="s">
        <v>83</v>
      </c>
      <c r="M9513" t="s">
        <v>75</v>
      </c>
      <c r="R9513" t="s">
        <v>39920</v>
      </c>
      <c r="W9513" t="s">
        <v>39918</v>
      </c>
      <c r="X9513" t="s">
        <v>39921</v>
      </c>
      <c r="Y9513" t="s">
        <v>254</v>
      </c>
      <c r="Z9513" t="s">
        <v>77</v>
      </c>
      <c r="AA9513" t="str">
        <f>"11374-3662"</f>
        <v>11374-3662</v>
      </c>
      <c r="AB9513" t="s">
        <v>128</v>
      </c>
      <c r="AC9513" t="s">
        <v>79</v>
      </c>
      <c r="AD9513" t="s">
        <v>75</v>
      </c>
      <c r="AE9513" t="s">
        <v>80</v>
      </c>
      <c r="AG9513" t="s">
        <v>81</v>
      </c>
    </row>
    <row r="9514" spans="1:33" x14ac:dyDescent="0.25">
      <c r="A9514" t="str">
        <f>"1609872472"</f>
        <v>1609872472</v>
      </c>
      <c r="B9514" t="str">
        <f>"01170929"</f>
        <v>01170929</v>
      </c>
      <c r="C9514" t="s">
        <v>13436</v>
      </c>
      <c r="D9514" t="s">
        <v>39922</v>
      </c>
      <c r="E9514" t="s">
        <v>39923</v>
      </c>
      <c r="G9514" t="s">
        <v>39924</v>
      </c>
      <c r="L9514" t="s">
        <v>84</v>
      </c>
      <c r="M9514" t="s">
        <v>85</v>
      </c>
      <c r="R9514" t="s">
        <v>39925</v>
      </c>
      <c r="W9514" t="s">
        <v>39926</v>
      </c>
      <c r="X9514" t="s">
        <v>39927</v>
      </c>
      <c r="Y9514" t="s">
        <v>87</v>
      </c>
      <c r="Z9514" t="s">
        <v>77</v>
      </c>
      <c r="AA9514" t="str">
        <f>"11215-1378"</f>
        <v>11215-1378</v>
      </c>
      <c r="AB9514" t="s">
        <v>78</v>
      </c>
      <c r="AC9514" t="s">
        <v>79</v>
      </c>
      <c r="AD9514" t="s">
        <v>75</v>
      </c>
      <c r="AE9514" t="s">
        <v>80</v>
      </c>
      <c r="AG9514" t="s">
        <v>81</v>
      </c>
    </row>
    <row r="9515" spans="1:33" x14ac:dyDescent="0.25">
      <c r="A9515" t="str">
        <f>"1619142882"</f>
        <v>1619142882</v>
      </c>
      <c r="B9515" t="str">
        <f>"03247665"</f>
        <v>03247665</v>
      </c>
      <c r="C9515" t="s">
        <v>13436</v>
      </c>
      <c r="D9515" t="s">
        <v>39928</v>
      </c>
      <c r="E9515" t="s">
        <v>39929</v>
      </c>
      <c r="G9515" t="s">
        <v>39930</v>
      </c>
      <c r="L9515" t="s">
        <v>83</v>
      </c>
      <c r="M9515" t="s">
        <v>75</v>
      </c>
      <c r="R9515" t="s">
        <v>39931</v>
      </c>
      <c r="W9515" t="s">
        <v>39929</v>
      </c>
      <c r="X9515" t="s">
        <v>4799</v>
      </c>
      <c r="Y9515" t="s">
        <v>87</v>
      </c>
      <c r="Z9515" t="s">
        <v>77</v>
      </c>
      <c r="AA9515" t="str">
        <f>"11234-2625"</f>
        <v>11234-2625</v>
      </c>
      <c r="AB9515" t="s">
        <v>78</v>
      </c>
      <c r="AC9515" t="s">
        <v>79</v>
      </c>
      <c r="AD9515" t="s">
        <v>75</v>
      </c>
      <c r="AE9515" t="s">
        <v>80</v>
      </c>
      <c r="AG9515" t="s">
        <v>81</v>
      </c>
    </row>
    <row r="9516" spans="1:33" x14ac:dyDescent="0.25">
      <c r="A9516" t="str">
        <f>"1619985181"</f>
        <v>1619985181</v>
      </c>
      <c r="B9516" t="str">
        <f>"02940430"</f>
        <v>02940430</v>
      </c>
      <c r="C9516" t="s">
        <v>13436</v>
      </c>
      <c r="D9516" t="s">
        <v>1711</v>
      </c>
      <c r="E9516" t="s">
        <v>1712</v>
      </c>
      <c r="G9516" t="s">
        <v>39932</v>
      </c>
      <c r="L9516" t="s">
        <v>83</v>
      </c>
      <c r="M9516" t="s">
        <v>85</v>
      </c>
      <c r="R9516" t="s">
        <v>1710</v>
      </c>
      <c r="W9516" t="s">
        <v>1713</v>
      </c>
      <c r="X9516" t="s">
        <v>1355</v>
      </c>
      <c r="Y9516" t="s">
        <v>97</v>
      </c>
      <c r="Z9516" t="s">
        <v>77</v>
      </c>
      <c r="AA9516" t="str">
        <f>"10013-4408"</f>
        <v>10013-4408</v>
      </c>
      <c r="AB9516" t="s">
        <v>128</v>
      </c>
      <c r="AC9516" t="s">
        <v>79</v>
      </c>
      <c r="AD9516" t="s">
        <v>75</v>
      </c>
      <c r="AE9516" t="s">
        <v>80</v>
      </c>
      <c r="AG9516" t="s">
        <v>81</v>
      </c>
    </row>
    <row r="9517" spans="1:33" x14ac:dyDescent="0.25">
      <c r="A9517" t="str">
        <f>"1497013379"</f>
        <v>1497013379</v>
      </c>
      <c r="C9517" t="s">
        <v>13436</v>
      </c>
      <c r="K9517" t="s">
        <v>99</v>
      </c>
      <c r="L9517" t="s">
        <v>102</v>
      </c>
      <c r="M9517" t="s">
        <v>75</v>
      </c>
      <c r="R9517" t="s">
        <v>39933</v>
      </c>
      <c r="S9517" t="s">
        <v>11975</v>
      </c>
      <c r="T9517" t="s">
        <v>97</v>
      </c>
      <c r="U9517" t="s">
        <v>77</v>
      </c>
      <c r="V9517" t="str">
        <f>"10029"</f>
        <v>10029</v>
      </c>
      <c r="AC9517" t="s">
        <v>79</v>
      </c>
      <c r="AD9517" t="s">
        <v>75</v>
      </c>
      <c r="AE9517" t="s">
        <v>103</v>
      </c>
      <c r="AG9517" t="s">
        <v>81</v>
      </c>
    </row>
    <row r="9518" spans="1:33" x14ac:dyDescent="0.25">
      <c r="A9518" t="str">
        <f>"1497018923"</f>
        <v>1497018923</v>
      </c>
      <c r="C9518" t="s">
        <v>13436</v>
      </c>
      <c r="G9518" t="s">
        <v>39934</v>
      </c>
      <c r="K9518" t="s">
        <v>99</v>
      </c>
      <c r="L9518" t="s">
        <v>102</v>
      </c>
      <c r="M9518" t="s">
        <v>75</v>
      </c>
      <c r="R9518" t="s">
        <v>39935</v>
      </c>
      <c r="S9518" t="s">
        <v>39936</v>
      </c>
      <c r="T9518" t="s">
        <v>2660</v>
      </c>
      <c r="U9518" t="s">
        <v>2661</v>
      </c>
      <c r="V9518" t="str">
        <f>"212392945"</f>
        <v>212392945</v>
      </c>
      <c r="AC9518" t="s">
        <v>79</v>
      </c>
      <c r="AD9518" t="s">
        <v>75</v>
      </c>
      <c r="AE9518" t="s">
        <v>103</v>
      </c>
      <c r="AG9518" t="s">
        <v>81</v>
      </c>
    </row>
    <row r="9519" spans="1:33" x14ac:dyDescent="0.25">
      <c r="A9519" t="str">
        <f>"1477699791"</f>
        <v>1477699791</v>
      </c>
      <c r="B9519" t="str">
        <f>"02995820"</f>
        <v>02995820</v>
      </c>
      <c r="C9519" t="s">
        <v>39937</v>
      </c>
      <c r="D9519" t="s">
        <v>1322</v>
      </c>
      <c r="E9519" t="s">
        <v>1323</v>
      </c>
      <c r="G9519" t="s">
        <v>39938</v>
      </c>
      <c r="H9519" t="s">
        <v>1324</v>
      </c>
      <c r="J9519" t="s">
        <v>39939</v>
      </c>
      <c r="L9519" t="s">
        <v>211</v>
      </c>
      <c r="M9519" t="s">
        <v>85</v>
      </c>
      <c r="R9519" t="s">
        <v>1325</v>
      </c>
      <c r="W9519" t="s">
        <v>1326</v>
      </c>
      <c r="X9519" t="s">
        <v>1327</v>
      </c>
      <c r="Y9519" t="s">
        <v>394</v>
      </c>
      <c r="Z9519" t="s">
        <v>77</v>
      </c>
      <c r="AA9519" t="str">
        <f>"11104-2406"</f>
        <v>11104-2406</v>
      </c>
      <c r="AB9519" t="s">
        <v>93</v>
      </c>
      <c r="AC9519" t="s">
        <v>79</v>
      </c>
      <c r="AD9519" t="s">
        <v>75</v>
      </c>
      <c r="AE9519" t="s">
        <v>80</v>
      </c>
      <c r="AG9519" t="s">
        <v>81</v>
      </c>
    </row>
    <row r="9520" spans="1:33" x14ac:dyDescent="0.25">
      <c r="A9520" t="str">
        <f>"1477966604"</f>
        <v>1477966604</v>
      </c>
      <c r="C9520" t="s">
        <v>39940</v>
      </c>
      <c r="G9520" t="s">
        <v>39941</v>
      </c>
      <c r="H9520" t="s">
        <v>3714</v>
      </c>
      <c r="J9520" t="s">
        <v>39942</v>
      </c>
      <c r="K9520" t="s">
        <v>99</v>
      </c>
      <c r="L9520" t="s">
        <v>102</v>
      </c>
      <c r="M9520" t="s">
        <v>75</v>
      </c>
      <c r="AC9520" t="s">
        <v>79</v>
      </c>
      <c r="AD9520" t="s">
        <v>75</v>
      </c>
      <c r="AE9520" t="s">
        <v>103</v>
      </c>
      <c r="AG9520" t="s">
        <v>81</v>
      </c>
    </row>
    <row r="9521" spans="1:33" x14ac:dyDescent="0.25">
      <c r="A9521" t="str">
        <f>"1821017732"</f>
        <v>1821017732</v>
      </c>
      <c r="B9521" t="str">
        <f>"03770225"</f>
        <v>03770225</v>
      </c>
      <c r="C9521" t="s">
        <v>39943</v>
      </c>
      <c r="D9521" t="s">
        <v>39944</v>
      </c>
      <c r="E9521" t="s">
        <v>39945</v>
      </c>
      <c r="G9521" t="s">
        <v>39943</v>
      </c>
      <c r="H9521" t="s">
        <v>39946</v>
      </c>
      <c r="J9521" t="s">
        <v>39947</v>
      </c>
      <c r="L9521" t="s">
        <v>83</v>
      </c>
      <c r="M9521" t="s">
        <v>75</v>
      </c>
      <c r="R9521" t="s">
        <v>39945</v>
      </c>
      <c r="W9521" t="s">
        <v>39945</v>
      </c>
      <c r="X9521" t="s">
        <v>39948</v>
      </c>
      <c r="Y9521" t="s">
        <v>97</v>
      </c>
      <c r="Z9521" t="s">
        <v>77</v>
      </c>
      <c r="AA9521" t="str">
        <f>"10002-4808"</f>
        <v>10002-4808</v>
      </c>
      <c r="AB9521" t="s">
        <v>78</v>
      </c>
      <c r="AC9521" t="s">
        <v>79</v>
      </c>
      <c r="AD9521" t="s">
        <v>75</v>
      </c>
      <c r="AE9521" t="s">
        <v>80</v>
      </c>
      <c r="AG9521" t="s">
        <v>81</v>
      </c>
    </row>
    <row r="9522" spans="1:33" x14ac:dyDescent="0.25">
      <c r="A9522" t="str">
        <f>"1033290242"</f>
        <v>1033290242</v>
      </c>
      <c r="B9522" t="str">
        <f>"02080844"</f>
        <v>02080844</v>
      </c>
      <c r="C9522" t="s">
        <v>39949</v>
      </c>
      <c r="D9522" t="s">
        <v>4373</v>
      </c>
      <c r="E9522" t="s">
        <v>4374</v>
      </c>
      <c r="G9522" t="s">
        <v>39949</v>
      </c>
      <c r="H9522" t="s">
        <v>39946</v>
      </c>
      <c r="J9522" t="s">
        <v>39950</v>
      </c>
      <c r="L9522" t="s">
        <v>84</v>
      </c>
      <c r="M9522" t="s">
        <v>85</v>
      </c>
      <c r="R9522" t="s">
        <v>4375</v>
      </c>
      <c r="W9522" t="s">
        <v>4374</v>
      </c>
      <c r="X9522" t="s">
        <v>1432</v>
      </c>
      <c r="Y9522" t="s">
        <v>131</v>
      </c>
      <c r="Z9522" t="s">
        <v>77</v>
      </c>
      <c r="AA9522" t="str">
        <f>"10461-2700"</f>
        <v>10461-2700</v>
      </c>
      <c r="AB9522" t="s">
        <v>78</v>
      </c>
      <c r="AC9522" t="s">
        <v>79</v>
      </c>
      <c r="AD9522" t="s">
        <v>75</v>
      </c>
      <c r="AE9522" t="s">
        <v>80</v>
      </c>
      <c r="AG9522" t="s">
        <v>81</v>
      </c>
    </row>
    <row r="9523" spans="1:33" x14ac:dyDescent="0.25">
      <c r="A9523" t="str">
        <f>"1366793721"</f>
        <v>1366793721</v>
      </c>
      <c r="B9523" t="str">
        <f>"03972772"</f>
        <v>03972772</v>
      </c>
      <c r="C9523" t="s">
        <v>13436</v>
      </c>
      <c r="D9523" t="s">
        <v>39951</v>
      </c>
      <c r="E9523" t="s">
        <v>39952</v>
      </c>
      <c r="G9523" t="s">
        <v>39953</v>
      </c>
      <c r="L9523" t="s">
        <v>84</v>
      </c>
      <c r="M9523" t="s">
        <v>75</v>
      </c>
      <c r="R9523" t="s">
        <v>3663</v>
      </c>
      <c r="W9523" t="s">
        <v>39954</v>
      </c>
      <c r="X9523" t="s">
        <v>235</v>
      </c>
      <c r="Y9523" t="s">
        <v>190</v>
      </c>
      <c r="Z9523" t="s">
        <v>77</v>
      </c>
      <c r="AA9523" t="str">
        <f>"11102-2448"</f>
        <v>11102-2448</v>
      </c>
      <c r="AB9523" t="s">
        <v>78</v>
      </c>
      <c r="AC9523" t="s">
        <v>79</v>
      </c>
      <c r="AD9523" t="s">
        <v>75</v>
      </c>
      <c r="AE9523" t="s">
        <v>80</v>
      </c>
      <c r="AG9523" t="s">
        <v>81</v>
      </c>
    </row>
    <row r="9524" spans="1:33" x14ac:dyDescent="0.25">
      <c r="A9524" t="str">
        <f>"1366797201"</f>
        <v>1366797201</v>
      </c>
      <c r="C9524" t="s">
        <v>13436</v>
      </c>
      <c r="K9524" t="s">
        <v>99</v>
      </c>
      <c r="L9524" t="s">
        <v>102</v>
      </c>
      <c r="M9524" t="s">
        <v>75</v>
      </c>
      <c r="R9524" t="s">
        <v>39955</v>
      </c>
      <c r="S9524" t="s">
        <v>39956</v>
      </c>
      <c r="T9524" t="s">
        <v>14961</v>
      </c>
      <c r="U9524" t="s">
        <v>2595</v>
      </c>
      <c r="V9524" t="str">
        <f>"905022004"</f>
        <v>905022004</v>
      </c>
      <c r="AC9524" t="s">
        <v>79</v>
      </c>
      <c r="AD9524" t="s">
        <v>75</v>
      </c>
      <c r="AE9524" t="s">
        <v>103</v>
      </c>
      <c r="AG9524" t="s">
        <v>81</v>
      </c>
    </row>
    <row r="9525" spans="1:33" x14ac:dyDescent="0.25">
      <c r="A9525" t="str">
        <f>"1366461170"</f>
        <v>1366461170</v>
      </c>
      <c r="B9525" t="str">
        <f>"01017303"</f>
        <v>01017303</v>
      </c>
      <c r="C9525" t="s">
        <v>13436</v>
      </c>
      <c r="D9525" t="s">
        <v>39957</v>
      </c>
      <c r="E9525" t="s">
        <v>39958</v>
      </c>
      <c r="G9525" t="s">
        <v>39959</v>
      </c>
      <c r="L9525" t="s">
        <v>83</v>
      </c>
      <c r="M9525" t="s">
        <v>85</v>
      </c>
      <c r="R9525" t="s">
        <v>39960</v>
      </c>
      <c r="W9525" t="s">
        <v>39958</v>
      </c>
      <c r="X9525" t="s">
        <v>39961</v>
      </c>
      <c r="Y9525" t="s">
        <v>91</v>
      </c>
      <c r="Z9525" t="s">
        <v>77</v>
      </c>
      <c r="AA9525" t="str">
        <f>"11373-5149"</f>
        <v>11373-5149</v>
      </c>
      <c r="AB9525" t="s">
        <v>78</v>
      </c>
      <c r="AC9525" t="s">
        <v>79</v>
      </c>
      <c r="AD9525" t="s">
        <v>75</v>
      </c>
      <c r="AE9525" t="s">
        <v>80</v>
      </c>
      <c r="AG9525" t="s">
        <v>81</v>
      </c>
    </row>
    <row r="9526" spans="1:33" x14ac:dyDescent="0.25">
      <c r="A9526" t="str">
        <f>"1043560204"</f>
        <v>1043560204</v>
      </c>
      <c r="C9526" t="s">
        <v>13436</v>
      </c>
      <c r="K9526" t="s">
        <v>99</v>
      </c>
      <c r="L9526" t="s">
        <v>102</v>
      </c>
      <c r="M9526" t="s">
        <v>75</v>
      </c>
      <c r="R9526" t="s">
        <v>39962</v>
      </c>
      <c r="S9526" t="s">
        <v>4654</v>
      </c>
      <c r="T9526" t="s">
        <v>97</v>
      </c>
      <c r="U9526" t="s">
        <v>77</v>
      </c>
      <c r="V9526" t="str">
        <f>"10038"</f>
        <v>10038</v>
      </c>
      <c r="AC9526" t="s">
        <v>79</v>
      </c>
      <c r="AD9526" t="s">
        <v>75</v>
      </c>
      <c r="AE9526" t="s">
        <v>103</v>
      </c>
      <c r="AG9526" t="s">
        <v>81</v>
      </c>
    </row>
    <row r="9527" spans="1:33" x14ac:dyDescent="0.25">
      <c r="A9527" t="str">
        <f>"1043565252"</f>
        <v>1043565252</v>
      </c>
      <c r="C9527" t="s">
        <v>13436</v>
      </c>
      <c r="K9527" t="s">
        <v>99</v>
      </c>
      <c r="L9527" t="s">
        <v>102</v>
      </c>
      <c r="M9527" t="s">
        <v>75</v>
      </c>
      <c r="R9527" t="s">
        <v>39963</v>
      </c>
      <c r="S9527" t="s">
        <v>191</v>
      </c>
      <c r="T9527" t="s">
        <v>97</v>
      </c>
      <c r="U9527" t="s">
        <v>77</v>
      </c>
      <c r="V9527" t="str">
        <f>"100191147"</f>
        <v>100191147</v>
      </c>
      <c r="AC9527" t="s">
        <v>79</v>
      </c>
      <c r="AD9527" t="s">
        <v>75</v>
      </c>
      <c r="AE9527" t="s">
        <v>103</v>
      </c>
      <c r="AG9527" t="s">
        <v>81</v>
      </c>
    </row>
    <row r="9528" spans="1:33" x14ac:dyDescent="0.25">
      <c r="A9528" t="str">
        <f>"1043566292"</f>
        <v>1043566292</v>
      </c>
      <c r="B9528" t="str">
        <f>"04038368"</f>
        <v>04038368</v>
      </c>
      <c r="C9528" t="s">
        <v>13436</v>
      </c>
      <c r="D9528" t="s">
        <v>39964</v>
      </c>
      <c r="E9528" t="s">
        <v>39965</v>
      </c>
      <c r="G9528" t="s">
        <v>39966</v>
      </c>
      <c r="L9528" t="s">
        <v>83</v>
      </c>
      <c r="M9528" t="s">
        <v>75</v>
      </c>
      <c r="R9528" t="s">
        <v>39967</v>
      </c>
      <c r="W9528" t="s">
        <v>39965</v>
      </c>
      <c r="X9528" t="s">
        <v>29936</v>
      </c>
      <c r="Y9528" t="s">
        <v>152</v>
      </c>
      <c r="Z9528" t="s">
        <v>77</v>
      </c>
      <c r="AA9528" t="str">
        <f>"11375"</f>
        <v>11375</v>
      </c>
      <c r="AB9528" t="s">
        <v>78</v>
      </c>
      <c r="AC9528" t="s">
        <v>79</v>
      </c>
      <c r="AD9528" t="s">
        <v>75</v>
      </c>
      <c r="AE9528" t="s">
        <v>80</v>
      </c>
      <c r="AG9528" t="s">
        <v>81</v>
      </c>
    </row>
    <row r="9529" spans="1:33" x14ac:dyDescent="0.25">
      <c r="A9529" t="str">
        <f>"1043576655"</f>
        <v>1043576655</v>
      </c>
      <c r="B9529" t="str">
        <f>"04556350"</f>
        <v>04556350</v>
      </c>
      <c r="C9529" t="s">
        <v>13436</v>
      </c>
      <c r="D9529" t="s">
        <v>39968</v>
      </c>
      <c r="E9529" t="s">
        <v>39969</v>
      </c>
      <c r="L9529" t="s">
        <v>74</v>
      </c>
      <c r="M9529" t="s">
        <v>75</v>
      </c>
      <c r="R9529" t="s">
        <v>39970</v>
      </c>
      <c r="W9529" t="s">
        <v>39969</v>
      </c>
      <c r="AB9529" t="s">
        <v>78</v>
      </c>
      <c r="AC9529" t="s">
        <v>79</v>
      </c>
      <c r="AD9529" t="s">
        <v>75</v>
      </c>
      <c r="AE9529" t="s">
        <v>80</v>
      </c>
      <c r="AG9529" t="s">
        <v>81</v>
      </c>
    </row>
    <row r="9530" spans="1:33" x14ac:dyDescent="0.25">
      <c r="A9530" t="str">
        <f>"1043576705"</f>
        <v>1043576705</v>
      </c>
      <c r="C9530" t="s">
        <v>13436</v>
      </c>
      <c r="K9530" t="s">
        <v>99</v>
      </c>
      <c r="L9530" t="s">
        <v>102</v>
      </c>
      <c r="M9530" t="s">
        <v>75</v>
      </c>
      <c r="R9530" t="s">
        <v>5663</v>
      </c>
      <c r="S9530" t="s">
        <v>329</v>
      </c>
      <c r="T9530" t="s">
        <v>97</v>
      </c>
      <c r="U9530" t="s">
        <v>77</v>
      </c>
      <c r="V9530" t="str">
        <f>"100296574"</f>
        <v>100296574</v>
      </c>
      <c r="AC9530" t="s">
        <v>79</v>
      </c>
      <c r="AD9530" t="s">
        <v>75</v>
      </c>
      <c r="AE9530" t="s">
        <v>103</v>
      </c>
      <c r="AG9530" t="s">
        <v>81</v>
      </c>
    </row>
    <row r="9531" spans="1:33" x14ac:dyDescent="0.25">
      <c r="A9531" t="str">
        <f>"1043578446"</f>
        <v>1043578446</v>
      </c>
      <c r="C9531" t="s">
        <v>13436</v>
      </c>
      <c r="K9531" t="s">
        <v>99</v>
      </c>
      <c r="L9531" t="s">
        <v>102</v>
      </c>
      <c r="M9531" t="s">
        <v>75</v>
      </c>
      <c r="R9531" t="s">
        <v>39971</v>
      </c>
      <c r="S9531" t="s">
        <v>39972</v>
      </c>
      <c r="T9531" t="s">
        <v>212</v>
      </c>
      <c r="U9531" t="s">
        <v>77</v>
      </c>
      <c r="V9531" t="str">
        <f>"118034802"</f>
        <v>118034802</v>
      </c>
      <c r="AC9531" t="s">
        <v>79</v>
      </c>
      <c r="AD9531" t="s">
        <v>75</v>
      </c>
      <c r="AE9531" t="s">
        <v>103</v>
      </c>
      <c r="AG9531" t="s">
        <v>81</v>
      </c>
    </row>
    <row r="9532" spans="1:33" x14ac:dyDescent="0.25">
      <c r="A9532" t="str">
        <f>"1043586175"</f>
        <v>1043586175</v>
      </c>
      <c r="C9532" t="s">
        <v>13436</v>
      </c>
      <c r="K9532" t="s">
        <v>99</v>
      </c>
      <c r="L9532" t="s">
        <v>102</v>
      </c>
      <c r="M9532" t="s">
        <v>75</v>
      </c>
      <c r="R9532" t="s">
        <v>39973</v>
      </c>
      <c r="S9532" t="s">
        <v>329</v>
      </c>
      <c r="T9532" t="s">
        <v>97</v>
      </c>
      <c r="U9532" t="s">
        <v>77</v>
      </c>
      <c r="V9532" t="str">
        <f>"100296500"</f>
        <v>100296500</v>
      </c>
      <c r="AC9532" t="s">
        <v>79</v>
      </c>
      <c r="AD9532" t="s">
        <v>75</v>
      </c>
      <c r="AE9532" t="s">
        <v>103</v>
      </c>
      <c r="AG9532" t="s">
        <v>81</v>
      </c>
    </row>
    <row r="9533" spans="1:33" x14ac:dyDescent="0.25">
      <c r="A9533" t="str">
        <f>"1043620826"</f>
        <v>1043620826</v>
      </c>
      <c r="B9533" t="str">
        <f>"04322294"</f>
        <v>04322294</v>
      </c>
      <c r="C9533" t="s">
        <v>13436</v>
      </c>
      <c r="D9533" t="s">
        <v>39974</v>
      </c>
      <c r="E9533" t="s">
        <v>39975</v>
      </c>
      <c r="L9533" t="s">
        <v>74</v>
      </c>
      <c r="M9533" t="s">
        <v>75</v>
      </c>
      <c r="R9533" t="s">
        <v>39976</v>
      </c>
      <c r="W9533" t="s">
        <v>39975</v>
      </c>
      <c r="X9533" t="s">
        <v>1660</v>
      </c>
      <c r="Y9533" t="s">
        <v>141</v>
      </c>
      <c r="Z9533" t="s">
        <v>77</v>
      </c>
      <c r="AA9533" t="str">
        <f>"11377-3566"</f>
        <v>11377-3566</v>
      </c>
      <c r="AB9533" t="s">
        <v>82</v>
      </c>
      <c r="AC9533" t="s">
        <v>79</v>
      </c>
      <c r="AD9533" t="s">
        <v>75</v>
      </c>
      <c r="AE9533" t="s">
        <v>80</v>
      </c>
      <c r="AG9533" t="s">
        <v>81</v>
      </c>
    </row>
    <row r="9534" spans="1:33" x14ac:dyDescent="0.25">
      <c r="A9534" t="str">
        <f>"1619946225"</f>
        <v>1619946225</v>
      </c>
      <c r="B9534" t="str">
        <f>"01056871"</f>
        <v>01056871</v>
      </c>
      <c r="C9534" t="s">
        <v>13436</v>
      </c>
      <c r="D9534" t="s">
        <v>39977</v>
      </c>
      <c r="E9534" t="s">
        <v>39978</v>
      </c>
      <c r="L9534" t="s">
        <v>83</v>
      </c>
      <c r="M9534" t="s">
        <v>85</v>
      </c>
      <c r="R9534" t="s">
        <v>39979</v>
      </c>
      <c r="W9534" t="s">
        <v>39978</v>
      </c>
      <c r="X9534" t="s">
        <v>39980</v>
      </c>
      <c r="Y9534" t="s">
        <v>97</v>
      </c>
      <c r="Z9534" t="s">
        <v>77</v>
      </c>
      <c r="AA9534" t="str">
        <f>"10032-3725"</f>
        <v>10032-3725</v>
      </c>
      <c r="AB9534" t="s">
        <v>78</v>
      </c>
      <c r="AC9534" t="s">
        <v>79</v>
      </c>
      <c r="AD9534" t="s">
        <v>75</v>
      </c>
      <c r="AE9534" t="s">
        <v>80</v>
      </c>
      <c r="AG9534" t="s">
        <v>81</v>
      </c>
    </row>
    <row r="9535" spans="1:33" x14ac:dyDescent="0.25">
      <c r="A9535" t="str">
        <f>"1619948783"</f>
        <v>1619948783</v>
      </c>
      <c r="B9535" t="str">
        <f>"02213096"</f>
        <v>02213096</v>
      </c>
      <c r="C9535" t="s">
        <v>13436</v>
      </c>
      <c r="D9535" t="s">
        <v>39981</v>
      </c>
      <c r="E9535" t="s">
        <v>39982</v>
      </c>
      <c r="G9535" t="s">
        <v>39983</v>
      </c>
      <c r="L9535" t="s">
        <v>83</v>
      </c>
      <c r="M9535" t="s">
        <v>85</v>
      </c>
      <c r="R9535" t="s">
        <v>39984</v>
      </c>
      <c r="W9535" t="s">
        <v>39982</v>
      </c>
      <c r="X9535" t="s">
        <v>272</v>
      </c>
      <c r="Y9535" t="s">
        <v>97</v>
      </c>
      <c r="Z9535" t="s">
        <v>77</v>
      </c>
      <c r="AA9535" t="str">
        <f>"10029-6501"</f>
        <v>10029-6501</v>
      </c>
      <c r="AB9535" t="s">
        <v>78</v>
      </c>
      <c r="AC9535" t="s">
        <v>79</v>
      </c>
      <c r="AD9535" t="s">
        <v>75</v>
      </c>
      <c r="AE9535" t="s">
        <v>80</v>
      </c>
      <c r="AG9535" t="s">
        <v>81</v>
      </c>
    </row>
    <row r="9536" spans="1:33" x14ac:dyDescent="0.25">
      <c r="A9536" t="str">
        <f>"1619950029"</f>
        <v>1619950029</v>
      </c>
      <c r="B9536" t="str">
        <f>"02671832"</f>
        <v>02671832</v>
      </c>
      <c r="C9536" t="s">
        <v>13436</v>
      </c>
      <c r="D9536" t="s">
        <v>39985</v>
      </c>
      <c r="E9536" t="s">
        <v>39986</v>
      </c>
      <c r="G9536" t="s">
        <v>39987</v>
      </c>
      <c r="L9536" t="s">
        <v>74</v>
      </c>
      <c r="M9536" t="s">
        <v>85</v>
      </c>
      <c r="R9536" t="s">
        <v>39988</v>
      </c>
      <c r="W9536" t="s">
        <v>39986</v>
      </c>
      <c r="X9536" t="s">
        <v>329</v>
      </c>
      <c r="Y9536" t="s">
        <v>97</v>
      </c>
      <c r="Z9536" t="s">
        <v>77</v>
      </c>
      <c r="AA9536" t="str">
        <f>"10029-6500"</f>
        <v>10029-6500</v>
      </c>
      <c r="AB9536" t="s">
        <v>78</v>
      </c>
      <c r="AC9536" t="s">
        <v>79</v>
      </c>
      <c r="AD9536" t="s">
        <v>75</v>
      </c>
      <c r="AE9536" t="s">
        <v>80</v>
      </c>
      <c r="AG9536" t="s">
        <v>81</v>
      </c>
    </row>
    <row r="9537" spans="1:33" x14ac:dyDescent="0.25">
      <c r="A9537" t="str">
        <f>"1619952983"</f>
        <v>1619952983</v>
      </c>
      <c r="B9537" t="str">
        <f>"00201143"</f>
        <v>00201143</v>
      </c>
      <c r="C9537" t="s">
        <v>13436</v>
      </c>
      <c r="D9537" t="s">
        <v>39989</v>
      </c>
      <c r="E9537" t="s">
        <v>39990</v>
      </c>
      <c r="G9537" t="s">
        <v>39991</v>
      </c>
      <c r="L9537" t="s">
        <v>74</v>
      </c>
      <c r="M9537" t="s">
        <v>75</v>
      </c>
      <c r="R9537" t="s">
        <v>39992</v>
      </c>
      <c r="W9537" t="s">
        <v>39990</v>
      </c>
      <c r="X9537" t="s">
        <v>329</v>
      </c>
      <c r="Y9537" t="s">
        <v>97</v>
      </c>
      <c r="Z9537" t="s">
        <v>77</v>
      </c>
      <c r="AA9537" t="str">
        <f>"10029-6500"</f>
        <v>10029-6500</v>
      </c>
      <c r="AB9537" t="s">
        <v>78</v>
      </c>
      <c r="AC9537" t="s">
        <v>79</v>
      </c>
      <c r="AD9537" t="s">
        <v>75</v>
      </c>
      <c r="AE9537" t="s">
        <v>80</v>
      </c>
      <c r="AG9537" t="s">
        <v>81</v>
      </c>
    </row>
    <row r="9538" spans="1:33" x14ac:dyDescent="0.25">
      <c r="A9538" t="str">
        <f>"1629005806"</f>
        <v>1629005806</v>
      </c>
      <c r="B9538" t="str">
        <f>"01920176"</f>
        <v>01920176</v>
      </c>
      <c r="C9538" t="s">
        <v>13436</v>
      </c>
      <c r="D9538" t="s">
        <v>39993</v>
      </c>
      <c r="E9538" t="s">
        <v>39994</v>
      </c>
      <c r="L9538" t="s">
        <v>74</v>
      </c>
      <c r="M9538" t="s">
        <v>75</v>
      </c>
      <c r="R9538" t="s">
        <v>39995</v>
      </c>
      <c r="W9538" t="s">
        <v>39994</v>
      </c>
      <c r="X9538" t="s">
        <v>5662</v>
      </c>
      <c r="Y9538" t="s">
        <v>87</v>
      </c>
      <c r="Z9538" t="s">
        <v>77</v>
      </c>
      <c r="AA9538" t="str">
        <f>"11203-1809"</f>
        <v>11203-1809</v>
      </c>
      <c r="AB9538" t="s">
        <v>78</v>
      </c>
      <c r="AC9538" t="s">
        <v>79</v>
      </c>
      <c r="AD9538" t="s">
        <v>75</v>
      </c>
      <c r="AE9538" t="s">
        <v>80</v>
      </c>
      <c r="AG9538" t="s">
        <v>81</v>
      </c>
    </row>
    <row r="9539" spans="1:33" x14ac:dyDescent="0.25">
      <c r="A9539" t="str">
        <f>"1679654289"</f>
        <v>1679654289</v>
      </c>
      <c r="B9539" t="str">
        <f>"01852735"</f>
        <v>01852735</v>
      </c>
      <c r="C9539" t="s">
        <v>13436</v>
      </c>
      <c r="D9539" t="s">
        <v>39996</v>
      </c>
      <c r="E9539" t="s">
        <v>39997</v>
      </c>
      <c r="G9539" t="s">
        <v>39998</v>
      </c>
      <c r="L9539" t="s">
        <v>83</v>
      </c>
      <c r="M9539" t="s">
        <v>85</v>
      </c>
      <c r="R9539" t="s">
        <v>39999</v>
      </c>
      <c r="W9539" t="s">
        <v>39997</v>
      </c>
      <c r="X9539" t="s">
        <v>26466</v>
      </c>
      <c r="Y9539" t="s">
        <v>97</v>
      </c>
      <c r="Z9539" t="s">
        <v>77</v>
      </c>
      <c r="AA9539" t="str">
        <f>"10029-6501"</f>
        <v>10029-6501</v>
      </c>
      <c r="AB9539" t="s">
        <v>78</v>
      </c>
      <c r="AC9539" t="s">
        <v>79</v>
      </c>
      <c r="AD9539" t="s">
        <v>75</v>
      </c>
      <c r="AE9539" t="s">
        <v>80</v>
      </c>
      <c r="AG9539" t="s">
        <v>81</v>
      </c>
    </row>
    <row r="9540" spans="1:33" x14ac:dyDescent="0.25">
      <c r="A9540" t="str">
        <f>"1679708812"</f>
        <v>1679708812</v>
      </c>
      <c r="C9540" t="s">
        <v>13436</v>
      </c>
      <c r="K9540" t="s">
        <v>99</v>
      </c>
      <c r="L9540" t="s">
        <v>102</v>
      </c>
      <c r="M9540" t="s">
        <v>75</v>
      </c>
      <c r="R9540" t="s">
        <v>40000</v>
      </c>
      <c r="S9540" t="s">
        <v>14796</v>
      </c>
      <c r="T9540" t="s">
        <v>97</v>
      </c>
      <c r="U9540" t="s">
        <v>77</v>
      </c>
      <c r="V9540" t="str">
        <f>"100296501"</f>
        <v>100296501</v>
      </c>
      <c r="AC9540" t="s">
        <v>79</v>
      </c>
      <c r="AD9540" t="s">
        <v>75</v>
      </c>
      <c r="AE9540" t="s">
        <v>103</v>
      </c>
      <c r="AG9540" t="s">
        <v>81</v>
      </c>
    </row>
    <row r="9541" spans="1:33" x14ac:dyDescent="0.25">
      <c r="A9541" t="str">
        <f>"1780820795"</f>
        <v>1780820795</v>
      </c>
      <c r="B9541" t="str">
        <f>"03173053"</f>
        <v>03173053</v>
      </c>
      <c r="C9541" t="s">
        <v>13436</v>
      </c>
      <c r="D9541" t="s">
        <v>2679</v>
      </c>
      <c r="E9541" t="s">
        <v>2680</v>
      </c>
      <c r="G9541" t="s">
        <v>40001</v>
      </c>
      <c r="L9541" t="s">
        <v>74</v>
      </c>
      <c r="M9541" t="s">
        <v>75</v>
      </c>
      <c r="R9541" t="s">
        <v>2681</v>
      </c>
      <c r="W9541" t="s">
        <v>2680</v>
      </c>
      <c r="X9541" t="s">
        <v>195</v>
      </c>
      <c r="Y9541" t="s">
        <v>153</v>
      </c>
      <c r="Z9541" t="s">
        <v>77</v>
      </c>
      <c r="AA9541" t="str">
        <f>"12601-3947"</f>
        <v>12601-3947</v>
      </c>
      <c r="AB9541" t="s">
        <v>78</v>
      </c>
      <c r="AC9541" t="s">
        <v>79</v>
      </c>
      <c r="AD9541" t="s">
        <v>75</v>
      </c>
      <c r="AE9541" t="s">
        <v>80</v>
      </c>
      <c r="AG9541" t="s">
        <v>81</v>
      </c>
    </row>
    <row r="9542" spans="1:33" x14ac:dyDescent="0.25">
      <c r="A9542" t="str">
        <f>"1841520962"</f>
        <v>1841520962</v>
      </c>
      <c r="B9542" t="str">
        <f>"03397202"</f>
        <v>03397202</v>
      </c>
      <c r="C9542" t="s">
        <v>40002</v>
      </c>
      <c r="D9542" t="s">
        <v>40003</v>
      </c>
      <c r="E9542" t="s">
        <v>40004</v>
      </c>
      <c r="G9542" t="s">
        <v>35048</v>
      </c>
      <c r="H9542" t="s">
        <v>35049</v>
      </c>
      <c r="J9542" t="s">
        <v>35050</v>
      </c>
      <c r="L9542" t="s">
        <v>83</v>
      </c>
      <c r="M9542" t="s">
        <v>85</v>
      </c>
      <c r="R9542" t="s">
        <v>40005</v>
      </c>
      <c r="W9542" t="s">
        <v>40004</v>
      </c>
      <c r="X9542" t="s">
        <v>2582</v>
      </c>
      <c r="Y9542" t="s">
        <v>97</v>
      </c>
      <c r="Z9542" t="s">
        <v>77</v>
      </c>
      <c r="AA9542" t="str">
        <f>"10012-2413"</f>
        <v>10012-2413</v>
      </c>
      <c r="AB9542" t="s">
        <v>78</v>
      </c>
      <c r="AC9542" t="s">
        <v>79</v>
      </c>
      <c r="AD9542" t="s">
        <v>75</v>
      </c>
      <c r="AE9542" t="s">
        <v>80</v>
      </c>
      <c r="AG9542" t="s">
        <v>81</v>
      </c>
    </row>
    <row r="9543" spans="1:33" x14ac:dyDescent="0.25">
      <c r="A9543" t="str">
        <f>"1649404997"</f>
        <v>1649404997</v>
      </c>
      <c r="B9543" t="str">
        <f>"03990392"</f>
        <v>03990392</v>
      </c>
      <c r="C9543" t="s">
        <v>13436</v>
      </c>
      <c r="D9543" t="s">
        <v>40006</v>
      </c>
      <c r="E9543" t="s">
        <v>40007</v>
      </c>
      <c r="G9543" t="s">
        <v>40008</v>
      </c>
      <c r="L9543" t="s">
        <v>83</v>
      </c>
      <c r="M9543" t="s">
        <v>75</v>
      </c>
      <c r="R9543" t="s">
        <v>40009</v>
      </c>
      <c r="W9543" t="s">
        <v>40007</v>
      </c>
      <c r="X9543" t="s">
        <v>191</v>
      </c>
      <c r="Y9543" t="s">
        <v>97</v>
      </c>
      <c r="Z9543" t="s">
        <v>77</v>
      </c>
      <c r="AA9543" t="str">
        <f>"10019-1147"</f>
        <v>10019-1147</v>
      </c>
      <c r="AB9543" t="s">
        <v>78</v>
      </c>
      <c r="AC9543" t="s">
        <v>79</v>
      </c>
      <c r="AD9543" t="s">
        <v>75</v>
      </c>
      <c r="AE9543" t="s">
        <v>80</v>
      </c>
      <c r="AG9543" t="s">
        <v>81</v>
      </c>
    </row>
    <row r="9544" spans="1:33" x14ac:dyDescent="0.25">
      <c r="A9544" t="str">
        <f>"1649407073"</f>
        <v>1649407073</v>
      </c>
      <c r="B9544" t="str">
        <f>"03735137"</f>
        <v>03735137</v>
      </c>
      <c r="C9544" t="s">
        <v>13436</v>
      </c>
      <c r="D9544" t="s">
        <v>40010</v>
      </c>
      <c r="E9544" t="s">
        <v>4778</v>
      </c>
      <c r="G9544" t="s">
        <v>40011</v>
      </c>
      <c r="L9544" t="s">
        <v>83</v>
      </c>
      <c r="M9544" t="s">
        <v>85</v>
      </c>
      <c r="R9544" t="s">
        <v>40012</v>
      </c>
      <c r="W9544" t="s">
        <v>40012</v>
      </c>
      <c r="X9544" t="s">
        <v>329</v>
      </c>
      <c r="Y9544" t="s">
        <v>97</v>
      </c>
      <c r="Z9544" t="s">
        <v>77</v>
      </c>
      <c r="AA9544" t="str">
        <f>"10029-6504"</f>
        <v>10029-6504</v>
      </c>
      <c r="AB9544" t="s">
        <v>78</v>
      </c>
      <c r="AC9544" t="s">
        <v>79</v>
      </c>
      <c r="AD9544" t="s">
        <v>75</v>
      </c>
      <c r="AE9544" t="s">
        <v>80</v>
      </c>
      <c r="AG9544" t="s">
        <v>81</v>
      </c>
    </row>
    <row r="9545" spans="1:33" x14ac:dyDescent="0.25">
      <c r="A9545" t="str">
        <f>"1649414756"</f>
        <v>1649414756</v>
      </c>
      <c r="B9545" t="str">
        <f>"04389704"</f>
        <v>04389704</v>
      </c>
      <c r="C9545" t="s">
        <v>13436</v>
      </c>
      <c r="D9545" t="s">
        <v>40013</v>
      </c>
      <c r="E9545" t="s">
        <v>40014</v>
      </c>
      <c r="L9545" t="s">
        <v>102</v>
      </c>
      <c r="M9545" t="s">
        <v>75</v>
      </c>
      <c r="R9545" t="s">
        <v>40015</v>
      </c>
      <c r="W9545" t="s">
        <v>40014</v>
      </c>
      <c r="X9545" t="s">
        <v>1734</v>
      </c>
      <c r="Y9545" t="s">
        <v>97</v>
      </c>
      <c r="Z9545" t="s">
        <v>77</v>
      </c>
      <c r="AA9545" t="str">
        <f>"10032-3726"</f>
        <v>10032-3726</v>
      </c>
      <c r="AB9545" t="s">
        <v>78</v>
      </c>
      <c r="AC9545" t="s">
        <v>79</v>
      </c>
      <c r="AD9545" t="s">
        <v>75</v>
      </c>
      <c r="AE9545" t="s">
        <v>80</v>
      </c>
      <c r="AG9545" t="s">
        <v>81</v>
      </c>
    </row>
    <row r="9546" spans="1:33" x14ac:dyDescent="0.25">
      <c r="A9546" t="str">
        <f>"1649414954"</f>
        <v>1649414954</v>
      </c>
      <c r="C9546" t="s">
        <v>13436</v>
      </c>
      <c r="K9546" t="s">
        <v>99</v>
      </c>
      <c r="L9546" t="s">
        <v>102</v>
      </c>
      <c r="M9546" t="s">
        <v>75</v>
      </c>
      <c r="R9546" t="s">
        <v>40016</v>
      </c>
      <c r="S9546" t="s">
        <v>15712</v>
      </c>
      <c r="T9546" t="s">
        <v>97</v>
      </c>
      <c r="U9546" t="s">
        <v>77</v>
      </c>
      <c r="V9546" t="str">
        <f>"100296501"</f>
        <v>100296501</v>
      </c>
      <c r="AC9546" t="s">
        <v>79</v>
      </c>
      <c r="AD9546" t="s">
        <v>75</v>
      </c>
      <c r="AE9546" t="s">
        <v>103</v>
      </c>
      <c r="AG9546" t="s">
        <v>81</v>
      </c>
    </row>
    <row r="9547" spans="1:33" x14ac:dyDescent="0.25">
      <c r="A9547" t="str">
        <f>"1649422627"</f>
        <v>1649422627</v>
      </c>
      <c r="C9547" t="s">
        <v>13436</v>
      </c>
      <c r="K9547" t="s">
        <v>99</v>
      </c>
      <c r="L9547" t="s">
        <v>102</v>
      </c>
      <c r="M9547" t="s">
        <v>75</v>
      </c>
      <c r="R9547" t="s">
        <v>40017</v>
      </c>
      <c r="S9547" t="s">
        <v>2886</v>
      </c>
      <c r="T9547" t="s">
        <v>87</v>
      </c>
      <c r="U9547" t="s">
        <v>77</v>
      </c>
      <c r="V9547" t="str">
        <f>"112097104"</f>
        <v>112097104</v>
      </c>
      <c r="AC9547" t="s">
        <v>79</v>
      </c>
      <c r="AD9547" t="s">
        <v>75</v>
      </c>
      <c r="AE9547" t="s">
        <v>103</v>
      </c>
      <c r="AG9547" t="s">
        <v>81</v>
      </c>
    </row>
    <row r="9548" spans="1:33" x14ac:dyDescent="0.25">
      <c r="A9548" t="str">
        <f>"1649433145"</f>
        <v>1649433145</v>
      </c>
      <c r="B9548" t="str">
        <f>"03484824"</f>
        <v>03484824</v>
      </c>
      <c r="C9548" t="s">
        <v>13436</v>
      </c>
      <c r="D9548" t="s">
        <v>40018</v>
      </c>
      <c r="E9548" t="s">
        <v>40019</v>
      </c>
      <c r="G9548" t="s">
        <v>40020</v>
      </c>
      <c r="L9548" t="s">
        <v>83</v>
      </c>
      <c r="M9548" t="s">
        <v>85</v>
      </c>
      <c r="R9548" t="s">
        <v>40021</v>
      </c>
      <c r="W9548" t="s">
        <v>40019</v>
      </c>
      <c r="X9548" t="s">
        <v>329</v>
      </c>
      <c r="Y9548" t="s">
        <v>97</v>
      </c>
      <c r="Z9548" t="s">
        <v>77</v>
      </c>
      <c r="AA9548" t="str">
        <f>"10029-6504"</f>
        <v>10029-6504</v>
      </c>
      <c r="AB9548" t="s">
        <v>78</v>
      </c>
      <c r="AC9548" t="s">
        <v>79</v>
      </c>
      <c r="AD9548" t="s">
        <v>75</v>
      </c>
      <c r="AE9548" t="s">
        <v>80</v>
      </c>
      <c r="AG9548" t="s">
        <v>81</v>
      </c>
    </row>
    <row r="9549" spans="1:33" x14ac:dyDescent="0.25">
      <c r="A9549" t="str">
        <f>"1649435207"</f>
        <v>1649435207</v>
      </c>
      <c r="B9549" t="str">
        <f>"03745737"</f>
        <v>03745737</v>
      </c>
      <c r="C9549" t="s">
        <v>13436</v>
      </c>
      <c r="D9549" t="s">
        <v>40022</v>
      </c>
      <c r="E9549" t="s">
        <v>40023</v>
      </c>
      <c r="G9549" t="s">
        <v>40024</v>
      </c>
      <c r="L9549" t="s">
        <v>74</v>
      </c>
      <c r="M9549" t="s">
        <v>75</v>
      </c>
      <c r="R9549" t="s">
        <v>40025</v>
      </c>
      <c r="W9549" t="s">
        <v>40023</v>
      </c>
      <c r="X9549" t="s">
        <v>11156</v>
      </c>
      <c r="Y9549" t="s">
        <v>97</v>
      </c>
      <c r="Z9549" t="s">
        <v>77</v>
      </c>
      <c r="AA9549" t="str">
        <f>"10029-6504"</f>
        <v>10029-6504</v>
      </c>
      <c r="AB9549" t="s">
        <v>78</v>
      </c>
      <c r="AC9549" t="s">
        <v>79</v>
      </c>
      <c r="AD9549" t="s">
        <v>75</v>
      </c>
      <c r="AE9549" t="s">
        <v>80</v>
      </c>
      <c r="AG9549" t="s">
        <v>81</v>
      </c>
    </row>
    <row r="9550" spans="1:33" x14ac:dyDescent="0.25">
      <c r="A9550" t="str">
        <f>"1649438672"</f>
        <v>1649438672</v>
      </c>
      <c r="B9550" t="str">
        <f>"03374949"</f>
        <v>03374949</v>
      </c>
      <c r="C9550" t="s">
        <v>13436</v>
      </c>
      <c r="D9550" t="s">
        <v>40026</v>
      </c>
      <c r="E9550" t="s">
        <v>40027</v>
      </c>
      <c r="G9550" t="s">
        <v>40028</v>
      </c>
      <c r="L9550" t="s">
        <v>83</v>
      </c>
      <c r="M9550" t="s">
        <v>85</v>
      </c>
      <c r="R9550" t="s">
        <v>40029</v>
      </c>
      <c r="W9550" t="s">
        <v>40027</v>
      </c>
      <c r="X9550" t="s">
        <v>4029</v>
      </c>
      <c r="Y9550" t="s">
        <v>97</v>
      </c>
      <c r="Z9550" t="s">
        <v>77</v>
      </c>
      <c r="AA9550" t="str">
        <f>"10029-6503"</f>
        <v>10029-6503</v>
      </c>
      <c r="AB9550" t="s">
        <v>78</v>
      </c>
      <c r="AC9550" t="s">
        <v>79</v>
      </c>
      <c r="AD9550" t="s">
        <v>75</v>
      </c>
      <c r="AE9550" t="s">
        <v>80</v>
      </c>
      <c r="AG9550" t="s">
        <v>81</v>
      </c>
    </row>
    <row r="9551" spans="1:33" x14ac:dyDescent="0.25">
      <c r="A9551" t="str">
        <f>"1649439555"</f>
        <v>1649439555</v>
      </c>
      <c r="B9551" t="str">
        <f>"03488433"</f>
        <v>03488433</v>
      </c>
      <c r="C9551" t="s">
        <v>13436</v>
      </c>
      <c r="D9551" t="s">
        <v>40030</v>
      </c>
      <c r="E9551" t="s">
        <v>40031</v>
      </c>
      <c r="G9551" t="s">
        <v>40032</v>
      </c>
      <c r="L9551" t="s">
        <v>84</v>
      </c>
      <c r="M9551" t="s">
        <v>85</v>
      </c>
      <c r="R9551" t="s">
        <v>40031</v>
      </c>
      <c r="W9551" t="s">
        <v>40031</v>
      </c>
      <c r="X9551" t="s">
        <v>3784</v>
      </c>
      <c r="Y9551" t="s">
        <v>97</v>
      </c>
      <c r="Z9551" t="s">
        <v>77</v>
      </c>
      <c r="AA9551" t="str">
        <f>"10029-6500"</f>
        <v>10029-6500</v>
      </c>
      <c r="AB9551" t="s">
        <v>78</v>
      </c>
      <c r="AC9551" t="s">
        <v>79</v>
      </c>
      <c r="AD9551" t="s">
        <v>75</v>
      </c>
      <c r="AE9551" t="s">
        <v>80</v>
      </c>
      <c r="AG9551" t="s">
        <v>81</v>
      </c>
    </row>
    <row r="9552" spans="1:33" x14ac:dyDescent="0.25">
      <c r="A9552" t="str">
        <f>"1649450370"</f>
        <v>1649450370</v>
      </c>
      <c r="B9552" t="str">
        <f>"03083598"</f>
        <v>03083598</v>
      </c>
      <c r="C9552" t="s">
        <v>13436</v>
      </c>
      <c r="D9552" t="s">
        <v>40033</v>
      </c>
      <c r="E9552" t="s">
        <v>40034</v>
      </c>
      <c r="G9552" t="s">
        <v>40035</v>
      </c>
      <c r="L9552" t="s">
        <v>83</v>
      </c>
      <c r="M9552" t="s">
        <v>85</v>
      </c>
      <c r="R9552" t="s">
        <v>40036</v>
      </c>
      <c r="W9552" t="s">
        <v>40034</v>
      </c>
      <c r="X9552" t="s">
        <v>14029</v>
      </c>
      <c r="Y9552" t="s">
        <v>97</v>
      </c>
      <c r="Z9552" t="s">
        <v>77</v>
      </c>
      <c r="AA9552" t="str">
        <f>"10029-6501"</f>
        <v>10029-6501</v>
      </c>
      <c r="AB9552" t="s">
        <v>78</v>
      </c>
      <c r="AC9552" t="s">
        <v>79</v>
      </c>
      <c r="AD9552" t="s">
        <v>75</v>
      </c>
      <c r="AE9552" t="s">
        <v>80</v>
      </c>
      <c r="AG9552" t="s">
        <v>81</v>
      </c>
    </row>
    <row r="9553" spans="1:33" x14ac:dyDescent="0.25">
      <c r="A9553" t="str">
        <f>"1649452715"</f>
        <v>1649452715</v>
      </c>
      <c r="B9553" t="str">
        <f>"03624408"</f>
        <v>03624408</v>
      </c>
      <c r="C9553" t="s">
        <v>13436</v>
      </c>
      <c r="D9553" t="s">
        <v>40037</v>
      </c>
      <c r="E9553" t="s">
        <v>40038</v>
      </c>
      <c r="G9553" t="s">
        <v>40039</v>
      </c>
      <c r="L9553" t="s">
        <v>83</v>
      </c>
      <c r="M9553" t="s">
        <v>85</v>
      </c>
      <c r="R9553" t="s">
        <v>40040</v>
      </c>
      <c r="W9553" t="s">
        <v>40041</v>
      </c>
      <c r="X9553" t="s">
        <v>329</v>
      </c>
      <c r="Y9553" t="s">
        <v>97</v>
      </c>
      <c r="Z9553" t="s">
        <v>77</v>
      </c>
      <c r="AA9553" t="str">
        <f>"10029-6504"</f>
        <v>10029-6504</v>
      </c>
      <c r="AB9553" t="s">
        <v>78</v>
      </c>
      <c r="AC9553" t="s">
        <v>79</v>
      </c>
      <c r="AD9553" t="s">
        <v>75</v>
      </c>
      <c r="AE9553" t="s">
        <v>80</v>
      </c>
      <c r="AG9553" t="s">
        <v>81</v>
      </c>
    </row>
    <row r="9554" spans="1:33" x14ac:dyDescent="0.25">
      <c r="A9554" t="str">
        <f>"1649463530"</f>
        <v>1649463530</v>
      </c>
      <c r="B9554" t="str">
        <f>"03122263"</f>
        <v>03122263</v>
      </c>
      <c r="C9554" t="s">
        <v>13436</v>
      </c>
      <c r="D9554" t="s">
        <v>40042</v>
      </c>
      <c r="E9554" t="s">
        <v>40043</v>
      </c>
      <c r="G9554" t="s">
        <v>40044</v>
      </c>
      <c r="L9554" t="s">
        <v>74</v>
      </c>
      <c r="M9554" t="s">
        <v>85</v>
      </c>
      <c r="R9554" t="s">
        <v>40043</v>
      </c>
      <c r="W9554" t="s">
        <v>40043</v>
      </c>
      <c r="X9554" t="s">
        <v>329</v>
      </c>
      <c r="Y9554" t="s">
        <v>97</v>
      </c>
      <c r="Z9554" t="s">
        <v>77</v>
      </c>
      <c r="AA9554" t="str">
        <f>"10029-6500"</f>
        <v>10029-6500</v>
      </c>
      <c r="AB9554" t="s">
        <v>78</v>
      </c>
      <c r="AC9554" t="s">
        <v>79</v>
      </c>
      <c r="AD9554" t="s">
        <v>75</v>
      </c>
      <c r="AE9554" t="s">
        <v>80</v>
      </c>
      <c r="AG9554" t="s">
        <v>81</v>
      </c>
    </row>
    <row r="9555" spans="1:33" x14ac:dyDescent="0.25">
      <c r="A9555" t="str">
        <f>"1912005471"</f>
        <v>1912005471</v>
      </c>
      <c r="B9555" t="str">
        <f>"00976590"</f>
        <v>00976590</v>
      </c>
      <c r="C9555" t="s">
        <v>13436</v>
      </c>
      <c r="D9555" t="s">
        <v>40045</v>
      </c>
      <c r="E9555" t="s">
        <v>40046</v>
      </c>
      <c r="L9555" t="s">
        <v>74</v>
      </c>
      <c r="M9555" t="s">
        <v>85</v>
      </c>
      <c r="R9555" t="s">
        <v>40047</v>
      </c>
      <c r="W9555" t="s">
        <v>40046</v>
      </c>
      <c r="X9555" t="s">
        <v>228</v>
      </c>
      <c r="Y9555" t="s">
        <v>91</v>
      </c>
      <c r="Z9555" t="s">
        <v>77</v>
      </c>
      <c r="AA9555" t="str">
        <f>"11373-1329"</f>
        <v>11373-1329</v>
      </c>
      <c r="AB9555" t="s">
        <v>78</v>
      </c>
      <c r="AC9555" t="s">
        <v>79</v>
      </c>
      <c r="AD9555" t="s">
        <v>75</v>
      </c>
      <c r="AE9555" t="s">
        <v>80</v>
      </c>
      <c r="AG9555" t="s">
        <v>81</v>
      </c>
    </row>
    <row r="9556" spans="1:33" x14ac:dyDescent="0.25">
      <c r="A9556" t="str">
        <f>"1912014218"</f>
        <v>1912014218</v>
      </c>
      <c r="C9556" t="s">
        <v>13436</v>
      </c>
      <c r="K9556" t="s">
        <v>99</v>
      </c>
      <c r="L9556" t="s">
        <v>74</v>
      </c>
      <c r="M9556" t="s">
        <v>75</v>
      </c>
      <c r="R9556" t="s">
        <v>40048</v>
      </c>
      <c r="S9556" t="s">
        <v>40049</v>
      </c>
      <c r="T9556" t="s">
        <v>87</v>
      </c>
      <c r="U9556" t="s">
        <v>77</v>
      </c>
      <c r="V9556" t="str">
        <f>"112095908"</f>
        <v>112095908</v>
      </c>
      <c r="AC9556" t="s">
        <v>79</v>
      </c>
      <c r="AD9556" t="s">
        <v>75</v>
      </c>
      <c r="AE9556" t="s">
        <v>103</v>
      </c>
      <c r="AG9556" t="s">
        <v>81</v>
      </c>
    </row>
    <row r="9557" spans="1:33" x14ac:dyDescent="0.25">
      <c r="A9557" t="str">
        <f>"1912024613"</f>
        <v>1912024613</v>
      </c>
      <c r="C9557" t="s">
        <v>13436</v>
      </c>
      <c r="G9557" t="s">
        <v>40050</v>
      </c>
      <c r="K9557" t="s">
        <v>99</v>
      </c>
      <c r="L9557" t="s">
        <v>102</v>
      </c>
      <c r="M9557" t="s">
        <v>85</v>
      </c>
      <c r="R9557" t="s">
        <v>40051</v>
      </c>
      <c r="S9557" t="s">
        <v>40052</v>
      </c>
      <c r="T9557" t="s">
        <v>97</v>
      </c>
      <c r="U9557" t="s">
        <v>77</v>
      </c>
      <c r="V9557" t="str">
        <f>"100191147"</f>
        <v>100191147</v>
      </c>
      <c r="AC9557" t="s">
        <v>79</v>
      </c>
      <c r="AD9557" t="s">
        <v>75</v>
      </c>
      <c r="AE9557" t="s">
        <v>103</v>
      </c>
      <c r="AG9557" t="s">
        <v>81</v>
      </c>
    </row>
    <row r="9558" spans="1:33" x14ac:dyDescent="0.25">
      <c r="A9558" t="str">
        <f>"1710168901"</f>
        <v>1710168901</v>
      </c>
      <c r="B9558" t="str">
        <f>"02947400"</f>
        <v>02947400</v>
      </c>
      <c r="C9558" t="s">
        <v>40053</v>
      </c>
      <c r="D9558" t="s">
        <v>40054</v>
      </c>
      <c r="E9558" t="s">
        <v>40055</v>
      </c>
      <c r="G9558" t="s">
        <v>23992</v>
      </c>
      <c r="H9558" t="s">
        <v>23993</v>
      </c>
      <c r="J9558" t="s">
        <v>23994</v>
      </c>
      <c r="L9558" t="s">
        <v>83</v>
      </c>
      <c r="M9558" t="s">
        <v>85</v>
      </c>
      <c r="R9558" t="s">
        <v>40055</v>
      </c>
      <c r="W9558" t="s">
        <v>40056</v>
      </c>
      <c r="X9558" t="s">
        <v>1484</v>
      </c>
      <c r="Y9558" t="s">
        <v>87</v>
      </c>
      <c r="Z9558" t="s">
        <v>77</v>
      </c>
      <c r="AA9558" t="str">
        <f>"11201-5465"</f>
        <v>11201-5465</v>
      </c>
      <c r="AB9558" t="s">
        <v>78</v>
      </c>
      <c r="AC9558" t="s">
        <v>79</v>
      </c>
      <c r="AD9558" t="s">
        <v>75</v>
      </c>
      <c r="AE9558" t="s">
        <v>80</v>
      </c>
      <c r="AG9558" t="s">
        <v>81</v>
      </c>
    </row>
    <row r="9559" spans="1:33" x14ac:dyDescent="0.25">
      <c r="A9559" t="str">
        <f>"1568689099"</f>
        <v>1568689099</v>
      </c>
      <c r="B9559" t="str">
        <f>"01988696"</f>
        <v>01988696</v>
      </c>
      <c r="C9559" t="s">
        <v>40057</v>
      </c>
      <c r="D9559" t="s">
        <v>40058</v>
      </c>
      <c r="E9559" t="s">
        <v>40059</v>
      </c>
      <c r="G9559" t="s">
        <v>40057</v>
      </c>
      <c r="H9559" t="s">
        <v>40060</v>
      </c>
      <c r="J9559" t="s">
        <v>40057</v>
      </c>
      <c r="L9559" t="s">
        <v>84</v>
      </c>
      <c r="M9559" t="s">
        <v>85</v>
      </c>
      <c r="R9559" t="s">
        <v>40061</v>
      </c>
      <c r="W9559" t="s">
        <v>40059</v>
      </c>
      <c r="X9559" t="s">
        <v>40062</v>
      </c>
      <c r="Y9559" t="s">
        <v>87</v>
      </c>
      <c r="Z9559" t="s">
        <v>77</v>
      </c>
      <c r="AA9559" t="str">
        <f>"11213-2416"</f>
        <v>11213-2416</v>
      </c>
      <c r="AB9559" t="s">
        <v>78</v>
      </c>
      <c r="AC9559" t="s">
        <v>79</v>
      </c>
      <c r="AD9559" t="s">
        <v>75</v>
      </c>
      <c r="AE9559" t="s">
        <v>80</v>
      </c>
      <c r="AG9559" t="s">
        <v>81</v>
      </c>
    </row>
    <row r="9560" spans="1:33" x14ac:dyDescent="0.25">
      <c r="A9560" t="str">
        <f>"1245281286"</f>
        <v>1245281286</v>
      </c>
      <c r="B9560" t="str">
        <f>"01109668"</f>
        <v>01109668</v>
      </c>
      <c r="C9560" t="s">
        <v>40063</v>
      </c>
      <c r="D9560" t="s">
        <v>40064</v>
      </c>
      <c r="E9560" t="s">
        <v>40065</v>
      </c>
      <c r="G9560" t="s">
        <v>40063</v>
      </c>
      <c r="H9560" t="s">
        <v>40066</v>
      </c>
      <c r="J9560" t="s">
        <v>40063</v>
      </c>
      <c r="L9560" t="s">
        <v>74</v>
      </c>
      <c r="M9560" t="s">
        <v>75</v>
      </c>
      <c r="R9560" t="s">
        <v>40067</v>
      </c>
      <c r="W9560" t="s">
        <v>40065</v>
      </c>
      <c r="X9560" t="s">
        <v>40068</v>
      </c>
      <c r="Y9560" t="s">
        <v>87</v>
      </c>
      <c r="Z9560" t="s">
        <v>77</v>
      </c>
      <c r="AA9560" t="str">
        <f>"11209-3402"</f>
        <v>11209-3402</v>
      </c>
      <c r="AB9560" t="s">
        <v>78</v>
      </c>
      <c r="AC9560" t="s">
        <v>79</v>
      </c>
      <c r="AD9560" t="s">
        <v>75</v>
      </c>
      <c r="AE9560" t="s">
        <v>80</v>
      </c>
      <c r="AG9560" t="s">
        <v>81</v>
      </c>
    </row>
    <row r="9561" spans="1:33" x14ac:dyDescent="0.25">
      <c r="A9561" t="str">
        <f>"1083680003"</f>
        <v>1083680003</v>
      </c>
      <c r="B9561" t="str">
        <f>"00911775"</f>
        <v>00911775</v>
      </c>
      <c r="C9561" t="s">
        <v>40069</v>
      </c>
      <c r="D9561" t="s">
        <v>40070</v>
      </c>
      <c r="E9561" t="s">
        <v>40071</v>
      </c>
      <c r="G9561" t="s">
        <v>40069</v>
      </c>
      <c r="H9561" t="s">
        <v>40072</v>
      </c>
      <c r="J9561" t="s">
        <v>40069</v>
      </c>
      <c r="L9561" t="s">
        <v>83</v>
      </c>
      <c r="M9561" t="s">
        <v>75</v>
      </c>
      <c r="R9561" t="s">
        <v>40073</v>
      </c>
      <c r="W9561" t="s">
        <v>40071</v>
      </c>
      <c r="X9561" t="s">
        <v>40074</v>
      </c>
      <c r="Y9561" t="s">
        <v>171</v>
      </c>
      <c r="Z9561" t="s">
        <v>77</v>
      </c>
      <c r="AA9561" t="str">
        <f>"11418-2821"</f>
        <v>11418-2821</v>
      </c>
      <c r="AB9561" t="s">
        <v>78</v>
      </c>
      <c r="AC9561" t="s">
        <v>79</v>
      </c>
      <c r="AD9561" t="s">
        <v>75</v>
      </c>
      <c r="AE9561" t="s">
        <v>80</v>
      </c>
      <c r="AG9561" t="s">
        <v>81</v>
      </c>
    </row>
    <row r="9562" spans="1:33" x14ac:dyDescent="0.25">
      <c r="A9562" t="str">
        <f>"1144394826"</f>
        <v>1144394826</v>
      </c>
      <c r="B9562" t="str">
        <f>"00949899"</f>
        <v>00949899</v>
      </c>
      <c r="C9562" t="s">
        <v>40075</v>
      </c>
      <c r="D9562" t="s">
        <v>40076</v>
      </c>
      <c r="E9562" t="s">
        <v>40077</v>
      </c>
      <c r="G9562" t="s">
        <v>40075</v>
      </c>
      <c r="H9562" t="s">
        <v>40078</v>
      </c>
      <c r="J9562" t="s">
        <v>40079</v>
      </c>
      <c r="L9562" t="s">
        <v>84</v>
      </c>
      <c r="M9562" t="s">
        <v>75</v>
      </c>
      <c r="R9562" t="s">
        <v>40080</v>
      </c>
      <c r="W9562" t="s">
        <v>40077</v>
      </c>
      <c r="X9562" t="s">
        <v>40081</v>
      </c>
      <c r="Y9562" t="s">
        <v>3239</v>
      </c>
      <c r="Z9562" t="s">
        <v>77</v>
      </c>
      <c r="AA9562" t="str">
        <f>"11934-3324"</f>
        <v>11934-3324</v>
      </c>
      <c r="AB9562" t="s">
        <v>78</v>
      </c>
      <c r="AC9562" t="s">
        <v>79</v>
      </c>
      <c r="AD9562" t="s">
        <v>75</v>
      </c>
      <c r="AE9562" t="s">
        <v>80</v>
      </c>
      <c r="AG9562" t="s">
        <v>81</v>
      </c>
    </row>
    <row r="9563" spans="1:33" x14ac:dyDescent="0.25">
      <c r="A9563" t="str">
        <f>"1659353167"</f>
        <v>1659353167</v>
      </c>
      <c r="B9563" t="str">
        <f>"00913828"</f>
        <v>00913828</v>
      </c>
      <c r="C9563" t="s">
        <v>13436</v>
      </c>
      <c r="D9563" t="s">
        <v>40082</v>
      </c>
      <c r="E9563" t="s">
        <v>40083</v>
      </c>
      <c r="L9563" t="s">
        <v>83</v>
      </c>
      <c r="M9563" t="s">
        <v>85</v>
      </c>
      <c r="R9563" t="s">
        <v>40084</v>
      </c>
      <c r="W9563" t="s">
        <v>40083</v>
      </c>
      <c r="X9563" t="s">
        <v>329</v>
      </c>
      <c r="Y9563" t="s">
        <v>97</v>
      </c>
      <c r="Z9563" t="s">
        <v>77</v>
      </c>
      <c r="AA9563" t="str">
        <f>"10029-6504"</f>
        <v>10029-6504</v>
      </c>
      <c r="AB9563" t="s">
        <v>82</v>
      </c>
      <c r="AC9563" t="s">
        <v>79</v>
      </c>
      <c r="AD9563" t="s">
        <v>75</v>
      </c>
      <c r="AE9563" t="s">
        <v>80</v>
      </c>
      <c r="AG9563" t="s">
        <v>81</v>
      </c>
    </row>
    <row r="9564" spans="1:33" x14ac:dyDescent="0.25">
      <c r="A9564" t="str">
        <f>"1659369908"</f>
        <v>1659369908</v>
      </c>
      <c r="B9564" t="str">
        <f>"03766410"</f>
        <v>03766410</v>
      </c>
      <c r="C9564" t="s">
        <v>13436</v>
      </c>
      <c r="D9564" t="s">
        <v>40085</v>
      </c>
      <c r="E9564" t="s">
        <v>40086</v>
      </c>
      <c r="G9564" t="s">
        <v>40087</v>
      </c>
      <c r="L9564" t="s">
        <v>74</v>
      </c>
      <c r="M9564" t="s">
        <v>85</v>
      </c>
      <c r="R9564" t="s">
        <v>40088</v>
      </c>
      <c r="W9564" t="s">
        <v>40086</v>
      </c>
      <c r="X9564" t="s">
        <v>842</v>
      </c>
      <c r="Y9564" t="s">
        <v>97</v>
      </c>
      <c r="Z9564" t="s">
        <v>77</v>
      </c>
      <c r="AA9564" t="str">
        <f>"10029-6501"</f>
        <v>10029-6501</v>
      </c>
      <c r="AB9564" t="s">
        <v>78</v>
      </c>
      <c r="AC9564" t="s">
        <v>79</v>
      </c>
      <c r="AD9564" t="s">
        <v>75</v>
      </c>
      <c r="AE9564" t="s">
        <v>80</v>
      </c>
      <c r="AG9564" t="s">
        <v>81</v>
      </c>
    </row>
    <row r="9565" spans="1:33" x14ac:dyDescent="0.25">
      <c r="A9565" t="str">
        <f>"1659386324"</f>
        <v>1659386324</v>
      </c>
      <c r="B9565" t="str">
        <f>"01080982"</f>
        <v>01080982</v>
      </c>
      <c r="C9565" t="s">
        <v>13436</v>
      </c>
      <c r="D9565" t="s">
        <v>40089</v>
      </c>
      <c r="E9565" t="s">
        <v>40090</v>
      </c>
      <c r="G9565" t="s">
        <v>40091</v>
      </c>
      <c r="L9565" t="s">
        <v>83</v>
      </c>
      <c r="M9565" t="s">
        <v>85</v>
      </c>
      <c r="R9565" t="s">
        <v>40092</v>
      </c>
      <c r="W9565" t="s">
        <v>40090</v>
      </c>
      <c r="X9565" t="s">
        <v>11945</v>
      </c>
      <c r="Y9565" t="s">
        <v>2128</v>
      </c>
      <c r="Z9565" t="s">
        <v>77</v>
      </c>
      <c r="AA9565" t="str">
        <f>"11743-2779"</f>
        <v>11743-2779</v>
      </c>
      <c r="AB9565" t="s">
        <v>78</v>
      </c>
      <c r="AC9565" t="s">
        <v>79</v>
      </c>
      <c r="AD9565" t="s">
        <v>75</v>
      </c>
      <c r="AE9565" t="s">
        <v>80</v>
      </c>
      <c r="AG9565" t="s">
        <v>81</v>
      </c>
    </row>
    <row r="9566" spans="1:33" x14ac:dyDescent="0.25">
      <c r="A9566" t="str">
        <f>"1659397503"</f>
        <v>1659397503</v>
      </c>
      <c r="B9566" t="str">
        <f>"02395619"</f>
        <v>02395619</v>
      </c>
      <c r="C9566" t="s">
        <v>13436</v>
      </c>
      <c r="D9566" t="s">
        <v>40093</v>
      </c>
      <c r="E9566" t="s">
        <v>40094</v>
      </c>
      <c r="G9566" t="s">
        <v>40095</v>
      </c>
      <c r="L9566" t="s">
        <v>84</v>
      </c>
      <c r="M9566" t="s">
        <v>85</v>
      </c>
      <c r="R9566" t="s">
        <v>40096</v>
      </c>
      <c r="W9566" t="s">
        <v>40094</v>
      </c>
      <c r="X9566" t="s">
        <v>329</v>
      </c>
      <c r="Y9566" t="s">
        <v>97</v>
      </c>
      <c r="Z9566" t="s">
        <v>77</v>
      </c>
      <c r="AA9566" t="str">
        <f>"10029-6504"</f>
        <v>10029-6504</v>
      </c>
      <c r="AB9566" t="s">
        <v>78</v>
      </c>
      <c r="AC9566" t="s">
        <v>79</v>
      </c>
      <c r="AD9566" t="s">
        <v>75</v>
      </c>
      <c r="AE9566" t="s">
        <v>80</v>
      </c>
      <c r="AG9566" t="s">
        <v>81</v>
      </c>
    </row>
    <row r="9567" spans="1:33" x14ac:dyDescent="0.25">
      <c r="A9567" t="str">
        <f>"1689965428"</f>
        <v>1689965428</v>
      </c>
      <c r="C9567" t="s">
        <v>13436</v>
      </c>
      <c r="K9567" t="s">
        <v>99</v>
      </c>
      <c r="L9567" t="s">
        <v>102</v>
      </c>
      <c r="M9567" t="s">
        <v>75</v>
      </c>
      <c r="R9567" t="s">
        <v>40097</v>
      </c>
      <c r="S9567" t="s">
        <v>169</v>
      </c>
      <c r="T9567" t="s">
        <v>155</v>
      </c>
      <c r="U9567" t="s">
        <v>77</v>
      </c>
      <c r="V9567" t="str">
        <f>"103053436"</f>
        <v>103053436</v>
      </c>
      <c r="AC9567" t="s">
        <v>79</v>
      </c>
      <c r="AD9567" t="s">
        <v>75</v>
      </c>
      <c r="AE9567" t="s">
        <v>103</v>
      </c>
      <c r="AG9567" t="s">
        <v>81</v>
      </c>
    </row>
    <row r="9568" spans="1:33" x14ac:dyDescent="0.25">
      <c r="A9568" t="str">
        <f>"1689965980"</f>
        <v>1689965980</v>
      </c>
      <c r="C9568" t="s">
        <v>13436</v>
      </c>
      <c r="K9568" t="s">
        <v>99</v>
      </c>
      <c r="L9568" t="s">
        <v>102</v>
      </c>
      <c r="M9568" t="s">
        <v>75</v>
      </c>
      <c r="R9568" t="s">
        <v>40098</v>
      </c>
      <c r="S9568" t="s">
        <v>329</v>
      </c>
      <c r="T9568" t="s">
        <v>97</v>
      </c>
      <c r="U9568" t="s">
        <v>77</v>
      </c>
      <c r="V9568" t="str">
        <f>"100296500"</f>
        <v>100296500</v>
      </c>
      <c r="AC9568" t="s">
        <v>79</v>
      </c>
      <c r="AD9568" t="s">
        <v>75</v>
      </c>
      <c r="AE9568" t="s">
        <v>103</v>
      </c>
      <c r="AG9568" t="s">
        <v>81</v>
      </c>
    </row>
    <row r="9569" spans="1:33" x14ac:dyDescent="0.25">
      <c r="A9569" t="str">
        <f>"1699041004"</f>
        <v>1699041004</v>
      </c>
      <c r="C9569" t="s">
        <v>13436</v>
      </c>
      <c r="K9569" t="s">
        <v>99</v>
      </c>
      <c r="L9569" t="s">
        <v>102</v>
      </c>
      <c r="M9569" t="s">
        <v>75</v>
      </c>
      <c r="R9569" t="s">
        <v>40099</v>
      </c>
      <c r="S9569" t="s">
        <v>181</v>
      </c>
      <c r="T9569" t="s">
        <v>97</v>
      </c>
      <c r="U9569" t="s">
        <v>77</v>
      </c>
      <c r="V9569" t="str">
        <f>"100251716"</f>
        <v>100251716</v>
      </c>
      <c r="AC9569" t="s">
        <v>79</v>
      </c>
      <c r="AD9569" t="s">
        <v>75</v>
      </c>
      <c r="AE9569" t="s">
        <v>103</v>
      </c>
      <c r="AG9569" t="s">
        <v>81</v>
      </c>
    </row>
    <row r="9570" spans="1:33" x14ac:dyDescent="0.25">
      <c r="A9570" t="str">
        <f>"1699061804"</f>
        <v>1699061804</v>
      </c>
      <c r="B9570" t="str">
        <f>"04208953"</f>
        <v>04208953</v>
      </c>
      <c r="C9570" t="s">
        <v>13436</v>
      </c>
      <c r="D9570" t="s">
        <v>40100</v>
      </c>
      <c r="E9570" t="s">
        <v>40101</v>
      </c>
      <c r="L9570" t="s">
        <v>74</v>
      </c>
      <c r="M9570" t="s">
        <v>75</v>
      </c>
      <c r="R9570" t="s">
        <v>40102</v>
      </c>
      <c r="W9570" t="s">
        <v>40103</v>
      </c>
      <c r="X9570" t="s">
        <v>162</v>
      </c>
      <c r="Y9570" t="s">
        <v>87</v>
      </c>
      <c r="Z9570" t="s">
        <v>77</v>
      </c>
      <c r="AA9570" t="str">
        <f>"11215-3609"</f>
        <v>11215-3609</v>
      </c>
      <c r="AB9570" t="s">
        <v>78</v>
      </c>
      <c r="AC9570" t="s">
        <v>79</v>
      </c>
      <c r="AD9570" t="s">
        <v>75</v>
      </c>
      <c r="AE9570" t="s">
        <v>80</v>
      </c>
      <c r="AG9570" t="s">
        <v>81</v>
      </c>
    </row>
    <row r="9571" spans="1:33" x14ac:dyDescent="0.25">
      <c r="A9571" t="str">
        <f>"1699090019"</f>
        <v>1699090019</v>
      </c>
      <c r="C9571" t="s">
        <v>13436</v>
      </c>
      <c r="K9571" t="s">
        <v>99</v>
      </c>
      <c r="L9571" t="s">
        <v>102</v>
      </c>
      <c r="M9571" t="s">
        <v>75</v>
      </c>
      <c r="R9571" t="s">
        <v>27809</v>
      </c>
      <c r="S9571" t="s">
        <v>40104</v>
      </c>
      <c r="T9571" t="s">
        <v>40105</v>
      </c>
      <c r="U9571" t="s">
        <v>2659</v>
      </c>
      <c r="V9571" t="str">
        <f>"986078965"</f>
        <v>986078965</v>
      </c>
      <c r="AC9571" t="s">
        <v>79</v>
      </c>
      <c r="AD9571" t="s">
        <v>75</v>
      </c>
      <c r="AE9571" t="s">
        <v>103</v>
      </c>
      <c r="AG9571" t="s">
        <v>81</v>
      </c>
    </row>
    <row r="9572" spans="1:33" x14ac:dyDescent="0.25">
      <c r="A9572" t="str">
        <f>"1679872824"</f>
        <v>1679872824</v>
      </c>
      <c r="B9572" t="str">
        <f>"04638079"</f>
        <v>04638079</v>
      </c>
      <c r="C9572" t="s">
        <v>13436</v>
      </c>
      <c r="D9572" t="s">
        <v>40106</v>
      </c>
      <c r="E9572" t="s">
        <v>40107</v>
      </c>
      <c r="L9572" t="s">
        <v>102</v>
      </c>
      <c r="M9572" t="s">
        <v>75</v>
      </c>
      <c r="R9572" t="s">
        <v>40108</v>
      </c>
      <c r="W9572" t="s">
        <v>40107</v>
      </c>
      <c r="AB9572" t="s">
        <v>78</v>
      </c>
      <c r="AC9572" t="s">
        <v>79</v>
      </c>
      <c r="AD9572" t="s">
        <v>75</v>
      </c>
      <c r="AE9572" t="s">
        <v>80</v>
      </c>
      <c r="AG9572" t="s">
        <v>81</v>
      </c>
    </row>
    <row r="9573" spans="1:33" x14ac:dyDescent="0.25">
      <c r="A9573" t="str">
        <f>"1679891220"</f>
        <v>1679891220</v>
      </c>
      <c r="B9573" t="str">
        <f>"03689627"</f>
        <v>03689627</v>
      </c>
      <c r="C9573" t="s">
        <v>13436</v>
      </c>
      <c r="D9573" t="s">
        <v>40109</v>
      </c>
      <c r="E9573" t="s">
        <v>40110</v>
      </c>
      <c r="L9573" t="s">
        <v>102</v>
      </c>
      <c r="M9573" t="s">
        <v>75</v>
      </c>
      <c r="R9573" t="s">
        <v>40111</v>
      </c>
      <c r="W9573" t="s">
        <v>40110</v>
      </c>
      <c r="X9573" t="s">
        <v>329</v>
      </c>
      <c r="Y9573" t="s">
        <v>97</v>
      </c>
      <c r="Z9573" t="s">
        <v>77</v>
      </c>
      <c r="AA9573" t="str">
        <f>"10029-6504"</f>
        <v>10029-6504</v>
      </c>
      <c r="AB9573" t="s">
        <v>78</v>
      </c>
      <c r="AC9573" t="s">
        <v>79</v>
      </c>
      <c r="AD9573" t="s">
        <v>75</v>
      </c>
      <c r="AE9573" t="s">
        <v>80</v>
      </c>
      <c r="AG9573" t="s">
        <v>81</v>
      </c>
    </row>
    <row r="9574" spans="1:33" x14ac:dyDescent="0.25">
      <c r="A9574" t="str">
        <f>"1679908206"</f>
        <v>1679908206</v>
      </c>
      <c r="C9574" t="s">
        <v>13436</v>
      </c>
      <c r="K9574" t="s">
        <v>99</v>
      </c>
      <c r="L9574" t="s">
        <v>102</v>
      </c>
      <c r="M9574" t="s">
        <v>75</v>
      </c>
      <c r="R9574" t="s">
        <v>40112</v>
      </c>
      <c r="S9574" t="s">
        <v>191</v>
      </c>
      <c r="T9574" t="s">
        <v>97</v>
      </c>
      <c r="U9574" t="s">
        <v>77</v>
      </c>
      <c r="V9574" t="str">
        <f>"100191147"</f>
        <v>100191147</v>
      </c>
      <c r="AC9574" t="s">
        <v>79</v>
      </c>
      <c r="AD9574" t="s">
        <v>75</v>
      </c>
      <c r="AE9574" t="s">
        <v>103</v>
      </c>
      <c r="AG9574" t="s">
        <v>81</v>
      </c>
    </row>
    <row r="9575" spans="1:33" x14ac:dyDescent="0.25">
      <c r="A9575" t="str">
        <f>"1972536035"</f>
        <v>1972536035</v>
      </c>
      <c r="B9575" t="str">
        <f>"03257292"</f>
        <v>03257292</v>
      </c>
      <c r="C9575" t="s">
        <v>13436</v>
      </c>
      <c r="D9575" t="s">
        <v>40113</v>
      </c>
      <c r="E9575" t="s">
        <v>40114</v>
      </c>
      <c r="G9575" t="s">
        <v>40115</v>
      </c>
      <c r="L9575" t="s">
        <v>94</v>
      </c>
      <c r="M9575" t="s">
        <v>85</v>
      </c>
      <c r="R9575" t="s">
        <v>40116</v>
      </c>
      <c r="W9575" t="s">
        <v>40114</v>
      </c>
      <c r="X9575" t="s">
        <v>14992</v>
      </c>
      <c r="Y9575" t="s">
        <v>97</v>
      </c>
      <c r="Z9575" t="s">
        <v>77</v>
      </c>
      <c r="AA9575" t="str">
        <f>"10029-6503"</f>
        <v>10029-6503</v>
      </c>
      <c r="AB9575" t="s">
        <v>78</v>
      </c>
      <c r="AC9575" t="s">
        <v>79</v>
      </c>
      <c r="AD9575" t="s">
        <v>75</v>
      </c>
      <c r="AE9575" t="s">
        <v>80</v>
      </c>
      <c r="AG9575" t="s">
        <v>81</v>
      </c>
    </row>
    <row r="9576" spans="1:33" x14ac:dyDescent="0.25">
      <c r="A9576" t="str">
        <f>"1972547974"</f>
        <v>1972547974</v>
      </c>
      <c r="B9576" t="str">
        <f>"02593800"</f>
        <v>02593800</v>
      </c>
      <c r="C9576" t="s">
        <v>13436</v>
      </c>
      <c r="D9576" t="s">
        <v>40117</v>
      </c>
      <c r="E9576" t="s">
        <v>40118</v>
      </c>
      <c r="L9576" t="s">
        <v>83</v>
      </c>
      <c r="M9576" t="s">
        <v>85</v>
      </c>
      <c r="R9576" t="s">
        <v>40119</v>
      </c>
      <c r="W9576" t="s">
        <v>40118</v>
      </c>
      <c r="X9576" t="s">
        <v>272</v>
      </c>
      <c r="Y9576" t="s">
        <v>97</v>
      </c>
      <c r="Z9576" t="s">
        <v>77</v>
      </c>
      <c r="AA9576" t="str">
        <f>"10029-6501"</f>
        <v>10029-6501</v>
      </c>
      <c r="AB9576" t="s">
        <v>78</v>
      </c>
      <c r="AC9576" t="s">
        <v>79</v>
      </c>
      <c r="AD9576" t="s">
        <v>75</v>
      </c>
      <c r="AE9576" t="s">
        <v>80</v>
      </c>
      <c r="AG9576" t="s">
        <v>81</v>
      </c>
    </row>
    <row r="9577" spans="1:33" x14ac:dyDescent="0.25">
      <c r="A9577" t="str">
        <f>"1972569705"</f>
        <v>1972569705</v>
      </c>
      <c r="B9577" t="str">
        <f>"02492097"</f>
        <v>02492097</v>
      </c>
      <c r="C9577" t="s">
        <v>13436</v>
      </c>
      <c r="D9577" t="s">
        <v>40120</v>
      </c>
      <c r="E9577" t="s">
        <v>40121</v>
      </c>
      <c r="L9577" t="s">
        <v>83</v>
      </c>
      <c r="M9577" t="s">
        <v>85</v>
      </c>
      <c r="R9577" t="s">
        <v>40122</v>
      </c>
      <c r="W9577" t="s">
        <v>40121</v>
      </c>
      <c r="X9577" t="s">
        <v>40123</v>
      </c>
      <c r="Y9577" t="s">
        <v>97</v>
      </c>
      <c r="Z9577" t="s">
        <v>77</v>
      </c>
      <c r="AA9577" t="str">
        <f>"10016-6402"</f>
        <v>10016-6402</v>
      </c>
      <c r="AB9577" t="s">
        <v>78</v>
      </c>
      <c r="AC9577" t="s">
        <v>79</v>
      </c>
      <c r="AD9577" t="s">
        <v>75</v>
      </c>
      <c r="AE9577" t="s">
        <v>80</v>
      </c>
      <c r="AG9577" t="s">
        <v>81</v>
      </c>
    </row>
    <row r="9578" spans="1:33" x14ac:dyDescent="0.25">
      <c r="A9578" t="str">
        <f>"1972570760"</f>
        <v>1972570760</v>
      </c>
      <c r="B9578" t="str">
        <f>"01114947"</f>
        <v>01114947</v>
      </c>
      <c r="C9578" t="s">
        <v>13436</v>
      </c>
      <c r="D9578" t="s">
        <v>40124</v>
      </c>
      <c r="E9578" t="s">
        <v>40125</v>
      </c>
      <c r="L9578" t="s">
        <v>74</v>
      </c>
      <c r="M9578" t="s">
        <v>85</v>
      </c>
      <c r="R9578" t="s">
        <v>40126</v>
      </c>
      <c r="W9578" t="s">
        <v>40125</v>
      </c>
      <c r="X9578" t="s">
        <v>5425</v>
      </c>
      <c r="Y9578" t="s">
        <v>131</v>
      </c>
      <c r="Z9578" t="s">
        <v>77</v>
      </c>
      <c r="AA9578" t="str">
        <f>"10461-2377"</f>
        <v>10461-2377</v>
      </c>
      <c r="AB9578" t="s">
        <v>78</v>
      </c>
      <c r="AC9578" t="s">
        <v>79</v>
      </c>
      <c r="AD9578" t="s">
        <v>75</v>
      </c>
      <c r="AE9578" t="s">
        <v>80</v>
      </c>
      <c r="AG9578" t="s">
        <v>81</v>
      </c>
    </row>
    <row r="9579" spans="1:33" x14ac:dyDescent="0.25">
      <c r="A9579" t="str">
        <f>"1043637234"</f>
        <v>1043637234</v>
      </c>
      <c r="C9579" t="s">
        <v>13436</v>
      </c>
      <c r="K9579" t="s">
        <v>99</v>
      </c>
      <c r="L9579" t="s">
        <v>102</v>
      </c>
      <c r="M9579" t="s">
        <v>75</v>
      </c>
      <c r="R9579" t="s">
        <v>40127</v>
      </c>
      <c r="S9579" t="s">
        <v>12363</v>
      </c>
      <c r="T9579" t="s">
        <v>97</v>
      </c>
      <c r="U9579" t="s">
        <v>77</v>
      </c>
      <c r="V9579" t="str">
        <f>"100295204"</f>
        <v>100295204</v>
      </c>
      <c r="AC9579" t="s">
        <v>79</v>
      </c>
      <c r="AD9579" t="s">
        <v>75</v>
      </c>
      <c r="AE9579" t="s">
        <v>103</v>
      </c>
      <c r="AG9579" t="s">
        <v>81</v>
      </c>
    </row>
    <row r="9580" spans="1:33" x14ac:dyDescent="0.25">
      <c r="A9580" t="str">
        <f>"1043638240"</f>
        <v>1043638240</v>
      </c>
      <c r="C9580" t="s">
        <v>13436</v>
      </c>
      <c r="K9580" t="s">
        <v>99</v>
      </c>
      <c r="L9580" t="s">
        <v>102</v>
      </c>
      <c r="M9580" t="s">
        <v>75</v>
      </c>
      <c r="R9580" t="s">
        <v>40128</v>
      </c>
      <c r="S9580" t="s">
        <v>12619</v>
      </c>
      <c r="T9580" t="s">
        <v>97</v>
      </c>
      <c r="U9580" t="s">
        <v>77</v>
      </c>
      <c r="V9580" t="str">
        <f>"100191147"</f>
        <v>100191147</v>
      </c>
      <c r="AC9580" t="s">
        <v>79</v>
      </c>
      <c r="AD9580" t="s">
        <v>75</v>
      </c>
      <c r="AE9580" t="s">
        <v>103</v>
      </c>
      <c r="AG9580" t="s">
        <v>81</v>
      </c>
    </row>
    <row r="9581" spans="1:33" x14ac:dyDescent="0.25">
      <c r="A9581" t="str">
        <f>"1093020513"</f>
        <v>1093020513</v>
      </c>
      <c r="B9581" t="str">
        <f>"03500121"</f>
        <v>03500121</v>
      </c>
      <c r="C9581" t="s">
        <v>13436</v>
      </c>
      <c r="D9581" t="s">
        <v>40129</v>
      </c>
      <c r="E9581" t="s">
        <v>40130</v>
      </c>
      <c r="G9581" t="s">
        <v>40131</v>
      </c>
      <c r="L9581" t="s">
        <v>84</v>
      </c>
      <c r="M9581" t="s">
        <v>75</v>
      </c>
      <c r="R9581" t="s">
        <v>40130</v>
      </c>
      <c r="W9581" t="s">
        <v>40130</v>
      </c>
      <c r="X9581" t="s">
        <v>40132</v>
      </c>
      <c r="Y9581" t="s">
        <v>97</v>
      </c>
      <c r="Z9581" t="s">
        <v>77</v>
      </c>
      <c r="AA9581" t="str">
        <f>"10019-8022"</f>
        <v>10019-8022</v>
      </c>
      <c r="AB9581" t="s">
        <v>78</v>
      </c>
      <c r="AC9581" t="s">
        <v>79</v>
      </c>
      <c r="AD9581" t="s">
        <v>75</v>
      </c>
      <c r="AE9581" t="s">
        <v>80</v>
      </c>
      <c r="AG9581" t="s">
        <v>81</v>
      </c>
    </row>
    <row r="9582" spans="1:33" x14ac:dyDescent="0.25">
      <c r="A9582" t="str">
        <f>"1568433803"</f>
        <v>1568433803</v>
      </c>
      <c r="B9582" t="str">
        <f>"02139742"</f>
        <v>02139742</v>
      </c>
      <c r="C9582" t="s">
        <v>13436</v>
      </c>
      <c r="D9582" t="s">
        <v>40133</v>
      </c>
      <c r="E9582" t="s">
        <v>40134</v>
      </c>
      <c r="G9582" t="s">
        <v>40135</v>
      </c>
      <c r="L9582" t="s">
        <v>74</v>
      </c>
      <c r="M9582" t="s">
        <v>75</v>
      </c>
      <c r="R9582" t="s">
        <v>40136</v>
      </c>
      <c r="W9582" t="s">
        <v>40134</v>
      </c>
      <c r="X9582" t="s">
        <v>272</v>
      </c>
      <c r="Y9582" t="s">
        <v>97</v>
      </c>
      <c r="Z9582" t="s">
        <v>77</v>
      </c>
      <c r="AA9582" t="str">
        <f>"10029-6501"</f>
        <v>10029-6501</v>
      </c>
      <c r="AB9582" t="s">
        <v>78</v>
      </c>
      <c r="AC9582" t="s">
        <v>79</v>
      </c>
      <c r="AD9582" t="s">
        <v>75</v>
      </c>
      <c r="AE9582" t="s">
        <v>80</v>
      </c>
      <c r="AG9582" t="s">
        <v>81</v>
      </c>
    </row>
    <row r="9583" spans="1:33" x14ac:dyDescent="0.25">
      <c r="A9583" t="str">
        <f>"1568436319"</f>
        <v>1568436319</v>
      </c>
      <c r="B9583" t="str">
        <f>"02039265"</f>
        <v>02039265</v>
      </c>
      <c r="C9583" t="s">
        <v>13436</v>
      </c>
      <c r="D9583" t="s">
        <v>40137</v>
      </c>
      <c r="E9583" t="s">
        <v>40138</v>
      </c>
      <c r="G9583" t="s">
        <v>40139</v>
      </c>
      <c r="L9583" t="s">
        <v>83</v>
      </c>
      <c r="M9583" t="s">
        <v>85</v>
      </c>
      <c r="R9583" t="s">
        <v>40140</v>
      </c>
      <c r="W9583" t="s">
        <v>40138</v>
      </c>
      <c r="X9583" t="s">
        <v>26176</v>
      </c>
      <c r="Y9583" t="s">
        <v>180</v>
      </c>
      <c r="Z9583" t="s">
        <v>77</v>
      </c>
      <c r="AA9583" t="str">
        <f>"10710-1125"</f>
        <v>10710-1125</v>
      </c>
      <c r="AB9583" t="s">
        <v>78</v>
      </c>
      <c r="AC9583" t="s">
        <v>79</v>
      </c>
      <c r="AD9583" t="s">
        <v>75</v>
      </c>
      <c r="AE9583" t="s">
        <v>80</v>
      </c>
      <c r="AG9583" t="s">
        <v>81</v>
      </c>
    </row>
    <row r="9584" spans="1:33" x14ac:dyDescent="0.25">
      <c r="A9584" t="str">
        <f>"1568438067"</f>
        <v>1568438067</v>
      </c>
      <c r="B9584" t="str">
        <f>"03322850"</f>
        <v>03322850</v>
      </c>
      <c r="C9584" t="s">
        <v>13436</v>
      </c>
      <c r="D9584" t="s">
        <v>40141</v>
      </c>
      <c r="E9584" t="s">
        <v>40142</v>
      </c>
      <c r="G9584" t="s">
        <v>40143</v>
      </c>
      <c r="L9584" t="s">
        <v>74</v>
      </c>
      <c r="M9584" t="s">
        <v>75</v>
      </c>
      <c r="R9584" t="s">
        <v>40144</v>
      </c>
      <c r="W9584" t="s">
        <v>40142</v>
      </c>
      <c r="X9584" t="s">
        <v>329</v>
      </c>
      <c r="Y9584" t="s">
        <v>97</v>
      </c>
      <c r="Z9584" t="s">
        <v>77</v>
      </c>
      <c r="AA9584" t="str">
        <f>"10029-6504"</f>
        <v>10029-6504</v>
      </c>
      <c r="AB9584" t="s">
        <v>78</v>
      </c>
      <c r="AC9584" t="s">
        <v>79</v>
      </c>
      <c r="AD9584" t="s">
        <v>75</v>
      </c>
      <c r="AE9584" t="s">
        <v>80</v>
      </c>
      <c r="AG9584" t="s">
        <v>81</v>
      </c>
    </row>
    <row r="9585" spans="1:33" x14ac:dyDescent="0.25">
      <c r="A9585" t="str">
        <f>"1568441913"</f>
        <v>1568441913</v>
      </c>
      <c r="B9585" t="str">
        <f>"01825007"</f>
        <v>01825007</v>
      </c>
      <c r="C9585" t="s">
        <v>13436</v>
      </c>
      <c r="D9585" t="s">
        <v>40145</v>
      </c>
      <c r="E9585" t="s">
        <v>40146</v>
      </c>
      <c r="G9585" t="s">
        <v>40147</v>
      </c>
      <c r="L9585" t="s">
        <v>102</v>
      </c>
      <c r="M9585" t="s">
        <v>85</v>
      </c>
      <c r="R9585" t="s">
        <v>40148</v>
      </c>
      <c r="W9585" t="s">
        <v>40146</v>
      </c>
      <c r="X9585" t="s">
        <v>40149</v>
      </c>
      <c r="Y9585" t="s">
        <v>97</v>
      </c>
      <c r="Z9585" t="s">
        <v>77</v>
      </c>
      <c r="AA9585" t="str">
        <f>"10032-3720"</f>
        <v>10032-3720</v>
      </c>
      <c r="AB9585" t="s">
        <v>78</v>
      </c>
      <c r="AC9585" t="s">
        <v>79</v>
      </c>
      <c r="AD9585" t="s">
        <v>75</v>
      </c>
      <c r="AE9585" t="s">
        <v>80</v>
      </c>
      <c r="AG9585" t="s">
        <v>81</v>
      </c>
    </row>
    <row r="9586" spans="1:33" x14ac:dyDescent="0.25">
      <c r="A9586" t="str">
        <f>"1568446169"</f>
        <v>1568446169</v>
      </c>
      <c r="B9586" t="str">
        <f>"01072559"</f>
        <v>01072559</v>
      </c>
      <c r="C9586" t="s">
        <v>13436</v>
      </c>
      <c r="D9586" t="s">
        <v>40150</v>
      </c>
      <c r="E9586" t="s">
        <v>40151</v>
      </c>
      <c r="G9586" t="s">
        <v>40152</v>
      </c>
      <c r="L9586" t="s">
        <v>83</v>
      </c>
      <c r="M9586" t="s">
        <v>85</v>
      </c>
      <c r="R9586" t="s">
        <v>40153</v>
      </c>
      <c r="W9586" t="s">
        <v>40154</v>
      </c>
      <c r="X9586" t="s">
        <v>329</v>
      </c>
      <c r="Y9586" t="s">
        <v>97</v>
      </c>
      <c r="Z9586" t="s">
        <v>77</v>
      </c>
      <c r="AA9586" t="str">
        <f>"10029-6500"</f>
        <v>10029-6500</v>
      </c>
      <c r="AB9586" t="s">
        <v>78</v>
      </c>
      <c r="AC9586" t="s">
        <v>79</v>
      </c>
      <c r="AD9586" t="s">
        <v>75</v>
      </c>
      <c r="AE9586" t="s">
        <v>80</v>
      </c>
      <c r="AG9586" t="s">
        <v>81</v>
      </c>
    </row>
    <row r="9587" spans="1:33" x14ac:dyDescent="0.25">
      <c r="A9587" t="str">
        <f>"1568451045"</f>
        <v>1568451045</v>
      </c>
      <c r="B9587" t="str">
        <f>"02209534"</f>
        <v>02209534</v>
      </c>
      <c r="C9587" t="s">
        <v>13436</v>
      </c>
      <c r="D9587" t="s">
        <v>40155</v>
      </c>
      <c r="E9587" t="s">
        <v>40156</v>
      </c>
      <c r="G9587" t="s">
        <v>40157</v>
      </c>
      <c r="L9587" t="s">
        <v>83</v>
      </c>
      <c r="M9587" t="s">
        <v>75</v>
      </c>
      <c r="R9587" t="s">
        <v>40158</v>
      </c>
      <c r="W9587" t="s">
        <v>40156</v>
      </c>
      <c r="X9587" t="s">
        <v>40159</v>
      </c>
      <c r="Y9587" t="s">
        <v>87</v>
      </c>
      <c r="Z9587" t="s">
        <v>77</v>
      </c>
      <c r="AA9587" t="str">
        <f>"11237-4006"</f>
        <v>11237-4006</v>
      </c>
      <c r="AB9587" t="s">
        <v>128</v>
      </c>
      <c r="AC9587" t="s">
        <v>79</v>
      </c>
      <c r="AD9587" t="s">
        <v>75</v>
      </c>
      <c r="AE9587" t="s">
        <v>80</v>
      </c>
      <c r="AG9587" t="s">
        <v>81</v>
      </c>
    </row>
    <row r="9588" spans="1:33" x14ac:dyDescent="0.25">
      <c r="A9588" t="str">
        <f>"1568456390"</f>
        <v>1568456390</v>
      </c>
      <c r="B9588" t="str">
        <f>"02433627"</f>
        <v>02433627</v>
      </c>
      <c r="C9588" t="s">
        <v>13436</v>
      </c>
      <c r="D9588" t="s">
        <v>40160</v>
      </c>
      <c r="E9588" t="s">
        <v>40161</v>
      </c>
      <c r="L9588" t="s">
        <v>102</v>
      </c>
      <c r="M9588" t="s">
        <v>75</v>
      </c>
      <c r="R9588" t="s">
        <v>40161</v>
      </c>
      <c r="W9588" t="s">
        <v>40161</v>
      </c>
      <c r="X9588" t="s">
        <v>40162</v>
      </c>
      <c r="Y9588" t="s">
        <v>97</v>
      </c>
      <c r="Z9588" t="s">
        <v>77</v>
      </c>
      <c r="AA9588" t="str">
        <f>"10016-6402"</f>
        <v>10016-6402</v>
      </c>
      <c r="AB9588" t="s">
        <v>78</v>
      </c>
      <c r="AC9588" t="s">
        <v>79</v>
      </c>
      <c r="AD9588" t="s">
        <v>75</v>
      </c>
      <c r="AE9588" t="s">
        <v>80</v>
      </c>
      <c r="AG9588" t="s">
        <v>81</v>
      </c>
    </row>
    <row r="9589" spans="1:33" x14ac:dyDescent="0.25">
      <c r="A9589" t="str">
        <f>"1942522511"</f>
        <v>1942522511</v>
      </c>
      <c r="B9589" t="str">
        <f>"04015569"</f>
        <v>04015569</v>
      </c>
      <c r="C9589" t="s">
        <v>13436</v>
      </c>
      <c r="D9589" t="s">
        <v>40163</v>
      </c>
      <c r="E9589" t="s">
        <v>40164</v>
      </c>
      <c r="L9589" t="s">
        <v>74</v>
      </c>
      <c r="M9589" t="s">
        <v>75</v>
      </c>
      <c r="R9589" t="s">
        <v>40165</v>
      </c>
      <c r="W9589" t="s">
        <v>40164</v>
      </c>
      <c r="X9589" t="s">
        <v>40166</v>
      </c>
      <c r="Y9589" t="s">
        <v>97</v>
      </c>
      <c r="Z9589" t="s">
        <v>77</v>
      </c>
      <c r="AA9589" t="str">
        <f>"10003-0000"</f>
        <v>10003-0000</v>
      </c>
      <c r="AB9589" t="s">
        <v>78</v>
      </c>
      <c r="AC9589" t="s">
        <v>79</v>
      </c>
      <c r="AD9589" t="s">
        <v>75</v>
      </c>
      <c r="AE9589" t="s">
        <v>80</v>
      </c>
      <c r="AG9589" t="s">
        <v>81</v>
      </c>
    </row>
    <row r="9590" spans="1:33" x14ac:dyDescent="0.25">
      <c r="A9590" t="str">
        <f>"1952300717"</f>
        <v>1952300717</v>
      </c>
      <c r="B9590" t="str">
        <f>"02414639"</f>
        <v>02414639</v>
      </c>
      <c r="C9590" t="s">
        <v>13436</v>
      </c>
      <c r="D9590" t="s">
        <v>40167</v>
      </c>
      <c r="E9590" t="s">
        <v>40168</v>
      </c>
      <c r="L9590" t="s">
        <v>83</v>
      </c>
      <c r="M9590" t="s">
        <v>85</v>
      </c>
      <c r="R9590" t="s">
        <v>40169</v>
      </c>
      <c r="W9590" t="s">
        <v>40168</v>
      </c>
      <c r="X9590" t="s">
        <v>32346</v>
      </c>
      <c r="Y9590" t="s">
        <v>97</v>
      </c>
      <c r="Z9590" t="s">
        <v>77</v>
      </c>
      <c r="AA9590" t="str">
        <f>"10128"</f>
        <v>10128</v>
      </c>
      <c r="AB9590" t="s">
        <v>78</v>
      </c>
      <c r="AC9590" t="s">
        <v>79</v>
      </c>
      <c r="AD9590" t="s">
        <v>75</v>
      </c>
      <c r="AE9590" t="s">
        <v>80</v>
      </c>
      <c r="AG9590" t="s">
        <v>81</v>
      </c>
    </row>
    <row r="9591" spans="1:33" x14ac:dyDescent="0.25">
      <c r="A9591" t="str">
        <f>"1952323180"</f>
        <v>1952323180</v>
      </c>
      <c r="B9591" t="str">
        <f>"01244513"</f>
        <v>01244513</v>
      </c>
      <c r="C9591" t="s">
        <v>13436</v>
      </c>
      <c r="D9591" t="s">
        <v>6124</v>
      </c>
      <c r="E9591" t="s">
        <v>6125</v>
      </c>
      <c r="L9591" t="s">
        <v>83</v>
      </c>
      <c r="M9591" t="s">
        <v>85</v>
      </c>
      <c r="R9591" t="s">
        <v>6126</v>
      </c>
      <c r="W9591" t="s">
        <v>6125</v>
      </c>
      <c r="X9591" t="s">
        <v>6127</v>
      </c>
      <c r="Y9591" t="s">
        <v>97</v>
      </c>
      <c r="Z9591" t="s">
        <v>77</v>
      </c>
      <c r="AA9591" t="str">
        <f>"10029-0310"</f>
        <v>10029-0310</v>
      </c>
      <c r="AB9591" t="s">
        <v>78</v>
      </c>
      <c r="AC9591" t="s">
        <v>79</v>
      </c>
      <c r="AD9591" t="s">
        <v>75</v>
      </c>
      <c r="AE9591" t="s">
        <v>80</v>
      </c>
      <c r="AG9591" t="s">
        <v>81</v>
      </c>
    </row>
    <row r="9592" spans="1:33" x14ac:dyDescent="0.25">
      <c r="A9592" t="str">
        <f>"1952329518"</f>
        <v>1952329518</v>
      </c>
      <c r="B9592" t="str">
        <f>"00807901"</f>
        <v>00807901</v>
      </c>
      <c r="C9592" t="s">
        <v>13436</v>
      </c>
      <c r="D9592" t="s">
        <v>40170</v>
      </c>
      <c r="E9592" t="s">
        <v>40171</v>
      </c>
      <c r="L9592" t="s">
        <v>74</v>
      </c>
      <c r="M9592" t="s">
        <v>85</v>
      </c>
      <c r="R9592" t="s">
        <v>40172</v>
      </c>
      <c r="W9592" t="s">
        <v>40171</v>
      </c>
      <c r="X9592" t="s">
        <v>26671</v>
      </c>
      <c r="Y9592" t="s">
        <v>97</v>
      </c>
      <c r="Z9592" t="s">
        <v>77</v>
      </c>
      <c r="AA9592" t="str">
        <f>"10029-6501"</f>
        <v>10029-6501</v>
      </c>
      <c r="AB9592" t="s">
        <v>78</v>
      </c>
      <c r="AC9592" t="s">
        <v>79</v>
      </c>
      <c r="AD9592" t="s">
        <v>75</v>
      </c>
      <c r="AE9592" t="s">
        <v>80</v>
      </c>
      <c r="AG9592" t="s">
        <v>81</v>
      </c>
    </row>
    <row r="9593" spans="1:33" x14ac:dyDescent="0.25">
      <c r="A9593" t="str">
        <f>"1790114585"</f>
        <v>1790114585</v>
      </c>
      <c r="C9593" t="s">
        <v>40173</v>
      </c>
      <c r="G9593" t="s">
        <v>31777</v>
      </c>
      <c r="H9593" t="s">
        <v>31778</v>
      </c>
      <c r="J9593" t="s">
        <v>31779</v>
      </c>
      <c r="K9593" t="s">
        <v>99</v>
      </c>
      <c r="L9593" t="s">
        <v>102</v>
      </c>
      <c r="M9593" t="s">
        <v>75</v>
      </c>
      <c r="R9593" t="s">
        <v>40174</v>
      </c>
      <c r="S9593" t="s">
        <v>40175</v>
      </c>
      <c r="T9593" t="s">
        <v>97</v>
      </c>
      <c r="U9593" t="s">
        <v>77</v>
      </c>
      <c r="V9593" t="str">
        <f>"100296217"</f>
        <v>100296217</v>
      </c>
      <c r="AC9593" t="s">
        <v>79</v>
      </c>
      <c r="AD9593" t="s">
        <v>75</v>
      </c>
      <c r="AE9593" t="s">
        <v>103</v>
      </c>
      <c r="AG9593" t="s">
        <v>81</v>
      </c>
    </row>
    <row r="9594" spans="1:33" x14ac:dyDescent="0.25">
      <c r="C9594" t="s">
        <v>40176</v>
      </c>
      <c r="G9594" t="s">
        <v>31777</v>
      </c>
      <c r="H9594" t="s">
        <v>31778</v>
      </c>
      <c r="J9594" t="s">
        <v>31779</v>
      </c>
      <c r="K9594" t="s">
        <v>99</v>
      </c>
      <c r="L9594" t="s">
        <v>100</v>
      </c>
      <c r="M9594" t="s">
        <v>75</v>
      </c>
      <c r="N9594" t="s">
        <v>431</v>
      </c>
      <c r="O9594" t="s">
        <v>77</v>
      </c>
      <c r="P9594">
        <v>11201</v>
      </c>
      <c r="AC9594" t="s">
        <v>79</v>
      </c>
      <c r="AD9594" t="s">
        <v>75</v>
      </c>
      <c r="AE9594" t="s">
        <v>101</v>
      </c>
      <c r="AG9594" t="s">
        <v>81</v>
      </c>
    </row>
    <row r="9595" spans="1:33" x14ac:dyDescent="0.25">
      <c r="C9595" t="s">
        <v>40177</v>
      </c>
      <c r="G9595" t="s">
        <v>31777</v>
      </c>
      <c r="H9595" t="s">
        <v>31778</v>
      </c>
      <c r="J9595" t="s">
        <v>31779</v>
      </c>
      <c r="K9595" t="s">
        <v>99</v>
      </c>
      <c r="L9595" t="s">
        <v>100</v>
      </c>
      <c r="M9595" t="s">
        <v>75</v>
      </c>
      <c r="N9595" t="s">
        <v>431</v>
      </c>
      <c r="O9595" t="s">
        <v>77</v>
      </c>
      <c r="P9595">
        <v>11201</v>
      </c>
      <c r="AC9595" t="s">
        <v>79</v>
      </c>
      <c r="AD9595" t="s">
        <v>75</v>
      </c>
      <c r="AE9595" t="s">
        <v>101</v>
      </c>
      <c r="AG9595" t="s">
        <v>81</v>
      </c>
    </row>
    <row r="9596" spans="1:33" x14ac:dyDescent="0.25">
      <c r="C9596" t="s">
        <v>40178</v>
      </c>
      <c r="G9596" t="s">
        <v>31777</v>
      </c>
      <c r="H9596" t="s">
        <v>31778</v>
      </c>
      <c r="J9596" t="s">
        <v>31779</v>
      </c>
      <c r="K9596" t="s">
        <v>99</v>
      </c>
      <c r="L9596" t="s">
        <v>100</v>
      </c>
      <c r="M9596" t="s">
        <v>75</v>
      </c>
      <c r="N9596" t="s">
        <v>431</v>
      </c>
      <c r="O9596" t="s">
        <v>77</v>
      </c>
      <c r="P9596">
        <v>11201</v>
      </c>
      <c r="AC9596" t="s">
        <v>79</v>
      </c>
      <c r="AD9596" t="s">
        <v>75</v>
      </c>
      <c r="AE9596" t="s">
        <v>101</v>
      </c>
      <c r="AG9596" t="s">
        <v>81</v>
      </c>
    </row>
    <row r="9597" spans="1:33" x14ac:dyDescent="0.25">
      <c r="C9597" t="s">
        <v>40179</v>
      </c>
      <c r="G9597" t="s">
        <v>31777</v>
      </c>
      <c r="H9597" t="s">
        <v>31778</v>
      </c>
      <c r="J9597" t="s">
        <v>31779</v>
      </c>
      <c r="K9597" t="s">
        <v>99</v>
      </c>
      <c r="L9597" t="s">
        <v>100</v>
      </c>
      <c r="M9597" t="s">
        <v>75</v>
      </c>
      <c r="N9597" t="s">
        <v>431</v>
      </c>
      <c r="O9597" t="s">
        <v>77</v>
      </c>
      <c r="P9597">
        <v>11201</v>
      </c>
      <c r="AC9597" t="s">
        <v>79</v>
      </c>
      <c r="AD9597" t="s">
        <v>75</v>
      </c>
      <c r="AE9597" t="s">
        <v>101</v>
      </c>
      <c r="AG9597" t="s">
        <v>81</v>
      </c>
    </row>
    <row r="9598" spans="1:33" x14ac:dyDescent="0.25">
      <c r="C9598" t="s">
        <v>40180</v>
      </c>
      <c r="G9598" t="s">
        <v>31777</v>
      </c>
      <c r="H9598" t="s">
        <v>31778</v>
      </c>
      <c r="J9598" t="s">
        <v>31779</v>
      </c>
      <c r="K9598" t="s">
        <v>99</v>
      </c>
      <c r="L9598" t="s">
        <v>100</v>
      </c>
      <c r="M9598" t="s">
        <v>75</v>
      </c>
      <c r="N9598" t="s">
        <v>431</v>
      </c>
      <c r="O9598" t="s">
        <v>77</v>
      </c>
      <c r="P9598">
        <v>11201</v>
      </c>
      <c r="AC9598" t="s">
        <v>79</v>
      </c>
      <c r="AD9598" t="s">
        <v>75</v>
      </c>
      <c r="AE9598" t="s">
        <v>101</v>
      </c>
      <c r="AG9598" t="s">
        <v>81</v>
      </c>
    </row>
    <row r="9599" spans="1:33" x14ac:dyDescent="0.25">
      <c r="A9599" t="str">
        <f>"1720277239"</f>
        <v>1720277239</v>
      </c>
      <c r="C9599" t="s">
        <v>40181</v>
      </c>
      <c r="G9599" t="s">
        <v>40182</v>
      </c>
      <c r="H9599" t="s">
        <v>40183</v>
      </c>
      <c r="J9599" t="s">
        <v>40184</v>
      </c>
      <c r="K9599" t="s">
        <v>99</v>
      </c>
      <c r="L9599" t="s">
        <v>102</v>
      </c>
      <c r="M9599" t="s">
        <v>75</v>
      </c>
      <c r="R9599" t="s">
        <v>40185</v>
      </c>
      <c r="S9599" t="s">
        <v>1193</v>
      </c>
      <c r="T9599" t="s">
        <v>216</v>
      </c>
      <c r="U9599" t="s">
        <v>77</v>
      </c>
      <c r="V9599" t="str">
        <f>"116914001"</f>
        <v>116914001</v>
      </c>
      <c r="AC9599" t="s">
        <v>79</v>
      </c>
      <c r="AD9599" t="s">
        <v>75</v>
      </c>
      <c r="AE9599" t="s">
        <v>103</v>
      </c>
      <c r="AG9599" t="s">
        <v>81</v>
      </c>
    </row>
    <row r="9600" spans="1:33" x14ac:dyDescent="0.25">
      <c r="A9600" t="str">
        <f>"1164453551"</f>
        <v>1164453551</v>
      </c>
      <c r="B9600" t="str">
        <f>"02254075"</f>
        <v>02254075</v>
      </c>
      <c r="C9600" t="s">
        <v>13436</v>
      </c>
      <c r="D9600" t="s">
        <v>40186</v>
      </c>
      <c r="E9600" t="s">
        <v>40187</v>
      </c>
      <c r="G9600" t="s">
        <v>40188</v>
      </c>
      <c r="L9600" t="s">
        <v>83</v>
      </c>
      <c r="M9600" t="s">
        <v>75</v>
      </c>
      <c r="R9600" t="s">
        <v>40189</v>
      </c>
      <c r="W9600" t="s">
        <v>40187</v>
      </c>
      <c r="X9600" t="s">
        <v>267</v>
      </c>
      <c r="Y9600" t="s">
        <v>91</v>
      </c>
      <c r="Z9600" t="s">
        <v>77</v>
      </c>
      <c r="AA9600" t="str">
        <f>"11373-1329"</f>
        <v>11373-1329</v>
      </c>
      <c r="AB9600" t="s">
        <v>78</v>
      </c>
      <c r="AC9600" t="s">
        <v>79</v>
      </c>
      <c r="AD9600" t="s">
        <v>75</v>
      </c>
      <c r="AE9600" t="s">
        <v>80</v>
      </c>
      <c r="AG9600" t="s">
        <v>81</v>
      </c>
    </row>
    <row r="9601" spans="1:33" x14ac:dyDescent="0.25">
      <c r="A9601" t="str">
        <f>"1063724037"</f>
        <v>1063724037</v>
      </c>
      <c r="B9601" t="str">
        <f>"04059629"</f>
        <v>04059629</v>
      </c>
      <c r="C9601" t="s">
        <v>13436</v>
      </c>
      <c r="D9601" t="s">
        <v>40190</v>
      </c>
      <c r="E9601" t="s">
        <v>40191</v>
      </c>
      <c r="G9601" t="s">
        <v>40192</v>
      </c>
      <c r="L9601" t="s">
        <v>74</v>
      </c>
      <c r="M9601" t="s">
        <v>75</v>
      </c>
      <c r="R9601" t="s">
        <v>40193</v>
      </c>
      <c r="W9601" t="s">
        <v>40191</v>
      </c>
      <c r="X9601" t="s">
        <v>365</v>
      </c>
      <c r="Y9601" t="s">
        <v>190</v>
      </c>
      <c r="Z9601" t="s">
        <v>77</v>
      </c>
      <c r="AA9601" t="str">
        <f>"11102-2448"</f>
        <v>11102-2448</v>
      </c>
      <c r="AB9601" t="s">
        <v>78</v>
      </c>
      <c r="AC9601" t="s">
        <v>79</v>
      </c>
      <c r="AD9601" t="s">
        <v>75</v>
      </c>
      <c r="AE9601" t="s">
        <v>80</v>
      </c>
      <c r="AG9601" t="s">
        <v>81</v>
      </c>
    </row>
    <row r="9602" spans="1:33" x14ac:dyDescent="0.25">
      <c r="A9602" t="str">
        <f>"1437552783"</f>
        <v>1437552783</v>
      </c>
      <c r="C9602" t="s">
        <v>13436</v>
      </c>
      <c r="G9602" t="s">
        <v>40194</v>
      </c>
      <c r="K9602" t="s">
        <v>99</v>
      </c>
      <c r="L9602" t="s">
        <v>74</v>
      </c>
      <c r="M9602" t="s">
        <v>75</v>
      </c>
      <c r="R9602" t="s">
        <v>40195</v>
      </c>
      <c r="S9602" t="s">
        <v>235</v>
      </c>
      <c r="T9602" t="s">
        <v>190</v>
      </c>
      <c r="U9602" t="s">
        <v>77</v>
      </c>
      <c r="V9602" t="str">
        <f>"111022448"</f>
        <v>111022448</v>
      </c>
      <c r="AC9602" t="s">
        <v>79</v>
      </c>
      <c r="AD9602" t="s">
        <v>75</v>
      </c>
      <c r="AE9602" t="s">
        <v>103</v>
      </c>
      <c r="AG9602" t="s">
        <v>81</v>
      </c>
    </row>
    <row r="9603" spans="1:33" x14ac:dyDescent="0.25">
      <c r="A9603" t="str">
        <f>"1033110788"</f>
        <v>1033110788</v>
      </c>
      <c r="B9603" t="str">
        <f>"01523142"</f>
        <v>01523142</v>
      </c>
      <c r="C9603" t="s">
        <v>13436</v>
      </c>
      <c r="D9603" t="s">
        <v>1509</v>
      </c>
      <c r="E9603" t="s">
        <v>1510</v>
      </c>
      <c r="G9603" t="s">
        <v>40196</v>
      </c>
      <c r="L9603" t="s">
        <v>83</v>
      </c>
      <c r="M9603" t="s">
        <v>75</v>
      </c>
      <c r="R9603" t="s">
        <v>1508</v>
      </c>
      <c r="W9603" t="s">
        <v>1510</v>
      </c>
      <c r="X9603" t="s">
        <v>1511</v>
      </c>
      <c r="Y9603" t="s">
        <v>87</v>
      </c>
      <c r="Z9603" t="s">
        <v>77</v>
      </c>
      <c r="AA9603" t="str">
        <f>"11234-2625"</f>
        <v>11234-2625</v>
      </c>
      <c r="AB9603" t="s">
        <v>78</v>
      </c>
      <c r="AC9603" t="s">
        <v>79</v>
      </c>
      <c r="AD9603" t="s">
        <v>75</v>
      </c>
      <c r="AE9603" t="s">
        <v>80</v>
      </c>
      <c r="AG9603" t="s">
        <v>81</v>
      </c>
    </row>
    <row r="9604" spans="1:33" x14ac:dyDescent="0.25">
      <c r="A9604" t="str">
        <f>"1043241276"</f>
        <v>1043241276</v>
      </c>
      <c r="B9604" t="str">
        <f>"00447310"</f>
        <v>00447310</v>
      </c>
      <c r="C9604" t="s">
        <v>13436</v>
      </c>
      <c r="D9604" t="s">
        <v>40197</v>
      </c>
      <c r="E9604" t="s">
        <v>40198</v>
      </c>
      <c r="G9604" t="s">
        <v>40199</v>
      </c>
      <c r="L9604" t="s">
        <v>83</v>
      </c>
      <c r="M9604" t="s">
        <v>75</v>
      </c>
      <c r="R9604" t="s">
        <v>40200</v>
      </c>
      <c r="W9604" t="s">
        <v>40198</v>
      </c>
      <c r="X9604" t="s">
        <v>15371</v>
      </c>
      <c r="Y9604" t="s">
        <v>87</v>
      </c>
      <c r="Z9604" t="s">
        <v>77</v>
      </c>
      <c r="AA9604" t="str">
        <f>"11212"</f>
        <v>11212</v>
      </c>
      <c r="AB9604" t="s">
        <v>78</v>
      </c>
      <c r="AC9604" t="s">
        <v>79</v>
      </c>
      <c r="AD9604" t="s">
        <v>75</v>
      </c>
      <c r="AE9604" t="s">
        <v>80</v>
      </c>
      <c r="AG9604" t="s">
        <v>81</v>
      </c>
    </row>
    <row r="9605" spans="1:33" x14ac:dyDescent="0.25">
      <c r="A9605" t="str">
        <f>"1043386915"</f>
        <v>1043386915</v>
      </c>
      <c r="B9605" t="str">
        <f>"01613414"</f>
        <v>01613414</v>
      </c>
      <c r="C9605" t="s">
        <v>13436</v>
      </c>
      <c r="D9605" t="s">
        <v>40201</v>
      </c>
      <c r="E9605" t="s">
        <v>40202</v>
      </c>
      <c r="G9605" t="s">
        <v>40203</v>
      </c>
      <c r="L9605" t="s">
        <v>84</v>
      </c>
      <c r="M9605" t="s">
        <v>85</v>
      </c>
      <c r="R9605" t="s">
        <v>40204</v>
      </c>
      <c r="W9605" t="s">
        <v>40202</v>
      </c>
      <c r="X9605" t="s">
        <v>40205</v>
      </c>
      <c r="Y9605" t="s">
        <v>87</v>
      </c>
      <c r="Z9605" t="s">
        <v>77</v>
      </c>
      <c r="AA9605" t="str">
        <f>"11229-1088"</f>
        <v>11229-1088</v>
      </c>
      <c r="AB9605" t="s">
        <v>78</v>
      </c>
      <c r="AC9605" t="s">
        <v>79</v>
      </c>
      <c r="AD9605" t="s">
        <v>75</v>
      </c>
      <c r="AE9605" t="s">
        <v>80</v>
      </c>
      <c r="AG9605" t="s">
        <v>81</v>
      </c>
    </row>
    <row r="9606" spans="1:33" x14ac:dyDescent="0.25">
      <c r="A9606" t="str">
        <f>"1851519664"</f>
        <v>1851519664</v>
      </c>
      <c r="B9606" t="str">
        <f>"02246459"</f>
        <v>02246459</v>
      </c>
      <c r="C9606" t="s">
        <v>40206</v>
      </c>
      <c r="D9606" t="s">
        <v>2579</v>
      </c>
      <c r="E9606" t="s">
        <v>2580</v>
      </c>
      <c r="G9606" t="s">
        <v>35048</v>
      </c>
      <c r="H9606" t="s">
        <v>35049</v>
      </c>
      <c r="J9606" t="s">
        <v>35050</v>
      </c>
      <c r="L9606" t="s">
        <v>83</v>
      </c>
      <c r="M9606" t="s">
        <v>85</v>
      </c>
      <c r="R9606" t="s">
        <v>2581</v>
      </c>
      <c r="W9606" t="s">
        <v>2580</v>
      </c>
      <c r="X9606" t="s">
        <v>2582</v>
      </c>
      <c r="Y9606" t="s">
        <v>97</v>
      </c>
      <c r="Z9606" t="s">
        <v>77</v>
      </c>
      <c r="AA9606" t="str">
        <f>"10012-2413"</f>
        <v>10012-2413</v>
      </c>
      <c r="AB9606" t="s">
        <v>78</v>
      </c>
      <c r="AC9606" t="s">
        <v>79</v>
      </c>
      <c r="AD9606" t="s">
        <v>75</v>
      </c>
      <c r="AE9606" t="s">
        <v>80</v>
      </c>
      <c r="AG9606" t="s">
        <v>81</v>
      </c>
    </row>
    <row r="9607" spans="1:33" x14ac:dyDescent="0.25">
      <c r="A9607" t="str">
        <f>"1265607469"</f>
        <v>1265607469</v>
      </c>
      <c r="B9607" t="str">
        <f>"03385417"</f>
        <v>03385417</v>
      </c>
      <c r="C9607" t="s">
        <v>40207</v>
      </c>
      <c r="D9607" t="s">
        <v>40208</v>
      </c>
      <c r="E9607" t="s">
        <v>40209</v>
      </c>
      <c r="G9607" t="s">
        <v>35048</v>
      </c>
      <c r="H9607" t="s">
        <v>35049</v>
      </c>
      <c r="J9607" t="s">
        <v>35050</v>
      </c>
      <c r="L9607" t="s">
        <v>83</v>
      </c>
      <c r="M9607" t="s">
        <v>85</v>
      </c>
      <c r="R9607" t="s">
        <v>40210</v>
      </c>
      <c r="W9607" t="s">
        <v>40209</v>
      </c>
      <c r="X9607" t="s">
        <v>2582</v>
      </c>
      <c r="Y9607" t="s">
        <v>97</v>
      </c>
      <c r="Z9607" t="s">
        <v>77</v>
      </c>
      <c r="AA9607" t="str">
        <f>"10012-2413"</f>
        <v>10012-2413</v>
      </c>
      <c r="AB9607" t="s">
        <v>78</v>
      </c>
      <c r="AC9607" t="s">
        <v>79</v>
      </c>
      <c r="AD9607" t="s">
        <v>75</v>
      </c>
      <c r="AE9607" t="s">
        <v>80</v>
      </c>
      <c r="AG9607" t="s">
        <v>81</v>
      </c>
    </row>
    <row r="9608" spans="1:33" x14ac:dyDescent="0.25">
      <c r="A9608" t="str">
        <f>"1598750515"</f>
        <v>1598750515</v>
      </c>
      <c r="B9608" t="str">
        <f>"01783426"</f>
        <v>01783426</v>
      </c>
      <c r="C9608" t="s">
        <v>40211</v>
      </c>
      <c r="D9608" t="s">
        <v>5746</v>
      </c>
      <c r="E9608" t="s">
        <v>5747</v>
      </c>
      <c r="G9608" t="s">
        <v>35048</v>
      </c>
      <c r="H9608" t="s">
        <v>35049</v>
      </c>
      <c r="J9608" t="s">
        <v>35050</v>
      </c>
      <c r="L9608" t="s">
        <v>83</v>
      </c>
      <c r="M9608" t="s">
        <v>85</v>
      </c>
      <c r="R9608" t="s">
        <v>5748</v>
      </c>
      <c r="W9608" t="s">
        <v>5747</v>
      </c>
      <c r="X9608" t="s">
        <v>5749</v>
      </c>
      <c r="Y9608" t="s">
        <v>97</v>
      </c>
      <c r="Z9608" t="s">
        <v>77</v>
      </c>
      <c r="AA9608" t="str">
        <f>"10016"</f>
        <v>10016</v>
      </c>
      <c r="AB9608" t="s">
        <v>78</v>
      </c>
      <c r="AC9608" t="s">
        <v>79</v>
      </c>
      <c r="AD9608" t="s">
        <v>75</v>
      </c>
      <c r="AE9608" t="s">
        <v>80</v>
      </c>
      <c r="AG9608" t="s">
        <v>81</v>
      </c>
    </row>
    <row r="9609" spans="1:33" x14ac:dyDescent="0.25">
      <c r="A9609" t="str">
        <f>"1407080781"</f>
        <v>1407080781</v>
      </c>
      <c r="B9609" t="str">
        <f>"03557797"</f>
        <v>03557797</v>
      </c>
      <c r="C9609" t="s">
        <v>40212</v>
      </c>
      <c r="D9609" t="s">
        <v>40213</v>
      </c>
      <c r="E9609" t="s">
        <v>40214</v>
      </c>
      <c r="G9609" t="s">
        <v>35048</v>
      </c>
      <c r="H9609" t="s">
        <v>35049</v>
      </c>
      <c r="J9609" t="s">
        <v>35050</v>
      </c>
      <c r="L9609" t="s">
        <v>84</v>
      </c>
      <c r="M9609" t="s">
        <v>85</v>
      </c>
      <c r="R9609" t="s">
        <v>40215</v>
      </c>
      <c r="W9609" t="s">
        <v>40214</v>
      </c>
      <c r="X9609" t="s">
        <v>1010</v>
      </c>
      <c r="Y9609" t="s">
        <v>97</v>
      </c>
      <c r="Z9609" t="s">
        <v>77</v>
      </c>
      <c r="AA9609" t="str">
        <f>"10035-3832"</f>
        <v>10035-3832</v>
      </c>
      <c r="AB9609" t="s">
        <v>78</v>
      </c>
      <c r="AC9609" t="s">
        <v>79</v>
      </c>
      <c r="AD9609" t="s">
        <v>75</v>
      </c>
      <c r="AE9609" t="s">
        <v>80</v>
      </c>
      <c r="AG9609" t="s">
        <v>81</v>
      </c>
    </row>
    <row r="9610" spans="1:33" x14ac:dyDescent="0.25">
      <c r="A9610" t="str">
        <f>"1245573872"</f>
        <v>1245573872</v>
      </c>
      <c r="B9610" t="str">
        <f>"04010413"</f>
        <v>04010413</v>
      </c>
      <c r="C9610" t="s">
        <v>40216</v>
      </c>
      <c r="D9610" t="s">
        <v>40217</v>
      </c>
      <c r="E9610" t="s">
        <v>40218</v>
      </c>
      <c r="G9610" t="s">
        <v>35048</v>
      </c>
      <c r="H9610" t="s">
        <v>35049</v>
      </c>
      <c r="J9610" t="s">
        <v>35050</v>
      </c>
      <c r="L9610" t="s">
        <v>83</v>
      </c>
      <c r="M9610" t="s">
        <v>75</v>
      </c>
      <c r="R9610" t="s">
        <v>40218</v>
      </c>
      <c r="W9610" t="s">
        <v>40219</v>
      </c>
      <c r="X9610" t="s">
        <v>2582</v>
      </c>
      <c r="Y9610" t="s">
        <v>97</v>
      </c>
      <c r="Z9610" t="s">
        <v>77</v>
      </c>
      <c r="AA9610" t="str">
        <f>"10012-2413"</f>
        <v>10012-2413</v>
      </c>
      <c r="AB9610" t="s">
        <v>78</v>
      </c>
      <c r="AC9610" t="s">
        <v>79</v>
      </c>
      <c r="AD9610" t="s">
        <v>75</v>
      </c>
      <c r="AE9610" t="s">
        <v>80</v>
      </c>
      <c r="AG9610" t="s">
        <v>81</v>
      </c>
    </row>
    <row r="9611" spans="1:33" x14ac:dyDescent="0.25">
      <c r="A9611" t="str">
        <f>"1235397506"</f>
        <v>1235397506</v>
      </c>
      <c r="B9611" t="str">
        <f>"03126950"</f>
        <v>03126950</v>
      </c>
      <c r="C9611" t="s">
        <v>40220</v>
      </c>
      <c r="D9611" t="s">
        <v>5527</v>
      </c>
      <c r="E9611" t="s">
        <v>5528</v>
      </c>
      <c r="G9611" t="s">
        <v>35048</v>
      </c>
      <c r="H9611" t="s">
        <v>35049</v>
      </c>
      <c r="J9611" t="s">
        <v>35050</v>
      </c>
      <c r="L9611" t="s">
        <v>84</v>
      </c>
      <c r="M9611" t="s">
        <v>85</v>
      </c>
      <c r="R9611" t="s">
        <v>5529</v>
      </c>
      <c r="W9611" t="s">
        <v>5530</v>
      </c>
      <c r="X9611" t="s">
        <v>258</v>
      </c>
      <c r="Y9611" t="s">
        <v>131</v>
      </c>
      <c r="Z9611" t="s">
        <v>77</v>
      </c>
      <c r="AA9611" t="str">
        <f>"10467-2401"</f>
        <v>10467-2401</v>
      </c>
      <c r="AB9611" t="s">
        <v>78</v>
      </c>
      <c r="AC9611" t="s">
        <v>79</v>
      </c>
      <c r="AD9611" t="s">
        <v>75</v>
      </c>
      <c r="AE9611" t="s">
        <v>80</v>
      </c>
      <c r="AG9611" t="s">
        <v>81</v>
      </c>
    </row>
    <row r="9612" spans="1:33" x14ac:dyDescent="0.25">
      <c r="A9612" t="str">
        <f>"1184953846"</f>
        <v>1184953846</v>
      </c>
      <c r="B9612" t="str">
        <f>"03255709"</f>
        <v>03255709</v>
      </c>
      <c r="C9612" t="s">
        <v>40221</v>
      </c>
      <c r="D9612" t="s">
        <v>40222</v>
      </c>
      <c r="E9612" t="s">
        <v>40223</v>
      </c>
      <c r="G9612" t="s">
        <v>35048</v>
      </c>
      <c r="H9612" t="s">
        <v>35049</v>
      </c>
      <c r="J9612" t="s">
        <v>35050</v>
      </c>
      <c r="L9612" t="s">
        <v>83</v>
      </c>
      <c r="M9612" t="s">
        <v>85</v>
      </c>
      <c r="R9612" t="s">
        <v>40224</v>
      </c>
      <c r="W9612" t="s">
        <v>40225</v>
      </c>
      <c r="X9612" t="s">
        <v>234</v>
      </c>
      <c r="Y9612" t="s">
        <v>97</v>
      </c>
      <c r="Z9612" t="s">
        <v>77</v>
      </c>
      <c r="AA9612" t="str">
        <f>"10032-3729"</f>
        <v>10032-3729</v>
      </c>
      <c r="AB9612" t="s">
        <v>78</v>
      </c>
      <c r="AC9612" t="s">
        <v>79</v>
      </c>
      <c r="AD9612" t="s">
        <v>75</v>
      </c>
      <c r="AE9612" t="s">
        <v>80</v>
      </c>
      <c r="AG9612" t="s">
        <v>81</v>
      </c>
    </row>
    <row r="9613" spans="1:33" x14ac:dyDescent="0.25">
      <c r="A9613" t="str">
        <f>"1467571653"</f>
        <v>1467571653</v>
      </c>
      <c r="B9613" t="str">
        <f>"00272688"</f>
        <v>00272688</v>
      </c>
      <c r="C9613" t="s">
        <v>39807</v>
      </c>
      <c r="D9613" t="s">
        <v>40226</v>
      </c>
      <c r="E9613" t="s">
        <v>40227</v>
      </c>
      <c r="G9613" t="s">
        <v>39810</v>
      </c>
      <c r="H9613" t="s">
        <v>39811</v>
      </c>
      <c r="J9613" t="s">
        <v>39812</v>
      </c>
      <c r="L9613" t="s">
        <v>10</v>
      </c>
      <c r="M9613" t="s">
        <v>75</v>
      </c>
      <c r="R9613" t="s">
        <v>39813</v>
      </c>
      <c r="W9613" t="s">
        <v>40227</v>
      </c>
      <c r="X9613" t="s">
        <v>40228</v>
      </c>
      <c r="Y9613" t="s">
        <v>87</v>
      </c>
      <c r="Z9613" t="s">
        <v>77</v>
      </c>
      <c r="AA9613" t="str">
        <f>"11210-2927"</f>
        <v>11210-2927</v>
      </c>
      <c r="AB9613" t="s">
        <v>122</v>
      </c>
      <c r="AC9613" t="s">
        <v>79</v>
      </c>
      <c r="AD9613" t="s">
        <v>75</v>
      </c>
      <c r="AE9613" t="s">
        <v>80</v>
      </c>
      <c r="AG9613" t="s">
        <v>81</v>
      </c>
    </row>
    <row r="9614" spans="1:33" x14ac:dyDescent="0.25">
      <c r="A9614" t="str">
        <f>"1699033985"</f>
        <v>1699033985</v>
      </c>
      <c r="B9614" t="str">
        <f>"04171317"</f>
        <v>04171317</v>
      </c>
      <c r="C9614" t="s">
        <v>13436</v>
      </c>
      <c r="D9614" t="s">
        <v>40229</v>
      </c>
      <c r="E9614" t="s">
        <v>40230</v>
      </c>
      <c r="L9614" t="s">
        <v>74</v>
      </c>
      <c r="M9614" t="s">
        <v>75</v>
      </c>
      <c r="R9614" t="s">
        <v>40231</v>
      </c>
      <c r="W9614" t="s">
        <v>40230</v>
      </c>
      <c r="X9614" t="s">
        <v>2944</v>
      </c>
      <c r="Y9614" t="s">
        <v>131</v>
      </c>
      <c r="Z9614" t="s">
        <v>77</v>
      </c>
      <c r="AA9614" t="str">
        <f>"10457-7606"</f>
        <v>10457-7606</v>
      </c>
      <c r="AB9614" t="s">
        <v>78</v>
      </c>
      <c r="AC9614" t="s">
        <v>79</v>
      </c>
      <c r="AD9614" t="s">
        <v>75</v>
      </c>
      <c r="AE9614" t="s">
        <v>80</v>
      </c>
      <c r="AG9614" t="s">
        <v>81</v>
      </c>
    </row>
    <row r="9615" spans="1:33" x14ac:dyDescent="0.25">
      <c r="A9615" t="str">
        <f>"1699040790"</f>
        <v>1699040790</v>
      </c>
      <c r="C9615" t="s">
        <v>13436</v>
      </c>
      <c r="K9615" t="s">
        <v>99</v>
      </c>
      <c r="L9615" t="s">
        <v>102</v>
      </c>
      <c r="M9615" t="s">
        <v>75</v>
      </c>
      <c r="R9615" t="s">
        <v>40232</v>
      </c>
      <c r="S9615" t="s">
        <v>40233</v>
      </c>
      <c r="T9615" t="s">
        <v>97</v>
      </c>
      <c r="U9615" t="s">
        <v>77</v>
      </c>
      <c r="V9615" t="str">
        <f>"100296504"</f>
        <v>100296504</v>
      </c>
      <c r="AC9615" t="s">
        <v>79</v>
      </c>
      <c r="AD9615" t="s">
        <v>75</v>
      </c>
      <c r="AE9615" t="s">
        <v>103</v>
      </c>
      <c r="AG9615" t="s">
        <v>81</v>
      </c>
    </row>
    <row r="9616" spans="1:33" x14ac:dyDescent="0.25">
      <c r="A9616" t="str">
        <f>"1437222163"</f>
        <v>1437222163</v>
      </c>
      <c r="B9616" t="str">
        <f>"02995646"</f>
        <v>02995646</v>
      </c>
      <c r="C9616" t="s">
        <v>39298</v>
      </c>
      <c r="D9616" t="s">
        <v>39299</v>
      </c>
      <c r="E9616" t="s">
        <v>39300</v>
      </c>
      <c r="L9616" t="s">
        <v>106</v>
      </c>
      <c r="M9616" t="s">
        <v>85</v>
      </c>
      <c r="R9616" t="s">
        <v>40234</v>
      </c>
      <c r="W9616" t="s">
        <v>40235</v>
      </c>
      <c r="X9616" t="s">
        <v>39301</v>
      </c>
      <c r="Y9616" t="s">
        <v>179</v>
      </c>
      <c r="Z9616" t="s">
        <v>77</v>
      </c>
      <c r="AA9616" t="str">
        <f>"11550-5624"</f>
        <v>11550-5624</v>
      </c>
      <c r="AB9616" t="s">
        <v>107</v>
      </c>
      <c r="AC9616" t="s">
        <v>79</v>
      </c>
      <c r="AD9616" t="s">
        <v>75</v>
      </c>
      <c r="AE9616" t="s">
        <v>80</v>
      </c>
      <c r="AG9616" t="s">
        <v>81</v>
      </c>
    </row>
    <row r="9617" spans="1:33" x14ac:dyDescent="0.25">
      <c r="A9617" t="str">
        <f>"1477554723"</f>
        <v>1477554723</v>
      </c>
      <c r="B9617" t="str">
        <f>"02995779"</f>
        <v>02995779</v>
      </c>
      <c r="C9617" t="s">
        <v>38886</v>
      </c>
      <c r="D9617" t="s">
        <v>1317</v>
      </c>
      <c r="E9617" t="s">
        <v>1318</v>
      </c>
      <c r="L9617" t="s">
        <v>106</v>
      </c>
      <c r="M9617" t="s">
        <v>85</v>
      </c>
      <c r="R9617" t="s">
        <v>1319</v>
      </c>
      <c r="W9617" t="s">
        <v>1320</v>
      </c>
      <c r="X9617" t="s">
        <v>1321</v>
      </c>
      <c r="Y9617" t="s">
        <v>87</v>
      </c>
      <c r="Z9617" t="s">
        <v>77</v>
      </c>
      <c r="AA9617" t="str">
        <f>"11236-3904"</f>
        <v>11236-3904</v>
      </c>
      <c r="AB9617" t="s">
        <v>107</v>
      </c>
      <c r="AC9617" t="s">
        <v>79</v>
      </c>
      <c r="AD9617" t="s">
        <v>75</v>
      </c>
      <c r="AE9617" t="s">
        <v>80</v>
      </c>
      <c r="AG9617" t="s">
        <v>81</v>
      </c>
    </row>
    <row r="9618" spans="1:33" x14ac:dyDescent="0.25">
      <c r="A9618" t="str">
        <f>"1053335620"</f>
        <v>1053335620</v>
      </c>
      <c r="B9618" t="str">
        <f>"02993800"</f>
        <v>02993800</v>
      </c>
      <c r="C9618" t="s">
        <v>38888</v>
      </c>
      <c r="D9618" t="s">
        <v>38889</v>
      </c>
      <c r="E9618" t="s">
        <v>38890</v>
      </c>
      <c r="L9618" t="s">
        <v>211</v>
      </c>
      <c r="M9618" t="s">
        <v>85</v>
      </c>
      <c r="R9618" t="s">
        <v>40236</v>
      </c>
      <c r="W9618" t="s">
        <v>38891</v>
      </c>
      <c r="X9618" t="s">
        <v>40237</v>
      </c>
      <c r="Y9618" t="s">
        <v>97</v>
      </c>
      <c r="Z9618" t="s">
        <v>77</v>
      </c>
      <c r="AA9618" t="str">
        <f>"10031-4611"</f>
        <v>10031-4611</v>
      </c>
      <c r="AB9618" t="s">
        <v>93</v>
      </c>
      <c r="AC9618" t="s">
        <v>79</v>
      </c>
      <c r="AD9618" t="s">
        <v>75</v>
      </c>
      <c r="AE9618" t="s">
        <v>80</v>
      </c>
      <c r="AG9618" t="s">
        <v>81</v>
      </c>
    </row>
    <row r="9619" spans="1:33" x14ac:dyDescent="0.25">
      <c r="A9619" t="str">
        <f>"1538180351"</f>
        <v>1538180351</v>
      </c>
      <c r="B9619" t="str">
        <f>"03008293"</f>
        <v>03008293</v>
      </c>
      <c r="C9619" t="s">
        <v>35308</v>
      </c>
      <c r="D9619" t="s">
        <v>973</v>
      </c>
      <c r="E9619" t="s">
        <v>974</v>
      </c>
      <c r="L9619" t="s">
        <v>119</v>
      </c>
      <c r="M9619" t="s">
        <v>85</v>
      </c>
      <c r="R9619" t="s">
        <v>972</v>
      </c>
      <c r="W9619" t="s">
        <v>974</v>
      </c>
      <c r="X9619" t="s">
        <v>975</v>
      </c>
      <c r="Y9619" t="s">
        <v>976</v>
      </c>
      <c r="Z9619" t="s">
        <v>77</v>
      </c>
      <c r="AA9619" t="str">
        <f>"12302-4523"</f>
        <v>12302-4523</v>
      </c>
      <c r="AB9619" t="s">
        <v>96</v>
      </c>
      <c r="AC9619" t="s">
        <v>79</v>
      </c>
      <c r="AD9619" t="s">
        <v>75</v>
      </c>
      <c r="AE9619" t="s">
        <v>80</v>
      </c>
      <c r="AG9619" t="s">
        <v>81</v>
      </c>
    </row>
    <row r="9620" spans="1:33" x14ac:dyDescent="0.25">
      <c r="A9620" t="str">
        <f>"1437106994"</f>
        <v>1437106994</v>
      </c>
      <c r="B9620" t="str">
        <f>"03008151"</f>
        <v>03008151</v>
      </c>
      <c r="C9620" t="s">
        <v>35309</v>
      </c>
      <c r="D9620" t="s">
        <v>618</v>
      </c>
      <c r="E9620" t="s">
        <v>619</v>
      </c>
      <c r="L9620" t="s">
        <v>119</v>
      </c>
      <c r="M9620" t="s">
        <v>85</v>
      </c>
      <c r="R9620" t="s">
        <v>617</v>
      </c>
      <c r="W9620" t="s">
        <v>619</v>
      </c>
      <c r="X9620" t="s">
        <v>621</v>
      </c>
      <c r="Y9620" t="s">
        <v>310</v>
      </c>
      <c r="Z9620" t="s">
        <v>77</v>
      </c>
      <c r="AA9620" t="str">
        <f>"10512"</f>
        <v>10512</v>
      </c>
      <c r="AB9620" t="s">
        <v>96</v>
      </c>
      <c r="AC9620" t="s">
        <v>79</v>
      </c>
      <c r="AD9620" t="s">
        <v>75</v>
      </c>
      <c r="AE9620" t="s">
        <v>80</v>
      </c>
      <c r="AG9620" t="s">
        <v>81</v>
      </c>
    </row>
    <row r="9621" spans="1:33" x14ac:dyDescent="0.25">
      <c r="A9621" t="str">
        <f>"1447271267"</f>
        <v>1447271267</v>
      </c>
      <c r="B9621" t="str">
        <f>"03008160"</f>
        <v>03008160</v>
      </c>
      <c r="C9621" t="s">
        <v>35309</v>
      </c>
      <c r="D9621" t="s">
        <v>618</v>
      </c>
      <c r="E9621" t="s">
        <v>619</v>
      </c>
      <c r="L9621" t="s">
        <v>119</v>
      </c>
      <c r="M9621" t="s">
        <v>85</v>
      </c>
      <c r="R9621" t="s">
        <v>617</v>
      </c>
      <c r="W9621" t="s">
        <v>619</v>
      </c>
      <c r="X9621" t="s">
        <v>621</v>
      </c>
      <c r="Y9621" t="s">
        <v>310</v>
      </c>
      <c r="Z9621" t="s">
        <v>77</v>
      </c>
      <c r="AA9621" t="str">
        <f>"10512-1921"</f>
        <v>10512-1921</v>
      </c>
      <c r="AB9621" t="s">
        <v>96</v>
      </c>
      <c r="AC9621" t="s">
        <v>79</v>
      </c>
      <c r="AD9621" t="s">
        <v>75</v>
      </c>
      <c r="AE9621" t="s">
        <v>80</v>
      </c>
      <c r="AG9621" t="s">
        <v>81</v>
      </c>
    </row>
    <row r="9622" spans="1:33" x14ac:dyDescent="0.25">
      <c r="A9622" t="str">
        <f>"1649474552"</f>
        <v>1649474552</v>
      </c>
      <c r="B9622" t="str">
        <f>"03008211"</f>
        <v>03008211</v>
      </c>
      <c r="C9622" t="s">
        <v>35309</v>
      </c>
      <c r="D9622" t="s">
        <v>618</v>
      </c>
      <c r="E9622" t="s">
        <v>619</v>
      </c>
      <c r="L9622" t="s">
        <v>119</v>
      </c>
      <c r="M9622" t="s">
        <v>85</v>
      </c>
      <c r="R9622" t="s">
        <v>617</v>
      </c>
      <c r="W9622" t="s">
        <v>619</v>
      </c>
      <c r="X9622" t="s">
        <v>621</v>
      </c>
      <c r="Y9622" t="s">
        <v>310</v>
      </c>
      <c r="Z9622" t="s">
        <v>77</v>
      </c>
      <c r="AA9622" t="str">
        <f>"10512"</f>
        <v>10512</v>
      </c>
      <c r="AB9622" t="s">
        <v>96</v>
      </c>
      <c r="AC9622" t="s">
        <v>79</v>
      </c>
      <c r="AD9622" t="s">
        <v>75</v>
      </c>
      <c r="AE9622" t="s">
        <v>80</v>
      </c>
      <c r="AG9622" t="s">
        <v>81</v>
      </c>
    </row>
    <row r="9623" spans="1:33" x14ac:dyDescent="0.25">
      <c r="A9623" t="str">
        <f>"1972579340"</f>
        <v>1972579340</v>
      </c>
      <c r="B9623" t="str">
        <f>"01590192"</f>
        <v>01590192</v>
      </c>
      <c r="C9623" t="s">
        <v>13436</v>
      </c>
      <c r="D9623" t="s">
        <v>40238</v>
      </c>
      <c r="E9623" t="s">
        <v>40239</v>
      </c>
      <c r="L9623" t="s">
        <v>74</v>
      </c>
      <c r="M9623" t="s">
        <v>85</v>
      </c>
      <c r="R9623" t="s">
        <v>40240</v>
      </c>
      <c r="W9623" t="s">
        <v>40239</v>
      </c>
      <c r="X9623" t="s">
        <v>272</v>
      </c>
      <c r="Y9623" t="s">
        <v>97</v>
      </c>
      <c r="Z9623" t="s">
        <v>77</v>
      </c>
      <c r="AA9623" t="str">
        <f>"10029-6501"</f>
        <v>10029-6501</v>
      </c>
      <c r="AB9623" t="s">
        <v>78</v>
      </c>
      <c r="AC9623" t="s">
        <v>79</v>
      </c>
      <c r="AD9623" t="s">
        <v>75</v>
      </c>
      <c r="AE9623" t="s">
        <v>80</v>
      </c>
      <c r="AG9623" t="s">
        <v>81</v>
      </c>
    </row>
    <row r="9624" spans="1:33" x14ac:dyDescent="0.25">
      <c r="A9624" t="str">
        <f>"1972591451"</f>
        <v>1972591451</v>
      </c>
      <c r="B9624" t="str">
        <f>"03384934"</f>
        <v>03384934</v>
      </c>
      <c r="C9624" t="s">
        <v>13436</v>
      </c>
      <c r="D9624" t="s">
        <v>40241</v>
      </c>
      <c r="E9624" t="s">
        <v>40242</v>
      </c>
      <c r="L9624" t="s">
        <v>84</v>
      </c>
      <c r="M9624" t="s">
        <v>85</v>
      </c>
      <c r="R9624" t="s">
        <v>40242</v>
      </c>
      <c r="W9624" t="s">
        <v>40243</v>
      </c>
      <c r="X9624" t="s">
        <v>40244</v>
      </c>
      <c r="Y9624" t="s">
        <v>97</v>
      </c>
      <c r="Z9624" t="s">
        <v>77</v>
      </c>
      <c r="AA9624" t="str">
        <f>"10003-3105"</f>
        <v>10003-3105</v>
      </c>
      <c r="AB9624" t="s">
        <v>78</v>
      </c>
      <c r="AC9624" t="s">
        <v>79</v>
      </c>
      <c r="AD9624" t="s">
        <v>75</v>
      </c>
      <c r="AE9624" t="s">
        <v>80</v>
      </c>
      <c r="AG9624" t="s">
        <v>81</v>
      </c>
    </row>
    <row r="9625" spans="1:33" x14ac:dyDescent="0.25">
      <c r="A9625" t="str">
        <f>"1699933663"</f>
        <v>1699933663</v>
      </c>
      <c r="B9625" t="str">
        <f>"04208875"</f>
        <v>04208875</v>
      </c>
      <c r="C9625" t="s">
        <v>13436</v>
      </c>
      <c r="D9625" t="s">
        <v>40245</v>
      </c>
      <c r="E9625" t="s">
        <v>40246</v>
      </c>
      <c r="L9625" t="s">
        <v>74</v>
      </c>
      <c r="M9625" t="s">
        <v>75</v>
      </c>
      <c r="R9625" t="s">
        <v>40247</v>
      </c>
      <c r="W9625" t="s">
        <v>40248</v>
      </c>
      <c r="X9625" t="s">
        <v>365</v>
      </c>
      <c r="Y9625" t="s">
        <v>236</v>
      </c>
      <c r="Z9625" t="s">
        <v>77</v>
      </c>
      <c r="AA9625" t="str">
        <f>"11102-2448"</f>
        <v>11102-2448</v>
      </c>
      <c r="AB9625" t="s">
        <v>78</v>
      </c>
      <c r="AC9625" t="s">
        <v>79</v>
      </c>
      <c r="AD9625" t="s">
        <v>75</v>
      </c>
      <c r="AE9625" t="s">
        <v>80</v>
      </c>
      <c r="AG9625" t="s">
        <v>81</v>
      </c>
    </row>
    <row r="9626" spans="1:33" x14ac:dyDescent="0.25">
      <c r="A9626" t="str">
        <f>"1699934844"</f>
        <v>1699934844</v>
      </c>
      <c r="B9626" t="str">
        <f>"03210184"</f>
        <v>03210184</v>
      </c>
      <c r="C9626" t="s">
        <v>13436</v>
      </c>
      <c r="D9626" t="s">
        <v>40249</v>
      </c>
      <c r="E9626" t="s">
        <v>40250</v>
      </c>
      <c r="G9626" t="s">
        <v>40251</v>
      </c>
      <c r="L9626" t="s">
        <v>83</v>
      </c>
      <c r="M9626" t="s">
        <v>85</v>
      </c>
      <c r="R9626" t="s">
        <v>40252</v>
      </c>
      <c r="W9626" t="s">
        <v>40250</v>
      </c>
      <c r="X9626" t="s">
        <v>32758</v>
      </c>
      <c r="Y9626" t="s">
        <v>97</v>
      </c>
      <c r="Z9626" t="s">
        <v>77</v>
      </c>
      <c r="AA9626" t="str">
        <f>"10029-6500"</f>
        <v>10029-6500</v>
      </c>
      <c r="AB9626" t="s">
        <v>78</v>
      </c>
      <c r="AC9626" t="s">
        <v>79</v>
      </c>
      <c r="AD9626" t="s">
        <v>75</v>
      </c>
      <c r="AE9626" t="s">
        <v>80</v>
      </c>
      <c r="AG9626" t="s">
        <v>81</v>
      </c>
    </row>
    <row r="9627" spans="1:33" x14ac:dyDescent="0.25">
      <c r="A9627" t="str">
        <f>"1861572851"</f>
        <v>1861572851</v>
      </c>
      <c r="B9627" t="str">
        <f>"03725275"</f>
        <v>03725275</v>
      </c>
      <c r="C9627" t="s">
        <v>40253</v>
      </c>
      <c r="D9627" t="s">
        <v>40254</v>
      </c>
      <c r="E9627" t="s">
        <v>40255</v>
      </c>
      <c r="G9627" t="s">
        <v>32379</v>
      </c>
      <c r="H9627" t="s">
        <v>183</v>
      </c>
      <c r="J9627" t="s">
        <v>184</v>
      </c>
      <c r="L9627" t="s">
        <v>74</v>
      </c>
      <c r="M9627" t="s">
        <v>75</v>
      </c>
      <c r="R9627" t="s">
        <v>5145</v>
      </c>
      <c r="W9627" t="s">
        <v>40255</v>
      </c>
      <c r="X9627" t="s">
        <v>3813</v>
      </c>
      <c r="Y9627" t="s">
        <v>97</v>
      </c>
      <c r="Z9627" t="s">
        <v>77</v>
      </c>
      <c r="AA9627" t="str">
        <f>"10018-4190"</f>
        <v>10018-4190</v>
      </c>
      <c r="AB9627" t="s">
        <v>114</v>
      </c>
      <c r="AC9627" t="s">
        <v>79</v>
      </c>
      <c r="AD9627" t="s">
        <v>75</v>
      </c>
      <c r="AE9627" t="s">
        <v>80</v>
      </c>
      <c r="AG9627" t="s">
        <v>81</v>
      </c>
    </row>
    <row r="9628" spans="1:33" x14ac:dyDescent="0.25">
      <c r="A9628" t="str">
        <f>"1679919377"</f>
        <v>1679919377</v>
      </c>
      <c r="C9628" t="s">
        <v>40256</v>
      </c>
      <c r="G9628" t="s">
        <v>32379</v>
      </c>
      <c r="H9628" t="s">
        <v>183</v>
      </c>
      <c r="J9628" t="s">
        <v>184</v>
      </c>
      <c r="K9628" t="s">
        <v>2011</v>
      </c>
      <c r="L9628" t="s">
        <v>74</v>
      </c>
      <c r="M9628" t="s">
        <v>75</v>
      </c>
      <c r="R9628" t="s">
        <v>3810</v>
      </c>
      <c r="S9628" t="s">
        <v>3811</v>
      </c>
      <c r="T9628" t="s">
        <v>155</v>
      </c>
      <c r="U9628" t="s">
        <v>77</v>
      </c>
      <c r="V9628" t="str">
        <f>"103123440"</f>
        <v>103123440</v>
      </c>
      <c r="AC9628" t="s">
        <v>79</v>
      </c>
      <c r="AD9628" t="s">
        <v>75</v>
      </c>
      <c r="AE9628" t="s">
        <v>103</v>
      </c>
      <c r="AG9628" t="s">
        <v>81</v>
      </c>
    </row>
    <row r="9629" spans="1:33" x14ac:dyDescent="0.25">
      <c r="A9629" t="str">
        <f>"1932201696"</f>
        <v>1932201696</v>
      </c>
      <c r="B9629" t="str">
        <f>"00614131"</f>
        <v>00614131</v>
      </c>
      <c r="C9629" t="s">
        <v>13436</v>
      </c>
      <c r="D9629" t="s">
        <v>40257</v>
      </c>
      <c r="E9629" t="s">
        <v>40258</v>
      </c>
      <c r="L9629" t="s">
        <v>102</v>
      </c>
      <c r="M9629" t="s">
        <v>75</v>
      </c>
      <c r="R9629" t="s">
        <v>40259</v>
      </c>
      <c r="W9629" t="s">
        <v>40258</v>
      </c>
      <c r="X9629" t="s">
        <v>40260</v>
      </c>
      <c r="Y9629" t="s">
        <v>97</v>
      </c>
      <c r="Z9629" t="s">
        <v>77</v>
      </c>
      <c r="AA9629" t="str">
        <f>"10022-4538"</f>
        <v>10022-4538</v>
      </c>
      <c r="AB9629" t="s">
        <v>128</v>
      </c>
      <c r="AC9629" t="s">
        <v>79</v>
      </c>
      <c r="AD9629" t="s">
        <v>75</v>
      </c>
      <c r="AE9629" t="s">
        <v>80</v>
      </c>
      <c r="AG9629" t="s">
        <v>81</v>
      </c>
    </row>
    <row r="9630" spans="1:33" x14ac:dyDescent="0.25">
      <c r="A9630" t="str">
        <f>"1932203049"</f>
        <v>1932203049</v>
      </c>
      <c r="B9630" t="str">
        <f>"00852364"</f>
        <v>00852364</v>
      </c>
      <c r="C9630" t="s">
        <v>13436</v>
      </c>
      <c r="D9630" t="s">
        <v>40261</v>
      </c>
      <c r="E9630" t="s">
        <v>40262</v>
      </c>
      <c r="L9630" t="s">
        <v>83</v>
      </c>
      <c r="M9630" t="s">
        <v>75</v>
      </c>
      <c r="R9630" t="s">
        <v>40263</v>
      </c>
      <c r="W9630" t="s">
        <v>40264</v>
      </c>
      <c r="X9630" t="s">
        <v>40265</v>
      </c>
      <c r="Y9630" t="s">
        <v>97</v>
      </c>
      <c r="Z9630" t="s">
        <v>77</v>
      </c>
      <c r="AA9630" t="str">
        <f>"10023-4748"</f>
        <v>10023-4748</v>
      </c>
      <c r="AB9630" t="s">
        <v>78</v>
      </c>
      <c r="AC9630" t="s">
        <v>79</v>
      </c>
      <c r="AD9630" t="s">
        <v>75</v>
      </c>
      <c r="AE9630" t="s">
        <v>80</v>
      </c>
      <c r="AG9630" t="s">
        <v>81</v>
      </c>
    </row>
    <row r="9631" spans="1:33" x14ac:dyDescent="0.25">
      <c r="A9631" t="str">
        <f>"1932226008"</f>
        <v>1932226008</v>
      </c>
      <c r="B9631" t="str">
        <f>"02030371"</f>
        <v>02030371</v>
      </c>
      <c r="C9631" t="s">
        <v>13436</v>
      </c>
      <c r="D9631" t="s">
        <v>40266</v>
      </c>
      <c r="E9631" t="s">
        <v>40267</v>
      </c>
      <c r="G9631" t="s">
        <v>40268</v>
      </c>
      <c r="L9631" t="s">
        <v>102</v>
      </c>
      <c r="M9631" t="s">
        <v>75</v>
      </c>
      <c r="R9631" t="s">
        <v>40269</v>
      </c>
      <c r="W9631" t="s">
        <v>40267</v>
      </c>
      <c r="X9631" t="s">
        <v>40267</v>
      </c>
      <c r="Y9631" t="s">
        <v>97</v>
      </c>
      <c r="Z9631" t="s">
        <v>77</v>
      </c>
      <c r="AA9631" t="str">
        <f>"10025-6607"</f>
        <v>10025-6607</v>
      </c>
      <c r="AB9631" t="s">
        <v>125</v>
      </c>
      <c r="AC9631" t="s">
        <v>79</v>
      </c>
      <c r="AD9631" t="s">
        <v>75</v>
      </c>
      <c r="AE9631" t="s">
        <v>80</v>
      </c>
      <c r="AG9631" t="s">
        <v>81</v>
      </c>
    </row>
    <row r="9632" spans="1:33" x14ac:dyDescent="0.25">
      <c r="A9632" t="str">
        <f>"1932227253"</f>
        <v>1932227253</v>
      </c>
      <c r="B9632" t="str">
        <f>"02695738"</f>
        <v>02695738</v>
      </c>
      <c r="C9632" t="s">
        <v>13436</v>
      </c>
      <c r="D9632" t="s">
        <v>40270</v>
      </c>
      <c r="E9632" t="s">
        <v>40271</v>
      </c>
      <c r="G9632" t="s">
        <v>40272</v>
      </c>
      <c r="L9632" t="s">
        <v>74</v>
      </c>
      <c r="M9632" t="s">
        <v>75</v>
      </c>
      <c r="R9632" t="s">
        <v>40273</v>
      </c>
      <c r="W9632" t="s">
        <v>40271</v>
      </c>
      <c r="X9632" t="s">
        <v>20073</v>
      </c>
      <c r="Y9632" t="s">
        <v>97</v>
      </c>
      <c r="Z9632" t="s">
        <v>77</v>
      </c>
      <c r="AA9632" t="str">
        <f>"10019-1147"</f>
        <v>10019-1147</v>
      </c>
      <c r="AB9632" t="s">
        <v>125</v>
      </c>
      <c r="AC9632" t="s">
        <v>79</v>
      </c>
      <c r="AD9632" t="s">
        <v>75</v>
      </c>
      <c r="AE9632" t="s">
        <v>80</v>
      </c>
      <c r="AG9632" t="s">
        <v>81</v>
      </c>
    </row>
    <row r="9633" spans="1:33" x14ac:dyDescent="0.25">
      <c r="A9633" t="str">
        <f>"1770859431"</f>
        <v>1770859431</v>
      </c>
      <c r="B9633" t="str">
        <f>"04180847"</f>
        <v>04180847</v>
      </c>
      <c r="C9633" t="s">
        <v>13436</v>
      </c>
      <c r="D9633" t="s">
        <v>40274</v>
      </c>
      <c r="E9633" t="s">
        <v>40275</v>
      </c>
      <c r="L9633" t="s">
        <v>74</v>
      </c>
      <c r="M9633" t="s">
        <v>75</v>
      </c>
      <c r="R9633" t="s">
        <v>40276</v>
      </c>
      <c r="W9633" t="s">
        <v>40275</v>
      </c>
      <c r="X9633" t="s">
        <v>2944</v>
      </c>
      <c r="Y9633" t="s">
        <v>131</v>
      </c>
      <c r="Z9633" t="s">
        <v>77</v>
      </c>
      <c r="AA9633" t="str">
        <f>"10457-7606"</f>
        <v>10457-7606</v>
      </c>
      <c r="AB9633" t="s">
        <v>78</v>
      </c>
      <c r="AC9633" t="s">
        <v>79</v>
      </c>
      <c r="AD9633" t="s">
        <v>75</v>
      </c>
      <c r="AE9633" t="s">
        <v>80</v>
      </c>
      <c r="AG9633" t="s">
        <v>81</v>
      </c>
    </row>
    <row r="9634" spans="1:33" x14ac:dyDescent="0.25">
      <c r="A9634" t="str">
        <f>"1093883720"</f>
        <v>1093883720</v>
      </c>
      <c r="B9634" t="str">
        <f>"01291703"</f>
        <v>01291703</v>
      </c>
      <c r="C9634" t="s">
        <v>40277</v>
      </c>
      <c r="D9634" t="s">
        <v>3487</v>
      </c>
      <c r="E9634" t="s">
        <v>3488</v>
      </c>
      <c r="L9634" t="s">
        <v>119</v>
      </c>
      <c r="M9634" t="s">
        <v>85</v>
      </c>
      <c r="R9634" t="s">
        <v>3488</v>
      </c>
      <c r="W9634" t="s">
        <v>3488</v>
      </c>
      <c r="X9634" t="s">
        <v>3490</v>
      </c>
      <c r="Y9634" t="s">
        <v>131</v>
      </c>
      <c r="Z9634" t="s">
        <v>77</v>
      </c>
      <c r="AA9634" t="str">
        <f>"10452-3203"</f>
        <v>10452-3203</v>
      </c>
      <c r="AB9634" t="s">
        <v>122</v>
      </c>
      <c r="AC9634" t="s">
        <v>79</v>
      </c>
      <c r="AD9634" t="s">
        <v>75</v>
      </c>
      <c r="AE9634" t="s">
        <v>80</v>
      </c>
      <c r="AG9634" t="s">
        <v>81</v>
      </c>
    </row>
    <row r="9635" spans="1:33" x14ac:dyDescent="0.25">
      <c r="A9635" t="str">
        <f>"1710055827"</f>
        <v>1710055827</v>
      </c>
      <c r="B9635" t="str">
        <f>"03007605"</f>
        <v>03007605</v>
      </c>
      <c r="C9635" t="s">
        <v>40277</v>
      </c>
      <c r="D9635" t="s">
        <v>3487</v>
      </c>
      <c r="E9635" t="s">
        <v>3488</v>
      </c>
      <c r="L9635" t="s">
        <v>119</v>
      </c>
      <c r="M9635" t="s">
        <v>85</v>
      </c>
      <c r="R9635" t="s">
        <v>3488</v>
      </c>
      <c r="W9635" t="s">
        <v>3488</v>
      </c>
      <c r="X9635" t="s">
        <v>3491</v>
      </c>
      <c r="Y9635" t="s">
        <v>97</v>
      </c>
      <c r="Z9635" t="s">
        <v>77</v>
      </c>
      <c r="AA9635" t="str">
        <f>"10027-4801"</f>
        <v>10027-4801</v>
      </c>
      <c r="AB9635" t="s">
        <v>122</v>
      </c>
      <c r="AC9635" t="s">
        <v>79</v>
      </c>
      <c r="AD9635" t="s">
        <v>75</v>
      </c>
      <c r="AE9635" t="s">
        <v>80</v>
      </c>
      <c r="AG9635" t="s">
        <v>81</v>
      </c>
    </row>
    <row r="9636" spans="1:33" x14ac:dyDescent="0.25">
      <c r="A9636" t="str">
        <f>"1679556450"</f>
        <v>1679556450</v>
      </c>
      <c r="B9636" t="str">
        <f>"01186305"</f>
        <v>01186305</v>
      </c>
      <c r="C9636" t="s">
        <v>39052</v>
      </c>
      <c r="D9636" t="s">
        <v>39053</v>
      </c>
      <c r="E9636" t="s">
        <v>39054</v>
      </c>
      <c r="L9636" t="s">
        <v>37</v>
      </c>
      <c r="M9636" t="s">
        <v>85</v>
      </c>
      <c r="R9636" t="s">
        <v>12762</v>
      </c>
      <c r="W9636" t="s">
        <v>40278</v>
      </c>
      <c r="X9636" t="s">
        <v>40279</v>
      </c>
      <c r="Y9636" t="s">
        <v>97</v>
      </c>
      <c r="Z9636" t="s">
        <v>77</v>
      </c>
      <c r="AA9636" t="str">
        <f>"10011-3641"</f>
        <v>10011-3641</v>
      </c>
      <c r="AB9636" t="s">
        <v>107</v>
      </c>
      <c r="AC9636" t="s">
        <v>79</v>
      </c>
      <c r="AD9636" t="s">
        <v>75</v>
      </c>
      <c r="AE9636" t="s">
        <v>80</v>
      </c>
      <c r="AG9636" t="s">
        <v>81</v>
      </c>
    </row>
    <row r="9637" spans="1:33" x14ac:dyDescent="0.25">
      <c r="A9637" t="str">
        <f>"1831207513"</f>
        <v>1831207513</v>
      </c>
      <c r="B9637" t="str">
        <f>"03007370"</f>
        <v>03007370</v>
      </c>
      <c r="C9637" t="s">
        <v>39052</v>
      </c>
      <c r="D9637" t="s">
        <v>39053</v>
      </c>
      <c r="E9637" t="s">
        <v>39054</v>
      </c>
      <c r="L9637" t="s">
        <v>37</v>
      </c>
      <c r="M9637" t="s">
        <v>85</v>
      </c>
      <c r="R9637" t="s">
        <v>40280</v>
      </c>
      <c r="W9637" t="s">
        <v>40281</v>
      </c>
      <c r="X9637" t="s">
        <v>5450</v>
      </c>
      <c r="Y9637" t="s">
        <v>97</v>
      </c>
      <c r="Z9637" t="s">
        <v>77</v>
      </c>
      <c r="AA9637" t="str">
        <f>"10011-3601"</f>
        <v>10011-3601</v>
      </c>
      <c r="AB9637" t="s">
        <v>107</v>
      </c>
      <c r="AC9637" t="s">
        <v>79</v>
      </c>
      <c r="AD9637" t="s">
        <v>75</v>
      </c>
      <c r="AE9637" t="s">
        <v>80</v>
      </c>
      <c r="AG9637" t="s">
        <v>81</v>
      </c>
    </row>
    <row r="9638" spans="1:33" x14ac:dyDescent="0.25">
      <c r="A9638" t="str">
        <f>"1699922567"</f>
        <v>1699922567</v>
      </c>
      <c r="C9638" t="s">
        <v>13436</v>
      </c>
      <c r="K9638" t="s">
        <v>99</v>
      </c>
      <c r="L9638" t="s">
        <v>102</v>
      </c>
      <c r="M9638" t="s">
        <v>75</v>
      </c>
      <c r="R9638" t="s">
        <v>22668</v>
      </c>
      <c r="S9638" t="s">
        <v>40282</v>
      </c>
      <c r="T9638" t="s">
        <v>87</v>
      </c>
      <c r="U9638" t="s">
        <v>77</v>
      </c>
      <c r="V9638" t="str">
        <f>"112105418"</f>
        <v>112105418</v>
      </c>
      <c r="AC9638" t="s">
        <v>79</v>
      </c>
      <c r="AD9638" t="s">
        <v>75</v>
      </c>
      <c r="AE9638" t="s">
        <v>103</v>
      </c>
      <c r="AG9638" t="s">
        <v>81</v>
      </c>
    </row>
    <row r="9639" spans="1:33" x14ac:dyDescent="0.25">
      <c r="A9639" t="str">
        <f>"1851410369"</f>
        <v>1851410369</v>
      </c>
      <c r="B9639" t="str">
        <f>"02170345"</f>
        <v>02170345</v>
      </c>
      <c r="C9639" t="s">
        <v>39807</v>
      </c>
      <c r="D9639" t="s">
        <v>40283</v>
      </c>
      <c r="E9639" t="s">
        <v>40284</v>
      </c>
      <c r="G9639" t="s">
        <v>39810</v>
      </c>
      <c r="H9639" t="s">
        <v>39811</v>
      </c>
      <c r="J9639" t="s">
        <v>39812</v>
      </c>
      <c r="L9639" t="s">
        <v>10</v>
      </c>
      <c r="M9639" t="s">
        <v>75</v>
      </c>
      <c r="R9639" t="s">
        <v>39813</v>
      </c>
      <c r="W9639" t="s">
        <v>40284</v>
      </c>
      <c r="X9639" t="s">
        <v>40228</v>
      </c>
      <c r="Y9639" t="s">
        <v>87</v>
      </c>
      <c r="Z9639" t="s">
        <v>77</v>
      </c>
      <c r="AA9639" t="str">
        <f>"11210-2927"</f>
        <v>11210-2927</v>
      </c>
      <c r="AB9639" t="s">
        <v>98</v>
      </c>
      <c r="AC9639" t="s">
        <v>79</v>
      </c>
      <c r="AD9639" t="s">
        <v>75</v>
      </c>
      <c r="AE9639" t="s">
        <v>80</v>
      </c>
      <c r="AG9639" t="s">
        <v>81</v>
      </c>
    </row>
    <row r="9640" spans="1:33" x14ac:dyDescent="0.25">
      <c r="B9640" t="str">
        <f>"03371799"</f>
        <v>03371799</v>
      </c>
      <c r="C9640" t="s">
        <v>39601</v>
      </c>
      <c r="D9640" t="s">
        <v>40285</v>
      </c>
      <c r="E9640" t="s">
        <v>40286</v>
      </c>
      <c r="F9640">
        <v>135675643</v>
      </c>
      <c r="G9640" t="s">
        <v>39602</v>
      </c>
      <c r="H9640" t="s">
        <v>39603</v>
      </c>
      <c r="J9640" t="s">
        <v>39604</v>
      </c>
      <c r="L9640" t="s">
        <v>37</v>
      </c>
      <c r="M9640" t="s">
        <v>75</v>
      </c>
      <c r="W9640" t="s">
        <v>40286</v>
      </c>
      <c r="X9640" t="s">
        <v>40287</v>
      </c>
      <c r="Y9640" t="s">
        <v>87</v>
      </c>
      <c r="Z9640" t="s">
        <v>77</v>
      </c>
      <c r="AA9640" t="str">
        <f>"11201-5283"</f>
        <v>11201-5283</v>
      </c>
      <c r="AB9640" t="s">
        <v>98</v>
      </c>
      <c r="AC9640" t="s">
        <v>79</v>
      </c>
      <c r="AD9640" t="s">
        <v>75</v>
      </c>
      <c r="AE9640" t="s">
        <v>80</v>
      </c>
      <c r="AG9640" t="s">
        <v>81</v>
      </c>
    </row>
    <row r="9641" spans="1:33" x14ac:dyDescent="0.25">
      <c r="A9641" t="str">
        <f>"1740549229"</f>
        <v>1740549229</v>
      </c>
      <c r="C9641" t="s">
        <v>13436</v>
      </c>
      <c r="K9641" t="s">
        <v>99</v>
      </c>
      <c r="L9641" t="s">
        <v>102</v>
      </c>
      <c r="M9641" t="s">
        <v>75</v>
      </c>
      <c r="R9641" t="s">
        <v>40288</v>
      </c>
      <c r="S9641" t="s">
        <v>40289</v>
      </c>
      <c r="T9641" t="s">
        <v>2633</v>
      </c>
      <c r="U9641" t="s">
        <v>1842</v>
      </c>
      <c r="V9641" t="str">
        <f>"069023628"</f>
        <v>069023628</v>
      </c>
      <c r="AC9641" t="s">
        <v>79</v>
      </c>
      <c r="AD9641" t="s">
        <v>75</v>
      </c>
      <c r="AE9641" t="s">
        <v>103</v>
      </c>
      <c r="AG9641" t="s">
        <v>81</v>
      </c>
    </row>
    <row r="9642" spans="1:33" x14ac:dyDescent="0.25">
      <c r="A9642" t="str">
        <f>"1740555853"</f>
        <v>1740555853</v>
      </c>
      <c r="C9642" t="s">
        <v>13436</v>
      </c>
      <c r="K9642" t="s">
        <v>99</v>
      </c>
      <c r="L9642" t="s">
        <v>102</v>
      </c>
      <c r="M9642" t="s">
        <v>75</v>
      </c>
      <c r="R9642" t="s">
        <v>40290</v>
      </c>
      <c r="S9642" t="s">
        <v>191</v>
      </c>
      <c r="T9642" t="s">
        <v>97</v>
      </c>
      <c r="U9642" t="s">
        <v>77</v>
      </c>
      <c r="V9642" t="str">
        <f>"100191147"</f>
        <v>100191147</v>
      </c>
      <c r="AC9642" t="s">
        <v>79</v>
      </c>
      <c r="AD9642" t="s">
        <v>75</v>
      </c>
      <c r="AE9642" t="s">
        <v>103</v>
      </c>
      <c r="AG9642" t="s">
        <v>81</v>
      </c>
    </row>
    <row r="9643" spans="1:33" x14ac:dyDescent="0.25">
      <c r="A9643" t="str">
        <f>"1740555929"</f>
        <v>1740555929</v>
      </c>
      <c r="C9643" t="s">
        <v>13436</v>
      </c>
      <c r="K9643" t="s">
        <v>99</v>
      </c>
      <c r="L9643" t="s">
        <v>102</v>
      </c>
      <c r="M9643" t="s">
        <v>75</v>
      </c>
      <c r="R9643" t="s">
        <v>40291</v>
      </c>
      <c r="S9643" t="s">
        <v>40292</v>
      </c>
      <c r="T9643" t="s">
        <v>97</v>
      </c>
      <c r="U9643" t="s">
        <v>77</v>
      </c>
      <c r="V9643" t="str">
        <f>"100133158"</f>
        <v>100133158</v>
      </c>
      <c r="AC9643" t="s">
        <v>79</v>
      </c>
      <c r="AD9643" t="s">
        <v>75</v>
      </c>
      <c r="AE9643" t="s">
        <v>103</v>
      </c>
      <c r="AG9643" t="s">
        <v>81</v>
      </c>
    </row>
    <row r="9644" spans="1:33" x14ac:dyDescent="0.25">
      <c r="A9644" t="str">
        <f>"1740555952"</f>
        <v>1740555952</v>
      </c>
      <c r="C9644" t="s">
        <v>13436</v>
      </c>
      <c r="K9644" t="s">
        <v>99</v>
      </c>
      <c r="L9644" t="s">
        <v>102</v>
      </c>
      <c r="M9644" t="s">
        <v>75</v>
      </c>
      <c r="R9644" t="s">
        <v>40293</v>
      </c>
      <c r="S9644" t="s">
        <v>40294</v>
      </c>
      <c r="T9644" t="s">
        <v>5114</v>
      </c>
      <c r="U9644" t="s">
        <v>936</v>
      </c>
      <c r="V9644" t="str">
        <f>"381385723"</f>
        <v>381385723</v>
      </c>
      <c r="AC9644" t="s">
        <v>79</v>
      </c>
      <c r="AD9644" t="s">
        <v>75</v>
      </c>
      <c r="AE9644" t="s">
        <v>103</v>
      </c>
      <c r="AG9644" t="s">
        <v>81</v>
      </c>
    </row>
    <row r="9645" spans="1:33" x14ac:dyDescent="0.25">
      <c r="A9645" t="str">
        <f>"1740561976"</f>
        <v>1740561976</v>
      </c>
      <c r="B9645" t="str">
        <f>"03892688"</f>
        <v>03892688</v>
      </c>
      <c r="C9645" t="s">
        <v>13436</v>
      </c>
      <c r="D9645" t="s">
        <v>40295</v>
      </c>
      <c r="E9645" t="s">
        <v>40296</v>
      </c>
      <c r="G9645" t="s">
        <v>40297</v>
      </c>
      <c r="L9645" t="s">
        <v>74</v>
      </c>
      <c r="M9645" t="s">
        <v>75</v>
      </c>
      <c r="R9645" t="s">
        <v>40298</v>
      </c>
      <c r="W9645" t="s">
        <v>40296</v>
      </c>
      <c r="X9645" t="s">
        <v>10363</v>
      </c>
      <c r="Y9645" t="s">
        <v>97</v>
      </c>
      <c r="Z9645" t="s">
        <v>77</v>
      </c>
      <c r="AA9645" t="str">
        <f>"10029-6508"</f>
        <v>10029-6508</v>
      </c>
      <c r="AB9645" t="s">
        <v>78</v>
      </c>
      <c r="AC9645" t="s">
        <v>79</v>
      </c>
      <c r="AD9645" t="s">
        <v>75</v>
      </c>
      <c r="AE9645" t="s">
        <v>80</v>
      </c>
      <c r="AG9645" t="s">
        <v>81</v>
      </c>
    </row>
    <row r="9646" spans="1:33" x14ac:dyDescent="0.25">
      <c r="A9646" t="str">
        <f>"1740568039"</f>
        <v>1740568039</v>
      </c>
      <c r="B9646" t="str">
        <f>"03915551"</f>
        <v>03915551</v>
      </c>
      <c r="C9646" t="s">
        <v>13436</v>
      </c>
      <c r="D9646" t="s">
        <v>40299</v>
      </c>
      <c r="E9646" t="s">
        <v>40300</v>
      </c>
      <c r="G9646" t="s">
        <v>40301</v>
      </c>
      <c r="L9646" t="s">
        <v>83</v>
      </c>
      <c r="M9646" t="s">
        <v>75</v>
      </c>
      <c r="R9646" t="s">
        <v>40302</v>
      </c>
      <c r="W9646" t="s">
        <v>40300</v>
      </c>
      <c r="X9646" t="s">
        <v>15292</v>
      </c>
      <c r="Y9646" t="s">
        <v>97</v>
      </c>
      <c r="Z9646" t="s">
        <v>77</v>
      </c>
      <c r="AA9646" t="str">
        <f>"10025-1737"</f>
        <v>10025-1737</v>
      </c>
      <c r="AB9646" t="s">
        <v>78</v>
      </c>
      <c r="AC9646" t="s">
        <v>79</v>
      </c>
      <c r="AD9646" t="s">
        <v>75</v>
      </c>
      <c r="AE9646" t="s">
        <v>80</v>
      </c>
      <c r="AG9646" t="s">
        <v>81</v>
      </c>
    </row>
    <row r="9647" spans="1:33" x14ac:dyDescent="0.25">
      <c r="A9647" t="str">
        <f>"1740568369"</f>
        <v>1740568369</v>
      </c>
      <c r="B9647" t="str">
        <f>"03916218"</f>
        <v>03916218</v>
      </c>
      <c r="C9647" t="s">
        <v>13436</v>
      </c>
      <c r="D9647" t="s">
        <v>40303</v>
      </c>
      <c r="E9647" t="s">
        <v>40304</v>
      </c>
      <c r="G9647" t="s">
        <v>40305</v>
      </c>
      <c r="L9647" t="s">
        <v>84</v>
      </c>
      <c r="M9647" t="s">
        <v>75</v>
      </c>
      <c r="R9647" t="s">
        <v>40306</v>
      </c>
      <c r="W9647" t="s">
        <v>40307</v>
      </c>
      <c r="X9647" t="s">
        <v>2587</v>
      </c>
      <c r="Y9647" t="s">
        <v>97</v>
      </c>
      <c r="Z9647" t="s">
        <v>77</v>
      </c>
      <c r="AA9647" t="str">
        <f>"10003-3314"</f>
        <v>10003-3314</v>
      </c>
      <c r="AB9647" t="s">
        <v>78</v>
      </c>
      <c r="AC9647" t="s">
        <v>79</v>
      </c>
      <c r="AD9647" t="s">
        <v>75</v>
      </c>
      <c r="AE9647" t="s">
        <v>80</v>
      </c>
      <c r="AG9647" t="s">
        <v>81</v>
      </c>
    </row>
    <row r="9648" spans="1:33" x14ac:dyDescent="0.25">
      <c r="A9648" t="str">
        <f>"1740570787"</f>
        <v>1740570787</v>
      </c>
      <c r="C9648" t="s">
        <v>13436</v>
      </c>
      <c r="K9648" t="s">
        <v>99</v>
      </c>
      <c r="L9648" t="s">
        <v>102</v>
      </c>
      <c r="M9648" t="s">
        <v>75</v>
      </c>
      <c r="R9648" t="s">
        <v>40308</v>
      </c>
      <c r="S9648" t="s">
        <v>40309</v>
      </c>
      <c r="T9648" t="s">
        <v>2262</v>
      </c>
      <c r="U9648" t="s">
        <v>123</v>
      </c>
      <c r="V9648" t="str">
        <f>"022154785"</f>
        <v>022154785</v>
      </c>
      <c r="AC9648" t="s">
        <v>79</v>
      </c>
      <c r="AD9648" t="s">
        <v>75</v>
      </c>
      <c r="AE9648" t="s">
        <v>103</v>
      </c>
      <c r="AG9648" t="s">
        <v>81</v>
      </c>
    </row>
    <row r="9649" spans="1:33" x14ac:dyDescent="0.25">
      <c r="A9649" t="str">
        <f>"1740572361"</f>
        <v>1740572361</v>
      </c>
      <c r="C9649" t="s">
        <v>13436</v>
      </c>
      <c r="K9649" t="s">
        <v>99</v>
      </c>
      <c r="L9649" t="s">
        <v>74</v>
      </c>
      <c r="M9649" t="s">
        <v>75</v>
      </c>
      <c r="R9649" t="s">
        <v>40310</v>
      </c>
      <c r="S9649" t="s">
        <v>40311</v>
      </c>
      <c r="T9649" t="s">
        <v>97</v>
      </c>
      <c r="U9649" t="s">
        <v>77</v>
      </c>
      <c r="V9649" t="str">
        <f>"101285503"</f>
        <v>101285503</v>
      </c>
      <c r="AC9649" t="s">
        <v>79</v>
      </c>
      <c r="AD9649" t="s">
        <v>75</v>
      </c>
      <c r="AE9649" t="s">
        <v>103</v>
      </c>
      <c r="AG9649" t="s">
        <v>81</v>
      </c>
    </row>
    <row r="9650" spans="1:33" x14ac:dyDescent="0.25">
      <c r="A9650" t="str">
        <f>"1740573468"</f>
        <v>1740573468</v>
      </c>
      <c r="B9650" t="str">
        <f>"04385053"</f>
        <v>04385053</v>
      </c>
      <c r="C9650" t="s">
        <v>13436</v>
      </c>
      <c r="D9650" t="s">
        <v>40312</v>
      </c>
      <c r="E9650" t="s">
        <v>40313</v>
      </c>
      <c r="L9650" t="s">
        <v>74</v>
      </c>
      <c r="M9650" t="s">
        <v>75</v>
      </c>
      <c r="R9650" t="s">
        <v>40314</v>
      </c>
      <c r="W9650" t="s">
        <v>40313</v>
      </c>
      <c r="X9650" t="s">
        <v>329</v>
      </c>
      <c r="Y9650" t="s">
        <v>97</v>
      </c>
      <c r="Z9650" t="s">
        <v>77</v>
      </c>
      <c r="AA9650" t="str">
        <f>"10029-6504"</f>
        <v>10029-6504</v>
      </c>
      <c r="AB9650" t="s">
        <v>78</v>
      </c>
      <c r="AC9650" t="s">
        <v>79</v>
      </c>
      <c r="AD9650" t="s">
        <v>75</v>
      </c>
      <c r="AE9650" t="s">
        <v>80</v>
      </c>
      <c r="AG9650" t="s">
        <v>81</v>
      </c>
    </row>
    <row r="9651" spans="1:33" x14ac:dyDescent="0.25">
      <c r="A9651" t="str">
        <f>"1740574169"</f>
        <v>1740574169</v>
      </c>
      <c r="C9651" t="s">
        <v>13436</v>
      </c>
      <c r="K9651" t="s">
        <v>99</v>
      </c>
      <c r="L9651" t="s">
        <v>102</v>
      </c>
      <c r="M9651" t="s">
        <v>75</v>
      </c>
      <c r="R9651" t="s">
        <v>40315</v>
      </c>
      <c r="S9651" t="s">
        <v>40316</v>
      </c>
      <c r="T9651" t="s">
        <v>97</v>
      </c>
      <c r="U9651" t="s">
        <v>77</v>
      </c>
      <c r="V9651" t="str">
        <f>"100251737"</f>
        <v>100251737</v>
      </c>
      <c r="AC9651" t="s">
        <v>79</v>
      </c>
      <c r="AD9651" t="s">
        <v>75</v>
      </c>
      <c r="AE9651" t="s">
        <v>103</v>
      </c>
      <c r="AG9651" t="s">
        <v>81</v>
      </c>
    </row>
    <row r="9652" spans="1:33" x14ac:dyDescent="0.25">
      <c r="A9652" t="str">
        <f>"1740574631"</f>
        <v>1740574631</v>
      </c>
      <c r="B9652" t="str">
        <f>"04281187"</f>
        <v>04281187</v>
      </c>
      <c r="C9652" t="s">
        <v>13436</v>
      </c>
      <c r="D9652" t="s">
        <v>40317</v>
      </c>
      <c r="E9652" t="s">
        <v>40318</v>
      </c>
      <c r="L9652" t="s">
        <v>74</v>
      </c>
      <c r="M9652" t="s">
        <v>75</v>
      </c>
      <c r="R9652" t="s">
        <v>40319</v>
      </c>
      <c r="W9652" t="s">
        <v>40318</v>
      </c>
      <c r="X9652" t="s">
        <v>442</v>
      </c>
      <c r="Y9652" t="s">
        <v>97</v>
      </c>
      <c r="Z9652" t="s">
        <v>77</v>
      </c>
      <c r="AA9652" t="str">
        <f>"10065-6007"</f>
        <v>10065-6007</v>
      </c>
      <c r="AB9652" t="s">
        <v>78</v>
      </c>
      <c r="AC9652" t="s">
        <v>79</v>
      </c>
      <c r="AD9652" t="s">
        <v>75</v>
      </c>
      <c r="AE9652" t="s">
        <v>80</v>
      </c>
      <c r="AG9652" t="s">
        <v>81</v>
      </c>
    </row>
    <row r="9653" spans="1:33" x14ac:dyDescent="0.25">
      <c r="A9653" t="str">
        <f>"1750515292"</f>
        <v>1750515292</v>
      </c>
      <c r="B9653" t="str">
        <f>"04466822"</f>
        <v>04466822</v>
      </c>
      <c r="C9653" t="s">
        <v>13436</v>
      </c>
      <c r="D9653" t="s">
        <v>40320</v>
      </c>
      <c r="E9653" t="s">
        <v>40321</v>
      </c>
      <c r="L9653" t="s">
        <v>102</v>
      </c>
      <c r="M9653" t="s">
        <v>75</v>
      </c>
      <c r="R9653" t="s">
        <v>40321</v>
      </c>
      <c r="W9653" t="s">
        <v>40321</v>
      </c>
      <c r="AB9653" t="s">
        <v>78</v>
      </c>
      <c r="AC9653" t="s">
        <v>79</v>
      </c>
      <c r="AD9653" t="s">
        <v>75</v>
      </c>
      <c r="AE9653" t="s">
        <v>80</v>
      </c>
      <c r="AG9653" t="s">
        <v>81</v>
      </c>
    </row>
    <row r="9654" spans="1:33" x14ac:dyDescent="0.25">
      <c r="A9654" t="str">
        <f>"1912087073"</f>
        <v>1912087073</v>
      </c>
      <c r="B9654" t="str">
        <f>"03262017"</f>
        <v>03262017</v>
      </c>
      <c r="C9654" t="s">
        <v>13436</v>
      </c>
      <c r="D9654" t="s">
        <v>40322</v>
      </c>
      <c r="E9654" t="s">
        <v>40323</v>
      </c>
      <c r="L9654" t="s">
        <v>74</v>
      </c>
      <c r="M9654" t="s">
        <v>85</v>
      </c>
      <c r="R9654" t="s">
        <v>40324</v>
      </c>
      <c r="W9654" t="s">
        <v>40323</v>
      </c>
      <c r="X9654" t="s">
        <v>31853</v>
      </c>
      <c r="Y9654" t="s">
        <v>97</v>
      </c>
      <c r="Z9654" t="s">
        <v>77</v>
      </c>
      <c r="AA9654" t="str">
        <f>"10029-6503"</f>
        <v>10029-6503</v>
      </c>
      <c r="AB9654" t="s">
        <v>78</v>
      </c>
      <c r="AC9654" t="s">
        <v>79</v>
      </c>
      <c r="AD9654" t="s">
        <v>75</v>
      </c>
      <c r="AE9654" t="s">
        <v>80</v>
      </c>
      <c r="AG9654" t="s">
        <v>81</v>
      </c>
    </row>
    <row r="9655" spans="1:33" x14ac:dyDescent="0.25">
      <c r="A9655" t="str">
        <f>"1912108432"</f>
        <v>1912108432</v>
      </c>
      <c r="B9655" t="str">
        <f>"03114303"</f>
        <v>03114303</v>
      </c>
      <c r="C9655" t="s">
        <v>13436</v>
      </c>
      <c r="D9655" t="s">
        <v>40325</v>
      </c>
      <c r="E9655" t="s">
        <v>40326</v>
      </c>
      <c r="L9655" t="s">
        <v>83</v>
      </c>
      <c r="M9655" t="s">
        <v>85</v>
      </c>
      <c r="R9655" t="s">
        <v>40327</v>
      </c>
      <c r="W9655" t="s">
        <v>40326</v>
      </c>
      <c r="X9655" t="s">
        <v>37391</v>
      </c>
      <c r="Y9655" t="s">
        <v>97</v>
      </c>
      <c r="Z9655" t="s">
        <v>77</v>
      </c>
      <c r="AA9655" t="str">
        <f>"10029-5204"</f>
        <v>10029-5204</v>
      </c>
      <c r="AB9655" t="s">
        <v>78</v>
      </c>
      <c r="AC9655" t="s">
        <v>79</v>
      </c>
      <c r="AD9655" t="s">
        <v>75</v>
      </c>
      <c r="AE9655" t="s">
        <v>80</v>
      </c>
      <c r="AG9655" t="s">
        <v>81</v>
      </c>
    </row>
    <row r="9656" spans="1:33" x14ac:dyDescent="0.25">
      <c r="A9656" t="str">
        <f>"1902854821"</f>
        <v>1902854821</v>
      </c>
      <c r="B9656" t="str">
        <f>"01981671"</f>
        <v>01981671</v>
      </c>
      <c r="C9656" t="s">
        <v>13436</v>
      </c>
      <c r="D9656" t="s">
        <v>40328</v>
      </c>
      <c r="E9656" t="s">
        <v>40329</v>
      </c>
      <c r="G9656" t="s">
        <v>40330</v>
      </c>
      <c r="L9656" t="s">
        <v>83</v>
      </c>
      <c r="M9656" t="s">
        <v>75</v>
      </c>
      <c r="R9656" t="s">
        <v>40331</v>
      </c>
      <c r="W9656" t="s">
        <v>40329</v>
      </c>
      <c r="X9656" t="s">
        <v>27125</v>
      </c>
      <c r="Y9656" t="s">
        <v>97</v>
      </c>
      <c r="Z9656" t="s">
        <v>77</v>
      </c>
      <c r="AA9656" t="str">
        <f>"10003"</f>
        <v>10003</v>
      </c>
      <c r="AB9656" t="s">
        <v>78</v>
      </c>
      <c r="AC9656" t="s">
        <v>79</v>
      </c>
      <c r="AD9656" t="s">
        <v>75</v>
      </c>
      <c r="AE9656" t="s">
        <v>80</v>
      </c>
      <c r="AG9656" t="s">
        <v>81</v>
      </c>
    </row>
    <row r="9657" spans="1:33" x14ac:dyDescent="0.25">
      <c r="A9657" t="str">
        <f>"1689969164"</f>
        <v>1689969164</v>
      </c>
      <c r="C9657" t="s">
        <v>13436</v>
      </c>
      <c r="K9657" t="s">
        <v>99</v>
      </c>
      <c r="L9657" t="s">
        <v>102</v>
      </c>
      <c r="M9657" t="s">
        <v>75</v>
      </c>
      <c r="R9657" t="s">
        <v>40332</v>
      </c>
      <c r="S9657" t="s">
        <v>40333</v>
      </c>
      <c r="T9657" t="s">
        <v>4646</v>
      </c>
      <c r="U9657" t="s">
        <v>4647</v>
      </c>
      <c r="V9657" t="str">
        <f>"303101458"</f>
        <v>303101458</v>
      </c>
      <c r="AC9657" t="s">
        <v>79</v>
      </c>
      <c r="AD9657" t="s">
        <v>75</v>
      </c>
      <c r="AE9657" t="s">
        <v>103</v>
      </c>
      <c r="AG9657" t="s">
        <v>81</v>
      </c>
    </row>
    <row r="9658" spans="1:33" x14ac:dyDescent="0.25">
      <c r="A9658" t="str">
        <f>"1689979635"</f>
        <v>1689979635</v>
      </c>
      <c r="C9658" t="s">
        <v>13436</v>
      </c>
      <c r="G9658" t="s">
        <v>40334</v>
      </c>
      <c r="K9658" t="s">
        <v>99</v>
      </c>
      <c r="L9658" t="s">
        <v>74</v>
      </c>
      <c r="M9658" t="s">
        <v>75</v>
      </c>
      <c r="R9658" t="s">
        <v>40335</v>
      </c>
      <c r="S9658" t="s">
        <v>40336</v>
      </c>
      <c r="T9658" t="s">
        <v>97</v>
      </c>
      <c r="U9658" t="s">
        <v>77</v>
      </c>
      <c r="V9658" t="str">
        <f>"10003"</f>
        <v>10003</v>
      </c>
      <c r="AC9658" t="s">
        <v>79</v>
      </c>
      <c r="AD9658" t="s">
        <v>75</v>
      </c>
      <c r="AE9658" t="s">
        <v>103</v>
      </c>
      <c r="AG9658" t="s">
        <v>81</v>
      </c>
    </row>
    <row r="9659" spans="1:33" x14ac:dyDescent="0.25">
      <c r="A9659" t="str">
        <f>"1689989089"</f>
        <v>1689989089</v>
      </c>
      <c r="C9659" t="s">
        <v>13436</v>
      </c>
      <c r="G9659" t="s">
        <v>40337</v>
      </c>
      <c r="K9659" t="s">
        <v>99</v>
      </c>
      <c r="L9659" t="s">
        <v>74</v>
      </c>
      <c r="M9659" t="s">
        <v>75</v>
      </c>
      <c r="R9659" t="s">
        <v>40338</v>
      </c>
      <c r="S9659" t="s">
        <v>191</v>
      </c>
      <c r="T9659" t="s">
        <v>97</v>
      </c>
      <c r="U9659" t="s">
        <v>77</v>
      </c>
      <c r="V9659" t="str">
        <f>"100191147"</f>
        <v>100191147</v>
      </c>
      <c r="AC9659" t="s">
        <v>79</v>
      </c>
      <c r="AD9659" t="s">
        <v>75</v>
      </c>
      <c r="AE9659" t="s">
        <v>103</v>
      </c>
      <c r="AG9659" t="s">
        <v>81</v>
      </c>
    </row>
    <row r="9660" spans="1:33" x14ac:dyDescent="0.25">
      <c r="A9660" t="str">
        <f>"1689996209"</f>
        <v>1689996209</v>
      </c>
      <c r="B9660" t="str">
        <f>"03227983"</f>
        <v>03227983</v>
      </c>
      <c r="C9660" t="s">
        <v>13436</v>
      </c>
      <c r="D9660" t="s">
        <v>40339</v>
      </c>
      <c r="E9660" t="s">
        <v>40340</v>
      </c>
      <c r="G9660" t="s">
        <v>40341</v>
      </c>
      <c r="L9660" t="s">
        <v>83</v>
      </c>
      <c r="M9660" t="s">
        <v>85</v>
      </c>
      <c r="R9660" t="s">
        <v>40342</v>
      </c>
      <c r="W9660" t="s">
        <v>40343</v>
      </c>
      <c r="X9660" t="s">
        <v>224</v>
      </c>
      <c r="Y9660" t="s">
        <v>207</v>
      </c>
      <c r="Z9660" t="s">
        <v>77</v>
      </c>
      <c r="AA9660" t="str">
        <f>"11580-2145"</f>
        <v>11580-2145</v>
      </c>
      <c r="AB9660" t="s">
        <v>78</v>
      </c>
      <c r="AC9660" t="s">
        <v>79</v>
      </c>
      <c r="AD9660" t="s">
        <v>75</v>
      </c>
      <c r="AE9660" t="s">
        <v>80</v>
      </c>
      <c r="AG9660" t="s">
        <v>81</v>
      </c>
    </row>
    <row r="9661" spans="1:33" x14ac:dyDescent="0.25">
      <c r="A9661" t="str">
        <f>"1699018317"</f>
        <v>1699018317</v>
      </c>
      <c r="C9661" t="s">
        <v>13436</v>
      </c>
      <c r="K9661" t="s">
        <v>99</v>
      </c>
      <c r="L9661" t="s">
        <v>102</v>
      </c>
      <c r="M9661" t="s">
        <v>75</v>
      </c>
      <c r="R9661" t="s">
        <v>40344</v>
      </c>
      <c r="S9661" t="s">
        <v>40345</v>
      </c>
      <c r="T9661" t="s">
        <v>1789</v>
      </c>
      <c r="U9661" t="s">
        <v>285</v>
      </c>
      <c r="V9661" t="str">
        <f>"606123800"</f>
        <v>606123800</v>
      </c>
      <c r="AC9661" t="s">
        <v>79</v>
      </c>
      <c r="AD9661" t="s">
        <v>75</v>
      </c>
      <c r="AE9661" t="s">
        <v>103</v>
      </c>
      <c r="AG9661" t="s">
        <v>81</v>
      </c>
    </row>
    <row r="9662" spans="1:33" x14ac:dyDescent="0.25">
      <c r="A9662" t="str">
        <f>"1639585870"</f>
        <v>1639585870</v>
      </c>
      <c r="C9662" t="s">
        <v>13436</v>
      </c>
      <c r="K9662" t="s">
        <v>99</v>
      </c>
      <c r="L9662" t="s">
        <v>102</v>
      </c>
      <c r="M9662" t="s">
        <v>75</v>
      </c>
      <c r="R9662" t="s">
        <v>40346</v>
      </c>
      <c r="S9662" t="s">
        <v>40347</v>
      </c>
      <c r="T9662" t="s">
        <v>97</v>
      </c>
      <c r="U9662" t="s">
        <v>77</v>
      </c>
      <c r="V9662" t="str">
        <f>"100191047"</f>
        <v>100191047</v>
      </c>
      <c r="AC9662" t="s">
        <v>79</v>
      </c>
      <c r="AD9662" t="s">
        <v>75</v>
      </c>
      <c r="AE9662" t="s">
        <v>103</v>
      </c>
      <c r="AG9662" t="s">
        <v>81</v>
      </c>
    </row>
    <row r="9663" spans="1:33" x14ac:dyDescent="0.25">
      <c r="A9663" t="str">
        <f>"1639596083"</f>
        <v>1639596083</v>
      </c>
      <c r="C9663" t="s">
        <v>13436</v>
      </c>
      <c r="K9663" t="s">
        <v>99</v>
      </c>
      <c r="L9663" t="s">
        <v>102</v>
      </c>
      <c r="M9663" t="s">
        <v>75</v>
      </c>
      <c r="R9663" t="s">
        <v>40348</v>
      </c>
      <c r="S9663" t="s">
        <v>40349</v>
      </c>
      <c r="T9663" t="s">
        <v>34708</v>
      </c>
      <c r="U9663" t="s">
        <v>156</v>
      </c>
      <c r="V9663" t="str">
        <f>"076524125"</f>
        <v>076524125</v>
      </c>
      <c r="AC9663" t="s">
        <v>79</v>
      </c>
      <c r="AD9663" t="s">
        <v>75</v>
      </c>
      <c r="AE9663" t="s">
        <v>103</v>
      </c>
      <c r="AG9663" t="s">
        <v>81</v>
      </c>
    </row>
    <row r="9664" spans="1:33" x14ac:dyDescent="0.25">
      <c r="A9664" t="str">
        <f>"1750328894"</f>
        <v>1750328894</v>
      </c>
      <c r="B9664" t="str">
        <f>"02850851"</f>
        <v>02850851</v>
      </c>
      <c r="C9664" t="s">
        <v>13436</v>
      </c>
      <c r="D9664" t="s">
        <v>40350</v>
      </c>
      <c r="E9664" t="s">
        <v>40351</v>
      </c>
      <c r="G9664" t="s">
        <v>40352</v>
      </c>
      <c r="L9664" t="s">
        <v>83</v>
      </c>
      <c r="M9664" t="s">
        <v>75</v>
      </c>
      <c r="R9664" t="s">
        <v>40353</v>
      </c>
      <c r="W9664" t="s">
        <v>40354</v>
      </c>
      <c r="X9664" t="s">
        <v>259</v>
      </c>
      <c r="Y9664" t="s">
        <v>139</v>
      </c>
      <c r="Z9664" t="s">
        <v>77</v>
      </c>
      <c r="AA9664" t="str">
        <f>"11355-2205"</f>
        <v>11355-2205</v>
      </c>
      <c r="AB9664" t="s">
        <v>78</v>
      </c>
      <c r="AC9664" t="s">
        <v>79</v>
      </c>
      <c r="AD9664" t="s">
        <v>75</v>
      </c>
      <c r="AE9664" t="s">
        <v>80</v>
      </c>
      <c r="AG9664" t="s">
        <v>81</v>
      </c>
    </row>
    <row r="9665" spans="1:33" x14ac:dyDescent="0.25">
      <c r="A9665" t="str">
        <f>"1750342036"</f>
        <v>1750342036</v>
      </c>
      <c r="B9665" t="str">
        <f>"02517251"</f>
        <v>02517251</v>
      </c>
      <c r="C9665" t="s">
        <v>13436</v>
      </c>
      <c r="D9665" t="s">
        <v>40355</v>
      </c>
      <c r="E9665" t="s">
        <v>40356</v>
      </c>
      <c r="G9665" t="s">
        <v>40357</v>
      </c>
      <c r="L9665" t="s">
        <v>84</v>
      </c>
      <c r="M9665" t="s">
        <v>85</v>
      </c>
      <c r="R9665" t="s">
        <v>40358</v>
      </c>
      <c r="W9665" t="s">
        <v>40356</v>
      </c>
      <c r="Y9665" t="s">
        <v>97</v>
      </c>
      <c r="Z9665" t="s">
        <v>77</v>
      </c>
      <c r="AA9665" t="str">
        <f>"10029-6508"</f>
        <v>10029-6508</v>
      </c>
      <c r="AB9665" t="s">
        <v>78</v>
      </c>
      <c r="AC9665" t="s">
        <v>79</v>
      </c>
      <c r="AD9665" t="s">
        <v>75</v>
      </c>
      <c r="AE9665" t="s">
        <v>80</v>
      </c>
      <c r="AG9665" t="s">
        <v>81</v>
      </c>
    </row>
    <row r="9666" spans="1:33" x14ac:dyDescent="0.25">
      <c r="A9666" t="str">
        <f>"1750348447"</f>
        <v>1750348447</v>
      </c>
      <c r="B9666" t="str">
        <f>"01681823"</f>
        <v>01681823</v>
      </c>
      <c r="C9666" t="s">
        <v>13436</v>
      </c>
      <c r="D9666" t="s">
        <v>40359</v>
      </c>
      <c r="E9666" t="s">
        <v>40360</v>
      </c>
      <c r="G9666" t="s">
        <v>40361</v>
      </c>
      <c r="L9666" t="s">
        <v>83</v>
      </c>
      <c r="M9666" t="s">
        <v>85</v>
      </c>
      <c r="R9666" t="s">
        <v>40362</v>
      </c>
      <c r="W9666" t="s">
        <v>40360</v>
      </c>
      <c r="X9666" t="s">
        <v>185</v>
      </c>
      <c r="Y9666" t="s">
        <v>97</v>
      </c>
      <c r="Z9666" t="s">
        <v>77</v>
      </c>
      <c r="AA9666" t="str">
        <f>"10035-2709"</f>
        <v>10035-2709</v>
      </c>
      <c r="AB9666" t="s">
        <v>78</v>
      </c>
      <c r="AC9666" t="s">
        <v>79</v>
      </c>
      <c r="AD9666" t="s">
        <v>75</v>
      </c>
      <c r="AE9666" t="s">
        <v>80</v>
      </c>
      <c r="AG9666" t="s">
        <v>81</v>
      </c>
    </row>
    <row r="9667" spans="1:33" x14ac:dyDescent="0.25">
      <c r="A9667" t="str">
        <f>"1750348967"</f>
        <v>1750348967</v>
      </c>
      <c r="B9667" t="str">
        <f>"00141373"</f>
        <v>00141373</v>
      </c>
      <c r="C9667" t="s">
        <v>13436</v>
      </c>
      <c r="D9667" t="s">
        <v>40363</v>
      </c>
      <c r="E9667" t="s">
        <v>40364</v>
      </c>
      <c r="G9667" t="s">
        <v>40365</v>
      </c>
      <c r="L9667" t="s">
        <v>83</v>
      </c>
      <c r="M9667" t="s">
        <v>85</v>
      </c>
      <c r="W9667" t="s">
        <v>40364</v>
      </c>
      <c r="X9667" t="s">
        <v>40366</v>
      </c>
      <c r="Y9667" t="s">
        <v>97</v>
      </c>
      <c r="Z9667" t="s">
        <v>77</v>
      </c>
      <c r="AA9667" t="str">
        <f>"10029"</f>
        <v>10029</v>
      </c>
      <c r="AB9667" t="s">
        <v>78</v>
      </c>
      <c r="AC9667" t="s">
        <v>79</v>
      </c>
      <c r="AD9667" t="s">
        <v>75</v>
      </c>
      <c r="AE9667" t="s">
        <v>80</v>
      </c>
      <c r="AG9667" t="s">
        <v>81</v>
      </c>
    </row>
    <row r="9668" spans="1:33" x14ac:dyDescent="0.25">
      <c r="A9668" t="str">
        <f>"1750355806"</f>
        <v>1750355806</v>
      </c>
      <c r="B9668" t="str">
        <f>"03814115"</f>
        <v>03814115</v>
      </c>
      <c r="C9668" t="s">
        <v>13436</v>
      </c>
      <c r="D9668" t="s">
        <v>40367</v>
      </c>
      <c r="E9668" t="s">
        <v>40368</v>
      </c>
      <c r="G9668" t="s">
        <v>40369</v>
      </c>
      <c r="L9668" t="s">
        <v>74</v>
      </c>
      <c r="M9668" t="s">
        <v>75</v>
      </c>
      <c r="R9668" t="s">
        <v>40370</v>
      </c>
      <c r="W9668" t="s">
        <v>40368</v>
      </c>
      <c r="X9668" t="s">
        <v>13399</v>
      </c>
      <c r="Y9668" t="s">
        <v>97</v>
      </c>
      <c r="Z9668" t="s">
        <v>77</v>
      </c>
      <c r="AA9668" t="str">
        <f>"10011-1611"</f>
        <v>10011-1611</v>
      </c>
      <c r="AB9668" t="s">
        <v>78</v>
      </c>
      <c r="AC9668" t="s">
        <v>79</v>
      </c>
      <c r="AD9668" t="s">
        <v>75</v>
      </c>
      <c r="AE9668" t="s">
        <v>80</v>
      </c>
      <c r="AG9668" t="s">
        <v>81</v>
      </c>
    </row>
    <row r="9669" spans="1:33" x14ac:dyDescent="0.25">
      <c r="A9669" t="str">
        <f>"1750365201"</f>
        <v>1750365201</v>
      </c>
      <c r="B9669" t="str">
        <f>"00964049"</f>
        <v>00964049</v>
      </c>
      <c r="C9669" t="s">
        <v>13436</v>
      </c>
      <c r="D9669" t="s">
        <v>40371</v>
      </c>
      <c r="E9669" t="s">
        <v>40372</v>
      </c>
      <c r="L9669" t="s">
        <v>74</v>
      </c>
      <c r="M9669" t="s">
        <v>75</v>
      </c>
      <c r="R9669" t="s">
        <v>40373</v>
      </c>
      <c r="W9669" t="s">
        <v>40374</v>
      </c>
      <c r="X9669" t="s">
        <v>267</v>
      </c>
      <c r="Y9669" t="s">
        <v>91</v>
      </c>
      <c r="Z9669" t="s">
        <v>77</v>
      </c>
      <c r="AA9669" t="str">
        <f>"11373-1329"</f>
        <v>11373-1329</v>
      </c>
      <c r="AB9669" t="s">
        <v>78</v>
      </c>
      <c r="AC9669" t="s">
        <v>79</v>
      </c>
      <c r="AD9669" t="s">
        <v>75</v>
      </c>
      <c r="AE9669" t="s">
        <v>80</v>
      </c>
      <c r="AG9669" t="s">
        <v>81</v>
      </c>
    </row>
    <row r="9670" spans="1:33" x14ac:dyDescent="0.25">
      <c r="A9670" t="str">
        <f>"1750396263"</f>
        <v>1750396263</v>
      </c>
      <c r="B9670" t="str">
        <f>"03251874"</f>
        <v>03251874</v>
      </c>
      <c r="C9670" t="s">
        <v>13436</v>
      </c>
      <c r="D9670" t="s">
        <v>6075</v>
      </c>
      <c r="E9670" t="s">
        <v>6076</v>
      </c>
      <c r="G9670" t="s">
        <v>40375</v>
      </c>
      <c r="L9670" t="s">
        <v>83</v>
      </c>
      <c r="M9670" t="s">
        <v>85</v>
      </c>
      <c r="R9670" t="s">
        <v>6077</v>
      </c>
      <c r="W9670" t="s">
        <v>6078</v>
      </c>
      <c r="X9670" t="s">
        <v>329</v>
      </c>
      <c r="Y9670" t="s">
        <v>97</v>
      </c>
      <c r="Z9670" t="s">
        <v>77</v>
      </c>
      <c r="AA9670" t="str">
        <f>"10029-6500"</f>
        <v>10029-6500</v>
      </c>
      <c r="AB9670" t="s">
        <v>78</v>
      </c>
      <c r="AC9670" t="s">
        <v>79</v>
      </c>
      <c r="AD9670" t="s">
        <v>75</v>
      </c>
      <c r="AE9670" t="s">
        <v>80</v>
      </c>
      <c r="AG9670" t="s">
        <v>81</v>
      </c>
    </row>
    <row r="9671" spans="1:33" x14ac:dyDescent="0.25">
      <c r="A9671" t="str">
        <f>"1750398939"</f>
        <v>1750398939</v>
      </c>
      <c r="B9671" t="str">
        <f>"03195791"</f>
        <v>03195791</v>
      </c>
      <c r="C9671" t="s">
        <v>13436</v>
      </c>
      <c r="D9671" t="s">
        <v>40376</v>
      </c>
      <c r="E9671" t="s">
        <v>40377</v>
      </c>
      <c r="G9671" t="s">
        <v>40378</v>
      </c>
      <c r="L9671" t="s">
        <v>83</v>
      </c>
      <c r="M9671" t="s">
        <v>85</v>
      </c>
      <c r="R9671" t="s">
        <v>40377</v>
      </c>
      <c r="W9671" t="s">
        <v>40377</v>
      </c>
      <c r="X9671" t="s">
        <v>14029</v>
      </c>
      <c r="Y9671" t="s">
        <v>97</v>
      </c>
      <c r="Z9671" t="s">
        <v>77</v>
      </c>
      <c r="AA9671" t="str">
        <f>"10029-6574"</f>
        <v>10029-6574</v>
      </c>
      <c r="AB9671" t="s">
        <v>78</v>
      </c>
      <c r="AC9671" t="s">
        <v>79</v>
      </c>
      <c r="AD9671" t="s">
        <v>75</v>
      </c>
      <c r="AE9671" t="s">
        <v>80</v>
      </c>
      <c r="AG9671" t="s">
        <v>81</v>
      </c>
    </row>
    <row r="9672" spans="1:33" x14ac:dyDescent="0.25">
      <c r="A9672" t="str">
        <f>"1750406641"</f>
        <v>1750406641</v>
      </c>
      <c r="C9672" t="s">
        <v>13436</v>
      </c>
      <c r="G9672" t="s">
        <v>40379</v>
      </c>
      <c r="K9672" t="s">
        <v>99</v>
      </c>
      <c r="L9672" t="s">
        <v>102</v>
      </c>
      <c r="M9672" t="s">
        <v>75</v>
      </c>
      <c r="R9672" t="s">
        <v>40380</v>
      </c>
      <c r="S9672" t="s">
        <v>40381</v>
      </c>
      <c r="T9672" t="s">
        <v>97</v>
      </c>
      <c r="U9672" t="s">
        <v>77</v>
      </c>
      <c r="V9672" t="str">
        <f>"100323720"</f>
        <v>100323720</v>
      </c>
      <c r="AC9672" t="s">
        <v>79</v>
      </c>
      <c r="AD9672" t="s">
        <v>75</v>
      </c>
      <c r="AE9672" t="s">
        <v>103</v>
      </c>
      <c r="AG9672" t="s">
        <v>81</v>
      </c>
    </row>
    <row r="9673" spans="1:33" x14ac:dyDescent="0.25">
      <c r="A9673" t="str">
        <f>"1750429239"</f>
        <v>1750429239</v>
      </c>
      <c r="C9673" t="s">
        <v>13436</v>
      </c>
      <c r="K9673" t="s">
        <v>99</v>
      </c>
      <c r="L9673" t="s">
        <v>102</v>
      </c>
      <c r="M9673" t="s">
        <v>75</v>
      </c>
      <c r="R9673" t="s">
        <v>40382</v>
      </c>
      <c r="S9673" t="s">
        <v>28764</v>
      </c>
      <c r="T9673" t="s">
        <v>97</v>
      </c>
      <c r="U9673" t="s">
        <v>77</v>
      </c>
      <c r="V9673" t="str">
        <f>"100296514"</f>
        <v>100296514</v>
      </c>
      <c r="AC9673" t="s">
        <v>79</v>
      </c>
      <c r="AD9673" t="s">
        <v>75</v>
      </c>
      <c r="AE9673" t="s">
        <v>103</v>
      </c>
      <c r="AG9673" t="s">
        <v>81</v>
      </c>
    </row>
    <row r="9674" spans="1:33" x14ac:dyDescent="0.25">
      <c r="A9674" t="str">
        <f>"1750458089"</f>
        <v>1750458089</v>
      </c>
      <c r="B9674" t="str">
        <f>"02433030"</f>
        <v>02433030</v>
      </c>
      <c r="C9674" t="s">
        <v>13436</v>
      </c>
      <c r="D9674" t="s">
        <v>40383</v>
      </c>
      <c r="E9674" t="s">
        <v>40384</v>
      </c>
      <c r="G9674" t="s">
        <v>40385</v>
      </c>
      <c r="L9674" t="s">
        <v>83</v>
      </c>
      <c r="M9674" t="s">
        <v>85</v>
      </c>
      <c r="R9674" t="s">
        <v>40386</v>
      </c>
      <c r="W9674" t="s">
        <v>40384</v>
      </c>
      <c r="X9674" t="s">
        <v>40387</v>
      </c>
      <c r="Y9674" t="s">
        <v>87</v>
      </c>
      <c r="Z9674" t="s">
        <v>77</v>
      </c>
      <c r="AA9674" t="str">
        <f>"11212-3139"</f>
        <v>11212-3139</v>
      </c>
      <c r="AB9674" t="s">
        <v>78</v>
      </c>
      <c r="AC9674" t="s">
        <v>79</v>
      </c>
      <c r="AD9674" t="s">
        <v>75</v>
      </c>
      <c r="AE9674" t="s">
        <v>80</v>
      </c>
      <c r="AG9674" t="s">
        <v>81</v>
      </c>
    </row>
    <row r="9675" spans="1:33" x14ac:dyDescent="0.25">
      <c r="A9675" t="str">
        <f>"1609815612"</f>
        <v>1609815612</v>
      </c>
      <c r="B9675" t="str">
        <f>"02798974"</f>
        <v>02798974</v>
      </c>
      <c r="C9675" t="s">
        <v>40388</v>
      </c>
      <c r="D9675" t="s">
        <v>40389</v>
      </c>
      <c r="E9675" t="s">
        <v>40390</v>
      </c>
      <c r="G9675" t="s">
        <v>40388</v>
      </c>
      <c r="L9675" t="s">
        <v>84</v>
      </c>
      <c r="M9675" t="s">
        <v>85</v>
      </c>
      <c r="R9675" t="s">
        <v>40391</v>
      </c>
      <c r="W9675" t="s">
        <v>40390</v>
      </c>
      <c r="X9675" t="s">
        <v>40392</v>
      </c>
      <c r="Y9675" t="s">
        <v>313</v>
      </c>
      <c r="Z9675" t="s">
        <v>77</v>
      </c>
      <c r="AA9675" t="str">
        <f>"11429-2650"</f>
        <v>11429-2650</v>
      </c>
      <c r="AB9675" t="s">
        <v>78</v>
      </c>
      <c r="AC9675" t="s">
        <v>79</v>
      </c>
      <c r="AD9675" t="s">
        <v>75</v>
      </c>
      <c r="AE9675" t="s">
        <v>80</v>
      </c>
      <c r="AG9675" t="s">
        <v>81</v>
      </c>
    </row>
    <row r="9676" spans="1:33" x14ac:dyDescent="0.25">
      <c r="A9676" t="str">
        <f>"1609817428"</f>
        <v>1609817428</v>
      </c>
      <c r="B9676" t="str">
        <f>"01642713"</f>
        <v>01642713</v>
      </c>
      <c r="C9676" t="s">
        <v>40393</v>
      </c>
      <c r="D9676" t="s">
        <v>40394</v>
      </c>
      <c r="E9676" t="s">
        <v>40395</v>
      </c>
      <c r="G9676" t="s">
        <v>40393</v>
      </c>
      <c r="L9676" t="s">
        <v>83</v>
      </c>
      <c r="M9676" t="s">
        <v>75</v>
      </c>
      <c r="R9676" t="s">
        <v>22495</v>
      </c>
      <c r="W9676" t="s">
        <v>40395</v>
      </c>
      <c r="X9676" t="s">
        <v>163</v>
      </c>
      <c r="Y9676" t="s">
        <v>164</v>
      </c>
      <c r="Z9676" t="s">
        <v>77</v>
      </c>
      <c r="AA9676" t="str">
        <f>"11554-1859"</f>
        <v>11554-1859</v>
      </c>
      <c r="AB9676" t="s">
        <v>78</v>
      </c>
      <c r="AC9676" t="s">
        <v>79</v>
      </c>
      <c r="AD9676" t="s">
        <v>75</v>
      </c>
      <c r="AE9676" t="s">
        <v>80</v>
      </c>
      <c r="AG9676" t="s">
        <v>81</v>
      </c>
    </row>
    <row r="9677" spans="1:33" x14ac:dyDescent="0.25">
      <c r="A9677" t="str">
        <f>"1609818772"</f>
        <v>1609818772</v>
      </c>
      <c r="B9677" t="str">
        <f>"00704930"</f>
        <v>00704930</v>
      </c>
      <c r="C9677" t="s">
        <v>40396</v>
      </c>
      <c r="D9677" t="s">
        <v>40397</v>
      </c>
      <c r="E9677" t="s">
        <v>40398</v>
      </c>
      <c r="G9677" t="s">
        <v>40396</v>
      </c>
      <c r="L9677" t="s">
        <v>83</v>
      </c>
      <c r="M9677" t="s">
        <v>75</v>
      </c>
      <c r="R9677" t="s">
        <v>40399</v>
      </c>
      <c r="W9677" t="s">
        <v>40398</v>
      </c>
      <c r="X9677" t="s">
        <v>4477</v>
      </c>
      <c r="Y9677" t="s">
        <v>209</v>
      </c>
      <c r="Z9677" t="s">
        <v>77</v>
      </c>
      <c r="AA9677" t="str">
        <f>"11794-0001"</f>
        <v>11794-0001</v>
      </c>
      <c r="AB9677" t="s">
        <v>78</v>
      </c>
      <c r="AC9677" t="s">
        <v>79</v>
      </c>
      <c r="AD9677" t="s">
        <v>75</v>
      </c>
      <c r="AE9677" t="s">
        <v>80</v>
      </c>
      <c r="AG9677" t="s">
        <v>81</v>
      </c>
    </row>
    <row r="9678" spans="1:33" x14ac:dyDescent="0.25">
      <c r="A9678" t="str">
        <f>"1609951086"</f>
        <v>1609951086</v>
      </c>
      <c r="B9678" t="str">
        <f>"04295429"</f>
        <v>04295429</v>
      </c>
      <c r="C9678" t="s">
        <v>40400</v>
      </c>
      <c r="D9678" t="s">
        <v>40401</v>
      </c>
      <c r="E9678" t="s">
        <v>40402</v>
      </c>
      <c r="G9678" t="s">
        <v>40400</v>
      </c>
      <c r="L9678" t="s">
        <v>83</v>
      </c>
      <c r="M9678" t="s">
        <v>75</v>
      </c>
      <c r="R9678" t="s">
        <v>40402</v>
      </c>
      <c r="W9678" t="s">
        <v>40402</v>
      </c>
      <c r="X9678" t="s">
        <v>22254</v>
      </c>
      <c r="Y9678" t="s">
        <v>97</v>
      </c>
      <c r="Z9678" t="s">
        <v>77</v>
      </c>
      <c r="AA9678" t="str">
        <f>"10033-2411"</f>
        <v>10033-2411</v>
      </c>
      <c r="AB9678" t="s">
        <v>78</v>
      </c>
      <c r="AC9678" t="s">
        <v>79</v>
      </c>
      <c r="AD9678" t="s">
        <v>75</v>
      </c>
      <c r="AE9678" t="s">
        <v>80</v>
      </c>
      <c r="AG9678" t="s">
        <v>81</v>
      </c>
    </row>
    <row r="9679" spans="1:33" x14ac:dyDescent="0.25">
      <c r="A9679" t="str">
        <f>"1619012085"</f>
        <v>1619012085</v>
      </c>
      <c r="B9679" t="str">
        <f>"02583168"</f>
        <v>02583168</v>
      </c>
      <c r="C9679" t="s">
        <v>40403</v>
      </c>
      <c r="D9679" t="s">
        <v>40404</v>
      </c>
      <c r="E9679" t="s">
        <v>40405</v>
      </c>
      <c r="G9679" t="s">
        <v>40403</v>
      </c>
      <c r="L9679" t="s">
        <v>84</v>
      </c>
      <c r="M9679" t="s">
        <v>75</v>
      </c>
      <c r="R9679" t="s">
        <v>40405</v>
      </c>
      <c r="W9679" t="s">
        <v>40405</v>
      </c>
      <c r="X9679" t="s">
        <v>3251</v>
      </c>
      <c r="Y9679" t="s">
        <v>87</v>
      </c>
      <c r="Z9679" t="s">
        <v>77</v>
      </c>
      <c r="AA9679" t="str">
        <f>"11225-5417"</f>
        <v>11225-5417</v>
      </c>
      <c r="AB9679" t="s">
        <v>78</v>
      </c>
      <c r="AC9679" t="s">
        <v>79</v>
      </c>
      <c r="AD9679" t="s">
        <v>75</v>
      </c>
      <c r="AE9679" t="s">
        <v>80</v>
      </c>
      <c r="AG9679" t="s">
        <v>81</v>
      </c>
    </row>
    <row r="9680" spans="1:33" x14ac:dyDescent="0.25">
      <c r="A9680" t="str">
        <f>"1619160330"</f>
        <v>1619160330</v>
      </c>
      <c r="B9680" t="str">
        <f>"04193124"</f>
        <v>04193124</v>
      </c>
      <c r="C9680" t="s">
        <v>40406</v>
      </c>
      <c r="D9680" t="s">
        <v>40407</v>
      </c>
      <c r="E9680" t="s">
        <v>40408</v>
      </c>
      <c r="G9680" t="s">
        <v>40406</v>
      </c>
      <c r="L9680" t="s">
        <v>74</v>
      </c>
      <c r="M9680" t="s">
        <v>75</v>
      </c>
      <c r="R9680" t="s">
        <v>40409</v>
      </c>
      <c r="W9680" t="s">
        <v>40408</v>
      </c>
      <c r="X9680" t="s">
        <v>287</v>
      </c>
      <c r="Y9680" t="s">
        <v>152</v>
      </c>
      <c r="Z9680" t="s">
        <v>77</v>
      </c>
      <c r="AA9680" t="str">
        <f>"11375-6625"</f>
        <v>11375-6625</v>
      </c>
      <c r="AB9680" t="s">
        <v>78</v>
      </c>
      <c r="AC9680" t="s">
        <v>79</v>
      </c>
      <c r="AD9680" t="s">
        <v>75</v>
      </c>
      <c r="AE9680" t="s">
        <v>80</v>
      </c>
      <c r="AG9680" t="s">
        <v>81</v>
      </c>
    </row>
    <row r="9681" spans="1:33" x14ac:dyDescent="0.25">
      <c r="A9681" t="str">
        <f>"1629015037"</f>
        <v>1629015037</v>
      </c>
      <c r="B9681" t="str">
        <f>"01447612"</f>
        <v>01447612</v>
      </c>
      <c r="C9681" t="s">
        <v>40410</v>
      </c>
      <c r="D9681" t="s">
        <v>40411</v>
      </c>
      <c r="E9681" t="s">
        <v>40412</v>
      </c>
      <c r="G9681" t="s">
        <v>40410</v>
      </c>
      <c r="L9681" t="s">
        <v>84</v>
      </c>
      <c r="M9681" t="s">
        <v>85</v>
      </c>
      <c r="R9681" t="s">
        <v>40413</v>
      </c>
      <c r="W9681" t="s">
        <v>40412</v>
      </c>
      <c r="X9681" t="s">
        <v>40414</v>
      </c>
      <c r="Y9681" t="s">
        <v>87</v>
      </c>
      <c r="Z9681" t="s">
        <v>77</v>
      </c>
      <c r="AA9681" t="str">
        <f>"11237-4006"</f>
        <v>11237-4006</v>
      </c>
      <c r="AB9681" t="s">
        <v>78</v>
      </c>
      <c r="AC9681" t="s">
        <v>79</v>
      </c>
      <c r="AD9681" t="s">
        <v>75</v>
      </c>
      <c r="AE9681" t="s">
        <v>80</v>
      </c>
      <c r="AG9681" t="s">
        <v>81</v>
      </c>
    </row>
    <row r="9682" spans="1:33" x14ac:dyDescent="0.25">
      <c r="A9682" t="str">
        <f>"1629109582"</f>
        <v>1629109582</v>
      </c>
      <c r="B9682" t="str">
        <f>"03810244"</f>
        <v>03810244</v>
      </c>
      <c r="C9682" t="s">
        <v>40415</v>
      </c>
      <c r="D9682" t="s">
        <v>40416</v>
      </c>
      <c r="E9682" t="s">
        <v>40417</v>
      </c>
      <c r="G9682" t="s">
        <v>40415</v>
      </c>
      <c r="L9682" t="s">
        <v>83</v>
      </c>
      <c r="M9682" t="s">
        <v>75</v>
      </c>
      <c r="R9682" t="s">
        <v>40418</v>
      </c>
      <c r="W9682" t="s">
        <v>40417</v>
      </c>
      <c r="X9682" t="s">
        <v>14532</v>
      </c>
      <c r="Y9682" t="s">
        <v>87</v>
      </c>
      <c r="Z9682" t="s">
        <v>77</v>
      </c>
      <c r="AA9682" t="str">
        <f>"11205-4924"</f>
        <v>11205-4924</v>
      </c>
      <c r="AB9682" t="s">
        <v>78</v>
      </c>
      <c r="AC9682" t="s">
        <v>79</v>
      </c>
      <c r="AD9682" t="s">
        <v>75</v>
      </c>
      <c r="AE9682" t="s">
        <v>80</v>
      </c>
      <c r="AG9682" t="s">
        <v>81</v>
      </c>
    </row>
    <row r="9683" spans="1:33" x14ac:dyDescent="0.25">
      <c r="A9683" t="str">
        <f>"1629269089"</f>
        <v>1629269089</v>
      </c>
      <c r="B9683" t="str">
        <f>"03068031"</f>
        <v>03068031</v>
      </c>
      <c r="C9683" t="s">
        <v>40419</v>
      </c>
      <c r="D9683" t="s">
        <v>40420</v>
      </c>
      <c r="E9683" t="s">
        <v>40421</v>
      </c>
      <c r="G9683" t="s">
        <v>40419</v>
      </c>
      <c r="L9683" t="s">
        <v>84</v>
      </c>
      <c r="M9683" t="s">
        <v>75</v>
      </c>
      <c r="R9683" t="s">
        <v>40421</v>
      </c>
      <c r="W9683" t="s">
        <v>40421</v>
      </c>
      <c r="X9683" t="s">
        <v>2779</v>
      </c>
      <c r="Y9683" t="s">
        <v>87</v>
      </c>
      <c r="Z9683" t="s">
        <v>77</v>
      </c>
      <c r="AA9683" t="str">
        <f>"11217-1702"</f>
        <v>11217-1702</v>
      </c>
      <c r="AB9683" t="s">
        <v>78</v>
      </c>
      <c r="AC9683" t="s">
        <v>79</v>
      </c>
      <c r="AD9683" t="s">
        <v>75</v>
      </c>
      <c r="AE9683" t="s">
        <v>80</v>
      </c>
      <c r="AG9683" t="s">
        <v>81</v>
      </c>
    </row>
    <row r="9684" spans="1:33" x14ac:dyDescent="0.25">
      <c r="A9684" t="str">
        <f>"1629283791"</f>
        <v>1629283791</v>
      </c>
      <c r="B9684" t="str">
        <f>"03809487"</f>
        <v>03809487</v>
      </c>
      <c r="C9684" t="s">
        <v>40422</v>
      </c>
      <c r="D9684" t="s">
        <v>40423</v>
      </c>
      <c r="E9684" t="s">
        <v>40424</v>
      </c>
      <c r="G9684" t="s">
        <v>40422</v>
      </c>
      <c r="L9684" t="s">
        <v>83</v>
      </c>
      <c r="M9684" t="s">
        <v>75</v>
      </c>
      <c r="R9684" t="s">
        <v>40425</v>
      </c>
      <c r="W9684" t="s">
        <v>40424</v>
      </c>
      <c r="X9684" t="s">
        <v>29116</v>
      </c>
      <c r="Y9684" t="s">
        <v>87</v>
      </c>
      <c r="Z9684" t="s">
        <v>77</v>
      </c>
      <c r="AA9684" t="str">
        <f>"11208-5132"</f>
        <v>11208-5132</v>
      </c>
      <c r="AB9684" t="s">
        <v>78</v>
      </c>
      <c r="AC9684" t="s">
        <v>79</v>
      </c>
      <c r="AD9684" t="s">
        <v>75</v>
      </c>
      <c r="AE9684" t="s">
        <v>80</v>
      </c>
      <c r="AG9684" t="s">
        <v>81</v>
      </c>
    </row>
    <row r="9685" spans="1:33" x14ac:dyDescent="0.25">
      <c r="A9685" t="str">
        <f>"1649204959"</f>
        <v>1649204959</v>
      </c>
      <c r="B9685" t="str">
        <f>"02849998"</f>
        <v>02849998</v>
      </c>
      <c r="C9685" t="s">
        <v>40426</v>
      </c>
      <c r="D9685" t="s">
        <v>40427</v>
      </c>
      <c r="E9685" t="s">
        <v>40428</v>
      </c>
      <c r="G9685" t="s">
        <v>40426</v>
      </c>
      <c r="L9685" t="s">
        <v>84</v>
      </c>
      <c r="M9685" t="s">
        <v>75</v>
      </c>
      <c r="R9685" t="s">
        <v>40429</v>
      </c>
      <c r="W9685" t="s">
        <v>40428</v>
      </c>
      <c r="X9685" t="s">
        <v>40430</v>
      </c>
      <c r="Y9685" t="s">
        <v>87</v>
      </c>
      <c r="Z9685" t="s">
        <v>77</v>
      </c>
      <c r="AA9685" t="str">
        <f>"11226-1317"</f>
        <v>11226-1317</v>
      </c>
      <c r="AB9685" t="s">
        <v>78</v>
      </c>
      <c r="AC9685" t="s">
        <v>79</v>
      </c>
      <c r="AD9685" t="s">
        <v>75</v>
      </c>
      <c r="AE9685" t="s">
        <v>80</v>
      </c>
      <c r="AG9685" t="s">
        <v>81</v>
      </c>
    </row>
    <row r="9686" spans="1:33" x14ac:dyDescent="0.25">
      <c r="A9686" t="str">
        <f>"1649333683"</f>
        <v>1649333683</v>
      </c>
      <c r="B9686" t="str">
        <f>"01143773"</f>
        <v>01143773</v>
      </c>
      <c r="C9686" t="s">
        <v>40431</v>
      </c>
      <c r="D9686" t="s">
        <v>40432</v>
      </c>
      <c r="E9686" t="s">
        <v>40433</v>
      </c>
      <c r="G9686" t="s">
        <v>40431</v>
      </c>
      <c r="L9686" t="s">
        <v>83</v>
      </c>
      <c r="M9686" t="s">
        <v>75</v>
      </c>
      <c r="R9686" t="s">
        <v>40434</v>
      </c>
      <c r="W9686" t="s">
        <v>40433</v>
      </c>
      <c r="X9686" t="s">
        <v>287</v>
      </c>
      <c r="Y9686" t="s">
        <v>152</v>
      </c>
      <c r="Z9686" t="s">
        <v>77</v>
      </c>
      <c r="AA9686" t="str">
        <f>"11375-6625"</f>
        <v>11375-6625</v>
      </c>
      <c r="AB9686" t="s">
        <v>78</v>
      </c>
      <c r="AC9686" t="s">
        <v>79</v>
      </c>
      <c r="AD9686" t="s">
        <v>75</v>
      </c>
      <c r="AE9686" t="s">
        <v>80</v>
      </c>
      <c r="AG9686" t="s">
        <v>81</v>
      </c>
    </row>
    <row r="9687" spans="1:33" x14ac:dyDescent="0.25">
      <c r="A9687" t="str">
        <f>"1649682410"</f>
        <v>1649682410</v>
      </c>
      <c r="B9687" t="str">
        <f>"04061652"</f>
        <v>04061652</v>
      </c>
      <c r="C9687" t="s">
        <v>40435</v>
      </c>
      <c r="D9687" t="s">
        <v>40436</v>
      </c>
      <c r="E9687" t="s">
        <v>40437</v>
      </c>
      <c r="G9687" t="s">
        <v>40435</v>
      </c>
      <c r="L9687" t="s">
        <v>83</v>
      </c>
      <c r="M9687" t="s">
        <v>75</v>
      </c>
      <c r="R9687" t="s">
        <v>40438</v>
      </c>
      <c r="W9687" t="s">
        <v>40437</v>
      </c>
      <c r="X9687" t="s">
        <v>40439</v>
      </c>
      <c r="Y9687" t="s">
        <v>97</v>
      </c>
      <c r="Z9687" t="s">
        <v>77</v>
      </c>
      <c r="AA9687" t="str">
        <f>"10027-4426"</f>
        <v>10027-4426</v>
      </c>
      <c r="AB9687" t="s">
        <v>78</v>
      </c>
      <c r="AC9687" t="s">
        <v>79</v>
      </c>
      <c r="AD9687" t="s">
        <v>75</v>
      </c>
      <c r="AE9687" t="s">
        <v>80</v>
      </c>
      <c r="AG9687" t="s">
        <v>81</v>
      </c>
    </row>
    <row r="9688" spans="1:33" x14ac:dyDescent="0.25">
      <c r="A9688" t="str">
        <f>"1326117045"</f>
        <v>1326117045</v>
      </c>
      <c r="B9688" t="str">
        <f>"00311028"</f>
        <v>00311028</v>
      </c>
      <c r="C9688" t="s">
        <v>40440</v>
      </c>
      <c r="D9688" t="s">
        <v>40441</v>
      </c>
      <c r="E9688" t="s">
        <v>40442</v>
      </c>
      <c r="G9688" t="s">
        <v>40443</v>
      </c>
      <c r="H9688" t="s">
        <v>40444</v>
      </c>
      <c r="I9688">
        <v>213</v>
      </c>
      <c r="J9688" t="s">
        <v>40445</v>
      </c>
      <c r="L9688" t="s">
        <v>106</v>
      </c>
      <c r="M9688" t="s">
        <v>85</v>
      </c>
      <c r="R9688" t="s">
        <v>40446</v>
      </c>
      <c r="W9688" t="s">
        <v>40442</v>
      </c>
      <c r="X9688" t="s">
        <v>576</v>
      </c>
      <c r="Y9688" t="s">
        <v>308</v>
      </c>
      <c r="Z9688" t="s">
        <v>77</v>
      </c>
      <c r="AA9688" t="str">
        <f>"11368-4018"</f>
        <v>11368-4018</v>
      </c>
      <c r="AB9688" t="s">
        <v>107</v>
      </c>
      <c r="AC9688" t="s">
        <v>79</v>
      </c>
      <c r="AD9688" t="s">
        <v>75</v>
      </c>
      <c r="AE9688" t="s">
        <v>80</v>
      </c>
      <c r="AG9688" t="s">
        <v>81</v>
      </c>
    </row>
    <row r="9689" spans="1:33" x14ac:dyDescent="0.25">
      <c r="A9689" t="str">
        <f>"1366430563"</f>
        <v>1366430563</v>
      </c>
      <c r="B9689" t="str">
        <f>"00688220"</f>
        <v>00688220</v>
      </c>
      <c r="C9689" t="s">
        <v>40447</v>
      </c>
      <c r="D9689" t="s">
        <v>495</v>
      </c>
      <c r="E9689" t="s">
        <v>496</v>
      </c>
      <c r="G9689" t="s">
        <v>497</v>
      </c>
      <c r="H9689" t="s">
        <v>498</v>
      </c>
      <c r="J9689" t="s">
        <v>872</v>
      </c>
      <c r="L9689" t="s">
        <v>144</v>
      </c>
      <c r="M9689" t="s">
        <v>85</v>
      </c>
      <c r="R9689" t="s">
        <v>499</v>
      </c>
      <c r="W9689" t="s">
        <v>496</v>
      </c>
      <c r="X9689" t="s">
        <v>500</v>
      </c>
      <c r="Y9689" t="s">
        <v>487</v>
      </c>
      <c r="Z9689" t="s">
        <v>77</v>
      </c>
      <c r="AA9689" t="str">
        <f>"11420-1034"</f>
        <v>11420-1034</v>
      </c>
      <c r="AB9689" t="s">
        <v>122</v>
      </c>
      <c r="AC9689" t="s">
        <v>79</v>
      </c>
      <c r="AD9689" t="s">
        <v>75</v>
      </c>
      <c r="AE9689" t="s">
        <v>80</v>
      </c>
      <c r="AG9689" t="s">
        <v>81</v>
      </c>
    </row>
    <row r="9690" spans="1:33" x14ac:dyDescent="0.25">
      <c r="A9690" t="str">
        <f>"1922165117"</f>
        <v>1922165117</v>
      </c>
      <c r="B9690" t="str">
        <f>"02998016"</f>
        <v>02998016</v>
      </c>
      <c r="C9690" t="s">
        <v>40448</v>
      </c>
      <c r="D9690" t="s">
        <v>3558</v>
      </c>
      <c r="E9690" t="s">
        <v>3559</v>
      </c>
      <c r="G9690" t="s">
        <v>40449</v>
      </c>
      <c r="H9690" t="s">
        <v>40450</v>
      </c>
      <c r="J9690" t="s">
        <v>40451</v>
      </c>
      <c r="L9690" t="s">
        <v>10</v>
      </c>
      <c r="M9690" t="s">
        <v>85</v>
      </c>
      <c r="R9690" t="s">
        <v>3560</v>
      </c>
      <c r="W9690" t="s">
        <v>3561</v>
      </c>
      <c r="X9690" t="s">
        <v>3562</v>
      </c>
      <c r="Y9690" t="s">
        <v>97</v>
      </c>
      <c r="Z9690" t="s">
        <v>77</v>
      </c>
      <c r="AA9690" t="str">
        <f>"10038-1522"</f>
        <v>10038-1522</v>
      </c>
      <c r="AB9690" t="s">
        <v>93</v>
      </c>
      <c r="AC9690" t="s">
        <v>79</v>
      </c>
      <c r="AD9690" t="s">
        <v>75</v>
      </c>
      <c r="AE9690" t="s">
        <v>80</v>
      </c>
      <c r="AG9690" t="s">
        <v>81</v>
      </c>
    </row>
    <row r="9691" spans="1:33" x14ac:dyDescent="0.25">
      <c r="A9691" t="str">
        <f>"1447207071"</f>
        <v>1447207071</v>
      </c>
      <c r="B9691" t="str">
        <f>"02585106"</f>
        <v>02585106</v>
      </c>
      <c r="C9691" t="s">
        <v>40452</v>
      </c>
      <c r="D9691" t="s">
        <v>40453</v>
      </c>
      <c r="E9691" t="s">
        <v>40454</v>
      </c>
      <c r="G9691" t="s">
        <v>40455</v>
      </c>
      <c r="H9691" t="s">
        <v>35772</v>
      </c>
      <c r="J9691" t="s">
        <v>35773</v>
      </c>
      <c r="L9691" t="s">
        <v>84</v>
      </c>
      <c r="M9691" t="s">
        <v>75</v>
      </c>
      <c r="R9691" t="s">
        <v>40456</v>
      </c>
      <c r="W9691" t="s">
        <v>40454</v>
      </c>
      <c r="X9691" t="s">
        <v>893</v>
      </c>
      <c r="Y9691" t="s">
        <v>87</v>
      </c>
      <c r="Z9691" t="s">
        <v>77</v>
      </c>
      <c r="AA9691" t="str">
        <f>"11212-4701"</f>
        <v>11212-4701</v>
      </c>
      <c r="AB9691" t="s">
        <v>78</v>
      </c>
      <c r="AC9691" t="s">
        <v>79</v>
      </c>
      <c r="AD9691" t="s">
        <v>75</v>
      </c>
      <c r="AE9691" t="s">
        <v>80</v>
      </c>
      <c r="AG9691" t="s">
        <v>81</v>
      </c>
    </row>
    <row r="9692" spans="1:33" x14ac:dyDescent="0.25">
      <c r="A9692" t="str">
        <f>"1750693842"</f>
        <v>1750693842</v>
      </c>
      <c r="B9692" t="str">
        <f>"03624233"</f>
        <v>03624233</v>
      </c>
      <c r="C9692" t="s">
        <v>13436</v>
      </c>
      <c r="D9692" t="s">
        <v>40457</v>
      </c>
      <c r="E9692" t="s">
        <v>40458</v>
      </c>
      <c r="G9692" t="s">
        <v>40459</v>
      </c>
      <c r="L9692" t="s">
        <v>83</v>
      </c>
      <c r="M9692" t="s">
        <v>85</v>
      </c>
      <c r="R9692" t="s">
        <v>40460</v>
      </c>
      <c r="W9692" t="s">
        <v>40461</v>
      </c>
      <c r="X9692" t="s">
        <v>6014</v>
      </c>
      <c r="Y9692" t="s">
        <v>180</v>
      </c>
      <c r="Z9692" t="s">
        <v>77</v>
      </c>
      <c r="AA9692" t="str">
        <f>"10701-1330"</f>
        <v>10701-1330</v>
      </c>
      <c r="AB9692" t="s">
        <v>78</v>
      </c>
      <c r="AC9692" t="s">
        <v>79</v>
      </c>
      <c r="AD9692" t="s">
        <v>75</v>
      </c>
      <c r="AE9692" t="s">
        <v>80</v>
      </c>
      <c r="AG9692" t="s">
        <v>81</v>
      </c>
    </row>
    <row r="9693" spans="1:33" x14ac:dyDescent="0.25">
      <c r="A9693" t="str">
        <f>"1750700431"</f>
        <v>1750700431</v>
      </c>
      <c r="C9693" t="s">
        <v>13436</v>
      </c>
      <c r="K9693" t="s">
        <v>99</v>
      </c>
      <c r="L9693" t="s">
        <v>102</v>
      </c>
      <c r="M9693" t="s">
        <v>75</v>
      </c>
      <c r="R9693" t="s">
        <v>40462</v>
      </c>
      <c r="S9693" t="s">
        <v>191</v>
      </c>
      <c r="T9693" t="s">
        <v>97</v>
      </c>
      <c r="U9693" t="s">
        <v>77</v>
      </c>
      <c r="V9693" t="str">
        <f>"100191147"</f>
        <v>100191147</v>
      </c>
      <c r="AC9693" t="s">
        <v>79</v>
      </c>
      <c r="AD9693" t="s">
        <v>75</v>
      </c>
      <c r="AE9693" t="s">
        <v>103</v>
      </c>
      <c r="AG9693" t="s">
        <v>81</v>
      </c>
    </row>
    <row r="9694" spans="1:33" x14ac:dyDescent="0.25">
      <c r="A9694" t="str">
        <f>"1750701876"</f>
        <v>1750701876</v>
      </c>
      <c r="C9694" t="s">
        <v>13436</v>
      </c>
      <c r="G9694" t="s">
        <v>40463</v>
      </c>
      <c r="K9694" t="s">
        <v>99</v>
      </c>
      <c r="L9694" t="s">
        <v>102</v>
      </c>
      <c r="M9694" t="s">
        <v>75</v>
      </c>
      <c r="R9694" t="s">
        <v>40464</v>
      </c>
      <c r="S9694" t="s">
        <v>12769</v>
      </c>
      <c r="T9694" t="s">
        <v>4861</v>
      </c>
      <c r="U9694" t="s">
        <v>156</v>
      </c>
      <c r="V9694" t="str">
        <f>"076311808"</f>
        <v>076311808</v>
      </c>
      <c r="AC9694" t="s">
        <v>79</v>
      </c>
      <c r="AD9694" t="s">
        <v>75</v>
      </c>
      <c r="AE9694" t="s">
        <v>103</v>
      </c>
      <c r="AG9694" t="s">
        <v>81</v>
      </c>
    </row>
    <row r="9695" spans="1:33" x14ac:dyDescent="0.25">
      <c r="A9695" t="str">
        <f>"1750708731"</f>
        <v>1750708731</v>
      </c>
      <c r="C9695" t="s">
        <v>13436</v>
      </c>
      <c r="K9695" t="s">
        <v>99</v>
      </c>
      <c r="L9695" t="s">
        <v>102</v>
      </c>
      <c r="M9695" t="s">
        <v>75</v>
      </c>
      <c r="R9695" t="s">
        <v>40465</v>
      </c>
      <c r="S9695" t="s">
        <v>329</v>
      </c>
      <c r="T9695" t="s">
        <v>97</v>
      </c>
      <c r="U9695" t="s">
        <v>77</v>
      </c>
      <c r="V9695" t="str">
        <f>"100296504"</f>
        <v>100296504</v>
      </c>
      <c r="AC9695" t="s">
        <v>79</v>
      </c>
      <c r="AD9695" t="s">
        <v>75</v>
      </c>
      <c r="AE9695" t="s">
        <v>103</v>
      </c>
      <c r="AG9695" t="s">
        <v>81</v>
      </c>
    </row>
    <row r="9696" spans="1:33" x14ac:dyDescent="0.25">
      <c r="A9696" t="str">
        <f>"1750792313"</f>
        <v>1750792313</v>
      </c>
      <c r="C9696" t="s">
        <v>13436</v>
      </c>
      <c r="K9696" t="s">
        <v>99</v>
      </c>
      <c r="L9696" t="s">
        <v>102</v>
      </c>
      <c r="M9696" t="s">
        <v>75</v>
      </c>
      <c r="R9696" t="s">
        <v>40466</v>
      </c>
      <c r="S9696" t="s">
        <v>40467</v>
      </c>
      <c r="T9696" t="s">
        <v>40468</v>
      </c>
      <c r="U9696" t="s">
        <v>1800</v>
      </c>
      <c r="V9696" t="str">
        <f>"801111311"</f>
        <v>801111311</v>
      </c>
      <c r="AC9696" t="s">
        <v>79</v>
      </c>
      <c r="AD9696" t="s">
        <v>75</v>
      </c>
      <c r="AE9696" t="s">
        <v>103</v>
      </c>
      <c r="AG9696" t="s">
        <v>81</v>
      </c>
    </row>
    <row r="9697" spans="1:33" x14ac:dyDescent="0.25">
      <c r="A9697" t="str">
        <f>"1760407449"</f>
        <v>1760407449</v>
      </c>
      <c r="B9697" t="str">
        <f>"03151728"</f>
        <v>03151728</v>
      </c>
      <c r="C9697" t="s">
        <v>13436</v>
      </c>
      <c r="D9697" t="s">
        <v>40469</v>
      </c>
      <c r="E9697" t="s">
        <v>40470</v>
      </c>
      <c r="G9697" t="s">
        <v>40471</v>
      </c>
      <c r="L9697" t="s">
        <v>83</v>
      </c>
      <c r="M9697" t="s">
        <v>85</v>
      </c>
      <c r="R9697" t="s">
        <v>40472</v>
      </c>
      <c r="W9697" t="s">
        <v>40470</v>
      </c>
      <c r="X9697" t="s">
        <v>40473</v>
      </c>
      <c r="Y9697" t="s">
        <v>87</v>
      </c>
      <c r="Z9697" t="s">
        <v>77</v>
      </c>
      <c r="AA9697" t="str">
        <f>"11203-2012"</f>
        <v>11203-2012</v>
      </c>
      <c r="AB9697" t="s">
        <v>78</v>
      </c>
      <c r="AC9697" t="s">
        <v>79</v>
      </c>
      <c r="AD9697" t="s">
        <v>75</v>
      </c>
      <c r="AE9697" t="s">
        <v>80</v>
      </c>
      <c r="AG9697" t="s">
        <v>81</v>
      </c>
    </row>
    <row r="9698" spans="1:33" x14ac:dyDescent="0.25">
      <c r="A9698" t="str">
        <f>"1083703680"</f>
        <v>1083703680</v>
      </c>
      <c r="B9698" t="str">
        <f>"02284417"</f>
        <v>02284417</v>
      </c>
      <c r="C9698" t="s">
        <v>40474</v>
      </c>
      <c r="D9698" t="s">
        <v>40475</v>
      </c>
      <c r="E9698" t="s">
        <v>40476</v>
      </c>
      <c r="G9698" t="s">
        <v>35048</v>
      </c>
      <c r="H9698" t="s">
        <v>35049</v>
      </c>
      <c r="J9698" t="s">
        <v>35050</v>
      </c>
      <c r="L9698" t="s">
        <v>83</v>
      </c>
      <c r="M9698" t="s">
        <v>75</v>
      </c>
      <c r="R9698" t="s">
        <v>40477</v>
      </c>
      <c r="W9698" t="s">
        <v>40476</v>
      </c>
      <c r="X9698" t="s">
        <v>40478</v>
      </c>
      <c r="Y9698" t="s">
        <v>1846</v>
      </c>
      <c r="Z9698" t="s">
        <v>1784</v>
      </c>
      <c r="AA9698" t="str">
        <f>"15213-3108"</f>
        <v>15213-3108</v>
      </c>
      <c r="AB9698" t="s">
        <v>78</v>
      </c>
      <c r="AC9698" t="s">
        <v>79</v>
      </c>
      <c r="AD9698" t="s">
        <v>75</v>
      </c>
      <c r="AE9698" t="s">
        <v>80</v>
      </c>
      <c r="AG9698" t="s">
        <v>81</v>
      </c>
    </row>
    <row r="9699" spans="1:33" x14ac:dyDescent="0.25">
      <c r="A9699" t="str">
        <f>"1629206693"</f>
        <v>1629206693</v>
      </c>
      <c r="B9699" t="str">
        <f>"03716621"</f>
        <v>03716621</v>
      </c>
      <c r="C9699" t="s">
        <v>40479</v>
      </c>
      <c r="D9699" t="s">
        <v>40480</v>
      </c>
      <c r="E9699" t="s">
        <v>40481</v>
      </c>
      <c r="G9699" t="s">
        <v>35048</v>
      </c>
      <c r="H9699" t="s">
        <v>35049</v>
      </c>
      <c r="J9699" t="s">
        <v>35050</v>
      </c>
      <c r="L9699" t="s">
        <v>84</v>
      </c>
      <c r="M9699" t="s">
        <v>85</v>
      </c>
      <c r="R9699" t="s">
        <v>40482</v>
      </c>
      <c r="W9699" t="s">
        <v>40481</v>
      </c>
      <c r="X9699" t="s">
        <v>4446</v>
      </c>
      <c r="Y9699" t="s">
        <v>131</v>
      </c>
      <c r="Z9699" t="s">
        <v>77</v>
      </c>
      <c r="AA9699" t="str">
        <f>"10453-6018"</f>
        <v>10453-6018</v>
      </c>
      <c r="AB9699" t="s">
        <v>78</v>
      </c>
      <c r="AC9699" t="s">
        <v>79</v>
      </c>
      <c r="AD9699" t="s">
        <v>75</v>
      </c>
      <c r="AE9699" t="s">
        <v>80</v>
      </c>
      <c r="AG9699" t="s">
        <v>81</v>
      </c>
    </row>
    <row r="9700" spans="1:33" x14ac:dyDescent="0.25">
      <c r="A9700" t="str">
        <f>"1467693481"</f>
        <v>1467693481</v>
      </c>
      <c r="B9700" t="str">
        <f>"03405649"</f>
        <v>03405649</v>
      </c>
      <c r="C9700" t="s">
        <v>40483</v>
      </c>
      <c r="D9700" t="s">
        <v>40484</v>
      </c>
      <c r="E9700" t="s">
        <v>40485</v>
      </c>
      <c r="G9700" t="s">
        <v>35048</v>
      </c>
      <c r="H9700" t="s">
        <v>35049</v>
      </c>
      <c r="J9700" t="s">
        <v>35050</v>
      </c>
      <c r="L9700" t="s">
        <v>83</v>
      </c>
      <c r="M9700" t="s">
        <v>85</v>
      </c>
      <c r="R9700" t="s">
        <v>40486</v>
      </c>
      <c r="W9700" t="s">
        <v>40485</v>
      </c>
      <c r="X9700" t="s">
        <v>2582</v>
      </c>
      <c r="Y9700" t="s">
        <v>97</v>
      </c>
      <c r="Z9700" t="s">
        <v>77</v>
      </c>
      <c r="AA9700" t="str">
        <f>"10012-2413"</f>
        <v>10012-2413</v>
      </c>
      <c r="AB9700" t="s">
        <v>114</v>
      </c>
      <c r="AC9700" t="s">
        <v>79</v>
      </c>
      <c r="AD9700" t="s">
        <v>75</v>
      </c>
      <c r="AE9700" t="s">
        <v>80</v>
      </c>
      <c r="AG9700" t="s">
        <v>81</v>
      </c>
    </row>
    <row r="9701" spans="1:33" x14ac:dyDescent="0.25">
      <c r="A9701" t="str">
        <f>"1629141486"</f>
        <v>1629141486</v>
      </c>
      <c r="C9701" t="s">
        <v>40487</v>
      </c>
      <c r="G9701" t="s">
        <v>35048</v>
      </c>
      <c r="H9701" t="s">
        <v>35049</v>
      </c>
      <c r="J9701" t="s">
        <v>35050</v>
      </c>
      <c r="K9701" t="s">
        <v>99</v>
      </c>
      <c r="L9701" t="s">
        <v>74</v>
      </c>
      <c r="M9701" t="s">
        <v>75</v>
      </c>
      <c r="R9701" t="s">
        <v>40488</v>
      </c>
      <c r="S9701" t="s">
        <v>40489</v>
      </c>
      <c r="T9701" t="s">
        <v>2593</v>
      </c>
      <c r="U9701" t="s">
        <v>2594</v>
      </c>
      <c r="V9701" t="str">
        <f>"037561000"</f>
        <v>037561000</v>
      </c>
      <c r="AC9701" t="s">
        <v>79</v>
      </c>
      <c r="AD9701" t="s">
        <v>75</v>
      </c>
      <c r="AE9701" t="s">
        <v>103</v>
      </c>
      <c r="AG9701" t="s">
        <v>81</v>
      </c>
    </row>
    <row r="9702" spans="1:33" x14ac:dyDescent="0.25">
      <c r="A9702" t="str">
        <f>"1245442094"</f>
        <v>1245442094</v>
      </c>
      <c r="B9702" t="str">
        <f>"03363279"</f>
        <v>03363279</v>
      </c>
      <c r="C9702" t="s">
        <v>40490</v>
      </c>
      <c r="D9702" t="s">
        <v>40491</v>
      </c>
      <c r="E9702" t="s">
        <v>40492</v>
      </c>
      <c r="G9702" t="s">
        <v>35048</v>
      </c>
      <c r="H9702" t="s">
        <v>35049</v>
      </c>
      <c r="J9702" t="s">
        <v>35050</v>
      </c>
      <c r="L9702" t="s">
        <v>83</v>
      </c>
      <c r="M9702" t="s">
        <v>85</v>
      </c>
      <c r="R9702" t="s">
        <v>40492</v>
      </c>
      <c r="W9702" t="s">
        <v>40492</v>
      </c>
      <c r="X9702" t="s">
        <v>2582</v>
      </c>
      <c r="Y9702" t="s">
        <v>97</v>
      </c>
      <c r="Z9702" t="s">
        <v>77</v>
      </c>
      <c r="AA9702" t="str">
        <f>"10012-2413"</f>
        <v>10012-2413</v>
      </c>
      <c r="AB9702" t="s">
        <v>78</v>
      </c>
      <c r="AC9702" t="s">
        <v>79</v>
      </c>
      <c r="AD9702" t="s">
        <v>75</v>
      </c>
      <c r="AE9702" t="s">
        <v>80</v>
      </c>
      <c r="AG9702" t="s">
        <v>81</v>
      </c>
    </row>
    <row r="9703" spans="1:33" x14ac:dyDescent="0.25">
      <c r="A9703" t="str">
        <f>"1275603474"</f>
        <v>1275603474</v>
      </c>
      <c r="B9703" t="str">
        <f>"02697125"</f>
        <v>02697125</v>
      </c>
      <c r="C9703" t="s">
        <v>40493</v>
      </c>
      <c r="D9703" t="s">
        <v>40494</v>
      </c>
      <c r="E9703" t="s">
        <v>40495</v>
      </c>
      <c r="G9703" t="s">
        <v>35048</v>
      </c>
      <c r="H9703" t="s">
        <v>35049</v>
      </c>
      <c r="J9703" t="s">
        <v>35050</v>
      </c>
      <c r="L9703" t="s">
        <v>84</v>
      </c>
      <c r="M9703" t="s">
        <v>75</v>
      </c>
      <c r="R9703" t="s">
        <v>40496</v>
      </c>
      <c r="W9703" t="s">
        <v>40495</v>
      </c>
      <c r="X9703" t="s">
        <v>130</v>
      </c>
      <c r="Y9703" t="s">
        <v>131</v>
      </c>
      <c r="Z9703" t="s">
        <v>77</v>
      </c>
      <c r="AA9703" t="str">
        <f>"10461-1138"</f>
        <v>10461-1138</v>
      </c>
      <c r="AB9703" t="s">
        <v>78</v>
      </c>
      <c r="AC9703" t="s">
        <v>79</v>
      </c>
      <c r="AD9703" t="s">
        <v>75</v>
      </c>
      <c r="AE9703" t="s">
        <v>80</v>
      </c>
      <c r="AG9703" t="s">
        <v>81</v>
      </c>
    </row>
    <row r="9704" spans="1:33" x14ac:dyDescent="0.25">
      <c r="A9704" t="str">
        <f>"1265429856"</f>
        <v>1265429856</v>
      </c>
      <c r="B9704" t="str">
        <f>"02994934"</f>
        <v>02994934</v>
      </c>
      <c r="C9704" t="s">
        <v>40497</v>
      </c>
      <c r="D9704" t="s">
        <v>2123</v>
      </c>
      <c r="E9704" t="s">
        <v>2124</v>
      </c>
      <c r="L9704" t="s">
        <v>106</v>
      </c>
      <c r="M9704" t="s">
        <v>85</v>
      </c>
      <c r="R9704" t="s">
        <v>2125</v>
      </c>
      <c r="W9704" t="s">
        <v>2126</v>
      </c>
      <c r="X9704" t="s">
        <v>2127</v>
      </c>
      <c r="Y9704" t="s">
        <v>2128</v>
      </c>
      <c r="Z9704" t="s">
        <v>77</v>
      </c>
      <c r="AA9704" t="str">
        <f>"11743-4543"</f>
        <v>11743-4543</v>
      </c>
      <c r="AB9704" t="s">
        <v>107</v>
      </c>
      <c r="AC9704" t="s">
        <v>79</v>
      </c>
      <c r="AD9704" t="s">
        <v>75</v>
      </c>
      <c r="AE9704" t="s">
        <v>80</v>
      </c>
      <c r="AG9704" t="s">
        <v>81</v>
      </c>
    </row>
    <row r="9705" spans="1:33" x14ac:dyDescent="0.25">
      <c r="A9705" t="str">
        <f>"1649690132"</f>
        <v>1649690132</v>
      </c>
      <c r="C9705" t="s">
        <v>13436</v>
      </c>
      <c r="K9705" t="s">
        <v>99</v>
      </c>
      <c r="L9705" t="s">
        <v>102</v>
      </c>
      <c r="M9705" t="s">
        <v>75</v>
      </c>
      <c r="R9705" t="s">
        <v>40498</v>
      </c>
      <c r="S9705" t="s">
        <v>29444</v>
      </c>
      <c r="T9705" t="s">
        <v>97</v>
      </c>
      <c r="U9705" t="s">
        <v>77</v>
      </c>
      <c r="V9705" t="str">
        <f>"100296504"</f>
        <v>100296504</v>
      </c>
      <c r="AC9705" t="s">
        <v>79</v>
      </c>
      <c r="AD9705" t="s">
        <v>75</v>
      </c>
      <c r="AE9705" t="s">
        <v>103</v>
      </c>
      <c r="AG9705" t="s">
        <v>81</v>
      </c>
    </row>
    <row r="9706" spans="1:33" x14ac:dyDescent="0.25">
      <c r="A9706" t="str">
        <f>"1649697095"</f>
        <v>1649697095</v>
      </c>
      <c r="C9706" t="s">
        <v>13436</v>
      </c>
      <c r="K9706" t="s">
        <v>99</v>
      </c>
      <c r="L9706" t="s">
        <v>102</v>
      </c>
      <c r="M9706" t="s">
        <v>75</v>
      </c>
      <c r="R9706" t="s">
        <v>40499</v>
      </c>
      <c r="S9706" t="s">
        <v>32043</v>
      </c>
      <c r="T9706" t="s">
        <v>97</v>
      </c>
      <c r="U9706" t="s">
        <v>77</v>
      </c>
      <c r="V9706" t="str">
        <f>"100296504"</f>
        <v>100296504</v>
      </c>
      <c r="AC9706" t="s">
        <v>79</v>
      </c>
      <c r="AD9706" t="s">
        <v>75</v>
      </c>
      <c r="AE9706" t="s">
        <v>103</v>
      </c>
      <c r="AG9706" t="s">
        <v>81</v>
      </c>
    </row>
    <row r="9707" spans="1:33" x14ac:dyDescent="0.25">
      <c r="A9707" t="str">
        <f>"1649698259"</f>
        <v>1649698259</v>
      </c>
      <c r="C9707" t="s">
        <v>13436</v>
      </c>
      <c r="K9707" t="s">
        <v>99</v>
      </c>
      <c r="L9707" t="s">
        <v>102</v>
      </c>
      <c r="M9707" t="s">
        <v>75</v>
      </c>
      <c r="R9707" t="s">
        <v>40500</v>
      </c>
      <c r="S9707" t="s">
        <v>37016</v>
      </c>
      <c r="T9707" t="s">
        <v>97</v>
      </c>
      <c r="U9707" t="s">
        <v>77</v>
      </c>
      <c r="V9707" t="str">
        <f>"100295204"</f>
        <v>100295204</v>
      </c>
      <c r="AC9707" t="s">
        <v>79</v>
      </c>
      <c r="AD9707" t="s">
        <v>75</v>
      </c>
      <c r="AE9707" t="s">
        <v>103</v>
      </c>
      <c r="AG9707" t="s">
        <v>81</v>
      </c>
    </row>
    <row r="9708" spans="1:33" x14ac:dyDescent="0.25">
      <c r="A9708" t="str">
        <f>"1649699570"</f>
        <v>1649699570</v>
      </c>
      <c r="C9708" t="s">
        <v>13436</v>
      </c>
      <c r="K9708" t="s">
        <v>99</v>
      </c>
      <c r="L9708" t="s">
        <v>102</v>
      </c>
      <c r="M9708" t="s">
        <v>75</v>
      </c>
      <c r="R9708" t="s">
        <v>40501</v>
      </c>
      <c r="S9708" t="s">
        <v>2629</v>
      </c>
      <c r="T9708" t="s">
        <v>142</v>
      </c>
      <c r="U9708" t="s">
        <v>77</v>
      </c>
      <c r="V9708" t="str">
        <f>"132102306"</f>
        <v>132102306</v>
      </c>
      <c r="AC9708" t="s">
        <v>79</v>
      </c>
      <c r="AD9708" t="s">
        <v>75</v>
      </c>
      <c r="AE9708" t="s">
        <v>103</v>
      </c>
      <c r="AG9708" t="s">
        <v>81</v>
      </c>
    </row>
    <row r="9709" spans="1:33" x14ac:dyDescent="0.25">
      <c r="A9709" t="str">
        <f>"1659332864"</f>
        <v>1659332864</v>
      </c>
      <c r="B9709" t="str">
        <f>"01355884"</f>
        <v>01355884</v>
      </c>
      <c r="C9709" t="s">
        <v>13436</v>
      </c>
      <c r="D9709" t="s">
        <v>40502</v>
      </c>
      <c r="E9709" t="s">
        <v>40503</v>
      </c>
      <c r="G9709" t="s">
        <v>40504</v>
      </c>
      <c r="L9709" t="s">
        <v>83</v>
      </c>
      <c r="M9709" t="s">
        <v>85</v>
      </c>
      <c r="R9709" t="s">
        <v>40505</v>
      </c>
      <c r="W9709" t="s">
        <v>40503</v>
      </c>
      <c r="X9709" t="s">
        <v>3006</v>
      </c>
      <c r="Y9709" t="s">
        <v>131</v>
      </c>
      <c r="Z9709" t="s">
        <v>77</v>
      </c>
      <c r="AA9709" t="str">
        <f>"10457"</f>
        <v>10457</v>
      </c>
      <c r="AB9709" t="s">
        <v>78</v>
      </c>
      <c r="AC9709" t="s">
        <v>79</v>
      </c>
      <c r="AD9709" t="s">
        <v>75</v>
      </c>
      <c r="AE9709" t="s">
        <v>80</v>
      </c>
      <c r="AG9709" t="s">
        <v>81</v>
      </c>
    </row>
    <row r="9710" spans="1:33" x14ac:dyDescent="0.25">
      <c r="A9710" t="str">
        <f>"1700847753"</f>
        <v>1700847753</v>
      </c>
      <c r="B9710" t="str">
        <f>"03258720"</f>
        <v>03258720</v>
      </c>
      <c r="C9710" t="s">
        <v>13436</v>
      </c>
      <c r="D9710" t="s">
        <v>40506</v>
      </c>
      <c r="E9710" t="s">
        <v>40507</v>
      </c>
      <c r="G9710" t="s">
        <v>40508</v>
      </c>
      <c r="L9710" t="s">
        <v>83</v>
      </c>
      <c r="M9710" t="s">
        <v>85</v>
      </c>
      <c r="R9710" t="s">
        <v>40509</v>
      </c>
      <c r="W9710" t="s">
        <v>40510</v>
      </c>
      <c r="X9710" t="s">
        <v>4029</v>
      </c>
      <c r="Y9710" t="s">
        <v>97</v>
      </c>
      <c r="Z9710" t="s">
        <v>77</v>
      </c>
      <c r="AA9710" t="str">
        <f>"10029-6503"</f>
        <v>10029-6503</v>
      </c>
      <c r="AB9710" t="s">
        <v>78</v>
      </c>
      <c r="AC9710" t="s">
        <v>79</v>
      </c>
      <c r="AD9710" t="s">
        <v>75</v>
      </c>
      <c r="AE9710" t="s">
        <v>80</v>
      </c>
      <c r="AG9710" t="s">
        <v>81</v>
      </c>
    </row>
    <row r="9711" spans="1:33" x14ac:dyDescent="0.25">
      <c r="A9711" t="str">
        <f>"1700849130"</f>
        <v>1700849130</v>
      </c>
      <c r="B9711" t="str">
        <f>"00155995"</f>
        <v>00155995</v>
      </c>
      <c r="C9711" t="s">
        <v>13436</v>
      </c>
      <c r="D9711" t="s">
        <v>40511</v>
      </c>
      <c r="E9711" t="s">
        <v>40512</v>
      </c>
      <c r="G9711" t="s">
        <v>40513</v>
      </c>
      <c r="L9711" t="s">
        <v>83</v>
      </c>
      <c r="M9711" t="s">
        <v>85</v>
      </c>
      <c r="R9711" t="s">
        <v>40514</v>
      </c>
      <c r="W9711" t="s">
        <v>40515</v>
      </c>
      <c r="X9711" t="s">
        <v>40516</v>
      </c>
      <c r="Y9711" t="s">
        <v>97</v>
      </c>
      <c r="Z9711" t="s">
        <v>77</v>
      </c>
      <c r="AA9711" t="str">
        <f>"10029-6501"</f>
        <v>10029-6501</v>
      </c>
      <c r="AB9711" t="s">
        <v>78</v>
      </c>
      <c r="AC9711" t="s">
        <v>79</v>
      </c>
      <c r="AD9711" t="s">
        <v>75</v>
      </c>
      <c r="AE9711" t="s">
        <v>80</v>
      </c>
      <c r="AG9711" t="s">
        <v>81</v>
      </c>
    </row>
    <row r="9712" spans="1:33" x14ac:dyDescent="0.25">
      <c r="A9712" t="str">
        <f>"1750481073"</f>
        <v>1750481073</v>
      </c>
      <c r="B9712" t="str">
        <f>"02349975"</f>
        <v>02349975</v>
      </c>
      <c r="C9712" t="s">
        <v>13436</v>
      </c>
      <c r="D9712" t="s">
        <v>40517</v>
      </c>
      <c r="E9712" t="s">
        <v>40518</v>
      </c>
      <c r="G9712" t="s">
        <v>40519</v>
      </c>
      <c r="L9712" t="s">
        <v>83</v>
      </c>
      <c r="M9712" t="s">
        <v>75</v>
      </c>
      <c r="R9712" t="s">
        <v>40520</v>
      </c>
      <c r="W9712" t="s">
        <v>40518</v>
      </c>
      <c r="X9712" t="s">
        <v>2926</v>
      </c>
      <c r="Y9712" t="s">
        <v>97</v>
      </c>
      <c r="Z9712" t="s">
        <v>77</v>
      </c>
      <c r="AA9712" t="str">
        <f>"10029-6503"</f>
        <v>10029-6503</v>
      </c>
      <c r="AB9712" t="s">
        <v>114</v>
      </c>
      <c r="AC9712" t="s">
        <v>79</v>
      </c>
      <c r="AD9712" t="s">
        <v>75</v>
      </c>
      <c r="AE9712" t="s">
        <v>80</v>
      </c>
      <c r="AG9712" t="s">
        <v>81</v>
      </c>
    </row>
    <row r="9713" spans="1:33" x14ac:dyDescent="0.25">
      <c r="A9713" t="str">
        <f>"1750482402"</f>
        <v>1750482402</v>
      </c>
      <c r="B9713" t="str">
        <f>"01850357"</f>
        <v>01850357</v>
      </c>
      <c r="C9713" t="s">
        <v>13436</v>
      </c>
      <c r="D9713" t="s">
        <v>40521</v>
      </c>
      <c r="E9713" t="s">
        <v>40522</v>
      </c>
      <c r="G9713" t="s">
        <v>40523</v>
      </c>
      <c r="L9713" t="s">
        <v>84</v>
      </c>
      <c r="M9713" t="s">
        <v>85</v>
      </c>
      <c r="R9713" t="s">
        <v>40522</v>
      </c>
      <c r="W9713" t="s">
        <v>40522</v>
      </c>
      <c r="X9713" t="s">
        <v>40522</v>
      </c>
      <c r="Y9713" t="s">
        <v>152</v>
      </c>
      <c r="Z9713" t="s">
        <v>77</v>
      </c>
      <c r="AA9713" t="str">
        <f>"11375-3787"</f>
        <v>11375-3787</v>
      </c>
      <c r="AB9713" t="s">
        <v>78</v>
      </c>
      <c r="AC9713" t="s">
        <v>79</v>
      </c>
      <c r="AD9713" t="s">
        <v>75</v>
      </c>
      <c r="AE9713" t="s">
        <v>80</v>
      </c>
      <c r="AG9713" t="s">
        <v>81</v>
      </c>
    </row>
    <row r="9714" spans="1:33" x14ac:dyDescent="0.25">
      <c r="A9714" t="str">
        <f>"1750483335"</f>
        <v>1750483335</v>
      </c>
      <c r="B9714" t="str">
        <f>"02915039"</f>
        <v>02915039</v>
      </c>
      <c r="C9714" t="s">
        <v>13436</v>
      </c>
      <c r="D9714" t="s">
        <v>40524</v>
      </c>
      <c r="E9714" t="s">
        <v>40525</v>
      </c>
      <c r="G9714" t="s">
        <v>40526</v>
      </c>
      <c r="L9714" t="s">
        <v>83</v>
      </c>
      <c r="M9714" t="s">
        <v>85</v>
      </c>
      <c r="R9714" t="s">
        <v>40527</v>
      </c>
      <c r="W9714" t="s">
        <v>40525</v>
      </c>
      <c r="X9714" t="s">
        <v>329</v>
      </c>
      <c r="Y9714" t="s">
        <v>97</v>
      </c>
      <c r="Z9714" t="s">
        <v>77</v>
      </c>
      <c r="AA9714" t="str">
        <f>"10029-6500"</f>
        <v>10029-6500</v>
      </c>
      <c r="AB9714" t="s">
        <v>78</v>
      </c>
      <c r="AC9714" t="s">
        <v>79</v>
      </c>
      <c r="AD9714" t="s">
        <v>75</v>
      </c>
      <c r="AE9714" t="s">
        <v>80</v>
      </c>
      <c r="AG9714" t="s">
        <v>81</v>
      </c>
    </row>
    <row r="9715" spans="1:33" x14ac:dyDescent="0.25">
      <c r="A9715" t="str">
        <f>"1750483632"</f>
        <v>1750483632</v>
      </c>
      <c r="B9715" t="str">
        <f>"03483869"</f>
        <v>03483869</v>
      </c>
      <c r="C9715" t="s">
        <v>13436</v>
      </c>
      <c r="D9715" t="s">
        <v>40528</v>
      </c>
      <c r="E9715" t="s">
        <v>40529</v>
      </c>
      <c r="G9715" t="s">
        <v>40530</v>
      </c>
      <c r="L9715" t="s">
        <v>83</v>
      </c>
      <c r="M9715" t="s">
        <v>75</v>
      </c>
      <c r="R9715" t="s">
        <v>40531</v>
      </c>
      <c r="W9715" t="s">
        <v>40529</v>
      </c>
      <c r="X9715" t="s">
        <v>329</v>
      </c>
      <c r="Y9715" t="s">
        <v>97</v>
      </c>
      <c r="Z9715" t="s">
        <v>77</v>
      </c>
      <c r="AA9715" t="str">
        <f>"10029-6500"</f>
        <v>10029-6500</v>
      </c>
      <c r="AB9715" t="s">
        <v>78</v>
      </c>
      <c r="AC9715" t="s">
        <v>79</v>
      </c>
      <c r="AD9715" t="s">
        <v>75</v>
      </c>
      <c r="AE9715" t="s">
        <v>80</v>
      </c>
      <c r="AG9715" t="s">
        <v>81</v>
      </c>
    </row>
    <row r="9716" spans="1:33" x14ac:dyDescent="0.25">
      <c r="A9716" t="str">
        <f>"1629495916"</f>
        <v>1629495916</v>
      </c>
      <c r="C9716" t="s">
        <v>13436</v>
      </c>
      <c r="K9716" t="s">
        <v>99</v>
      </c>
      <c r="L9716" t="s">
        <v>102</v>
      </c>
      <c r="M9716" t="s">
        <v>75</v>
      </c>
      <c r="R9716" t="s">
        <v>40532</v>
      </c>
      <c r="S9716" t="s">
        <v>40533</v>
      </c>
      <c r="T9716" t="s">
        <v>139</v>
      </c>
      <c r="U9716" t="s">
        <v>77</v>
      </c>
      <c r="V9716" t="str">
        <f>"113542444"</f>
        <v>113542444</v>
      </c>
      <c r="AC9716" t="s">
        <v>79</v>
      </c>
      <c r="AD9716" t="s">
        <v>75</v>
      </c>
      <c r="AE9716" t="s">
        <v>103</v>
      </c>
      <c r="AG9716" t="s">
        <v>81</v>
      </c>
    </row>
    <row r="9717" spans="1:33" x14ac:dyDescent="0.25">
      <c r="A9717" t="str">
        <f>"1578905212"</f>
        <v>1578905212</v>
      </c>
      <c r="B9717" t="str">
        <f>"03720376"</f>
        <v>03720376</v>
      </c>
      <c r="C9717" t="s">
        <v>39807</v>
      </c>
      <c r="D9717" t="s">
        <v>40534</v>
      </c>
      <c r="E9717" t="s">
        <v>40535</v>
      </c>
      <c r="G9717" t="s">
        <v>40536</v>
      </c>
      <c r="H9717" t="s">
        <v>40537</v>
      </c>
      <c r="J9717" t="s">
        <v>40538</v>
      </c>
      <c r="L9717" t="s">
        <v>10</v>
      </c>
      <c r="M9717" t="s">
        <v>75</v>
      </c>
      <c r="R9717" t="s">
        <v>40539</v>
      </c>
      <c r="W9717" t="s">
        <v>40535</v>
      </c>
      <c r="X9717" t="s">
        <v>40540</v>
      </c>
      <c r="Y9717" t="s">
        <v>87</v>
      </c>
      <c r="Z9717" t="s">
        <v>77</v>
      </c>
      <c r="AA9717" t="str">
        <f>"11212-5745"</f>
        <v>11212-5745</v>
      </c>
      <c r="AB9717" t="s">
        <v>98</v>
      </c>
      <c r="AC9717" t="s">
        <v>79</v>
      </c>
      <c r="AD9717" t="s">
        <v>75</v>
      </c>
      <c r="AE9717" t="s">
        <v>80</v>
      </c>
      <c r="AG9717" t="s">
        <v>81</v>
      </c>
    </row>
    <row r="9718" spans="1:33" x14ac:dyDescent="0.25">
      <c r="A9718" t="str">
        <f>"1083733596"</f>
        <v>1083733596</v>
      </c>
      <c r="B9718" t="str">
        <f>"00328056"</f>
        <v>00328056</v>
      </c>
      <c r="C9718" t="s">
        <v>39807</v>
      </c>
      <c r="D9718" t="s">
        <v>40541</v>
      </c>
      <c r="E9718" t="s">
        <v>40542</v>
      </c>
      <c r="G9718" t="s">
        <v>40543</v>
      </c>
      <c r="H9718" t="s">
        <v>40544</v>
      </c>
      <c r="J9718" t="s">
        <v>40545</v>
      </c>
      <c r="L9718" t="s">
        <v>102</v>
      </c>
      <c r="M9718" t="s">
        <v>85</v>
      </c>
      <c r="R9718" t="s">
        <v>40546</v>
      </c>
      <c r="W9718" t="s">
        <v>40542</v>
      </c>
      <c r="X9718" t="s">
        <v>40547</v>
      </c>
      <c r="Y9718" t="s">
        <v>3381</v>
      </c>
      <c r="Z9718" t="s">
        <v>77</v>
      </c>
      <c r="AA9718" t="str">
        <f>"10570-2344"</f>
        <v>10570-2344</v>
      </c>
      <c r="AB9718" t="s">
        <v>133</v>
      </c>
      <c r="AC9718" t="s">
        <v>79</v>
      </c>
      <c r="AD9718" t="s">
        <v>75</v>
      </c>
      <c r="AE9718" t="s">
        <v>80</v>
      </c>
      <c r="AG9718" t="s">
        <v>81</v>
      </c>
    </row>
    <row r="9719" spans="1:33" x14ac:dyDescent="0.25">
      <c r="A9719" t="str">
        <f>"1770873580"</f>
        <v>1770873580</v>
      </c>
      <c r="B9719" t="str">
        <f>"03714812"</f>
        <v>03714812</v>
      </c>
      <c r="C9719" t="s">
        <v>13436</v>
      </c>
      <c r="D9719" t="s">
        <v>40548</v>
      </c>
      <c r="E9719" t="s">
        <v>40549</v>
      </c>
      <c r="L9719" t="s">
        <v>74</v>
      </c>
      <c r="M9719" t="s">
        <v>75</v>
      </c>
      <c r="R9719" t="s">
        <v>40550</v>
      </c>
      <c r="W9719" t="s">
        <v>40549</v>
      </c>
      <c r="X9719" t="s">
        <v>329</v>
      </c>
      <c r="Y9719" t="s">
        <v>97</v>
      </c>
      <c r="Z9719" t="s">
        <v>77</v>
      </c>
      <c r="AA9719" t="str">
        <f>"10029-6504"</f>
        <v>10029-6504</v>
      </c>
      <c r="AB9719" t="s">
        <v>78</v>
      </c>
      <c r="AC9719" t="s">
        <v>79</v>
      </c>
      <c r="AD9719" t="s">
        <v>75</v>
      </c>
      <c r="AE9719" t="s">
        <v>80</v>
      </c>
      <c r="AG9719" t="s">
        <v>81</v>
      </c>
    </row>
    <row r="9720" spans="1:33" x14ac:dyDescent="0.25">
      <c r="A9720" t="str">
        <f>"1770882060"</f>
        <v>1770882060</v>
      </c>
      <c r="B9720" t="str">
        <f>"04149840"</f>
        <v>04149840</v>
      </c>
      <c r="C9720" t="s">
        <v>13436</v>
      </c>
      <c r="D9720" t="s">
        <v>40551</v>
      </c>
      <c r="E9720" t="s">
        <v>40552</v>
      </c>
      <c r="L9720" t="s">
        <v>74</v>
      </c>
      <c r="M9720" t="s">
        <v>75</v>
      </c>
      <c r="R9720" t="s">
        <v>40553</v>
      </c>
      <c r="W9720" t="s">
        <v>40552</v>
      </c>
      <c r="X9720" t="s">
        <v>329</v>
      </c>
      <c r="Y9720" t="s">
        <v>97</v>
      </c>
      <c r="Z9720" t="s">
        <v>77</v>
      </c>
      <c r="AA9720" t="str">
        <f>"10029-6504"</f>
        <v>10029-6504</v>
      </c>
      <c r="AB9720" t="s">
        <v>78</v>
      </c>
      <c r="AC9720" t="s">
        <v>79</v>
      </c>
      <c r="AD9720" t="s">
        <v>75</v>
      </c>
      <c r="AE9720" t="s">
        <v>80</v>
      </c>
      <c r="AG9720" t="s">
        <v>81</v>
      </c>
    </row>
    <row r="9721" spans="1:33" x14ac:dyDescent="0.25">
      <c r="A9721" t="str">
        <f>"1780615369"</f>
        <v>1780615369</v>
      </c>
      <c r="B9721" t="str">
        <f>"02203496"</f>
        <v>02203496</v>
      </c>
      <c r="C9721" t="s">
        <v>13436</v>
      </c>
      <c r="D9721" t="s">
        <v>40554</v>
      </c>
      <c r="E9721" t="s">
        <v>40555</v>
      </c>
      <c r="G9721" t="s">
        <v>40556</v>
      </c>
      <c r="L9721" t="s">
        <v>84</v>
      </c>
      <c r="M9721" t="s">
        <v>85</v>
      </c>
      <c r="R9721" t="s">
        <v>40557</v>
      </c>
      <c r="W9721" t="s">
        <v>40555</v>
      </c>
      <c r="X9721" t="s">
        <v>329</v>
      </c>
      <c r="Y9721" t="s">
        <v>97</v>
      </c>
      <c r="Z9721" t="s">
        <v>77</v>
      </c>
      <c r="AA9721" t="str">
        <f>"10029-6504"</f>
        <v>10029-6504</v>
      </c>
      <c r="AB9721" t="s">
        <v>78</v>
      </c>
      <c r="AC9721" t="s">
        <v>79</v>
      </c>
      <c r="AD9721" t="s">
        <v>75</v>
      </c>
      <c r="AE9721" t="s">
        <v>80</v>
      </c>
      <c r="AG9721" t="s">
        <v>81</v>
      </c>
    </row>
    <row r="9722" spans="1:33" x14ac:dyDescent="0.25">
      <c r="A9722" t="str">
        <f>"1629148713"</f>
        <v>1629148713</v>
      </c>
      <c r="B9722" t="str">
        <f>"03760074"</f>
        <v>03760074</v>
      </c>
      <c r="C9722" t="s">
        <v>13436</v>
      </c>
      <c r="D9722" t="s">
        <v>40558</v>
      </c>
      <c r="E9722" t="s">
        <v>40559</v>
      </c>
      <c r="G9722" t="s">
        <v>40560</v>
      </c>
      <c r="L9722" t="s">
        <v>105</v>
      </c>
      <c r="M9722" t="s">
        <v>75</v>
      </c>
      <c r="R9722" t="s">
        <v>40561</v>
      </c>
      <c r="W9722" t="s">
        <v>40559</v>
      </c>
      <c r="X9722" t="s">
        <v>40562</v>
      </c>
      <c r="Y9722" t="s">
        <v>87</v>
      </c>
      <c r="Z9722" t="s">
        <v>77</v>
      </c>
      <c r="AA9722" t="str">
        <f>"11219-5213"</f>
        <v>11219-5213</v>
      </c>
      <c r="AB9722" t="s">
        <v>78</v>
      </c>
      <c r="AC9722" t="s">
        <v>79</v>
      </c>
      <c r="AD9722" t="s">
        <v>75</v>
      </c>
      <c r="AE9722" t="s">
        <v>80</v>
      </c>
      <c r="AG9722" t="s">
        <v>81</v>
      </c>
    </row>
    <row r="9723" spans="1:33" x14ac:dyDescent="0.25">
      <c r="A9723" t="str">
        <f>"1386054229"</f>
        <v>1386054229</v>
      </c>
      <c r="B9723" t="str">
        <f>"04054486"</f>
        <v>04054486</v>
      </c>
      <c r="C9723" t="s">
        <v>13436</v>
      </c>
      <c r="D9723" t="s">
        <v>40563</v>
      </c>
      <c r="E9723" t="s">
        <v>40564</v>
      </c>
      <c r="G9723" t="s">
        <v>40565</v>
      </c>
      <c r="L9723" t="s">
        <v>102</v>
      </c>
      <c r="M9723" t="s">
        <v>75</v>
      </c>
      <c r="R9723" t="s">
        <v>40566</v>
      </c>
      <c r="W9723" t="s">
        <v>40564</v>
      </c>
      <c r="X9723" t="s">
        <v>1076</v>
      </c>
      <c r="Y9723" t="s">
        <v>97</v>
      </c>
      <c r="Z9723" t="s">
        <v>77</v>
      </c>
      <c r="AA9723" t="str">
        <f>"10025-1737"</f>
        <v>10025-1737</v>
      </c>
      <c r="AB9723" t="s">
        <v>125</v>
      </c>
      <c r="AC9723" t="s">
        <v>79</v>
      </c>
      <c r="AD9723" t="s">
        <v>75</v>
      </c>
      <c r="AE9723" t="s">
        <v>80</v>
      </c>
      <c r="AG9723" t="s">
        <v>81</v>
      </c>
    </row>
    <row r="9724" spans="1:33" x14ac:dyDescent="0.25">
      <c r="A9724" t="str">
        <f>"1184967556"</f>
        <v>1184967556</v>
      </c>
      <c r="C9724" t="s">
        <v>13436</v>
      </c>
      <c r="G9724" t="s">
        <v>40567</v>
      </c>
      <c r="K9724" t="s">
        <v>99</v>
      </c>
      <c r="L9724" t="s">
        <v>102</v>
      </c>
      <c r="M9724" t="s">
        <v>75</v>
      </c>
      <c r="R9724" t="s">
        <v>40568</v>
      </c>
      <c r="S9724" t="s">
        <v>40569</v>
      </c>
      <c r="T9724" t="s">
        <v>97</v>
      </c>
      <c r="U9724" t="s">
        <v>77</v>
      </c>
      <c r="V9724" t="str">
        <f>"100323724"</f>
        <v>100323724</v>
      </c>
      <c r="AC9724" t="s">
        <v>79</v>
      </c>
      <c r="AD9724" t="s">
        <v>75</v>
      </c>
      <c r="AE9724" t="s">
        <v>103</v>
      </c>
      <c r="AG9724" t="s">
        <v>81</v>
      </c>
    </row>
    <row r="9725" spans="1:33" x14ac:dyDescent="0.25">
      <c r="A9725" t="str">
        <f>"1629163563"</f>
        <v>1629163563</v>
      </c>
      <c r="B9725" t="str">
        <f>"00328116"</f>
        <v>00328116</v>
      </c>
      <c r="C9725" t="s">
        <v>40570</v>
      </c>
      <c r="D9725" t="s">
        <v>1405</v>
      </c>
      <c r="E9725" t="s">
        <v>1404</v>
      </c>
      <c r="G9725" t="s">
        <v>40571</v>
      </c>
      <c r="H9725" t="s">
        <v>1406</v>
      </c>
      <c r="J9725" t="s">
        <v>40572</v>
      </c>
      <c r="L9725" t="s">
        <v>102</v>
      </c>
      <c r="M9725" t="s">
        <v>85</v>
      </c>
      <c r="R9725" t="s">
        <v>1404</v>
      </c>
      <c r="W9725" t="s">
        <v>1404</v>
      </c>
      <c r="X9725" t="s">
        <v>1407</v>
      </c>
      <c r="Y9725" t="s">
        <v>91</v>
      </c>
      <c r="Z9725" t="s">
        <v>77</v>
      </c>
      <c r="AA9725" t="str">
        <f>"11373-2459"</f>
        <v>11373-2459</v>
      </c>
      <c r="AB9725" t="s">
        <v>133</v>
      </c>
      <c r="AC9725" t="s">
        <v>79</v>
      </c>
      <c r="AD9725" t="s">
        <v>75</v>
      </c>
      <c r="AE9725" t="s">
        <v>80</v>
      </c>
      <c r="AG9725" t="s">
        <v>81</v>
      </c>
    </row>
    <row r="9726" spans="1:33" x14ac:dyDescent="0.25">
      <c r="A9726" t="str">
        <f>"1780917534"</f>
        <v>1780917534</v>
      </c>
      <c r="B9726" t="str">
        <f>"03195993"</f>
        <v>03195993</v>
      </c>
      <c r="C9726" t="s">
        <v>39767</v>
      </c>
      <c r="D9726" t="s">
        <v>3376</v>
      </c>
      <c r="E9726" t="s">
        <v>3377</v>
      </c>
      <c r="F9726">
        <v>131991946</v>
      </c>
      <c r="G9726" t="s">
        <v>39768</v>
      </c>
      <c r="H9726" t="s">
        <v>3150</v>
      </c>
      <c r="J9726" t="s">
        <v>3151</v>
      </c>
      <c r="L9726" t="s">
        <v>104</v>
      </c>
      <c r="M9726" t="s">
        <v>85</v>
      </c>
      <c r="R9726" t="s">
        <v>3382</v>
      </c>
      <c r="W9726" t="s">
        <v>3377</v>
      </c>
      <c r="X9726" t="s">
        <v>3383</v>
      </c>
      <c r="Y9726" t="s">
        <v>3381</v>
      </c>
      <c r="Z9726" t="s">
        <v>77</v>
      </c>
      <c r="AA9726" t="str">
        <f>"10570-3135"</f>
        <v>10570-3135</v>
      </c>
      <c r="AB9726" t="s">
        <v>98</v>
      </c>
      <c r="AC9726" t="s">
        <v>79</v>
      </c>
      <c r="AD9726" t="s">
        <v>75</v>
      </c>
      <c r="AE9726" t="s">
        <v>80</v>
      </c>
      <c r="AG9726" t="s">
        <v>81</v>
      </c>
    </row>
    <row r="9727" spans="1:33" x14ac:dyDescent="0.25">
      <c r="B9727" t="str">
        <f>"00644642"</f>
        <v>00644642</v>
      </c>
      <c r="C9727" t="s">
        <v>40573</v>
      </c>
      <c r="D9727" t="s">
        <v>40574</v>
      </c>
      <c r="E9727" t="s">
        <v>40575</v>
      </c>
      <c r="G9727" t="s">
        <v>35048</v>
      </c>
      <c r="H9727" t="s">
        <v>35049</v>
      </c>
      <c r="J9727" t="s">
        <v>35050</v>
      </c>
      <c r="L9727" t="s">
        <v>102</v>
      </c>
      <c r="M9727" t="s">
        <v>75</v>
      </c>
      <c r="W9727" t="s">
        <v>40575</v>
      </c>
      <c r="X9727" t="s">
        <v>40576</v>
      </c>
      <c r="Y9727" t="s">
        <v>90</v>
      </c>
      <c r="Z9727" t="s">
        <v>77</v>
      </c>
      <c r="AA9727" t="str">
        <f>"12901-2709"</f>
        <v>12901-2709</v>
      </c>
      <c r="AB9727" t="s">
        <v>78</v>
      </c>
      <c r="AC9727" t="s">
        <v>79</v>
      </c>
      <c r="AD9727" t="s">
        <v>75</v>
      </c>
      <c r="AE9727" t="s">
        <v>80</v>
      </c>
      <c r="AG9727" t="s">
        <v>81</v>
      </c>
    </row>
    <row r="9728" spans="1:33" x14ac:dyDescent="0.25">
      <c r="A9728" t="str">
        <f>"1033193768"</f>
        <v>1033193768</v>
      </c>
      <c r="B9728" t="str">
        <f>"02766681"</f>
        <v>02766681</v>
      </c>
      <c r="C9728" t="s">
        <v>40577</v>
      </c>
      <c r="D9728" t="s">
        <v>40578</v>
      </c>
      <c r="E9728" t="s">
        <v>40579</v>
      </c>
      <c r="G9728" t="s">
        <v>35048</v>
      </c>
      <c r="H9728" t="s">
        <v>35049</v>
      </c>
      <c r="J9728" t="s">
        <v>35050</v>
      </c>
      <c r="L9728" t="s">
        <v>83</v>
      </c>
      <c r="M9728" t="s">
        <v>85</v>
      </c>
      <c r="R9728" t="s">
        <v>40580</v>
      </c>
      <c r="W9728" t="s">
        <v>40579</v>
      </c>
      <c r="X9728" t="s">
        <v>40581</v>
      </c>
      <c r="Y9728" t="s">
        <v>131</v>
      </c>
      <c r="Z9728" t="s">
        <v>77</v>
      </c>
      <c r="AA9728" t="str">
        <f>"10455-3715"</f>
        <v>10455-3715</v>
      </c>
      <c r="AB9728" t="s">
        <v>78</v>
      </c>
      <c r="AC9728" t="s">
        <v>79</v>
      </c>
      <c r="AD9728" t="s">
        <v>75</v>
      </c>
      <c r="AE9728" t="s">
        <v>80</v>
      </c>
      <c r="AG9728" t="s">
        <v>81</v>
      </c>
    </row>
    <row r="9729" spans="1:33" x14ac:dyDescent="0.25">
      <c r="A9729" t="str">
        <f>"1477727865"</f>
        <v>1477727865</v>
      </c>
      <c r="B9729" t="str">
        <f>"03362769"</f>
        <v>03362769</v>
      </c>
      <c r="C9729" t="s">
        <v>40582</v>
      </c>
      <c r="D9729" t="s">
        <v>40583</v>
      </c>
      <c r="E9729" t="s">
        <v>40584</v>
      </c>
      <c r="G9729" t="s">
        <v>35048</v>
      </c>
      <c r="H9729" t="s">
        <v>35049</v>
      </c>
      <c r="J9729" t="s">
        <v>35050</v>
      </c>
      <c r="L9729" t="s">
        <v>83</v>
      </c>
      <c r="M9729" t="s">
        <v>85</v>
      </c>
      <c r="R9729" t="s">
        <v>40585</v>
      </c>
      <c r="W9729" t="s">
        <v>40584</v>
      </c>
      <c r="X9729" t="s">
        <v>2582</v>
      </c>
      <c r="Y9729" t="s">
        <v>97</v>
      </c>
      <c r="Z9729" t="s">
        <v>77</v>
      </c>
      <c r="AA9729" t="str">
        <f>"10012-2413"</f>
        <v>10012-2413</v>
      </c>
      <c r="AB9729" t="s">
        <v>78</v>
      </c>
      <c r="AC9729" t="s">
        <v>79</v>
      </c>
      <c r="AD9729" t="s">
        <v>75</v>
      </c>
      <c r="AE9729" t="s">
        <v>80</v>
      </c>
      <c r="AG9729" t="s">
        <v>81</v>
      </c>
    </row>
    <row r="9730" spans="1:33" x14ac:dyDescent="0.25">
      <c r="A9730" t="str">
        <f>"1114137957"</f>
        <v>1114137957</v>
      </c>
      <c r="B9730" t="str">
        <f>"03822873"</f>
        <v>03822873</v>
      </c>
      <c r="C9730" t="s">
        <v>40586</v>
      </c>
      <c r="D9730" t="s">
        <v>40587</v>
      </c>
      <c r="E9730" t="s">
        <v>40588</v>
      </c>
      <c r="G9730" t="s">
        <v>35048</v>
      </c>
      <c r="H9730" t="s">
        <v>35049</v>
      </c>
      <c r="J9730" t="s">
        <v>35050</v>
      </c>
      <c r="L9730" t="s">
        <v>83</v>
      </c>
      <c r="M9730" t="s">
        <v>75</v>
      </c>
      <c r="R9730" t="s">
        <v>40589</v>
      </c>
      <c r="W9730" t="s">
        <v>40588</v>
      </c>
      <c r="X9730" t="s">
        <v>2582</v>
      </c>
      <c r="Y9730" t="s">
        <v>97</v>
      </c>
      <c r="Z9730" t="s">
        <v>77</v>
      </c>
      <c r="AA9730" t="str">
        <f>"10012-2413"</f>
        <v>10012-2413</v>
      </c>
      <c r="AB9730" t="s">
        <v>78</v>
      </c>
      <c r="AC9730" t="s">
        <v>79</v>
      </c>
      <c r="AD9730" t="s">
        <v>75</v>
      </c>
      <c r="AE9730" t="s">
        <v>80</v>
      </c>
      <c r="AG9730" t="s">
        <v>81</v>
      </c>
    </row>
    <row r="9731" spans="1:33" x14ac:dyDescent="0.25">
      <c r="A9731" t="str">
        <f>"1376571794"</f>
        <v>1376571794</v>
      </c>
      <c r="B9731" t="str">
        <f>"01840528"</f>
        <v>01840528</v>
      </c>
      <c r="C9731" t="s">
        <v>40590</v>
      </c>
      <c r="D9731" t="s">
        <v>40591</v>
      </c>
      <c r="E9731" t="s">
        <v>40592</v>
      </c>
      <c r="G9731" t="s">
        <v>40590</v>
      </c>
      <c r="L9731" t="s">
        <v>84</v>
      </c>
      <c r="M9731" t="s">
        <v>75</v>
      </c>
      <c r="R9731" t="s">
        <v>40592</v>
      </c>
      <c r="W9731" t="s">
        <v>40592</v>
      </c>
      <c r="X9731" t="s">
        <v>5754</v>
      </c>
      <c r="Y9731" t="s">
        <v>171</v>
      </c>
      <c r="Z9731" t="s">
        <v>77</v>
      </c>
      <c r="AA9731" t="str">
        <f>"11434-4517"</f>
        <v>11434-4517</v>
      </c>
      <c r="AB9731" t="s">
        <v>78</v>
      </c>
      <c r="AC9731" t="s">
        <v>79</v>
      </c>
      <c r="AD9731" t="s">
        <v>75</v>
      </c>
      <c r="AE9731" t="s">
        <v>80</v>
      </c>
      <c r="AG9731" t="s">
        <v>81</v>
      </c>
    </row>
    <row r="9732" spans="1:33" x14ac:dyDescent="0.25">
      <c r="A9732" t="str">
        <f>"1376872283"</f>
        <v>1376872283</v>
      </c>
      <c r="B9732" t="str">
        <f>"03218857"</f>
        <v>03218857</v>
      </c>
      <c r="C9732" t="s">
        <v>40593</v>
      </c>
      <c r="D9732" t="s">
        <v>40594</v>
      </c>
      <c r="E9732" t="s">
        <v>40595</v>
      </c>
      <c r="G9732" t="s">
        <v>40593</v>
      </c>
      <c r="L9732" t="s">
        <v>83</v>
      </c>
      <c r="M9732" t="s">
        <v>75</v>
      </c>
      <c r="R9732" t="s">
        <v>40595</v>
      </c>
      <c r="W9732" t="s">
        <v>40595</v>
      </c>
      <c r="X9732" t="s">
        <v>3910</v>
      </c>
      <c r="Y9732" t="s">
        <v>216</v>
      </c>
      <c r="Z9732" t="s">
        <v>77</v>
      </c>
      <c r="AA9732" t="str">
        <f>"11691-3645"</f>
        <v>11691-3645</v>
      </c>
      <c r="AB9732" t="s">
        <v>78</v>
      </c>
      <c r="AC9732" t="s">
        <v>79</v>
      </c>
      <c r="AD9732" t="s">
        <v>75</v>
      </c>
      <c r="AE9732" t="s">
        <v>80</v>
      </c>
      <c r="AG9732" t="s">
        <v>81</v>
      </c>
    </row>
    <row r="9733" spans="1:33" x14ac:dyDescent="0.25">
      <c r="A9733" t="str">
        <f>"1376971994"</f>
        <v>1376971994</v>
      </c>
      <c r="B9733" t="str">
        <f>"03873998"</f>
        <v>03873998</v>
      </c>
      <c r="C9733" t="s">
        <v>40596</v>
      </c>
      <c r="D9733" t="s">
        <v>40597</v>
      </c>
      <c r="E9733" t="s">
        <v>40598</v>
      </c>
      <c r="G9733" t="s">
        <v>40596</v>
      </c>
      <c r="L9733" t="s">
        <v>84</v>
      </c>
      <c r="M9733" t="s">
        <v>75</v>
      </c>
      <c r="R9733" t="s">
        <v>40599</v>
      </c>
      <c r="W9733" t="s">
        <v>40598</v>
      </c>
      <c r="X9733" t="s">
        <v>25744</v>
      </c>
      <c r="Y9733" t="s">
        <v>87</v>
      </c>
      <c r="Z9733" t="s">
        <v>77</v>
      </c>
      <c r="AA9733" t="str">
        <f>"11220-4714"</f>
        <v>11220-4714</v>
      </c>
      <c r="AB9733" t="s">
        <v>78</v>
      </c>
      <c r="AC9733" t="s">
        <v>79</v>
      </c>
      <c r="AD9733" t="s">
        <v>75</v>
      </c>
      <c r="AE9733" t="s">
        <v>80</v>
      </c>
      <c r="AG9733" t="s">
        <v>81</v>
      </c>
    </row>
    <row r="9734" spans="1:33" x14ac:dyDescent="0.25">
      <c r="A9734" t="str">
        <f>"1376972240"</f>
        <v>1376972240</v>
      </c>
      <c r="C9734" t="s">
        <v>40600</v>
      </c>
      <c r="G9734" t="s">
        <v>40600</v>
      </c>
      <c r="K9734" t="s">
        <v>99</v>
      </c>
      <c r="L9734" t="s">
        <v>102</v>
      </c>
      <c r="M9734" t="s">
        <v>75</v>
      </c>
      <c r="R9734" t="s">
        <v>40601</v>
      </c>
      <c r="S9734" t="s">
        <v>40602</v>
      </c>
      <c r="T9734" t="s">
        <v>40603</v>
      </c>
      <c r="U9734" t="s">
        <v>1214</v>
      </c>
      <c r="V9734" t="str">
        <f>"271051120"</f>
        <v>271051120</v>
      </c>
      <c r="AC9734" t="s">
        <v>79</v>
      </c>
      <c r="AD9734" t="s">
        <v>75</v>
      </c>
      <c r="AE9734" t="s">
        <v>103</v>
      </c>
      <c r="AG9734" t="s">
        <v>81</v>
      </c>
    </row>
    <row r="9735" spans="1:33" x14ac:dyDescent="0.25">
      <c r="A9735" t="str">
        <f>"1386645653"</f>
        <v>1386645653</v>
      </c>
      <c r="B9735" t="str">
        <f>"00175773"</f>
        <v>00175773</v>
      </c>
      <c r="C9735" t="s">
        <v>40604</v>
      </c>
      <c r="D9735" t="s">
        <v>40605</v>
      </c>
      <c r="E9735" t="s">
        <v>40606</v>
      </c>
      <c r="G9735" t="s">
        <v>40604</v>
      </c>
      <c r="L9735" t="s">
        <v>83</v>
      </c>
      <c r="M9735" t="s">
        <v>75</v>
      </c>
      <c r="R9735" t="s">
        <v>40607</v>
      </c>
      <c r="W9735" t="s">
        <v>40606</v>
      </c>
      <c r="X9735" t="s">
        <v>40608</v>
      </c>
      <c r="Y9735" t="s">
        <v>87</v>
      </c>
      <c r="Z9735" t="s">
        <v>77</v>
      </c>
      <c r="AA9735" t="str">
        <f>"11219-2740"</f>
        <v>11219-2740</v>
      </c>
      <c r="AB9735" t="s">
        <v>78</v>
      </c>
      <c r="AC9735" t="s">
        <v>79</v>
      </c>
      <c r="AD9735" t="s">
        <v>75</v>
      </c>
      <c r="AE9735" t="s">
        <v>80</v>
      </c>
      <c r="AG9735" t="s">
        <v>81</v>
      </c>
    </row>
    <row r="9736" spans="1:33" x14ac:dyDescent="0.25">
      <c r="A9736" t="str">
        <f>"1386681021"</f>
        <v>1386681021</v>
      </c>
      <c r="B9736" t="str">
        <f>"00675136"</f>
        <v>00675136</v>
      </c>
      <c r="C9736" t="s">
        <v>40609</v>
      </c>
      <c r="D9736" t="s">
        <v>40610</v>
      </c>
      <c r="E9736" t="s">
        <v>40611</v>
      </c>
      <c r="G9736" t="s">
        <v>40609</v>
      </c>
      <c r="L9736" t="s">
        <v>83</v>
      </c>
      <c r="M9736" t="s">
        <v>75</v>
      </c>
      <c r="R9736" t="s">
        <v>40612</v>
      </c>
      <c r="W9736" t="s">
        <v>40611</v>
      </c>
      <c r="X9736" t="s">
        <v>40613</v>
      </c>
      <c r="Y9736" t="s">
        <v>87</v>
      </c>
      <c r="Z9736" t="s">
        <v>77</v>
      </c>
      <c r="AA9736" t="str">
        <f>"11229-3797"</f>
        <v>11229-3797</v>
      </c>
      <c r="AB9736" t="s">
        <v>78</v>
      </c>
      <c r="AC9736" t="s">
        <v>79</v>
      </c>
      <c r="AD9736" t="s">
        <v>75</v>
      </c>
      <c r="AE9736" t="s">
        <v>80</v>
      </c>
      <c r="AG9736" t="s">
        <v>81</v>
      </c>
    </row>
    <row r="9737" spans="1:33" x14ac:dyDescent="0.25">
      <c r="A9737" t="str">
        <f>"1386691517"</f>
        <v>1386691517</v>
      </c>
      <c r="B9737" t="str">
        <f>"02077521"</f>
        <v>02077521</v>
      </c>
      <c r="C9737" t="s">
        <v>40614</v>
      </c>
      <c r="D9737" t="s">
        <v>40615</v>
      </c>
      <c r="E9737" t="s">
        <v>40616</v>
      </c>
      <c r="G9737" t="s">
        <v>40614</v>
      </c>
      <c r="L9737" t="s">
        <v>84</v>
      </c>
      <c r="M9737" t="s">
        <v>75</v>
      </c>
      <c r="R9737" t="s">
        <v>40617</v>
      </c>
      <c r="W9737" t="s">
        <v>40616</v>
      </c>
      <c r="X9737" t="s">
        <v>1497</v>
      </c>
      <c r="Y9737" t="s">
        <v>87</v>
      </c>
      <c r="Z9737" t="s">
        <v>77</v>
      </c>
      <c r="AA9737" t="str">
        <f>"11230-2342"</f>
        <v>11230-2342</v>
      </c>
      <c r="AB9737" t="s">
        <v>78</v>
      </c>
      <c r="AC9737" t="s">
        <v>79</v>
      </c>
      <c r="AD9737" t="s">
        <v>75</v>
      </c>
      <c r="AE9737" t="s">
        <v>80</v>
      </c>
      <c r="AG9737" t="s">
        <v>81</v>
      </c>
    </row>
    <row r="9738" spans="1:33" x14ac:dyDescent="0.25">
      <c r="A9738" t="str">
        <f>"1396707931"</f>
        <v>1396707931</v>
      </c>
      <c r="B9738" t="str">
        <f>"01358814"</f>
        <v>01358814</v>
      </c>
      <c r="C9738" t="s">
        <v>40618</v>
      </c>
      <c r="D9738" t="s">
        <v>40619</v>
      </c>
      <c r="E9738" t="s">
        <v>40620</v>
      </c>
      <c r="G9738" t="s">
        <v>40618</v>
      </c>
      <c r="L9738" t="s">
        <v>83</v>
      </c>
      <c r="M9738" t="s">
        <v>75</v>
      </c>
      <c r="R9738" t="s">
        <v>40621</v>
      </c>
      <c r="W9738" t="s">
        <v>40621</v>
      </c>
      <c r="X9738" t="s">
        <v>40622</v>
      </c>
      <c r="Y9738" t="s">
        <v>179</v>
      </c>
      <c r="Z9738" t="s">
        <v>77</v>
      </c>
      <c r="AA9738" t="str">
        <f>"11550-2614"</f>
        <v>11550-2614</v>
      </c>
      <c r="AB9738" t="s">
        <v>78</v>
      </c>
      <c r="AC9738" t="s">
        <v>79</v>
      </c>
      <c r="AD9738" t="s">
        <v>75</v>
      </c>
      <c r="AE9738" t="s">
        <v>80</v>
      </c>
      <c r="AG9738" t="s">
        <v>81</v>
      </c>
    </row>
    <row r="9739" spans="1:33" x14ac:dyDescent="0.25">
      <c r="A9739" t="str">
        <f>"1396737755"</f>
        <v>1396737755</v>
      </c>
      <c r="B9739" t="str">
        <f>"00742636"</f>
        <v>00742636</v>
      </c>
      <c r="C9739" t="s">
        <v>40623</v>
      </c>
      <c r="D9739" t="s">
        <v>40624</v>
      </c>
      <c r="E9739" t="s">
        <v>40625</v>
      </c>
      <c r="G9739" t="s">
        <v>40623</v>
      </c>
      <c r="L9739" t="s">
        <v>84</v>
      </c>
      <c r="M9739" t="s">
        <v>75</v>
      </c>
      <c r="R9739" t="s">
        <v>40626</v>
      </c>
      <c r="W9739" t="s">
        <v>40625</v>
      </c>
      <c r="X9739" t="s">
        <v>40627</v>
      </c>
      <c r="Y9739" t="s">
        <v>97</v>
      </c>
      <c r="Z9739" t="s">
        <v>77</v>
      </c>
      <c r="AA9739" t="str">
        <f>"10011-2305"</f>
        <v>10011-2305</v>
      </c>
      <c r="AB9739" t="s">
        <v>78</v>
      </c>
      <c r="AC9739" t="s">
        <v>79</v>
      </c>
      <c r="AD9739" t="s">
        <v>75</v>
      </c>
      <c r="AE9739" t="s">
        <v>80</v>
      </c>
      <c r="AG9739" t="s">
        <v>81</v>
      </c>
    </row>
    <row r="9740" spans="1:33" x14ac:dyDescent="0.25">
      <c r="A9740" t="str">
        <f>"1396945903"</f>
        <v>1396945903</v>
      </c>
      <c r="B9740" t="str">
        <f>"02914625"</f>
        <v>02914625</v>
      </c>
      <c r="C9740" t="s">
        <v>40628</v>
      </c>
      <c r="D9740" t="s">
        <v>40629</v>
      </c>
      <c r="E9740" t="s">
        <v>40630</v>
      </c>
      <c r="G9740" t="s">
        <v>40628</v>
      </c>
      <c r="L9740" t="s">
        <v>84</v>
      </c>
      <c r="M9740" t="s">
        <v>75</v>
      </c>
      <c r="R9740" t="s">
        <v>40631</v>
      </c>
      <c r="W9740" t="s">
        <v>40630</v>
      </c>
      <c r="X9740" t="s">
        <v>202</v>
      </c>
      <c r="Y9740" t="s">
        <v>87</v>
      </c>
      <c r="Z9740" t="s">
        <v>77</v>
      </c>
      <c r="AA9740" t="str">
        <f>"11201-5425"</f>
        <v>11201-5425</v>
      </c>
      <c r="AB9740" t="s">
        <v>78</v>
      </c>
      <c r="AC9740" t="s">
        <v>79</v>
      </c>
      <c r="AD9740" t="s">
        <v>75</v>
      </c>
      <c r="AE9740" t="s">
        <v>80</v>
      </c>
      <c r="AG9740" t="s">
        <v>81</v>
      </c>
    </row>
    <row r="9741" spans="1:33" x14ac:dyDescent="0.25">
      <c r="A9741" t="str">
        <f>"1407896590"</f>
        <v>1407896590</v>
      </c>
      <c r="B9741" t="str">
        <f>"01722825"</f>
        <v>01722825</v>
      </c>
      <c r="C9741" t="s">
        <v>40632</v>
      </c>
      <c r="D9741" t="s">
        <v>40633</v>
      </c>
      <c r="E9741" t="s">
        <v>40634</v>
      </c>
      <c r="G9741" t="s">
        <v>40632</v>
      </c>
      <c r="L9741" t="s">
        <v>84</v>
      </c>
      <c r="M9741" t="s">
        <v>85</v>
      </c>
      <c r="R9741" t="s">
        <v>40635</v>
      </c>
      <c r="W9741" t="s">
        <v>40634</v>
      </c>
      <c r="X9741" t="s">
        <v>39167</v>
      </c>
      <c r="Y9741" t="s">
        <v>236</v>
      </c>
      <c r="Z9741" t="s">
        <v>77</v>
      </c>
      <c r="AA9741" t="str">
        <f>"11106-4134"</f>
        <v>11106-4134</v>
      </c>
      <c r="AB9741" t="s">
        <v>78</v>
      </c>
      <c r="AC9741" t="s">
        <v>79</v>
      </c>
      <c r="AD9741" t="s">
        <v>75</v>
      </c>
      <c r="AE9741" t="s">
        <v>80</v>
      </c>
      <c r="AG9741" t="s">
        <v>81</v>
      </c>
    </row>
    <row r="9742" spans="1:33" x14ac:dyDescent="0.25">
      <c r="A9742" t="str">
        <f>"1407997695"</f>
        <v>1407997695</v>
      </c>
      <c r="C9742" t="s">
        <v>5288</v>
      </c>
      <c r="G9742" t="s">
        <v>5288</v>
      </c>
      <c r="K9742" t="s">
        <v>99</v>
      </c>
      <c r="L9742" t="s">
        <v>102</v>
      </c>
      <c r="M9742" t="s">
        <v>75</v>
      </c>
      <c r="R9742" t="s">
        <v>5289</v>
      </c>
      <c r="S9742" t="s">
        <v>5290</v>
      </c>
      <c r="T9742" t="s">
        <v>87</v>
      </c>
      <c r="U9742" t="s">
        <v>77</v>
      </c>
      <c r="V9742" t="str">
        <f>"112346006"</f>
        <v>112346006</v>
      </c>
      <c r="AC9742" t="s">
        <v>79</v>
      </c>
      <c r="AD9742" t="s">
        <v>75</v>
      </c>
      <c r="AE9742" t="s">
        <v>103</v>
      </c>
      <c r="AG9742" t="s">
        <v>81</v>
      </c>
    </row>
    <row r="9743" spans="1:33" x14ac:dyDescent="0.25">
      <c r="A9743" t="str">
        <f>"1417910100"</f>
        <v>1417910100</v>
      </c>
      <c r="B9743" t="str">
        <f>"00273634"</f>
        <v>00273634</v>
      </c>
      <c r="C9743" t="s">
        <v>40636</v>
      </c>
      <c r="D9743" t="s">
        <v>40637</v>
      </c>
      <c r="E9743" t="s">
        <v>40638</v>
      </c>
      <c r="G9743" t="s">
        <v>40636</v>
      </c>
      <c r="L9743" t="s">
        <v>74</v>
      </c>
      <c r="M9743" t="s">
        <v>75</v>
      </c>
      <c r="R9743" t="s">
        <v>40639</v>
      </c>
      <c r="W9743" t="s">
        <v>40638</v>
      </c>
      <c r="X9743" t="s">
        <v>40640</v>
      </c>
      <c r="Y9743" t="s">
        <v>87</v>
      </c>
      <c r="Z9743" t="s">
        <v>77</v>
      </c>
      <c r="AA9743" t="str">
        <f>"11212"</f>
        <v>11212</v>
      </c>
      <c r="AB9743" t="s">
        <v>78</v>
      </c>
      <c r="AC9743" t="s">
        <v>79</v>
      </c>
      <c r="AD9743" t="s">
        <v>75</v>
      </c>
      <c r="AE9743" t="s">
        <v>80</v>
      </c>
      <c r="AG9743" t="s">
        <v>81</v>
      </c>
    </row>
    <row r="9744" spans="1:33" x14ac:dyDescent="0.25">
      <c r="A9744" t="str">
        <f>"1427065010"</f>
        <v>1427065010</v>
      </c>
      <c r="B9744" t="str">
        <f>"03873094"</f>
        <v>03873094</v>
      </c>
      <c r="C9744" t="s">
        <v>40641</v>
      </c>
      <c r="D9744" t="s">
        <v>40642</v>
      </c>
      <c r="E9744" t="s">
        <v>40643</v>
      </c>
      <c r="G9744" t="s">
        <v>40641</v>
      </c>
      <c r="L9744" t="s">
        <v>83</v>
      </c>
      <c r="M9744" t="s">
        <v>75</v>
      </c>
      <c r="R9744" t="s">
        <v>40643</v>
      </c>
      <c r="W9744" t="s">
        <v>40644</v>
      </c>
      <c r="X9744" t="s">
        <v>22254</v>
      </c>
      <c r="Y9744" t="s">
        <v>97</v>
      </c>
      <c r="Z9744" t="s">
        <v>77</v>
      </c>
      <c r="AA9744" t="str">
        <f>"10033-2411"</f>
        <v>10033-2411</v>
      </c>
      <c r="AB9744" t="s">
        <v>78</v>
      </c>
      <c r="AC9744" t="s">
        <v>79</v>
      </c>
      <c r="AD9744" t="s">
        <v>75</v>
      </c>
      <c r="AE9744" t="s">
        <v>80</v>
      </c>
      <c r="AG9744" t="s">
        <v>81</v>
      </c>
    </row>
    <row r="9745" spans="1:33" x14ac:dyDescent="0.25">
      <c r="A9745" t="str">
        <f>"1427074590"</f>
        <v>1427074590</v>
      </c>
      <c r="B9745" t="str">
        <f>"01948241"</f>
        <v>01948241</v>
      </c>
      <c r="C9745" t="s">
        <v>40645</v>
      </c>
      <c r="D9745" t="s">
        <v>40646</v>
      </c>
      <c r="E9745" t="s">
        <v>40647</v>
      </c>
      <c r="G9745" t="s">
        <v>40645</v>
      </c>
      <c r="L9745" t="s">
        <v>84</v>
      </c>
      <c r="M9745" t="s">
        <v>75</v>
      </c>
      <c r="R9745" t="s">
        <v>40648</v>
      </c>
      <c r="W9745" t="s">
        <v>40647</v>
      </c>
      <c r="X9745" t="s">
        <v>40649</v>
      </c>
      <c r="Y9745" t="s">
        <v>91</v>
      </c>
      <c r="Z9745" t="s">
        <v>77</v>
      </c>
      <c r="AA9745" t="str">
        <f>"11373-4821"</f>
        <v>11373-4821</v>
      </c>
      <c r="AB9745" t="s">
        <v>78</v>
      </c>
      <c r="AC9745" t="s">
        <v>79</v>
      </c>
      <c r="AD9745" t="s">
        <v>75</v>
      </c>
      <c r="AE9745" t="s">
        <v>80</v>
      </c>
      <c r="AG9745" t="s">
        <v>81</v>
      </c>
    </row>
    <row r="9746" spans="1:33" x14ac:dyDescent="0.25">
      <c r="A9746" t="str">
        <f>"1437196961"</f>
        <v>1437196961</v>
      </c>
      <c r="B9746" t="str">
        <f>"02575560"</f>
        <v>02575560</v>
      </c>
      <c r="C9746" t="s">
        <v>40650</v>
      </c>
      <c r="D9746" t="s">
        <v>40651</v>
      </c>
      <c r="E9746" t="s">
        <v>40652</v>
      </c>
      <c r="G9746" t="s">
        <v>40650</v>
      </c>
      <c r="L9746" t="s">
        <v>84</v>
      </c>
      <c r="M9746" t="s">
        <v>85</v>
      </c>
      <c r="R9746" t="s">
        <v>40653</v>
      </c>
      <c r="W9746" t="s">
        <v>40652</v>
      </c>
      <c r="X9746" t="s">
        <v>39167</v>
      </c>
      <c r="Y9746" t="s">
        <v>236</v>
      </c>
      <c r="Z9746" t="s">
        <v>77</v>
      </c>
      <c r="AA9746" t="str">
        <f>"11106-4134"</f>
        <v>11106-4134</v>
      </c>
      <c r="AB9746" t="s">
        <v>78</v>
      </c>
      <c r="AC9746" t="s">
        <v>79</v>
      </c>
      <c r="AD9746" t="s">
        <v>75</v>
      </c>
      <c r="AE9746" t="s">
        <v>80</v>
      </c>
      <c r="AG9746" t="s">
        <v>81</v>
      </c>
    </row>
    <row r="9747" spans="1:33" x14ac:dyDescent="0.25">
      <c r="A9747" t="str">
        <f>"1437251238"</f>
        <v>1437251238</v>
      </c>
      <c r="B9747" t="str">
        <f>"00951666"</f>
        <v>00951666</v>
      </c>
      <c r="C9747" t="s">
        <v>40654</v>
      </c>
      <c r="D9747" t="s">
        <v>40655</v>
      </c>
      <c r="E9747" t="s">
        <v>40656</v>
      </c>
      <c r="G9747" t="s">
        <v>40654</v>
      </c>
      <c r="L9747" t="s">
        <v>83</v>
      </c>
      <c r="M9747" t="s">
        <v>75</v>
      </c>
      <c r="R9747" t="s">
        <v>40657</v>
      </c>
      <c r="W9747" t="s">
        <v>40656</v>
      </c>
      <c r="X9747" t="s">
        <v>40658</v>
      </c>
      <c r="Y9747" t="s">
        <v>87</v>
      </c>
      <c r="Z9747" t="s">
        <v>77</v>
      </c>
      <c r="AA9747" t="str">
        <f>"11213-1166"</f>
        <v>11213-1166</v>
      </c>
      <c r="AB9747" t="s">
        <v>78</v>
      </c>
      <c r="AC9747" t="s">
        <v>79</v>
      </c>
      <c r="AD9747" t="s">
        <v>75</v>
      </c>
      <c r="AE9747" t="s">
        <v>80</v>
      </c>
      <c r="AG9747" t="s">
        <v>81</v>
      </c>
    </row>
    <row r="9748" spans="1:33" x14ac:dyDescent="0.25">
      <c r="A9748" t="str">
        <f>"1437425667"</f>
        <v>1437425667</v>
      </c>
      <c r="B9748" t="str">
        <f>"03823392"</f>
        <v>03823392</v>
      </c>
      <c r="C9748" t="s">
        <v>40659</v>
      </c>
      <c r="D9748" t="s">
        <v>40660</v>
      </c>
      <c r="E9748" t="s">
        <v>40661</v>
      </c>
      <c r="G9748" t="s">
        <v>40659</v>
      </c>
      <c r="L9748" t="s">
        <v>83</v>
      </c>
      <c r="M9748" t="s">
        <v>75</v>
      </c>
      <c r="R9748" t="s">
        <v>40662</v>
      </c>
      <c r="W9748" t="s">
        <v>40661</v>
      </c>
      <c r="X9748" t="s">
        <v>2657</v>
      </c>
      <c r="Y9748" t="s">
        <v>87</v>
      </c>
      <c r="Z9748" t="s">
        <v>77</v>
      </c>
      <c r="AA9748" t="str">
        <f>"11229-3716"</f>
        <v>11229-3716</v>
      </c>
      <c r="AB9748" t="s">
        <v>78</v>
      </c>
      <c r="AC9748" t="s">
        <v>79</v>
      </c>
      <c r="AD9748" t="s">
        <v>75</v>
      </c>
      <c r="AE9748" t="s">
        <v>80</v>
      </c>
      <c r="AG9748" t="s">
        <v>81</v>
      </c>
    </row>
    <row r="9749" spans="1:33" x14ac:dyDescent="0.25">
      <c r="A9749" t="str">
        <f>"1437455268"</f>
        <v>1437455268</v>
      </c>
      <c r="B9749" t="str">
        <f>"03820899"</f>
        <v>03820899</v>
      </c>
      <c r="C9749" t="s">
        <v>40663</v>
      </c>
      <c r="D9749" t="s">
        <v>40664</v>
      </c>
      <c r="E9749" t="s">
        <v>40665</v>
      </c>
      <c r="G9749" t="s">
        <v>40663</v>
      </c>
      <c r="L9749" t="s">
        <v>83</v>
      </c>
      <c r="M9749" t="s">
        <v>75</v>
      </c>
      <c r="R9749" t="s">
        <v>40666</v>
      </c>
      <c r="W9749" t="s">
        <v>40665</v>
      </c>
      <c r="X9749" t="s">
        <v>40667</v>
      </c>
      <c r="Y9749" t="s">
        <v>87</v>
      </c>
      <c r="Z9749" t="s">
        <v>77</v>
      </c>
      <c r="AA9749" t="str">
        <f>"11201-3628"</f>
        <v>11201-3628</v>
      </c>
      <c r="AB9749" t="s">
        <v>78</v>
      </c>
      <c r="AC9749" t="s">
        <v>79</v>
      </c>
      <c r="AD9749" t="s">
        <v>75</v>
      </c>
      <c r="AE9749" t="s">
        <v>80</v>
      </c>
      <c r="AG9749" t="s">
        <v>81</v>
      </c>
    </row>
    <row r="9750" spans="1:33" x14ac:dyDescent="0.25">
      <c r="A9750" t="str">
        <f>"1447319413"</f>
        <v>1447319413</v>
      </c>
      <c r="B9750" t="str">
        <f>"00419127"</f>
        <v>00419127</v>
      </c>
      <c r="C9750" t="s">
        <v>40668</v>
      </c>
      <c r="D9750" t="s">
        <v>40669</v>
      </c>
      <c r="E9750" t="s">
        <v>40670</v>
      </c>
      <c r="G9750" t="s">
        <v>40668</v>
      </c>
      <c r="L9750" t="s">
        <v>83</v>
      </c>
      <c r="M9750" t="s">
        <v>75</v>
      </c>
      <c r="R9750" t="s">
        <v>40671</v>
      </c>
      <c r="W9750" t="s">
        <v>40670</v>
      </c>
      <c r="X9750" t="s">
        <v>40622</v>
      </c>
      <c r="Y9750" t="s">
        <v>179</v>
      </c>
      <c r="Z9750" t="s">
        <v>77</v>
      </c>
      <c r="AA9750" t="str">
        <f>"11550-2614"</f>
        <v>11550-2614</v>
      </c>
      <c r="AB9750" t="s">
        <v>78</v>
      </c>
      <c r="AC9750" t="s">
        <v>79</v>
      </c>
      <c r="AD9750" t="s">
        <v>75</v>
      </c>
      <c r="AE9750" t="s">
        <v>80</v>
      </c>
      <c r="AG9750" t="s">
        <v>81</v>
      </c>
    </row>
    <row r="9751" spans="1:33" x14ac:dyDescent="0.25">
      <c r="A9751" t="str">
        <f>"1447499389"</f>
        <v>1447499389</v>
      </c>
      <c r="B9751" t="str">
        <f>"03106190"</f>
        <v>03106190</v>
      </c>
      <c r="C9751" t="s">
        <v>40672</v>
      </c>
      <c r="D9751" t="s">
        <v>40673</v>
      </c>
      <c r="E9751" t="s">
        <v>40674</v>
      </c>
      <c r="G9751" t="s">
        <v>40672</v>
      </c>
      <c r="L9751" t="s">
        <v>83</v>
      </c>
      <c r="M9751" t="s">
        <v>75</v>
      </c>
      <c r="R9751" t="s">
        <v>40675</v>
      </c>
      <c r="W9751" t="s">
        <v>40676</v>
      </c>
      <c r="X9751" t="s">
        <v>26618</v>
      </c>
      <c r="Y9751" t="s">
        <v>214</v>
      </c>
      <c r="Z9751" t="s">
        <v>77</v>
      </c>
      <c r="AA9751" t="str">
        <f>"11801-5006"</f>
        <v>11801-5006</v>
      </c>
      <c r="AB9751" t="s">
        <v>78</v>
      </c>
      <c r="AC9751" t="s">
        <v>79</v>
      </c>
      <c r="AD9751" t="s">
        <v>75</v>
      </c>
      <c r="AE9751" t="s">
        <v>80</v>
      </c>
      <c r="AG9751" t="s">
        <v>81</v>
      </c>
    </row>
    <row r="9752" spans="1:33" x14ac:dyDescent="0.25">
      <c r="A9752" t="str">
        <f>"1447569777"</f>
        <v>1447569777</v>
      </c>
      <c r="B9752" t="str">
        <f>"03959395"</f>
        <v>03959395</v>
      </c>
      <c r="C9752" t="s">
        <v>40677</v>
      </c>
      <c r="D9752" t="s">
        <v>40678</v>
      </c>
      <c r="E9752" t="s">
        <v>40679</v>
      </c>
      <c r="G9752" t="s">
        <v>40677</v>
      </c>
      <c r="L9752" t="s">
        <v>83</v>
      </c>
      <c r="M9752" t="s">
        <v>75</v>
      </c>
      <c r="R9752" t="s">
        <v>40680</v>
      </c>
      <c r="W9752" t="s">
        <v>40679</v>
      </c>
      <c r="X9752" t="s">
        <v>2657</v>
      </c>
      <c r="Y9752" t="s">
        <v>87</v>
      </c>
      <c r="Z9752" t="s">
        <v>77</v>
      </c>
      <c r="AA9752" t="str">
        <f>"11229-3716"</f>
        <v>11229-3716</v>
      </c>
      <c r="AB9752" t="s">
        <v>78</v>
      </c>
      <c r="AC9752" t="s">
        <v>79</v>
      </c>
      <c r="AD9752" t="s">
        <v>75</v>
      </c>
      <c r="AE9752" t="s">
        <v>80</v>
      </c>
      <c r="AG9752" t="s">
        <v>81</v>
      </c>
    </row>
    <row r="9753" spans="1:33" x14ac:dyDescent="0.25">
      <c r="A9753" t="str">
        <f>"1447588223"</f>
        <v>1447588223</v>
      </c>
      <c r="B9753" t="str">
        <f>"03254831"</f>
        <v>03254831</v>
      </c>
      <c r="C9753" t="s">
        <v>40681</v>
      </c>
      <c r="D9753" t="s">
        <v>40682</v>
      </c>
      <c r="E9753" t="s">
        <v>40683</v>
      </c>
      <c r="G9753" t="s">
        <v>40681</v>
      </c>
      <c r="L9753" t="s">
        <v>83</v>
      </c>
      <c r="M9753" t="s">
        <v>75</v>
      </c>
      <c r="R9753" t="s">
        <v>40684</v>
      </c>
      <c r="W9753" t="s">
        <v>40683</v>
      </c>
      <c r="X9753" t="s">
        <v>590</v>
      </c>
      <c r="Y9753" t="s">
        <v>97</v>
      </c>
      <c r="Z9753" t="s">
        <v>77</v>
      </c>
      <c r="AA9753" t="str">
        <f>"10128-4077"</f>
        <v>10128-4077</v>
      </c>
      <c r="AB9753" t="s">
        <v>78</v>
      </c>
      <c r="AC9753" t="s">
        <v>79</v>
      </c>
      <c r="AD9753" t="s">
        <v>75</v>
      </c>
      <c r="AE9753" t="s">
        <v>80</v>
      </c>
      <c r="AG9753" t="s">
        <v>81</v>
      </c>
    </row>
    <row r="9754" spans="1:33" x14ac:dyDescent="0.25">
      <c r="A9754" t="str">
        <f>"1457394496"</f>
        <v>1457394496</v>
      </c>
      <c r="B9754" t="str">
        <f>"01722792"</f>
        <v>01722792</v>
      </c>
      <c r="C9754" t="s">
        <v>40685</v>
      </c>
      <c r="D9754" t="s">
        <v>40686</v>
      </c>
      <c r="E9754" t="s">
        <v>40687</v>
      </c>
      <c r="G9754" t="s">
        <v>40685</v>
      </c>
      <c r="L9754" t="s">
        <v>84</v>
      </c>
      <c r="M9754" t="s">
        <v>75</v>
      </c>
      <c r="R9754" t="s">
        <v>40688</v>
      </c>
      <c r="W9754" t="s">
        <v>40687</v>
      </c>
      <c r="X9754" t="s">
        <v>5754</v>
      </c>
      <c r="Y9754" t="s">
        <v>171</v>
      </c>
      <c r="Z9754" t="s">
        <v>77</v>
      </c>
      <c r="AA9754" t="str">
        <f>"11434-4517"</f>
        <v>11434-4517</v>
      </c>
      <c r="AB9754" t="s">
        <v>78</v>
      </c>
      <c r="AC9754" t="s">
        <v>79</v>
      </c>
      <c r="AD9754" t="s">
        <v>75</v>
      </c>
      <c r="AE9754" t="s">
        <v>80</v>
      </c>
      <c r="AG9754" t="s">
        <v>81</v>
      </c>
    </row>
    <row r="9755" spans="1:33" x14ac:dyDescent="0.25">
      <c r="A9755" t="str">
        <f>"1700853355"</f>
        <v>1700853355</v>
      </c>
      <c r="B9755" t="str">
        <f>"01722081"</f>
        <v>01722081</v>
      </c>
      <c r="C9755" t="s">
        <v>13436</v>
      </c>
      <c r="D9755" t="s">
        <v>40689</v>
      </c>
      <c r="E9755" t="s">
        <v>40690</v>
      </c>
      <c r="G9755" t="s">
        <v>40691</v>
      </c>
      <c r="L9755" t="s">
        <v>84</v>
      </c>
      <c r="M9755" t="s">
        <v>85</v>
      </c>
      <c r="R9755" t="s">
        <v>40692</v>
      </c>
      <c r="W9755" t="s">
        <v>40690</v>
      </c>
      <c r="X9755" t="s">
        <v>272</v>
      </c>
      <c r="Y9755" t="s">
        <v>97</v>
      </c>
      <c r="Z9755" t="s">
        <v>77</v>
      </c>
      <c r="AA9755" t="str">
        <f>"10029-6501"</f>
        <v>10029-6501</v>
      </c>
      <c r="AB9755" t="s">
        <v>78</v>
      </c>
      <c r="AC9755" t="s">
        <v>79</v>
      </c>
      <c r="AD9755" t="s">
        <v>75</v>
      </c>
      <c r="AE9755" t="s">
        <v>80</v>
      </c>
      <c r="AG9755" t="s">
        <v>81</v>
      </c>
    </row>
    <row r="9756" spans="1:33" x14ac:dyDescent="0.25">
      <c r="A9756" t="str">
        <f>"1700860368"</f>
        <v>1700860368</v>
      </c>
      <c r="B9756" t="str">
        <f>"01769497"</f>
        <v>01769497</v>
      </c>
      <c r="C9756" t="s">
        <v>13436</v>
      </c>
      <c r="D9756" t="s">
        <v>40693</v>
      </c>
      <c r="E9756" t="s">
        <v>40694</v>
      </c>
      <c r="L9756" t="s">
        <v>74</v>
      </c>
      <c r="M9756" t="s">
        <v>85</v>
      </c>
      <c r="R9756" t="s">
        <v>40695</v>
      </c>
      <c r="W9756" t="s">
        <v>40694</v>
      </c>
      <c r="X9756" t="s">
        <v>329</v>
      </c>
      <c r="Y9756" t="s">
        <v>97</v>
      </c>
      <c r="Z9756" t="s">
        <v>77</v>
      </c>
      <c r="AA9756" t="str">
        <f>"10029-6500"</f>
        <v>10029-6500</v>
      </c>
      <c r="AB9756" t="s">
        <v>78</v>
      </c>
      <c r="AC9756" t="s">
        <v>79</v>
      </c>
      <c r="AD9756" t="s">
        <v>75</v>
      </c>
      <c r="AE9756" t="s">
        <v>80</v>
      </c>
      <c r="AG9756" t="s">
        <v>81</v>
      </c>
    </row>
    <row r="9757" spans="1:33" x14ac:dyDescent="0.25">
      <c r="A9757" t="str">
        <f>"1932399037"</f>
        <v>1932399037</v>
      </c>
      <c r="B9757" t="str">
        <f>"03209405"</f>
        <v>03209405</v>
      </c>
      <c r="C9757" t="s">
        <v>13436</v>
      </c>
      <c r="D9757" t="s">
        <v>40696</v>
      </c>
      <c r="E9757" t="s">
        <v>40697</v>
      </c>
      <c r="L9757" t="s">
        <v>83</v>
      </c>
      <c r="M9757" t="s">
        <v>85</v>
      </c>
      <c r="R9757" t="s">
        <v>40698</v>
      </c>
      <c r="W9757" t="s">
        <v>40699</v>
      </c>
      <c r="X9757" t="s">
        <v>30869</v>
      </c>
      <c r="Y9757" t="s">
        <v>97</v>
      </c>
      <c r="Z9757" t="s">
        <v>77</v>
      </c>
      <c r="AA9757" t="str">
        <f>"10029-6500"</f>
        <v>10029-6500</v>
      </c>
      <c r="AB9757" t="s">
        <v>78</v>
      </c>
      <c r="AC9757" t="s">
        <v>79</v>
      </c>
      <c r="AD9757" t="s">
        <v>75</v>
      </c>
      <c r="AE9757" t="s">
        <v>80</v>
      </c>
      <c r="AG9757" t="s">
        <v>81</v>
      </c>
    </row>
    <row r="9758" spans="1:33" x14ac:dyDescent="0.25">
      <c r="A9758" t="str">
        <f>"1932437993"</f>
        <v>1932437993</v>
      </c>
      <c r="B9758" t="str">
        <f>"03961511"</f>
        <v>03961511</v>
      </c>
      <c r="C9758" t="s">
        <v>13436</v>
      </c>
      <c r="D9758" t="s">
        <v>40700</v>
      </c>
      <c r="E9758" t="s">
        <v>40701</v>
      </c>
      <c r="L9758" t="s">
        <v>83</v>
      </c>
      <c r="M9758" t="s">
        <v>75</v>
      </c>
      <c r="R9758" t="s">
        <v>40702</v>
      </c>
      <c r="W9758" t="s">
        <v>40701</v>
      </c>
      <c r="X9758" t="s">
        <v>181</v>
      </c>
      <c r="Y9758" t="s">
        <v>97</v>
      </c>
      <c r="Z9758" t="s">
        <v>77</v>
      </c>
      <c r="AA9758" t="str">
        <f>"10025-1716"</f>
        <v>10025-1716</v>
      </c>
      <c r="AB9758" t="s">
        <v>78</v>
      </c>
      <c r="AC9758" t="s">
        <v>79</v>
      </c>
      <c r="AD9758" t="s">
        <v>75</v>
      </c>
      <c r="AE9758" t="s">
        <v>80</v>
      </c>
      <c r="AG9758" t="s">
        <v>81</v>
      </c>
    </row>
    <row r="9759" spans="1:33" x14ac:dyDescent="0.25">
      <c r="A9759" t="str">
        <f>"1932442100"</f>
        <v>1932442100</v>
      </c>
      <c r="B9759" t="str">
        <f>"04504610"</f>
        <v>04504610</v>
      </c>
      <c r="C9759" t="s">
        <v>13436</v>
      </c>
      <c r="D9759" t="s">
        <v>40703</v>
      </c>
      <c r="E9759" t="s">
        <v>40704</v>
      </c>
      <c r="L9759" t="s">
        <v>74</v>
      </c>
      <c r="M9759" t="s">
        <v>75</v>
      </c>
      <c r="R9759" t="s">
        <v>40705</v>
      </c>
      <c r="W9759" t="s">
        <v>40704</v>
      </c>
      <c r="AB9759" t="s">
        <v>78</v>
      </c>
      <c r="AC9759" t="s">
        <v>79</v>
      </c>
      <c r="AD9759" t="s">
        <v>75</v>
      </c>
      <c r="AE9759" t="s">
        <v>80</v>
      </c>
      <c r="AG9759" t="s">
        <v>81</v>
      </c>
    </row>
    <row r="9760" spans="1:33" x14ac:dyDescent="0.25">
      <c r="A9760" t="str">
        <f>"1750624383"</f>
        <v>1750624383</v>
      </c>
      <c r="C9760" t="s">
        <v>13436</v>
      </c>
      <c r="K9760" t="s">
        <v>99</v>
      </c>
      <c r="L9760" t="s">
        <v>102</v>
      </c>
      <c r="M9760" t="s">
        <v>75</v>
      </c>
      <c r="R9760" t="s">
        <v>40706</v>
      </c>
      <c r="S9760" t="s">
        <v>26525</v>
      </c>
      <c r="T9760" t="s">
        <v>97</v>
      </c>
      <c r="U9760" t="s">
        <v>77</v>
      </c>
      <c r="V9760" t="str">
        <f>"100033314"</f>
        <v>100033314</v>
      </c>
      <c r="AC9760" t="s">
        <v>79</v>
      </c>
      <c r="AD9760" t="s">
        <v>75</v>
      </c>
      <c r="AE9760" t="s">
        <v>103</v>
      </c>
      <c r="AG9760" t="s">
        <v>81</v>
      </c>
    </row>
    <row r="9761" spans="1:33" x14ac:dyDescent="0.25">
      <c r="A9761" t="str">
        <f>"1750627683"</f>
        <v>1750627683</v>
      </c>
      <c r="B9761" t="str">
        <f>"04180058"</f>
        <v>04180058</v>
      </c>
      <c r="C9761" t="s">
        <v>13436</v>
      </c>
      <c r="D9761" t="s">
        <v>40707</v>
      </c>
      <c r="E9761" t="s">
        <v>40708</v>
      </c>
      <c r="L9761" t="s">
        <v>83</v>
      </c>
      <c r="M9761" t="s">
        <v>75</v>
      </c>
      <c r="R9761" t="s">
        <v>40708</v>
      </c>
      <c r="W9761" t="s">
        <v>40709</v>
      </c>
      <c r="X9761" t="s">
        <v>5857</v>
      </c>
      <c r="Y9761" t="s">
        <v>4642</v>
      </c>
      <c r="Z9761" t="s">
        <v>77</v>
      </c>
      <c r="AA9761" t="str">
        <f>"10990-4105"</f>
        <v>10990-4105</v>
      </c>
      <c r="AB9761" t="s">
        <v>128</v>
      </c>
      <c r="AC9761" t="s">
        <v>79</v>
      </c>
      <c r="AD9761" t="s">
        <v>75</v>
      </c>
      <c r="AE9761" t="s">
        <v>80</v>
      </c>
      <c r="AG9761" t="s">
        <v>81</v>
      </c>
    </row>
    <row r="9762" spans="1:33" x14ac:dyDescent="0.25">
      <c r="A9762" t="str">
        <f>"1750629861"</f>
        <v>1750629861</v>
      </c>
      <c r="C9762" t="s">
        <v>13436</v>
      </c>
      <c r="G9762" t="s">
        <v>40710</v>
      </c>
      <c r="K9762" t="s">
        <v>99</v>
      </c>
      <c r="L9762" t="s">
        <v>102</v>
      </c>
      <c r="M9762" t="s">
        <v>75</v>
      </c>
      <c r="R9762" t="s">
        <v>40711</v>
      </c>
      <c r="S9762" t="s">
        <v>40712</v>
      </c>
      <c r="T9762" t="s">
        <v>97</v>
      </c>
      <c r="U9762" t="s">
        <v>77</v>
      </c>
      <c r="V9762" t="str">
        <f>"100296503"</f>
        <v>100296503</v>
      </c>
      <c r="AC9762" t="s">
        <v>79</v>
      </c>
      <c r="AD9762" t="s">
        <v>75</v>
      </c>
      <c r="AE9762" t="s">
        <v>103</v>
      </c>
      <c r="AG9762" t="s">
        <v>81</v>
      </c>
    </row>
    <row r="9763" spans="1:33" x14ac:dyDescent="0.25">
      <c r="A9763" t="str">
        <f>"1750647020"</f>
        <v>1750647020</v>
      </c>
      <c r="C9763" t="s">
        <v>13436</v>
      </c>
      <c r="K9763" t="s">
        <v>99</v>
      </c>
      <c r="L9763" t="s">
        <v>102</v>
      </c>
      <c r="M9763" t="s">
        <v>75</v>
      </c>
      <c r="R9763" t="s">
        <v>40713</v>
      </c>
      <c r="S9763" t="s">
        <v>191</v>
      </c>
      <c r="T9763" t="s">
        <v>97</v>
      </c>
      <c r="U9763" t="s">
        <v>77</v>
      </c>
      <c r="V9763" t="str">
        <f>"100191147"</f>
        <v>100191147</v>
      </c>
      <c r="AC9763" t="s">
        <v>79</v>
      </c>
      <c r="AD9763" t="s">
        <v>75</v>
      </c>
      <c r="AE9763" t="s">
        <v>103</v>
      </c>
      <c r="AG9763" t="s">
        <v>81</v>
      </c>
    </row>
    <row r="9764" spans="1:33" x14ac:dyDescent="0.25">
      <c r="A9764" t="str">
        <f>"1750657458"</f>
        <v>1750657458</v>
      </c>
      <c r="C9764" t="s">
        <v>13436</v>
      </c>
      <c r="K9764" t="s">
        <v>99</v>
      </c>
      <c r="L9764" t="s">
        <v>102</v>
      </c>
      <c r="M9764" t="s">
        <v>75</v>
      </c>
      <c r="R9764" t="s">
        <v>40714</v>
      </c>
      <c r="S9764" t="s">
        <v>40715</v>
      </c>
      <c r="T9764" t="s">
        <v>4483</v>
      </c>
      <c r="U9764" t="s">
        <v>1842</v>
      </c>
      <c r="V9764" t="str">
        <f>"065191369"</f>
        <v>065191369</v>
      </c>
      <c r="AC9764" t="s">
        <v>79</v>
      </c>
      <c r="AD9764" t="s">
        <v>75</v>
      </c>
      <c r="AE9764" t="s">
        <v>103</v>
      </c>
      <c r="AG9764" t="s">
        <v>81</v>
      </c>
    </row>
    <row r="9765" spans="1:33" x14ac:dyDescent="0.25">
      <c r="A9765" t="str">
        <f>"1770558397"</f>
        <v>1770558397</v>
      </c>
      <c r="B9765" t="str">
        <f>"02732823"</f>
        <v>02732823</v>
      </c>
      <c r="C9765" t="s">
        <v>40716</v>
      </c>
      <c r="D9765" t="s">
        <v>40717</v>
      </c>
      <c r="E9765" t="s">
        <v>40718</v>
      </c>
      <c r="G9765" t="s">
        <v>24003</v>
      </c>
      <c r="J9765" t="s">
        <v>24004</v>
      </c>
      <c r="L9765" t="s">
        <v>83</v>
      </c>
      <c r="M9765" t="s">
        <v>85</v>
      </c>
      <c r="R9765" t="s">
        <v>40719</v>
      </c>
      <c r="W9765" t="s">
        <v>40720</v>
      </c>
      <c r="X9765" t="s">
        <v>1484</v>
      </c>
      <c r="Y9765" t="s">
        <v>87</v>
      </c>
      <c r="Z9765" t="s">
        <v>77</v>
      </c>
      <c r="AA9765" t="str">
        <f>"11201-5428"</f>
        <v>11201-5428</v>
      </c>
      <c r="AB9765" t="s">
        <v>78</v>
      </c>
      <c r="AC9765" t="s">
        <v>79</v>
      </c>
      <c r="AD9765" t="s">
        <v>75</v>
      </c>
      <c r="AE9765" t="s">
        <v>80</v>
      </c>
      <c r="AG9765" t="s">
        <v>81</v>
      </c>
    </row>
    <row r="9766" spans="1:33" x14ac:dyDescent="0.25">
      <c r="A9766" t="str">
        <f>"1649354036"</f>
        <v>1649354036</v>
      </c>
      <c r="B9766" t="str">
        <f>"02174707"</f>
        <v>02174707</v>
      </c>
      <c r="C9766" t="s">
        <v>40721</v>
      </c>
      <c r="D9766" t="s">
        <v>40722</v>
      </c>
      <c r="E9766" t="s">
        <v>40723</v>
      </c>
      <c r="G9766" t="s">
        <v>24003</v>
      </c>
      <c r="J9766" t="s">
        <v>24004</v>
      </c>
      <c r="L9766" t="s">
        <v>83</v>
      </c>
      <c r="M9766" t="s">
        <v>85</v>
      </c>
      <c r="R9766" t="s">
        <v>40724</v>
      </c>
      <c r="W9766" t="s">
        <v>40723</v>
      </c>
      <c r="X9766" t="s">
        <v>40725</v>
      </c>
      <c r="Y9766" t="s">
        <v>87</v>
      </c>
      <c r="Z9766" t="s">
        <v>77</v>
      </c>
      <c r="AA9766" t="str">
        <f>"11236-2339"</f>
        <v>11236-2339</v>
      </c>
      <c r="AB9766" t="s">
        <v>78</v>
      </c>
      <c r="AC9766" t="s">
        <v>79</v>
      </c>
      <c r="AD9766" t="s">
        <v>75</v>
      </c>
      <c r="AE9766" t="s">
        <v>80</v>
      </c>
      <c r="AG9766" t="s">
        <v>81</v>
      </c>
    </row>
    <row r="9767" spans="1:33" x14ac:dyDescent="0.25">
      <c r="A9767" t="str">
        <f>"1912973710"</f>
        <v>1912973710</v>
      </c>
      <c r="B9767" t="str">
        <f>"01777435"</f>
        <v>01777435</v>
      </c>
      <c r="C9767" t="s">
        <v>13436</v>
      </c>
      <c r="D9767" t="s">
        <v>40726</v>
      </c>
      <c r="E9767" t="s">
        <v>40727</v>
      </c>
      <c r="L9767" t="s">
        <v>74</v>
      </c>
      <c r="M9767" t="s">
        <v>85</v>
      </c>
      <c r="R9767" t="s">
        <v>40728</v>
      </c>
      <c r="W9767" t="s">
        <v>40729</v>
      </c>
      <c r="X9767" t="s">
        <v>40730</v>
      </c>
      <c r="Y9767" t="s">
        <v>97</v>
      </c>
      <c r="Z9767" t="s">
        <v>77</v>
      </c>
      <c r="AA9767" t="str">
        <f>"10029-6501"</f>
        <v>10029-6501</v>
      </c>
      <c r="AB9767" t="s">
        <v>78</v>
      </c>
      <c r="AC9767" t="s">
        <v>79</v>
      </c>
      <c r="AD9767" t="s">
        <v>75</v>
      </c>
      <c r="AE9767" t="s">
        <v>80</v>
      </c>
      <c r="AG9767" t="s">
        <v>81</v>
      </c>
    </row>
    <row r="9768" spans="1:33" x14ac:dyDescent="0.25">
      <c r="A9768" t="str">
        <f>"1912978479"</f>
        <v>1912978479</v>
      </c>
      <c r="B9768" t="str">
        <f>"02003372"</f>
        <v>02003372</v>
      </c>
      <c r="C9768" t="s">
        <v>13436</v>
      </c>
      <c r="D9768" t="s">
        <v>40731</v>
      </c>
      <c r="E9768" t="s">
        <v>40732</v>
      </c>
      <c r="L9768" t="s">
        <v>83</v>
      </c>
      <c r="M9768" t="s">
        <v>85</v>
      </c>
      <c r="R9768" t="s">
        <v>40733</v>
      </c>
      <c r="W9768" t="s">
        <v>40732</v>
      </c>
      <c r="X9768" t="s">
        <v>11073</v>
      </c>
      <c r="Y9768" t="s">
        <v>97</v>
      </c>
      <c r="Z9768" t="s">
        <v>77</v>
      </c>
      <c r="AA9768" t="str">
        <f>"10029-6500"</f>
        <v>10029-6500</v>
      </c>
      <c r="AB9768" t="s">
        <v>78</v>
      </c>
      <c r="AC9768" t="s">
        <v>79</v>
      </c>
      <c r="AD9768" t="s">
        <v>75</v>
      </c>
      <c r="AE9768" t="s">
        <v>80</v>
      </c>
      <c r="AG9768" t="s">
        <v>81</v>
      </c>
    </row>
    <row r="9769" spans="1:33" x14ac:dyDescent="0.25">
      <c r="A9769" t="str">
        <f>"1912978859"</f>
        <v>1912978859</v>
      </c>
      <c r="B9769" t="str">
        <f>"01644848"</f>
        <v>01644848</v>
      </c>
      <c r="C9769" t="s">
        <v>13436</v>
      </c>
      <c r="D9769" t="s">
        <v>40734</v>
      </c>
      <c r="E9769" t="s">
        <v>40735</v>
      </c>
      <c r="L9769" t="s">
        <v>74</v>
      </c>
      <c r="M9769" t="s">
        <v>85</v>
      </c>
      <c r="R9769" t="s">
        <v>40736</v>
      </c>
      <c r="W9769" t="s">
        <v>40735</v>
      </c>
      <c r="X9769" t="s">
        <v>40737</v>
      </c>
      <c r="Y9769" t="s">
        <v>300</v>
      </c>
      <c r="Z9769" t="s">
        <v>77</v>
      </c>
      <c r="AA9769" t="str">
        <f>"10954-2312"</f>
        <v>10954-2312</v>
      </c>
      <c r="AB9769" t="s">
        <v>78</v>
      </c>
      <c r="AC9769" t="s">
        <v>79</v>
      </c>
      <c r="AD9769" t="s">
        <v>75</v>
      </c>
      <c r="AE9769" t="s">
        <v>80</v>
      </c>
      <c r="AG9769" t="s">
        <v>81</v>
      </c>
    </row>
    <row r="9770" spans="1:33" x14ac:dyDescent="0.25">
      <c r="A9770" t="str">
        <f>"1912980111"</f>
        <v>1912980111</v>
      </c>
      <c r="B9770" t="str">
        <f>"01071952"</f>
        <v>01071952</v>
      </c>
      <c r="C9770" t="s">
        <v>13436</v>
      </c>
      <c r="D9770" t="s">
        <v>40738</v>
      </c>
      <c r="E9770" t="s">
        <v>40739</v>
      </c>
      <c r="L9770" t="s">
        <v>74</v>
      </c>
      <c r="M9770" t="s">
        <v>85</v>
      </c>
      <c r="R9770" t="s">
        <v>40740</v>
      </c>
      <c r="W9770" t="s">
        <v>40739</v>
      </c>
      <c r="X9770" t="s">
        <v>329</v>
      </c>
      <c r="Y9770" t="s">
        <v>97</v>
      </c>
      <c r="Z9770" t="s">
        <v>77</v>
      </c>
      <c r="AA9770" t="str">
        <f>"10029-6500"</f>
        <v>10029-6500</v>
      </c>
      <c r="AB9770" t="s">
        <v>78</v>
      </c>
      <c r="AC9770" t="s">
        <v>79</v>
      </c>
      <c r="AD9770" t="s">
        <v>75</v>
      </c>
      <c r="AE9770" t="s">
        <v>80</v>
      </c>
      <c r="AG9770" t="s">
        <v>81</v>
      </c>
    </row>
    <row r="9771" spans="1:33" x14ac:dyDescent="0.25">
      <c r="A9771" t="str">
        <f>"1922007772"</f>
        <v>1922007772</v>
      </c>
      <c r="B9771" t="str">
        <f>"02020895"</f>
        <v>02020895</v>
      </c>
      <c r="C9771" t="s">
        <v>13436</v>
      </c>
      <c r="D9771" t="s">
        <v>40741</v>
      </c>
      <c r="E9771" t="s">
        <v>40742</v>
      </c>
      <c r="L9771" t="s">
        <v>83</v>
      </c>
      <c r="M9771" t="s">
        <v>85</v>
      </c>
      <c r="R9771" t="s">
        <v>40743</v>
      </c>
      <c r="W9771" t="s">
        <v>40744</v>
      </c>
      <c r="X9771" t="s">
        <v>40745</v>
      </c>
      <c r="Y9771" t="s">
        <v>97</v>
      </c>
      <c r="Z9771" t="s">
        <v>77</v>
      </c>
      <c r="AA9771" t="str">
        <f>"10029-6500"</f>
        <v>10029-6500</v>
      </c>
      <c r="AB9771" t="s">
        <v>78</v>
      </c>
      <c r="AC9771" t="s">
        <v>79</v>
      </c>
      <c r="AD9771" t="s">
        <v>75</v>
      </c>
      <c r="AE9771" t="s">
        <v>80</v>
      </c>
      <c r="AG9771" t="s">
        <v>81</v>
      </c>
    </row>
    <row r="9772" spans="1:33" x14ac:dyDescent="0.25">
      <c r="A9772" t="str">
        <f>"1922027374"</f>
        <v>1922027374</v>
      </c>
      <c r="B9772" t="str">
        <f>"00933151"</f>
        <v>00933151</v>
      </c>
      <c r="C9772" t="s">
        <v>13436</v>
      </c>
      <c r="D9772" t="s">
        <v>40746</v>
      </c>
      <c r="E9772" t="s">
        <v>40747</v>
      </c>
      <c r="G9772" t="s">
        <v>40748</v>
      </c>
      <c r="L9772" t="s">
        <v>84</v>
      </c>
      <c r="M9772" t="s">
        <v>85</v>
      </c>
      <c r="R9772" t="s">
        <v>40749</v>
      </c>
      <c r="W9772" t="s">
        <v>40747</v>
      </c>
      <c r="X9772" t="s">
        <v>200</v>
      </c>
      <c r="Y9772" t="s">
        <v>97</v>
      </c>
      <c r="Z9772" t="s">
        <v>77</v>
      </c>
      <c r="AA9772" t="str">
        <f>"10032-3720"</f>
        <v>10032-3720</v>
      </c>
      <c r="AB9772" t="s">
        <v>78</v>
      </c>
      <c r="AC9772" t="s">
        <v>79</v>
      </c>
      <c r="AD9772" t="s">
        <v>75</v>
      </c>
      <c r="AE9772" t="s">
        <v>80</v>
      </c>
      <c r="AG9772" t="s">
        <v>81</v>
      </c>
    </row>
    <row r="9773" spans="1:33" x14ac:dyDescent="0.25">
      <c r="A9773" t="str">
        <f>"1518162692"</f>
        <v>1518162692</v>
      </c>
      <c r="B9773" t="str">
        <f>"03164683"</f>
        <v>03164683</v>
      </c>
      <c r="C9773" t="s">
        <v>40750</v>
      </c>
      <c r="D9773" t="s">
        <v>40751</v>
      </c>
      <c r="E9773" t="s">
        <v>40752</v>
      </c>
      <c r="G9773" t="s">
        <v>24003</v>
      </c>
      <c r="J9773" t="s">
        <v>24004</v>
      </c>
      <c r="L9773" t="s">
        <v>84</v>
      </c>
      <c r="M9773" t="s">
        <v>75</v>
      </c>
      <c r="R9773" t="s">
        <v>40753</v>
      </c>
      <c r="W9773" t="s">
        <v>40754</v>
      </c>
      <c r="X9773" t="s">
        <v>40755</v>
      </c>
      <c r="Y9773" t="s">
        <v>87</v>
      </c>
      <c r="Z9773" t="s">
        <v>77</v>
      </c>
      <c r="AA9773" t="str">
        <f>"11209-3802"</f>
        <v>11209-3802</v>
      </c>
      <c r="AB9773" t="s">
        <v>78</v>
      </c>
      <c r="AC9773" t="s">
        <v>79</v>
      </c>
      <c r="AD9773" t="s">
        <v>75</v>
      </c>
      <c r="AE9773" t="s">
        <v>80</v>
      </c>
      <c r="AG9773" t="s">
        <v>81</v>
      </c>
    </row>
    <row r="9774" spans="1:33" x14ac:dyDescent="0.25">
      <c r="A9774" t="str">
        <f>"1568651941"</f>
        <v>1568651941</v>
      </c>
      <c r="B9774" t="str">
        <f>"02952069"</f>
        <v>02952069</v>
      </c>
      <c r="C9774" t="s">
        <v>40756</v>
      </c>
      <c r="D9774" t="s">
        <v>40757</v>
      </c>
      <c r="E9774" t="s">
        <v>40758</v>
      </c>
      <c r="G9774" t="s">
        <v>24003</v>
      </c>
      <c r="J9774" t="s">
        <v>24004</v>
      </c>
      <c r="L9774" t="s">
        <v>102</v>
      </c>
      <c r="M9774" t="s">
        <v>75</v>
      </c>
      <c r="R9774" t="s">
        <v>40758</v>
      </c>
      <c r="W9774" t="s">
        <v>40758</v>
      </c>
      <c r="X9774" t="s">
        <v>40759</v>
      </c>
      <c r="Y9774" t="s">
        <v>87</v>
      </c>
      <c r="Z9774" t="s">
        <v>77</v>
      </c>
      <c r="AA9774" t="str">
        <f>"11215-3782"</f>
        <v>11215-3782</v>
      </c>
      <c r="AB9774" t="s">
        <v>127</v>
      </c>
      <c r="AC9774" t="s">
        <v>79</v>
      </c>
      <c r="AD9774" t="s">
        <v>75</v>
      </c>
      <c r="AE9774" t="s">
        <v>80</v>
      </c>
      <c r="AG9774" t="s">
        <v>81</v>
      </c>
    </row>
    <row r="9775" spans="1:33" x14ac:dyDescent="0.25">
      <c r="C9775" t="s">
        <v>40760</v>
      </c>
      <c r="G9775" t="s">
        <v>24003</v>
      </c>
      <c r="J9775" t="s">
        <v>24004</v>
      </c>
      <c r="K9775" t="s">
        <v>206</v>
      </c>
      <c r="L9775" t="s">
        <v>100</v>
      </c>
      <c r="M9775" t="s">
        <v>75</v>
      </c>
      <c r="N9775" t="s">
        <v>33298</v>
      </c>
      <c r="O9775" t="s">
        <v>431</v>
      </c>
      <c r="P9775" t="s">
        <v>77</v>
      </c>
      <c r="AC9775" t="s">
        <v>79</v>
      </c>
      <c r="AD9775" t="s">
        <v>75</v>
      </c>
      <c r="AE9775" t="s">
        <v>101</v>
      </c>
      <c r="AG9775" t="s">
        <v>81</v>
      </c>
    </row>
    <row r="9776" spans="1:33" x14ac:dyDescent="0.25">
      <c r="A9776" t="str">
        <f>"1073804571"</f>
        <v>1073804571</v>
      </c>
      <c r="B9776" t="str">
        <f>"03982432"</f>
        <v>03982432</v>
      </c>
      <c r="C9776" t="s">
        <v>40761</v>
      </c>
      <c r="D9776" t="s">
        <v>40762</v>
      </c>
      <c r="E9776" t="s">
        <v>40763</v>
      </c>
      <c r="G9776" t="s">
        <v>24003</v>
      </c>
      <c r="J9776" t="s">
        <v>24004</v>
      </c>
      <c r="L9776" t="s">
        <v>83</v>
      </c>
      <c r="M9776" t="s">
        <v>75</v>
      </c>
      <c r="R9776" t="s">
        <v>40763</v>
      </c>
      <c r="W9776" t="s">
        <v>40763</v>
      </c>
      <c r="X9776" t="s">
        <v>40755</v>
      </c>
      <c r="Y9776" t="s">
        <v>87</v>
      </c>
      <c r="Z9776" t="s">
        <v>77</v>
      </c>
      <c r="AA9776" t="str">
        <f>"11209-3802"</f>
        <v>11209-3802</v>
      </c>
      <c r="AB9776" t="s">
        <v>78</v>
      </c>
      <c r="AC9776" t="s">
        <v>79</v>
      </c>
      <c r="AD9776" t="s">
        <v>75</v>
      </c>
      <c r="AE9776" t="s">
        <v>80</v>
      </c>
      <c r="AG9776" t="s">
        <v>81</v>
      </c>
    </row>
    <row r="9777" spans="1:33" x14ac:dyDescent="0.25">
      <c r="A9777" t="str">
        <f>"1104951268"</f>
        <v>1104951268</v>
      </c>
      <c r="B9777" t="str">
        <f>"02060644"</f>
        <v>02060644</v>
      </c>
      <c r="C9777" t="s">
        <v>40764</v>
      </c>
      <c r="D9777" t="s">
        <v>40765</v>
      </c>
      <c r="E9777" t="s">
        <v>40766</v>
      </c>
      <c r="G9777" t="s">
        <v>24003</v>
      </c>
      <c r="J9777" t="s">
        <v>24004</v>
      </c>
      <c r="L9777" t="s">
        <v>74</v>
      </c>
      <c r="M9777" t="s">
        <v>75</v>
      </c>
      <c r="R9777" t="s">
        <v>40767</v>
      </c>
      <c r="W9777" t="s">
        <v>40768</v>
      </c>
      <c r="X9777" t="s">
        <v>40769</v>
      </c>
      <c r="Y9777" t="s">
        <v>87</v>
      </c>
      <c r="Z9777" t="s">
        <v>77</v>
      </c>
      <c r="AA9777" t="str">
        <f>"11218-2207"</f>
        <v>11218-2207</v>
      </c>
      <c r="AB9777" t="s">
        <v>78</v>
      </c>
      <c r="AC9777" t="s">
        <v>79</v>
      </c>
      <c r="AD9777" t="s">
        <v>75</v>
      </c>
      <c r="AE9777" t="s">
        <v>80</v>
      </c>
      <c r="AG9777" t="s">
        <v>81</v>
      </c>
    </row>
    <row r="9778" spans="1:33" x14ac:dyDescent="0.25">
      <c r="A9778" t="str">
        <f>"1093745556"</f>
        <v>1093745556</v>
      </c>
      <c r="B9778" t="str">
        <f>"02009561"</f>
        <v>02009561</v>
      </c>
      <c r="C9778" t="s">
        <v>40770</v>
      </c>
      <c r="D9778" t="s">
        <v>40771</v>
      </c>
      <c r="E9778" t="s">
        <v>40772</v>
      </c>
      <c r="G9778" t="s">
        <v>24003</v>
      </c>
      <c r="J9778" t="s">
        <v>24004</v>
      </c>
      <c r="L9778" t="s">
        <v>74</v>
      </c>
      <c r="M9778" t="s">
        <v>85</v>
      </c>
      <c r="R9778" t="s">
        <v>40773</v>
      </c>
      <c r="W9778" t="s">
        <v>40773</v>
      </c>
      <c r="X9778" t="s">
        <v>229</v>
      </c>
      <c r="Y9778" t="s">
        <v>230</v>
      </c>
      <c r="Z9778" t="s">
        <v>77</v>
      </c>
      <c r="AA9778" t="str">
        <f>"11795-4927"</f>
        <v>11795-4927</v>
      </c>
      <c r="AB9778" t="s">
        <v>78</v>
      </c>
      <c r="AC9778" t="s">
        <v>79</v>
      </c>
      <c r="AD9778" t="s">
        <v>75</v>
      </c>
      <c r="AE9778" t="s">
        <v>80</v>
      </c>
      <c r="AG9778" t="s">
        <v>81</v>
      </c>
    </row>
    <row r="9779" spans="1:33" x14ac:dyDescent="0.25">
      <c r="A9779" t="str">
        <f>"1285830406"</f>
        <v>1285830406</v>
      </c>
      <c r="C9779" t="s">
        <v>40770</v>
      </c>
      <c r="G9779" t="s">
        <v>24003</v>
      </c>
      <c r="J9779" t="s">
        <v>24004</v>
      </c>
      <c r="K9779" t="s">
        <v>206</v>
      </c>
      <c r="L9779" t="s">
        <v>102</v>
      </c>
      <c r="M9779" t="s">
        <v>75</v>
      </c>
      <c r="R9779" t="s">
        <v>40774</v>
      </c>
      <c r="S9779" t="s">
        <v>40775</v>
      </c>
      <c r="T9779" t="s">
        <v>129</v>
      </c>
      <c r="U9779" t="s">
        <v>77</v>
      </c>
      <c r="V9779" t="str">
        <f>"113724148"</f>
        <v>113724148</v>
      </c>
      <c r="AC9779" t="s">
        <v>79</v>
      </c>
      <c r="AD9779" t="s">
        <v>75</v>
      </c>
      <c r="AE9779" t="s">
        <v>103</v>
      </c>
      <c r="AG9779" t="s">
        <v>81</v>
      </c>
    </row>
    <row r="9780" spans="1:33" x14ac:dyDescent="0.25">
      <c r="A9780" t="str">
        <f>"1427008960"</f>
        <v>1427008960</v>
      </c>
      <c r="B9780" t="str">
        <f>"01580767"</f>
        <v>01580767</v>
      </c>
      <c r="C9780" t="s">
        <v>40776</v>
      </c>
      <c r="D9780" t="s">
        <v>40777</v>
      </c>
      <c r="E9780" t="s">
        <v>40778</v>
      </c>
      <c r="G9780" t="s">
        <v>24003</v>
      </c>
      <c r="J9780" t="s">
        <v>24004</v>
      </c>
      <c r="L9780" t="s">
        <v>84</v>
      </c>
      <c r="M9780" t="s">
        <v>85</v>
      </c>
      <c r="R9780" t="s">
        <v>40779</v>
      </c>
      <c r="W9780" t="s">
        <v>40778</v>
      </c>
      <c r="X9780" t="s">
        <v>251</v>
      </c>
      <c r="Y9780" t="s">
        <v>87</v>
      </c>
      <c r="Z9780" t="s">
        <v>77</v>
      </c>
      <c r="AA9780" t="str">
        <f>"11203-1809"</f>
        <v>11203-1809</v>
      </c>
      <c r="AB9780" t="s">
        <v>78</v>
      </c>
      <c r="AC9780" t="s">
        <v>79</v>
      </c>
      <c r="AD9780" t="s">
        <v>75</v>
      </c>
      <c r="AE9780" t="s">
        <v>80</v>
      </c>
      <c r="AG9780" t="s">
        <v>81</v>
      </c>
    </row>
    <row r="9781" spans="1:33" x14ac:dyDescent="0.25">
      <c r="A9781" t="str">
        <f>"1780635797"</f>
        <v>1780635797</v>
      </c>
      <c r="B9781" t="str">
        <f>"00711293"</f>
        <v>00711293</v>
      </c>
      <c r="C9781" t="s">
        <v>40780</v>
      </c>
      <c r="D9781" t="s">
        <v>40781</v>
      </c>
      <c r="E9781" t="s">
        <v>40782</v>
      </c>
      <c r="G9781" t="s">
        <v>24003</v>
      </c>
      <c r="J9781" t="s">
        <v>24004</v>
      </c>
      <c r="L9781" t="s">
        <v>83</v>
      </c>
      <c r="M9781" t="s">
        <v>75</v>
      </c>
      <c r="R9781" t="s">
        <v>40783</v>
      </c>
      <c r="W9781" t="s">
        <v>40784</v>
      </c>
      <c r="X9781" t="s">
        <v>40785</v>
      </c>
      <c r="Y9781" t="s">
        <v>87</v>
      </c>
      <c r="Z9781" t="s">
        <v>77</v>
      </c>
      <c r="AA9781" t="str">
        <f>"11236-5233"</f>
        <v>11236-5233</v>
      </c>
      <c r="AB9781" t="s">
        <v>78</v>
      </c>
      <c r="AC9781" t="s">
        <v>79</v>
      </c>
      <c r="AD9781" t="s">
        <v>75</v>
      </c>
      <c r="AE9781" t="s">
        <v>80</v>
      </c>
      <c r="AG9781" t="s">
        <v>81</v>
      </c>
    </row>
    <row r="9782" spans="1:33" x14ac:dyDescent="0.25">
      <c r="A9782" t="str">
        <f>"1396783999"</f>
        <v>1396783999</v>
      </c>
      <c r="B9782" t="str">
        <f>"02559662"</f>
        <v>02559662</v>
      </c>
      <c r="C9782" t="s">
        <v>40786</v>
      </c>
      <c r="D9782" t="s">
        <v>40787</v>
      </c>
      <c r="E9782" t="s">
        <v>40788</v>
      </c>
      <c r="G9782" t="s">
        <v>24003</v>
      </c>
      <c r="J9782" t="s">
        <v>24004</v>
      </c>
      <c r="L9782" t="s">
        <v>83</v>
      </c>
      <c r="M9782" t="s">
        <v>85</v>
      </c>
      <c r="R9782" t="s">
        <v>40789</v>
      </c>
      <c r="W9782" t="s">
        <v>40788</v>
      </c>
      <c r="X9782" t="s">
        <v>186</v>
      </c>
      <c r="Y9782" t="s">
        <v>97</v>
      </c>
      <c r="Z9782" t="s">
        <v>77</v>
      </c>
      <c r="AA9782" t="str">
        <f>"10029-7404"</f>
        <v>10029-7404</v>
      </c>
      <c r="AB9782" t="s">
        <v>78</v>
      </c>
      <c r="AC9782" t="s">
        <v>79</v>
      </c>
      <c r="AD9782" t="s">
        <v>75</v>
      </c>
      <c r="AE9782" t="s">
        <v>80</v>
      </c>
      <c r="AG9782" t="s">
        <v>81</v>
      </c>
    </row>
    <row r="9783" spans="1:33" x14ac:dyDescent="0.25">
      <c r="A9783" t="str">
        <f>"1053332999"</f>
        <v>1053332999</v>
      </c>
      <c r="B9783" t="str">
        <f>"00238862"</f>
        <v>00238862</v>
      </c>
      <c r="C9783" t="s">
        <v>40790</v>
      </c>
      <c r="D9783" t="s">
        <v>40791</v>
      </c>
      <c r="E9783" t="s">
        <v>40792</v>
      </c>
      <c r="G9783" t="s">
        <v>24003</v>
      </c>
      <c r="J9783" t="s">
        <v>24004</v>
      </c>
      <c r="L9783" t="s">
        <v>84</v>
      </c>
      <c r="M9783" t="s">
        <v>85</v>
      </c>
      <c r="R9783" t="s">
        <v>40793</v>
      </c>
      <c r="W9783" t="s">
        <v>40792</v>
      </c>
      <c r="X9783" t="s">
        <v>1448</v>
      </c>
      <c r="Y9783" t="s">
        <v>87</v>
      </c>
      <c r="Z9783" t="s">
        <v>77</v>
      </c>
      <c r="AA9783" t="str">
        <f>"11203-2711"</f>
        <v>11203-2711</v>
      </c>
      <c r="AB9783" t="s">
        <v>78</v>
      </c>
      <c r="AC9783" t="s">
        <v>79</v>
      </c>
      <c r="AD9783" t="s">
        <v>75</v>
      </c>
      <c r="AE9783" t="s">
        <v>80</v>
      </c>
      <c r="AG9783" t="s">
        <v>81</v>
      </c>
    </row>
    <row r="9784" spans="1:33" x14ac:dyDescent="0.25">
      <c r="A9784" t="str">
        <f>"1548558638"</f>
        <v>1548558638</v>
      </c>
      <c r="B9784" t="str">
        <f>"03989195"</f>
        <v>03989195</v>
      </c>
      <c r="C9784" t="s">
        <v>40794</v>
      </c>
      <c r="D9784" t="s">
        <v>40795</v>
      </c>
      <c r="E9784" t="s">
        <v>40796</v>
      </c>
      <c r="G9784" t="s">
        <v>24003</v>
      </c>
      <c r="J9784" t="s">
        <v>24004</v>
      </c>
      <c r="L9784" t="s">
        <v>83</v>
      </c>
      <c r="M9784" t="s">
        <v>75</v>
      </c>
      <c r="R9784" t="s">
        <v>40797</v>
      </c>
      <c r="W9784" t="s">
        <v>40796</v>
      </c>
      <c r="X9784" t="s">
        <v>40755</v>
      </c>
      <c r="Y9784" t="s">
        <v>87</v>
      </c>
      <c r="Z9784" t="s">
        <v>77</v>
      </c>
      <c r="AA9784" t="str">
        <f>"11209-3802"</f>
        <v>11209-3802</v>
      </c>
      <c r="AB9784" t="s">
        <v>78</v>
      </c>
      <c r="AC9784" t="s">
        <v>79</v>
      </c>
      <c r="AD9784" t="s">
        <v>75</v>
      </c>
      <c r="AE9784" t="s">
        <v>80</v>
      </c>
      <c r="AG9784" t="s">
        <v>81</v>
      </c>
    </row>
    <row r="9785" spans="1:33" x14ac:dyDescent="0.25">
      <c r="A9785" t="str">
        <f>"1730497454"</f>
        <v>1730497454</v>
      </c>
      <c r="B9785" t="str">
        <f>"03493478"</f>
        <v>03493478</v>
      </c>
      <c r="C9785" t="s">
        <v>13436</v>
      </c>
      <c r="D9785" t="s">
        <v>40798</v>
      </c>
      <c r="E9785" t="s">
        <v>40799</v>
      </c>
      <c r="G9785" t="s">
        <v>40800</v>
      </c>
      <c r="L9785" t="s">
        <v>83</v>
      </c>
      <c r="M9785" t="s">
        <v>85</v>
      </c>
      <c r="R9785" t="s">
        <v>40801</v>
      </c>
      <c r="W9785" t="s">
        <v>40799</v>
      </c>
      <c r="X9785" t="s">
        <v>5557</v>
      </c>
      <c r="Y9785" t="s">
        <v>97</v>
      </c>
      <c r="Z9785" t="s">
        <v>77</v>
      </c>
      <c r="AA9785" t="str">
        <f>"10029-6501"</f>
        <v>10029-6501</v>
      </c>
      <c r="AB9785" t="s">
        <v>78</v>
      </c>
      <c r="AC9785" t="s">
        <v>79</v>
      </c>
      <c r="AD9785" t="s">
        <v>75</v>
      </c>
      <c r="AE9785" t="s">
        <v>80</v>
      </c>
      <c r="AG9785" t="s">
        <v>81</v>
      </c>
    </row>
    <row r="9786" spans="1:33" x14ac:dyDescent="0.25">
      <c r="B9786" t="str">
        <f>"02267114"</f>
        <v>02267114</v>
      </c>
      <c r="C9786" t="s">
        <v>3521</v>
      </c>
      <c r="D9786" t="s">
        <v>40802</v>
      </c>
      <c r="E9786" t="s">
        <v>40803</v>
      </c>
      <c r="F9786">
        <v>112482974</v>
      </c>
      <c r="L9786" t="s">
        <v>37</v>
      </c>
      <c r="M9786" t="s">
        <v>85</v>
      </c>
      <c r="W9786" t="s">
        <v>40803</v>
      </c>
      <c r="X9786" t="s">
        <v>40804</v>
      </c>
      <c r="Y9786" t="s">
        <v>236</v>
      </c>
      <c r="Z9786" t="s">
        <v>77</v>
      </c>
      <c r="AA9786" t="str">
        <f>"11103-3804"</f>
        <v>11103-3804</v>
      </c>
      <c r="AB9786" t="s">
        <v>98</v>
      </c>
      <c r="AC9786" t="s">
        <v>79</v>
      </c>
      <c r="AD9786" t="s">
        <v>75</v>
      </c>
      <c r="AE9786" t="s">
        <v>80</v>
      </c>
      <c r="AG9786" t="s">
        <v>81</v>
      </c>
    </row>
    <row r="9787" spans="1:33" x14ac:dyDescent="0.25">
      <c r="A9787" t="str">
        <f>"1679718886"</f>
        <v>1679718886</v>
      </c>
      <c r="B9787" t="str">
        <f>"03541297"</f>
        <v>03541297</v>
      </c>
      <c r="C9787" t="s">
        <v>13436</v>
      </c>
      <c r="D9787" t="s">
        <v>40805</v>
      </c>
      <c r="E9787" t="s">
        <v>40806</v>
      </c>
      <c r="G9787" t="s">
        <v>40807</v>
      </c>
      <c r="L9787" t="s">
        <v>84</v>
      </c>
      <c r="M9787" t="s">
        <v>85</v>
      </c>
      <c r="R9787" t="s">
        <v>40808</v>
      </c>
      <c r="W9787" t="s">
        <v>40806</v>
      </c>
      <c r="X9787" t="s">
        <v>2838</v>
      </c>
      <c r="Y9787" t="s">
        <v>97</v>
      </c>
      <c r="Z9787" t="s">
        <v>77</v>
      </c>
      <c r="AA9787" t="str">
        <f>"10003-3105"</f>
        <v>10003-3105</v>
      </c>
      <c r="AB9787" t="s">
        <v>78</v>
      </c>
      <c r="AC9787" t="s">
        <v>79</v>
      </c>
      <c r="AD9787" t="s">
        <v>75</v>
      </c>
      <c r="AE9787" t="s">
        <v>80</v>
      </c>
      <c r="AG9787" t="s">
        <v>81</v>
      </c>
    </row>
    <row r="9788" spans="1:33" x14ac:dyDescent="0.25">
      <c r="A9788" t="str">
        <f>"1568457679"</f>
        <v>1568457679</v>
      </c>
      <c r="B9788" t="str">
        <f>"02584958"</f>
        <v>02584958</v>
      </c>
      <c r="C9788" t="s">
        <v>13436</v>
      </c>
      <c r="D9788" t="s">
        <v>40809</v>
      </c>
      <c r="E9788" t="s">
        <v>40810</v>
      </c>
      <c r="L9788" t="s">
        <v>83</v>
      </c>
      <c r="M9788" t="s">
        <v>85</v>
      </c>
      <c r="R9788" t="s">
        <v>40811</v>
      </c>
      <c r="W9788" t="s">
        <v>40810</v>
      </c>
      <c r="X9788" t="s">
        <v>272</v>
      </c>
      <c r="Y9788" t="s">
        <v>97</v>
      </c>
      <c r="Z9788" t="s">
        <v>77</v>
      </c>
      <c r="AA9788" t="str">
        <f>"10029-6501"</f>
        <v>10029-6501</v>
      </c>
      <c r="AB9788" t="s">
        <v>78</v>
      </c>
      <c r="AC9788" t="s">
        <v>79</v>
      </c>
      <c r="AD9788" t="s">
        <v>75</v>
      </c>
      <c r="AE9788" t="s">
        <v>80</v>
      </c>
      <c r="AG9788" t="s">
        <v>81</v>
      </c>
    </row>
    <row r="9789" spans="1:33" x14ac:dyDescent="0.25">
      <c r="A9789" t="str">
        <f>"1568463867"</f>
        <v>1568463867</v>
      </c>
      <c r="B9789" t="str">
        <f>"01614337"</f>
        <v>01614337</v>
      </c>
      <c r="C9789" t="s">
        <v>13436</v>
      </c>
      <c r="D9789" t="s">
        <v>40812</v>
      </c>
      <c r="E9789" t="s">
        <v>40813</v>
      </c>
      <c r="G9789" t="s">
        <v>40814</v>
      </c>
      <c r="L9789" t="s">
        <v>84</v>
      </c>
      <c r="M9789" t="s">
        <v>85</v>
      </c>
      <c r="R9789" t="s">
        <v>40815</v>
      </c>
      <c r="W9789" t="s">
        <v>40813</v>
      </c>
      <c r="X9789" t="s">
        <v>4891</v>
      </c>
      <c r="Y9789" t="s">
        <v>97</v>
      </c>
      <c r="Z9789" t="s">
        <v>77</v>
      </c>
      <c r="AA9789" t="str">
        <f>"10029"</f>
        <v>10029</v>
      </c>
      <c r="AB9789" t="s">
        <v>78</v>
      </c>
      <c r="AC9789" t="s">
        <v>79</v>
      </c>
      <c r="AD9789" t="s">
        <v>75</v>
      </c>
      <c r="AE9789" t="s">
        <v>80</v>
      </c>
      <c r="AG9789" t="s">
        <v>81</v>
      </c>
    </row>
    <row r="9790" spans="1:33" x14ac:dyDescent="0.25">
      <c r="A9790" t="str">
        <f>"1568478485"</f>
        <v>1568478485</v>
      </c>
      <c r="B9790" t="str">
        <f>"00374896"</f>
        <v>00374896</v>
      </c>
      <c r="C9790" t="s">
        <v>13436</v>
      </c>
      <c r="D9790" t="s">
        <v>40816</v>
      </c>
      <c r="E9790" t="s">
        <v>40817</v>
      </c>
      <c r="G9790" t="s">
        <v>40818</v>
      </c>
      <c r="L9790" t="s">
        <v>83</v>
      </c>
      <c r="M9790" t="s">
        <v>85</v>
      </c>
      <c r="R9790" t="s">
        <v>40819</v>
      </c>
      <c r="W9790" t="s">
        <v>40817</v>
      </c>
      <c r="X9790" t="s">
        <v>11945</v>
      </c>
      <c r="Y9790" t="s">
        <v>2128</v>
      </c>
      <c r="Z9790" t="s">
        <v>77</v>
      </c>
      <c r="AA9790" t="str">
        <f>"11743-2779"</f>
        <v>11743-2779</v>
      </c>
      <c r="AB9790" t="s">
        <v>78</v>
      </c>
      <c r="AC9790" t="s">
        <v>79</v>
      </c>
      <c r="AD9790" t="s">
        <v>75</v>
      </c>
      <c r="AE9790" t="s">
        <v>80</v>
      </c>
      <c r="AG9790" t="s">
        <v>81</v>
      </c>
    </row>
    <row r="9791" spans="1:33" x14ac:dyDescent="0.25">
      <c r="A9791" t="str">
        <f>"1568498640"</f>
        <v>1568498640</v>
      </c>
      <c r="B9791" t="str">
        <f>"02358625"</f>
        <v>02358625</v>
      </c>
      <c r="C9791" t="s">
        <v>13436</v>
      </c>
      <c r="D9791" t="s">
        <v>5975</v>
      </c>
      <c r="E9791" t="s">
        <v>5976</v>
      </c>
      <c r="G9791" t="s">
        <v>40820</v>
      </c>
      <c r="L9791" t="s">
        <v>83</v>
      </c>
      <c r="M9791" t="s">
        <v>85</v>
      </c>
      <c r="R9791" t="s">
        <v>5977</v>
      </c>
      <c r="W9791" t="s">
        <v>5978</v>
      </c>
      <c r="X9791" t="s">
        <v>5979</v>
      </c>
      <c r="Y9791" t="s">
        <v>180</v>
      </c>
      <c r="Z9791" t="s">
        <v>77</v>
      </c>
      <c r="AA9791" t="str">
        <f>"10701-1321"</f>
        <v>10701-1321</v>
      </c>
      <c r="AB9791" t="s">
        <v>78</v>
      </c>
      <c r="AC9791" t="s">
        <v>79</v>
      </c>
      <c r="AD9791" t="s">
        <v>75</v>
      </c>
      <c r="AE9791" t="s">
        <v>80</v>
      </c>
      <c r="AG9791" t="s">
        <v>81</v>
      </c>
    </row>
    <row r="9792" spans="1:33" x14ac:dyDescent="0.25">
      <c r="A9792" t="str">
        <f>"1568499036"</f>
        <v>1568499036</v>
      </c>
      <c r="B9792" t="str">
        <f>"01148250"</f>
        <v>01148250</v>
      </c>
      <c r="C9792" t="s">
        <v>13436</v>
      </c>
      <c r="D9792" t="s">
        <v>40821</v>
      </c>
      <c r="E9792" t="s">
        <v>40822</v>
      </c>
      <c r="G9792" t="s">
        <v>40823</v>
      </c>
      <c r="L9792" t="s">
        <v>83</v>
      </c>
      <c r="M9792" t="s">
        <v>85</v>
      </c>
      <c r="R9792" t="s">
        <v>40824</v>
      </c>
      <c r="W9792" t="s">
        <v>40822</v>
      </c>
      <c r="X9792" t="s">
        <v>7850</v>
      </c>
      <c r="Y9792" t="s">
        <v>97</v>
      </c>
      <c r="Z9792" t="s">
        <v>77</v>
      </c>
      <c r="AA9792" t="str">
        <f>"10029-6501"</f>
        <v>10029-6501</v>
      </c>
      <c r="AB9792" t="s">
        <v>78</v>
      </c>
      <c r="AC9792" t="s">
        <v>79</v>
      </c>
      <c r="AD9792" t="s">
        <v>75</v>
      </c>
      <c r="AE9792" t="s">
        <v>80</v>
      </c>
      <c r="AG9792" t="s">
        <v>81</v>
      </c>
    </row>
    <row r="9793" spans="1:33" x14ac:dyDescent="0.25">
      <c r="A9793" t="str">
        <f>"1568500163"</f>
        <v>1568500163</v>
      </c>
      <c r="C9793" t="s">
        <v>13436</v>
      </c>
      <c r="G9793" t="s">
        <v>40825</v>
      </c>
      <c r="K9793" t="s">
        <v>99</v>
      </c>
      <c r="L9793" t="s">
        <v>102</v>
      </c>
      <c r="M9793" t="s">
        <v>75</v>
      </c>
      <c r="R9793" t="s">
        <v>40826</v>
      </c>
      <c r="S9793" t="s">
        <v>40827</v>
      </c>
      <c r="T9793" t="s">
        <v>97</v>
      </c>
      <c r="U9793" t="s">
        <v>77</v>
      </c>
      <c r="V9793" t="str">
        <f>"100237902"</f>
        <v>100237902</v>
      </c>
      <c r="AC9793" t="s">
        <v>79</v>
      </c>
      <c r="AD9793" t="s">
        <v>75</v>
      </c>
      <c r="AE9793" t="s">
        <v>103</v>
      </c>
      <c r="AG9793" t="s">
        <v>81</v>
      </c>
    </row>
    <row r="9794" spans="1:33" x14ac:dyDescent="0.25">
      <c r="A9794" t="str">
        <f>"1497044762"</f>
        <v>1497044762</v>
      </c>
      <c r="B9794" t="str">
        <f>"04425201"</f>
        <v>04425201</v>
      </c>
      <c r="C9794" t="s">
        <v>13436</v>
      </c>
      <c r="D9794" t="s">
        <v>40828</v>
      </c>
      <c r="E9794" t="s">
        <v>40829</v>
      </c>
      <c r="L9794" t="s">
        <v>102</v>
      </c>
      <c r="M9794" t="s">
        <v>75</v>
      </c>
      <c r="R9794" t="s">
        <v>40830</v>
      </c>
      <c r="W9794" t="s">
        <v>40831</v>
      </c>
      <c r="X9794" t="s">
        <v>329</v>
      </c>
      <c r="Y9794" t="s">
        <v>97</v>
      </c>
      <c r="Z9794" t="s">
        <v>77</v>
      </c>
      <c r="AA9794" t="str">
        <f>"10029-6504"</f>
        <v>10029-6504</v>
      </c>
      <c r="AB9794" t="s">
        <v>78</v>
      </c>
      <c r="AC9794" t="s">
        <v>79</v>
      </c>
      <c r="AD9794" t="s">
        <v>75</v>
      </c>
      <c r="AE9794" t="s">
        <v>80</v>
      </c>
      <c r="AG9794" t="s">
        <v>81</v>
      </c>
    </row>
    <row r="9795" spans="1:33" x14ac:dyDescent="0.25">
      <c r="A9795" t="str">
        <f>"1497047955"</f>
        <v>1497047955</v>
      </c>
      <c r="B9795" t="str">
        <f>"04219949"</f>
        <v>04219949</v>
      </c>
      <c r="C9795" t="s">
        <v>13436</v>
      </c>
      <c r="D9795" t="s">
        <v>40832</v>
      </c>
      <c r="E9795" t="s">
        <v>40833</v>
      </c>
      <c r="L9795" t="s">
        <v>74</v>
      </c>
      <c r="M9795" t="s">
        <v>75</v>
      </c>
      <c r="R9795" t="s">
        <v>40834</v>
      </c>
      <c r="W9795" t="s">
        <v>40833</v>
      </c>
      <c r="X9795" t="s">
        <v>5585</v>
      </c>
      <c r="Y9795" t="s">
        <v>97</v>
      </c>
      <c r="Z9795" t="s">
        <v>77</v>
      </c>
      <c r="AA9795" t="str">
        <f>"10003-3851"</f>
        <v>10003-3851</v>
      </c>
      <c r="AB9795" t="s">
        <v>78</v>
      </c>
      <c r="AC9795" t="s">
        <v>79</v>
      </c>
      <c r="AD9795" t="s">
        <v>75</v>
      </c>
      <c r="AE9795" t="s">
        <v>80</v>
      </c>
      <c r="AG9795" t="s">
        <v>81</v>
      </c>
    </row>
    <row r="9796" spans="1:33" x14ac:dyDescent="0.25">
      <c r="A9796" t="str">
        <f>"1497053003"</f>
        <v>1497053003</v>
      </c>
      <c r="C9796" t="s">
        <v>13436</v>
      </c>
      <c r="K9796" t="s">
        <v>99</v>
      </c>
      <c r="L9796" t="s">
        <v>102</v>
      </c>
      <c r="M9796" t="s">
        <v>75</v>
      </c>
      <c r="R9796" t="s">
        <v>40835</v>
      </c>
      <c r="S9796" t="s">
        <v>40836</v>
      </c>
      <c r="T9796" t="s">
        <v>155</v>
      </c>
      <c r="U9796" t="s">
        <v>77</v>
      </c>
      <c r="V9796" t="str">
        <f>"103101664"</f>
        <v>103101664</v>
      </c>
      <c r="AC9796" t="s">
        <v>79</v>
      </c>
      <c r="AD9796" t="s">
        <v>75</v>
      </c>
      <c r="AE9796" t="s">
        <v>103</v>
      </c>
      <c r="AG9796" t="s">
        <v>81</v>
      </c>
    </row>
    <row r="9797" spans="1:33" x14ac:dyDescent="0.25">
      <c r="A9797" t="str">
        <f>"1497060222"</f>
        <v>1497060222</v>
      </c>
      <c r="B9797" t="str">
        <f>"04251552"</f>
        <v>04251552</v>
      </c>
      <c r="C9797" t="s">
        <v>13436</v>
      </c>
      <c r="D9797" t="s">
        <v>40837</v>
      </c>
      <c r="E9797" t="s">
        <v>40838</v>
      </c>
      <c r="L9797" t="s">
        <v>74</v>
      </c>
      <c r="M9797" t="s">
        <v>75</v>
      </c>
      <c r="R9797" t="s">
        <v>40838</v>
      </c>
      <c r="W9797" t="s">
        <v>40839</v>
      </c>
      <c r="X9797" t="s">
        <v>40840</v>
      </c>
      <c r="Y9797" t="s">
        <v>97</v>
      </c>
      <c r="Z9797" t="s">
        <v>77</v>
      </c>
      <c r="AA9797" t="str">
        <f>"10003-3314"</f>
        <v>10003-3314</v>
      </c>
      <c r="AB9797" t="s">
        <v>78</v>
      </c>
      <c r="AC9797" t="s">
        <v>79</v>
      </c>
      <c r="AD9797" t="s">
        <v>75</v>
      </c>
      <c r="AE9797" t="s">
        <v>80</v>
      </c>
      <c r="AG9797" t="s">
        <v>81</v>
      </c>
    </row>
    <row r="9798" spans="1:33" x14ac:dyDescent="0.25">
      <c r="A9798" t="str">
        <f>"1497068829"</f>
        <v>1497068829</v>
      </c>
      <c r="B9798" t="str">
        <f>"04209165"</f>
        <v>04209165</v>
      </c>
      <c r="C9798" t="s">
        <v>13436</v>
      </c>
      <c r="D9798" t="s">
        <v>40841</v>
      </c>
      <c r="E9798" t="s">
        <v>40842</v>
      </c>
      <c r="L9798" t="s">
        <v>83</v>
      </c>
      <c r="M9798" t="s">
        <v>75</v>
      </c>
      <c r="R9798" t="s">
        <v>40843</v>
      </c>
      <c r="W9798" t="s">
        <v>40844</v>
      </c>
      <c r="X9798" t="s">
        <v>181</v>
      </c>
      <c r="Y9798" t="s">
        <v>97</v>
      </c>
      <c r="Z9798" t="s">
        <v>77</v>
      </c>
      <c r="AA9798" t="str">
        <f>"10025-1716"</f>
        <v>10025-1716</v>
      </c>
      <c r="AB9798" t="s">
        <v>78</v>
      </c>
      <c r="AC9798" t="s">
        <v>79</v>
      </c>
      <c r="AD9798" t="s">
        <v>75</v>
      </c>
      <c r="AE9798" t="s">
        <v>80</v>
      </c>
      <c r="AG9798" t="s">
        <v>81</v>
      </c>
    </row>
    <row r="9799" spans="1:33" x14ac:dyDescent="0.25">
      <c r="A9799" t="str">
        <f>"1295078574"</f>
        <v>1295078574</v>
      </c>
      <c r="B9799" t="str">
        <f>"04393826"</f>
        <v>04393826</v>
      </c>
      <c r="C9799" t="s">
        <v>13436</v>
      </c>
      <c r="D9799" t="s">
        <v>40845</v>
      </c>
      <c r="E9799" t="s">
        <v>40846</v>
      </c>
      <c r="L9799" t="s">
        <v>74</v>
      </c>
      <c r="M9799" t="s">
        <v>75</v>
      </c>
      <c r="R9799" t="s">
        <v>40847</v>
      </c>
      <c r="W9799" t="s">
        <v>40846</v>
      </c>
      <c r="X9799" t="s">
        <v>191</v>
      </c>
      <c r="Y9799" t="s">
        <v>97</v>
      </c>
      <c r="Z9799" t="s">
        <v>77</v>
      </c>
      <c r="AA9799" t="str">
        <f>"10019-1147"</f>
        <v>10019-1147</v>
      </c>
      <c r="AB9799" t="s">
        <v>78</v>
      </c>
      <c r="AC9799" t="s">
        <v>79</v>
      </c>
      <c r="AD9799" t="s">
        <v>75</v>
      </c>
      <c r="AE9799" t="s">
        <v>80</v>
      </c>
      <c r="AG9799" t="s">
        <v>81</v>
      </c>
    </row>
    <row r="9800" spans="1:33" x14ac:dyDescent="0.25">
      <c r="A9800" t="str">
        <f>"1295078863"</f>
        <v>1295078863</v>
      </c>
      <c r="C9800" t="s">
        <v>13436</v>
      </c>
      <c r="K9800" t="s">
        <v>99</v>
      </c>
      <c r="L9800" t="s">
        <v>102</v>
      </c>
      <c r="M9800" t="s">
        <v>75</v>
      </c>
      <c r="R9800" t="s">
        <v>40848</v>
      </c>
      <c r="S9800" t="s">
        <v>28338</v>
      </c>
      <c r="T9800" t="s">
        <v>97</v>
      </c>
      <c r="U9800" t="s">
        <v>77</v>
      </c>
      <c r="V9800" t="str">
        <f>"100091834"</f>
        <v>100091834</v>
      </c>
      <c r="AC9800" t="s">
        <v>79</v>
      </c>
      <c r="AD9800" t="s">
        <v>75</v>
      </c>
      <c r="AE9800" t="s">
        <v>103</v>
      </c>
      <c r="AG9800" t="s">
        <v>81</v>
      </c>
    </row>
    <row r="9801" spans="1:33" x14ac:dyDescent="0.25">
      <c r="A9801" t="str">
        <f>"1295089365"</f>
        <v>1295089365</v>
      </c>
      <c r="C9801" t="s">
        <v>13436</v>
      </c>
      <c r="G9801" t="s">
        <v>40849</v>
      </c>
      <c r="K9801" t="s">
        <v>99</v>
      </c>
      <c r="L9801" t="s">
        <v>102</v>
      </c>
      <c r="M9801" t="s">
        <v>75</v>
      </c>
      <c r="R9801" t="s">
        <v>40850</v>
      </c>
      <c r="S9801" t="s">
        <v>40851</v>
      </c>
      <c r="T9801" t="s">
        <v>97</v>
      </c>
      <c r="U9801" t="s">
        <v>77</v>
      </c>
      <c r="V9801" t="str">
        <f>"10031"</f>
        <v>10031</v>
      </c>
      <c r="AC9801" t="s">
        <v>79</v>
      </c>
      <c r="AD9801" t="s">
        <v>75</v>
      </c>
      <c r="AE9801" t="s">
        <v>103</v>
      </c>
      <c r="AG9801" t="s">
        <v>81</v>
      </c>
    </row>
    <row r="9802" spans="1:33" x14ac:dyDescent="0.25">
      <c r="A9802" t="str">
        <f>"1295096527"</f>
        <v>1295096527</v>
      </c>
      <c r="C9802" t="s">
        <v>13436</v>
      </c>
      <c r="K9802" t="s">
        <v>99</v>
      </c>
      <c r="L9802" t="s">
        <v>102</v>
      </c>
      <c r="M9802" t="s">
        <v>75</v>
      </c>
      <c r="R9802" t="s">
        <v>40852</v>
      </c>
      <c r="S9802" t="s">
        <v>40853</v>
      </c>
      <c r="T9802" t="s">
        <v>236</v>
      </c>
      <c r="U9802" t="s">
        <v>77</v>
      </c>
      <c r="V9802" t="str">
        <f>"111061558"</f>
        <v>111061558</v>
      </c>
      <c r="AC9802" t="s">
        <v>79</v>
      </c>
      <c r="AD9802" t="s">
        <v>75</v>
      </c>
      <c r="AE9802" t="s">
        <v>103</v>
      </c>
      <c r="AG9802" t="s">
        <v>81</v>
      </c>
    </row>
    <row r="9803" spans="1:33" x14ac:dyDescent="0.25">
      <c r="A9803" t="str">
        <f>"1295146249"</f>
        <v>1295146249</v>
      </c>
      <c r="C9803" t="s">
        <v>13436</v>
      </c>
      <c r="G9803" t="s">
        <v>40854</v>
      </c>
      <c r="K9803" t="s">
        <v>99</v>
      </c>
      <c r="L9803" t="s">
        <v>74</v>
      </c>
      <c r="M9803" t="s">
        <v>75</v>
      </c>
      <c r="R9803" t="s">
        <v>40855</v>
      </c>
      <c r="S9803" t="s">
        <v>329</v>
      </c>
      <c r="T9803" t="s">
        <v>97</v>
      </c>
      <c r="U9803" t="s">
        <v>77</v>
      </c>
      <c r="V9803" t="str">
        <f>"100296504"</f>
        <v>100296504</v>
      </c>
      <c r="AC9803" t="s">
        <v>79</v>
      </c>
      <c r="AD9803" t="s">
        <v>75</v>
      </c>
      <c r="AE9803" t="s">
        <v>103</v>
      </c>
      <c r="AG9803" t="s">
        <v>81</v>
      </c>
    </row>
    <row r="9804" spans="1:33" x14ac:dyDescent="0.25">
      <c r="A9804" t="str">
        <f>"1295147833"</f>
        <v>1295147833</v>
      </c>
      <c r="C9804" t="s">
        <v>13436</v>
      </c>
      <c r="G9804" t="s">
        <v>40856</v>
      </c>
      <c r="K9804" t="s">
        <v>99</v>
      </c>
      <c r="L9804" t="s">
        <v>102</v>
      </c>
      <c r="M9804" t="s">
        <v>75</v>
      </c>
      <c r="R9804" t="s">
        <v>40857</v>
      </c>
      <c r="S9804" t="s">
        <v>40858</v>
      </c>
      <c r="T9804" t="s">
        <v>97</v>
      </c>
      <c r="U9804" t="s">
        <v>77</v>
      </c>
      <c r="V9804" t="str">
        <f>"10029"</f>
        <v>10029</v>
      </c>
      <c r="AC9804" t="s">
        <v>79</v>
      </c>
      <c r="AD9804" t="s">
        <v>75</v>
      </c>
      <c r="AE9804" t="s">
        <v>103</v>
      </c>
      <c r="AG9804" t="s">
        <v>81</v>
      </c>
    </row>
    <row r="9805" spans="1:33" x14ac:dyDescent="0.25">
      <c r="A9805" t="str">
        <f>"1679754899"</f>
        <v>1679754899</v>
      </c>
      <c r="B9805" t="str">
        <f>"00697154"</f>
        <v>00697154</v>
      </c>
      <c r="C9805" t="s">
        <v>13436</v>
      </c>
      <c r="D9805" t="s">
        <v>40859</v>
      </c>
      <c r="E9805" t="s">
        <v>40860</v>
      </c>
      <c r="L9805" t="s">
        <v>102</v>
      </c>
      <c r="M9805" t="s">
        <v>75</v>
      </c>
      <c r="R9805" t="s">
        <v>40861</v>
      </c>
      <c r="W9805" t="s">
        <v>40860</v>
      </c>
      <c r="X9805" t="s">
        <v>40862</v>
      </c>
      <c r="Y9805" t="s">
        <v>405</v>
      </c>
      <c r="Z9805" t="s">
        <v>77</v>
      </c>
      <c r="AA9805" t="str">
        <f>"10803-1814"</f>
        <v>10803-1814</v>
      </c>
      <c r="AB9805" t="s">
        <v>82</v>
      </c>
      <c r="AC9805" t="s">
        <v>79</v>
      </c>
      <c r="AD9805" t="s">
        <v>75</v>
      </c>
      <c r="AE9805" t="s">
        <v>80</v>
      </c>
      <c r="AG9805" t="s">
        <v>81</v>
      </c>
    </row>
    <row r="9806" spans="1:33" x14ac:dyDescent="0.25">
      <c r="A9806" t="str">
        <f>"1679767933"</f>
        <v>1679767933</v>
      </c>
      <c r="B9806" t="str">
        <f>"03727424"</f>
        <v>03727424</v>
      </c>
      <c r="C9806" t="s">
        <v>13436</v>
      </c>
      <c r="D9806" t="s">
        <v>40863</v>
      </c>
      <c r="E9806" t="s">
        <v>40864</v>
      </c>
      <c r="G9806" t="s">
        <v>40865</v>
      </c>
      <c r="L9806" t="s">
        <v>102</v>
      </c>
      <c r="M9806" t="s">
        <v>75</v>
      </c>
      <c r="R9806" t="s">
        <v>40864</v>
      </c>
      <c r="W9806" t="s">
        <v>40864</v>
      </c>
      <c r="X9806" t="s">
        <v>11156</v>
      </c>
      <c r="Y9806" t="s">
        <v>97</v>
      </c>
      <c r="Z9806" t="s">
        <v>77</v>
      </c>
      <c r="AA9806" t="str">
        <f>"10029-6504"</f>
        <v>10029-6504</v>
      </c>
      <c r="AB9806" t="s">
        <v>78</v>
      </c>
      <c r="AC9806" t="s">
        <v>79</v>
      </c>
      <c r="AD9806" t="s">
        <v>75</v>
      </c>
      <c r="AE9806" t="s">
        <v>80</v>
      </c>
      <c r="AG9806" t="s">
        <v>81</v>
      </c>
    </row>
    <row r="9807" spans="1:33" x14ac:dyDescent="0.25">
      <c r="A9807" t="str">
        <f>"1922041524"</f>
        <v>1922041524</v>
      </c>
      <c r="B9807" t="str">
        <f>"02052995"</f>
        <v>02052995</v>
      </c>
      <c r="C9807" t="s">
        <v>13436</v>
      </c>
      <c r="D9807" t="s">
        <v>40866</v>
      </c>
      <c r="E9807" t="s">
        <v>40867</v>
      </c>
      <c r="G9807" t="s">
        <v>40868</v>
      </c>
      <c r="L9807" t="s">
        <v>84</v>
      </c>
      <c r="M9807" t="s">
        <v>85</v>
      </c>
      <c r="R9807" t="s">
        <v>40869</v>
      </c>
      <c r="W9807" t="s">
        <v>40867</v>
      </c>
      <c r="X9807" t="s">
        <v>40870</v>
      </c>
      <c r="Y9807" t="s">
        <v>87</v>
      </c>
      <c r="Z9807" t="s">
        <v>77</v>
      </c>
      <c r="AA9807" t="str">
        <f>"11214-5813"</f>
        <v>11214-5813</v>
      </c>
      <c r="AB9807" t="s">
        <v>78</v>
      </c>
      <c r="AC9807" t="s">
        <v>79</v>
      </c>
      <c r="AD9807" t="s">
        <v>75</v>
      </c>
      <c r="AE9807" t="s">
        <v>80</v>
      </c>
      <c r="AG9807" t="s">
        <v>81</v>
      </c>
    </row>
    <row r="9808" spans="1:33" x14ac:dyDescent="0.25">
      <c r="A9808" t="str">
        <f>"1922054394"</f>
        <v>1922054394</v>
      </c>
      <c r="B9808" t="str">
        <f>"02755782"</f>
        <v>02755782</v>
      </c>
      <c r="C9808" t="s">
        <v>13436</v>
      </c>
      <c r="D9808" t="s">
        <v>40871</v>
      </c>
      <c r="E9808" t="s">
        <v>40872</v>
      </c>
      <c r="G9808" t="s">
        <v>40873</v>
      </c>
      <c r="L9808" t="s">
        <v>83</v>
      </c>
      <c r="M9808" t="s">
        <v>85</v>
      </c>
      <c r="R9808" t="s">
        <v>40874</v>
      </c>
      <c r="W9808" t="s">
        <v>40872</v>
      </c>
      <c r="X9808" t="s">
        <v>3392</v>
      </c>
      <c r="Y9808" t="s">
        <v>97</v>
      </c>
      <c r="Z9808" t="s">
        <v>77</v>
      </c>
      <c r="AA9808" t="str">
        <f>"10003"</f>
        <v>10003</v>
      </c>
      <c r="AB9808" t="s">
        <v>78</v>
      </c>
      <c r="AC9808" t="s">
        <v>79</v>
      </c>
      <c r="AD9808" t="s">
        <v>75</v>
      </c>
      <c r="AE9808" t="s">
        <v>80</v>
      </c>
      <c r="AG9808" t="s">
        <v>81</v>
      </c>
    </row>
    <row r="9809" spans="1:33" x14ac:dyDescent="0.25">
      <c r="A9809" t="str">
        <f>"1609980762"</f>
        <v>1609980762</v>
      </c>
      <c r="B9809" t="str">
        <f>"02999411"</f>
        <v>02999411</v>
      </c>
      <c r="C9809" t="s">
        <v>35123</v>
      </c>
      <c r="D9809" t="s">
        <v>35124</v>
      </c>
      <c r="E9809" t="s">
        <v>35125</v>
      </c>
      <c r="L9809" t="s">
        <v>104</v>
      </c>
      <c r="M9809" t="s">
        <v>85</v>
      </c>
      <c r="R9809" t="s">
        <v>35126</v>
      </c>
      <c r="W9809" t="s">
        <v>35125</v>
      </c>
      <c r="X9809" t="s">
        <v>35127</v>
      </c>
      <c r="Y9809" t="s">
        <v>97</v>
      </c>
      <c r="Z9809" t="s">
        <v>77</v>
      </c>
      <c r="AA9809" t="str">
        <f>"10011-6701"</f>
        <v>10011-6701</v>
      </c>
      <c r="AB9809" t="s">
        <v>122</v>
      </c>
      <c r="AC9809" t="s">
        <v>79</v>
      </c>
      <c r="AD9809" t="s">
        <v>75</v>
      </c>
      <c r="AE9809" t="s">
        <v>80</v>
      </c>
      <c r="AG9809" t="s">
        <v>81</v>
      </c>
    </row>
    <row r="9810" spans="1:33" x14ac:dyDescent="0.25">
      <c r="A9810" t="str">
        <f>"1184657215"</f>
        <v>1184657215</v>
      </c>
      <c r="B9810" t="str">
        <f>"03139186"</f>
        <v>03139186</v>
      </c>
      <c r="C9810" t="s">
        <v>39058</v>
      </c>
      <c r="D9810" t="s">
        <v>39059</v>
      </c>
      <c r="E9810" t="s">
        <v>19316</v>
      </c>
      <c r="L9810" t="s">
        <v>39060</v>
      </c>
      <c r="M9810" t="s">
        <v>85</v>
      </c>
      <c r="R9810" t="s">
        <v>27695</v>
      </c>
      <c r="W9810" t="s">
        <v>19316</v>
      </c>
      <c r="X9810" t="s">
        <v>40875</v>
      </c>
      <c r="Y9810" t="s">
        <v>87</v>
      </c>
      <c r="Z9810" t="s">
        <v>77</v>
      </c>
      <c r="AA9810" t="str">
        <f>"11217-1113"</f>
        <v>11217-1113</v>
      </c>
      <c r="AB9810" t="s">
        <v>93</v>
      </c>
      <c r="AC9810" t="s">
        <v>79</v>
      </c>
      <c r="AD9810" t="s">
        <v>75</v>
      </c>
      <c r="AE9810" t="s">
        <v>80</v>
      </c>
      <c r="AG9810" t="s">
        <v>81</v>
      </c>
    </row>
    <row r="9811" spans="1:33" x14ac:dyDescent="0.25">
      <c r="C9811" t="s">
        <v>40876</v>
      </c>
      <c r="G9811" t="s">
        <v>36840</v>
      </c>
      <c r="H9811" t="s">
        <v>36841</v>
      </c>
      <c r="J9811" t="s">
        <v>36842</v>
      </c>
      <c r="K9811" t="s">
        <v>99</v>
      </c>
      <c r="L9811" t="s">
        <v>100</v>
      </c>
      <c r="M9811" t="s">
        <v>75</v>
      </c>
      <c r="N9811" t="s">
        <v>296</v>
      </c>
      <c r="O9811" t="s">
        <v>77</v>
      </c>
      <c r="P9811">
        <v>10453</v>
      </c>
      <c r="AC9811" t="s">
        <v>79</v>
      </c>
      <c r="AD9811" t="s">
        <v>75</v>
      </c>
      <c r="AE9811" t="s">
        <v>101</v>
      </c>
      <c r="AG9811" t="s">
        <v>81</v>
      </c>
    </row>
    <row r="9812" spans="1:33" x14ac:dyDescent="0.25">
      <c r="C9812" t="s">
        <v>40877</v>
      </c>
      <c r="G9812" t="s">
        <v>36840</v>
      </c>
      <c r="H9812" t="s">
        <v>36841</v>
      </c>
      <c r="J9812" t="s">
        <v>36842</v>
      </c>
      <c r="K9812" t="s">
        <v>99</v>
      </c>
      <c r="L9812" t="s">
        <v>100</v>
      </c>
      <c r="M9812" t="s">
        <v>75</v>
      </c>
      <c r="N9812" t="s">
        <v>296</v>
      </c>
      <c r="O9812" t="s">
        <v>77</v>
      </c>
      <c r="P9812">
        <v>10459</v>
      </c>
      <c r="AC9812" t="s">
        <v>79</v>
      </c>
      <c r="AD9812" t="s">
        <v>75</v>
      </c>
      <c r="AE9812" t="s">
        <v>101</v>
      </c>
      <c r="AG9812" t="s">
        <v>81</v>
      </c>
    </row>
    <row r="9813" spans="1:33" x14ac:dyDescent="0.25">
      <c r="C9813" t="s">
        <v>40878</v>
      </c>
      <c r="G9813" t="s">
        <v>36840</v>
      </c>
      <c r="H9813" t="s">
        <v>36841</v>
      </c>
      <c r="J9813" t="s">
        <v>36842</v>
      </c>
      <c r="K9813" t="s">
        <v>99</v>
      </c>
      <c r="L9813" t="s">
        <v>100</v>
      </c>
      <c r="M9813" t="s">
        <v>75</v>
      </c>
      <c r="N9813" t="s">
        <v>296</v>
      </c>
      <c r="O9813" t="s">
        <v>77</v>
      </c>
      <c r="P9813">
        <v>10456</v>
      </c>
      <c r="AC9813" t="s">
        <v>79</v>
      </c>
      <c r="AD9813" t="s">
        <v>75</v>
      </c>
      <c r="AE9813" t="s">
        <v>101</v>
      </c>
      <c r="AG9813" t="s">
        <v>81</v>
      </c>
    </row>
    <row r="9814" spans="1:33" x14ac:dyDescent="0.25">
      <c r="A9814" t="str">
        <f>"1700085719"</f>
        <v>1700085719</v>
      </c>
      <c r="B9814" t="str">
        <f>"01303355"</f>
        <v>01303355</v>
      </c>
      <c r="C9814" t="s">
        <v>40879</v>
      </c>
      <c r="D9814" t="s">
        <v>36838</v>
      </c>
      <c r="E9814" t="s">
        <v>36839</v>
      </c>
      <c r="G9814" t="s">
        <v>36840</v>
      </c>
      <c r="H9814" t="s">
        <v>36841</v>
      </c>
      <c r="J9814" t="s">
        <v>36842</v>
      </c>
      <c r="L9814" t="s">
        <v>10</v>
      </c>
      <c r="M9814" t="s">
        <v>85</v>
      </c>
      <c r="R9814" t="s">
        <v>36843</v>
      </c>
      <c r="W9814" t="s">
        <v>36839</v>
      </c>
      <c r="X9814" t="s">
        <v>1283</v>
      </c>
      <c r="Y9814" t="s">
        <v>97</v>
      </c>
      <c r="Z9814" t="s">
        <v>77</v>
      </c>
      <c r="AA9814" t="str">
        <f>"10004-3412"</f>
        <v>10004-3412</v>
      </c>
      <c r="AB9814" t="s">
        <v>98</v>
      </c>
      <c r="AC9814" t="s">
        <v>79</v>
      </c>
      <c r="AD9814" t="s">
        <v>75</v>
      </c>
      <c r="AE9814" t="s">
        <v>80</v>
      </c>
      <c r="AG9814" t="s">
        <v>81</v>
      </c>
    </row>
    <row r="9815" spans="1:33" x14ac:dyDescent="0.25">
      <c r="A9815" t="str">
        <f>"1700869716"</f>
        <v>1700869716</v>
      </c>
      <c r="B9815" t="str">
        <f>"01825341"</f>
        <v>01825341</v>
      </c>
      <c r="C9815" t="s">
        <v>13436</v>
      </c>
      <c r="D9815" t="s">
        <v>40880</v>
      </c>
      <c r="E9815" t="s">
        <v>40881</v>
      </c>
      <c r="L9815" t="s">
        <v>83</v>
      </c>
      <c r="M9815" t="s">
        <v>75</v>
      </c>
      <c r="R9815" t="s">
        <v>40882</v>
      </c>
      <c r="W9815" t="s">
        <v>40881</v>
      </c>
      <c r="X9815" t="s">
        <v>40883</v>
      </c>
      <c r="Y9815" t="s">
        <v>508</v>
      </c>
      <c r="Z9815" t="s">
        <v>77</v>
      </c>
      <c r="AA9815" t="str">
        <f>"11357-3237"</f>
        <v>11357-3237</v>
      </c>
      <c r="AB9815" t="s">
        <v>78</v>
      </c>
      <c r="AC9815" t="s">
        <v>79</v>
      </c>
      <c r="AD9815" t="s">
        <v>75</v>
      </c>
      <c r="AE9815" t="s">
        <v>80</v>
      </c>
      <c r="AG9815" t="s">
        <v>81</v>
      </c>
    </row>
    <row r="9816" spans="1:33" x14ac:dyDescent="0.25">
      <c r="A9816" t="str">
        <f>"1700893526"</f>
        <v>1700893526</v>
      </c>
      <c r="B9816" t="str">
        <f>"02799035"</f>
        <v>02799035</v>
      </c>
      <c r="C9816" t="s">
        <v>13436</v>
      </c>
      <c r="D9816" t="s">
        <v>2927</v>
      </c>
      <c r="E9816" t="s">
        <v>2928</v>
      </c>
      <c r="L9816" t="s">
        <v>74</v>
      </c>
      <c r="M9816" t="s">
        <v>75</v>
      </c>
      <c r="R9816" t="s">
        <v>2929</v>
      </c>
      <c r="W9816" t="s">
        <v>2928</v>
      </c>
      <c r="X9816" t="s">
        <v>318</v>
      </c>
      <c r="Y9816" t="s">
        <v>131</v>
      </c>
      <c r="Z9816" t="s">
        <v>77</v>
      </c>
      <c r="AA9816" t="str">
        <f>"10457-7606"</f>
        <v>10457-7606</v>
      </c>
      <c r="AB9816" t="s">
        <v>78</v>
      </c>
      <c r="AC9816" t="s">
        <v>79</v>
      </c>
      <c r="AD9816" t="s">
        <v>75</v>
      </c>
      <c r="AE9816" t="s">
        <v>80</v>
      </c>
      <c r="AG9816" t="s">
        <v>81</v>
      </c>
    </row>
    <row r="9817" spans="1:33" x14ac:dyDescent="0.25">
      <c r="A9817" t="str">
        <f>"1740295526"</f>
        <v>1740295526</v>
      </c>
      <c r="B9817" t="str">
        <f>"02912412"</f>
        <v>02912412</v>
      </c>
      <c r="C9817" t="s">
        <v>40884</v>
      </c>
      <c r="D9817" t="s">
        <v>40885</v>
      </c>
      <c r="E9817" t="s">
        <v>40886</v>
      </c>
      <c r="G9817" t="s">
        <v>35048</v>
      </c>
      <c r="H9817" t="s">
        <v>35049</v>
      </c>
      <c r="J9817" t="s">
        <v>35050</v>
      </c>
      <c r="L9817" t="s">
        <v>83</v>
      </c>
      <c r="M9817" t="s">
        <v>75</v>
      </c>
      <c r="R9817" t="s">
        <v>40886</v>
      </c>
      <c r="W9817" t="s">
        <v>40887</v>
      </c>
      <c r="X9817" t="s">
        <v>40888</v>
      </c>
      <c r="Y9817" t="s">
        <v>97</v>
      </c>
      <c r="Z9817" t="s">
        <v>77</v>
      </c>
      <c r="AA9817" t="str">
        <f>"10016-9196"</f>
        <v>10016-9196</v>
      </c>
      <c r="AB9817" t="s">
        <v>78</v>
      </c>
      <c r="AC9817" t="s">
        <v>79</v>
      </c>
      <c r="AD9817" t="s">
        <v>75</v>
      </c>
      <c r="AE9817" t="s">
        <v>80</v>
      </c>
      <c r="AG9817" t="s">
        <v>81</v>
      </c>
    </row>
    <row r="9818" spans="1:33" x14ac:dyDescent="0.25">
      <c r="A9818" t="str">
        <f>"1457751463"</f>
        <v>1457751463</v>
      </c>
      <c r="C9818" t="s">
        <v>13436</v>
      </c>
      <c r="G9818" t="s">
        <v>40889</v>
      </c>
      <c r="K9818" t="s">
        <v>99</v>
      </c>
      <c r="L9818" t="s">
        <v>102</v>
      </c>
      <c r="M9818" t="s">
        <v>75</v>
      </c>
      <c r="R9818" t="s">
        <v>40890</v>
      </c>
      <c r="S9818" t="s">
        <v>40891</v>
      </c>
      <c r="T9818" t="s">
        <v>97</v>
      </c>
      <c r="U9818" t="s">
        <v>77</v>
      </c>
      <c r="V9818" t="str">
        <f>"100296504"</f>
        <v>100296504</v>
      </c>
      <c r="AC9818" t="s">
        <v>79</v>
      </c>
      <c r="AD9818" t="s">
        <v>75</v>
      </c>
      <c r="AE9818" t="s">
        <v>103</v>
      </c>
      <c r="AG9818" t="s">
        <v>81</v>
      </c>
    </row>
    <row r="9819" spans="1:33" x14ac:dyDescent="0.25">
      <c r="A9819" t="str">
        <f>"1275783565"</f>
        <v>1275783565</v>
      </c>
      <c r="B9819" t="str">
        <f>"03994387"</f>
        <v>03994387</v>
      </c>
      <c r="C9819" t="s">
        <v>13436</v>
      </c>
      <c r="D9819" t="s">
        <v>40892</v>
      </c>
      <c r="E9819" t="s">
        <v>40893</v>
      </c>
      <c r="G9819" t="s">
        <v>40894</v>
      </c>
      <c r="L9819" t="s">
        <v>83</v>
      </c>
      <c r="M9819" t="s">
        <v>75</v>
      </c>
      <c r="R9819" t="s">
        <v>40895</v>
      </c>
      <c r="W9819" t="s">
        <v>40893</v>
      </c>
      <c r="X9819" t="s">
        <v>329</v>
      </c>
      <c r="Y9819" t="s">
        <v>97</v>
      </c>
      <c r="Z9819" t="s">
        <v>77</v>
      </c>
      <c r="AA9819" t="str">
        <f>"10029-6504"</f>
        <v>10029-6504</v>
      </c>
      <c r="AB9819" t="s">
        <v>78</v>
      </c>
      <c r="AC9819" t="s">
        <v>79</v>
      </c>
      <c r="AD9819" t="s">
        <v>75</v>
      </c>
      <c r="AE9819" t="s">
        <v>80</v>
      </c>
      <c r="AG9819" t="s">
        <v>81</v>
      </c>
    </row>
    <row r="9820" spans="1:33" x14ac:dyDescent="0.25">
      <c r="A9820" t="str">
        <f>"1467588855"</f>
        <v>1467588855</v>
      </c>
      <c r="B9820" t="str">
        <f>"01983788"</f>
        <v>01983788</v>
      </c>
      <c r="C9820" t="s">
        <v>13436</v>
      </c>
      <c r="D9820" t="s">
        <v>40896</v>
      </c>
      <c r="E9820" t="s">
        <v>40897</v>
      </c>
      <c r="G9820" t="s">
        <v>40898</v>
      </c>
      <c r="L9820" t="s">
        <v>74</v>
      </c>
      <c r="M9820" t="s">
        <v>75</v>
      </c>
      <c r="R9820" t="s">
        <v>40899</v>
      </c>
      <c r="W9820" t="s">
        <v>40897</v>
      </c>
      <c r="X9820" t="s">
        <v>3006</v>
      </c>
      <c r="Y9820" t="s">
        <v>131</v>
      </c>
      <c r="Z9820" t="s">
        <v>77</v>
      </c>
      <c r="AA9820" t="str">
        <f>"10457-2545"</f>
        <v>10457-2545</v>
      </c>
      <c r="AB9820" t="s">
        <v>78</v>
      </c>
      <c r="AC9820" t="s">
        <v>79</v>
      </c>
      <c r="AD9820" t="s">
        <v>75</v>
      </c>
      <c r="AE9820" t="s">
        <v>80</v>
      </c>
      <c r="AG9820" t="s">
        <v>81</v>
      </c>
    </row>
    <row r="9821" spans="1:33" x14ac:dyDescent="0.25">
      <c r="A9821" t="str">
        <f>"1629174255"</f>
        <v>1629174255</v>
      </c>
      <c r="B9821" t="str">
        <f>"02863129"</f>
        <v>02863129</v>
      </c>
      <c r="C9821" t="s">
        <v>13436</v>
      </c>
      <c r="D9821" t="s">
        <v>40900</v>
      </c>
      <c r="E9821" t="s">
        <v>40901</v>
      </c>
      <c r="G9821" t="s">
        <v>40902</v>
      </c>
      <c r="L9821" t="s">
        <v>83</v>
      </c>
      <c r="M9821" t="s">
        <v>85</v>
      </c>
      <c r="R9821" t="s">
        <v>40903</v>
      </c>
      <c r="W9821" t="s">
        <v>40901</v>
      </c>
      <c r="X9821" t="s">
        <v>942</v>
      </c>
      <c r="Y9821" t="s">
        <v>97</v>
      </c>
      <c r="Z9821" t="s">
        <v>77</v>
      </c>
      <c r="AA9821" t="str">
        <f>"10029-6508"</f>
        <v>10029-6508</v>
      </c>
      <c r="AB9821" t="s">
        <v>78</v>
      </c>
      <c r="AC9821" t="s">
        <v>79</v>
      </c>
      <c r="AD9821" t="s">
        <v>75</v>
      </c>
      <c r="AE9821" t="s">
        <v>80</v>
      </c>
      <c r="AG9821" t="s">
        <v>81</v>
      </c>
    </row>
    <row r="9822" spans="1:33" x14ac:dyDescent="0.25">
      <c r="A9822" t="str">
        <f>"1629203096"</f>
        <v>1629203096</v>
      </c>
      <c r="B9822" t="str">
        <f>"04023516"</f>
        <v>04023516</v>
      </c>
      <c r="C9822" t="s">
        <v>13436</v>
      </c>
      <c r="D9822" t="s">
        <v>40904</v>
      </c>
      <c r="E9822" t="s">
        <v>40905</v>
      </c>
      <c r="G9822" t="s">
        <v>40906</v>
      </c>
      <c r="L9822" t="s">
        <v>105</v>
      </c>
      <c r="M9822" t="s">
        <v>75</v>
      </c>
      <c r="R9822" t="s">
        <v>40907</v>
      </c>
      <c r="W9822" t="s">
        <v>40905</v>
      </c>
      <c r="X9822" t="s">
        <v>15625</v>
      </c>
      <c r="Y9822" t="s">
        <v>97</v>
      </c>
      <c r="Z9822" t="s">
        <v>77</v>
      </c>
      <c r="AA9822" t="str">
        <f>"10025-1710"</f>
        <v>10025-1710</v>
      </c>
      <c r="AB9822" t="s">
        <v>78</v>
      </c>
      <c r="AC9822" t="s">
        <v>79</v>
      </c>
      <c r="AD9822" t="s">
        <v>75</v>
      </c>
      <c r="AE9822" t="s">
        <v>80</v>
      </c>
      <c r="AG9822" t="s">
        <v>81</v>
      </c>
    </row>
    <row r="9823" spans="1:33" x14ac:dyDescent="0.25">
      <c r="A9823" t="str">
        <f>"1467486589"</f>
        <v>1467486589</v>
      </c>
      <c r="B9823" t="str">
        <f>"01019887"</f>
        <v>01019887</v>
      </c>
      <c r="C9823" t="s">
        <v>40908</v>
      </c>
      <c r="D9823" t="s">
        <v>40909</v>
      </c>
      <c r="E9823" t="s">
        <v>40910</v>
      </c>
      <c r="G9823" t="s">
        <v>40908</v>
      </c>
      <c r="L9823" t="s">
        <v>84</v>
      </c>
      <c r="M9823" t="s">
        <v>75</v>
      </c>
      <c r="R9823" t="s">
        <v>40911</v>
      </c>
      <c r="W9823" t="s">
        <v>40910</v>
      </c>
      <c r="X9823" t="s">
        <v>10317</v>
      </c>
      <c r="Y9823" t="s">
        <v>87</v>
      </c>
      <c r="Z9823" t="s">
        <v>77</v>
      </c>
      <c r="AA9823" t="str">
        <f>"11201-2712"</f>
        <v>11201-2712</v>
      </c>
      <c r="AB9823" t="s">
        <v>78</v>
      </c>
      <c r="AC9823" t="s">
        <v>79</v>
      </c>
      <c r="AD9823" t="s">
        <v>75</v>
      </c>
      <c r="AE9823" t="s">
        <v>80</v>
      </c>
      <c r="AG9823" t="s">
        <v>81</v>
      </c>
    </row>
    <row r="9824" spans="1:33" x14ac:dyDescent="0.25">
      <c r="A9824" t="str">
        <f>"1467523498"</f>
        <v>1467523498</v>
      </c>
      <c r="B9824" t="str">
        <f>"00307906"</f>
        <v>00307906</v>
      </c>
      <c r="C9824" t="s">
        <v>40912</v>
      </c>
      <c r="D9824" t="s">
        <v>40913</v>
      </c>
      <c r="E9824" t="s">
        <v>40914</v>
      </c>
      <c r="G9824" t="s">
        <v>40912</v>
      </c>
      <c r="L9824" t="s">
        <v>83</v>
      </c>
      <c r="M9824" t="s">
        <v>75</v>
      </c>
      <c r="R9824" t="s">
        <v>40915</v>
      </c>
      <c r="W9824" t="s">
        <v>40914</v>
      </c>
      <c r="X9824" t="s">
        <v>40916</v>
      </c>
      <c r="Y9824" t="s">
        <v>87</v>
      </c>
      <c r="Z9824" t="s">
        <v>77</v>
      </c>
      <c r="AA9824" t="str">
        <f>"11219-2632"</f>
        <v>11219-2632</v>
      </c>
      <c r="AB9824" t="s">
        <v>78</v>
      </c>
      <c r="AC9824" t="s">
        <v>79</v>
      </c>
      <c r="AD9824" t="s">
        <v>75</v>
      </c>
      <c r="AE9824" t="s">
        <v>80</v>
      </c>
      <c r="AG9824" t="s">
        <v>81</v>
      </c>
    </row>
    <row r="9825" spans="1:33" x14ac:dyDescent="0.25">
      <c r="A9825" t="str">
        <f>"1467557389"</f>
        <v>1467557389</v>
      </c>
      <c r="B9825" t="str">
        <f>"01789142"</f>
        <v>01789142</v>
      </c>
      <c r="C9825" t="s">
        <v>40917</v>
      </c>
      <c r="D9825" t="s">
        <v>40918</v>
      </c>
      <c r="E9825" t="s">
        <v>40919</v>
      </c>
      <c r="G9825" t="s">
        <v>40917</v>
      </c>
      <c r="L9825" t="s">
        <v>83</v>
      </c>
      <c r="M9825" t="s">
        <v>75</v>
      </c>
      <c r="R9825" t="s">
        <v>40920</v>
      </c>
      <c r="W9825" t="s">
        <v>40919</v>
      </c>
      <c r="X9825" t="s">
        <v>31400</v>
      </c>
      <c r="Y9825" t="s">
        <v>97</v>
      </c>
      <c r="Z9825" t="s">
        <v>77</v>
      </c>
      <c r="AA9825" t="str">
        <f>"10128-4077"</f>
        <v>10128-4077</v>
      </c>
      <c r="AB9825" t="s">
        <v>78</v>
      </c>
      <c r="AC9825" t="s">
        <v>79</v>
      </c>
      <c r="AD9825" t="s">
        <v>75</v>
      </c>
      <c r="AE9825" t="s">
        <v>80</v>
      </c>
      <c r="AG9825" t="s">
        <v>81</v>
      </c>
    </row>
    <row r="9826" spans="1:33" x14ac:dyDescent="0.25">
      <c r="A9826" t="str">
        <f>"1477591204"</f>
        <v>1477591204</v>
      </c>
      <c r="B9826" t="str">
        <f>"01724010"</f>
        <v>01724010</v>
      </c>
      <c r="C9826" t="s">
        <v>40921</v>
      </c>
      <c r="D9826" t="s">
        <v>40922</v>
      </c>
      <c r="E9826" t="s">
        <v>40923</v>
      </c>
      <c r="G9826" t="s">
        <v>40921</v>
      </c>
      <c r="L9826" t="s">
        <v>84</v>
      </c>
      <c r="M9826" t="s">
        <v>85</v>
      </c>
      <c r="R9826" t="s">
        <v>40924</v>
      </c>
      <c r="W9826" t="s">
        <v>40923</v>
      </c>
      <c r="X9826" t="s">
        <v>40925</v>
      </c>
      <c r="Y9826" t="s">
        <v>91</v>
      </c>
      <c r="Z9826" t="s">
        <v>77</v>
      </c>
      <c r="AA9826" t="str">
        <f>"11373-4437"</f>
        <v>11373-4437</v>
      </c>
      <c r="AB9826" t="s">
        <v>78</v>
      </c>
      <c r="AC9826" t="s">
        <v>79</v>
      </c>
      <c r="AD9826" t="s">
        <v>75</v>
      </c>
      <c r="AE9826" t="s">
        <v>80</v>
      </c>
      <c r="AG9826" t="s">
        <v>81</v>
      </c>
    </row>
    <row r="9827" spans="1:33" x14ac:dyDescent="0.25">
      <c r="A9827" t="str">
        <f>"1477621852"</f>
        <v>1477621852</v>
      </c>
      <c r="B9827" t="str">
        <f>"00832339"</f>
        <v>00832339</v>
      </c>
      <c r="C9827" t="s">
        <v>40926</v>
      </c>
      <c r="D9827" t="s">
        <v>40927</v>
      </c>
      <c r="E9827" t="s">
        <v>40928</v>
      </c>
      <c r="G9827" t="s">
        <v>40926</v>
      </c>
      <c r="L9827" t="s">
        <v>84</v>
      </c>
      <c r="M9827" t="s">
        <v>75</v>
      </c>
      <c r="R9827" t="s">
        <v>40929</v>
      </c>
      <c r="W9827" t="s">
        <v>40928</v>
      </c>
      <c r="X9827" t="s">
        <v>162</v>
      </c>
      <c r="Y9827" t="s">
        <v>87</v>
      </c>
      <c r="Z9827" t="s">
        <v>77</v>
      </c>
      <c r="AA9827" t="str">
        <f>"11215-3609"</f>
        <v>11215-3609</v>
      </c>
      <c r="AB9827" t="s">
        <v>78</v>
      </c>
      <c r="AC9827" t="s">
        <v>79</v>
      </c>
      <c r="AD9827" t="s">
        <v>75</v>
      </c>
      <c r="AE9827" t="s">
        <v>80</v>
      </c>
      <c r="AG9827" t="s">
        <v>81</v>
      </c>
    </row>
    <row r="9828" spans="1:33" x14ac:dyDescent="0.25">
      <c r="A9828" t="str">
        <f>"1477789667"</f>
        <v>1477789667</v>
      </c>
      <c r="B9828" t="str">
        <f>"03134609"</f>
        <v>03134609</v>
      </c>
      <c r="C9828" t="s">
        <v>40930</v>
      </c>
      <c r="D9828" t="s">
        <v>40931</v>
      </c>
      <c r="E9828" t="s">
        <v>40932</v>
      </c>
      <c r="G9828" t="s">
        <v>40930</v>
      </c>
      <c r="L9828" t="s">
        <v>84</v>
      </c>
      <c r="M9828" t="s">
        <v>75</v>
      </c>
      <c r="R9828" t="s">
        <v>40933</v>
      </c>
      <c r="W9828" t="s">
        <v>40932</v>
      </c>
      <c r="X9828" t="s">
        <v>12212</v>
      </c>
      <c r="Y9828" t="s">
        <v>288</v>
      </c>
      <c r="Z9828" t="s">
        <v>77</v>
      </c>
      <c r="AA9828" t="str">
        <f>"11520-3743"</f>
        <v>11520-3743</v>
      </c>
      <c r="AB9828" t="s">
        <v>78</v>
      </c>
      <c r="AC9828" t="s">
        <v>79</v>
      </c>
      <c r="AD9828" t="s">
        <v>75</v>
      </c>
      <c r="AE9828" t="s">
        <v>80</v>
      </c>
      <c r="AG9828" t="s">
        <v>81</v>
      </c>
    </row>
    <row r="9829" spans="1:33" x14ac:dyDescent="0.25">
      <c r="A9829" t="str">
        <f>"1487627360"</f>
        <v>1487627360</v>
      </c>
      <c r="B9829" t="str">
        <f>"02729248"</f>
        <v>02729248</v>
      </c>
      <c r="C9829" t="s">
        <v>40934</v>
      </c>
      <c r="D9829" t="s">
        <v>40935</v>
      </c>
      <c r="E9829" t="s">
        <v>40936</v>
      </c>
      <c r="G9829" t="s">
        <v>40934</v>
      </c>
      <c r="L9829" t="s">
        <v>83</v>
      </c>
      <c r="M9829" t="s">
        <v>75</v>
      </c>
      <c r="R9829" t="s">
        <v>40937</v>
      </c>
      <c r="W9829" t="s">
        <v>40938</v>
      </c>
      <c r="X9829" t="s">
        <v>2779</v>
      </c>
      <c r="Y9829" t="s">
        <v>87</v>
      </c>
      <c r="Z9829" t="s">
        <v>77</v>
      </c>
      <c r="AA9829" t="str">
        <f>"11217-1702"</f>
        <v>11217-1702</v>
      </c>
      <c r="AB9829" t="s">
        <v>78</v>
      </c>
      <c r="AC9829" t="s">
        <v>79</v>
      </c>
      <c r="AD9829" t="s">
        <v>75</v>
      </c>
      <c r="AE9829" t="s">
        <v>80</v>
      </c>
      <c r="AG9829" t="s">
        <v>81</v>
      </c>
    </row>
    <row r="9830" spans="1:33" x14ac:dyDescent="0.25">
      <c r="A9830" t="str">
        <f>"1487820965"</f>
        <v>1487820965</v>
      </c>
      <c r="B9830" t="str">
        <f>"03472039"</f>
        <v>03472039</v>
      </c>
      <c r="C9830" t="s">
        <v>40939</v>
      </c>
      <c r="D9830" t="s">
        <v>40940</v>
      </c>
      <c r="E9830" t="s">
        <v>40941</v>
      </c>
      <c r="G9830" t="s">
        <v>40939</v>
      </c>
      <c r="L9830" t="s">
        <v>83</v>
      </c>
      <c r="M9830" t="s">
        <v>75</v>
      </c>
      <c r="R9830" t="s">
        <v>40942</v>
      </c>
      <c r="W9830" t="s">
        <v>40941</v>
      </c>
      <c r="X9830" t="s">
        <v>2779</v>
      </c>
      <c r="Y9830" t="s">
        <v>87</v>
      </c>
      <c r="Z9830" t="s">
        <v>77</v>
      </c>
      <c r="AA9830" t="str">
        <f>"11217-1702"</f>
        <v>11217-1702</v>
      </c>
      <c r="AB9830" t="s">
        <v>78</v>
      </c>
      <c r="AC9830" t="s">
        <v>79</v>
      </c>
      <c r="AD9830" t="s">
        <v>75</v>
      </c>
      <c r="AE9830" t="s">
        <v>80</v>
      </c>
      <c r="AG9830" t="s">
        <v>81</v>
      </c>
    </row>
    <row r="9831" spans="1:33" x14ac:dyDescent="0.25">
      <c r="A9831" t="str">
        <f>"1508029232"</f>
        <v>1508029232</v>
      </c>
      <c r="B9831" t="str">
        <f>"03631243"</f>
        <v>03631243</v>
      </c>
      <c r="C9831" t="s">
        <v>40943</v>
      </c>
      <c r="D9831" t="s">
        <v>40944</v>
      </c>
      <c r="E9831" t="s">
        <v>40945</v>
      </c>
      <c r="G9831" t="s">
        <v>40943</v>
      </c>
      <c r="L9831" t="s">
        <v>84</v>
      </c>
      <c r="M9831" t="s">
        <v>75</v>
      </c>
      <c r="R9831" t="s">
        <v>40945</v>
      </c>
      <c r="W9831" t="s">
        <v>40945</v>
      </c>
      <c r="X9831" t="s">
        <v>2779</v>
      </c>
      <c r="Y9831" t="s">
        <v>87</v>
      </c>
      <c r="Z9831" t="s">
        <v>77</v>
      </c>
      <c r="AA9831" t="str">
        <f>"11217-1702"</f>
        <v>11217-1702</v>
      </c>
      <c r="AB9831" t="s">
        <v>78</v>
      </c>
      <c r="AC9831" t="s">
        <v>79</v>
      </c>
      <c r="AD9831" t="s">
        <v>75</v>
      </c>
      <c r="AE9831" t="s">
        <v>80</v>
      </c>
      <c r="AG9831" t="s">
        <v>81</v>
      </c>
    </row>
    <row r="9832" spans="1:33" x14ac:dyDescent="0.25">
      <c r="A9832" t="str">
        <f>"1508185844"</f>
        <v>1508185844</v>
      </c>
      <c r="C9832" t="s">
        <v>40946</v>
      </c>
      <c r="G9832" t="s">
        <v>40946</v>
      </c>
      <c r="K9832" t="s">
        <v>99</v>
      </c>
      <c r="L9832" t="s">
        <v>102</v>
      </c>
      <c r="M9832" t="s">
        <v>75</v>
      </c>
      <c r="R9832" t="s">
        <v>40947</v>
      </c>
      <c r="S9832" t="s">
        <v>8978</v>
      </c>
      <c r="T9832" t="s">
        <v>155</v>
      </c>
      <c r="U9832" t="s">
        <v>77</v>
      </c>
      <c r="V9832" t="str">
        <f>"103013627"</f>
        <v>103013627</v>
      </c>
      <c r="AC9832" t="s">
        <v>79</v>
      </c>
      <c r="AD9832" t="s">
        <v>75</v>
      </c>
      <c r="AE9832" t="s">
        <v>103</v>
      </c>
      <c r="AG9832" t="s">
        <v>81</v>
      </c>
    </row>
    <row r="9833" spans="1:33" x14ac:dyDescent="0.25">
      <c r="A9833" t="str">
        <f>"1508828849"</f>
        <v>1508828849</v>
      </c>
      <c r="B9833" t="str">
        <f>"00959215"</f>
        <v>00959215</v>
      </c>
      <c r="C9833" t="s">
        <v>40948</v>
      </c>
      <c r="D9833" t="s">
        <v>40949</v>
      </c>
      <c r="E9833" t="s">
        <v>40950</v>
      </c>
      <c r="G9833" t="s">
        <v>40948</v>
      </c>
      <c r="L9833" t="s">
        <v>84</v>
      </c>
      <c r="M9833" t="s">
        <v>75</v>
      </c>
      <c r="R9833" t="s">
        <v>40951</v>
      </c>
      <c r="W9833" t="s">
        <v>40950</v>
      </c>
      <c r="X9833" t="s">
        <v>40952</v>
      </c>
      <c r="Y9833" t="s">
        <v>155</v>
      </c>
      <c r="Z9833" t="s">
        <v>77</v>
      </c>
      <c r="AA9833" t="str">
        <f>"10312-6315"</f>
        <v>10312-6315</v>
      </c>
      <c r="AB9833" t="s">
        <v>78</v>
      </c>
      <c r="AC9833" t="s">
        <v>79</v>
      </c>
      <c r="AD9833" t="s">
        <v>75</v>
      </c>
      <c r="AE9833" t="s">
        <v>80</v>
      </c>
      <c r="AG9833" t="s">
        <v>81</v>
      </c>
    </row>
    <row r="9834" spans="1:33" x14ac:dyDescent="0.25">
      <c r="A9834" t="str">
        <f>"1508929563"</f>
        <v>1508929563</v>
      </c>
      <c r="B9834" t="str">
        <f>"02778650"</f>
        <v>02778650</v>
      </c>
      <c r="C9834" t="s">
        <v>40953</v>
      </c>
      <c r="D9834" t="s">
        <v>40954</v>
      </c>
      <c r="E9834" t="s">
        <v>40955</v>
      </c>
      <c r="G9834" t="s">
        <v>40953</v>
      </c>
      <c r="L9834" t="s">
        <v>84</v>
      </c>
      <c r="M9834" t="s">
        <v>75</v>
      </c>
      <c r="R9834" t="s">
        <v>40956</v>
      </c>
      <c r="W9834" t="s">
        <v>40955</v>
      </c>
      <c r="X9834" t="s">
        <v>40957</v>
      </c>
      <c r="Y9834" t="s">
        <v>207</v>
      </c>
      <c r="Z9834" t="s">
        <v>77</v>
      </c>
      <c r="AA9834" t="str">
        <f>"11581-1233"</f>
        <v>11581-1233</v>
      </c>
      <c r="AB9834" t="s">
        <v>78</v>
      </c>
      <c r="AC9834" t="s">
        <v>79</v>
      </c>
      <c r="AD9834" t="s">
        <v>75</v>
      </c>
      <c r="AE9834" t="s">
        <v>80</v>
      </c>
      <c r="AG9834" t="s">
        <v>81</v>
      </c>
    </row>
    <row r="9835" spans="1:33" x14ac:dyDescent="0.25">
      <c r="A9835" t="str">
        <f>"1518297407"</f>
        <v>1518297407</v>
      </c>
      <c r="B9835" t="str">
        <f>"03242651"</f>
        <v>03242651</v>
      </c>
      <c r="C9835" t="s">
        <v>40958</v>
      </c>
      <c r="D9835" t="s">
        <v>40959</v>
      </c>
      <c r="E9835" t="s">
        <v>40960</v>
      </c>
      <c r="G9835" t="s">
        <v>40958</v>
      </c>
      <c r="L9835" t="s">
        <v>74</v>
      </c>
      <c r="M9835" t="s">
        <v>75</v>
      </c>
      <c r="R9835" t="s">
        <v>40961</v>
      </c>
      <c r="W9835" t="s">
        <v>40960</v>
      </c>
      <c r="X9835" t="s">
        <v>40962</v>
      </c>
      <c r="Y9835" t="s">
        <v>139</v>
      </c>
      <c r="Z9835" t="s">
        <v>77</v>
      </c>
      <c r="AA9835" t="str">
        <f>"11355-3766"</f>
        <v>11355-3766</v>
      </c>
      <c r="AB9835" t="s">
        <v>109</v>
      </c>
      <c r="AC9835" t="s">
        <v>79</v>
      </c>
      <c r="AD9835" t="s">
        <v>75</v>
      </c>
      <c r="AE9835" t="s">
        <v>80</v>
      </c>
      <c r="AG9835" t="s">
        <v>81</v>
      </c>
    </row>
    <row r="9836" spans="1:33" x14ac:dyDescent="0.25">
      <c r="A9836" t="str">
        <f>"1518945310"</f>
        <v>1518945310</v>
      </c>
      <c r="B9836" t="str">
        <f>"02574830"</f>
        <v>02574830</v>
      </c>
      <c r="C9836" t="s">
        <v>40963</v>
      </c>
      <c r="D9836" t="s">
        <v>40964</v>
      </c>
      <c r="E9836" t="s">
        <v>40965</v>
      </c>
      <c r="G9836" t="s">
        <v>40963</v>
      </c>
      <c r="L9836" t="s">
        <v>84</v>
      </c>
      <c r="M9836" t="s">
        <v>75</v>
      </c>
      <c r="R9836" t="s">
        <v>40966</v>
      </c>
      <c r="W9836" t="s">
        <v>40965</v>
      </c>
      <c r="X9836" t="s">
        <v>40967</v>
      </c>
      <c r="Y9836" t="s">
        <v>182</v>
      </c>
      <c r="Z9836" t="s">
        <v>77</v>
      </c>
      <c r="AA9836" t="str">
        <f>"11501-4235"</f>
        <v>11501-4235</v>
      </c>
      <c r="AB9836" t="s">
        <v>78</v>
      </c>
      <c r="AC9836" t="s">
        <v>79</v>
      </c>
      <c r="AD9836" t="s">
        <v>75</v>
      </c>
      <c r="AE9836" t="s">
        <v>80</v>
      </c>
      <c r="AG9836" t="s">
        <v>81</v>
      </c>
    </row>
    <row r="9837" spans="1:33" x14ac:dyDescent="0.25">
      <c r="A9837" t="str">
        <f>"1528211216"</f>
        <v>1528211216</v>
      </c>
      <c r="B9837" t="str">
        <f>"03053289"</f>
        <v>03053289</v>
      </c>
      <c r="C9837" t="s">
        <v>40968</v>
      </c>
      <c r="D9837" t="s">
        <v>40969</v>
      </c>
      <c r="E9837" t="s">
        <v>40970</v>
      </c>
      <c r="G9837" t="s">
        <v>40968</v>
      </c>
      <c r="L9837" t="s">
        <v>84</v>
      </c>
      <c r="M9837" t="s">
        <v>75</v>
      </c>
      <c r="R9837" t="s">
        <v>40971</v>
      </c>
      <c r="W9837" t="s">
        <v>40970</v>
      </c>
      <c r="X9837" t="s">
        <v>40972</v>
      </c>
      <c r="Y9837" t="s">
        <v>207</v>
      </c>
      <c r="Z9837" t="s">
        <v>77</v>
      </c>
      <c r="AA9837" t="str">
        <f>"11581-1015"</f>
        <v>11581-1015</v>
      </c>
      <c r="AB9837" t="s">
        <v>78</v>
      </c>
      <c r="AC9837" t="s">
        <v>79</v>
      </c>
      <c r="AD9837" t="s">
        <v>75</v>
      </c>
      <c r="AE9837" t="s">
        <v>80</v>
      </c>
      <c r="AG9837" t="s">
        <v>81</v>
      </c>
    </row>
    <row r="9838" spans="1:33" x14ac:dyDescent="0.25">
      <c r="A9838" t="str">
        <f>"1194727156"</f>
        <v>1194727156</v>
      </c>
      <c r="C9838" t="s">
        <v>772</v>
      </c>
      <c r="G9838" t="s">
        <v>503</v>
      </c>
      <c r="H9838" t="s">
        <v>504</v>
      </c>
      <c r="J9838" t="s">
        <v>505</v>
      </c>
      <c r="K9838" t="s">
        <v>99</v>
      </c>
      <c r="L9838" t="s">
        <v>102</v>
      </c>
      <c r="M9838" t="s">
        <v>75</v>
      </c>
      <c r="R9838" t="s">
        <v>2849</v>
      </c>
      <c r="S9838" t="s">
        <v>1181</v>
      </c>
      <c r="T9838" t="s">
        <v>131</v>
      </c>
      <c r="U9838" t="s">
        <v>77</v>
      </c>
      <c r="V9838" t="str">
        <f>"104564145"</f>
        <v>104564145</v>
      </c>
      <c r="AC9838" t="s">
        <v>79</v>
      </c>
      <c r="AD9838" t="s">
        <v>75</v>
      </c>
      <c r="AE9838" t="s">
        <v>103</v>
      </c>
      <c r="AG9838" t="s">
        <v>81</v>
      </c>
    </row>
    <row r="9839" spans="1:33" x14ac:dyDescent="0.25">
      <c r="A9839" t="str">
        <f>"1205862950"</f>
        <v>1205862950</v>
      </c>
      <c r="B9839" t="str">
        <f>"01382663"</f>
        <v>01382663</v>
      </c>
      <c r="C9839" t="s">
        <v>40973</v>
      </c>
      <c r="D9839" t="s">
        <v>40974</v>
      </c>
      <c r="E9839" t="s">
        <v>40975</v>
      </c>
      <c r="G9839" t="s">
        <v>40976</v>
      </c>
      <c r="H9839" t="s">
        <v>9775</v>
      </c>
      <c r="J9839" t="s">
        <v>9776</v>
      </c>
      <c r="L9839" t="s">
        <v>104</v>
      </c>
      <c r="M9839" t="s">
        <v>75</v>
      </c>
      <c r="R9839" t="s">
        <v>40977</v>
      </c>
      <c r="W9839" t="s">
        <v>40975</v>
      </c>
      <c r="X9839" t="s">
        <v>9778</v>
      </c>
      <c r="Y9839" t="s">
        <v>268</v>
      </c>
      <c r="Z9839" t="s">
        <v>77</v>
      </c>
      <c r="AA9839" t="str">
        <f>"11362-2532"</f>
        <v>11362-2532</v>
      </c>
      <c r="AB9839" t="s">
        <v>122</v>
      </c>
      <c r="AC9839" t="s">
        <v>79</v>
      </c>
      <c r="AD9839" t="s">
        <v>75</v>
      </c>
      <c r="AE9839" t="s">
        <v>80</v>
      </c>
      <c r="AG9839" t="s">
        <v>81</v>
      </c>
    </row>
    <row r="9840" spans="1:33" x14ac:dyDescent="0.25">
      <c r="B9840" t="str">
        <f>"02245783"</f>
        <v>02245783</v>
      </c>
      <c r="C9840" t="s">
        <v>40978</v>
      </c>
      <c r="D9840" t="s">
        <v>3751</v>
      </c>
      <c r="E9840" t="s">
        <v>3752</v>
      </c>
      <c r="F9840">
        <v>131968035</v>
      </c>
      <c r="G9840" t="s">
        <v>3753</v>
      </c>
      <c r="H9840" t="s">
        <v>3413</v>
      </c>
      <c r="I9840">
        <v>2205</v>
      </c>
      <c r="J9840" t="s">
        <v>3754</v>
      </c>
      <c r="L9840" t="s">
        <v>37</v>
      </c>
      <c r="M9840" t="s">
        <v>85</v>
      </c>
      <c r="W9840" t="s">
        <v>3752</v>
      </c>
      <c r="X9840" t="s">
        <v>110</v>
      </c>
      <c r="Y9840" t="s">
        <v>2823</v>
      </c>
      <c r="Z9840" t="s">
        <v>77</v>
      </c>
      <c r="AA9840" t="str">
        <f>"11356-2210"</f>
        <v>11356-2210</v>
      </c>
      <c r="AB9840" t="s">
        <v>98</v>
      </c>
      <c r="AC9840" t="s">
        <v>79</v>
      </c>
      <c r="AD9840" t="s">
        <v>75</v>
      </c>
      <c r="AE9840" t="s">
        <v>80</v>
      </c>
      <c r="AG9840" t="s">
        <v>81</v>
      </c>
    </row>
    <row r="9841" spans="1:33" x14ac:dyDescent="0.25">
      <c r="A9841" t="str">
        <f>"1588815302"</f>
        <v>1588815302</v>
      </c>
      <c r="B9841" t="str">
        <f>"01303786"</f>
        <v>01303786</v>
      </c>
      <c r="C9841" t="s">
        <v>40979</v>
      </c>
      <c r="D9841" t="s">
        <v>3832</v>
      </c>
      <c r="E9841" t="s">
        <v>3833</v>
      </c>
      <c r="G9841" t="s">
        <v>40980</v>
      </c>
      <c r="H9841" t="s">
        <v>3834</v>
      </c>
      <c r="I9841">
        <v>214</v>
      </c>
      <c r="J9841" t="s">
        <v>3835</v>
      </c>
      <c r="L9841" t="s">
        <v>10</v>
      </c>
      <c r="M9841" t="s">
        <v>85</v>
      </c>
      <c r="R9841" t="s">
        <v>3836</v>
      </c>
      <c r="W9841" t="s">
        <v>3833</v>
      </c>
      <c r="X9841" t="s">
        <v>3837</v>
      </c>
      <c r="Y9841" t="s">
        <v>97</v>
      </c>
      <c r="Z9841" t="s">
        <v>77</v>
      </c>
      <c r="AA9841" t="str">
        <f>"10018-4307"</f>
        <v>10018-4307</v>
      </c>
      <c r="AB9841" t="s">
        <v>98</v>
      </c>
      <c r="AC9841" t="s">
        <v>79</v>
      </c>
      <c r="AD9841" t="s">
        <v>75</v>
      </c>
      <c r="AE9841" t="s">
        <v>80</v>
      </c>
      <c r="AG9841" t="s">
        <v>81</v>
      </c>
    </row>
    <row r="9842" spans="1:33" x14ac:dyDescent="0.25">
      <c r="A9842" t="str">
        <f>"1295997724"</f>
        <v>1295997724</v>
      </c>
      <c r="B9842" t="str">
        <f>"03047418"</f>
        <v>03047418</v>
      </c>
      <c r="C9842" t="s">
        <v>40981</v>
      </c>
      <c r="D9842" t="s">
        <v>4246</v>
      </c>
      <c r="E9842" t="s">
        <v>4247</v>
      </c>
      <c r="G9842" t="s">
        <v>4074</v>
      </c>
      <c r="H9842" t="s">
        <v>4075</v>
      </c>
      <c r="I9842">
        <v>249</v>
      </c>
      <c r="J9842" t="s">
        <v>4076</v>
      </c>
      <c r="L9842" t="s">
        <v>102</v>
      </c>
      <c r="M9842" t="s">
        <v>75</v>
      </c>
      <c r="R9842" t="s">
        <v>4248</v>
      </c>
      <c r="W9842" t="s">
        <v>4247</v>
      </c>
      <c r="X9842" t="s">
        <v>4078</v>
      </c>
      <c r="Y9842" t="s">
        <v>97</v>
      </c>
      <c r="Z9842" t="s">
        <v>77</v>
      </c>
      <c r="AA9842" t="str">
        <f>"10001-2823"</f>
        <v>10001-2823</v>
      </c>
      <c r="AB9842" t="s">
        <v>319</v>
      </c>
      <c r="AC9842" t="s">
        <v>79</v>
      </c>
      <c r="AD9842" t="s">
        <v>75</v>
      </c>
      <c r="AE9842" t="s">
        <v>80</v>
      </c>
      <c r="AG9842" t="s">
        <v>81</v>
      </c>
    </row>
    <row r="9843" spans="1:33" x14ac:dyDescent="0.25">
      <c r="A9843" t="str">
        <f>"1295766103"</f>
        <v>1295766103</v>
      </c>
      <c r="B9843" t="str">
        <f>"01399797"</f>
        <v>01399797</v>
      </c>
      <c r="C9843" t="s">
        <v>40982</v>
      </c>
      <c r="D9843" t="s">
        <v>1057</v>
      </c>
      <c r="E9843" t="s">
        <v>1058</v>
      </c>
      <c r="G9843" t="s">
        <v>40983</v>
      </c>
      <c r="H9843" t="s">
        <v>40984</v>
      </c>
      <c r="I9843">
        <v>3194</v>
      </c>
      <c r="J9843" t="s">
        <v>40985</v>
      </c>
      <c r="L9843" t="s">
        <v>37</v>
      </c>
      <c r="M9843" t="s">
        <v>85</v>
      </c>
      <c r="R9843" t="s">
        <v>1059</v>
      </c>
      <c r="W9843" t="s">
        <v>1058</v>
      </c>
      <c r="X9843" t="s">
        <v>1060</v>
      </c>
      <c r="Y9843" t="s">
        <v>87</v>
      </c>
      <c r="Z9843" t="s">
        <v>77</v>
      </c>
      <c r="AA9843" t="str">
        <f>"11234-6435"</f>
        <v>11234-6435</v>
      </c>
      <c r="AB9843" t="s">
        <v>98</v>
      </c>
      <c r="AC9843" t="s">
        <v>79</v>
      </c>
      <c r="AD9843" t="s">
        <v>75</v>
      </c>
      <c r="AE9843" t="s">
        <v>80</v>
      </c>
      <c r="AG9843" t="s">
        <v>81</v>
      </c>
    </row>
    <row r="9844" spans="1:33" x14ac:dyDescent="0.25">
      <c r="A9844" t="str">
        <f>"1033236211"</f>
        <v>1033236211</v>
      </c>
      <c r="B9844" t="str">
        <f>"02993699"</f>
        <v>02993699</v>
      </c>
      <c r="C9844" t="s">
        <v>40986</v>
      </c>
      <c r="D9844" t="s">
        <v>40987</v>
      </c>
      <c r="E9844" t="s">
        <v>40988</v>
      </c>
      <c r="G9844" t="s">
        <v>40989</v>
      </c>
      <c r="H9844" t="s">
        <v>40990</v>
      </c>
      <c r="J9844" t="s">
        <v>40991</v>
      </c>
      <c r="L9844" t="s">
        <v>106</v>
      </c>
      <c r="M9844" t="s">
        <v>85</v>
      </c>
      <c r="R9844" t="s">
        <v>40992</v>
      </c>
      <c r="W9844" t="s">
        <v>40993</v>
      </c>
      <c r="X9844" t="s">
        <v>2093</v>
      </c>
      <c r="Y9844" t="s">
        <v>97</v>
      </c>
      <c r="Z9844" t="s">
        <v>77</v>
      </c>
      <c r="AA9844" t="str">
        <f>"10025-1715"</f>
        <v>10025-1715</v>
      </c>
      <c r="AB9844" t="s">
        <v>107</v>
      </c>
      <c r="AC9844" t="s">
        <v>79</v>
      </c>
      <c r="AD9844" t="s">
        <v>75</v>
      </c>
      <c r="AE9844" t="s">
        <v>80</v>
      </c>
      <c r="AG9844" t="s">
        <v>81</v>
      </c>
    </row>
    <row r="9845" spans="1:33" x14ac:dyDescent="0.25">
      <c r="A9845" t="str">
        <f>"1811254139"</f>
        <v>1811254139</v>
      </c>
      <c r="B9845" t="str">
        <f>"03464711"</f>
        <v>03464711</v>
      </c>
      <c r="C9845" t="s">
        <v>40994</v>
      </c>
      <c r="D9845" t="s">
        <v>3002</v>
      </c>
      <c r="E9845" t="s">
        <v>3003</v>
      </c>
      <c r="G9845" t="s">
        <v>40995</v>
      </c>
      <c r="H9845" t="s">
        <v>7060</v>
      </c>
      <c r="J9845" t="s">
        <v>7061</v>
      </c>
      <c r="L9845" t="s">
        <v>11</v>
      </c>
      <c r="M9845" t="s">
        <v>75</v>
      </c>
      <c r="R9845" t="s">
        <v>3003</v>
      </c>
      <c r="W9845" t="s">
        <v>3003</v>
      </c>
      <c r="X9845" t="s">
        <v>3004</v>
      </c>
      <c r="Y9845" t="s">
        <v>97</v>
      </c>
      <c r="Z9845" t="s">
        <v>77</v>
      </c>
      <c r="AA9845" t="str">
        <f>"10031-5101"</f>
        <v>10031-5101</v>
      </c>
      <c r="AB9845" t="s">
        <v>122</v>
      </c>
      <c r="AC9845" t="s">
        <v>79</v>
      </c>
      <c r="AD9845" t="s">
        <v>75</v>
      </c>
      <c r="AE9845" t="s">
        <v>80</v>
      </c>
      <c r="AG9845" t="s">
        <v>81</v>
      </c>
    </row>
    <row r="9846" spans="1:33" x14ac:dyDescent="0.25">
      <c r="A9846" t="str">
        <f>"1861706939"</f>
        <v>1861706939</v>
      </c>
      <c r="C9846" t="s">
        <v>13436</v>
      </c>
      <c r="G9846" t="s">
        <v>40996</v>
      </c>
      <c r="K9846" t="s">
        <v>99</v>
      </c>
      <c r="L9846" t="s">
        <v>74</v>
      </c>
      <c r="M9846" t="s">
        <v>75</v>
      </c>
      <c r="R9846" t="s">
        <v>40997</v>
      </c>
      <c r="S9846" t="s">
        <v>40998</v>
      </c>
      <c r="T9846" t="s">
        <v>4483</v>
      </c>
      <c r="U9846" t="s">
        <v>1842</v>
      </c>
      <c r="V9846" t="str">
        <f>"065103206"</f>
        <v>065103206</v>
      </c>
      <c r="AC9846" t="s">
        <v>79</v>
      </c>
      <c r="AD9846" t="s">
        <v>75</v>
      </c>
      <c r="AE9846" t="s">
        <v>103</v>
      </c>
      <c r="AG9846" t="s">
        <v>81</v>
      </c>
    </row>
    <row r="9847" spans="1:33" x14ac:dyDescent="0.25">
      <c r="A9847" t="str">
        <f>"1871510453"</f>
        <v>1871510453</v>
      </c>
      <c r="C9847" t="s">
        <v>13436</v>
      </c>
      <c r="G9847" t="s">
        <v>40999</v>
      </c>
      <c r="K9847" t="s">
        <v>99</v>
      </c>
      <c r="L9847" t="s">
        <v>102</v>
      </c>
      <c r="M9847" t="s">
        <v>75</v>
      </c>
      <c r="R9847" t="s">
        <v>41000</v>
      </c>
      <c r="S9847" t="s">
        <v>35604</v>
      </c>
      <c r="T9847" t="s">
        <v>35605</v>
      </c>
      <c r="U9847" t="s">
        <v>936</v>
      </c>
      <c r="V9847" t="str">
        <f>"379201511"</f>
        <v>379201511</v>
      </c>
      <c r="AC9847" t="s">
        <v>79</v>
      </c>
      <c r="AD9847" t="s">
        <v>75</v>
      </c>
      <c r="AE9847" t="s">
        <v>103</v>
      </c>
      <c r="AG9847" t="s">
        <v>81</v>
      </c>
    </row>
    <row r="9848" spans="1:33" x14ac:dyDescent="0.25">
      <c r="A9848" t="str">
        <f>"1871522128"</f>
        <v>1871522128</v>
      </c>
      <c r="B9848" t="str">
        <f>"03736321"</f>
        <v>03736321</v>
      </c>
      <c r="C9848" t="s">
        <v>13436</v>
      </c>
      <c r="D9848" t="s">
        <v>41001</v>
      </c>
      <c r="E9848" t="s">
        <v>41002</v>
      </c>
      <c r="L9848" t="s">
        <v>83</v>
      </c>
      <c r="M9848" t="s">
        <v>85</v>
      </c>
      <c r="R9848" t="s">
        <v>41002</v>
      </c>
      <c r="W9848" t="s">
        <v>41002</v>
      </c>
      <c r="X9848" t="s">
        <v>329</v>
      </c>
      <c r="Y9848" t="s">
        <v>97</v>
      </c>
      <c r="Z9848" t="s">
        <v>77</v>
      </c>
      <c r="AA9848" t="str">
        <f>"10029-6504"</f>
        <v>10029-6504</v>
      </c>
      <c r="AB9848" t="s">
        <v>78</v>
      </c>
      <c r="AC9848" t="s">
        <v>79</v>
      </c>
      <c r="AD9848" t="s">
        <v>75</v>
      </c>
      <c r="AE9848" t="s">
        <v>80</v>
      </c>
      <c r="AG9848" t="s">
        <v>81</v>
      </c>
    </row>
    <row r="9849" spans="1:33" x14ac:dyDescent="0.25">
      <c r="A9849" t="str">
        <f>"1871524892"</f>
        <v>1871524892</v>
      </c>
      <c r="B9849" t="str">
        <f>"02688966"</f>
        <v>02688966</v>
      </c>
      <c r="C9849" t="s">
        <v>13436</v>
      </c>
      <c r="D9849" t="s">
        <v>41003</v>
      </c>
      <c r="E9849" t="s">
        <v>41004</v>
      </c>
      <c r="G9849" t="s">
        <v>41005</v>
      </c>
      <c r="L9849" t="s">
        <v>83</v>
      </c>
      <c r="M9849" t="s">
        <v>85</v>
      </c>
      <c r="R9849" t="s">
        <v>41006</v>
      </c>
      <c r="W9849" t="s">
        <v>41004</v>
      </c>
      <c r="X9849" t="s">
        <v>11176</v>
      </c>
      <c r="Y9849" t="s">
        <v>97</v>
      </c>
      <c r="Z9849" t="s">
        <v>77</v>
      </c>
      <c r="AA9849" t="str">
        <f>"10029-6542"</f>
        <v>10029-6542</v>
      </c>
      <c r="AB9849" t="s">
        <v>78</v>
      </c>
      <c r="AC9849" t="s">
        <v>79</v>
      </c>
      <c r="AD9849" t="s">
        <v>75</v>
      </c>
      <c r="AE9849" t="s">
        <v>80</v>
      </c>
      <c r="AG9849" t="s">
        <v>81</v>
      </c>
    </row>
    <row r="9850" spans="1:33" x14ac:dyDescent="0.25">
      <c r="A9850" t="str">
        <f>"1871554469"</f>
        <v>1871554469</v>
      </c>
      <c r="B9850" t="str">
        <f>"02444806"</f>
        <v>02444806</v>
      </c>
      <c r="C9850" t="s">
        <v>13436</v>
      </c>
      <c r="D9850" t="s">
        <v>41007</v>
      </c>
      <c r="E9850" t="s">
        <v>41008</v>
      </c>
      <c r="G9850" t="s">
        <v>41009</v>
      </c>
      <c r="L9850" t="s">
        <v>83</v>
      </c>
      <c r="M9850" t="s">
        <v>85</v>
      </c>
      <c r="R9850" t="s">
        <v>41010</v>
      </c>
      <c r="W9850" t="s">
        <v>41008</v>
      </c>
      <c r="X9850" t="s">
        <v>267</v>
      </c>
      <c r="Y9850" t="s">
        <v>91</v>
      </c>
      <c r="Z9850" t="s">
        <v>77</v>
      </c>
      <c r="AA9850" t="str">
        <f>"11373-1329"</f>
        <v>11373-1329</v>
      </c>
      <c r="AB9850" t="s">
        <v>78</v>
      </c>
      <c r="AC9850" t="s">
        <v>79</v>
      </c>
      <c r="AD9850" t="s">
        <v>75</v>
      </c>
      <c r="AE9850" t="s">
        <v>80</v>
      </c>
      <c r="AG9850" t="s">
        <v>81</v>
      </c>
    </row>
    <row r="9851" spans="1:33" x14ac:dyDescent="0.25">
      <c r="A9851" t="str">
        <f>"1871565242"</f>
        <v>1871565242</v>
      </c>
      <c r="B9851" t="str">
        <f>"01369795"</f>
        <v>01369795</v>
      </c>
      <c r="C9851" t="s">
        <v>13436</v>
      </c>
      <c r="D9851" t="s">
        <v>41011</v>
      </c>
      <c r="E9851" t="s">
        <v>41012</v>
      </c>
      <c r="L9851" t="s">
        <v>84</v>
      </c>
      <c r="M9851" t="s">
        <v>75</v>
      </c>
      <c r="R9851" t="s">
        <v>41013</v>
      </c>
      <c r="W9851" t="s">
        <v>41012</v>
      </c>
      <c r="X9851" t="s">
        <v>185</v>
      </c>
      <c r="Y9851" t="s">
        <v>97</v>
      </c>
      <c r="Z9851" t="s">
        <v>77</v>
      </c>
      <c r="AA9851" t="str">
        <f>"10035-2709"</f>
        <v>10035-2709</v>
      </c>
      <c r="AB9851" t="s">
        <v>78</v>
      </c>
      <c r="AC9851" t="s">
        <v>79</v>
      </c>
      <c r="AD9851" t="s">
        <v>75</v>
      </c>
      <c r="AE9851" t="s">
        <v>80</v>
      </c>
      <c r="AG9851" t="s">
        <v>81</v>
      </c>
    </row>
    <row r="9852" spans="1:33" x14ac:dyDescent="0.25">
      <c r="A9852" t="str">
        <f>"1871790105"</f>
        <v>1871790105</v>
      </c>
      <c r="B9852" t="str">
        <f>"03620326"</f>
        <v>03620326</v>
      </c>
      <c r="C9852" t="s">
        <v>13436</v>
      </c>
      <c r="D9852" t="s">
        <v>41014</v>
      </c>
      <c r="E9852" t="s">
        <v>41015</v>
      </c>
      <c r="L9852" t="s">
        <v>83</v>
      </c>
      <c r="M9852" t="s">
        <v>85</v>
      </c>
      <c r="R9852" t="s">
        <v>41016</v>
      </c>
      <c r="W9852" t="s">
        <v>41015</v>
      </c>
      <c r="X9852" t="s">
        <v>41017</v>
      </c>
      <c r="Y9852" t="s">
        <v>97</v>
      </c>
      <c r="Z9852" t="s">
        <v>77</v>
      </c>
      <c r="AA9852" t="str">
        <f>"10029-6508"</f>
        <v>10029-6508</v>
      </c>
      <c r="AB9852" t="s">
        <v>78</v>
      </c>
      <c r="AC9852" t="s">
        <v>79</v>
      </c>
      <c r="AD9852" t="s">
        <v>75</v>
      </c>
      <c r="AE9852" t="s">
        <v>80</v>
      </c>
      <c r="AG9852" t="s">
        <v>81</v>
      </c>
    </row>
    <row r="9853" spans="1:33" x14ac:dyDescent="0.25">
      <c r="A9853" t="str">
        <f>"1871869644"</f>
        <v>1871869644</v>
      </c>
      <c r="B9853" t="str">
        <f>"04157017"</f>
        <v>04157017</v>
      </c>
      <c r="C9853" t="s">
        <v>13436</v>
      </c>
      <c r="D9853" t="s">
        <v>41018</v>
      </c>
      <c r="E9853" t="s">
        <v>41019</v>
      </c>
      <c r="L9853" t="s">
        <v>74</v>
      </c>
      <c r="M9853" t="s">
        <v>75</v>
      </c>
      <c r="R9853" t="s">
        <v>41020</v>
      </c>
      <c r="W9853" t="s">
        <v>41021</v>
      </c>
      <c r="X9853" t="s">
        <v>329</v>
      </c>
      <c r="Y9853" t="s">
        <v>97</v>
      </c>
      <c r="Z9853" t="s">
        <v>77</v>
      </c>
      <c r="AA9853" t="str">
        <f>"10029-6504"</f>
        <v>10029-6504</v>
      </c>
      <c r="AB9853" t="s">
        <v>78</v>
      </c>
      <c r="AC9853" t="s">
        <v>79</v>
      </c>
      <c r="AD9853" t="s">
        <v>75</v>
      </c>
      <c r="AE9853" t="s">
        <v>80</v>
      </c>
      <c r="AG9853" t="s">
        <v>81</v>
      </c>
    </row>
    <row r="9854" spans="1:33" x14ac:dyDescent="0.25">
      <c r="A9854" t="str">
        <f>"1881600880"</f>
        <v>1881600880</v>
      </c>
      <c r="B9854" t="str">
        <f>"01837810"</f>
        <v>01837810</v>
      </c>
      <c r="C9854" t="s">
        <v>13436</v>
      </c>
      <c r="D9854" t="s">
        <v>41022</v>
      </c>
      <c r="E9854" t="s">
        <v>41023</v>
      </c>
      <c r="L9854" t="s">
        <v>105</v>
      </c>
      <c r="M9854" t="s">
        <v>85</v>
      </c>
      <c r="R9854" t="s">
        <v>41024</v>
      </c>
      <c r="W9854" t="s">
        <v>41023</v>
      </c>
      <c r="X9854" t="s">
        <v>41025</v>
      </c>
      <c r="Y9854" t="s">
        <v>97</v>
      </c>
      <c r="Z9854" t="s">
        <v>77</v>
      </c>
      <c r="AA9854" t="str">
        <f>"10029-6500"</f>
        <v>10029-6500</v>
      </c>
      <c r="AB9854" t="s">
        <v>78</v>
      </c>
      <c r="AC9854" t="s">
        <v>79</v>
      </c>
      <c r="AD9854" t="s">
        <v>75</v>
      </c>
      <c r="AE9854" t="s">
        <v>80</v>
      </c>
      <c r="AG9854" t="s">
        <v>81</v>
      </c>
    </row>
    <row r="9855" spans="1:33" x14ac:dyDescent="0.25">
      <c r="A9855" t="str">
        <f>"1881603884"</f>
        <v>1881603884</v>
      </c>
      <c r="B9855" t="str">
        <f>"03022162"</f>
        <v>03022162</v>
      </c>
      <c r="C9855" t="s">
        <v>13436</v>
      </c>
      <c r="D9855" t="s">
        <v>41026</v>
      </c>
      <c r="E9855" t="s">
        <v>41027</v>
      </c>
      <c r="L9855" t="s">
        <v>83</v>
      </c>
      <c r="M9855" t="s">
        <v>85</v>
      </c>
      <c r="R9855" t="s">
        <v>41027</v>
      </c>
      <c r="W9855" t="s">
        <v>41027</v>
      </c>
      <c r="X9855" t="s">
        <v>330</v>
      </c>
      <c r="Y9855" t="s">
        <v>97</v>
      </c>
      <c r="Z9855" t="s">
        <v>77</v>
      </c>
      <c r="AA9855" t="str">
        <f>"10029-5204"</f>
        <v>10029-5204</v>
      </c>
      <c r="AB9855" t="s">
        <v>78</v>
      </c>
      <c r="AC9855" t="s">
        <v>79</v>
      </c>
      <c r="AD9855" t="s">
        <v>75</v>
      </c>
      <c r="AE9855" t="s">
        <v>80</v>
      </c>
      <c r="AG9855" t="s">
        <v>81</v>
      </c>
    </row>
    <row r="9856" spans="1:33" x14ac:dyDescent="0.25">
      <c r="A9856" t="str">
        <f>"1881612935"</f>
        <v>1881612935</v>
      </c>
      <c r="B9856" t="str">
        <f>"02229505"</f>
        <v>02229505</v>
      </c>
      <c r="C9856" t="s">
        <v>13436</v>
      </c>
      <c r="D9856" t="s">
        <v>41028</v>
      </c>
      <c r="E9856" t="s">
        <v>41029</v>
      </c>
      <c r="G9856" t="s">
        <v>41030</v>
      </c>
      <c r="L9856" t="s">
        <v>84</v>
      </c>
      <c r="M9856" t="s">
        <v>85</v>
      </c>
      <c r="R9856" t="s">
        <v>41031</v>
      </c>
      <c r="W9856" t="s">
        <v>41029</v>
      </c>
      <c r="X9856" t="s">
        <v>41029</v>
      </c>
      <c r="Y9856" t="s">
        <v>166</v>
      </c>
      <c r="Z9856" t="s">
        <v>77</v>
      </c>
      <c r="AA9856" t="str">
        <f>"11590-5256"</f>
        <v>11590-5256</v>
      </c>
      <c r="AB9856" t="s">
        <v>78</v>
      </c>
      <c r="AC9856" t="s">
        <v>79</v>
      </c>
      <c r="AD9856" t="s">
        <v>75</v>
      </c>
      <c r="AE9856" t="s">
        <v>80</v>
      </c>
      <c r="AG9856" t="s">
        <v>81</v>
      </c>
    </row>
    <row r="9857" spans="1:33" x14ac:dyDescent="0.25">
      <c r="A9857" t="str">
        <f>"1780668236"</f>
        <v>1780668236</v>
      </c>
      <c r="B9857" t="str">
        <f>"01076984"</f>
        <v>01076984</v>
      </c>
      <c r="C9857" t="s">
        <v>41032</v>
      </c>
      <c r="D9857" t="s">
        <v>41033</v>
      </c>
      <c r="E9857" t="s">
        <v>41034</v>
      </c>
      <c r="G9857" t="s">
        <v>24003</v>
      </c>
      <c r="J9857" t="s">
        <v>24004</v>
      </c>
      <c r="L9857" t="s">
        <v>84</v>
      </c>
      <c r="M9857" t="s">
        <v>85</v>
      </c>
      <c r="R9857" t="s">
        <v>41035</v>
      </c>
      <c r="W9857" t="s">
        <v>41034</v>
      </c>
      <c r="X9857" t="s">
        <v>41036</v>
      </c>
      <c r="Y9857" t="s">
        <v>87</v>
      </c>
      <c r="Z9857" t="s">
        <v>77</v>
      </c>
      <c r="AA9857" t="str">
        <f>"11216-4013"</f>
        <v>11216-4013</v>
      </c>
      <c r="AB9857" t="s">
        <v>78</v>
      </c>
      <c r="AC9857" t="s">
        <v>79</v>
      </c>
      <c r="AD9857" t="s">
        <v>75</v>
      </c>
      <c r="AE9857" t="s">
        <v>80</v>
      </c>
      <c r="AG9857" t="s">
        <v>81</v>
      </c>
    </row>
    <row r="9858" spans="1:33" x14ac:dyDescent="0.25">
      <c r="A9858" t="str">
        <f>"1669464541"</f>
        <v>1669464541</v>
      </c>
      <c r="B9858" t="str">
        <f>"00213194"</f>
        <v>00213194</v>
      </c>
      <c r="C9858" t="s">
        <v>41037</v>
      </c>
      <c r="D9858" t="s">
        <v>41038</v>
      </c>
      <c r="E9858" t="s">
        <v>41039</v>
      </c>
      <c r="G9858" t="s">
        <v>24003</v>
      </c>
      <c r="J9858" t="s">
        <v>24004</v>
      </c>
      <c r="L9858" t="s">
        <v>83</v>
      </c>
      <c r="M9858" t="s">
        <v>85</v>
      </c>
      <c r="R9858" t="s">
        <v>41040</v>
      </c>
      <c r="W9858" t="s">
        <v>41041</v>
      </c>
      <c r="X9858" t="s">
        <v>41042</v>
      </c>
      <c r="Y9858" t="s">
        <v>97</v>
      </c>
      <c r="Z9858" t="s">
        <v>77</v>
      </c>
      <c r="AA9858" t="str">
        <f>"10019"</f>
        <v>10019</v>
      </c>
      <c r="AB9858" t="s">
        <v>78</v>
      </c>
      <c r="AC9858" t="s">
        <v>79</v>
      </c>
      <c r="AD9858" t="s">
        <v>75</v>
      </c>
      <c r="AE9858" t="s">
        <v>80</v>
      </c>
      <c r="AG9858" t="s">
        <v>81</v>
      </c>
    </row>
    <row r="9859" spans="1:33" x14ac:dyDescent="0.25">
      <c r="A9859" t="str">
        <f>"1508839317"</f>
        <v>1508839317</v>
      </c>
      <c r="B9859" t="str">
        <f>"00960687"</f>
        <v>00960687</v>
      </c>
      <c r="C9859" t="s">
        <v>41043</v>
      </c>
      <c r="D9859" t="s">
        <v>2346</v>
      </c>
      <c r="E9859" t="s">
        <v>2347</v>
      </c>
      <c r="G9859" t="s">
        <v>24003</v>
      </c>
      <c r="J9859" t="s">
        <v>24004</v>
      </c>
      <c r="L9859" t="s">
        <v>84</v>
      </c>
      <c r="M9859" t="s">
        <v>75</v>
      </c>
      <c r="R9859" t="s">
        <v>2345</v>
      </c>
      <c r="W9859" t="s">
        <v>2345</v>
      </c>
      <c r="X9859" t="s">
        <v>2348</v>
      </c>
      <c r="Y9859" t="s">
        <v>87</v>
      </c>
      <c r="Z9859" t="s">
        <v>77</v>
      </c>
      <c r="AA9859" t="str">
        <f>"11229-1798"</f>
        <v>11229-1798</v>
      </c>
      <c r="AB9859" t="s">
        <v>78</v>
      </c>
      <c r="AC9859" t="s">
        <v>79</v>
      </c>
      <c r="AD9859" t="s">
        <v>75</v>
      </c>
      <c r="AE9859" t="s">
        <v>80</v>
      </c>
      <c r="AG9859" t="s">
        <v>81</v>
      </c>
    </row>
    <row r="9860" spans="1:33" x14ac:dyDescent="0.25">
      <c r="A9860" t="str">
        <f>"1710243845"</f>
        <v>1710243845</v>
      </c>
      <c r="B9860" t="str">
        <f>"04466895"</f>
        <v>04466895</v>
      </c>
      <c r="C9860" t="s">
        <v>13436</v>
      </c>
      <c r="D9860" t="s">
        <v>41044</v>
      </c>
      <c r="E9860" t="s">
        <v>41045</v>
      </c>
      <c r="L9860" t="s">
        <v>74</v>
      </c>
      <c r="M9860" t="s">
        <v>75</v>
      </c>
      <c r="R9860" t="s">
        <v>41046</v>
      </c>
      <c r="W9860" t="s">
        <v>41045</v>
      </c>
      <c r="AB9860" t="s">
        <v>78</v>
      </c>
      <c r="AC9860" t="s">
        <v>79</v>
      </c>
      <c r="AD9860" t="s">
        <v>75</v>
      </c>
      <c r="AE9860" t="s">
        <v>80</v>
      </c>
      <c r="AG9860" t="s">
        <v>81</v>
      </c>
    </row>
    <row r="9861" spans="1:33" x14ac:dyDescent="0.25">
      <c r="A9861" t="str">
        <f>"1710252804"</f>
        <v>1710252804</v>
      </c>
      <c r="C9861" t="s">
        <v>13436</v>
      </c>
      <c r="K9861" t="s">
        <v>99</v>
      </c>
      <c r="L9861" t="s">
        <v>102</v>
      </c>
      <c r="M9861" t="s">
        <v>75</v>
      </c>
      <c r="R9861" t="s">
        <v>41047</v>
      </c>
      <c r="S9861" t="s">
        <v>329</v>
      </c>
      <c r="T9861" t="s">
        <v>97</v>
      </c>
      <c r="U9861" t="s">
        <v>77</v>
      </c>
      <c r="V9861" t="str">
        <f>"100296574"</f>
        <v>100296574</v>
      </c>
      <c r="AC9861" t="s">
        <v>79</v>
      </c>
      <c r="AD9861" t="s">
        <v>75</v>
      </c>
      <c r="AE9861" t="s">
        <v>103</v>
      </c>
      <c r="AG9861" t="s">
        <v>81</v>
      </c>
    </row>
    <row r="9862" spans="1:33" x14ac:dyDescent="0.25">
      <c r="A9862" t="str">
        <f>"1710253273"</f>
        <v>1710253273</v>
      </c>
      <c r="C9862" t="s">
        <v>13436</v>
      </c>
      <c r="K9862" t="s">
        <v>99</v>
      </c>
      <c r="L9862" t="s">
        <v>102</v>
      </c>
      <c r="M9862" t="s">
        <v>75</v>
      </c>
      <c r="R9862" t="s">
        <v>41048</v>
      </c>
      <c r="S9862" t="s">
        <v>41049</v>
      </c>
      <c r="T9862" t="s">
        <v>4646</v>
      </c>
      <c r="U9862" t="s">
        <v>4647</v>
      </c>
      <c r="V9862" t="str">
        <f>"303091613"</f>
        <v>303091613</v>
      </c>
      <c r="AC9862" t="s">
        <v>79</v>
      </c>
      <c r="AD9862" t="s">
        <v>75</v>
      </c>
      <c r="AE9862" t="s">
        <v>103</v>
      </c>
      <c r="AG9862" t="s">
        <v>81</v>
      </c>
    </row>
    <row r="9863" spans="1:33" x14ac:dyDescent="0.25">
      <c r="A9863" t="str">
        <f>"1710262951"</f>
        <v>1710262951</v>
      </c>
      <c r="B9863" t="str">
        <f>"03961873"</f>
        <v>03961873</v>
      </c>
      <c r="C9863" t="s">
        <v>13436</v>
      </c>
      <c r="D9863" t="s">
        <v>41050</v>
      </c>
      <c r="E9863" t="s">
        <v>41051</v>
      </c>
      <c r="G9863" t="s">
        <v>41052</v>
      </c>
      <c r="L9863" t="s">
        <v>74</v>
      </c>
      <c r="M9863" t="s">
        <v>75</v>
      </c>
      <c r="R9863" t="s">
        <v>41053</v>
      </c>
      <c r="W9863" t="s">
        <v>41054</v>
      </c>
      <c r="X9863" t="s">
        <v>41055</v>
      </c>
      <c r="Y9863" t="s">
        <v>97</v>
      </c>
      <c r="Z9863" t="s">
        <v>77</v>
      </c>
      <c r="AA9863" t="str">
        <f>"10029-6501"</f>
        <v>10029-6501</v>
      </c>
      <c r="AB9863" t="s">
        <v>78</v>
      </c>
      <c r="AC9863" t="s">
        <v>79</v>
      </c>
      <c r="AD9863" t="s">
        <v>75</v>
      </c>
      <c r="AE9863" t="s">
        <v>80</v>
      </c>
      <c r="AG9863" t="s">
        <v>81</v>
      </c>
    </row>
    <row r="9864" spans="1:33" x14ac:dyDescent="0.25">
      <c r="A9864" t="str">
        <f>"1710272224"</f>
        <v>1710272224</v>
      </c>
      <c r="C9864" t="s">
        <v>13436</v>
      </c>
      <c r="K9864" t="s">
        <v>99</v>
      </c>
      <c r="L9864" t="s">
        <v>102</v>
      </c>
      <c r="M9864" t="s">
        <v>75</v>
      </c>
      <c r="R9864" t="s">
        <v>41056</v>
      </c>
      <c r="S9864" t="s">
        <v>1773</v>
      </c>
      <c r="T9864" t="s">
        <v>1774</v>
      </c>
      <c r="U9864" t="s">
        <v>77</v>
      </c>
      <c r="V9864" t="str">
        <f>"133261301"</f>
        <v>133261301</v>
      </c>
      <c r="AC9864" t="s">
        <v>79</v>
      </c>
      <c r="AD9864" t="s">
        <v>75</v>
      </c>
      <c r="AE9864" t="s">
        <v>103</v>
      </c>
      <c r="AG9864" t="s">
        <v>81</v>
      </c>
    </row>
    <row r="9865" spans="1:33" x14ac:dyDescent="0.25">
      <c r="A9865" t="str">
        <f>"1710273990"</f>
        <v>1710273990</v>
      </c>
      <c r="C9865" t="s">
        <v>13436</v>
      </c>
      <c r="K9865" t="s">
        <v>99</v>
      </c>
      <c r="L9865" t="s">
        <v>102</v>
      </c>
      <c r="M9865" t="s">
        <v>75</v>
      </c>
      <c r="R9865" t="s">
        <v>41057</v>
      </c>
      <c r="S9865" t="s">
        <v>41058</v>
      </c>
      <c r="T9865" t="s">
        <v>97</v>
      </c>
      <c r="U9865" t="s">
        <v>77</v>
      </c>
      <c r="V9865" t="str">
        <f>"100191047"</f>
        <v>100191047</v>
      </c>
      <c r="AC9865" t="s">
        <v>79</v>
      </c>
      <c r="AD9865" t="s">
        <v>75</v>
      </c>
      <c r="AE9865" t="s">
        <v>103</v>
      </c>
      <c r="AG9865" t="s">
        <v>81</v>
      </c>
    </row>
    <row r="9866" spans="1:33" x14ac:dyDescent="0.25">
      <c r="A9866" t="str">
        <f>"1710276753"</f>
        <v>1710276753</v>
      </c>
      <c r="B9866" t="str">
        <f>"03809661"</f>
        <v>03809661</v>
      </c>
      <c r="C9866" t="s">
        <v>13436</v>
      </c>
      <c r="D9866" t="s">
        <v>41059</v>
      </c>
      <c r="E9866" t="s">
        <v>41060</v>
      </c>
      <c r="L9866" t="s">
        <v>102</v>
      </c>
      <c r="M9866" t="s">
        <v>75</v>
      </c>
      <c r="R9866" t="s">
        <v>41061</v>
      </c>
      <c r="W9866" t="s">
        <v>41060</v>
      </c>
      <c r="X9866" t="s">
        <v>12304</v>
      </c>
      <c r="Y9866" t="s">
        <v>97</v>
      </c>
      <c r="Z9866" t="s">
        <v>77</v>
      </c>
      <c r="AA9866" t="str">
        <f>"10003-4201"</f>
        <v>10003-4201</v>
      </c>
      <c r="AB9866" t="s">
        <v>78</v>
      </c>
      <c r="AC9866" t="s">
        <v>79</v>
      </c>
      <c r="AD9866" t="s">
        <v>75</v>
      </c>
      <c r="AE9866" t="s">
        <v>80</v>
      </c>
      <c r="AG9866" t="s">
        <v>81</v>
      </c>
    </row>
    <row r="9867" spans="1:33" x14ac:dyDescent="0.25">
      <c r="A9867" t="str">
        <f>"1710277637"</f>
        <v>1710277637</v>
      </c>
      <c r="C9867" t="s">
        <v>13436</v>
      </c>
      <c r="K9867" t="s">
        <v>99</v>
      </c>
      <c r="L9867" t="s">
        <v>102</v>
      </c>
      <c r="M9867" t="s">
        <v>75</v>
      </c>
      <c r="R9867" t="s">
        <v>41062</v>
      </c>
      <c r="S9867" t="s">
        <v>41063</v>
      </c>
      <c r="T9867" t="s">
        <v>4526</v>
      </c>
      <c r="U9867" t="s">
        <v>156</v>
      </c>
      <c r="V9867" t="str">
        <f>"076662967"</f>
        <v>076662967</v>
      </c>
      <c r="AC9867" t="s">
        <v>79</v>
      </c>
      <c r="AD9867" t="s">
        <v>75</v>
      </c>
      <c r="AE9867" t="s">
        <v>103</v>
      </c>
      <c r="AG9867" t="s">
        <v>81</v>
      </c>
    </row>
    <row r="9868" spans="1:33" x14ac:dyDescent="0.25">
      <c r="A9868" t="str">
        <f>"1710286323"</f>
        <v>1710286323</v>
      </c>
      <c r="B9868" t="str">
        <f>"03923957"</f>
        <v>03923957</v>
      </c>
      <c r="C9868" t="s">
        <v>13436</v>
      </c>
      <c r="D9868" t="s">
        <v>41064</v>
      </c>
      <c r="E9868" t="s">
        <v>41065</v>
      </c>
      <c r="G9868" t="s">
        <v>41066</v>
      </c>
      <c r="L9868" t="s">
        <v>84</v>
      </c>
      <c r="M9868" t="s">
        <v>75</v>
      </c>
      <c r="R9868" t="s">
        <v>41065</v>
      </c>
      <c r="W9868" t="s">
        <v>41067</v>
      </c>
      <c r="X9868" t="s">
        <v>330</v>
      </c>
      <c r="Y9868" t="s">
        <v>97</v>
      </c>
      <c r="Z9868" t="s">
        <v>77</v>
      </c>
      <c r="AA9868" t="str">
        <f>"10029-5204"</f>
        <v>10029-5204</v>
      </c>
      <c r="AB9868" t="s">
        <v>78</v>
      </c>
      <c r="AC9868" t="s">
        <v>79</v>
      </c>
      <c r="AD9868" t="s">
        <v>75</v>
      </c>
      <c r="AE9868" t="s">
        <v>80</v>
      </c>
      <c r="AG9868" t="s">
        <v>81</v>
      </c>
    </row>
    <row r="9869" spans="1:33" x14ac:dyDescent="0.25">
      <c r="A9869" t="str">
        <f>"1710289368"</f>
        <v>1710289368</v>
      </c>
      <c r="B9869" t="str">
        <f>"03791848"</f>
        <v>03791848</v>
      </c>
      <c r="C9869" t="s">
        <v>13436</v>
      </c>
      <c r="D9869" t="s">
        <v>41068</v>
      </c>
      <c r="E9869" t="s">
        <v>41069</v>
      </c>
      <c r="G9869" t="s">
        <v>41070</v>
      </c>
      <c r="L9869" t="s">
        <v>102</v>
      </c>
      <c r="M9869" t="s">
        <v>75</v>
      </c>
      <c r="R9869" t="s">
        <v>41071</v>
      </c>
      <c r="W9869" t="s">
        <v>41069</v>
      </c>
      <c r="X9869" t="s">
        <v>329</v>
      </c>
      <c r="Y9869" t="s">
        <v>97</v>
      </c>
      <c r="Z9869" t="s">
        <v>77</v>
      </c>
      <c r="AA9869" t="str">
        <f>"10029-6504"</f>
        <v>10029-6504</v>
      </c>
      <c r="AB9869" t="s">
        <v>78</v>
      </c>
      <c r="AC9869" t="s">
        <v>79</v>
      </c>
      <c r="AD9869" t="s">
        <v>75</v>
      </c>
      <c r="AE9869" t="s">
        <v>80</v>
      </c>
      <c r="AG9869" t="s">
        <v>81</v>
      </c>
    </row>
    <row r="9870" spans="1:33" x14ac:dyDescent="0.25">
      <c r="A9870" t="str">
        <f>"1710290127"</f>
        <v>1710290127</v>
      </c>
      <c r="C9870" t="s">
        <v>13436</v>
      </c>
      <c r="K9870" t="s">
        <v>99</v>
      </c>
      <c r="L9870" t="s">
        <v>102</v>
      </c>
      <c r="M9870" t="s">
        <v>75</v>
      </c>
      <c r="R9870" t="s">
        <v>41072</v>
      </c>
      <c r="S9870" t="s">
        <v>41073</v>
      </c>
      <c r="T9870" t="s">
        <v>97</v>
      </c>
      <c r="U9870" t="s">
        <v>77</v>
      </c>
      <c r="V9870" t="str">
        <f>"100191147"</f>
        <v>100191147</v>
      </c>
      <c r="AC9870" t="s">
        <v>79</v>
      </c>
      <c r="AD9870" t="s">
        <v>75</v>
      </c>
      <c r="AE9870" t="s">
        <v>103</v>
      </c>
      <c r="AG9870" t="s">
        <v>81</v>
      </c>
    </row>
    <row r="9871" spans="1:33" x14ac:dyDescent="0.25">
      <c r="A9871" t="str">
        <f>"1629205174"</f>
        <v>1629205174</v>
      </c>
      <c r="C9871" t="s">
        <v>13436</v>
      </c>
      <c r="K9871" t="s">
        <v>99</v>
      </c>
      <c r="L9871" t="s">
        <v>102</v>
      </c>
      <c r="M9871" t="s">
        <v>75</v>
      </c>
      <c r="R9871" t="s">
        <v>41074</v>
      </c>
      <c r="S9871" t="s">
        <v>41075</v>
      </c>
      <c r="T9871" t="s">
        <v>2034</v>
      </c>
      <c r="U9871" t="s">
        <v>77</v>
      </c>
      <c r="V9871" t="str">
        <f>"105982939"</f>
        <v>105982939</v>
      </c>
      <c r="AC9871" t="s">
        <v>79</v>
      </c>
      <c r="AD9871" t="s">
        <v>75</v>
      </c>
      <c r="AE9871" t="s">
        <v>103</v>
      </c>
      <c r="AG9871" t="s">
        <v>81</v>
      </c>
    </row>
    <row r="9872" spans="1:33" x14ac:dyDescent="0.25">
      <c r="A9872" t="str">
        <f>"1679992689"</f>
        <v>1679992689</v>
      </c>
      <c r="C9872" t="s">
        <v>13436</v>
      </c>
      <c r="K9872" t="s">
        <v>99</v>
      </c>
      <c r="L9872" t="s">
        <v>102</v>
      </c>
      <c r="M9872" t="s">
        <v>75</v>
      </c>
      <c r="R9872" t="s">
        <v>41076</v>
      </c>
      <c r="S9872" t="s">
        <v>14477</v>
      </c>
      <c r="T9872" t="s">
        <v>97</v>
      </c>
      <c r="U9872" t="s">
        <v>77</v>
      </c>
      <c r="V9872" t="str">
        <f>"100033804"</f>
        <v>100033804</v>
      </c>
      <c r="AC9872" t="s">
        <v>79</v>
      </c>
      <c r="AD9872" t="s">
        <v>75</v>
      </c>
      <c r="AE9872" t="s">
        <v>103</v>
      </c>
      <c r="AG9872" t="s">
        <v>81</v>
      </c>
    </row>
    <row r="9873" spans="1:33" x14ac:dyDescent="0.25">
      <c r="A9873" t="str">
        <f>"1679996318"</f>
        <v>1679996318</v>
      </c>
      <c r="C9873" t="s">
        <v>13436</v>
      </c>
      <c r="G9873" t="s">
        <v>41077</v>
      </c>
      <c r="K9873" t="s">
        <v>99</v>
      </c>
      <c r="L9873" t="s">
        <v>102</v>
      </c>
      <c r="M9873" t="s">
        <v>75</v>
      </c>
      <c r="R9873" t="s">
        <v>41078</v>
      </c>
      <c r="S9873" t="s">
        <v>41079</v>
      </c>
      <c r="T9873" t="s">
        <v>97</v>
      </c>
      <c r="U9873" t="s">
        <v>77</v>
      </c>
      <c r="V9873" t="str">
        <f>"10029"</f>
        <v>10029</v>
      </c>
      <c r="AC9873" t="s">
        <v>79</v>
      </c>
      <c r="AD9873" t="s">
        <v>75</v>
      </c>
      <c r="AE9873" t="s">
        <v>103</v>
      </c>
      <c r="AG9873" t="s">
        <v>81</v>
      </c>
    </row>
    <row r="9874" spans="1:33" x14ac:dyDescent="0.25">
      <c r="A9874" t="str">
        <f>"1689017493"</f>
        <v>1689017493</v>
      </c>
      <c r="C9874" t="s">
        <v>13436</v>
      </c>
      <c r="K9874" t="s">
        <v>99</v>
      </c>
      <c r="L9874" t="s">
        <v>102</v>
      </c>
      <c r="M9874" t="s">
        <v>75</v>
      </c>
      <c r="R9874" t="s">
        <v>41080</v>
      </c>
      <c r="S9874" t="s">
        <v>191</v>
      </c>
      <c r="T9874" t="s">
        <v>97</v>
      </c>
      <c r="U9874" t="s">
        <v>77</v>
      </c>
      <c r="V9874" t="str">
        <f>"100191147"</f>
        <v>100191147</v>
      </c>
      <c r="AC9874" t="s">
        <v>79</v>
      </c>
      <c r="AD9874" t="s">
        <v>75</v>
      </c>
      <c r="AE9874" t="s">
        <v>103</v>
      </c>
      <c r="AG9874" t="s">
        <v>81</v>
      </c>
    </row>
    <row r="9875" spans="1:33" x14ac:dyDescent="0.25">
      <c r="A9875" t="str">
        <f>"1689090649"</f>
        <v>1689090649</v>
      </c>
      <c r="C9875" t="s">
        <v>13436</v>
      </c>
      <c r="K9875" t="s">
        <v>99</v>
      </c>
      <c r="L9875" t="s">
        <v>102</v>
      </c>
      <c r="M9875" t="s">
        <v>75</v>
      </c>
      <c r="R9875" t="s">
        <v>41081</v>
      </c>
      <c r="S9875" t="s">
        <v>41082</v>
      </c>
      <c r="T9875" t="s">
        <v>6270</v>
      </c>
      <c r="U9875" t="s">
        <v>77</v>
      </c>
      <c r="V9875" t="str">
        <f>"10003"</f>
        <v>10003</v>
      </c>
      <c r="AC9875" t="s">
        <v>79</v>
      </c>
      <c r="AD9875" t="s">
        <v>75</v>
      </c>
      <c r="AE9875" t="s">
        <v>103</v>
      </c>
      <c r="AG9875" t="s">
        <v>81</v>
      </c>
    </row>
    <row r="9876" spans="1:33" x14ac:dyDescent="0.25">
      <c r="A9876" t="str">
        <f>"1689091852"</f>
        <v>1689091852</v>
      </c>
      <c r="C9876" t="s">
        <v>13436</v>
      </c>
      <c r="K9876" t="s">
        <v>99</v>
      </c>
      <c r="L9876" t="s">
        <v>102</v>
      </c>
      <c r="M9876" t="s">
        <v>75</v>
      </c>
      <c r="R9876" t="s">
        <v>41083</v>
      </c>
      <c r="S9876" t="s">
        <v>3553</v>
      </c>
      <c r="T9876" t="s">
        <v>97</v>
      </c>
      <c r="U9876" t="s">
        <v>77</v>
      </c>
      <c r="V9876" t="str">
        <f>"100033851"</f>
        <v>100033851</v>
      </c>
      <c r="AC9876" t="s">
        <v>79</v>
      </c>
      <c r="AD9876" t="s">
        <v>75</v>
      </c>
      <c r="AE9876" t="s">
        <v>103</v>
      </c>
      <c r="AG9876" t="s">
        <v>81</v>
      </c>
    </row>
    <row r="9877" spans="1:33" x14ac:dyDescent="0.25">
      <c r="A9877" t="str">
        <f>"1376891564"</f>
        <v>1376891564</v>
      </c>
      <c r="B9877" t="str">
        <f>"04142834"</f>
        <v>04142834</v>
      </c>
      <c r="C9877" t="s">
        <v>13436</v>
      </c>
      <c r="D9877" t="s">
        <v>41084</v>
      </c>
      <c r="E9877" t="s">
        <v>41085</v>
      </c>
      <c r="L9877" t="s">
        <v>74</v>
      </c>
      <c r="M9877" t="s">
        <v>75</v>
      </c>
      <c r="R9877" t="s">
        <v>41085</v>
      </c>
      <c r="W9877" t="s">
        <v>41085</v>
      </c>
      <c r="X9877" t="s">
        <v>235</v>
      </c>
      <c r="Y9877" t="s">
        <v>236</v>
      </c>
      <c r="Z9877" t="s">
        <v>77</v>
      </c>
      <c r="AA9877" t="str">
        <f>"11102-2448"</f>
        <v>11102-2448</v>
      </c>
      <c r="AB9877" t="s">
        <v>78</v>
      </c>
      <c r="AC9877" t="s">
        <v>79</v>
      </c>
      <c r="AD9877" t="s">
        <v>75</v>
      </c>
      <c r="AE9877" t="s">
        <v>80</v>
      </c>
      <c r="AG9877" t="s">
        <v>81</v>
      </c>
    </row>
    <row r="9878" spans="1:33" x14ac:dyDescent="0.25">
      <c r="A9878" t="str">
        <f>"1376894675"</f>
        <v>1376894675</v>
      </c>
      <c r="B9878" t="str">
        <f>"03735742"</f>
        <v>03735742</v>
      </c>
      <c r="C9878" t="s">
        <v>13436</v>
      </c>
      <c r="D9878" t="s">
        <v>41086</v>
      </c>
      <c r="E9878" t="s">
        <v>4620</v>
      </c>
      <c r="G9878" t="s">
        <v>37325</v>
      </c>
      <c r="L9878" t="s">
        <v>74</v>
      </c>
      <c r="M9878" t="s">
        <v>75</v>
      </c>
      <c r="R9878" t="s">
        <v>41087</v>
      </c>
      <c r="W9878" t="s">
        <v>4620</v>
      </c>
      <c r="X9878" t="s">
        <v>4954</v>
      </c>
      <c r="Y9878" t="s">
        <v>131</v>
      </c>
      <c r="Z9878" t="s">
        <v>77</v>
      </c>
      <c r="AA9878" t="str">
        <f>"10453-4015"</f>
        <v>10453-4015</v>
      </c>
      <c r="AB9878" t="s">
        <v>78</v>
      </c>
      <c r="AC9878" t="s">
        <v>79</v>
      </c>
      <c r="AD9878" t="s">
        <v>75</v>
      </c>
      <c r="AE9878" t="s">
        <v>80</v>
      </c>
      <c r="AG9878" t="s">
        <v>81</v>
      </c>
    </row>
    <row r="9879" spans="1:33" x14ac:dyDescent="0.25">
      <c r="A9879" t="str">
        <f>"1376896142"</f>
        <v>1376896142</v>
      </c>
      <c r="B9879" t="str">
        <f>"04099616"</f>
        <v>04099616</v>
      </c>
      <c r="C9879" t="s">
        <v>13436</v>
      </c>
      <c r="D9879" t="s">
        <v>6159</v>
      </c>
      <c r="E9879" t="s">
        <v>6160</v>
      </c>
      <c r="L9879" t="s">
        <v>102</v>
      </c>
      <c r="M9879" t="s">
        <v>75</v>
      </c>
      <c r="R9879" t="s">
        <v>6161</v>
      </c>
      <c r="W9879" t="s">
        <v>6162</v>
      </c>
      <c r="X9879" t="s">
        <v>6163</v>
      </c>
      <c r="Y9879" t="s">
        <v>97</v>
      </c>
      <c r="Z9879" t="s">
        <v>77</v>
      </c>
      <c r="AA9879" t="str">
        <f>"10016-6401"</f>
        <v>10016-6401</v>
      </c>
      <c r="AB9879" t="s">
        <v>78</v>
      </c>
      <c r="AC9879" t="s">
        <v>79</v>
      </c>
      <c r="AD9879" t="s">
        <v>75</v>
      </c>
      <c r="AE9879" t="s">
        <v>80</v>
      </c>
      <c r="AG9879" t="s">
        <v>81</v>
      </c>
    </row>
    <row r="9880" spans="1:33" x14ac:dyDescent="0.25">
      <c r="A9880" t="str">
        <f>"1376954800"</f>
        <v>1376954800</v>
      </c>
      <c r="B9880" t="str">
        <f>"03936243"</f>
        <v>03936243</v>
      </c>
      <c r="C9880" t="s">
        <v>13436</v>
      </c>
      <c r="D9880" t="s">
        <v>41088</v>
      </c>
      <c r="E9880" t="s">
        <v>41089</v>
      </c>
      <c r="G9880" t="s">
        <v>41090</v>
      </c>
      <c r="L9880" t="s">
        <v>74</v>
      </c>
      <c r="M9880" t="s">
        <v>75</v>
      </c>
      <c r="R9880" t="s">
        <v>41091</v>
      </c>
      <c r="W9880" t="s">
        <v>41089</v>
      </c>
      <c r="X9880" t="s">
        <v>329</v>
      </c>
      <c r="Y9880" t="s">
        <v>97</v>
      </c>
      <c r="Z9880" t="s">
        <v>77</v>
      </c>
      <c r="AA9880" t="str">
        <f>"10029-6504"</f>
        <v>10029-6504</v>
      </c>
      <c r="AB9880" t="s">
        <v>78</v>
      </c>
      <c r="AC9880" t="s">
        <v>79</v>
      </c>
      <c r="AD9880" t="s">
        <v>75</v>
      </c>
      <c r="AE9880" t="s">
        <v>80</v>
      </c>
      <c r="AG9880" t="s">
        <v>81</v>
      </c>
    </row>
    <row r="9881" spans="1:33" x14ac:dyDescent="0.25">
      <c r="A9881" t="str">
        <f>"1376956425"</f>
        <v>1376956425</v>
      </c>
      <c r="C9881" t="s">
        <v>13436</v>
      </c>
      <c r="G9881" t="s">
        <v>41092</v>
      </c>
      <c r="K9881" t="s">
        <v>99</v>
      </c>
      <c r="L9881" t="s">
        <v>74</v>
      </c>
      <c r="M9881" t="s">
        <v>75</v>
      </c>
      <c r="R9881" t="s">
        <v>41093</v>
      </c>
      <c r="S9881" t="s">
        <v>11566</v>
      </c>
      <c r="T9881" t="s">
        <v>97</v>
      </c>
      <c r="U9881" t="s">
        <v>77</v>
      </c>
      <c r="V9881" t="str">
        <f>"100296574"</f>
        <v>100296574</v>
      </c>
      <c r="AC9881" t="s">
        <v>79</v>
      </c>
      <c r="AD9881" t="s">
        <v>75</v>
      </c>
      <c r="AE9881" t="s">
        <v>103</v>
      </c>
      <c r="AG9881" t="s">
        <v>81</v>
      </c>
    </row>
    <row r="9882" spans="1:33" x14ac:dyDescent="0.25">
      <c r="A9882" t="str">
        <f>"1376960484"</f>
        <v>1376960484</v>
      </c>
      <c r="C9882" t="s">
        <v>13436</v>
      </c>
      <c r="K9882" t="s">
        <v>99</v>
      </c>
      <c r="L9882" t="s">
        <v>102</v>
      </c>
      <c r="M9882" t="s">
        <v>75</v>
      </c>
      <c r="R9882" t="s">
        <v>41094</v>
      </c>
      <c r="S9882" t="s">
        <v>11850</v>
      </c>
      <c r="T9882" t="s">
        <v>97</v>
      </c>
      <c r="U9882" t="s">
        <v>77</v>
      </c>
      <c r="V9882" t="str">
        <f>"100296504"</f>
        <v>100296504</v>
      </c>
      <c r="AC9882" t="s">
        <v>79</v>
      </c>
      <c r="AD9882" t="s">
        <v>75</v>
      </c>
      <c r="AE9882" t="s">
        <v>103</v>
      </c>
      <c r="AG9882" t="s">
        <v>81</v>
      </c>
    </row>
    <row r="9883" spans="1:33" x14ac:dyDescent="0.25">
      <c r="A9883" t="str">
        <f>"1790990729"</f>
        <v>1790990729</v>
      </c>
      <c r="B9883" t="str">
        <f>"02905113"</f>
        <v>02905113</v>
      </c>
      <c r="C9883" t="s">
        <v>13436</v>
      </c>
      <c r="D9883" t="s">
        <v>41095</v>
      </c>
      <c r="E9883" t="s">
        <v>41096</v>
      </c>
      <c r="G9883" t="s">
        <v>41097</v>
      </c>
      <c r="L9883" t="s">
        <v>94</v>
      </c>
      <c r="M9883" t="s">
        <v>85</v>
      </c>
      <c r="R9883" t="s">
        <v>41098</v>
      </c>
      <c r="W9883" t="s">
        <v>41096</v>
      </c>
      <c r="X9883" t="s">
        <v>181</v>
      </c>
      <c r="Y9883" t="s">
        <v>97</v>
      </c>
      <c r="Z9883" t="s">
        <v>77</v>
      </c>
      <c r="AA9883" t="str">
        <f>"10025-1716"</f>
        <v>10025-1716</v>
      </c>
      <c r="AB9883" t="s">
        <v>78</v>
      </c>
      <c r="AC9883" t="s">
        <v>79</v>
      </c>
      <c r="AD9883" t="s">
        <v>75</v>
      </c>
      <c r="AE9883" t="s">
        <v>80</v>
      </c>
      <c r="AG9883" t="s">
        <v>81</v>
      </c>
    </row>
    <row r="9884" spans="1:33" x14ac:dyDescent="0.25">
      <c r="A9884" t="str">
        <f>"1801032271"</f>
        <v>1801032271</v>
      </c>
      <c r="B9884" t="str">
        <f>"01993448"</f>
        <v>01993448</v>
      </c>
      <c r="C9884" t="s">
        <v>13436</v>
      </c>
      <c r="D9884" t="s">
        <v>41099</v>
      </c>
      <c r="E9884" t="s">
        <v>41100</v>
      </c>
      <c r="G9884" t="s">
        <v>41101</v>
      </c>
      <c r="L9884" t="s">
        <v>74</v>
      </c>
      <c r="M9884" t="s">
        <v>75</v>
      </c>
      <c r="R9884" t="s">
        <v>41102</v>
      </c>
      <c r="W9884" t="s">
        <v>41100</v>
      </c>
      <c r="X9884" t="s">
        <v>41103</v>
      </c>
      <c r="Y9884" t="s">
        <v>124</v>
      </c>
      <c r="Z9884" t="s">
        <v>77</v>
      </c>
      <c r="AA9884" t="str">
        <f>"14607-2339"</f>
        <v>14607-2339</v>
      </c>
      <c r="AB9884" t="s">
        <v>78</v>
      </c>
      <c r="AC9884" t="s">
        <v>79</v>
      </c>
      <c r="AD9884" t="s">
        <v>75</v>
      </c>
      <c r="AE9884" t="s">
        <v>80</v>
      </c>
      <c r="AG9884" t="s">
        <v>81</v>
      </c>
    </row>
    <row r="9885" spans="1:33" x14ac:dyDescent="0.25">
      <c r="A9885" t="str">
        <f>"1801033204"</f>
        <v>1801033204</v>
      </c>
      <c r="B9885" t="str">
        <f>"03388236"</f>
        <v>03388236</v>
      </c>
      <c r="C9885" t="s">
        <v>13436</v>
      </c>
      <c r="D9885" t="s">
        <v>41104</v>
      </c>
      <c r="E9885" t="s">
        <v>41105</v>
      </c>
      <c r="G9885" t="s">
        <v>41106</v>
      </c>
      <c r="L9885" t="s">
        <v>83</v>
      </c>
      <c r="M9885" t="s">
        <v>85</v>
      </c>
      <c r="R9885" t="s">
        <v>41107</v>
      </c>
      <c r="W9885" t="s">
        <v>41105</v>
      </c>
      <c r="X9885" t="s">
        <v>181</v>
      </c>
      <c r="Y9885" t="s">
        <v>97</v>
      </c>
      <c r="Z9885" t="s">
        <v>77</v>
      </c>
      <c r="AA9885" t="str">
        <f>"10025-1716"</f>
        <v>10025-1716</v>
      </c>
      <c r="AB9885" t="s">
        <v>78</v>
      </c>
      <c r="AC9885" t="s">
        <v>79</v>
      </c>
      <c r="AD9885" t="s">
        <v>75</v>
      </c>
      <c r="AE9885" t="s">
        <v>80</v>
      </c>
      <c r="AG9885" t="s">
        <v>81</v>
      </c>
    </row>
    <row r="9886" spans="1:33" x14ac:dyDescent="0.25">
      <c r="A9886" t="str">
        <f>"1801054580"</f>
        <v>1801054580</v>
      </c>
      <c r="B9886" t="str">
        <f>"03256255"</f>
        <v>03256255</v>
      </c>
      <c r="C9886" t="s">
        <v>13436</v>
      </c>
      <c r="D9886" t="s">
        <v>41108</v>
      </c>
      <c r="E9886" t="s">
        <v>41109</v>
      </c>
      <c r="L9886" t="s">
        <v>83</v>
      </c>
      <c r="M9886" t="s">
        <v>85</v>
      </c>
      <c r="R9886" t="s">
        <v>41110</v>
      </c>
      <c r="W9886" t="s">
        <v>41109</v>
      </c>
      <c r="X9886" t="s">
        <v>35483</v>
      </c>
      <c r="Y9886" t="s">
        <v>161</v>
      </c>
      <c r="Z9886" t="s">
        <v>77</v>
      </c>
      <c r="AA9886" t="str">
        <f>"11042-1117"</f>
        <v>11042-1117</v>
      </c>
      <c r="AB9886" t="s">
        <v>78</v>
      </c>
      <c r="AC9886" t="s">
        <v>79</v>
      </c>
      <c r="AD9886" t="s">
        <v>75</v>
      </c>
      <c r="AE9886" t="s">
        <v>80</v>
      </c>
      <c r="AG9886" t="s">
        <v>81</v>
      </c>
    </row>
    <row r="9887" spans="1:33" x14ac:dyDescent="0.25">
      <c r="A9887" t="str">
        <f>"1801055017"</f>
        <v>1801055017</v>
      </c>
      <c r="B9887" t="str">
        <f>"03141522"</f>
        <v>03141522</v>
      </c>
      <c r="C9887" t="s">
        <v>13436</v>
      </c>
      <c r="D9887" t="s">
        <v>41111</v>
      </c>
      <c r="E9887" t="s">
        <v>41112</v>
      </c>
      <c r="L9887" t="s">
        <v>94</v>
      </c>
      <c r="M9887" t="s">
        <v>85</v>
      </c>
      <c r="R9887" t="s">
        <v>41112</v>
      </c>
      <c r="W9887" t="s">
        <v>41112</v>
      </c>
      <c r="X9887" t="s">
        <v>235</v>
      </c>
      <c r="Y9887" t="s">
        <v>236</v>
      </c>
      <c r="Z9887" t="s">
        <v>77</v>
      </c>
      <c r="AA9887" t="str">
        <f>"11102-2448"</f>
        <v>11102-2448</v>
      </c>
      <c r="AB9887" t="s">
        <v>78</v>
      </c>
      <c r="AC9887" t="s">
        <v>79</v>
      </c>
      <c r="AD9887" t="s">
        <v>75</v>
      </c>
      <c r="AE9887" t="s">
        <v>80</v>
      </c>
      <c r="AG9887" t="s">
        <v>81</v>
      </c>
    </row>
    <row r="9888" spans="1:33" x14ac:dyDescent="0.25">
      <c r="A9888" t="str">
        <f>"1801055488"</f>
        <v>1801055488</v>
      </c>
      <c r="B9888" t="str">
        <f>"03354996"</f>
        <v>03354996</v>
      </c>
      <c r="C9888" t="s">
        <v>13436</v>
      </c>
      <c r="D9888" t="s">
        <v>41113</v>
      </c>
      <c r="E9888" t="s">
        <v>41114</v>
      </c>
      <c r="L9888" t="s">
        <v>84</v>
      </c>
      <c r="M9888" t="s">
        <v>85</v>
      </c>
      <c r="R9888" t="s">
        <v>41114</v>
      </c>
      <c r="W9888" t="s">
        <v>41114</v>
      </c>
      <c r="X9888" t="s">
        <v>11073</v>
      </c>
      <c r="Y9888" t="s">
        <v>97</v>
      </c>
      <c r="Z9888" t="s">
        <v>77</v>
      </c>
      <c r="AA9888" t="str">
        <f>"10029-6500"</f>
        <v>10029-6500</v>
      </c>
      <c r="AB9888" t="s">
        <v>78</v>
      </c>
      <c r="AC9888" t="s">
        <v>79</v>
      </c>
      <c r="AD9888" t="s">
        <v>75</v>
      </c>
      <c r="AE9888" t="s">
        <v>80</v>
      </c>
      <c r="AG9888" t="s">
        <v>81</v>
      </c>
    </row>
    <row r="9889" spans="1:33" x14ac:dyDescent="0.25">
      <c r="A9889" t="str">
        <f>"1801055538"</f>
        <v>1801055538</v>
      </c>
      <c r="B9889" t="str">
        <f>"03477227"</f>
        <v>03477227</v>
      </c>
      <c r="C9889" t="s">
        <v>13436</v>
      </c>
      <c r="D9889" t="s">
        <v>41115</v>
      </c>
      <c r="E9889" t="s">
        <v>41116</v>
      </c>
      <c r="G9889" t="s">
        <v>41117</v>
      </c>
      <c r="L9889" t="s">
        <v>105</v>
      </c>
      <c r="M9889" t="s">
        <v>85</v>
      </c>
      <c r="R9889" t="s">
        <v>41118</v>
      </c>
      <c r="W9889" t="s">
        <v>41116</v>
      </c>
      <c r="X9889" t="s">
        <v>329</v>
      </c>
      <c r="Y9889" t="s">
        <v>97</v>
      </c>
      <c r="Z9889" t="s">
        <v>77</v>
      </c>
      <c r="AA9889" t="str">
        <f>"10029-6500"</f>
        <v>10029-6500</v>
      </c>
      <c r="AB9889" t="s">
        <v>78</v>
      </c>
      <c r="AC9889" t="s">
        <v>79</v>
      </c>
      <c r="AD9889" t="s">
        <v>75</v>
      </c>
      <c r="AE9889" t="s">
        <v>80</v>
      </c>
      <c r="AG9889" t="s">
        <v>81</v>
      </c>
    </row>
    <row r="9890" spans="1:33" x14ac:dyDescent="0.25">
      <c r="A9890" t="str">
        <f>"1801056809"</f>
        <v>1801056809</v>
      </c>
      <c r="B9890" t="str">
        <f>"03121771"</f>
        <v>03121771</v>
      </c>
      <c r="C9890" t="s">
        <v>13436</v>
      </c>
      <c r="D9890" t="s">
        <v>41119</v>
      </c>
      <c r="E9890" t="s">
        <v>41120</v>
      </c>
      <c r="G9890" t="s">
        <v>41121</v>
      </c>
      <c r="L9890" t="s">
        <v>83</v>
      </c>
      <c r="M9890" t="s">
        <v>85</v>
      </c>
      <c r="R9890" t="s">
        <v>41122</v>
      </c>
      <c r="W9890" t="s">
        <v>41120</v>
      </c>
      <c r="X9890" t="s">
        <v>329</v>
      </c>
      <c r="Y9890" t="s">
        <v>97</v>
      </c>
      <c r="Z9890" t="s">
        <v>77</v>
      </c>
      <c r="AA9890" t="str">
        <f>"10029-6500"</f>
        <v>10029-6500</v>
      </c>
      <c r="AB9890" t="s">
        <v>78</v>
      </c>
      <c r="AC9890" t="s">
        <v>79</v>
      </c>
      <c r="AD9890" t="s">
        <v>75</v>
      </c>
      <c r="AE9890" t="s">
        <v>80</v>
      </c>
      <c r="AG9890" t="s">
        <v>81</v>
      </c>
    </row>
    <row r="9891" spans="1:33" x14ac:dyDescent="0.25">
      <c r="A9891" t="str">
        <f>"1801061239"</f>
        <v>1801061239</v>
      </c>
      <c r="B9891" t="str">
        <f>"03074715"</f>
        <v>03074715</v>
      </c>
      <c r="C9891" t="s">
        <v>13436</v>
      </c>
      <c r="D9891" t="s">
        <v>41123</v>
      </c>
      <c r="E9891" t="s">
        <v>41124</v>
      </c>
      <c r="L9891" t="s">
        <v>83</v>
      </c>
      <c r="M9891" t="s">
        <v>85</v>
      </c>
      <c r="R9891" t="s">
        <v>41125</v>
      </c>
      <c r="W9891" t="s">
        <v>41125</v>
      </c>
      <c r="X9891" t="s">
        <v>5557</v>
      </c>
      <c r="Y9891" t="s">
        <v>97</v>
      </c>
      <c r="Z9891" t="s">
        <v>77</v>
      </c>
      <c r="AA9891" t="str">
        <f>"10029-6501"</f>
        <v>10029-6501</v>
      </c>
      <c r="AB9891" t="s">
        <v>78</v>
      </c>
      <c r="AC9891" t="s">
        <v>79</v>
      </c>
      <c r="AD9891" t="s">
        <v>75</v>
      </c>
      <c r="AE9891" t="s">
        <v>80</v>
      </c>
      <c r="AG9891" t="s">
        <v>81</v>
      </c>
    </row>
    <row r="9892" spans="1:33" x14ac:dyDescent="0.25">
      <c r="A9892" t="str">
        <f>"1801104724"</f>
        <v>1801104724</v>
      </c>
      <c r="C9892" t="s">
        <v>13436</v>
      </c>
      <c r="G9892" t="s">
        <v>41126</v>
      </c>
      <c r="K9892" t="s">
        <v>99</v>
      </c>
      <c r="L9892" t="s">
        <v>102</v>
      </c>
      <c r="M9892" t="s">
        <v>75</v>
      </c>
      <c r="R9892" t="s">
        <v>41127</v>
      </c>
      <c r="S9892" t="s">
        <v>41128</v>
      </c>
      <c r="T9892" t="s">
        <v>97</v>
      </c>
      <c r="U9892" t="s">
        <v>77</v>
      </c>
      <c r="V9892" t="str">
        <f>"10003"</f>
        <v>10003</v>
      </c>
      <c r="AC9892" t="s">
        <v>79</v>
      </c>
      <c r="AD9892" t="s">
        <v>75</v>
      </c>
      <c r="AE9892" t="s">
        <v>103</v>
      </c>
      <c r="AG9892" t="s">
        <v>81</v>
      </c>
    </row>
    <row r="9893" spans="1:33" x14ac:dyDescent="0.25">
      <c r="A9893" t="str">
        <f>"1801107388"</f>
        <v>1801107388</v>
      </c>
      <c r="B9893" t="str">
        <f>"03347748"</f>
        <v>03347748</v>
      </c>
      <c r="C9893" t="s">
        <v>13436</v>
      </c>
      <c r="D9893" t="s">
        <v>41129</v>
      </c>
      <c r="E9893" t="s">
        <v>41130</v>
      </c>
      <c r="G9893" t="s">
        <v>41131</v>
      </c>
      <c r="L9893" t="s">
        <v>83</v>
      </c>
      <c r="M9893" t="s">
        <v>85</v>
      </c>
      <c r="R9893" t="s">
        <v>41132</v>
      </c>
      <c r="W9893" t="s">
        <v>41133</v>
      </c>
      <c r="X9893" t="s">
        <v>5248</v>
      </c>
      <c r="Y9893" t="s">
        <v>97</v>
      </c>
      <c r="Z9893" t="s">
        <v>77</v>
      </c>
      <c r="AA9893" t="str">
        <f>"10023-7410"</f>
        <v>10023-7410</v>
      </c>
      <c r="AB9893" t="s">
        <v>78</v>
      </c>
      <c r="AC9893" t="s">
        <v>79</v>
      </c>
      <c r="AD9893" t="s">
        <v>75</v>
      </c>
      <c r="AE9893" t="s">
        <v>80</v>
      </c>
      <c r="AG9893" t="s">
        <v>81</v>
      </c>
    </row>
    <row r="9894" spans="1:33" x14ac:dyDescent="0.25">
      <c r="A9894" t="str">
        <f>"1295153237"</f>
        <v>1295153237</v>
      </c>
      <c r="C9894" t="s">
        <v>13436</v>
      </c>
      <c r="K9894" t="s">
        <v>99</v>
      </c>
      <c r="L9894" t="s">
        <v>102</v>
      </c>
      <c r="M9894" t="s">
        <v>75</v>
      </c>
      <c r="R9894" t="s">
        <v>41134</v>
      </c>
      <c r="S9894" t="s">
        <v>41135</v>
      </c>
      <c r="T9894" t="s">
        <v>4487</v>
      </c>
      <c r="U9894" t="s">
        <v>351</v>
      </c>
      <c r="V9894" t="str">
        <f>"331312983"</f>
        <v>331312983</v>
      </c>
      <c r="AC9894" t="s">
        <v>79</v>
      </c>
      <c r="AD9894" t="s">
        <v>75</v>
      </c>
      <c r="AE9894" t="s">
        <v>103</v>
      </c>
      <c r="AG9894" t="s">
        <v>81</v>
      </c>
    </row>
    <row r="9895" spans="1:33" x14ac:dyDescent="0.25">
      <c r="A9895" t="str">
        <f>"1356650147"</f>
        <v>1356650147</v>
      </c>
      <c r="B9895" t="str">
        <f>"03360125"</f>
        <v>03360125</v>
      </c>
      <c r="C9895" t="s">
        <v>13436</v>
      </c>
      <c r="D9895" t="s">
        <v>41136</v>
      </c>
      <c r="E9895" t="s">
        <v>41137</v>
      </c>
      <c r="G9895" t="s">
        <v>41138</v>
      </c>
      <c r="L9895" t="s">
        <v>74</v>
      </c>
      <c r="M9895" t="s">
        <v>75</v>
      </c>
      <c r="R9895" t="s">
        <v>41139</v>
      </c>
      <c r="W9895" t="s">
        <v>41139</v>
      </c>
      <c r="X9895" t="s">
        <v>5292</v>
      </c>
      <c r="Y9895" t="s">
        <v>635</v>
      </c>
      <c r="Z9895" t="s">
        <v>77</v>
      </c>
      <c r="AA9895" t="str">
        <f>"10591-5563"</f>
        <v>10591-5563</v>
      </c>
      <c r="AB9895" t="s">
        <v>78</v>
      </c>
      <c r="AC9895" t="s">
        <v>79</v>
      </c>
      <c r="AD9895" t="s">
        <v>75</v>
      </c>
      <c r="AE9895" t="s">
        <v>80</v>
      </c>
      <c r="AG9895" t="s">
        <v>81</v>
      </c>
    </row>
    <row r="9896" spans="1:33" x14ac:dyDescent="0.25">
      <c r="A9896" t="str">
        <f>"1710296686"</f>
        <v>1710296686</v>
      </c>
      <c r="B9896" t="str">
        <f>"03280215"</f>
        <v>03280215</v>
      </c>
      <c r="C9896" t="s">
        <v>13436</v>
      </c>
      <c r="D9896" t="s">
        <v>41140</v>
      </c>
      <c r="E9896" t="s">
        <v>41141</v>
      </c>
      <c r="L9896" t="s">
        <v>74</v>
      </c>
      <c r="M9896" t="s">
        <v>75</v>
      </c>
      <c r="R9896" t="s">
        <v>41142</v>
      </c>
      <c r="W9896" t="s">
        <v>41141</v>
      </c>
      <c r="X9896" t="s">
        <v>235</v>
      </c>
      <c r="Y9896" t="s">
        <v>190</v>
      </c>
      <c r="Z9896" t="s">
        <v>77</v>
      </c>
      <c r="AA9896" t="str">
        <f>"11102-2448"</f>
        <v>11102-2448</v>
      </c>
      <c r="AB9896" t="s">
        <v>78</v>
      </c>
      <c r="AC9896" t="s">
        <v>79</v>
      </c>
      <c r="AD9896" t="s">
        <v>75</v>
      </c>
      <c r="AE9896" t="s">
        <v>80</v>
      </c>
      <c r="AG9896" t="s">
        <v>81</v>
      </c>
    </row>
    <row r="9897" spans="1:33" x14ac:dyDescent="0.25">
      <c r="A9897" t="str">
        <f>"1710229992"</f>
        <v>1710229992</v>
      </c>
      <c r="C9897" t="s">
        <v>13436</v>
      </c>
      <c r="K9897" t="s">
        <v>99</v>
      </c>
      <c r="L9897" t="s">
        <v>102</v>
      </c>
      <c r="M9897" t="s">
        <v>75</v>
      </c>
      <c r="R9897" t="s">
        <v>41143</v>
      </c>
      <c r="S9897" t="s">
        <v>27130</v>
      </c>
      <c r="T9897" t="s">
        <v>97</v>
      </c>
      <c r="U9897" t="s">
        <v>77</v>
      </c>
      <c r="V9897" t="str">
        <f>"100296500"</f>
        <v>100296500</v>
      </c>
      <c r="AC9897" t="s">
        <v>79</v>
      </c>
      <c r="AD9897" t="s">
        <v>75</v>
      </c>
      <c r="AE9897" t="s">
        <v>103</v>
      </c>
      <c r="AG9897" t="s">
        <v>81</v>
      </c>
    </row>
    <row r="9898" spans="1:33" x14ac:dyDescent="0.25">
      <c r="A9898" t="str">
        <f>"1750397220"</f>
        <v>1750397220</v>
      </c>
      <c r="B9898" t="str">
        <f>"03851058"</f>
        <v>03851058</v>
      </c>
      <c r="C9898" t="s">
        <v>41144</v>
      </c>
      <c r="D9898" t="s">
        <v>41145</v>
      </c>
      <c r="E9898" t="s">
        <v>41146</v>
      </c>
      <c r="G9898" t="s">
        <v>23992</v>
      </c>
      <c r="H9898" t="s">
        <v>23993</v>
      </c>
      <c r="J9898" t="s">
        <v>23994</v>
      </c>
      <c r="L9898" t="s">
        <v>83</v>
      </c>
      <c r="M9898" t="s">
        <v>75</v>
      </c>
      <c r="R9898" t="s">
        <v>41147</v>
      </c>
      <c r="W9898" t="s">
        <v>41148</v>
      </c>
      <c r="X9898" t="s">
        <v>23995</v>
      </c>
      <c r="Y9898" t="s">
        <v>87</v>
      </c>
      <c r="Z9898" t="s">
        <v>77</v>
      </c>
      <c r="AA9898" t="str">
        <f>"11205-3820"</f>
        <v>11205-3820</v>
      </c>
      <c r="AB9898" t="s">
        <v>78</v>
      </c>
      <c r="AC9898" t="s">
        <v>79</v>
      </c>
      <c r="AD9898" t="s">
        <v>75</v>
      </c>
      <c r="AE9898" t="s">
        <v>80</v>
      </c>
      <c r="AG9898" t="s">
        <v>81</v>
      </c>
    </row>
    <row r="9899" spans="1:33" x14ac:dyDescent="0.25">
      <c r="A9899" t="str">
        <f>"1760804686"</f>
        <v>1760804686</v>
      </c>
      <c r="C9899" t="s">
        <v>13436</v>
      </c>
      <c r="K9899" t="s">
        <v>99</v>
      </c>
      <c r="L9899" t="s">
        <v>102</v>
      </c>
      <c r="M9899" t="s">
        <v>75</v>
      </c>
      <c r="R9899" t="s">
        <v>41149</v>
      </c>
      <c r="S9899" t="s">
        <v>41150</v>
      </c>
      <c r="T9899" t="s">
        <v>97</v>
      </c>
      <c r="U9899" t="s">
        <v>77</v>
      </c>
      <c r="V9899" t="str">
        <f>"101282226"</f>
        <v>101282226</v>
      </c>
      <c r="AC9899" t="s">
        <v>79</v>
      </c>
      <c r="AD9899" t="s">
        <v>75</v>
      </c>
      <c r="AE9899" t="s">
        <v>103</v>
      </c>
      <c r="AG9899" t="s">
        <v>81</v>
      </c>
    </row>
    <row r="9900" spans="1:33" x14ac:dyDescent="0.25">
      <c r="A9900" t="str">
        <f>"1760808158"</f>
        <v>1760808158</v>
      </c>
      <c r="C9900" t="s">
        <v>13436</v>
      </c>
      <c r="K9900" t="s">
        <v>99</v>
      </c>
      <c r="L9900" t="s">
        <v>102</v>
      </c>
      <c r="M9900" t="s">
        <v>75</v>
      </c>
      <c r="R9900" t="s">
        <v>41151</v>
      </c>
      <c r="S9900" t="s">
        <v>41152</v>
      </c>
      <c r="T9900" t="s">
        <v>41153</v>
      </c>
      <c r="U9900" t="s">
        <v>2595</v>
      </c>
      <c r="V9900" t="str">
        <f>"923736575"</f>
        <v>923736575</v>
      </c>
      <c r="AC9900" t="s">
        <v>79</v>
      </c>
      <c r="AD9900" t="s">
        <v>75</v>
      </c>
      <c r="AE9900" t="s">
        <v>103</v>
      </c>
      <c r="AG9900" t="s">
        <v>81</v>
      </c>
    </row>
    <row r="9901" spans="1:33" x14ac:dyDescent="0.25">
      <c r="A9901" t="str">
        <f>"1760809743"</f>
        <v>1760809743</v>
      </c>
      <c r="C9901" t="s">
        <v>13436</v>
      </c>
      <c r="K9901" t="s">
        <v>99</v>
      </c>
      <c r="L9901" t="s">
        <v>102</v>
      </c>
      <c r="M9901" t="s">
        <v>75</v>
      </c>
      <c r="R9901" t="s">
        <v>41154</v>
      </c>
      <c r="S9901" t="s">
        <v>20393</v>
      </c>
      <c r="T9901" t="s">
        <v>97</v>
      </c>
      <c r="U9901" t="s">
        <v>77</v>
      </c>
      <c r="V9901" t="str">
        <f>"100295204"</f>
        <v>100295204</v>
      </c>
      <c r="AC9901" t="s">
        <v>79</v>
      </c>
      <c r="AD9901" t="s">
        <v>75</v>
      </c>
      <c r="AE9901" t="s">
        <v>103</v>
      </c>
      <c r="AG9901" t="s">
        <v>81</v>
      </c>
    </row>
    <row r="9902" spans="1:33" x14ac:dyDescent="0.25">
      <c r="A9902" t="str">
        <f>"1760811442"</f>
        <v>1760811442</v>
      </c>
      <c r="C9902" t="s">
        <v>13436</v>
      </c>
      <c r="K9902" t="s">
        <v>99</v>
      </c>
      <c r="L9902" t="s">
        <v>102</v>
      </c>
      <c r="M9902" t="s">
        <v>75</v>
      </c>
      <c r="R9902" t="s">
        <v>41155</v>
      </c>
      <c r="S9902" t="s">
        <v>41156</v>
      </c>
      <c r="T9902" t="s">
        <v>97</v>
      </c>
      <c r="U9902" t="s">
        <v>77</v>
      </c>
      <c r="V9902" t="str">
        <f>"10029"</f>
        <v>10029</v>
      </c>
      <c r="AC9902" t="s">
        <v>79</v>
      </c>
      <c r="AD9902" t="s">
        <v>75</v>
      </c>
      <c r="AE9902" t="s">
        <v>103</v>
      </c>
      <c r="AG9902" t="s">
        <v>81</v>
      </c>
    </row>
    <row r="9903" spans="1:33" x14ac:dyDescent="0.25">
      <c r="A9903" t="str">
        <f>"1760811640"</f>
        <v>1760811640</v>
      </c>
      <c r="B9903" t="str">
        <f>"03857398"</f>
        <v>03857398</v>
      </c>
      <c r="C9903" t="s">
        <v>13436</v>
      </c>
      <c r="D9903" t="s">
        <v>41157</v>
      </c>
      <c r="E9903" t="s">
        <v>41158</v>
      </c>
      <c r="G9903" t="s">
        <v>41159</v>
      </c>
      <c r="L9903" t="s">
        <v>102</v>
      </c>
      <c r="M9903" t="s">
        <v>75</v>
      </c>
      <c r="R9903" t="s">
        <v>41160</v>
      </c>
      <c r="W9903" t="s">
        <v>41158</v>
      </c>
      <c r="X9903" t="s">
        <v>5585</v>
      </c>
      <c r="Y9903" t="s">
        <v>97</v>
      </c>
      <c r="Z9903" t="s">
        <v>77</v>
      </c>
      <c r="AA9903" t="str">
        <f>"10003-0000"</f>
        <v>10003-0000</v>
      </c>
      <c r="AB9903" t="s">
        <v>78</v>
      </c>
      <c r="AC9903" t="s">
        <v>79</v>
      </c>
      <c r="AD9903" t="s">
        <v>75</v>
      </c>
      <c r="AE9903" t="s">
        <v>80</v>
      </c>
      <c r="AG9903" t="s">
        <v>81</v>
      </c>
    </row>
    <row r="9904" spans="1:33" x14ac:dyDescent="0.25">
      <c r="A9904" t="str">
        <f>"1760820609"</f>
        <v>1760820609</v>
      </c>
      <c r="C9904" t="s">
        <v>13436</v>
      </c>
      <c r="K9904" t="s">
        <v>99</v>
      </c>
      <c r="L9904" t="s">
        <v>102</v>
      </c>
      <c r="M9904" t="s">
        <v>75</v>
      </c>
      <c r="R9904" t="s">
        <v>41161</v>
      </c>
      <c r="S9904" t="s">
        <v>41162</v>
      </c>
      <c r="T9904" t="s">
        <v>97</v>
      </c>
      <c r="U9904" t="s">
        <v>77</v>
      </c>
      <c r="V9904" t="str">
        <f>"10003"</f>
        <v>10003</v>
      </c>
      <c r="AC9904" t="s">
        <v>79</v>
      </c>
      <c r="AD9904" t="s">
        <v>75</v>
      </c>
      <c r="AE9904" t="s">
        <v>103</v>
      </c>
      <c r="AG9904" t="s">
        <v>81</v>
      </c>
    </row>
    <row r="9905" spans="1:33" x14ac:dyDescent="0.25">
      <c r="A9905" t="str">
        <f>"1760822241"</f>
        <v>1760822241</v>
      </c>
      <c r="B9905" t="str">
        <f>"04400377"</f>
        <v>04400377</v>
      </c>
      <c r="C9905" t="s">
        <v>13436</v>
      </c>
      <c r="D9905" t="s">
        <v>41163</v>
      </c>
      <c r="E9905" t="s">
        <v>41164</v>
      </c>
      <c r="L9905" t="s">
        <v>74</v>
      </c>
      <c r="M9905" t="s">
        <v>75</v>
      </c>
      <c r="R9905" t="s">
        <v>41164</v>
      </c>
      <c r="W9905" t="s">
        <v>41164</v>
      </c>
      <c r="X9905" t="s">
        <v>365</v>
      </c>
      <c r="Y9905" t="s">
        <v>236</v>
      </c>
      <c r="Z9905" t="s">
        <v>77</v>
      </c>
      <c r="AA9905" t="str">
        <f>"11102-2448"</f>
        <v>11102-2448</v>
      </c>
      <c r="AB9905" t="s">
        <v>78</v>
      </c>
      <c r="AC9905" t="s">
        <v>79</v>
      </c>
      <c r="AD9905" t="s">
        <v>75</v>
      </c>
      <c r="AE9905" t="s">
        <v>80</v>
      </c>
      <c r="AG9905" t="s">
        <v>81</v>
      </c>
    </row>
    <row r="9906" spans="1:33" x14ac:dyDescent="0.25">
      <c r="A9906" t="str">
        <f>"1760823355"</f>
        <v>1760823355</v>
      </c>
      <c r="C9906" t="s">
        <v>13436</v>
      </c>
      <c r="G9906" t="s">
        <v>41165</v>
      </c>
      <c r="K9906" t="s">
        <v>99</v>
      </c>
      <c r="L9906" t="s">
        <v>102</v>
      </c>
      <c r="M9906" t="s">
        <v>75</v>
      </c>
      <c r="R9906" t="s">
        <v>41166</v>
      </c>
      <c r="S9906" t="s">
        <v>41167</v>
      </c>
      <c r="T9906" t="s">
        <v>131</v>
      </c>
      <c r="U9906" t="s">
        <v>77</v>
      </c>
      <c r="V9906" t="str">
        <f>"104683904"</f>
        <v>104683904</v>
      </c>
      <c r="AC9906" t="s">
        <v>79</v>
      </c>
      <c r="AD9906" t="s">
        <v>75</v>
      </c>
      <c r="AE9906" t="s">
        <v>103</v>
      </c>
      <c r="AG9906" t="s">
        <v>81</v>
      </c>
    </row>
    <row r="9907" spans="1:33" x14ac:dyDescent="0.25">
      <c r="A9907" t="str">
        <f>"1679816383"</f>
        <v>1679816383</v>
      </c>
      <c r="C9907" t="s">
        <v>13436</v>
      </c>
      <c r="K9907" t="s">
        <v>99</v>
      </c>
      <c r="L9907" t="s">
        <v>102</v>
      </c>
      <c r="M9907" t="s">
        <v>75</v>
      </c>
      <c r="R9907" t="s">
        <v>41168</v>
      </c>
      <c r="S9907" t="s">
        <v>2838</v>
      </c>
      <c r="T9907" t="s">
        <v>97</v>
      </c>
      <c r="U9907" t="s">
        <v>77</v>
      </c>
      <c r="V9907" t="str">
        <f>"100033105"</f>
        <v>100033105</v>
      </c>
      <c r="AC9907" t="s">
        <v>79</v>
      </c>
      <c r="AD9907" t="s">
        <v>75</v>
      </c>
      <c r="AE9907" t="s">
        <v>103</v>
      </c>
      <c r="AG9907" t="s">
        <v>81</v>
      </c>
    </row>
    <row r="9908" spans="1:33" x14ac:dyDescent="0.25">
      <c r="A9908" t="str">
        <f>"1679827927"</f>
        <v>1679827927</v>
      </c>
      <c r="B9908" t="str">
        <f>"04180374"</f>
        <v>04180374</v>
      </c>
      <c r="C9908" t="s">
        <v>13436</v>
      </c>
      <c r="D9908" t="s">
        <v>6020</v>
      </c>
      <c r="E9908" t="s">
        <v>6021</v>
      </c>
      <c r="L9908" t="s">
        <v>74</v>
      </c>
      <c r="M9908" t="s">
        <v>75</v>
      </c>
      <c r="R9908" t="s">
        <v>6022</v>
      </c>
      <c r="W9908" t="s">
        <v>6023</v>
      </c>
      <c r="X9908" t="s">
        <v>6024</v>
      </c>
      <c r="Y9908" t="s">
        <v>180</v>
      </c>
      <c r="Z9908" t="s">
        <v>77</v>
      </c>
      <c r="AA9908" t="str">
        <f>"10701-6832"</f>
        <v>10701-6832</v>
      </c>
      <c r="AB9908" t="s">
        <v>78</v>
      </c>
      <c r="AC9908" t="s">
        <v>79</v>
      </c>
      <c r="AD9908" t="s">
        <v>75</v>
      </c>
      <c r="AE9908" t="s">
        <v>80</v>
      </c>
      <c r="AG9908" t="s">
        <v>81</v>
      </c>
    </row>
    <row r="9909" spans="1:33" x14ac:dyDescent="0.25">
      <c r="A9909" t="str">
        <f>"1679833305"</f>
        <v>1679833305</v>
      </c>
      <c r="B9909" t="str">
        <f>"04142903"</f>
        <v>04142903</v>
      </c>
      <c r="C9909" t="s">
        <v>13436</v>
      </c>
      <c r="D9909" t="s">
        <v>41169</v>
      </c>
      <c r="E9909" t="s">
        <v>41170</v>
      </c>
      <c r="L9909" t="s">
        <v>74</v>
      </c>
      <c r="M9909" t="s">
        <v>75</v>
      </c>
      <c r="R9909" t="s">
        <v>41171</v>
      </c>
      <c r="W9909" t="s">
        <v>41170</v>
      </c>
      <c r="X9909" t="s">
        <v>3749</v>
      </c>
      <c r="Y9909" t="s">
        <v>227</v>
      </c>
      <c r="Z9909" t="s">
        <v>77</v>
      </c>
      <c r="AA9909" t="str">
        <f>"10601-4607"</f>
        <v>10601-4607</v>
      </c>
      <c r="AB9909" t="s">
        <v>78</v>
      </c>
      <c r="AC9909" t="s">
        <v>79</v>
      </c>
      <c r="AD9909" t="s">
        <v>75</v>
      </c>
      <c r="AE9909" t="s">
        <v>80</v>
      </c>
      <c r="AG9909" t="s">
        <v>81</v>
      </c>
    </row>
    <row r="9910" spans="1:33" x14ac:dyDescent="0.25">
      <c r="A9910" t="str">
        <f>"1679836126"</f>
        <v>1679836126</v>
      </c>
      <c r="B9910" t="str">
        <f>"04625412"</f>
        <v>04625412</v>
      </c>
      <c r="C9910" t="s">
        <v>13436</v>
      </c>
      <c r="D9910" t="s">
        <v>41172</v>
      </c>
      <c r="E9910" t="s">
        <v>41173</v>
      </c>
      <c r="L9910" t="s">
        <v>102</v>
      </c>
      <c r="M9910" t="s">
        <v>75</v>
      </c>
      <c r="R9910" t="s">
        <v>41174</v>
      </c>
      <c r="W9910" t="s">
        <v>41173</v>
      </c>
      <c r="AB9910" t="s">
        <v>78</v>
      </c>
      <c r="AC9910" t="s">
        <v>79</v>
      </c>
      <c r="AD9910" t="s">
        <v>75</v>
      </c>
      <c r="AE9910" t="s">
        <v>80</v>
      </c>
      <c r="AG9910" t="s">
        <v>81</v>
      </c>
    </row>
    <row r="9911" spans="1:33" x14ac:dyDescent="0.25">
      <c r="A9911" t="str">
        <f>"1679860621"</f>
        <v>1679860621</v>
      </c>
      <c r="B9911" t="str">
        <f>"03944763"</f>
        <v>03944763</v>
      </c>
      <c r="C9911" t="s">
        <v>13436</v>
      </c>
      <c r="D9911" t="s">
        <v>41175</v>
      </c>
      <c r="E9911" t="s">
        <v>41176</v>
      </c>
      <c r="G9911" t="s">
        <v>41177</v>
      </c>
      <c r="L9911" t="s">
        <v>83</v>
      </c>
      <c r="M9911" t="s">
        <v>75</v>
      </c>
      <c r="R9911" t="s">
        <v>41178</v>
      </c>
      <c r="W9911" t="s">
        <v>41176</v>
      </c>
      <c r="X9911" t="s">
        <v>181</v>
      </c>
      <c r="Y9911" t="s">
        <v>97</v>
      </c>
      <c r="Z9911" t="s">
        <v>77</v>
      </c>
      <c r="AA9911" t="str">
        <f>"10025-1716"</f>
        <v>10025-1716</v>
      </c>
      <c r="AB9911" t="s">
        <v>78</v>
      </c>
      <c r="AC9911" t="s">
        <v>79</v>
      </c>
      <c r="AD9911" t="s">
        <v>75</v>
      </c>
      <c r="AE9911" t="s">
        <v>80</v>
      </c>
      <c r="AG9911" t="s">
        <v>81</v>
      </c>
    </row>
    <row r="9912" spans="1:33" x14ac:dyDescent="0.25">
      <c r="A9912" t="str">
        <f>"1417357591"</f>
        <v>1417357591</v>
      </c>
      <c r="B9912" t="str">
        <f>"04379017"</f>
        <v>04379017</v>
      </c>
      <c r="C9912" t="s">
        <v>13436</v>
      </c>
      <c r="D9912" t="s">
        <v>41179</v>
      </c>
      <c r="E9912" t="s">
        <v>41180</v>
      </c>
      <c r="G9912" t="s">
        <v>41181</v>
      </c>
      <c r="L9912" t="s">
        <v>74</v>
      </c>
      <c r="M9912" t="s">
        <v>75</v>
      </c>
      <c r="R9912" t="s">
        <v>41182</v>
      </c>
      <c r="W9912" t="s">
        <v>41183</v>
      </c>
      <c r="X9912" t="s">
        <v>19509</v>
      </c>
      <c r="Y9912" t="s">
        <v>161</v>
      </c>
      <c r="Z9912" t="s">
        <v>77</v>
      </c>
      <c r="AA9912" t="str">
        <f>"11040-1402"</f>
        <v>11040-1402</v>
      </c>
      <c r="AB9912" t="s">
        <v>78</v>
      </c>
      <c r="AC9912" t="s">
        <v>79</v>
      </c>
      <c r="AD9912" t="s">
        <v>75</v>
      </c>
      <c r="AE9912" t="s">
        <v>80</v>
      </c>
      <c r="AG9912" t="s">
        <v>81</v>
      </c>
    </row>
    <row r="9913" spans="1:33" x14ac:dyDescent="0.25">
      <c r="A9913" t="str">
        <f>"1811396096"</f>
        <v>1811396096</v>
      </c>
      <c r="C9913" t="s">
        <v>13436</v>
      </c>
      <c r="G9913" t="s">
        <v>41184</v>
      </c>
      <c r="K9913" t="s">
        <v>99</v>
      </c>
      <c r="L9913" t="s">
        <v>102</v>
      </c>
      <c r="M9913" t="s">
        <v>75</v>
      </c>
      <c r="R9913" t="s">
        <v>41185</v>
      </c>
      <c r="S9913" t="s">
        <v>41186</v>
      </c>
      <c r="T9913" t="s">
        <v>2678</v>
      </c>
      <c r="U9913" t="s">
        <v>77</v>
      </c>
      <c r="V9913" t="str">
        <f>"117641323"</f>
        <v>117641323</v>
      </c>
      <c r="AC9913" t="s">
        <v>79</v>
      </c>
      <c r="AD9913" t="s">
        <v>75</v>
      </c>
      <c r="AE9913" t="s">
        <v>103</v>
      </c>
      <c r="AG9913" t="s">
        <v>81</v>
      </c>
    </row>
    <row r="9914" spans="1:33" x14ac:dyDescent="0.25">
      <c r="A9914" t="str">
        <f>"1225223183"</f>
        <v>1225223183</v>
      </c>
      <c r="C9914" t="s">
        <v>13436</v>
      </c>
      <c r="G9914" t="s">
        <v>41187</v>
      </c>
      <c r="K9914" t="s">
        <v>99</v>
      </c>
      <c r="L9914" t="s">
        <v>74</v>
      </c>
      <c r="M9914" t="s">
        <v>75</v>
      </c>
      <c r="R9914" t="s">
        <v>41188</v>
      </c>
      <c r="S9914" t="s">
        <v>12304</v>
      </c>
      <c r="T9914" t="s">
        <v>97</v>
      </c>
      <c r="U9914" t="s">
        <v>77</v>
      </c>
      <c r="V9914" t="str">
        <f>"100034201"</f>
        <v>100034201</v>
      </c>
      <c r="AC9914" t="s">
        <v>79</v>
      </c>
      <c r="AD9914" t="s">
        <v>75</v>
      </c>
      <c r="AE9914" t="s">
        <v>103</v>
      </c>
      <c r="AG9914" t="s">
        <v>81</v>
      </c>
    </row>
    <row r="9915" spans="1:33" x14ac:dyDescent="0.25">
      <c r="A9915" t="str">
        <f>"1538303789"</f>
        <v>1538303789</v>
      </c>
      <c r="B9915" t="str">
        <f>"04039103"</f>
        <v>04039103</v>
      </c>
      <c r="C9915" t="s">
        <v>13436</v>
      </c>
      <c r="D9915" t="s">
        <v>41189</v>
      </c>
      <c r="E9915" t="s">
        <v>41190</v>
      </c>
      <c r="G9915" t="s">
        <v>41191</v>
      </c>
      <c r="L9915" t="s">
        <v>83</v>
      </c>
      <c r="M9915" t="s">
        <v>75</v>
      </c>
      <c r="R9915" t="s">
        <v>41192</v>
      </c>
      <c r="W9915" t="s">
        <v>41193</v>
      </c>
      <c r="X9915" t="s">
        <v>41194</v>
      </c>
      <c r="Y9915" t="s">
        <v>87</v>
      </c>
      <c r="Z9915" t="s">
        <v>77</v>
      </c>
      <c r="AA9915" t="str">
        <f>"11209-5908"</f>
        <v>11209-5908</v>
      </c>
      <c r="AB9915" t="s">
        <v>78</v>
      </c>
      <c r="AC9915" t="s">
        <v>79</v>
      </c>
      <c r="AD9915" t="s">
        <v>75</v>
      </c>
      <c r="AE9915" t="s">
        <v>80</v>
      </c>
      <c r="AG9915" t="s">
        <v>81</v>
      </c>
    </row>
    <row r="9916" spans="1:33" x14ac:dyDescent="0.25">
      <c r="A9916" t="str">
        <f>"1336226588"</f>
        <v>1336226588</v>
      </c>
      <c r="B9916" t="str">
        <f>"02195279"</f>
        <v>02195279</v>
      </c>
      <c r="C9916" t="s">
        <v>13436</v>
      </c>
      <c r="D9916" t="s">
        <v>41195</v>
      </c>
      <c r="E9916" t="s">
        <v>41196</v>
      </c>
      <c r="G9916" t="s">
        <v>41197</v>
      </c>
      <c r="L9916" t="s">
        <v>102</v>
      </c>
      <c r="M9916" t="s">
        <v>75</v>
      </c>
      <c r="R9916" t="s">
        <v>41198</v>
      </c>
      <c r="W9916" t="s">
        <v>41196</v>
      </c>
      <c r="X9916" t="s">
        <v>41199</v>
      </c>
      <c r="Y9916" t="s">
        <v>97</v>
      </c>
      <c r="Z9916" t="s">
        <v>77</v>
      </c>
      <c r="AA9916" t="str">
        <f>"10032-3724"</f>
        <v>10032-3724</v>
      </c>
      <c r="AB9916" t="s">
        <v>78</v>
      </c>
      <c r="AC9916" t="s">
        <v>79</v>
      </c>
      <c r="AD9916" t="s">
        <v>75</v>
      </c>
      <c r="AE9916" t="s">
        <v>80</v>
      </c>
      <c r="AG9916" t="s">
        <v>81</v>
      </c>
    </row>
    <row r="9917" spans="1:33" x14ac:dyDescent="0.25">
      <c r="A9917" t="str">
        <f>"1811396500"</f>
        <v>1811396500</v>
      </c>
      <c r="C9917" t="s">
        <v>13436</v>
      </c>
      <c r="G9917" t="s">
        <v>41200</v>
      </c>
      <c r="K9917" t="s">
        <v>99</v>
      </c>
      <c r="L9917" t="s">
        <v>102</v>
      </c>
      <c r="M9917" t="s">
        <v>75</v>
      </c>
      <c r="R9917" t="s">
        <v>41201</v>
      </c>
      <c r="S9917" t="s">
        <v>20838</v>
      </c>
      <c r="T9917" t="s">
        <v>97</v>
      </c>
      <c r="U9917" t="s">
        <v>77</v>
      </c>
      <c r="V9917" t="str">
        <f>"10003"</f>
        <v>10003</v>
      </c>
      <c r="AC9917" t="s">
        <v>79</v>
      </c>
      <c r="AD9917" t="s">
        <v>75</v>
      </c>
      <c r="AE9917" t="s">
        <v>103</v>
      </c>
      <c r="AG9917" t="s">
        <v>81</v>
      </c>
    </row>
    <row r="9918" spans="1:33" x14ac:dyDescent="0.25">
      <c r="A9918" t="str">
        <f>"1982845921"</f>
        <v>1982845921</v>
      </c>
      <c r="B9918" t="str">
        <f>"04011721"</f>
        <v>04011721</v>
      </c>
      <c r="C9918" t="s">
        <v>13436</v>
      </c>
      <c r="D9918" t="s">
        <v>41202</v>
      </c>
      <c r="E9918" t="s">
        <v>41203</v>
      </c>
      <c r="G9918" t="s">
        <v>41204</v>
      </c>
      <c r="L9918" t="s">
        <v>83</v>
      </c>
      <c r="M9918" t="s">
        <v>75</v>
      </c>
      <c r="R9918" t="s">
        <v>41205</v>
      </c>
      <c r="W9918" t="s">
        <v>41203</v>
      </c>
      <c r="X9918" t="s">
        <v>991</v>
      </c>
      <c r="Y9918" t="s">
        <v>97</v>
      </c>
      <c r="Z9918" t="s">
        <v>77</v>
      </c>
      <c r="AA9918" t="str">
        <f>"10003-3851"</f>
        <v>10003-3851</v>
      </c>
      <c r="AB9918" t="s">
        <v>78</v>
      </c>
      <c r="AC9918" t="s">
        <v>79</v>
      </c>
      <c r="AD9918" t="s">
        <v>75</v>
      </c>
      <c r="AE9918" t="s">
        <v>80</v>
      </c>
      <c r="AG9918" t="s">
        <v>81</v>
      </c>
    </row>
    <row r="9919" spans="1:33" x14ac:dyDescent="0.25">
      <c r="A9919" t="str">
        <f>"1467681858"</f>
        <v>1467681858</v>
      </c>
      <c r="B9919" t="str">
        <f>"03998529"</f>
        <v>03998529</v>
      </c>
      <c r="C9919" t="s">
        <v>13436</v>
      </c>
      <c r="D9919" t="s">
        <v>41206</v>
      </c>
      <c r="E9919" t="s">
        <v>41207</v>
      </c>
      <c r="G9919" t="s">
        <v>41208</v>
      </c>
      <c r="L9919" t="s">
        <v>83</v>
      </c>
      <c r="M9919" t="s">
        <v>75</v>
      </c>
      <c r="R9919" t="s">
        <v>41209</v>
      </c>
      <c r="W9919" t="s">
        <v>41207</v>
      </c>
      <c r="X9919" t="s">
        <v>191</v>
      </c>
      <c r="Y9919" t="s">
        <v>97</v>
      </c>
      <c r="Z9919" t="s">
        <v>77</v>
      </c>
      <c r="AA9919" t="str">
        <f>"10019-1147"</f>
        <v>10019-1147</v>
      </c>
      <c r="AB9919" t="s">
        <v>78</v>
      </c>
      <c r="AC9919" t="s">
        <v>79</v>
      </c>
      <c r="AD9919" t="s">
        <v>75</v>
      </c>
      <c r="AE9919" t="s">
        <v>80</v>
      </c>
      <c r="AG9919" t="s">
        <v>81</v>
      </c>
    </row>
    <row r="9920" spans="1:33" x14ac:dyDescent="0.25">
      <c r="A9920" t="str">
        <f>"1063665784"</f>
        <v>1063665784</v>
      </c>
      <c r="B9920" t="str">
        <f>"04008417"</f>
        <v>04008417</v>
      </c>
      <c r="C9920" t="s">
        <v>13436</v>
      </c>
      <c r="D9920" t="s">
        <v>41210</v>
      </c>
      <c r="E9920" t="s">
        <v>41211</v>
      </c>
      <c r="G9920" t="s">
        <v>41212</v>
      </c>
      <c r="L9920" t="s">
        <v>83</v>
      </c>
      <c r="M9920" t="s">
        <v>75</v>
      </c>
      <c r="R9920" t="s">
        <v>41213</v>
      </c>
      <c r="W9920" t="s">
        <v>41211</v>
      </c>
      <c r="X9920" t="s">
        <v>181</v>
      </c>
      <c r="Y9920" t="s">
        <v>97</v>
      </c>
      <c r="Z9920" t="s">
        <v>77</v>
      </c>
      <c r="AA9920" t="str">
        <f>"10025-1716"</f>
        <v>10025-1716</v>
      </c>
      <c r="AB9920" t="s">
        <v>78</v>
      </c>
      <c r="AC9920" t="s">
        <v>79</v>
      </c>
      <c r="AD9920" t="s">
        <v>75</v>
      </c>
      <c r="AE9920" t="s">
        <v>80</v>
      </c>
      <c r="AG9920" t="s">
        <v>81</v>
      </c>
    </row>
    <row r="9921" spans="1:33" x14ac:dyDescent="0.25">
      <c r="A9921" t="str">
        <f>"1871682047"</f>
        <v>1871682047</v>
      </c>
      <c r="B9921" t="str">
        <f>"03148785"</f>
        <v>03148785</v>
      </c>
      <c r="C9921" t="s">
        <v>13436</v>
      </c>
      <c r="D9921" t="s">
        <v>41214</v>
      </c>
      <c r="E9921" t="s">
        <v>41215</v>
      </c>
      <c r="G9921" t="s">
        <v>41216</v>
      </c>
      <c r="L9921" t="s">
        <v>143</v>
      </c>
      <c r="M9921" t="s">
        <v>75</v>
      </c>
      <c r="R9921" t="s">
        <v>41215</v>
      </c>
      <c r="W9921" t="s">
        <v>41215</v>
      </c>
      <c r="X9921" t="s">
        <v>181</v>
      </c>
      <c r="Y9921" t="s">
        <v>97</v>
      </c>
      <c r="Z9921" t="s">
        <v>77</v>
      </c>
      <c r="AA9921" t="str">
        <f>"10025-1716"</f>
        <v>10025-1716</v>
      </c>
      <c r="AB9921" t="s">
        <v>78</v>
      </c>
      <c r="AC9921" t="s">
        <v>79</v>
      </c>
      <c r="AD9921" t="s">
        <v>75</v>
      </c>
      <c r="AE9921" t="s">
        <v>80</v>
      </c>
      <c r="AG9921" t="s">
        <v>81</v>
      </c>
    </row>
    <row r="9922" spans="1:33" x14ac:dyDescent="0.25">
      <c r="A9922" t="str">
        <f>"1598109324"</f>
        <v>1598109324</v>
      </c>
      <c r="C9922" t="s">
        <v>13436</v>
      </c>
      <c r="K9922" t="s">
        <v>99</v>
      </c>
      <c r="L9922" t="s">
        <v>102</v>
      </c>
      <c r="M9922" t="s">
        <v>75</v>
      </c>
      <c r="R9922" t="s">
        <v>41217</v>
      </c>
      <c r="S9922" t="s">
        <v>41218</v>
      </c>
      <c r="T9922" t="s">
        <v>97</v>
      </c>
      <c r="U9922" t="s">
        <v>77</v>
      </c>
      <c r="V9922" t="str">
        <f>"100237496"</f>
        <v>100237496</v>
      </c>
      <c r="AC9922" t="s">
        <v>79</v>
      </c>
      <c r="AD9922" t="s">
        <v>75</v>
      </c>
      <c r="AE9922" t="s">
        <v>103</v>
      </c>
      <c r="AG9922" t="s">
        <v>81</v>
      </c>
    </row>
    <row r="9923" spans="1:33" x14ac:dyDescent="0.25">
      <c r="A9923" t="str">
        <f>"1598172140"</f>
        <v>1598172140</v>
      </c>
      <c r="C9923" t="s">
        <v>13436</v>
      </c>
      <c r="G9923" t="s">
        <v>41219</v>
      </c>
      <c r="K9923" t="s">
        <v>99</v>
      </c>
      <c r="L9923" t="s">
        <v>102</v>
      </c>
      <c r="M9923" t="s">
        <v>75</v>
      </c>
      <c r="R9923" t="s">
        <v>41220</v>
      </c>
      <c r="S9923" t="s">
        <v>41221</v>
      </c>
      <c r="T9923" t="s">
        <v>131</v>
      </c>
      <c r="U9923" t="s">
        <v>77</v>
      </c>
      <c r="V9923" t="str">
        <f>"104633512"</f>
        <v>104633512</v>
      </c>
      <c r="AC9923" t="s">
        <v>79</v>
      </c>
      <c r="AD9923" t="s">
        <v>75</v>
      </c>
      <c r="AE9923" t="s">
        <v>103</v>
      </c>
      <c r="AG9923" t="s">
        <v>81</v>
      </c>
    </row>
    <row r="9924" spans="1:33" x14ac:dyDescent="0.25">
      <c r="A9924" t="str">
        <f>"1598183121"</f>
        <v>1598183121</v>
      </c>
      <c r="C9924" t="s">
        <v>13436</v>
      </c>
      <c r="K9924" t="s">
        <v>99</v>
      </c>
      <c r="L9924" t="s">
        <v>102</v>
      </c>
      <c r="M9924" t="s">
        <v>75</v>
      </c>
      <c r="R9924" t="s">
        <v>41222</v>
      </c>
      <c r="S9924" t="s">
        <v>14299</v>
      </c>
      <c r="T9924" t="s">
        <v>97</v>
      </c>
      <c r="U9924" t="s">
        <v>77</v>
      </c>
      <c r="V9924" t="str">
        <f>"100033821"</f>
        <v>100033821</v>
      </c>
      <c r="AC9924" t="s">
        <v>79</v>
      </c>
      <c r="AD9924" t="s">
        <v>75</v>
      </c>
      <c r="AE9924" t="s">
        <v>103</v>
      </c>
      <c r="AG9924" t="s">
        <v>81</v>
      </c>
    </row>
    <row r="9925" spans="1:33" x14ac:dyDescent="0.25">
      <c r="A9925" t="str">
        <f>"1598183162"</f>
        <v>1598183162</v>
      </c>
      <c r="C9925" t="s">
        <v>13436</v>
      </c>
      <c r="K9925" t="s">
        <v>99</v>
      </c>
      <c r="L9925" t="s">
        <v>102</v>
      </c>
      <c r="M9925" t="s">
        <v>75</v>
      </c>
      <c r="R9925" t="s">
        <v>41223</v>
      </c>
      <c r="S9925" t="s">
        <v>12270</v>
      </c>
      <c r="T9925" t="s">
        <v>97</v>
      </c>
      <c r="U9925" t="s">
        <v>77</v>
      </c>
      <c r="V9925" t="str">
        <f>"100295204"</f>
        <v>100295204</v>
      </c>
      <c r="AC9925" t="s">
        <v>79</v>
      </c>
      <c r="AD9925" t="s">
        <v>75</v>
      </c>
      <c r="AE9925" t="s">
        <v>103</v>
      </c>
      <c r="AG9925" t="s">
        <v>81</v>
      </c>
    </row>
    <row r="9926" spans="1:33" x14ac:dyDescent="0.25">
      <c r="A9926" t="str">
        <f>"1457770190"</f>
        <v>1457770190</v>
      </c>
      <c r="C9926" t="s">
        <v>13436</v>
      </c>
      <c r="K9926" t="s">
        <v>99</v>
      </c>
      <c r="L9926" t="s">
        <v>102</v>
      </c>
      <c r="M9926" t="s">
        <v>75</v>
      </c>
      <c r="R9926" t="s">
        <v>41224</v>
      </c>
      <c r="S9926" t="s">
        <v>33624</v>
      </c>
      <c r="T9926" t="s">
        <v>97</v>
      </c>
      <c r="U9926" t="s">
        <v>77</v>
      </c>
      <c r="V9926" t="str">
        <f>"100251716"</f>
        <v>100251716</v>
      </c>
      <c r="AC9926" t="s">
        <v>79</v>
      </c>
      <c r="AD9926" t="s">
        <v>75</v>
      </c>
      <c r="AE9926" t="s">
        <v>103</v>
      </c>
      <c r="AG9926" t="s">
        <v>81</v>
      </c>
    </row>
    <row r="9927" spans="1:33" x14ac:dyDescent="0.25">
      <c r="A9927" t="str">
        <f>"1457778607"</f>
        <v>1457778607</v>
      </c>
      <c r="C9927" t="s">
        <v>13436</v>
      </c>
      <c r="K9927" t="s">
        <v>99</v>
      </c>
      <c r="L9927" t="s">
        <v>102</v>
      </c>
      <c r="M9927" t="s">
        <v>75</v>
      </c>
      <c r="R9927" t="s">
        <v>41225</v>
      </c>
      <c r="S9927" t="s">
        <v>41226</v>
      </c>
      <c r="T9927" t="s">
        <v>97</v>
      </c>
      <c r="U9927" t="s">
        <v>77</v>
      </c>
      <c r="V9927" t="str">
        <f>"101281735"</f>
        <v>101281735</v>
      </c>
      <c r="AC9927" t="s">
        <v>79</v>
      </c>
      <c r="AD9927" t="s">
        <v>75</v>
      </c>
      <c r="AE9927" t="s">
        <v>103</v>
      </c>
      <c r="AG9927" t="s">
        <v>81</v>
      </c>
    </row>
    <row r="9928" spans="1:33" x14ac:dyDescent="0.25">
      <c r="A9928" t="str">
        <f>"1457779175"</f>
        <v>1457779175</v>
      </c>
      <c r="C9928" t="s">
        <v>13436</v>
      </c>
      <c r="K9928" t="s">
        <v>99</v>
      </c>
      <c r="L9928" t="s">
        <v>102</v>
      </c>
      <c r="M9928" t="s">
        <v>75</v>
      </c>
      <c r="R9928" t="s">
        <v>41227</v>
      </c>
      <c r="S9928" t="s">
        <v>41228</v>
      </c>
      <c r="T9928" t="s">
        <v>4467</v>
      </c>
      <c r="U9928" t="s">
        <v>1842</v>
      </c>
      <c r="V9928" t="str">
        <f>"060301234"</f>
        <v>060301234</v>
      </c>
      <c r="AC9928" t="s">
        <v>79</v>
      </c>
      <c r="AD9928" t="s">
        <v>75</v>
      </c>
      <c r="AE9928" t="s">
        <v>103</v>
      </c>
      <c r="AG9928" t="s">
        <v>81</v>
      </c>
    </row>
    <row r="9929" spans="1:33" x14ac:dyDescent="0.25">
      <c r="A9929" t="str">
        <f>"1457779365"</f>
        <v>1457779365</v>
      </c>
      <c r="C9929" t="s">
        <v>13436</v>
      </c>
      <c r="K9929" t="s">
        <v>99</v>
      </c>
      <c r="L9929" t="s">
        <v>102</v>
      </c>
      <c r="M9929" t="s">
        <v>75</v>
      </c>
      <c r="R9929" t="s">
        <v>41229</v>
      </c>
      <c r="S9929" t="s">
        <v>41230</v>
      </c>
      <c r="T9929" t="s">
        <v>97</v>
      </c>
      <c r="U9929" t="s">
        <v>77</v>
      </c>
      <c r="V9929" t="str">
        <f>"10029"</f>
        <v>10029</v>
      </c>
      <c r="AC9929" t="s">
        <v>79</v>
      </c>
      <c r="AD9929" t="s">
        <v>75</v>
      </c>
      <c r="AE9929" t="s">
        <v>103</v>
      </c>
      <c r="AG9929" t="s">
        <v>81</v>
      </c>
    </row>
    <row r="9930" spans="1:33" x14ac:dyDescent="0.25">
      <c r="A9930" t="str">
        <f>"1457779662"</f>
        <v>1457779662</v>
      </c>
      <c r="C9930" t="s">
        <v>13436</v>
      </c>
      <c r="K9930" t="s">
        <v>99</v>
      </c>
      <c r="L9930" t="s">
        <v>102</v>
      </c>
      <c r="M9930" t="s">
        <v>75</v>
      </c>
      <c r="R9930" t="s">
        <v>35982</v>
      </c>
      <c r="S9930" t="s">
        <v>41231</v>
      </c>
      <c r="T9930" t="s">
        <v>11874</v>
      </c>
      <c r="U9930" t="s">
        <v>156</v>
      </c>
      <c r="V9930" t="str">
        <f>"076701521"</f>
        <v>076701521</v>
      </c>
      <c r="AC9930" t="s">
        <v>79</v>
      </c>
      <c r="AD9930" t="s">
        <v>75</v>
      </c>
      <c r="AE9930" t="s">
        <v>103</v>
      </c>
      <c r="AG9930" t="s">
        <v>81</v>
      </c>
    </row>
    <row r="9931" spans="1:33" x14ac:dyDescent="0.25">
      <c r="A9931" t="str">
        <f>"1871560268"</f>
        <v>1871560268</v>
      </c>
      <c r="B9931" t="str">
        <f>"01040211"</f>
        <v>01040211</v>
      </c>
      <c r="C9931" t="s">
        <v>13436</v>
      </c>
      <c r="D9931" t="s">
        <v>41232</v>
      </c>
      <c r="E9931" t="s">
        <v>41233</v>
      </c>
      <c r="G9931" t="s">
        <v>41234</v>
      </c>
      <c r="L9931" t="s">
        <v>74</v>
      </c>
      <c r="M9931" t="s">
        <v>75</v>
      </c>
      <c r="R9931" t="s">
        <v>41235</v>
      </c>
      <c r="W9931" t="s">
        <v>41233</v>
      </c>
      <c r="X9931" t="s">
        <v>41236</v>
      </c>
      <c r="Y9931" t="s">
        <v>97</v>
      </c>
      <c r="Z9931" t="s">
        <v>77</v>
      </c>
      <c r="AA9931" t="str">
        <f>"10018"</f>
        <v>10018</v>
      </c>
      <c r="AB9931" t="s">
        <v>78</v>
      </c>
      <c r="AC9931" t="s">
        <v>79</v>
      </c>
      <c r="AD9931" t="s">
        <v>75</v>
      </c>
      <c r="AE9931" t="s">
        <v>80</v>
      </c>
      <c r="AG9931" t="s">
        <v>81</v>
      </c>
    </row>
    <row r="9932" spans="1:33" x14ac:dyDescent="0.25">
      <c r="A9932" t="str">
        <f>"1699869370"</f>
        <v>1699869370</v>
      </c>
      <c r="B9932" t="str">
        <f>"00849918"</f>
        <v>00849918</v>
      </c>
      <c r="C9932" t="s">
        <v>13436</v>
      </c>
      <c r="D9932" t="s">
        <v>41237</v>
      </c>
      <c r="E9932" t="s">
        <v>41238</v>
      </c>
      <c r="G9932" t="s">
        <v>41239</v>
      </c>
      <c r="L9932" t="s">
        <v>74</v>
      </c>
      <c r="M9932" t="s">
        <v>75</v>
      </c>
      <c r="R9932" t="s">
        <v>41240</v>
      </c>
      <c r="W9932" t="s">
        <v>41238</v>
      </c>
      <c r="X9932" t="s">
        <v>41241</v>
      </c>
      <c r="Y9932" t="s">
        <v>97</v>
      </c>
      <c r="Z9932" t="s">
        <v>77</v>
      </c>
      <c r="AA9932" t="str">
        <f>"10029-6501"</f>
        <v>10029-6501</v>
      </c>
      <c r="AB9932" t="s">
        <v>78</v>
      </c>
      <c r="AC9932" t="s">
        <v>79</v>
      </c>
      <c r="AD9932" t="s">
        <v>75</v>
      </c>
      <c r="AE9932" t="s">
        <v>80</v>
      </c>
      <c r="AG9932" t="s">
        <v>81</v>
      </c>
    </row>
    <row r="9933" spans="1:33" x14ac:dyDescent="0.25">
      <c r="A9933" t="str">
        <f>"1588068720"</f>
        <v>1588068720</v>
      </c>
      <c r="B9933" t="str">
        <f>"04032477"</f>
        <v>04032477</v>
      </c>
      <c r="C9933" t="s">
        <v>13436</v>
      </c>
      <c r="D9933" t="s">
        <v>41242</v>
      </c>
      <c r="E9933" t="s">
        <v>41243</v>
      </c>
      <c r="G9933" t="s">
        <v>41244</v>
      </c>
      <c r="L9933" t="s">
        <v>74</v>
      </c>
      <c r="M9933" t="s">
        <v>75</v>
      </c>
      <c r="R9933" t="s">
        <v>41245</v>
      </c>
      <c r="W9933" t="s">
        <v>41246</v>
      </c>
      <c r="X9933" t="s">
        <v>329</v>
      </c>
      <c r="Y9933" t="s">
        <v>97</v>
      </c>
      <c r="Z9933" t="s">
        <v>77</v>
      </c>
      <c r="AA9933" t="str">
        <f>"10029-6504"</f>
        <v>10029-6504</v>
      </c>
      <c r="AB9933" t="s">
        <v>78</v>
      </c>
      <c r="AC9933" t="s">
        <v>79</v>
      </c>
      <c r="AD9933" t="s">
        <v>75</v>
      </c>
      <c r="AE9933" t="s">
        <v>80</v>
      </c>
      <c r="AG9933" t="s">
        <v>81</v>
      </c>
    </row>
    <row r="9934" spans="1:33" x14ac:dyDescent="0.25">
      <c r="A9934" t="str">
        <f>"1861719122"</f>
        <v>1861719122</v>
      </c>
      <c r="B9934" t="str">
        <f>"04274062"</f>
        <v>04274062</v>
      </c>
      <c r="C9934" t="s">
        <v>13436</v>
      </c>
      <c r="D9934" t="s">
        <v>41247</v>
      </c>
      <c r="E9934" t="s">
        <v>41248</v>
      </c>
      <c r="G9934" t="s">
        <v>41249</v>
      </c>
      <c r="L9934" t="s">
        <v>94</v>
      </c>
      <c r="M9934" t="s">
        <v>75</v>
      </c>
      <c r="R9934" t="s">
        <v>41248</v>
      </c>
      <c r="W9934" t="s">
        <v>41248</v>
      </c>
      <c r="X9934" t="s">
        <v>41250</v>
      </c>
      <c r="Y9934" t="s">
        <v>97</v>
      </c>
      <c r="Z9934" t="s">
        <v>77</v>
      </c>
      <c r="AA9934" t="str">
        <f>"10033-6741"</f>
        <v>10033-6741</v>
      </c>
      <c r="AB9934" t="s">
        <v>78</v>
      </c>
      <c r="AC9934" t="s">
        <v>79</v>
      </c>
      <c r="AD9934" t="s">
        <v>75</v>
      </c>
      <c r="AE9934" t="s">
        <v>80</v>
      </c>
      <c r="AG9934" t="s">
        <v>81</v>
      </c>
    </row>
    <row r="9935" spans="1:33" x14ac:dyDescent="0.25">
      <c r="B9935" t="str">
        <f>"02007147"</f>
        <v>02007147</v>
      </c>
      <c r="C9935" t="s">
        <v>3521</v>
      </c>
      <c r="D9935" t="s">
        <v>41251</v>
      </c>
      <c r="E9935" t="s">
        <v>41252</v>
      </c>
      <c r="G9935" t="s">
        <v>3522</v>
      </c>
      <c r="H9935" t="s">
        <v>460</v>
      </c>
      <c r="J9935" t="s">
        <v>3523</v>
      </c>
      <c r="L9935" t="s">
        <v>35</v>
      </c>
      <c r="M9935" t="s">
        <v>75</v>
      </c>
      <c r="W9935" t="s">
        <v>41252</v>
      </c>
      <c r="Y9935" t="s">
        <v>236</v>
      </c>
      <c r="Z9935" t="s">
        <v>77</v>
      </c>
      <c r="AA9935" t="str">
        <f>"11103-3804"</f>
        <v>11103-3804</v>
      </c>
      <c r="AB9935" t="s">
        <v>98</v>
      </c>
      <c r="AC9935" t="s">
        <v>79</v>
      </c>
      <c r="AD9935" t="s">
        <v>75</v>
      </c>
      <c r="AE9935" t="s">
        <v>80</v>
      </c>
      <c r="AG9935" t="s">
        <v>81</v>
      </c>
    </row>
    <row r="9936" spans="1:33" x14ac:dyDescent="0.25">
      <c r="A9936" t="str">
        <f>"1902838030"</f>
        <v>1902838030</v>
      </c>
      <c r="B9936" t="str">
        <f>"01934216"</f>
        <v>01934216</v>
      </c>
      <c r="C9936" t="s">
        <v>13436</v>
      </c>
      <c r="D9936" t="s">
        <v>41253</v>
      </c>
      <c r="E9936" t="s">
        <v>41254</v>
      </c>
      <c r="L9936" t="s">
        <v>84</v>
      </c>
      <c r="M9936" t="s">
        <v>85</v>
      </c>
      <c r="R9936" t="s">
        <v>41255</v>
      </c>
      <c r="W9936" t="s">
        <v>41254</v>
      </c>
      <c r="X9936" t="s">
        <v>41256</v>
      </c>
      <c r="Y9936" t="s">
        <v>97</v>
      </c>
      <c r="Z9936" t="s">
        <v>77</v>
      </c>
      <c r="AA9936" t="str">
        <f>"10029-6542"</f>
        <v>10029-6542</v>
      </c>
      <c r="AB9936" t="s">
        <v>78</v>
      </c>
      <c r="AC9936" t="s">
        <v>79</v>
      </c>
      <c r="AD9936" t="s">
        <v>75</v>
      </c>
      <c r="AE9936" t="s">
        <v>80</v>
      </c>
      <c r="AG9936" t="s">
        <v>81</v>
      </c>
    </row>
    <row r="9937" spans="1:33" x14ac:dyDescent="0.25">
      <c r="A9937" t="str">
        <f>"1902858657"</f>
        <v>1902858657</v>
      </c>
      <c r="B9937" t="str">
        <f>"02857885"</f>
        <v>02857885</v>
      </c>
      <c r="C9937" t="s">
        <v>13436</v>
      </c>
      <c r="D9937" t="s">
        <v>41257</v>
      </c>
      <c r="E9937" t="s">
        <v>41258</v>
      </c>
      <c r="G9937" t="s">
        <v>41259</v>
      </c>
      <c r="L9937" t="s">
        <v>105</v>
      </c>
      <c r="M9937" t="s">
        <v>75</v>
      </c>
      <c r="R9937" t="s">
        <v>41260</v>
      </c>
      <c r="W9937" t="s">
        <v>41261</v>
      </c>
      <c r="X9937" t="s">
        <v>41262</v>
      </c>
      <c r="Y9937" t="s">
        <v>97</v>
      </c>
      <c r="Z9937" t="s">
        <v>77</v>
      </c>
      <c r="AA9937" t="str">
        <f>"10003-3314"</f>
        <v>10003-3314</v>
      </c>
      <c r="AB9937" t="s">
        <v>125</v>
      </c>
      <c r="AC9937" t="s">
        <v>79</v>
      </c>
      <c r="AD9937" t="s">
        <v>75</v>
      </c>
      <c r="AE9937" t="s">
        <v>80</v>
      </c>
      <c r="AG9937" t="s">
        <v>81</v>
      </c>
    </row>
    <row r="9938" spans="1:33" x14ac:dyDescent="0.25">
      <c r="A9938" t="str">
        <f>"1902859325"</f>
        <v>1902859325</v>
      </c>
      <c r="B9938" t="str">
        <f>"01701380"</f>
        <v>01701380</v>
      </c>
      <c r="C9938" t="s">
        <v>13436</v>
      </c>
      <c r="D9938" t="s">
        <v>41263</v>
      </c>
      <c r="E9938" t="s">
        <v>41264</v>
      </c>
      <c r="L9938" t="s">
        <v>74</v>
      </c>
      <c r="M9938" t="s">
        <v>85</v>
      </c>
      <c r="R9938" t="s">
        <v>41265</v>
      </c>
      <c r="W9938" t="s">
        <v>41266</v>
      </c>
      <c r="Y9938" t="s">
        <v>97</v>
      </c>
      <c r="Z9938" t="s">
        <v>77</v>
      </c>
      <c r="AA9938" t="str">
        <f>"10029-6500"</f>
        <v>10029-6500</v>
      </c>
      <c r="AB9938" t="s">
        <v>78</v>
      </c>
      <c r="AC9938" t="s">
        <v>79</v>
      </c>
      <c r="AD9938" t="s">
        <v>75</v>
      </c>
      <c r="AE9938" t="s">
        <v>80</v>
      </c>
      <c r="AG9938" t="s">
        <v>81</v>
      </c>
    </row>
    <row r="9939" spans="1:33" x14ac:dyDescent="0.25">
      <c r="A9939" t="str">
        <f>"1902888605"</f>
        <v>1902888605</v>
      </c>
      <c r="B9939" t="str">
        <f>"01243714"</f>
        <v>01243714</v>
      </c>
      <c r="C9939" t="s">
        <v>13436</v>
      </c>
      <c r="D9939" t="s">
        <v>41267</v>
      </c>
      <c r="E9939" t="s">
        <v>41268</v>
      </c>
      <c r="L9939" t="s">
        <v>74</v>
      </c>
      <c r="M9939" t="s">
        <v>85</v>
      </c>
      <c r="R9939" t="s">
        <v>41269</v>
      </c>
      <c r="W9939" t="s">
        <v>41268</v>
      </c>
      <c r="Y9939" t="s">
        <v>97</v>
      </c>
      <c r="Z9939" t="s">
        <v>77</v>
      </c>
      <c r="AA9939" t="str">
        <f>"10029-6500"</f>
        <v>10029-6500</v>
      </c>
      <c r="AB9939" t="s">
        <v>78</v>
      </c>
      <c r="AC9939" t="s">
        <v>79</v>
      </c>
      <c r="AD9939" t="s">
        <v>75</v>
      </c>
      <c r="AE9939" t="s">
        <v>80</v>
      </c>
      <c r="AG9939" t="s">
        <v>81</v>
      </c>
    </row>
    <row r="9940" spans="1:33" x14ac:dyDescent="0.25">
      <c r="A9940" t="str">
        <f>"1902895808"</f>
        <v>1902895808</v>
      </c>
      <c r="B9940" t="str">
        <f>"00731017"</f>
        <v>00731017</v>
      </c>
      <c r="C9940" t="s">
        <v>13436</v>
      </c>
      <c r="D9940" t="s">
        <v>41270</v>
      </c>
      <c r="E9940" t="s">
        <v>41271</v>
      </c>
      <c r="L9940" t="s">
        <v>83</v>
      </c>
      <c r="M9940" t="s">
        <v>85</v>
      </c>
      <c r="R9940" t="s">
        <v>41272</v>
      </c>
      <c r="W9940" t="s">
        <v>41273</v>
      </c>
      <c r="X9940" t="s">
        <v>41274</v>
      </c>
      <c r="Y9940" t="s">
        <v>97</v>
      </c>
      <c r="Z9940" t="s">
        <v>77</v>
      </c>
      <c r="AA9940" t="str">
        <f>"10029-6500"</f>
        <v>10029-6500</v>
      </c>
      <c r="AB9940" t="s">
        <v>78</v>
      </c>
      <c r="AC9940" t="s">
        <v>79</v>
      </c>
      <c r="AD9940" t="s">
        <v>75</v>
      </c>
      <c r="AE9940" t="s">
        <v>80</v>
      </c>
      <c r="AG9940" t="s">
        <v>81</v>
      </c>
    </row>
    <row r="9941" spans="1:33" x14ac:dyDescent="0.25">
      <c r="A9941" t="str">
        <f>"1902969645"</f>
        <v>1902969645</v>
      </c>
      <c r="B9941" t="str">
        <f>"02585115"</f>
        <v>02585115</v>
      </c>
      <c r="C9941" t="s">
        <v>13436</v>
      </c>
      <c r="D9941" t="s">
        <v>41275</v>
      </c>
      <c r="E9941" t="s">
        <v>41276</v>
      </c>
      <c r="L9941" t="s">
        <v>94</v>
      </c>
      <c r="M9941" t="s">
        <v>85</v>
      </c>
      <c r="R9941" t="s">
        <v>41277</v>
      </c>
      <c r="W9941" t="s">
        <v>41278</v>
      </c>
      <c r="X9941" t="s">
        <v>329</v>
      </c>
      <c r="Y9941" t="s">
        <v>97</v>
      </c>
      <c r="Z9941" t="s">
        <v>77</v>
      </c>
      <c r="AA9941" t="str">
        <f>"10029-6504"</f>
        <v>10029-6504</v>
      </c>
      <c r="AB9941" t="s">
        <v>78</v>
      </c>
      <c r="AC9941" t="s">
        <v>79</v>
      </c>
      <c r="AD9941" t="s">
        <v>75</v>
      </c>
      <c r="AE9941" t="s">
        <v>80</v>
      </c>
      <c r="AG9941" t="s">
        <v>81</v>
      </c>
    </row>
    <row r="9942" spans="1:33" x14ac:dyDescent="0.25">
      <c r="A9942" t="str">
        <f>"1902969934"</f>
        <v>1902969934</v>
      </c>
      <c r="C9942" t="s">
        <v>13436</v>
      </c>
      <c r="K9942" t="s">
        <v>99</v>
      </c>
      <c r="L9942" t="s">
        <v>102</v>
      </c>
      <c r="M9942" t="s">
        <v>75</v>
      </c>
      <c r="R9942" t="s">
        <v>41279</v>
      </c>
      <c r="S9942" t="s">
        <v>41280</v>
      </c>
      <c r="T9942" t="s">
        <v>97</v>
      </c>
      <c r="U9942" t="s">
        <v>77</v>
      </c>
      <c r="V9942" t="str">
        <f>"100166402"</f>
        <v>100166402</v>
      </c>
      <c r="AC9942" t="s">
        <v>79</v>
      </c>
      <c r="AD9942" t="s">
        <v>75</v>
      </c>
      <c r="AE9942" t="s">
        <v>103</v>
      </c>
      <c r="AG9942" t="s">
        <v>81</v>
      </c>
    </row>
    <row r="9943" spans="1:33" x14ac:dyDescent="0.25">
      <c r="A9943" t="str">
        <f>"1689099913"</f>
        <v>1689099913</v>
      </c>
      <c r="B9943" t="str">
        <f>"03881665"</f>
        <v>03881665</v>
      </c>
      <c r="C9943" t="s">
        <v>13436</v>
      </c>
      <c r="D9943" t="s">
        <v>41281</v>
      </c>
      <c r="E9943" t="s">
        <v>41282</v>
      </c>
      <c r="G9943" t="s">
        <v>41283</v>
      </c>
      <c r="L9943" t="s">
        <v>74</v>
      </c>
      <c r="M9943" t="s">
        <v>75</v>
      </c>
      <c r="R9943" t="s">
        <v>41282</v>
      </c>
      <c r="W9943" t="s">
        <v>41282</v>
      </c>
      <c r="X9943" t="s">
        <v>11436</v>
      </c>
      <c r="Y9943" t="s">
        <v>97</v>
      </c>
      <c r="Z9943" t="s">
        <v>77</v>
      </c>
      <c r="AA9943" t="str">
        <f>"10029-6503"</f>
        <v>10029-6503</v>
      </c>
      <c r="AB9943" t="s">
        <v>78</v>
      </c>
      <c r="AC9943" t="s">
        <v>79</v>
      </c>
      <c r="AD9943" t="s">
        <v>75</v>
      </c>
      <c r="AE9943" t="s">
        <v>80</v>
      </c>
      <c r="AG9943" t="s">
        <v>81</v>
      </c>
    </row>
    <row r="9944" spans="1:33" x14ac:dyDescent="0.25">
      <c r="A9944" t="str">
        <f>"1689604191"</f>
        <v>1689604191</v>
      </c>
      <c r="B9944" t="str">
        <f>"01909571"</f>
        <v>01909571</v>
      </c>
      <c r="C9944" t="s">
        <v>13436</v>
      </c>
      <c r="D9944" t="s">
        <v>41284</v>
      </c>
      <c r="E9944" t="s">
        <v>41285</v>
      </c>
      <c r="G9944" t="s">
        <v>41286</v>
      </c>
      <c r="L9944" t="s">
        <v>83</v>
      </c>
      <c r="M9944" t="s">
        <v>85</v>
      </c>
      <c r="R9944" t="s">
        <v>41287</v>
      </c>
      <c r="W9944" t="s">
        <v>41285</v>
      </c>
      <c r="X9944" t="s">
        <v>272</v>
      </c>
      <c r="Y9944" t="s">
        <v>97</v>
      </c>
      <c r="Z9944" t="s">
        <v>77</v>
      </c>
      <c r="AA9944" t="str">
        <f>"10029-6501"</f>
        <v>10029-6501</v>
      </c>
      <c r="AB9944" t="s">
        <v>78</v>
      </c>
      <c r="AC9944" t="s">
        <v>79</v>
      </c>
      <c r="AD9944" t="s">
        <v>75</v>
      </c>
      <c r="AE9944" t="s">
        <v>80</v>
      </c>
      <c r="AG9944" t="s">
        <v>81</v>
      </c>
    </row>
    <row r="9945" spans="1:33" x14ac:dyDescent="0.25">
      <c r="A9945" t="str">
        <f>"1689606808"</f>
        <v>1689606808</v>
      </c>
      <c r="B9945" t="str">
        <f>"01560296"</f>
        <v>01560296</v>
      </c>
      <c r="C9945" t="s">
        <v>13436</v>
      </c>
      <c r="D9945" t="s">
        <v>41288</v>
      </c>
      <c r="E9945" t="s">
        <v>41289</v>
      </c>
      <c r="G9945" t="s">
        <v>41290</v>
      </c>
      <c r="L9945" t="s">
        <v>134</v>
      </c>
      <c r="M9945" t="s">
        <v>85</v>
      </c>
      <c r="R9945" t="s">
        <v>41291</v>
      </c>
      <c r="W9945" t="s">
        <v>41289</v>
      </c>
      <c r="X9945" t="s">
        <v>5864</v>
      </c>
      <c r="Y9945" t="s">
        <v>97</v>
      </c>
      <c r="Z9945" t="s">
        <v>77</v>
      </c>
      <c r="AA9945" t="str">
        <f>"10029-5208"</f>
        <v>10029-5208</v>
      </c>
      <c r="AB9945" t="s">
        <v>78</v>
      </c>
      <c r="AC9945" t="s">
        <v>79</v>
      </c>
      <c r="AD9945" t="s">
        <v>75</v>
      </c>
      <c r="AE9945" t="s">
        <v>80</v>
      </c>
      <c r="AG9945" t="s">
        <v>81</v>
      </c>
    </row>
    <row r="9946" spans="1:33" x14ac:dyDescent="0.25">
      <c r="A9946" t="str">
        <f>"1215926696"</f>
        <v>1215926696</v>
      </c>
      <c r="C9946" t="s">
        <v>41292</v>
      </c>
      <c r="G9946" t="s">
        <v>1222</v>
      </c>
      <c r="H9946" t="s">
        <v>1223</v>
      </c>
      <c r="I9946">
        <v>7133</v>
      </c>
      <c r="J9946" t="s">
        <v>1224</v>
      </c>
      <c r="K9946" t="s">
        <v>99</v>
      </c>
      <c r="L9946" t="s">
        <v>102</v>
      </c>
      <c r="M9946" t="s">
        <v>75</v>
      </c>
      <c r="R9946" t="s">
        <v>1225</v>
      </c>
      <c r="S9946" t="s">
        <v>1226</v>
      </c>
      <c r="T9946" t="s">
        <v>87</v>
      </c>
      <c r="U9946" t="s">
        <v>77</v>
      </c>
      <c r="V9946" t="str">
        <f>"112013904"</f>
        <v>112013904</v>
      </c>
      <c r="AC9946" t="s">
        <v>79</v>
      </c>
      <c r="AD9946" t="s">
        <v>75</v>
      </c>
      <c r="AE9946" t="s">
        <v>103</v>
      </c>
      <c r="AG9946" t="s">
        <v>81</v>
      </c>
    </row>
    <row r="9947" spans="1:33" x14ac:dyDescent="0.25">
      <c r="A9947" t="str">
        <f>"1528498284"</f>
        <v>1528498284</v>
      </c>
      <c r="B9947" t="str">
        <f>"03872924"</f>
        <v>03872924</v>
      </c>
      <c r="C9947" t="s">
        <v>41293</v>
      </c>
      <c r="D9947" t="s">
        <v>41294</v>
      </c>
      <c r="E9947" t="s">
        <v>41295</v>
      </c>
      <c r="G9947" t="s">
        <v>41293</v>
      </c>
      <c r="L9947" t="s">
        <v>84</v>
      </c>
      <c r="M9947" t="s">
        <v>75</v>
      </c>
      <c r="R9947" t="s">
        <v>41295</v>
      </c>
      <c r="W9947" t="s">
        <v>41295</v>
      </c>
      <c r="X9947" t="s">
        <v>590</v>
      </c>
      <c r="Y9947" t="s">
        <v>97</v>
      </c>
      <c r="Z9947" t="s">
        <v>77</v>
      </c>
      <c r="AA9947" t="str">
        <f>"10128-4077"</f>
        <v>10128-4077</v>
      </c>
      <c r="AB9947" t="s">
        <v>78</v>
      </c>
      <c r="AC9947" t="s">
        <v>79</v>
      </c>
      <c r="AD9947" t="s">
        <v>75</v>
      </c>
      <c r="AE9947" t="s">
        <v>80</v>
      </c>
      <c r="AG9947" t="s">
        <v>81</v>
      </c>
    </row>
    <row r="9948" spans="1:33" x14ac:dyDescent="0.25">
      <c r="A9948" t="str">
        <f>"1538111729"</f>
        <v>1538111729</v>
      </c>
      <c r="B9948" t="str">
        <f>"00173482"</f>
        <v>00173482</v>
      </c>
      <c r="C9948" t="s">
        <v>41296</v>
      </c>
      <c r="D9948" t="s">
        <v>41297</v>
      </c>
      <c r="E9948" t="s">
        <v>41298</v>
      </c>
      <c r="G9948" t="s">
        <v>41296</v>
      </c>
      <c r="L9948" t="s">
        <v>83</v>
      </c>
      <c r="M9948" t="s">
        <v>75</v>
      </c>
      <c r="R9948" t="s">
        <v>41299</v>
      </c>
      <c r="W9948" t="s">
        <v>41300</v>
      </c>
      <c r="X9948" t="s">
        <v>29392</v>
      </c>
      <c r="Y9948" t="s">
        <v>87</v>
      </c>
      <c r="Z9948" t="s">
        <v>77</v>
      </c>
      <c r="AA9948" t="str">
        <f>"11203-2098"</f>
        <v>11203-2098</v>
      </c>
      <c r="AB9948" t="s">
        <v>78</v>
      </c>
      <c r="AC9948" t="s">
        <v>79</v>
      </c>
      <c r="AD9948" t="s">
        <v>75</v>
      </c>
      <c r="AE9948" t="s">
        <v>80</v>
      </c>
      <c r="AG9948" t="s">
        <v>81</v>
      </c>
    </row>
    <row r="9949" spans="1:33" x14ac:dyDescent="0.25">
      <c r="A9949" t="str">
        <f>"1538144175"</f>
        <v>1538144175</v>
      </c>
      <c r="B9949" t="str">
        <f>"01659461"</f>
        <v>01659461</v>
      </c>
      <c r="C9949" t="s">
        <v>41301</v>
      </c>
      <c r="D9949" t="s">
        <v>41302</v>
      </c>
      <c r="E9949" t="s">
        <v>41303</v>
      </c>
      <c r="G9949" t="s">
        <v>41301</v>
      </c>
      <c r="L9949" t="s">
        <v>83</v>
      </c>
      <c r="M9949" t="s">
        <v>85</v>
      </c>
      <c r="R9949" t="s">
        <v>41304</v>
      </c>
      <c r="W9949" t="s">
        <v>41303</v>
      </c>
      <c r="X9949" t="s">
        <v>168</v>
      </c>
      <c r="Y9949" t="s">
        <v>155</v>
      </c>
      <c r="Z9949" t="s">
        <v>77</v>
      </c>
      <c r="AA9949" t="str">
        <f>"10310-1664"</f>
        <v>10310-1664</v>
      </c>
      <c r="AB9949" t="s">
        <v>78</v>
      </c>
      <c r="AC9949" t="s">
        <v>79</v>
      </c>
      <c r="AD9949" t="s">
        <v>75</v>
      </c>
      <c r="AE9949" t="s">
        <v>80</v>
      </c>
      <c r="AG9949" t="s">
        <v>81</v>
      </c>
    </row>
    <row r="9950" spans="1:33" x14ac:dyDescent="0.25">
      <c r="A9950" t="str">
        <f>"1538144639"</f>
        <v>1538144639</v>
      </c>
      <c r="B9950" t="str">
        <f>"01050742"</f>
        <v>01050742</v>
      </c>
      <c r="C9950" t="s">
        <v>41305</v>
      </c>
      <c r="D9950" t="s">
        <v>41306</v>
      </c>
      <c r="E9950" t="s">
        <v>41307</v>
      </c>
      <c r="G9950" t="s">
        <v>41305</v>
      </c>
      <c r="L9950" t="s">
        <v>83</v>
      </c>
      <c r="M9950" t="s">
        <v>75</v>
      </c>
      <c r="R9950" t="s">
        <v>41308</v>
      </c>
      <c r="W9950" t="s">
        <v>41309</v>
      </c>
      <c r="X9950" t="s">
        <v>41310</v>
      </c>
      <c r="Y9950" t="s">
        <v>97</v>
      </c>
      <c r="Z9950" t="s">
        <v>77</v>
      </c>
      <c r="AA9950" t="str">
        <f>"10003-3899"</f>
        <v>10003-3899</v>
      </c>
      <c r="AB9950" t="s">
        <v>78</v>
      </c>
      <c r="AC9950" t="s">
        <v>79</v>
      </c>
      <c r="AD9950" t="s">
        <v>75</v>
      </c>
      <c r="AE9950" t="s">
        <v>80</v>
      </c>
      <c r="AG9950" t="s">
        <v>81</v>
      </c>
    </row>
    <row r="9951" spans="1:33" x14ac:dyDescent="0.25">
      <c r="A9951" t="str">
        <f>"1538159801"</f>
        <v>1538159801</v>
      </c>
      <c r="B9951" t="str">
        <f>"03571666"</f>
        <v>03571666</v>
      </c>
      <c r="C9951" t="s">
        <v>41311</v>
      </c>
      <c r="D9951" t="s">
        <v>41312</v>
      </c>
      <c r="E9951" t="s">
        <v>41313</v>
      </c>
      <c r="G9951" t="s">
        <v>41311</v>
      </c>
      <c r="L9951" t="s">
        <v>74</v>
      </c>
      <c r="M9951" t="s">
        <v>75</v>
      </c>
      <c r="R9951" t="s">
        <v>41314</v>
      </c>
      <c r="W9951" t="s">
        <v>41315</v>
      </c>
      <c r="X9951" t="s">
        <v>590</v>
      </c>
      <c r="Y9951" t="s">
        <v>97</v>
      </c>
      <c r="Z9951" t="s">
        <v>77</v>
      </c>
      <c r="AA9951" t="str">
        <f>"10128-4077"</f>
        <v>10128-4077</v>
      </c>
      <c r="AB9951" t="s">
        <v>78</v>
      </c>
      <c r="AC9951" t="s">
        <v>79</v>
      </c>
      <c r="AD9951" t="s">
        <v>75</v>
      </c>
      <c r="AE9951" t="s">
        <v>80</v>
      </c>
      <c r="AG9951" t="s">
        <v>81</v>
      </c>
    </row>
    <row r="9952" spans="1:33" x14ac:dyDescent="0.25">
      <c r="A9952" t="str">
        <f>"1538569363"</f>
        <v>1538569363</v>
      </c>
      <c r="C9952" t="s">
        <v>41316</v>
      </c>
      <c r="G9952" t="s">
        <v>41316</v>
      </c>
      <c r="K9952" t="s">
        <v>99</v>
      </c>
      <c r="L9952" t="s">
        <v>102</v>
      </c>
      <c r="M9952" t="s">
        <v>75</v>
      </c>
      <c r="R9952" t="s">
        <v>41317</v>
      </c>
      <c r="S9952" t="s">
        <v>590</v>
      </c>
      <c r="T9952" t="s">
        <v>97</v>
      </c>
      <c r="U9952" t="s">
        <v>77</v>
      </c>
      <c r="V9952" t="str">
        <f>"101284077"</f>
        <v>101284077</v>
      </c>
      <c r="AC9952" t="s">
        <v>79</v>
      </c>
      <c r="AD9952" t="s">
        <v>75</v>
      </c>
      <c r="AE9952" t="s">
        <v>103</v>
      </c>
      <c r="AG9952" t="s">
        <v>81</v>
      </c>
    </row>
    <row r="9953" spans="1:33" x14ac:dyDescent="0.25">
      <c r="A9953" t="str">
        <f>"1548329493"</f>
        <v>1548329493</v>
      </c>
      <c r="B9953" t="str">
        <f>"02847125"</f>
        <v>02847125</v>
      </c>
      <c r="C9953" t="s">
        <v>41318</v>
      </c>
      <c r="D9953" t="s">
        <v>41319</v>
      </c>
      <c r="E9953" t="s">
        <v>41320</v>
      </c>
      <c r="G9953" t="s">
        <v>41318</v>
      </c>
      <c r="L9953" t="s">
        <v>83</v>
      </c>
      <c r="M9953" t="s">
        <v>75</v>
      </c>
      <c r="R9953" t="s">
        <v>41321</v>
      </c>
      <c r="W9953" t="s">
        <v>41320</v>
      </c>
      <c r="X9953" t="s">
        <v>15526</v>
      </c>
      <c r="Y9953" t="s">
        <v>87</v>
      </c>
      <c r="Z9953" t="s">
        <v>77</v>
      </c>
      <c r="AA9953" t="str">
        <f>"11218-2710"</f>
        <v>11218-2710</v>
      </c>
      <c r="AB9953" t="s">
        <v>78</v>
      </c>
      <c r="AC9953" t="s">
        <v>79</v>
      </c>
      <c r="AD9953" t="s">
        <v>75</v>
      </c>
      <c r="AE9953" t="s">
        <v>80</v>
      </c>
      <c r="AG9953" t="s">
        <v>81</v>
      </c>
    </row>
    <row r="9954" spans="1:33" x14ac:dyDescent="0.25">
      <c r="A9954" t="str">
        <f>"1558300061"</f>
        <v>1558300061</v>
      </c>
      <c r="B9954" t="str">
        <f>"01760365"</f>
        <v>01760365</v>
      </c>
      <c r="C9954" t="s">
        <v>41322</v>
      </c>
      <c r="D9954" t="s">
        <v>41323</v>
      </c>
      <c r="E9954" t="s">
        <v>41324</v>
      </c>
      <c r="G9954" t="s">
        <v>41322</v>
      </c>
      <c r="L9954" t="s">
        <v>83</v>
      </c>
      <c r="M9954" t="s">
        <v>75</v>
      </c>
      <c r="R9954" t="s">
        <v>41325</v>
      </c>
      <c r="W9954" t="s">
        <v>41324</v>
      </c>
      <c r="X9954" t="s">
        <v>41326</v>
      </c>
      <c r="Y9954" t="s">
        <v>97</v>
      </c>
      <c r="Z9954" t="s">
        <v>77</v>
      </c>
      <c r="AA9954" t="str">
        <f>"10013-3858"</f>
        <v>10013-3858</v>
      </c>
      <c r="AB9954" t="s">
        <v>78</v>
      </c>
      <c r="AC9954" t="s">
        <v>79</v>
      </c>
      <c r="AD9954" t="s">
        <v>75</v>
      </c>
      <c r="AE9954" t="s">
        <v>80</v>
      </c>
      <c r="AG9954" t="s">
        <v>81</v>
      </c>
    </row>
    <row r="9955" spans="1:33" x14ac:dyDescent="0.25">
      <c r="A9955" t="str">
        <f>"1558314831"</f>
        <v>1558314831</v>
      </c>
      <c r="B9955" t="str">
        <f>"02490417"</f>
        <v>02490417</v>
      </c>
      <c r="C9955" t="s">
        <v>41327</v>
      </c>
      <c r="D9955" t="s">
        <v>41328</v>
      </c>
      <c r="E9955" t="s">
        <v>41329</v>
      </c>
      <c r="G9955" t="s">
        <v>41327</v>
      </c>
      <c r="L9955" t="s">
        <v>84</v>
      </c>
      <c r="M9955" t="s">
        <v>75</v>
      </c>
      <c r="R9955" t="s">
        <v>41330</v>
      </c>
      <c r="W9955" t="s">
        <v>41329</v>
      </c>
      <c r="X9955" t="s">
        <v>41331</v>
      </c>
      <c r="Y9955" t="s">
        <v>182</v>
      </c>
      <c r="Z9955" t="s">
        <v>77</v>
      </c>
      <c r="AA9955" t="str">
        <f>"11501-4298"</f>
        <v>11501-4298</v>
      </c>
      <c r="AB9955" t="s">
        <v>78</v>
      </c>
      <c r="AC9955" t="s">
        <v>79</v>
      </c>
      <c r="AD9955" t="s">
        <v>75</v>
      </c>
      <c r="AE9955" t="s">
        <v>80</v>
      </c>
      <c r="AG9955" t="s">
        <v>81</v>
      </c>
    </row>
    <row r="9956" spans="1:33" x14ac:dyDescent="0.25">
      <c r="A9956" t="str">
        <f>"1558421487"</f>
        <v>1558421487</v>
      </c>
      <c r="B9956" t="str">
        <f>"02871736"</f>
        <v>02871736</v>
      </c>
      <c r="C9956" t="s">
        <v>41332</v>
      </c>
      <c r="D9956" t="s">
        <v>41333</v>
      </c>
      <c r="E9956" t="s">
        <v>41334</v>
      </c>
      <c r="G9956" t="s">
        <v>41332</v>
      </c>
      <c r="L9956" t="s">
        <v>84</v>
      </c>
      <c r="M9956" t="s">
        <v>75</v>
      </c>
      <c r="R9956" t="s">
        <v>41335</v>
      </c>
      <c r="W9956" t="s">
        <v>41334</v>
      </c>
      <c r="X9956" t="s">
        <v>3567</v>
      </c>
      <c r="Y9956" t="s">
        <v>317</v>
      </c>
      <c r="Z9956" t="s">
        <v>77</v>
      </c>
      <c r="AA9956" t="str">
        <f>"11553-1111"</f>
        <v>11553-1111</v>
      </c>
      <c r="AB9956" t="s">
        <v>78</v>
      </c>
      <c r="AC9956" t="s">
        <v>79</v>
      </c>
      <c r="AD9956" t="s">
        <v>75</v>
      </c>
      <c r="AE9956" t="s">
        <v>80</v>
      </c>
      <c r="AG9956" t="s">
        <v>81</v>
      </c>
    </row>
    <row r="9957" spans="1:33" x14ac:dyDescent="0.25">
      <c r="A9957" t="str">
        <f>"1558706093"</f>
        <v>1558706093</v>
      </c>
      <c r="B9957" t="str">
        <f>"04198463"</f>
        <v>04198463</v>
      </c>
      <c r="C9957" t="s">
        <v>41336</v>
      </c>
      <c r="D9957" t="s">
        <v>41337</v>
      </c>
      <c r="E9957" t="s">
        <v>41338</v>
      </c>
      <c r="G9957" t="s">
        <v>41336</v>
      </c>
      <c r="L9957" t="s">
        <v>83</v>
      </c>
      <c r="M9957" t="s">
        <v>75</v>
      </c>
      <c r="R9957" t="s">
        <v>41339</v>
      </c>
      <c r="W9957" t="s">
        <v>41338</v>
      </c>
      <c r="X9957" t="s">
        <v>2657</v>
      </c>
      <c r="Y9957" t="s">
        <v>87</v>
      </c>
      <c r="Z9957" t="s">
        <v>77</v>
      </c>
      <c r="AA9957" t="str">
        <f>"11229-3716"</f>
        <v>11229-3716</v>
      </c>
      <c r="AB9957" t="s">
        <v>78</v>
      </c>
      <c r="AC9957" t="s">
        <v>79</v>
      </c>
      <c r="AD9957" t="s">
        <v>75</v>
      </c>
      <c r="AE9957" t="s">
        <v>80</v>
      </c>
      <c r="AG9957" t="s">
        <v>81</v>
      </c>
    </row>
    <row r="9958" spans="1:33" x14ac:dyDescent="0.25">
      <c r="A9958" t="str">
        <f>"1568419455"</f>
        <v>1568419455</v>
      </c>
      <c r="B9958" t="str">
        <f>"02716609"</f>
        <v>02716609</v>
      </c>
      <c r="C9958" t="s">
        <v>41340</v>
      </c>
      <c r="D9958" t="s">
        <v>41341</v>
      </c>
      <c r="E9958" t="s">
        <v>41342</v>
      </c>
      <c r="G9958" t="s">
        <v>41340</v>
      </c>
      <c r="L9958" t="s">
        <v>84</v>
      </c>
      <c r="M9958" t="s">
        <v>75</v>
      </c>
      <c r="R9958" t="s">
        <v>41343</v>
      </c>
      <c r="W9958" t="s">
        <v>41342</v>
      </c>
      <c r="X9958" t="s">
        <v>14532</v>
      </c>
      <c r="Y9958" t="s">
        <v>87</v>
      </c>
      <c r="Z9958" t="s">
        <v>77</v>
      </c>
      <c r="AA9958" t="str">
        <f>"11205-4924"</f>
        <v>11205-4924</v>
      </c>
      <c r="AB9958" t="s">
        <v>78</v>
      </c>
      <c r="AC9958" t="s">
        <v>79</v>
      </c>
      <c r="AD9958" t="s">
        <v>75</v>
      </c>
      <c r="AE9958" t="s">
        <v>80</v>
      </c>
      <c r="AG9958" t="s">
        <v>81</v>
      </c>
    </row>
    <row r="9959" spans="1:33" x14ac:dyDescent="0.25">
      <c r="A9959" t="str">
        <f>"1568462042"</f>
        <v>1568462042</v>
      </c>
      <c r="B9959" t="str">
        <f>"02335871"</f>
        <v>02335871</v>
      </c>
      <c r="C9959" t="s">
        <v>41344</v>
      </c>
      <c r="D9959" t="s">
        <v>41345</v>
      </c>
      <c r="E9959" t="s">
        <v>41346</v>
      </c>
      <c r="G9959" t="s">
        <v>41344</v>
      </c>
      <c r="L9959" t="s">
        <v>83</v>
      </c>
      <c r="M9959" t="s">
        <v>75</v>
      </c>
      <c r="R9959" t="s">
        <v>41347</v>
      </c>
      <c r="W9959" t="s">
        <v>41346</v>
      </c>
      <c r="X9959" t="s">
        <v>41348</v>
      </c>
      <c r="Y9959" t="s">
        <v>240</v>
      </c>
      <c r="Z9959" t="s">
        <v>77</v>
      </c>
      <c r="AA9959" t="str">
        <f>"11530-4803"</f>
        <v>11530-4803</v>
      </c>
      <c r="AB9959" t="s">
        <v>78</v>
      </c>
      <c r="AC9959" t="s">
        <v>79</v>
      </c>
      <c r="AD9959" t="s">
        <v>75</v>
      </c>
      <c r="AE9959" t="s">
        <v>80</v>
      </c>
      <c r="AG9959" t="s">
        <v>81</v>
      </c>
    </row>
    <row r="9960" spans="1:33" x14ac:dyDescent="0.25">
      <c r="A9960" t="str">
        <f>"1568530541"</f>
        <v>1568530541</v>
      </c>
      <c r="C9960" t="s">
        <v>41349</v>
      </c>
      <c r="G9960" t="s">
        <v>41349</v>
      </c>
      <c r="K9960" t="s">
        <v>99</v>
      </c>
      <c r="L9960" t="s">
        <v>102</v>
      </c>
      <c r="M9960" t="s">
        <v>75</v>
      </c>
      <c r="R9960" t="s">
        <v>41350</v>
      </c>
      <c r="S9960" t="s">
        <v>41351</v>
      </c>
      <c r="T9960" t="s">
        <v>87</v>
      </c>
      <c r="U9960" t="s">
        <v>77</v>
      </c>
      <c r="V9960" t="str">
        <f>"11208"</f>
        <v>11208</v>
      </c>
      <c r="AC9960" t="s">
        <v>79</v>
      </c>
      <c r="AD9960" t="s">
        <v>75</v>
      </c>
      <c r="AE9960" t="s">
        <v>103</v>
      </c>
      <c r="AG9960" t="s">
        <v>81</v>
      </c>
    </row>
    <row r="9961" spans="1:33" x14ac:dyDescent="0.25">
      <c r="A9961" t="str">
        <f>"1568761377"</f>
        <v>1568761377</v>
      </c>
      <c r="B9961" t="str">
        <f>"03325739"</f>
        <v>03325739</v>
      </c>
      <c r="C9961" t="s">
        <v>41352</v>
      </c>
      <c r="D9961" t="s">
        <v>41353</v>
      </c>
      <c r="E9961" t="s">
        <v>41354</v>
      </c>
      <c r="G9961" t="s">
        <v>41352</v>
      </c>
      <c r="L9961" t="s">
        <v>94</v>
      </c>
      <c r="M9961" t="s">
        <v>75</v>
      </c>
      <c r="R9961" t="s">
        <v>41355</v>
      </c>
      <c r="W9961" t="s">
        <v>41354</v>
      </c>
      <c r="X9961" t="s">
        <v>41356</v>
      </c>
      <c r="Y9961" t="s">
        <v>155</v>
      </c>
      <c r="Z9961" t="s">
        <v>77</v>
      </c>
      <c r="AA9961" t="str">
        <f>"10305-3400"</f>
        <v>10305-3400</v>
      </c>
      <c r="AB9961" t="s">
        <v>78</v>
      </c>
      <c r="AC9961" t="s">
        <v>79</v>
      </c>
      <c r="AD9961" t="s">
        <v>75</v>
      </c>
      <c r="AE9961" t="s">
        <v>80</v>
      </c>
      <c r="AG9961" t="s">
        <v>81</v>
      </c>
    </row>
    <row r="9962" spans="1:33" x14ac:dyDescent="0.25">
      <c r="A9962" t="str">
        <f>"1578525994"</f>
        <v>1578525994</v>
      </c>
      <c r="B9962" t="str">
        <f>"02233250"</f>
        <v>02233250</v>
      </c>
      <c r="C9962" t="s">
        <v>41357</v>
      </c>
      <c r="D9962" t="s">
        <v>41358</v>
      </c>
      <c r="E9962" t="s">
        <v>41359</v>
      </c>
      <c r="G9962" t="s">
        <v>41357</v>
      </c>
      <c r="L9962" t="s">
        <v>84</v>
      </c>
      <c r="M9962" t="s">
        <v>75</v>
      </c>
      <c r="R9962" t="s">
        <v>41359</v>
      </c>
      <c r="W9962" t="s">
        <v>41359</v>
      </c>
      <c r="X9962" t="s">
        <v>8978</v>
      </c>
      <c r="Y9962" t="s">
        <v>155</v>
      </c>
      <c r="Z9962" t="s">
        <v>77</v>
      </c>
      <c r="AA9962" t="str">
        <f>"10301-3627"</f>
        <v>10301-3627</v>
      </c>
      <c r="AB9962" t="s">
        <v>78</v>
      </c>
      <c r="AC9962" t="s">
        <v>79</v>
      </c>
      <c r="AD9962" t="s">
        <v>75</v>
      </c>
      <c r="AE9962" t="s">
        <v>80</v>
      </c>
      <c r="AG9962" t="s">
        <v>81</v>
      </c>
    </row>
    <row r="9963" spans="1:33" x14ac:dyDescent="0.25">
      <c r="A9963" t="str">
        <f>"1588007041"</f>
        <v>1588007041</v>
      </c>
      <c r="B9963" t="str">
        <f>"03609107"</f>
        <v>03609107</v>
      </c>
      <c r="C9963" t="s">
        <v>41360</v>
      </c>
      <c r="D9963" t="s">
        <v>41361</v>
      </c>
      <c r="E9963" t="s">
        <v>41362</v>
      </c>
      <c r="G9963" t="s">
        <v>41360</v>
      </c>
      <c r="L9963" t="s">
        <v>83</v>
      </c>
      <c r="M9963" t="s">
        <v>75</v>
      </c>
      <c r="R9963" t="s">
        <v>41363</v>
      </c>
      <c r="W9963" t="s">
        <v>41362</v>
      </c>
      <c r="X9963" t="s">
        <v>40952</v>
      </c>
      <c r="Y9963" t="s">
        <v>155</v>
      </c>
      <c r="Z9963" t="s">
        <v>77</v>
      </c>
      <c r="AA9963" t="str">
        <f>"10312-6315"</f>
        <v>10312-6315</v>
      </c>
      <c r="AB9963" t="s">
        <v>78</v>
      </c>
      <c r="AC9963" t="s">
        <v>79</v>
      </c>
      <c r="AD9963" t="s">
        <v>75</v>
      </c>
      <c r="AE9963" t="s">
        <v>80</v>
      </c>
      <c r="AG9963" t="s">
        <v>81</v>
      </c>
    </row>
    <row r="9964" spans="1:33" x14ac:dyDescent="0.25">
      <c r="A9964" t="str">
        <f>"1588605588"</f>
        <v>1588605588</v>
      </c>
      <c r="B9964" t="str">
        <f>"01839367"</f>
        <v>01839367</v>
      </c>
      <c r="C9964" t="s">
        <v>41364</v>
      </c>
      <c r="D9964" t="s">
        <v>41365</v>
      </c>
      <c r="E9964" t="s">
        <v>41366</v>
      </c>
      <c r="G9964" t="s">
        <v>41364</v>
      </c>
      <c r="L9964" t="s">
        <v>84</v>
      </c>
      <c r="M9964" t="s">
        <v>75</v>
      </c>
      <c r="R9964" t="s">
        <v>41367</v>
      </c>
      <c r="W9964" t="s">
        <v>41366</v>
      </c>
      <c r="X9964" t="s">
        <v>41368</v>
      </c>
      <c r="Y9964" t="s">
        <v>87</v>
      </c>
      <c r="Z9964" t="s">
        <v>77</v>
      </c>
      <c r="AA9964" t="str">
        <f>"11208"</f>
        <v>11208</v>
      </c>
      <c r="AB9964" t="s">
        <v>78</v>
      </c>
      <c r="AC9964" t="s">
        <v>79</v>
      </c>
      <c r="AD9964" t="s">
        <v>75</v>
      </c>
      <c r="AE9964" t="s">
        <v>80</v>
      </c>
      <c r="AG9964" t="s">
        <v>81</v>
      </c>
    </row>
    <row r="9965" spans="1:33" x14ac:dyDescent="0.25">
      <c r="A9965" t="str">
        <f>"1588608418"</f>
        <v>1588608418</v>
      </c>
      <c r="B9965" t="str">
        <f>"00901708"</f>
        <v>00901708</v>
      </c>
      <c r="C9965" t="s">
        <v>41369</v>
      </c>
      <c r="D9965" t="s">
        <v>41370</v>
      </c>
      <c r="E9965" t="s">
        <v>41371</v>
      </c>
      <c r="G9965" t="s">
        <v>41369</v>
      </c>
      <c r="L9965" t="s">
        <v>83</v>
      </c>
      <c r="M9965" t="s">
        <v>75</v>
      </c>
      <c r="R9965" t="s">
        <v>41372</v>
      </c>
      <c r="W9965" t="s">
        <v>41371</v>
      </c>
      <c r="X9965" t="s">
        <v>26618</v>
      </c>
      <c r="Y9965" t="s">
        <v>214</v>
      </c>
      <c r="Z9965" t="s">
        <v>77</v>
      </c>
      <c r="AA9965" t="str">
        <f>"11801-5006"</f>
        <v>11801-5006</v>
      </c>
      <c r="AB9965" t="s">
        <v>78</v>
      </c>
      <c r="AC9965" t="s">
        <v>79</v>
      </c>
      <c r="AD9965" t="s">
        <v>75</v>
      </c>
      <c r="AE9965" t="s">
        <v>80</v>
      </c>
      <c r="AG9965" t="s">
        <v>81</v>
      </c>
    </row>
    <row r="9966" spans="1:33" x14ac:dyDescent="0.25">
      <c r="A9966" t="str">
        <f>"1588616668"</f>
        <v>1588616668</v>
      </c>
      <c r="B9966" t="str">
        <f>"02717595"</f>
        <v>02717595</v>
      </c>
      <c r="C9966" t="s">
        <v>883</v>
      </c>
      <c r="D9966" t="s">
        <v>881</v>
      </c>
      <c r="E9966" t="s">
        <v>882</v>
      </c>
      <c r="G9966" t="s">
        <v>883</v>
      </c>
      <c r="L9966" t="s">
        <v>84</v>
      </c>
      <c r="M9966" t="s">
        <v>85</v>
      </c>
      <c r="R9966" t="s">
        <v>884</v>
      </c>
      <c r="W9966" t="s">
        <v>882</v>
      </c>
      <c r="X9966" t="s">
        <v>270</v>
      </c>
      <c r="Y9966" t="s">
        <v>87</v>
      </c>
      <c r="Z9966" t="s">
        <v>77</v>
      </c>
      <c r="AA9966" t="str">
        <f>"11213-1122"</f>
        <v>11213-1122</v>
      </c>
      <c r="AB9966" t="s">
        <v>78</v>
      </c>
      <c r="AC9966" t="s">
        <v>79</v>
      </c>
      <c r="AD9966" t="s">
        <v>75</v>
      </c>
      <c r="AE9966" t="s">
        <v>80</v>
      </c>
      <c r="AG9966" t="s">
        <v>81</v>
      </c>
    </row>
    <row r="9967" spans="1:33" x14ac:dyDescent="0.25">
      <c r="A9967" t="str">
        <f>"1588625388"</f>
        <v>1588625388</v>
      </c>
      <c r="B9967" t="str">
        <f>"01723422"</f>
        <v>01723422</v>
      </c>
      <c r="C9967" t="s">
        <v>41373</v>
      </c>
      <c r="D9967" t="s">
        <v>41374</v>
      </c>
      <c r="E9967" t="s">
        <v>41375</v>
      </c>
      <c r="G9967" t="s">
        <v>41373</v>
      </c>
      <c r="L9967" t="s">
        <v>84</v>
      </c>
      <c r="M9967" t="s">
        <v>75</v>
      </c>
      <c r="R9967" t="s">
        <v>41376</v>
      </c>
      <c r="W9967" t="s">
        <v>41375</v>
      </c>
      <c r="X9967" t="s">
        <v>731</v>
      </c>
      <c r="Y9967" t="s">
        <v>87</v>
      </c>
      <c r="Z9967" t="s">
        <v>77</v>
      </c>
      <c r="AA9967" t="str">
        <f>"11201-5509"</f>
        <v>11201-5509</v>
      </c>
      <c r="AB9967" t="s">
        <v>78</v>
      </c>
      <c r="AC9967" t="s">
        <v>79</v>
      </c>
      <c r="AD9967" t="s">
        <v>75</v>
      </c>
      <c r="AE9967" t="s">
        <v>80</v>
      </c>
      <c r="AG9967" t="s">
        <v>81</v>
      </c>
    </row>
    <row r="9968" spans="1:33" x14ac:dyDescent="0.25">
      <c r="A9968" t="str">
        <f>"1588735518"</f>
        <v>1588735518</v>
      </c>
      <c r="B9968" t="str">
        <f>"00573262"</f>
        <v>00573262</v>
      </c>
      <c r="C9968" t="s">
        <v>41377</v>
      </c>
      <c r="D9968" t="s">
        <v>41378</v>
      </c>
      <c r="E9968" t="s">
        <v>41379</v>
      </c>
      <c r="G9968" t="s">
        <v>41377</v>
      </c>
      <c r="L9968" t="s">
        <v>83</v>
      </c>
      <c r="M9968" t="s">
        <v>75</v>
      </c>
      <c r="R9968" t="s">
        <v>41380</v>
      </c>
      <c r="W9968" t="s">
        <v>41380</v>
      </c>
      <c r="X9968" t="s">
        <v>1477</v>
      </c>
      <c r="Y9968" t="s">
        <v>87</v>
      </c>
      <c r="Z9968" t="s">
        <v>77</v>
      </c>
      <c r="AA9968" t="str">
        <f>"11220"</f>
        <v>11220</v>
      </c>
      <c r="AB9968" t="s">
        <v>78</v>
      </c>
      <c r="AC9968" t="s">
        <v>79</v>
      </c>
      <c r="AD9968" t="s">
        <v>75</v>
      </c>
      <c r="AE9968" t="s">
        <v>80</v>
      </c>
      <c r="AG9968" t="s">
        <v>81</v>
      </c>
    </row>
    <row r="9969" spans="1:33" x14ac:dyDescent="0.25">
      <c r="A9969" t="str">
        <f>"1598083685"</f>
        <v>1598083685</v>
      </c>
      <c r="B9969" t="str">
        <f>"03823425"</f>
        <v>03823425</v>
      </c>
      <c r="C9969" t="s">
        <v>41381</v>
      </c>
      <c r="D9969" t="s">
        <v>41382</v>
      </c>
      <c r="E9969" t="s">
        <v>41383</v>
      </c>
      <c r="G9969" t="s">
        <v>41381</v>
      </c>
      <c r="L9969" t="s">
        <v>83</v>
      </c>
      <c r="M9969" t="s">
        <v>75</v>
      </c>
      <c r="R9969" t="s">
        <v>41383</v>
      </c>
      <c r="W9969" t="s">
        <v>41383</v>
      </c>
      <c r="X9969" t="s">
        <v>2657</v>
      </c>
      <c r="Y9969" t="s">
        <v>87</v>
      </c>
      <c r="Z9969" t="s">
        <v>77</v>
      </c>
      <c r="AA9969" t="str">
        <f>"11229-3716"</f>
        <v>11229-3716</v>
      </c>
      <c r="AB9969" t="s">
        <v>78</v>
      </c>
      <c r="AC9969" t="s">
        <v>79</v>
      </c>
      <c r="AD9969" t="s">
        <v>75</v>
      </c>
      <c r="AE9969" t="s">
        <v>80</v>
      </c>
      <c r="AG9969" t="s">
        <v>81</v>
      </c>
    </row>
    <row r="9970" spans="1:33" x14ac:dyDescent="0.25">
      <c r="A9970" t="str">
        <f>"1598850596"</f>
        <v>1598850596</v>
      </c>
      <c r="B9970" t="str">
        <f>"01029203"</f>
        <v>01029203</v>
      </c>
      <c r="C9970" t="s">
        <v>41384</v>
      </c>
      <c r="D9970" t="s">
        <v>41385</v>
      </c>
      <c r="E9970" t="s">
        <v>41386</v>
      </c>
      <c r="G9970" t="s">
        <v>41384</v>
      </c>
      <c r="L9970" t="s">
        <v>83</v>
      </c>
      <c r="M9970" t="s">
        <v>75</v>
      </c>
      <c r="R9970" t="s">
        <v>41387</v>
      </c>
      <c r="W9970" t="s">
        <v>41386</v>
      </c>
      <c r="X9970" t="s">
        <v>8978</v>
      </c>
      <c r="Y9970" t="s">
        <v>155</v>
      </c>
      <c r="Z9970" t="s">
        <v>77</v>
      </c>
      <c r="AA9970" t="str">
        <f>"10301-3627"</f>
        <v>10301-3627</v>
      </c>
      <c r="AB9970" t="s">
        <v>128</v>
      </c>
      <c r="AC9970" t="s">
        <v>79</v>
      </c>
      <c r="AD9970" t="s">
        <v>75</v>
      </c>
      <c r="AE9970" t="s">
        <v>80</v>
      </c>
      <c r="AG9970" t="s">
        <v>81</v>
      </c>
    </row>
    <row r="9971" spans="1:33" x14ac:dyDescent="0.25">
      <c r="A9971" t="str">
        <f>"1609802289"</f>
        <v>1609802289</v>
      </c>
      <c r="B9971" t="str">
        <f>"01840477"</f>
        <v>01840477</v>
      </c>
      <c r="C9971" t="s">
        <v>41388</v>
      </c>
      <c r="D9971" t="s">
        <v>41389</v>
      </c>
      <c r="E9971" t="s">
        <v>41390</v>
      </c>
      <c r="G9971" t="s">
        <v>41388</v>
      </c>
      <c r="L9971" t="s">
        <v>84</v>
      </c>
      <c r="M9971" t="s">
        <v>75</v>
      </c>
      <c r="R9971" t="s">
        <v>41391</v>
      </c>
      <c r="W9971" t="s">
        <v>41390</v>
      </c>
      <c r="X9971" t="s">
        <v>41392</v>
      </c>
      <c r="Y9971" t="s">
        <v>171</v>
      </c>
      <c r="Z9971" t="s">
        <v>77</v>
      </c>
      <c r="AA9971" t="str">
        <f>"11418-2832"</f>
        <v>11418-2832</v>
      </c>
      <c r="AB9971" t="s">
        <v>78</v>
      </c>
      <c r="AC9971" t="s">
        <v>79</v>
      </c>
      <c r="AD9971" t="s">
        <v>75</v>
      </c>
      <c r="AE9971" t="s">
        <v>80</v>
      </c>
      <c r="AG9971" t="s">
        <v>81</v>
      </c>
    </row>
    <row r="9972" spans="1:33" x14ac:dyDescent="0.25">
      <c r="A9972" t="str">
        <f>"1609804319"</f>
        <v>1609804319</v>
      </c>
      <c r="B9972" t="str">
        <f>"03714436"</f>
        <v>03714436</v>
      </c>
      <c r="C9972" t="s">
        <v>41393</v>
      </c>
      <c r="D9972" t="s">
        <v>41394</v>
      </c>
      <c r="E9972" t="s">
        <v>41395</v>
      </c>
      <c r="G9972" t="s">
        <v>41393</v>
      </c>
      <c r="L9972" t="s">
        <v>74</v>
      </c>
      <c r="M9972" t="s">
        <v>75</v>
      </c>
      <c r="R9972" t="s">
        <v>41396</v>
      </c>
      <c r="W9972" t="s">
        <v>41395</v>
      </c>
      <c r="X9972" t="s">
        <v>41397</v>
      </c>
      <c r="Y9972" t="s">
        <v>165</v>
      </c>
      <c r="Z9972" t="s">
        <v>77</v>
      </c>
      <c r="AA9972" t="str">
        <f>"11004-1252"</f>
        <v>11004-1252</v>
      </c>
      <c r="AB9972" t="s">
        <v>78</v>
      </c>
      <c r="AC9972" t="s">
        <v>79</v>
      </c>
      <c r="AD9972" t="s">
        <v>75</v>
      </c>
      <c r="AE9972" t="s">
        <v>80</v>
      </c>
      <c r="AG9972" t="s">
        <v>81</v>
      </c>
    </row>
    <row r="9973" spans="1:33" x14ac:dyDescent="0.25">
      <c r="A9973" t="str">
        <f>"1871739441"</f>
        <v>1871739441</v>
      </c>
      <c r="B9973" t="str">
        <f>"03818146"</f>
        <v>03818146</v>
      </c>
      <c r="C9973" t="s">
        <v>13436</v>
      </c>
      <c r="D9973" t="s">
        <v>41398</v>
      </c>
      <c r="E9973" t="s">
        <v>41399</v>
      </c>
      <c r="L9973" t="s">
        <v>83</v>
      </c>
      <c r="M9973" t="s">
        <v>85</v>
      </c>
      <c r="R9973" t="s">
        <v>41400</v>
      </c>
      <c r="W9973" t="s">
        <v>41399</v>
      </c>
      <c r="X9973" t="s">
        <v>11195</v>
      </c>
      <c r="Y9973" t="s">
        <v>97</v>
      </c>
      <c r="Z9973" t="s">
        <v>77</v>
      </c>
      <c r="AA9973" t="str">
        <f>"10029-6030"</f>
        <v>10029-6030</v>
      </c>
      <c r="AB9973" t="s">
        <v>78</v>
      </c>
      <c r="AC9973" t="s">
        <v>79</v>
      </c>
      <c r="AD9973" t="s">
        <v>75</v>
      </c>
      <c r="AE9973" t="s">
        <v>80</v>
      </c>
      <c r="AG9973" t="s">
        <v>81</v>
      </c>
    </row>
    <row r="9974" spans="1:33" x14ac:dyDescent="0.25">
      <c r="A9974" t="str">
        <f>"1871751446"</f>
        <v>1871751446</v>
      </c>
      <c r="B9974" t="str">
        <f>"03865987"</f>
        <v>03865987</v>
      </c>
      <c r="C9974" t="s">
        <v>13436</v>
      </c>
      <c r="D9974" t="s">
        <v>41401</v>
      </c>
      <c r="E9974" t="s">
        <v>41402</v>
      </c>
      <c r="G9974" t="s">
        <v>41403</v>
      </c>
      <c r="L9974" t="s">
        <v>74</v>
      </c>
      <c r="M9974" t="s">
        <v>75</v>
      </c>
      <c r="R9974" t="s">
        <v>41404</v>
      </c>
      <c r="W9974" t="s">
        <v>41402</v>
      </c>
      <c r="X9974" t="s">
        <v>11073</v>
      </c>
      <c r="Y9974" t="s">
        <v>97</v>
      </c>
      <c r="Z9974" t="s">
        <v>77</v>
      </c>
      <c r="AA9974" t="str">
        <f>"10029-6504"</f>
        <v>10029-6504</v>
      </c>
      <c r="AB9974" t="s">
        <v>78</v>
      </c>
      <c r="AC9974" t="s">
        <v>79</v>
      </c>
      <c r="AD9974" t="s">
        <v>75</v>
      </c>
      <c r="AE9974" t="s">
        <v>80</v>
      </c>
      <c r="AG9974" t="s">
        <v>81</v>
      </c>
    </row>
    <row r="9975" spans="1:33" x14ac:dyDescent="0.25">
      <c r="A9975" t="str">
        <f>"1871770255"</f>
        <v>1871770255</v>
      </c>
      <c r="B9975" t="str">
        <f>"03117475"</f>
        <v>03117475</v>
      </c>
      <c r="C9975" t="s">
        <v>13436</v>
      </c>
      <c r="D9975" t="s">
        <v>41405</v>
      </c>
      <c r="E9975" t="s">
        <v>41406</v>
      </c>
      <c r="L9975" t="s">
        <v>83</v>
      </c>
      <c r="M9975" t="s">
        <v>85</v>
      </c>
      <c r="R9975" t="s">
        <v>41407</v>
      </c>
      <c r="W9975" t="s">
        <v>41408</v>
      </c>
      <c r="X9975" t="s">
        <v>3067</v>
      </c>
      <c r="Y9975" t="s">
        <v>91</v>
      </c>
      <c r="Z9975" t="s">
        <v>77</v>
      </c>
      <c r="AA9975" t="str">
        <f>"11373-1329"</f>
        <v>11373-1329</v>
      </c>
      <c r="AB9975" t="s">
        <v>78</v>
      </c>
      <c r="AC9975" t="s">
        <v>79</v>
      </c>
      <c r="AD9975" t="s">
        <v>75</v>
      </c>
      <c r="AE9975" t="s">
        <v>80</v>
      </c>
      <c r="AG9975" t="s">
        <v>81</v>
      </c>
    </row>
    <row r="9976" spans="1:33" x14ac:dyDescent="0.25">
      <c r="A9976" t="str">
        <f>"1962573220"</f>
        <v>1962573220</v>
      </c>
      <c r="B9976" t="str">
        <f>"02825056"</f>
        <v>02825056</v>
      </c>
      <c r="C9976" t="s">
        <v>13436</v>
      </c>
      <c r="D9976" t="s">
        <v>41409</v>
      </c>
      <c r="E9976" t="s">
        <v>41410</v>
      </c>
      <c r="L9976" t="s">
        <v>84</v>
      </c>
      <c r="M9976" t="s">
        <v>85</v>
      </c>
      <c r="R9976" t="s">
        <v>41411</v>
      </c>
      <c r="W9976" t="s">
        <v>41412</v>
      </c>
      <c r="X9976" t="s">
        <v>1809</v>
      </c>
      <c r="Y9976" t="s">
        <v>2664</v>
      </c>
      <c r="Z9976" t="s">
        <v>77</v>
      </c>
      <c r="AA9976" t="str">
        <f>"11772-4870"</f>
        <v>11772-4870</v>
      </c>
      <c r="AB9976" t="s">
        <v>78</v>
      </c>
      <c r="AC9976" t="s">
        <v>79</v>
      </c>
      <c r="AD9976" t="s">
        <v>75</v>
      </c>
      <c r="AE9976" t="s">
        <v>80</v>
      </c>
      <c r="AG9976" t="s">
        <v>81</v>
      </c>
    </row>
    <row r="9977" spans="1:33" x14ac:dyDescent="0.25">
      <c r="A9977" t="str">
        <f>"1962599647"</f>
        <v>1962599647</v>
      </c>
      <c r="B9977" t="str">
        <f>"01079978"</f>
        <v>01079978</v>
      </c>
      <c r="C9977" t="s">
        <v>13436</v>
      </c>
      <c r="D9977" t="s">
        <v>41413</v>
      </c>
      <c r="E9977" t="s">
        <v>41414</v>
      </c>
      <c r="G9977" t="s">
        <v>41415</v>
      </c>
      <c r="L9977" t="s">
        <v>83</v>
      </c>
      <c r="M9977" t="s">
        <v>85</v>
      </c>
      <c r="R9977" t="s">
        <v>41416</v>
      </c>
      <c r="W9977" t="s">
        <v>41417</v>
      </c>
      <c r="X9977" t="s">
        <v>12415</v>
      </c>
      <c r="Y9977" t="s">
        <v>97</v>
      </c>
      <c r="Z9977" t="s">
        <v>77</v>
      </c>
      <c r="AA9977" t="str">
        <f>"10003-0000"</f>
        <v>10003-0000</v>
      </c>
      <c r="AB9977" t="s">
        <v>78</v>
      </c>
      <c r="AC9977" t="s">
        <v>79</v>
      </c>
      <c r="AD9977" t="s">
        <v>75</v>
      </c>
      <c r="AE9977" t="s">
        <v>80</v>
      </c>
      <c r="AG9977" t="s">
        <v>81</v>
      </c>
    </row>
    <row r="9978" spans="1:33" x14ac:dyDescent="0.25">
      <c r="A9978" t="str">
        <f>"1962609776"</f>
        <v>1962609776</v>
      </c>
      <c r="B9978" t="str">
        <f>"03384576"</f>
        <v>03384576</v>
      </c>
      <c r="C9978" t="s">
        <v>13436</v>
      </c>
      <c r="D9978" t="s">
        <v>41418</v>
      </c>
      <c r="E9978" t="s">
        <v>41419</v>
      </c>
      <c r="L9978" t="s">
        <v>83</v>
      </c>
      <c r="M9978" t="s">
        <v>75</v>
      </c>
      <c r="R9978" t="s">
        <v>41419</v>
      </c>
      <c r="W9978" t="s">
        <v>41420</v>
      </c>
      <c r="X9978" t="s">
        <v>2779</v>
      </c>
      <c r="Y9978" t="s">
        <v>87</v>
      </c>
      <c r="Z9978" t="s">
        <v>77</v>
      </c>
      <c r="AA9978" t="str">
        <f>"11217-1702"</f>
        <v>11217-1702</v>
      </c>
      <c r="AB9978" t="s">
        <v>78</v>
      </c>
      <c r="AC9978" t="s">
        <v>79</v>
      </c>
      <c r="AD9978" t="s">
        <v>75</v>
      </c>
      <c r="AE9978" t="s">
        <v>80</v>
      </c>
      <c r="AG9978" t="s">
        <v>81</v>
      </c>
    </row>
    <row r="9979" spans="1:33" x14ac:dyDescent="0.25">
      <c r="A9979" t="str">
        <f>"1962660548"</f>
        <v>1962660548</v>
      </c>
      <c r="B9979" t="str">
        <f>"03457458"</f>
        <v>03457458</v>
      </c>
      <c r="C9979" t="s">
        <v>13436</v>
      </c>
      <c r="D9979" t="s">
        <v>41421</v>
      </c>
      <c r="E9979" t="s">
        <v>41422</v>
      </c>
      <c r="L9979" t="s">
        <v>83</v>
      </c>
      <c r="M9979" t="s">
        <v>85</v>
      </c>
      <c r="R9979" t="s">
        <v>41423</v>
      </c>
      <c r="W9979" t="s">
        <v>41422</v>
      </c>
      <c r="X9979" t="s">
        <v>235</v>
      </c>
      <c r="Y9979" t="s">
        <v>236</v>
      </c>
      <c r="Z9979" t="s">
        <v>77</v>
      </c>
      <c r="AA9979" t="str">
        <f>"11102-2448"</f>
        <v>11102-2448</v>
      </c>
      <c r="AB9979" t="s">
        <v>78</v>
      </c>
      <c r="AC9979" t="s">
        <v>79</v>
      </c>
      <c r="AD9979" t="s">
        <v>75</v>
      </c>
      <c r="AE9979" t="s">
        <v>80</v>
      </c>
      <c r="AG9979" t="s">
        <v>81</v>
      </c>
    </row>
    <row r="9980" spans="1:33" x14ac:dyDescent="0.25">
      <c r="A9980" t="str">
        <f>"1235497066"</f>
        <v>1235497066</v>
      </c>
      <c r="C9980" t="s">
        <v>41424</v>
      </c>
      <c r="G9980" t="s">
        <v>32379</v>
      </c>
      <c r="H9980" t="s">
        <v>183</v>
      </c>
      <c r="J9980" t="s">
        <v>184</v>
      </c>
      <c r="K9980" t="s">
        <v>2011</v>
      </c>
      <c r="L9980" t="s">
        <v>102</v>
      </c>
      <c r="M9980" t="s">
        <v>75</v>
      </c>
      <c r="R9980" t="s">
        <v>3812</v>
      </c>
      <c r="S9980" t="s">
        <v>3813</v>
      </c>
      <c r="T9980" t="s">
        <v>97</v>
      </c>
      <c r="U9980" t="s">
        <v>77</v>
      </c>
      <c r="V9980" t="str">
        <f>"100184190"</f>
        <v>100184190</v>
      </c>
      <c r="AC9980" t="s">
        <v>79</v>
      </c>
      <c r="AD9980" t="s">
        <v>75</v>
      </c>
      <c r="AE9980" t="s">
        <v>103</v>
      </c>
      <c r="AG9980" t="s">
        <v>81</v>
      </c>
    </row>
    <row r="9981" spans="1:33" x14ac:dyDescent="0.25">
      <c r="A9981" t="str">
        <f>"1942531132"</f>
        <v>1942531132</v>
      </c>
      <c r="B9981" t="str">
        <f>"03655112"</f>
        <v>03655112</v>
      </c>
      <c r="C9981" t="s">
        <v>41425</v>
      </c>
      <c r="D9981" t="s">
        <v>3814</v>
      </c>
      <c r="E9981" t="s">
        <v>3815</v>
      </c>
      <c r="G9981" t="s">
        <v>32379</v>
      </c>
      <c r="H9981" t="s">
        <v>183</v>
      </c>
      <c r="J9981" t="s">
        <v>184</v>
      </c>
      <c r="L9981" t="s">
        <v>74</v>
      </c>
      <c r="M9981" t="s">
        <v>75</v>
      </c>
      <c r="R9981" t="s">
        <v>3816</v>
      </c>
      <c r="W9981" t="s">
        <v>3815</v>
      </c>
      <c r="X9981" t="s">
        <v>3817</v>
      </c>
      <c r="Y9981" t="s">
        <v>3818</v>
      </c>
      <c r="Z9981" t="s">
        <v>77</v>
      </c>
      <c r="AA9981" t="str">
        <f>"11714-0000"</f>
        <v>11714-0000</v>
      </c>
      <c r="AB9981" t="s">
        <v>114</v>
      </c>
      <c r="AC9981" t="s">
        <v>79</v>
      </c>
      <c r="AD9981" t="s">
        <v>75</v>
      </c>
      <c r="AE9981" t="s">
        <v>80</v>
      </c>
      <c r="AG9981" t="s">
        <v>81</v>
      </c>
    </row>
    <row r="9982" spans="1:33" x14ac:dyDescent="0.25">
      <c r="A9982" t="str">
        <f>"1841467776"</f>
        <v>1841467776</v>
      </c>
      <c r="C9982" t="s">
        <v>41426</v>
      </c>
      <c r="G9982" t="s">
        <v>32379</v>
      </c>
      <c r="H9982" t="s">
        <v>183</v>
      </c>
      <c r="J9982" t="s">
        <v>184</v>
      </c>
      <c r="K9982" t="s">
        <v>2011</v>
      </c>
      <c r="L9982" t="s">
        <v>102</v>
      </c>
      <c r="M9982" t="s">
        <v>75</v>
      </c>
      <c r="R9982" t="s">
        <v>3819</v>
      </c>
      <c r="S9982" t="s">
        <v>3820</v>
      </c>
      <c r="T9982" t="s">
        <v>87</v>
      </c>
      <c r="U9982" t="s">
        <v>77</v>
      </c>
      <c r="V9982" t="str">
        <f>"112355660"</f>
        <v>112355660</v>
      </c>
      <c r="AC9982" t="s">
        <v>79</v>
      </c>
      <c r="AD9982" t="s">
        <v>75</v>
      </c>
      <c r="AE9982" t="s">
        <v>103</v>
      </c>
      <c r="AG9982" t="s">
        <v>81</v>
      </c>
    </row>
    <row r="9983" spans="1:33" x14ac:dyDescent="0.25">
      <c r="A9983" t="str">
        <f>"1184898967"</f>
        <v>1184898967</v>
      </c>
      <c r="C9983" t="s">
        <v>41427</v>
      </c>
      <c r="G9983" t="s">
        <v>32379</v>
      </c>
      <c r="H9983" t="s">
        <v>183</v>
      </c>
      <c r="J9983" t="s">
        <v>184</v>
      </c>
      <c r="K9983" t="s">
        <v>2011</v>
      </c>
      <c r="L9983" t="s">
        <v>102</v>
      </c>
      <c r="M9983" t="s">
        <v>75</v>
      </c>
      <c r="R9983" t="s">
        <v>3821</v>
      </c>
      <c r="S9983" t="s">
        <v>3822</v>
      </c>
      <c r="T9983" t="s">
        <v>179</v>
      </c>
      <c r="U9983" t="s">
        <v>77</v>
      </c>
      <c r="V9983" t="str">
        <f>"115503718"</f>
        <v>115503718</v>
      </c>
      <c r="AC9983" t="s">
        <v>79</v>
      </c>
      <c r="AD9983" t="s">
        <v>75</v>
      </c>
      <c r="AE9983" t="s">
        <v>103</v>
      </c>
      <c r="AG9983" t="s">
        <v>81</v>
      </c>
    </row>
    <row r="9984" spans="1:33" x14ac:dyDescent="0.25">
      <c r="A9984" t="str">
        <f>"1700226768"</f>
        <v>1700226768</v>
      </c>
      <c r="C9984" t="s">
        <v>13436</v>
      </c>
      <c r="K9984" t="s">
        <v>99</v>
      </c>
      <c r="L9984" t="s">
        <v>102</v>
      </c>
      <c r="M9984" t="s">
        <v>75</v>
      </c>
      <c r="R9984" t="s">
        <v>41428</v>
      </c>
      <c r="S9984" t="s">
        <v>41429</v>
      </c>
      <c r="T9984" t="s">
        <v>97</v>
      </c>
      <c r="U9984" t="s">
        <v>77</v>
      </c>
      <c r="V9984" t="str">
        <f>"100033821"</f>
        <v>100033821</v>
      </c>
      <c r="AC9984" t="s">
        <v>79</v>
      </c>
      <c r="AD9984" t="s">
        <v>75</v>
      </c>
      <c r="AE9984" t="s">
        <v>103</v>
      </c>
      <c r="AG9984" t="s">
        <v>81</v>
      </c>
    </row>
    <row r="9985" spans="1:33" x14ac:dyDescent="0.25">
      <c r="A9985" t="str">
        <f>"1932250503"</f>
        <v>1932250503</v>
      </c>
      <c r="B9985" t="str">
        <f>"03018926"</f>
        <v>03018926</v>
      </c>
      <c r="C9985" t="s">
        <v>13436</v>
      </c>
      <c r="D9985" t="s">
        <v>41430</v>
      </c>
      <c r="E9985" t="s">
        <v>41431</v>
      </c>
      <c r="L9985" t="s">
        <v>94</v>
      </c>
      <c r="M9985" t="s">
        <v>85</v>
      </c>
      <c r="R9985" t="s">
        <v>41432</v>
      </c>
      <c r="W9985" t="s">
        <v>41433</v>
      </c>
      <c r="X9985" t="s">
        <v>329</v>
      </c>
      <c r="Y9985" t="s">
        <v>97</v>
      </c>
      <c r="Z9985" t="s">
        <v>77</v>
      </c>
      <c r="AA9985" t="str">
        <f>"10029-6504"</f>
        <v>10029-6504</v>
      </c>
      <c r="AB9985" t="s">
        <v>78</v>
      </c>
      <c r="AC9985" t="s">
        <v>79</v>
      </c>
      <c r="AD9985" t="s">
        <v>75</v>
      </c>
      <c r="AE9985" t="s">
        <v>80</v>
      </c>
      <c r="AG9985" t="s">
        <v>81</v>
      </c>
    </row>
    <row r="9986" spans="1:33" x14ac:dyDescent="0.25">
      <c r="A9986" t="str">
        <f>"1932307600"</f>
        <v>1932307600</v>
      </c>
      <c r="B9986" t="str">
        <f>"03261314"</f>
        <v>03261314</v>
      </c>
      <c r="C9986" t="s">
        <v>13436</v>
      </c>
      <c r="D9986" t="s">
        <v>41434</v>
      </c>
      <c r="E9986" t="s">
        <v>41435</v>
      </c>
      <c r="L9986" t="s">
        <v>83</v>
      </c>
      <c r="M9986" t="s">
        <v>85</v>
      </c>
      <c r="R9986" t="s">
        <v>41436</v>
      </c>
      <c r="W9986" t="s">
        <v>41435</v>
      </c>
      <c r="X9986" t="s">
        <v>41437</v>
      </c>
      <c r="Y9986" t="s">
        <v>97</v>
      </c>
      <c r="Z9986" t="s">
        <v>77</v>
      </c>
      <c r="AA9986" t="str">
        <f>"10029-0001"</f>
        <v>10029-0001</v>
      </c>
      <c r="AB9986" t="s">
        <v>78</v>
      </c>
      <c r="AC9986" t="s">
        <v>79</v>
      </c>
      <c r="AD9986" t="s">
        <v>75</v>
      </c>
      <c r="AE9986" t="s">
        <v>80</v>
      </c>
      <c r="AG9986" t="s">
        <v>81</v>
      </c>
    </row>
    <row r="9987" spans="1:33" x14ac:dyDescent="0.25">
      <c r="A9987" t="str">
        <f>"1689640054"</f>
        <v>1689640054</v>
      </c>
      <c r="B9987" t="str">
        <f>"01025910"</f>
        <v>01025910</v>
      </c>
      <c r="C9987" t="s">
        <v>13436</v>
      </c>
      <c r="D9987" t="s">
        <v>41438</v>
      </c>
      <c r="E9987" t="s">
        <v>41439</v>
      </c>
      <c r="G9987" t="s">
        <v>41440</v>
      </c>
      <c r="L9987" t="s">
        <v>83</v>
      </c>
      <c r="M9987" t="s">
        <v>85</v>
      </c>
      <c r="R9987" t="s">
        <v>41441</v>
      </c>
      <c r="W9987" t="s">
        <v>41439</v>
      </c>
      <c r="X9987" t="s">
        <v>41442</v>
      </c>
      <c r="Y9987" t="s">
        <v>97</v>
      </c>
      <c r="Z9987" t="s">
        <v>77</v>
      </c>
      <c r="AA9987" t="str">
        <f>"10029-6501"</f>
        <v>10029-6501</v>
      </c>
      <c r="AB9987" t="s">
        <v>78</v>
      </c>
      <c r="AC9987" t="s">
        <v>79</v>
      </c>
      <c r="AD9987" t="s">
        <v>75</v>
      </c>
      <c r="AE9987" t="s">
        <v>80</v>
      </c>
      <c r="AG9987" t="s">
        <v>81</v>
      </c>
    </row>
    <row r="9988" spans="1:33" x14ac:dyDescent="0.25">
      <c r="A9988" t="str">
        <f>"1689640476"</f>
        <v>1689640476</v>
      </c>
      <c r="B9988" t="str">
        <f>"02431354"</f>
        <v>02431354</v>
      </c>
      <c r="C9988" t="s">
        <v>13436</v>
      </c>
      <c r="D9988" t="s">
        <v>41443</v>
      </c>
      <c r="E9988" t="s">
        <v>41444</v>
      </c>
      <c r="G9988" t="s">
        <v>41445</v>
      </c>
      <c r="L9988" t="s">
        <v>83</v>
      </c>
      <c r="M9988" t="s">
        <v>85</v>
      </c>
      <c r="R9988" t="s">
        <v>41446</v>
      </c>
      <c r="W9988" t="s">
        <v>41444</v>
      </c>
      <c r="X9988" t="s">
        <v>272</v>
      </c>
      <c r="Y9988" t="s">
        <v>97</v>
      </c>
      <c r="Z9988" t="s">
        <v>77</v>
      </c>
      <c r="AA9988" t="str">
        <f>"10029-6501"</f>
        <v>10029-6501</v>
      </c>
      <c r="AB9988" t="s">
        <v>78</v>
      </c>
      <c r="AC9988" t="s">
        <v>79</v>
      </c>
      <c r="AD9988" t="s">
        <v>75</v>
      </c>
      <c r="AE9988" t="s">
        <v>80</v>
      </c>
      <c r="AG9988" t="s">
        <v>81</v>
      </c>
    </row>
    <row r="9989" spans="1:33" x14ac:dyDescent="0.25">
      <c r="A9989" t="str">
        <f>"1689640914"</f>
        <v>1689640914</v>
      </c>
      <c r="B9989" t="str">
        <f>"01635423"</f>
        <v>01635423</v>
      </c>
      <c r="C9989" t="s">
        <v>13436</v>
      </c>
      <c r="D9989" t="s">
        <v>41447</v>
      </c>
      <c r="E9989" t="s">
        <v>41448</v>
      </c>
      <c r="G9989" t="s">
        <v>41449</v>
      </c>
      <c r="L9989" t="s">
        <v>84</v>
      </c>
      <c r="M9989" t="s">
        <v>75</v>
      </c>
      <c r="R9989" t="s">
        <v>41450</v>
      </c>
      <c r="W9989" t="s">
        <v>41448</v>
      </c>
      <c r="X9989" t="s">
        <v>937</v>
      </c>
      <c r="Y9989" t="s">
        <v>97</v>
      </c>
      <c r="Z9989" t="s">
        <v>77</v>
      </c>
      <c r="AA9989" t="str">
        <f>"10021-3104"</f>
        <v>10021-3104</v>
      </c>
      <c r="AB9989" t="s">
        <v>78</v>
      </c>
      <c r="AC9989" t="s">
        <v>79</v>
      </c>
      <c r="AD9989" t="s">
        <v>75</v>
      </c>
      <c r="AE9989" t="s">
        <v>80</v>
      </c>
      <c r="AG9989" t="s">
        <v>81</v>
      </c>
    </row>
    <row r="9990" spans="1:33" x14ac:dyDescent="0.25">
      <c r="A9990" t="str">
        <f>"1689650384"</f>
        <v>1689650384</v>
      </c>
      <c r="C9990" t="s">
        <v>13436</v>
      </c>
      <c r="G9990" t="s">
        <v>41451</v>
      </c>
      <c r="K9990" t="s">
        <v>99</v>
      </c>
      <c r="L9990" t="s">
        <v>102</v>
      </c>
      <c r="M9990" t="s">
        <v>75</v>
      </c>
      <c r="R9990" t="s">
        <v>41452</v>
      </c>
      <c r="S9990" t="s">
        <v>5324</v>
      </c>
      <c r="T9990" t="s">
        <v>97</v>
      </c>
      <c r="U9990" t="s">
        <v>77</v>
      </c>
      <c r="V9990" t="str">
        <f>"100296500"</f>
        <v>100296500</v>
      </c>
      <c r="AC9990" t="s">
        <v>79</v>
      </c>
      <c r="AD9990" t="s">
        <v>75</v>
      </c>
      <c r="AE9990" t="s">
        <v>103</v>
      </c>
      <c r="AG9990" t="s">
        <v>81</v>
      </c>
    </row>
    <row r="9991" spans="1:33" x14ac:dyDescent="0.25">
      <c r="A9991" t="str">
        <f>"1689688376"</f>
        <v>1689688376</v>
      </c>
      <c r="B9991" t="str">
        <f>"01430271"</f>
        <v>01430271</v>
      </c>
      <c r="C9991" t="s">
        <v>13436</v>
      </c>
      <c r="D9991" t="s">
        <v>41453</v>
      </c>
      <c r="E9991" t="s">
        <v>41454</v>
      </c>
      <c r="G9991" t="s">
        <v>41455</v>
      </c>
      <c r="L9991" t="s">
        <v>83</v>
      </c>
      <c r="M9991" t="s">
        <v>85</v>
      </c>
      <c r="R9991" t="s">
        <v>41456</v>
      </c>
      <c r="W9991" t="s">
        <v>41454</v>
      </c>
      <c r="X9991" t="s">
        <v>41457</v>
      </c>
      <c r="Y9991" t="s">
        <v>97</v>
      </c>
      <c r="Z9991" t="s">
        <v>77</v>
      </c>
      <c r="AA9991" t="str">
        <f>"10128-2226"</f>
        <v>10128-2226</v>
      </c>
      <c r="AB9991" t="s">
        <v>78</v>
      </c>
      <c r="AC9991" t="s">
        <v>79</v>
      </c>
      <c r="AD9991" t="s">
        <v>75</v>
      </c>
      <c r="AE9991" t="s">
        <v>80</v>
      </c>
      <c r="AG9991" t="s">
        <v>81</v>
      </c>
    </row>
    <row r="9992" spans="1:33" x14ac:dyDescent="0.25">
      <c r="A9992" t="str">
        <f>"1710237797"</f>
        <v>1710237797</v>
      </c>
      <c r="B9992" t="str">
        <f>"03813509"</f>
        <v>03813509</v>
      </c>
      <c r="C9992" t="s">
        <v>13436</v>
      </c>
      <c r="D9992" t="s">
        <v>41458</v>
      </c>
      <c r="E9992" t="s">
        <v>41459</v>
      </c>
      <c r="G9992" t="s">
        <v>41460</v>
      </c>
      <c r="L9992" t="s">
        <v>74</v>
      </c>
      <c r="M9992" t="s">
        <v>75</v>
      </c>
      <c r="R9992" t="s">
        <v>41461</v>
      </c>
      <c r="W9992" t="s">
        <v>41459</v>
      </c>
      <c r="X9992" t="s">
        <v>181</v>
      </c>
      <c r="Y9992" t="s">
        <v>97</v>
      </c>
      <c r="Z9992" t="s">
        <v>77</v>
      </c>
      <c r="AA9992" t="str">
        <f>"10025-1716"</f>
        <v>10025-1716</v>
      </c>
      <c r="AB9992" t="s">
        <v>78</v>
      </c>
      <c r="AC9992" t="s">
        <v>79</v>
      </c>
      <c r="AD9992" t="s">
        <v>75</v>
      </c>
      <c r="AE9992" t="s">
        <v>80</v>
      </c>
      <c r="AG9992" t="s">
        <v>81</v>
      </c>
    </row>
    <row r="9993" spans="1:33" x14ac:dyDescent="0.25">
      <c r="A9993" t="str">
        <f>"1710240684"</f>
        <v>1710240684</v>
      </c>
      <c r="C9993" t="s">
        <v>13436</v>
      </c>
      <c r="K9993" t="s">
        <v>99</v>
      </c>
      <c r="L9993" t="s">
        <v>102</v>
      </c>
      <c r="M9993" t="s">
        <v>75</v>
      </c>
      <c r="R9993" t="s">
        <v>41462</v>
      </c>
      <c r="S9993" t="s">
        <v>258</v>
      </c>
      <c r="T9993" t="s">
        <v>131</v>
      </c>
      <c r="U9993" t="s">
        <v>77</v>
      </c>
      <c r="V9993" t="str">
        <f>"104672401"</f>
        <v>104672401</v>
      </c>
      <c r="AC9993" t="s">
        <v>79</v>
      </c>
      <c r="AD9993" t="s">
        <v>75</v>
      </c>
      <c r="AE9993" t="s">
        <v>103</v>
      </c>
      <c r="AG9993" t="s">
        <v>81</v>
      </c>
    </row>
    <row r="9994" spans="1:33" x14ac:dyDescent="0.25">
      <c r="A9994" t="str">
        <f>"1710241526"</f>
        <v>1710241526</v>
      </c>
      <c r="B9994" t="str">
        <f>"03867723"</f>
        <v>03867723</v>
      </c>
      <c r="C9994" t="s">
        <v>13436</v>
      </c>
      <c r="D9994" t="s">
        <v>41463</v>
      </c>
      <c r="E9994" t="s">
        <v>41464</v>
      </c>
      <c r="L9994" t="s">
        <v>74</v>
      </c>
      <c r="M9994" t="s">
        <v>75</v>
      </c>
      <c r="R9994" t="s">
        <v>41464</v>
      </c>
      <c r="W9994" t="s">
        <v>41465</v>
      </c>
      <c r="X9994" t="s">
        <v>235</v>
      </c>
      <c r="Y9994" t="s">
        <v>190</v>
      </c>
      <c r="Z9994" t="s">
        <v>77</v>
      </c>
      <c r="AA9994" t="str">
        <f>"11102-2448"</f>
        <v>11102-2448</v>
      </c>
      <c r="AB9994" t="s">
        <v>78</v>
      </c>
      <c r="AC9994" t="s">
        <v>79</v>
      </c>
      <c r="AD9994" t="s">
        <v>75</v>
      </c>
      <c r="AE9994" t="s">
        <v>80</v>
      </c>
      <c r="AG9994" t="s">
        <v>81</v>
      </c>
    </row>
    <row r="9995" spans="1:33" x14ac:dyDescent="0.25">
      <c r="A9995" t="str">
        <f>"1760725683"</f>
        <v>1760725683</v>
      </c>
      <c r="C9995" t="s">
        <v>13436</v>
      </c>
      <c r="K9995" t="s">
        <v>99</v>
      </c>
      <c r="L9995" t="s">
        <v>102</v>
      </c>
      <c r="M9995" t="s">
        <v>75</v>
      </c>
      <c r="R9995" t="s">
        <v>41466</v>
      </c>
      <c r="S9995" t="s">
        <v>27130</v>
      </c>
      <c r="T9995" t="s">
        <v>97</v>
      </c>
      <c r="U9995" t="s">
        <v>77</v>
      </c>
      <c r="V9995" t="str">
        <f>"100296500"</f>
        <v>100296500</v>
      </c>
      <c r="AC9995" t="s">
        <v>79</v>
      </c>
      <c r="AD9995" t="s">
        <v>75</v>
      </c>
      <c r="AE9995" t="s">
        <v>103</v>
      </c>
      <c r="AG9995" t="s">
        <v>81</v>
      </c>
    </row>
    <row r="9996" spans="1:33" x14ac:dyDescent="0.25">
      <c r="B9996" t="str">
        <f>"01669685"</f>
        <v>01669685</v>
      </c>
      <c r="C9996" t="s">
        <v>41467</v>
      </c>
      <c r="D9996" t="s">
        <v>41468</v>
      </c>
      <c r="E9996" t="s">
        <v>41469</v>
      </c>
      <c r="L9996" t="s">
        <v>37</v>
      </c>
      <c r="M9996" t="s">
        <v>75</v>
      </c>
      <c r="W9996" t="s">
        <v>41469</v>
      </c>
      <c r="X9996" t="s">
        <v>41470</v>
      </c>
      <c r="Y9996" t="s">
        <v>97</v>
      </c>
      <c r="Z9996" t="s">
        <v>77</v>
      </c>
      <c r="AA9996" t="str">
        <f>"10016-0113"</f>
        <v>10016-0113</v>
      </c>
      <c r="AB9996" t="s">
        <v>98</v>
      </c>
      <c r="AC9996" t="s">
        <v>79</v>
      </c>
      <c r="AD9996" t="s">
        <v>75</v>
      </c>
      <c r="AE9996" t="s">
        <v>80</v>
      </c>
      <c r="AG9996" t="s">
        <v>81</v>
      </c>
    </row>
    <row r="9997" spans="1:33" x14ac:dyDescent="0.25">
      <c r="A9997" t="str">
        <f>"1063428043"</f>
        <v>1063428043</v>
      </c>
      <c r="B9997" t="str">
        <f>"00172087"</f>
        <v>00172087</v>
      </c>
      <c r="C9997" t="s">
        <v>13436</v>
      </c>
      <c r="D9997" t="s">
        <v>41471</v>
      </c>
      <c r="E9997" t="s">
        <v>41472</v>
      </c>
      <c r="G9997" t="s">
        <v>41473</v>
      </c>
      <c r="L9997" t="s">
        <v>74</v>
      </c>
      <c r="M9997" t="s">
        <v>75</v>
      </c>
      <c r="R9997" t="s">
        <v>41474</v>
      </c>
      <c r="W9997" t="s">
        <v>41472</v>
      </c>
      <c r="X9997" t="s">
        <v>228</v>
      </c>
      <c r="Y9997" t="s">
        <v>91</v>
      </c>
      <c r="Z9997" t="s">
        <v>77</v>
      </c>
      <c r="AA9997" t="str">
        <f>"11373-1329"</f>
        <v>11373-1329</v>
      </c>
      <c r="AB9997" t="s">
        <v>78</v>
      </c>
      <c r="AC9997" t="s">
        <v>79</v>
      </c>
      <c r="AD9997" t="s">
        <v>75</v>
      </c>
      <c r="AE9997" t="s">
        <v>80</v>
      </c>
      <c r="AG9997" t="s">
        <v>81</v>
      </c>
    </row>
    <row r="9998" spans="1:33" x14ac:dyDescent="0.25">
      <c r="B9998" t="str">
        <f>"01998452"</f>
        <v>01998452</v>
      </c>
      <c r="C9998" t="s">
        <v>39601</v>
      </c>
      <c r="D9998" t="s">
        <v>41475</v>
      </c>
      <c r="E9998" t="s">
        <v>41476</v>
      </c>
      <c r="F9998">
        <v>135675643</v>
      </c>
      <c r="G9998" t="s">
        <v>39602</v>
      </c>
      <c r="H9998" t="s">
        <v>39603</v>
      </c>
      <c r="J9998" t="s">
        <v>39604</v>
      </c>
      <c r="L9998" t="s">
        <v>35</v>
      </c>
      <c r="M9998" t="s">
        <v>75</v>
      </c>
      <c r="W9998" t="s">
        <v>41477</v>
      </c>
      <c r="X9998" t="s">
        <v>41478</v>
      </c>
      <c r="Y9998" t="s">
        <v>87</v>
      </c>
      <c r="Z9998" t="s">
        <v>77</v>
      </c>
      <c r="AA9998" t="str">
        <f>"11201-5240"</f>
        <v>11201-5240</v>
      </c>
      <c r="AB9998" t="s">
        <v>98</v>
      </c>
      <c r="AC9998" t="s">
        <v>79</v>
      </c>
      <c r="AD9998" t="s">
        <v>75</v>
      </c>
      <c r="AE9998" t="s">
        <v>80</v>
      </c>
      <c r="AG9998" t="s">
        <v>81</v>
      </c>
    </row>
    <row r="9999" spans="1:33" x14ac:dyDescent="0.25">
      <c r="A9999" t="str">
        <f>"1518103043"</f>
        <v>1518103043</v>
      </c>
      <c r="B9999" t="str">
        <f>"00342461"</f>
        <v>00342461</v>
      </c>
      <c r="C9999" t="s">
        <v>39601</v>
      </c>
      <c r="D9999" t="s">
        <v>41479</v>
      </c>
      <c r="E9999" t="s">
        <v>41480</v>
      </c>
      <c r="G9999" t="s">
        <v>39602</v>
      </c>
      <c r="H9999" t="s">
        <v>39603</v>
      </c>
      <c r="J9999" t="s">
        <v>39604</v>
      </c>
      <c r="L9999" t="s">
        <v>102</v>
      </c>
      <c r="M9999" t="s">
        <v>85</v>
      </c>
      <c r="R9999" t="s">
        <v>41481</v>
      </c>
      <c r="W9999" t="s">
        <v>41480</v>
      </c>
      <c r="X9999" t="s">
        <v>41478</v>
      </c>
      <c r="Y9999" t="s">
        <v>87</v>
      </c>
      <c r="Z9999" t="s">
        <v>77</v>
      </c>
      <c r="AA9999" t="str">
        <f>"11201-5240"</f>
        <v>11201-5240</v>
      </c>
      <c r="AB9999" t="s">
        <v>133</v>
      </c>
      <c r="AC9999" t="s">
        <v>79</v>
      </c>
      <c r="AD9999" t="s">
        <v>75</v>
      </c>
      <c r="AE9999" t="s">
        <v>80</v>
      </c>
      <c r="AG9999" t="s">
        <v>81</v>
      </c>
    </row>
    <row r="10000" spans="1:33" x14ac:dyDescent="0.25">
      <c r="B10000" t="str">
        <f>"02256682"</f>
        <v>02256682</v>
      </c>
      <c r="C10000" t="s">
        <v>41482</v>
      </c>
      <c r="D10000" t="s">
        <v>41483</v>
      </c>
      <c r="E10000" t="s">
        <v>41484</v>
      </c>
      <c r="F10000">
        <v>112030172</v>
      </c>
      <c r="G10000" t="s">
        <v>37120</v>
      </c>
      <c r="H10000" t="s">
        <v>6801</v>
      </c>
      <c r="J10000" t="s">
        <v>7219</v>
      </c>
      <c r="L10000" t="s">
        <v>37</v>
      </c>
      <c r="M10000" t="s">
        <v>75</v>
      </c>
      <c r="W10000" t="s">
        <v>41484</v>
      </c>
      <c r="X10000" t="s">
        <v>110</v>
      </c>
      <c r="Y10000" t="s">
        <v>97</v>
      </c>
      <c r="Z10000" t="s">
        <v>77</v>
      </c>
      <c r="AA10000" t="str">
        <f>"10001-2320"</f>
        <v>10001-2320</v>
      </c>
      <c r="AB10000" t="s">
        <v>98</v>
      </c>
      <c r="AC10000" t="s">
        <v>79</v>
      </c>
      <c r="AD10000" t="s">
        <v>75</v>
      </c>
      <c r="AE10000" t="s">
        <v>80</v>
      </c>
      <c r="AG10000" t="s">
        <v>81</v>
      </c>
    </row>
    <row r="10001" spans="1:33" x14ac:dyDescent="0.25">
      <c r="B10001" t="str">
        <f>"02006128"</f>
        <v>02006128</v>
      </c>
      <c r="C10001" t="s">
        <v>41485</v>
      </c>
      <c r="D10001" t="s">
        <v>41486</v>
      </c>
      <c r="E10001" t="s">
        <v>41487</v>
      </c>
      <c r="F10001">
        <v>112030172</v>
      </c>
      <c r="G10001" t="s">
        <v>37120</v>
      </c>
      <c r="H10001" t="s">
        <v>6801</v>
      </c>
      <c r="J10001" t="s">
        <v>7219</v>
      </c>
      <c r="L10001" t="s">
        <v>102</v>
      </c>
      <c r="M10001" t="s">
        <v>75</v>
      </c>
      <c r="W10001" t="s">
        <v>41487</v>
      </c>
      <c r="Y10001" t="s">
        <v>97</v>
      </c>
      <c r="Z10001" t="s">
        <v>77</v>
      </c>
      <c r="AA10001" t="str">
        <f>"10001-2320"</f>
        <v>10001-2320</v>
      </c>
      <c r="AB10001" t="s">
        <v>98</v>
      </c>
      <c r="AC10001" t="s">
        <v>79</v>
      </c>
      <c r="AD10001" t="s">
        <v>75</v>
      </c>
      <c r="AE10001" t="s">
        <v>80</v>
      </c>
      <c r="AG10001" t="s">
        <v>81</v>
      </c>
    </row>
    <row r="10002" spans="1:33" x14ac:dyDescent="0.25">
      <c r="B10002" t="str">
        <f>"02596665"</f>
        <v>02596665</v>
      </c>
      <c r="C10002" t="s">
        <v>41488</v>
      </c>
      <c r="D10002" t="s">
        <v>41489</v>
      </c>
      <c r="E10002" t="s">
        <v>41490</v>
      </c>
      <c r="G10002" t="s">
        <v>37120</v>
      </c>
      <c r="H10002" t="s">
        <v>6801</v>
      </c>
      <c r="J10002" t="s">
        <v>7219</v>
      </c>
      <c r="L10002" t="s">
        <v>37</v>
      </c>
      <c r="M10002" t="s">
        <v>75</v>
      </c>
      <c r="W10002" t="s">
        <v>41490</v>
      </c>
      <c r="X10002" t="s">
        <v>41491</v>
      </c>
      <c r="Y10002" t="s">
        <v>97</v>
      </c>
      <c r="Z10002" t="s">
        <v>77</v>
      </c>
      <c r="AA10002" t="str">
        <f>"10001"</f>
        <v>10001</v>
      </c>
      <c r="AB10002" t="s">
        <v>98</v>
      </c>
      <c r="AC10002" t="s">
        <v>79</v>
      </c>
      <c r="AD10002" t="s">
        <v>75</v>
      </c>
      <c r="AE10002" t="s">
        <v>80</v>
      </c>
      <c r="AG10002" t="s">
        <v>81</v>
      </c>
    </row>
    <row r="10003" spans="1:33" x14ac:dyDescent="0.25">
      <c r="B10003" t="str">
        <f>"02600159"</f>
        <v>02600159</v>
      </c>
      <c r="C10003" t="s">
        <v>41492</v>
      </c>
      <c r="D10003" t="s">
        <v>41493</v>
      </c>
      <c r="E10003" t="s">
        <v>41494</v>
      </c>
      <c r="G10003" t="s">
        <v>37120</v>
      </c>
      <c r="H10003" t="s">
        <v>6801</v>
      </c>
      <c r="J10003" t="s">
        <v>7219</v>
      </c>
      <c r="L10003" t="s">
        <v>37</v>
      </c>
      <c r="M10003" t="s">
        <v>75</v>
      </c>
      <c r="W10003" t="s">
        <v>41494</v>
      </c>
      <c r="X10003" t="s">
        <v>2112</v>
      </c>
      <c r="Y10003" t="s">
        <v>97</v>
      </c>
      <c r="Z10003" t="s">
        <v>77</v>
      </c>
      <c r="AA10003" t="str">
        <f>"10011-5902"</f>
        <v>10011-5902</v>
      </c>
      <c r="AB10003" t="s">
        <v>98</v>
      </c>
      <c r="AC10003" t="s">
        <v>79</v>
      </c>
      <c r="AD10003" t="s">
        <v>75</v>
      </c>
      <c r="AE10003" t="s">
        <v>80</v>
      </c>
      <c r="AG10003" t="s">
        <v>81</v>
      </c>
    </row>
    <row r="10004" spans="1:33" x14ac:dyDescent="0.25">
      <c r="B10004" t="str">
        <f>"02169753"</f>
        <v>02169753</v>
      </c>
      <c r="C10004" t="s">
        <v>41495</v>
      </c>
      <c r="D10004" t="s">
        <v>41496</v>
      </c>
      <c r="E10004" t="s">
        <v>41497</v>
      </c>
      <c r="G10004" t="s">
        <v>37120</v>
      </c>
      <c r="H10004" t="s">
        <v>6801</v>
      </c>
      <c r="J10004" t="s">
        <v>7219</v>
      </c>
      <c r="L10004" t="s">
        <v>37</v>
      </c>
      <c r="M10004" t="s">
        <v>75</v>
      </c>
      <c r="W10004" t="s">
        <v>41497</v>
      </c>
      <c r="X10004" t="s">
        <v>41498</v>
      </c>
      <c r="Y10004" t="s">
        <v>97</v>
      </c>
      <c r="Z10004" t="s">
        <v>77</v>
      </c>
      <c r="AA10004" t="str">
        <f>"10001-2320"</f>
        <v>10001-2320</v>
      </c>
      <c r="AB10004" t="s">
        <v>98</v>
      </c>
      <c r="AC10004" t="s">
        <v>79</v>
      </c>
      <c r="AD10004" t="s">
        <v>75</v>
      </c>
      <c r="AE10004" t="s">
        <v>80</v>
      </c>
      <c r="AG10004" t="s">
        <v>81</v>
      </c>
    </row>
    <row r="10005" spans="1:33" x14ac:dyDescent="0.25">
      <c r="B10005" t="str">
        <f>"00310669"</f>
        <v>00310669</v>
      </c>
      <c r="C10005" t="s">
        <v>862</v>
      </c>
      <c r="D10005" t="s">
        <v>860</v>
      </c>
      <c r="E10005" t="s">
        <v>861</v>
      </c>
      <c r="L10005" t="s">
        <v>106</v>
      </c>
      <c r="M10005" t="s">
        <v>85</v>
      </c>
      <c r="W10005" t="s">
        <v>862</v>
      </c>
      <c r="X10005" t="s">
        <v>3844</v>
      </c>
      <c r="Y10005" t="s">
        <v>87</v>
      </c>
      <c r="Z10005" t="s">
        <v>77</v>
      </c>
      <c r="AA10005" t="str">
        <f>"11201-6048"</f>
        <v>11201-6048</v>
      </c>
      <c r="AB10005" t="s">
        <v>107</v>
      </c>
      <c r="AC10005" t="s">
        <v>79</v>
      </c>
      <c r="AD10005" t="s">
        <v>75</v>
      </c>
      <c r="AE10005" t="s">
        <v>80</v>
      </c>
      <c r="AG10005" t="s">
        <v>81</v>
      </c>
    </row>
    <row r="10006" spans="1:33" x14ac:dyDescent="0.25">
      <c r="B10006" t="str">
        <f>"01626686"</f>
        <v>01626686</v>
      </c>
      <c r="C10006" t="s">
        <v>39063</v>
      </c>
      <c r="D10006" t="s">
        <v>39062</v>
      </c>
      <c r="E10006" t="s">
        <v>39063</v>
      </c>
      <c r="L10006" t="s">
        <v>106</v>
      </c>
      <c r="M10006" t="s">
        <v>85</v>
      </c>
      <c r="W10006" t="s">
        <v>39063</v>
      </c>
      <c r="X10006" t="s">
        <v>39066</v>
      </c>
      <c r="Y10006" t="s">
        <v>141</v>
      </c>
      <c r="Z10006" t="s">
        <v>77</v>
      </c>
      <c r="AA10006" t="str">
        <f>"11377-4965"</f>
        <v>11377-4965</v>
      </c>
      <c r="AB10006" t="s">
        <v>107</v>
      </c>
      <c r="AC10006" t="s">
        <v>79</v>
      </c>
      <c r="AD10006" t="s">
        <v>75</v>
      </c>
      <c r="AE10006" t="s">
        <v>80</v>
      </c>
      <c r="AG10006" t="s">
        <v>81</v>
      </c>
    </row>
    <row r="10007" spans="1:33" x14ac:dyDescent="0.25">
      <c r="B10007" t="str">
        <f>"01710672"</f>
        <v>01710672</v>
      </c>
      <c r="C10007" t="s">
        <v>41499</v>
      </c>
      <c r="D10007" t="s">
        <v>39062</v>
      </c>
      <c r="E10007" t="s">
        <v>39063</v>
      </c>
      <c r="L10007" t="s">
        <v>106</v>
      </c>
      <c r="M10007" t="s">
        <v>85</v>
      </c>
      <c r="W10007" t="s">
        <v>41499</v>
      </c>
      <c r="X10007" t="s">
        <v>39066</v>
      </c>
      <c r="Y10007" t="s">
        <v>141</v>
      </c>
      <c r="Z10007" t="s">
        <v>77</v>
      </c>
      <c r="AA10007" t="str">
        <f>"11377-4965"</f>
        <v>11377-4965</v>
      </c>
      <c r="AB10007" t="s">
        <v>107</v>
      </c>
      <c r="AC10007" t="s">
        <v>79</v>
      </c>
      <c r="AD10007" t="s">
        <v>75</v>
      </c>
      <c r="AE10007" t="s">
        <v>80</v>
      </c>
      <c r="AG10007" t="s">
        <v>81</v>
      </c>
    </row>
    <row r="10008" spans="1:33" x14ac:dyDescent="0.25">
      <c r="B10008" t="str">
        <f>"02386881"</f>
        <v>02386881</v>
      </c>
      <c r="C10008" t="s">
        <v>41500</v>
      </c>
      <c r="D10008" t="s">
        <v>41501</v>
      </c>
      <c r="E10008" t="s">
        <v>41502</v>
      </c>
      <c r="F10008">
        <v>134038495</v>
      </c>
      <c r="G10008" t="s">
        <v>41503</v>
      </c>
      <c r="H10008" t="s">
        <v>41504</v>
      </c>
      <c r="J10008" t="s">
        <v>41505</v>
      </c>
      <c r="L10008" t="s">
        <v>37</v>
      </c>
      <c r="M10008" t="s">
        <v>85</v>
      </c>
      <c r="W10008" t="s">
        <v>41506</v>
      </c>
      <c r="X10008" t="s">
        <v>110</v>
      </c>
      <c r="Y10008" t="s">
        <v>97</v>
      </c>
      <c r="Z10008" t="s">
        <v>77</v>
      </c>
      <c r="AA10008" t="str">
        <f>"10031-2412"</f>
        <v>10031-2412</v>
      </c>
      <c r="AB10008" t="s">
        <v>98</v>
      </c>
      <c r="AC10008" t="s">
        <v>79</v>
      </c>
      <c r="AD10008" t="s">
        <v>75</v>
      </c>
      <c r="AE10008" t="s">
        <v>80</v>
      </c>
      <c r="AG10008" t="s">
        <v>81</v>
      </c>
    </row>
    <row r="10009" spans="1:33" x14ac:dyDescent="0.25">
      <c r="B10009" t="str">
        <f>"02257298"</f>
        <v>02257298</v>
      </c>
      <c r="C10009" t="s">
        <v>41507</v>
      </c>
      <c r="D10009" t="s">
        <v>41508</v>
      </c>
      <c r="E10009" t="s">
        <v>41509</v>
      </c>
      <c r="F10009">
        <v>112715916</v>
      </c>
      <c r="G10009" t="s">
        <v>41510</v>
      </c>
      <c r="H10009" t="s">
        <v>41511</v>
      </c>
      <c r="J10009" t="s">
        <v>41512</v>
      </c>
      <c r="L10009" t="s">
        <v>37</v>
      </c>
      <c r="M10009" t="s">
        <v>85</v>
      </c>
      <c r="W10009" t="s">
        <v>41509</v>
      </c>
      <c r="X10009" t="s">
        <v>1832</v>
      </c>
      <c r="Y10009" t="s">
        <v>87</v>
      </c>
      <c r="Z10009" t="s">
        <v>77</v>
      </c>
      <c r="AA10009" t="str">
        <f>"11228-1810"</f>
        <v>11228-1810</v>
      </c>
      <c r="AB10009" t="s">
        <v>98</v>
      </c>
      <c r="AC10009" t="s">
        <v>79</v>
      </c>
      <c r="AD10009" t="s">
        <v>75</v>
      </c>
      <c r="AE10009" t="s">
        <v>80</v>
      </c>
      <c r="AG10009" t="s">
        <v>81</v>
      </c>
    </row>
    <row r="10010" spans="1:33" x14ac:dyDescent="0.25">
      <c r="A10010" t="str">
        <f>"1821071333"</f>
        <v>1821071333</v>
      </c>
      <c r="B10010" t="str">
        <f>"01755077"</f>
        <v>01755077</v>
      </c>
      <c r="C10010" t="s">
        <v>13436</v>
      </c>
      <c r="D10010" t="s">
        <v>41513</v>
      </c>
      <c r="E10010" t="s">
        <v>41514</v>
      </c>
      <c r="L10010" t="s">
        <v>83</v>
      </c>
      <c r="M10010" t="s">
        <v>75</v>
      </c>
      <c r="R10010" t="s">
        <v>41515</v>
      </c>
      <c r="W10010" t="s">
        <v>41514</v>
      </c>
      <c r="X10010" t="s">
        <v>610</v>
      </c>
      <c r="Y10010" t="s">
        <v>87</v>
      </c>
      <c r="Z10010" t="s">
        <v>77</v>
      </c>
      <c r="AA10010" t="str">
        <f>"11203-2012"</f>
        <v>11203-2012</v>
      </c>
      <c r="AB10010" t="s">
        <v>78</v>
      </c>
      <c r="AC10010" t="s">
        <v>79</v>
      </c>
      <c r="AD10010" t="s">
        <v>75</v>
      </c>
      <c r="AE10010" t="s">
        <v>80</v>
      </c>
      <c r="AG10010" t="s">
        <v>81</v>
      </c>
    </row>
    <row r="10011" spans="1:33" x14ac:dyDescent="0.25">
      <c r="A10011" t="str">
        <f>"1932344520"</f>
        <v>1932344520</v>
      </c>
      <c r="C10011" t="s">
        <v>13436</v>
      </c>
      <c r="G10011" t="s">
        <v>41516</v>
      </c>
      <c r="K10011" t="s">
        <v>99</v>
      </c>
      <c r="L10011" t="s">
        <v>102</v>
      </c>
      <c r="M10011" t="s">
        <v>75</v>
      </c>
      <c r="R10011" t="s">
        <v>41517</v>
      </c>
      <c r="S10011" t="s">
        <v>41518</v>
      </c>
      <c r="T10011" t="s">
        <v>97</v>
      </c>
      <c r="U10011" t="s">
        <v>77</v>
      </c>
      <c r="V10011" t="str">
        <f>"100296501"</f>
        <v>100296501</v>
      </c>
      <c r="AC10011" t="s">
        <v>79</v>
      </c>
      <c r="AD10011" t="s">
        <v>75</v>
      </c>
      <c r="AE10011" t="s">
        <v>103</v>
      </c>
      <c r="AG10011" t="s">
        <v>81</v>
      </c>
    </row>
    <row r="10012" spans="1:33" x14ac:dyDescent="0.25">
      <c r="A10012" t="str">
        <f>"1932369816"</f>
        <v>1932369816</v>
      </c>
      <c r="B10012" t="str">
        <f>"03116552"</f>
        <v>03116552</v>
      </c>
      <c r="C10012" t="s">
        <v>13436</v>
      </c>
      <c r="D10012" t="s">
        <v>41519</v>
      </c>
      <c r="E10012" t="s">
        <v>41520</v>
      </c>
      <c r="L10012" t="s">
        <v>74</v>
      </c>
      <c r="M10012" t="s">
        <v>85</v>
      </c>
      <c r="R10012" t="s">
        <v>41520</v>
      </c>
      <c r="W10012" t="s">
        <v>41520</v>
      </c>
      <c r="X10012" t="s">
        <v>31459</v>
      </c>
      <c r="Y10012" t="s">
        <v>97</v>
      </c>
      <c r="Z10012" t="s">
        <v>77</v>
      </c>
      <c r="AA10012" t="str">
        <f>"10029-6501"</f>
        <v>10029-6501</v>
      </c>
      <c r="AB10012" t="s">
        <v>78</v>
      </c>
      <c r="AC10012" t="s">
        <v>79</v>
      </c>
      <c r="AD10012" t="s">
        <v>75</v>
      </c>
      <c r="AE10012" t="s">
        <v>80</v>
      </c>
      <c r="AG10012" t="s">
        <v>81</v>
      </c>
    </row>
    <row r="10013" spans="1:33" x14ac:dyDescent="0.25">
      <c r="A10013" t="str">
        <f>"1770770141"</f>
        <v>1770770141</v>
      </c>
      <c r="B10013" t="str">
        <f>"02936276"</f>
        <v>02936276</v>
      </c>
      <c r="C10013" t="s">
        <v>13436</v>
      </c>
      <c r="D10013" t="s">
        <v>41521</v>
      </c>
      <c r="E10013" t="s">
        <v>41522</v>
      </c>
      <c r="L10013" t="s">
        <v>102</v>
      </c>
      <c r="M10013" t="s">
        <v>75</v>
      </c>
      <c r="R10013" t="s">
        <v>41523</v>
      </c>
      <c r="W10013" t="s">
        <v>41522</v>
      </c>
      <c r="X10013" t="s">
        <v>225</v>
      </c>
      <c r="Y10013" t="s">
        <v>131</v>
      </c>
      <c r="Z10013" t="s">
        <v>77</v>
      </c>
      <c r="AA10013" t="str">
        <f>"10457-2545"</f>
        <v>10457-2545</v>
      </c>
      <c r="AB10013" t="s">
        <v>78</v>
      </c>
      <c r="AC10013" t="s">
        <v>79</v>
      </c>
      <c r="AD10013" t="s">
        <v>75</v>
      </c>
      <c r="AE10013" t="s">
        <v>80</v>
      </c>
      <c r="AG10013" t="s">
        <v>81</v>
      </c>
    </row>
    <row r="10014" spans="1:33" x14ac:dyDescent="0.25">
      <c r="A10014" t="str">
        <f>"1770781171"</f>
        <v>1770781171</v>
      </c>
      <c r="B10014" t="str">
        <f>"03268944"</f>
        <v>03268944</v>
      </c>
      <c r="C10014" t="s">
        <v>13436</v>
      </c>
      <c r="D10014" t="s">
        <v>41524</v>
      </c>
      <c r="E10014" t="s">
        <v>41525</v>
      </c>
      <c r="G10014" t="s">
        <v>41526</v>
      </c>
      <c r="L10014" t="s">
        <v>83</v>
      </c>
      <c r="M10014" t="s">
        <v>75</v>
      </c>
      <c r="R10014" t="s">
        <v>41527</v>
      </c>
      <c r="W10014" t="s">
        <v>41525</v>
      </c>
      <c r="X10014" t="s">
        <v>181</v>
      </c>
      <c r="Y10014" t="s">
        <v>97</v>
      </c>
      <c r="Z10014" t="s">
        <v>77</v>
      </c>
      <c r="AA10014" t="str">
        <f>"10025-1716"</f>
        <v>10025-1716</v>
      </c>
      <c r="AB10014" t="s">
        <v>78</v>
      </c>
      <c r="AC10014" t="s">
        <v>79</v>
      </c>
      <c r="AD10014" t="s">
        <v>75</v>
      </c>
      <c r="AE10014" t="s">
        <v>80</v>
      </c>
      <c r="AG10014" t="s">
        <v>81</v>
      </c>
    </row>
    <row r="10015" spans="1:33" x14ac:dyDescent="0.25">
      <c r="A10015" t="str">
        <f>"1770807794"</f>
        <v>1770807794</v>
      </c>
      <c r="B10015" t="str">
        <f>"04523011"</f>
        <v>04523011</v>
      </c>
      <c r="C10015" t="s">
        <v>13436</v>
      </c>
      <c r="D10015" t="s">
        <v>41528</v>
      </c>
      <c r="E10015" t="s">
        <v>41529</v>
      </c>
      <c r="L10015" t="s">
        <v>102</v>
      </c>
      <c r="M10015" t="s">
        <v>75</v>
      </c>
      <c r="R10015" t="s">
        <v>41530</v>
      </c>
      <c r="W10015" t="s">
        <v>41529</v>
      </c>
      <c r="AB10015" t="s">
        <v>78</v>
      </c>
      <c r="AC10015" t="s">
        <v>79</v>
      </c>
      <c r="AD10015" t="s">
        <v>75</v>
      </c>
      <c r="AE10015" t="s">
        <v>80</v>
      </c>
      <c r="AG10015" t="s">
        <v>81</v>
      </c>
    </row>
    <row r="10016" spans="1:33" x14ac:dyDescent="0.25">
      <c r="A10016" t="str">
        <f>"1770809097"</f>
        <v>1770809097</v>
      </c>
      <c r="B10016" t="str">
        <f>"03675523"</f>
        <v>03675523</v>
      </c>
      <c r="C10016" t="s">
        <v>13436</v>
      </c>
      <c r="D10016" t="s">
        <v>41531</v>
      </c>
      <c r="E10016" t="s">
        <v>41532</v>
      </c>
      <c r="G10016" t="s">
        <v>41533</v>
      </c>
      <c r="L10016" t="s">
        <v>105</v>
      </c>
      <c r="M10016" t="s">
        <v>75</v>
      </c>
      <c r="R10016" t="s">
        <v>41534</v>
      </c>
      <c r="W10016" t="s">
        <v>41532</v>
      </c>
      <c r="X10016" t="s">
        <v>41535</v>
      </c>
      <c r="Y10016" t="s">
        <v>97</v>
      </c>
      <c r="Z10016" t="s">
        <v>77</v>
      </c>
      <c r="AA10016" t="str">
        <f>"10029-6928"</f>
        <v>10029-6928</v>
      </c>
      <c r="AB10016" t="s">
        <v>78</v>
      </c>
      <c r="AC10016" t="s">
        <v>79</v>
      </c>
      <c r="AD10016" t="s">
        <v>75</v>
      </c>
      <c r="AE10016" t="s">
        <v>80</v>
      </c>
      <c r="AG10016" t="s">
        <v>81</v>
      </c>
    </row>
    <row r="10017" spans="1:33" x14ac:dyDescent="0.25">
      <c r="A10017" t="str">
        <f>"1770840209"</f>
        <v>1770840209</v>
      </c>
      <c r="B10017" t="str">
        <f>"04134396"</f>
        <v>04134396</v>
      </c>
      <c r="C10017" t="s">
        <v>13436</v>
      </c>
      <c r="D10017" t="s">
        <v>41536</v>
      </c>
      <c r="E10017" t="s">
        <v>41537</v>
      </c>
      <c r="L10017" t="s">
        <v>74</v>
      </c>
      <c r="M10017" t="s">
        <v>75</v>
      </c>
      <c r="R10017" t="s">
        <v>41538</v>
      </c>
      <c r="W10017" t="s">
        <v>41539</v>
      </c>
      <c r="X10017" t="s">
        <v>3749</v>
      </c>
      <c r="Y10017" t="s">
        <v>227</v>
      </c>
      <c r="Z10017" t="s">
        <v>77</v>
      </c>
      <c r="AA10017" t="str">
        <f>"10601-4607"</f>
        <v>10601-4607</v>
      </c>
      <c r="AB10017" t="s">
        <v>78</v>
      </c>
      <c r="AC10017" t="s">
        <v>79</v>
      </c>
      <c r="AD10017" t="s">
        <v>75</v>
      </c>
      <c r="AE10017" t="s">
        <v>80</v>
      </c>
      <c r="AG10017" t="s">
        <v>81</v>
      </c>
    </row>
    <row r="10018" spans="1:33" x14ac:dyDescent="0.25">
      <c r="A10018" t="str">
        <f>"1770849879"</f>
        <v>1770849879</v>
      </c>
      <c r="C10018" t="s">
        <v>13436</v>
      </c>
      <c r="K10018" t="s">
        <v>99</v>
      </c>
      <c r="L10018" t="s">
        <v>102</v>
      </c>
      <c r="M10018" t="s">
        <v>75</v>
      </c>
      <c r="R10018" t="s">
        <v>41540</v>
      </c>
      <c r="S10018" t="s">
        <v>41541</v>
      </c>
      <c r="T10018" t="s">
        <v>97</v>
      </c>
      <c r="U10018" t="s">
        <v>77</v>
      </c>
      <c r="V10018" t="str">
        <f>"100191147"</f>
        <v>100191147</v>
      </c>
      <c r="AC10018" t="s">
        <v>79</v>
      </c>
      <c r="AD10018" t="s">
        <v>75</v>
      </c>
      <c r="AE10018" t="s">
        <v>103</v>
      </c>
      <c r="AG10018" t="s">
        <v>81</v>
      </c>
    </row>
    <row r="10019" spans="1:33" x14ac:dyDescent="0.25">
      <c r="A10019" t="str">
        <f>"1770852410"</f>
        <v>1770852410</v>
      </c>
      <c r="C10019" t="s">
        <v>13436</v>
      </c>
      <c r="K10019" t="s">
        <v>99</v>
      </c>
      <c r="L10019" t="s">
        <v>102</v>
      </c>
      <c r="M10019" t="s">
        <v>75</v>
      </c>
      <c r="R10019" t="s">
        <v>41542</v>
      </c>
      <c r="S10019" t="s">
        <v>41543</v>
      </c>
      <c r="T10019" t="s">
        <v>1746</v>
      </c>
      <c r="U10019" t="s">
        <v>351</v>
      </c>
      <c r="V10019" t="str">
        <f>"331345304"</f>
        <v>331345304</v>
      </c>
      <c r="AC10019" t="s">
        <v>79</v>
      </c>
      <c r="AD10019" t="s">
        <v>75</v>
      </c>
      <c r="AE10019" t="s">
        <v>103</v>
      </c>
      <c r="AG10019" t="s">
        <v>81</v>
      </c>
    </row>
    <row r="10020" spans="1:33" x14ac:dyDescent="0.25">
      <c r="A10020" t="str">
        <f>"1699842070"</f>
        <v>1699842070</v>
      </c>
      <c r="B10020" t="str">
        <f>"00356881"</f>
        <v>00356881</v>
      </c>
      <c r="C10020" t="s">
        <v>38554</v>
      </c>
      <c r="D10020" t="s">
        <v>41544</v>
      </c>
      <c r="E10020" t="s">
        <v>41545</v>
      </c>
      <c r="F10020">
        <v>135562186</v>
      </c>
      <c r="G10020" t="s">
        <v>38557</v>
      </c>
      <c r="H10020" t="s">
        <v>1148</v>
      </c>
      <c r="J10020" t="s">
        <v>38558</v>
      </c>
      <c r="L10020" t="s">
        <v>37</v>
      </c>
      <c r="M10020" t="s">
        <v>85</v>
      </c>
      <c r="R10020" t="s">
        <v>38559</v>
      </c>
      <c r="W10020" t="s">
        <v>41545</v>
      </c>
      <c r="X10020" t="s">
        <v>41546</v>
      </c>
      <c r="Y10020" t="s">
        <v>97</v>
      </c>
      <c r="Z10020" t="s">
        <v>77</v>
      </c>
      <c r="AA10020" t="str">
        <f>"10036-6302"</f>
        <v>10036-6302</v>
      </c>
      <c r="AB10020" t="s">
        <v>107</v>
      </c>
      <c r="AC10020" t="s">
        <v>79</v>
      </c>
      <c r="AD10020" t="s">
        <v>75</v>
      </c>
      <c r="AE10020" t="s">
        <v>80</v>
      </c>
      <c r="AG10020" t="s">
        <v>81</v>
      </c>
    </row>
    <row r="10021" spans="1:33" x14ac:dyDescent="0.25">
      <c r="A10021" t="str">
        <f>"1215004353"</f>
        <v>1215004353</v>
      </c>
      <c r="B10021" t="str">
        <f>"00356905"</f>
        <v>00356905</v>
      </c>
      <c r="C10021" t="s">
        <v>38554</v>
      </c>
      <c r="D10021" t="s">
        <v>41547</v>
      </c>
      <c r="E10021" t="s">
        <v>41548</v>
      </c>
      <c r="F10021">
        <v>135562186</v>
      </c>
      <c r="G10021" t="s">
        <v>38557</v>
      </c>
      <c r="H10021" t="s">
        <v>1148</v>
      </c>
      <c r="J10021" t="s">
        <v>38558</v>
      </c>
      <c r="L10021" t="s">
        <v>37</v>
      </c>
      <c r="M10021" t="s">
        <v>85</v>
      </c>
      <c r="R10021" t="s">
        <v>38559</v>
      </c>
      <c r="W10021" t="s">
        <v>41548</v>
      </c>
      <c r="X10021" t="s">
        <v>41549</v>
      </c>
      <c r="Y10021" t="s">
        <v>97</v>
      </c>
      <c r="Z10021" t="s">
        <v>77</v>
      </c>
      <c r="AA10021" t="str">
        <f>"10034-2763"</f>
        <v>10034-2763</v>
      </c>
      <c r="AB10021" t="s">
        <v>107</v>
      </c>
      <c r="AC10021" t="s">
        <v>79</v>
      </c>
      <c r="AD10021" t="s">
        <v>75</v>
      </c>
      <c r="AE10021" t="s">
        <v>80</v>
      </c>
      <c r="AG10021" t="s">
        <v>81</v>
      </c>
    </row>
    <row r="10022" spans="1:33" x14ac:dyDescent="0.25">
      <c r="A10022" t="str">
        <f>"1316014475"</f>
        <v>1316014475</v>
      </c>
      <c r="B10022" t="str">
        <f>"00357460"</f>
        <v>00357460</v>
      </c>
      <c r="C10022" t="s">
        <v>38554</v>
      </c>
      <c r="D10022" t="s">
        <v>41550</v>
      </c>
      <c r="E10022" t="s">
        <v>41551</v>
      </c>
      <c r="F10022">
        <v>135562186</v>
      </c>
      <c r="G10022" t="s">
        <v>38557</v>
      </c>
      <c r="H10022" t="s">
        <v>1148</v>
      </c>
      <c r="J10022" t="s">
        <v>38558</v>
      </c>
      <c r="L10022" t="s">
        <v>37</v>
      </c>
      <c r="M10022" t="s">
        <v>85</v>
      </c>
      <c r="R10022" t="s">
        <v>38559</v>
      </c>
      <c r="W10022" t="s">
        <v>41551</v>
      </c>
      <c r="X10022" t="s">
        <v>41552</v>
      </c>
      <c r="Y10022" t="s">
        <v>131</v>
      </c>
      <c r="Z10022" t="s">
        <v>77</v>
      </c>
      <c r="AA10022" t="str">
        <f>"10458-1502"</f>
        <v>10458-1502</v>
      </c>
      <c r="AB10022" t="s">
        <v>107</v>
      </c>
      <c r="AC10022" t="s">
        <v>79</v>
      </c>
      <c r="AD10022" t="s">
        <v>75</v>
      </c>
      <c r="AE10022" t="s">
        <v>80</v>
      </c>
      <c r="AG10022" t="s">
        <v>81</v>
      </c>
    </row>
    <row r="10023" spans="1:33" x14ac:dyDescent="0.25">
      <c r="A10023" t="str">
        <f>"1760826218"</f>
        <v>1760826218</v>
      </c>
      <c r="C10023" t="s">
        <v>13436</v>
      </c>
      <c r="K10023" t="s">
        <v>99</v>
      </c>
      <c r="L10023" t="s">
        <v>102</v>
      </c>
      <c r="M10023" t="s">
        <v>75</v>
      </c>
      <c r="R10023" t="s">
        <v>41553</v>
      </c>
      <c r="S10023" t="s">
        <v>13052</v>
      </c>
      <c r="T10023" t="s">
        <v>97</v>
      </c>
      <c r="U10023" t="s">
        <v>77</v>
      </c>
      <c r="V10023" t="str">
        <f>"100251716"</f>
        <v>100251716</v>
      </c>
      <c r="AC10023" t="s">
        <v>79</v>
      </c>
      <c r="AD10023" t="s">
        <v>75</v>
      </c>
      <c r="AE10023" t="s">
        <v>103</v>
      </c>
      <c r="AG10023" t="s">
        <v>81</v>
      </c>
    </row>
    <row r="10024" spans="1:33" x14ac:dyDescent="0.25">
      <c r="A10024" t="str">
        <f>"1760828016"</f>
        <v>1760828016</v>
      </c>
      <c r="C10024" t="s">
        <v>13436</v>
      </c>
      <c r="K10024" t="s">
        <v>99</v>
      </c>
      <c r="L10024" t="s">
        <v>102</v>
      </c>
      <c r="M10024" t="s">
        <v>75</v>
      </c>
      <c r="R10024" t="s">
        <v>41554</v>
      </c>
      <c r="S10024" t="s">
        <v>41555</v>
      </c>
      <c r="T10024" t="s">
        <v>41556</v>
      </c>
      <c r="U10024" t="s">
        <v>156</v>
      </c>
      <c r="V10024" t="str">
        <f>"07753"</f>
        <v>07753</v>
      </c>
      <c r="AC10024" t="s">
        <v>79</v>
      </c>
      <c r="AD10024" t="s">
        <v>75</v>
      </c>
      <c r="AE10024" t="s">
        <v>103</v>
      </c>
      <c r="AG10024" t="s">
        <v>81</v>
      </c>
    </row>
    <row r="10025" spans="1:33" x14ac:dyDescent="0.25">
      <c r="A10025" t="str">
        <f>"1770507543"</f>
        <v>1770507543</v>
      </c>
      <c r="C10025" t="s">
        <v>13436</v>
      </c>
      <c r="G10025" t="s">
        <v>41557</v>
      </c>
      <c r="K10025" t="s">
        <v>99</v>
      </c>
      <c r="L10025" t="s">
        <v>102</v>
      </c>
      <c r="M10025" t="s">
        <v>75</v>
      </c>
      <c r="R10025" t="s">
        <v>41558</v>
      </c>
      <c r="S10025" t="s">
        <v>11254</v>
      </c>
      <c r="T10025" t="s">
        <v>131</v>
      </c>
      <c r="U10025" t="s">
        <v>77</v>
      </c>
      <c r="V10025" t="str">
        <f>"104683904"</f>
        <v>104683904</v>
      </c>
      <c r="AC10025" t="s">
        <v>79</v>
      </c>
      <c r="AD10025" t="s">
        <v>75</v>
      </c>
      <c r="AE10025" t="s">
        <v>103</v>
      </c>
      <c r="AG10025" t="s">
        <v>81</v>
      </c>
    </row>
    <row r="10026" spans="1:33" x14ac:dyDescent="0.25">
      <c r="A10026" t="str">
        <f>"1730402702"</f>
        <v>1730402702</v>
      </c>
      <c r="B10026" t="str">
        <f>"03522465"</f>
        <v>03522465</v>
      </c>
      <c r="C10026" t="s">
        <v>13436</v>
      </c>
      <c r="D10026" t="s">
        <v>41559</v>
      </c>
      <c r="E10026" t="s">
        <v>41560</v>
      </c>
      <c r="G10026" t="s">
        <v>41561</v>
      </c>
      <c r="L10026" t="s">
        <v>83</v>
      </c>
      <c r="M10026" t="s">
        <v>85</v>
      </c>
      <c r="R10026" t="s">
        <v>41562</v>
      </c>
      <c r="W10026" t="s">
        <v>41563</v>
      </c>
      <c r="X10026" t="s">
        <v>11945</v>
      </c>
      <c r="Y10026" t="s">
        <v>2128</v>
      </c>
      <c r="Z10026" t="s">
        <v>77</v>
      </c>
      <c r="AA10026" t="str">
        <f>"11743-2779"</f>
        <v>11743-2779</v>
      </c>
      <c r="AB10026" t="s">
        <v>78</v>
      </c>
      <c r="AC10026" t="s">
        <v>79</v>
      </c>
      <c r="AD10026" t="s">
        <v>75</v>
      </c>
      <c r="AE10026" t="s">
        <v>80</v>
      </c>
      <c r="AG10026" t="s">
        <v>81</v>
      </c>
    </row>
    <row r="10027" spans="1:33" x14ac:dyDescent="0.25">
      <c r="A10027" t="str">
        <f>"1780969790"</f>
        <v>1780969790</v>
      </c>
      <c r="B10027" t="str">
        <f>"03949575"</f>
        <v>03949575</v>
      </c>
      <c r="C10027" t="s">
        <v>13436</v>
      </c>
      <c r="D10027" t="s">
        <v>41564</v>
      </c>
      <c r="E10027" t="s">
        <v>41565</v>
      </c>
      <c r="G10027" t="s">
        <v>41566</v>
      </c>
      <c r="L10027" t="s">
        <v>83</v>
      </c>
      <c r="M10027" t="s">
        <v>85</v>
      </c>
      <c r="R10027" t="s">
        <v>9370</v>
      </c>
      <c r="W10027" t="s">
        <v>9369</v>
      </c>
      <c r="X10027" t="s">
        <v>225</v>
      </c>
      <c r="Y10027" t="s">
        <v>131</v>
      </c>
      <c r="Z10027" t="s">
        <v>77</v>
      </c>
      <c r="AA10027" t="str">
        <f>"10457-2545"</f>
        <v>10457-2545</v>
      </c>
      <c r="AB10027" t="s">
        <v>78</v>
      </c>
      <c r="AC10027" t="s">
        <v>79</v>
      </c>
      <c r="AD10027" t="s">
        <v>75</v>
      </c>
      <c r="AE10027" t="s">
        <v>80</v>
      </c>
      <c r="AG10027" t="s">
        <v>81</v>
      </c>
    </row>
    <row r="10028" spans="1:33" x14ac:dyDescent="0.25">
      <c r="A10028" t="str">
        <f>"1790003473"</f>
        <v>1790003473</v>
      </c>
      <c r="B10028" t="str">
        <f>"03573599"</f>
        <v>03573599</v>
      </c>
      <c r="C10028" t="s">
        <v>13436</v>
      </c>
      <c r="D10028" t="s">
        <v>41567</v>
      </c>
      <c r="E10028" t="s">
        <v>41568</v>
      </c>
      <c r="L10028" t="s">
        <v>84</v>
      </c>
      <c r="M10028" t="s">
        <v>85</v>
      </c>
      <c r="R10028" t="s">
        <v>41569</v>
      </c>
      <c r="W10028" t="s">
        <v>41568</v>
      </c>
      <c r="X10028" t="s">
        <v>11073</v>
      </c>
      <c r="Y10028" t="s">
        <v>97</v>
      </c>
      <c r="Z10028" t="s">
        <v>77</v>
      </c>
      <c r="AA10028" t="str">
        <f>"10029-6500"</f>
        <v>10029-6500</v>
      </c>
      <c r="AB10028" t="s">
        <v>78</v>
      </c>
      <c r="AC10028" t="s">
        <v>79</v>
      </c>
      <c r="AD10028" t="s">
        <v>75</v>
      </c>
      <c r="AE10028" t="s">
        <v>80</v>
      </c>
      <c r="AG10028" t="s">
        <v>81</v>
      </c>
    </row>
    <row r="10029" spans="1:33" x14ac:dyDescent="0.25">
      <c r="A10029" t="str">
        <f>"1790059095"</f>
        <v>1790059095</v>
      </c>
      <c r="B10029" t="str">
        <f>"04075458"</f>
        <v>04075458</v>
      </c>
      <c r="C10029" t="s">
        <v>13436</v>
      </c>
      <c r="D10029" t="s">
        <v>41570</v>
      </c>
      <c r="E10029" t="s">
        <v>41571</v>
      </c>
      <c r="G10029" t="s">
        <v>41572</v>
      </c>
      <c r="L10029" t="s">
        <v>74</v>
      </c>
      <c r="M10029" t="s">
        <v>75</v>
      </c>
      <c r="R10029" t="s">
        <v>41573</v>
      </c>
      <c r="W10029" t="s">
        <v>41571</v>
      </c>
      <c r="X10029" t="s">
        <v>181</v>
      </c>
      <c r="Y10029" t="s">
        <v>97</v>
      </c>
      <c r="Z10029" t="s">
        <v>77</v>
      </c>
      <c r="AA10029" t="str">
        <f>"10025-1716"</f>
        <v>10025-1716</v>
      </c>
      <c r="AB10029" t="s">
        <v>82</v>
      </c>
      <c r="AC10029" t="s">
        <v>79</v>
      </c>
      <c r="AD10029" t="s">
        <v>75</v>
      </c>
      <c r="AE10029" t="s">
        <v>80</v>
      </c>
      <c r="AG10029" t="s">
        <v>81</v>
      </c>
    </row>
    <row r="10030" spans="1:33" x14ac:dyDescent="0.25">
      <c r="A10030" t="str">
        <f>"1790074748"</f>
        <v>1790074748</v>
      </c>
      <c r="C10030" t="s">
        <v>13436</v>
      </c>
      <c r="K10030" t="s">
        <v>99</v>
      </c>
      <c r="L10030" t="s">
        <v>102</v>
      </c>
      <c r="M10030" t="s">
        <v>75</v>
      </c>
      <c r="R10030" t="s">
        <v>41574</v>
      </c>
      <c r="S10030" t="s">
        <v>41575</v>
      </c>
      <c r="T10030" t="s">
        <v>97</v>
      </c>
      <c r="U10030" t="s">
        <v>77</v>
      </c>
      <c r="V10030" t="str">
        <f>"10029"</f>
        <v>10029</v>
      </c>
      <c r="AC10030" t="s">
        <v>79</v>
      </c>
      <c r="AD10030" t="s">
        <v>75</v>
      </c>
      <c r="AE10030" t="s">
        <v>103</v>
      </c>
      <c r="AG10030" t="s">
        <v>81</v>
      </c>
    </row>
    <row r="10031" spans="1:33" x14ac:dyDescent="0.25">
      <c r="A10031" t="str">
        <f>"1790129542"</f>
        <v>1790129542</v>
      </c>
      <c r="C10031" t="s">
        <v>13436</v>
      </c>
      <c r="K10031" t="s">
        <v>99</v>
      </c>
      <c r="L10031" t="s">
        <v>102</v>
      </c>
      <c r="M10031" t="s">
        <v>75</v>
      </c>
      <c r="R10031" t="s">
        <v>41576</v>
      </c>
      <c r="S10031" t="s">
        <v>14915</v>
      </c>
      <c r="T10031" t="s">
        <v>97</v>
      </c>
      <c r="U10031" t="s">
        <v>77</v>
      </c>
      <c r="V10031" t="str">
        <f>"100032925"</f>
        <v>100032925</v>
      </c>
      <c r="AC10031" t="s">
        <v>79</v>
      </c>
      <c r="AD10031" t="s">
        <v>75</v>
      </c>
      <c r="AE10031" t="s">
        <v>103</v>
      </c>
      <c r="AG10031" t="s">
        <v>81</v>
      </c>
    </row>
    <row r="10032" spans="1:33" x14ac:dyDescent="0.25">
      <c r="A10032" t="str">
        <f>"1790703346"</f>
        <v>1790703346</v>
      </c>
      <c r="B10032" t="str">
        <f>"01429529"</f>
        <v>01429529</v>
      </c>
      <c r="C10032" t="s">
        <v>13436</v>
      </c>
      <c r="D10032" t="s">
        <v>41577</v>
      </c>
      <c r="E10032" t="s">
        <v>41578</v>
      </c>
      <c r="L10032" t="s">
        <v>83</v>
      </c>
      <c r="M10032" t="s">
        <v>85</v>
      </c>
      <c r="R10032" t="s">
        <v>41579</v>
      </c>
      <c r="W10032" t="s">
        <v>41578</v>
      </c>
      <c r="X10032" t="s">
        <v>41580</v>
      </c>
      <c r="Y10032" t="s">
        <v>97</v>
      </c>
      <c r="Z10032" t="s">
        <v>77</v>
      </c>
      <c r="AA10032" t="str">
        <f>"10029-6501"</f>
        <v>10029-6501</v>
      </c>
      <c r="AB10032" t="s">
        <v>78</v>
      </c>
      <c r="AC10032" t="s">
        <v>79</v>
      </c>
      <c r="AD10032" t="s">
        <v>75</v>
      </c>
      <c r="AE10032" t="s">
        <v>80</v>
      </c>
      <c r="AG10032" t="s">
        <v>81</v>
      </c>
    </row>
    <row r="10033" spans="1:33" x14ac:dyDescent="0.25">
      <c r="A10033" t="str">
        <f>"1710036546"</f>
        <v>1710036546</v>
      </c>
      <c r="B10033" t="str">
        <f>"02189682"</f>
        <v>02189682</v>
      </c>
      <c r="C10033" t="s">
        <v>3210</v>
      </c>
      <c r="D10033" t="s">
        <v>41581</v>
      </c>
      <c r="E10033" t="s">
        <v>41582</v>
      </c>
      <c r="G10033" t="s">
        <v>41583</v>
      </c>
      <c r="H10033" t="s">
        <v>41584</v>
      </c>
      <c r="J10033" t="s">
        <v>41585</v>
      </c>
      <c r="L10033" t="s">
        <v>35</v>
      </c>
      <c r="M10033" t="s">
        <v>85</v>
      </c>
      <c r="R10033" t="s">
        <v>3215</v>
      </c>
      <c r="W10033" t="s">
        <v>41582</v>
      </c>
      <c r="X10033" t="s">
        <v>41586</v>
      </c>
      <c r="Y10033" t="s">
        <v>97</v>
      </c>
      <c r="Z10033" t="s">
        <v>77</v>
      </c>
      <c r="AA10033" t="str">
        <f>"10010-1899"</f>
        <v>10010-1899</v>
      </c>
      <c r="AB10033" t="s">
        <v>98</v>
      </c>
      <c r="AC10033" t="s">
        <v>79</v>
      </c>
      <c r="AD10033" t="s">
        <v>75</v>
      </c>
      <c r="AE10033" t="s">
        <v>80</v>
      </c>
      <c r="AG10033" t="s">
        <v>81</v>
      </c>
    </row>
    <row r="10034" spans="1:33" x14ac:dyDescent="0.25">
      <c r="A10034" t="str">
        <f>"1790852259"</f>
        <v>1790852259</v>
      </c>
      <c r="B10034" t="str">
        <f>"01962330"</f>
        <v>01962330</v>
      </c>
      <c r="C10034" t="s">
        <v>41587</v>
      </c>
      <c r="D10034" t="s">
        <v>459</v>
      </c>
      <c r="E10034" t="s">
        <v>458</v>
      </c>
      <c r="F10034">
        <v>112482974</v>
      </c>
      <c r="G10034" t="s">
        <v>3522</v>
      </c>
      <c r="H10034" t="s">
        <v>460</v>
      </c>
      <c r="J10034" t="s">
        <v>41588</v>
      </c>
      <c r="L10034" t="s">
        <v>189</v>
      </c>
      <c r="M10034" t="s">
        <v>85</v>
      </c>
      <c r="R10034" t="s">
        <v>461</v>
      </c>
      <c r="W10034" t="s">
        <v>462</v>
      </c>
      <c r="X10034" t="s">
        <v>463</v>
      </c>
      <c r="Y10034" t="s">
        <v>464</v>
      </c>
      <c r="Z10034" t="s">
        <v>77</v>
      </c>
      <c r="AA10034" t="str">
        <f>"11411-1927"</f>
        <v>11411-1927</v>
      </c>
      <c r="AB10034" t="s">
        <v>93</v>
      </c>
      <c r="AC10034" t="s">
        <v>79</v>
      </c>
      <c r="AD10034" t="s">
        <v>75</v>
      </c>
      <c r="AE10034" t="s">
        <v>80</v>
      </c>
      <c r="AG10034" t="s">
        <v>81</v>
      </c>
    </row>
    <row r="10035" spans="1:33" x14ac:dyDescent="0.25">
      <c r="A10035" t="str">
        <f>"1790879146"</f>
        <v>1790879146</v>
      </c>
      <c r="B10035" t="str">
        <f>"00313548"</f>
        <v>00313548</v>
      </c>
      <c r="C10035" t="s">
        <v>41589</v>
      </c>
      <c r="D10035" t="s">
        <v>3501</v>
      </c>
      <c r="E10035" t="s">
        <v>3502</v>
      </c>
      <c r="G10035" t="s">
        <v>41590</v>
      </c>
      <c r="H10035" t="s">
        <v>41591</v>
      </c>
      <c r="J10035" t="s">
        <v>3503</v>
      </c>
      <c r="L10035" t="s">
        <v>106</v>
      </c>
      <c r="M10035" t="s">
        <v>85</v>
      </c>
      <c r="R10035" t="s">
        <v>3504</v>
      </c>
      <c r="W10035" t="s">
        <v>3505</v>
      </c>
      <c r="X10035" t="s">
        <v>3506</v>
      </c>
      <c r="Y10035" t="s">
        <v>131</v>
      </c>
      <c r="Z10035" t="s">
        <v>77</v>
      </c>
      <c r="AA10035" t="str">
        <f>"10471-3919"</f>
        <v>10471-3919</v>
      </c>
      <c r="AB10035" t="s">
        <v>107</v>
      </c>
      <c r="AC10035" t="s">
        <v>79</v>
      </c>
      <c r="AD10035" t="s">
        <v>75</v>
      </c>
      <c r="AE10035" t="s">
        <v>80</v>
      </c>
      <c r="AG10035" t="s">
        <v>81</v>
      </c>
    </row>
    <row r="10036" spans="1:33" x14ac:dyDescent="0.25">
      <c r="A10036" t="str">
        <f>"1811005010"</f>
        <v>1811005010</v>
      </c>
      <c r="B10036" t="str">
        <f>"00312249"</f>
        <v>00312249</v>
      </c>
      <c r="C10036" t="s">
        <v>565</v>
      </c>
      <c r="D10036" t="s">
        <v>566</v>
      </c>
      <c r="E10036" t="s">
        <v>567</v>
      </c>
      <c r="G10036" t="s">
        <v>503</v>
      </c>
      <c r="H10036" t="s">
        <v>504</v>
      </c>
      <c r="J10036" t="s">
        <v>505</v>
      </c>
      <c r="L10036" t="s">
        <v>106</v>
      </c>
      <c r="M10036" t="s">
        <v>85</v>
      </c>
      <c r="R10036" t="s">
        <v>568</v>
      </c>
      <c r="W10036" t="s">
        <v>569</v>
      </c>
      <c r="X10036" t="s">
        <v>570</v>
      </c>
      <c r="Y10036" t="s">
        <v>131</v>
      </c>
      <c r="Z10036" t="s">
        <v>77</v>
      </c>
      <c r="AA10036" t="str">
        <f>"10468-4206"</f>
        <v>10468-4206</v>
      </c>
      <c r="AB10036" t="s">
        <v>107</v>
      </c>
      <c r="AC10036" t="s">
        <v>79</v>
      </c>
      <c r="AD10036" t="s">
        <v>75</v>
      </c>
      <c r="AE10036" t="s">
        <v>80</v>
      </c>
      <c r="AG10036" t="s">
        <v>81</v>
      </c>
    </row>
    <row r="10037" spans="1:33" x14ac:dyDescent="0.25">
      <c r="A10037" t="str">
        <f>"1821263633"</f>
        <v>1821263633</v>
      </c>
      <c r="B10037" t="str">
        <f>"02187286"</f>
        <v>02187286</v>
      </c>
      <c r="C10037" t="s">
        <v>41592</v>
      </c>
      <c r="D10037" t="s">
        <v>2871</v>
      </c>
      <c r="E10037" t="s">
        <v>2872</v>
      </c>
      <c r="G10037" t="s">
        <v>41593</v>
      </c>
      <c r="H10037" t="s">
        <v>41594</v>
      </c>
      <c r="J10037" t="s">
        <v>41595</v>
      </c>
      <c r="L10037" t="s">
        <v>35</v>
      </c>
      <c r="M10037" t="s">
        <v>85</v>
      </c>
      <c r="R10037" t="s">
        <v>2873</v>
      </c>
      <c r="W10037" t="s">
        <v>2872</v>
      </c>
      <c r="X10037" t="s">
        <v>2874</v>
      </c>
      <c r="Y10037" t="s">
        <v>97</v>
      </c>
      <c r="Z10037" t="s">
        <v>77</v>
      </c>
      <c r="AA10037" t="str">
        <f>"10026-3331"</f>
        <v>10026-3331</v>
      </c>
      <c r="AB10037" t="s">
        <v>98</v>
      </c>
      <c r="AC10037" t="s">
        <v>79</v>
      </c>
      <c r="AD10037" t="s">
        <v>75</v>
      </c>
      <c r="AE10037" t="s">
        <v>80</v>
      </c>
      <c r="AG10037" t="s">
        <v>81</v>
      </c>
    </row>
    <row r="10038" spans="1:33" x14ac:dyDescent="0.25">
      <c r="A10038" t="str">
        <f>"1467408336"</f>
        <v>1467408336</v>
      </c>
      <c r="B10038" t="str">
        <f>"02922250"</f>
        <v>02922250</v>
      </c>
      <c r="C10038" t="s">
        <v>13436</v>
      </c>
      <c r="D10038" t="s">
        <v>41596</v>
      </c>
      <c r="E10038" t="s">
        <v>41597</v>
      </c>
      <c r="G10038" t="s">
        <v>41598</v>
      </c>
      <c r="L10038" t="s">
        <v>105</v>
      </c>
      <c r="M10038" t="s">
        <v>85</v>
      </c>
      <c r="R10038" t="s">
        <v>41599</v>
      </c>
      <c r="W10038" t="s">
        <v>41600</v>
      </c>
      <c r="X10038" t="s">
        <v>11523</v>
      </c>
      <c r="Y10038" t="s">
        <v>97</v>
      </c>
      <c r="Z10038" t="s">
        <v>77</v>
      </c>
      <c r="AA10038" t="str">
        <f>"10029-6508"</f>
        <v>10029-6508</v>
      </c>
      <c r="AB10038" t="s">
        <v>78</v>
      </c>
      <c r="AC10038" t="s">
        <v>79</v>
      </c>
      <c r="AD10038" t="s">
        <v>75</v>
      </c>
      <c r="AE10038" t="s">
        <v>80</v>
      </c>
      <c r="AG10038" t="s">
        <v>81</v>
      </c>
    </row>
    <row r="10039" spans="1:33" x14ac:dyDescent="0.25">
      <c r="A10039" t="str">
        <f>"1467413294"</f>
        <v>1467413294</v>
      </c>
      <c r="B10039" t="str">
        <f>"01863198"</f>
        <v>01863198</v>
      </c>
      <c r="C10039" t="s">
        <v>13436</v>
      </c>
      <c r="D10039" t="s">
        <v>41601</v>
      </c>
      <c r="E10039" t="s">
        <v>41602</v>
      </c>
      <c r="G10039" t="s">
        <v>41603</v>
      </c>
      <c r="L10039" t="s">
        <v>84</v>
      </c>
      <c r="M10039" t="s">
        <v>75</v>
      </c>
      <c r="R10039" t="s">
        <v>41604</v>
      </c>
      <c r="W10039" t="s">
        <v>41605</v>
      </c>
      <c r="X10039" t="s">
        <v>8196</v>
      </c>
      <c r="Y10039" t="s">
        <v>87</v>
      </c>
      <c r="Z10039" t="s">
        <v>77</v>
      </c>
      <c r="AA10039" t="str">
        <f>"11201-5551"</f>
        <v>11201-5551</v>
      </c>
      <c r="AB10039" t="s">
        <v>78</v>
      </c>
      <c r="AC10039" t="s">
        <v>79</v>
      </c>
      <c r="AD10039" t="s">
        <v>75</v>
      </c>
      <c r="AE10039" t="s">
        <v>80</v>
      </c>
      <c r="AG10039" t="s">
        <v>81</v>
      </c>
    </row>
    <row r="10040" spans="1:33" x14ac:dyDescent="0.25">
      <c r="A10040" t="str">
        <f>"1336482835"</f>
        <v>1336482835</v>
      </c>
      <c r="B10040" t="str">
        <f>"04622524"</f>
        <v>04622524</v>
      </c>
      <c r="C10040" t="s">
        <v>13436</v>
      </c>
      <c r="D10040" t="s">
        <v>41606</v>
      </c>
      <c r="E10040" t="s">
        <v>41607</v>
      </c>
      <c r="L10040" t="s">
        <v>102</v>
      </c>
      <c r="M10040" t="s">
        <v>75</v>
      </c>
      <c r="R10040" t="s">
        <v>41608</v>
      </c>
      <c r="W10040" t="s">
        <v>41607</v>
      </c>
      <c r="AB10040" t="s">
        <v>78</v>
      </c>
      <c r="AC10040" t="s">
        <v>79</v>
      </c>
      <c r="AD10040" t="s">
        <v>75</v>
      </c>
      <c r="AE10040" t="s">
        <v>80</v>
      </c>
      <c r="AG10040" t="s">
        <v>81</v>
      </c>
    </row>
    <row r="10041" spans="1:33" x14ac:dyDescent="0.25">
      <c r="A10041" t="str">
        <f>"1336497189"</f>
        <v>1336497189</v>
      </c>
      <c r="C10041" t="s">
        <v>13436</v>
      </c>
      <c r="K10041" t="s">
        <v>99</v>
      </c>
      <c r="L10041" t="s">
        <v>102</v>
      </c>
      <c r="M10041" t="s">
        <v>75</v>
      </c>
      <c r="R10041" t="s">
        <v>41609</v>
      </c>
      <c r="S10041" t="s">
        <v>41610</v>
      </c>
      <c r="T10041" t="s">
        <v>312</v>
      </c>
      <c r="U10041" t="s">
        <v>4546</v>
      </c>
      <c r="V10041" t="str">
        <f>"85306"</f>
        <v>85306</v>
      </c>
      <c r="AC10041" t="s">
        <v>79</v>
      </c>
      <c r="AD10041" t="s">
        <v>75</v>
      </c>
      <c r="AE10041" t="s">
        <v>103</v>
      </c>
      <c r="AG10041" t="s">
        <v>81</v>
      </c>
    </row>
    <row r="10042" spans="1:33" x14ac:dyDescent="0.25">
      <c r="A10042" t="str">
        <f>"1336549617"</f>
        <v>1336549617</v>
      </c>
      <c r="C10042" t="s">
        <v>13436</v>
      </c>
      <c r="K10042" t="s">
        <v>99</v>
      </c>
      <c r="L10042" t="s">
        <v>102</v>
      </c>
      <c r="M10042" t="s">
        <v>75</v>
      </c>
      <c r="R10042" t="s">
        <v>41611</v>
      </c>
      <c r="S10042" t="s">
        <v>41612</v>
      </c>
      <c r="T10042" t="s">
        <v>97</v>
      </c>
      <c r="U10042" t="s">
        <v>77</v>
      </c>
      <c r="V10042" t="str">
        <f>"100251716"</f>
        <v>100251716</v>
      </c>
      <c r="AC10042" t="s">
        <v>79</v>
      </c>
      <c r="AD10042" t="s">
        <v>75</v>
      </c>
      <c r="AE10042" t="s">
        <v>103</v>
      </c>
      <c r="AG10042" t="s">
        <v>81</v>
      </c>
    </row>
    <row r="10043" spans="1:33" x14ac:dyDescent="0.25">
      <c r="A10043" t="str">
        <f>"1336556208"</f>
        <v>1336556208</v>
      </c>
      <c r="C10043" t="s">
        <v>13436</v>
      </c>
      <c r="K10043" t="s">
        <v>99</v>
      </c>
      <c r="L10043" t="s">
        <v>102</v>
      </c>
      <c r="M10043" t="s">
        <v>75</v>
      </c>
      <c r="R10043" t="s">
        <v>41613</v>
      </c>
      <c r="S10043" t="s">
        <v>14299</v>
      </c>
      <c r="T10043" t="s">
        <v>97</v>
      </c>
      <c r="U10043" t="s">
        <v>77</v>
      </c>
      <c r="V10043" t="str">
        <f>"100033821"</f>
        <v>100033821</v>
      </c>
      <c r="AC10043" t="s">
        <v>79</v>
      </c>
      <c r="AD10043" t="s">
        <v>75</v>
      </c>
      <c r="AE10043" t="s">
        <v>103</v>
      </c>
      <c r="AG10043" t="s">
        <v>81</v>
      </c>
    </row>
    <row r="10044" spans="1:33" x14ac:dyDescent="0.25">
      <c r="A10044" t="str">
        <f>"1336564301"</f>
        <v>1336564301</v>
      </c>
      <c r="B10044" t="str">
        <f>"04031210"</f>
        <v>04031210</v>
      </c>
      <c r="C10044" t="s">
        <v>13436</v>
      </c>
      <c r="D10044" t="s">
        <v>41614</v>
      </c>
      <c r="E10044" t="s">
        <v>41615</v>
      </c>
      <c r="G10044" t="s">
        <v>41616</v>
      </c>
      <c r="L10044" t="s">
        <v>102</v>
      </c>
      <c r="M10044" t="s">
        <v>75</v>
      </c>
      <c r="R10044" t="s">
        <v>41617</v>
      </c>
      <c r="W10044" t="s">
        <v>41615</v>
      </c>
      <c r="X10044" t="s">
        <v>329</v>
      </c>
      <c r="Y10044" t="s">
        <v>97</v>
      </c>
      <c r="Z10044" t="s">
        <v>77</v>
      </c>
      <c r="AA10044" t="str">
        <f>"10029-6504"</f>
        <v>10029-6504</v>
      </c>
      <c r="AB10044" t="s">
        <v>78</v>
      </c>
      <c r="AC10044" t="s">
        <v>79</v>
      </c>
      <c r="AD10044" t="s">
        <v>75</v>
      </c>
      <c r="AE10044" t="s">
        <v>80</v>
      </c>
      <c r="AG10044" t="s">
        <v>81</v>
      </c>
    </row>
    <row r="10045" spans="1:33" x14ac:dyDescent="0.25">
      <c r="A10045" t="str">
        <f>"1417255035"</f>
        <v>1417255035</v>
      </c>
      <c r="B10045" t="str">
        <f>"04007663"</f>
        <v>04007663</v>
      </c>
      <c r="C10045" t="s">
        <v>13436</v>
      </c>
      <c r="D10045" t="s">
        <v>41618</v>
      </c>
      <c r="E10045" t="s">
        <v>41619</v>
      </c>
      <c r="G10045" t="s">
        <v>41620</v>
      </c>
      <c r="L10045" t="s">
        <v>74</v>
      </c>
      <c r="M10045" t="s">
        <v>75</v>
      </c>
      <c r="R10045" t="s">
        <v>41621</v>
      </c>
      <c r="W10045" t="s">
        <v>41619</v>
      </c>
      <c r="X10045" t="s">
        <v>3743</v>
      </c>
      <c r="Y10045" t="s">
        <v>97</v>
      </c>
      <c r="Z10045" t="s">
        <v>77</v>
      </c>
      <c r="AA10045" t="str">
        <f>"10011-4401"</f>
        <v>10011-4401</v>
      </c>
      <c r="AB10045" t="s">
        <v>82</v>
      </c>
      <c r="AC10045" t="s">
        <v>79</v>
      </c>
      <c r="AD10045" t="s">
        <v>75</v>
      </c>
      <c r="AE10045" t="s">
        <v>80</v>
      </c>
      <c r="AG10045" t="s">
        <v>81</v>
      </c>
    </row>
    <row r="10046" spans="1:33" x14ac:dyDescent="0.25">
      <c r="A10046" t="str">
        <f>"1417261306"</f>
        <v>1417261306</v>
      </c>
      <c r="B10046" t="str">
        <f>"04205203"</f>
        <v>04205203</v>
      </c>
      <c r="C10046" t="s">
        <v>13436</v>
      </c>
      <c r="D10046" t="s">
        <v>41622</v>
      </c>
      <c r="E10046" t="s">
        <v>41623</v>
      </c>
      <c r="G10046" t="s">
        <v>41624</v>
      </c>
      <c r="L10046" t="s">
        <v>74</v>
      </c>
      <c r="M10046" t="s">
        <v>75</v>
      </c>
      <c r="R10046" t="s">
        <v>41625</v>
      </c>
      <c r="W10046" t="s">
        <v>41623</v>
      </c>
      <c r="X10046" t="s">
        <v>41626</v>
      </c>
      <c r="Y10046" t="s">
        <v>97</v>
      </c>
      <c r="Z10046" t="s">
        <v>77</v>
      </c>
      <c r="AA10046" t="str">
        <f>"10128-3679"</f>
        <v>10128-3679</v>
      </c>
      <c r="AB10046" t="s">
        <v>125</v>
      </c>
      <c r="AC10046" t="s">
        <v>79</v>
      </c>
      <c r="AD10046" t="s">
        <v>75</v>
      </c>
      <c r="AE10046" t="s">
        <v>80</v>
      </c>
      <c r="AG10046" t="s">
        <v>81</v>
      </c>
    </row>
    <row r="10047" spans="1:33" x14ac:dyDescent="0.25">
      <c r="A10047" t="str">
        <f>"1417274648"</f>
        <v>1417274648</v>
      </c>
      <c r="B10047" t="str">
        <f>"04404582"</f>
        <v>04404582</v>
      </c>
      <c r="C10047" t="s">
        <v>13436</v>
      </c>
      <c r="D10047" t="s">
        <v>41627</v>
      </c>
      <c r="E10047" t="s">
        <v>41628</v>
      </c>
      <c r="L10047" t="s">
        <v>74</v>
      </c>
      <c r="M10047" t="s">
        <v>75</v>
      </c>
      <c r="R10047" t="s">
        <v>41629</v>
      </c>
      <c r="W10047" t="s">
        <v>41628</v>
      </c>
      <c r="X10047" t="s">
        <v>329</v>
      </c>
      <c r="Y10047" t="s">
        <v>97</v>
      </c>
      <c r="Z10047" t="s">
        <v>77</v>
      </c>
      <c r="AA10047" t="str">
        <f>"10029-6504"</f>
        <v>10029-6504</v>
      </c>
      <c r="AB10047" t="s">
        <v>78</v>
      </c>
      <c r="AC10047" t="s">
        <v>79</v>
      </c>
      <c r="AD10047" t="s">
        <v>75</v>
      </c>
      <c r="AE10047" t="s">
        <v>80</v>
      </c>
      <c r="AG10047" t="s">
        <v>81</v>
      </c>
    </row>
    <row r="10048" spans="1:33" x14ac:dyDescent="0.25">
      <c r="A10048" t="str">
        <f>"1417290768"</f>
        <v>1417290768</v>
      </c>
      <c r="C10048" t="s">
        <v>13436</v>
      </c>
      <c r="K10048" t="s">
        <v>99</v>
      </c>
      <c r="L10048" t="s">
        <v>102</v>
      </c>
      <c r="M10048" t="s">
        <v>75</v>
      </c>
      <c r="R10048" t="s">
        <v>41630</v>
      </c>
      <c r="S10048" t="s">
        <v>41631</v>
      </c>
      <c r="T10048" t="s">
        <v>97</v>
      </c>
      <c r="U10048" t="s">
        <v>77</v>
      </c>
      <c r="V10048" t="str">
        <f>"100033821"</f>
        <v>100033821</v>
      </c>
      <c r="AC10048" t="s">
        <v>79</v>
      </c>
      <c r="AD10048" t="s">
        <v>75</v>
      </c>
      <c r="AE10048" t="s">
        <v>103</v>
      </c>
      <c r="AG10048" t="s">
        <v>81</v>
      </c>
    </row>
    <row r="10049" spans="1:33" x14ac:dyDescent="0.25">
      <c r="A10049" t="str">
        <f>"1558780064"</f>
        <v>1558780064</v>
      </c>
      <c r="C10049" t="s">
        <v>13436</v>
      </c>
      <c r="K10049" t="s">
        <v>99</v>
      </c>
      <c r="L10049" t="s">
        <v>102</v>
      </c>
      <c r="M10049" t="s">
        <v>75</v>
      </c>
      <c r="R10049" t="s">
        <v>41632</v>
      </c>
      <c r="S10049" t="s">
        <v>12670</v>
      </c>
      <c r="T10049" t="s">
        <v>97</v>
      </c>
      <c r="U10049" t="s">
        <v>77</v>
      </c>
      <c r="V10049" t="str">
        <f>"100033821"</f>
        <v>100033821</v>
      </c>
      <c r="AC10049" t="s">
        <v>79</v>
      </c>
      <c r="AD10049" t="s">
        <v>75</v>
      </c>
      <c r="AE10049" t="s">
        <v>103</v>
      </c>
      <c r="AG10049" t="s">
        <v>81</v>
      </c>
    </row>
    <row r="10050" spans="1:33" x14ac:dyDescent="0.25">
      <c r="A10050" t="str">
        <f>"1558780189"</f>
        <v>1558780189</v>
      </c>
      <c r="C10050" t="s">
        <v>13436</v>
      </c>
      <c r="K10050" t="s">
        <v>99</v>
      </c>
      <c r="L10050" t="s">
        <v>102</v>
      </c>
      <c r="M10050" t="s">
        <v>75</v>
      </c>
      <c r="R10050" t="s">
        <v>4555</v>
      </c>
      <c r="S10050" t="s">
        <v>181</v>
      </c>
      <c r="T10050" t="s">
        <v>97</v>
      </c>
      <c r="U10050" t="s">
        <v>77</v>
      </c>
      <c r="V10050" t="str">
        <f>"100251716"</f>
        <v>100251716</v>
      </c>
      <c r="AC10050" t="s">
        <v>79</v>
      </c>
      <c r="AD10050" t="s">
        <v>75</v>
      </c>
      <c r="AE10050" t="s">
        <v>103</v>
      </c>
      <c r="AG10050" t="s">
        <v>81</v>
      </c>
    </row>
    <row r="10051" spans="1:33" x14ac:dyDescent="0.25">
      <c r="A10051" t="str">
        <f>"1558780312"</f>
        <v>1558780312</v>
      </c>
      <c r="C10051" t="s">
        <v>13436</v>
      </c>
      <c r="K10051" t="s">
        <v>99</v>
      </c>
      <c r="L10051" t="s">
        <v>102</v>
      </c>
      <c r="M10051" t="s">
        <v>75</v>
      </c>
      <c r="R10051" t="s">
        <v>41633</v>
      </c>
      <c r="S10051" t="s">
        <v>329</v>
      </c>
      <c r="T10051" t="s">
        <v>97</v>
      </c>
      <c r="U10051" t="s">
        <v>77</v>
      </c>
      <c r="V10051" t="str">
        <f>"100296504"</f>
        <v>100296504</v>
      </c>
      <c r="AC10051" t="s">
        <v>79</v>
      </c>
      <c r="AD10051" t="s">
        <v>75</v>
      </c>
      <c r="AE10051" t="s">
        <v>103</v>
      </c>
      <c r="AG10051" t="s">
        <v>81</v>
      </c>
    </row>
    <row r="10052" spans="1:33" x14ac:dyDescent="0.25">
      <c r="A10052" t="str">
        <f>"1558781302"</f>
        <v>1558781302</v>
      </c>
      <c r="C10052" t="s">
        <v>13436</v>
      </c>
      <c r="K10052" t="s">
        <v>99</v>
      </c>
      <c r="L10052" t="s">
        <v>102</v>
      </c>
      <c r="M10052" t="s">
        <v>75</v>
      </c>
      <c r="R10052" t="s">
        <v>41634</v>
      </c>
      <c r="S10052" t="s">
        <v>41635</v>
      </c>
      <c r="T10052" t="s">
        <v>1768</v>
      </c>
      <c r="U10052" t="s">
        <v>2632</v>
      </c>
      <c r="V10052" t="str">
        <f>"241534666"</f>
        <v>241534666</v>
      </c>
      <c r="AC10052" t="s">
        <v>79</v>
      </c>
      <c r="AD10052" t="s">
        <v>75</v>
      </c>
      <c r="AE10052" t="s">
        <v>103</v>
      </c>
      <c r="AG10052" t="s">
        <v>81</v>
      </c>
    </row>
    <row r="10053" spans="1:33" x14ac:dyDescent="0.25">
      <c r="A10053" t="str">
        <f>"1558788935"</f>
        <v>1558788935</v>
      </c>
      <c r="C10053" t="s">
        <v>13436</v>
      </c>
      <c r="K10053" t="s">
        <v>99</v>
      </c>
      <c r="L10053" t="s">
        <v>102</v>
      </c>
      <c r="M10053" t="s">
        <v>75</v>
      </c>
      <c r="R10053" t="s">
        <v>41636</v>
      </c>
      <c r="S10053" t="s">
        <v>5249</v>
      </c>
      <c r="T10053" t="s">
        <v>97</v>
      </c>
      <c r="U10053" t="s">
        <v>77</v>
      </c>
      <c r="V10053" t="str">
        <f>"100033805"</f>
        <v>100033805</v>
      </c>
      <c r="AC10053" t="s">
        <v>79</v>
      </c>
      <c r="AD10053" t="s">
        <v>75</v>
      </c>
      <c r="AE10053" t="s">
        <v>103</v>
      </c>
      <c r="AG10053" t="s">
        <v>81</v>
      </c>
    </row>
    <row r="10054" spans="1:33" x14ac:dyDescent="0.25">
      <c r="A10054" t="str">
        <f>"1558789396"</f>
        <v>1558789396</v>
      </c>
      <c r="C10054" t="s">
        <v>13436</v>
      </c>
      <c r="K10054" t="s">
        <v>99</v>
      </c>
      <c r="L10054" t="s">
        <v>102</v>
      </c>
      <c r="M10054" t="s">
        <v>75</v>
      </c>
      <c r="R10054" t="s">
        <v>41637</v>
      </c>
      <c r="S10054" t="s">
        <v>329</v>
      </c>
      <c r="T10054" t="s">
        <v>97</v>
      </c>
      <c r="U10054" t="s">
        <v>77</v>
      </c>
      <c r="V10054" t="str">
        <f>"100296504"</f>
        <v>100296504</v>
      </c>
      <c r="AC10054" t="s">
        <v>79</v>
      </c>
      <c r="AD10054" t="s">
        <v>75</v>
      </c>
      <c r="AE10054" t="s">
        <v>103</v>
      </c>
      <c r="AG10054" t="s">
        <v>81</v>
      </c>
    </row>
    <row r="10055" spans="1:33" x14ac:dyDescent="0.25">
      <c r="A10055" t="str">
        <f>"1821073347"</f>
        <v>1821073347</v>
      </c>
      <c r="B10055" t="str">
        <f>"00435149"</f>
        <v>00435149</v>
      </c>
      <c r="C10055" t="s">
        <v>13436</v>
      </c>
      <c r="D10055" t="s">
        <v>41638</v>
      </c>
      <c r="E10055" t="s">
        <v>41639</v>
      </c>
      <c r="L10055" t="s">
        <v>83</v>
      </c>
      <c r="M10055" t="s">
        <v>85</v>
      </c>
      <c r="R10055" t="s">
        <v>41640</v>
      </c>
      <c r="W10055" t="s">
        <v>41641</v>
      </c>
      <c r="X10055" t="s">
        <v>329</v>
      </c>
      <c r="Y10055" t="s">
        <v>97</v>
      </c>
      <c r="Z10055" t="s">
        <v>77</v>
      </c>
      <c r="AA10055" t="str">
        <f>"10029-6500"</f>
        <v>10029-6500</v>
      </c>
      <c r="AB10055" t="s">
        <v>78</v>
      </c>
      <c r="AC10055" t="s">
        <v>79</v>
      </c>
      <c r="AD10055" t="s">
        <v>75</v>
      </c>
      <c r="AE10055" t="s">
        <v>80</v>
      </c>
      <c r="AG10055" t="s">
        <v>81</v>
      </c>
    </row>
    <row r="10056" spans="1:33" x14ac:dyDescent="0.25">
      <c r="A10056" t="str">
        <f>"1821092800"</f>
        <v>1821092800</v>
      </c>
      <c r="B10056" t="str">
        <f>"01017298"</f>
        <v>01017298</v>
      </c>
      <c r="C10056" t="s">
        <v>13436</v>
      </c>
      <c r="D10056" t="s">
        <v>41642</v>
      </c>
      <c r="E10056" t="s">
        <v>41643</v>
      </c>
      <c r="G10056" t="s">
        <v>41644</v>
      </c>
      <c r="L10056" t="s">
        <v>83</v>
      </c>
      <c r="M10056" t="s">
        <v>85</v>
      </c>
      <c r="R10056" t="s">
        <v>41645</v>
      </c>
      <c r="W10056" t="s">
        <v>41643</v>
      </c>
      <c r="X10056" t="s">
        <v>41646</v>
      </c>
      <c r="Y10056" t="s">
        <v>97</v>
      </c>
      <c r="Z10056" t="s">
        <v>77</v>
      </c>
      <c r="AA10056" t="str">
        <f>"10065-7004"</f>
        <v>10065-7004</v>
      </c>
      <c r="AB10056" t="s">
        <v>78</v>
      </c>
      <c r="AC10056" t="s">
        <v>79</v>
      </c>
      <c r="AD10056" t="s">
        <v>75</v>
      </c>
      <c r="AE10056" t="s">
        <v>80</v>
      </c>
      <c r="AG10056" t="s">
        <v>81</v>
      </c>
    </row>
    <row r="10057" spans="1:33" x14ac:dyDescent="0.25">
      <c r="A10057" t="str">
        <f>"1821094731"</f>
        <v>1821094731</v>
      </c>
      <c r="B10057" t="str">
        <f>"03267489"</f>
        <v>03267489</v>
      </c>
      <c r="C10057" t="s">
        <v>13436</v>
      </c>
      <c r="D10057" t="s">
        <v>41647</v>
      </c>
      <c r="E10057" t="s">
        <v>41648</v>
      </c>
      <c r="L10057" t="s">
        <v>74</v>
      </c>
      <c r="M10057" t="s">
        <v>85</v>
      </c>
      <c r="R10057" t="s">
        <v>41648</v>
      </c>
      <c r="W10057" t="s">
        <v>41648</v>
      </c>
      <c r="X10057" t="s">
        <v>41649</v>
      </c>
      <c r="Y10057" t="s">
        <v>209</v>
      </c>
      <c r="Z10057" t="s">
        <v>77</v>
      </c>
      <c r="AA10057" t="str">
        <f>"11794-0001"</f>
        <v>11794-0001</v>
      </c>
      <c r="AB10057" t="s">
        <v>78</v>
      </c>
      <c r="AC10057" t="s">
        <v>79</v>
      </c>
      <c r="AD10057" t="s">
        <v>75</v>
      </c>
      <c r="AE10057" t="s">
        <v>80</v>
      </c>
      <c r="AG10057" t="s">
        <v>81</v>
      </c>
    </row>
    <row r="10058" spans="1:33" x14ac:dyDescent="0.25">
      <c r="A10058" t="str">
        <f>"1821116864"</f>
        <v>1821116864</v>
      </c>
      <c r="B10058" t="str">
        <f>"02696335"</f>
        <v>02696335</v>
      </c>
      <c r="C10058" t="s">
        <v>13436</v>
      </c>
      <c r="D10058" t="s">
        <v>41650</v>
      </c>
      <c r="E10058" t="s">
        <v>41651</v>
      </c>
      <c r="G10058" t="s">
        <v>41652</v>
      </c>
      <c r="L10058" t="s">
        <v>74</v>
      </c>
      <c r="M10058" t="s">
        <v>75</v>
      </c>
      <c r="R10058" t="s">
        <v>41653</v>
      </c>
      <c r="W10058" t="s">
        <v>41651</v>
      </c>
      <c r="X10058" t="s">
        <v>1076</v>
      </c>
      <c r="Y10058" t="s">
        <v>97</v>
      </c>
      <c r="Z10058" t="s">
        <v>77</v>
      </c>
      <c r="AA10058" t="str">
        <f>"10025-1737"</f>
        <v>10025-1737</v>
      </c>
      <c r="AB10058" t="s">
        <v>125</v>
      </c>
      <c r="AC10058" t="s">
        <v>79</v>
      </c>
      <c r="AD10058" t="s">
        <v>75</v>
      </c>
      <c r="AE10058" t="s">
        <v>80</v>
      </c>
      <c r="AG10058" t="s">
        <v>81</v>
      </c>
    </row>
    <row r="10059" spans="1:33" x14ac:dyDescent="0.25">
      <c r="A10059" t="str">
        <f>"1821126590"</f>
        <v>1821126590</v>
      </c>
      <c r="B10059" t="str">
        <f>"01263345"</f>
        <v>01263345</v>
      </c>
      <c r="C10059" t="s">
        <v>13436</v>
      </c>
      <c r="D10059" t="s">
        <v>41654</v>
      </c>
      <c r="E10059" t="s">
        <v>41655</v>
      </c>
      <c r="L10059" t="s">
        <v>83</v>
      </c>
      <c r="M10059" t="s">
        <v>85</v>
      </c>
      <c r="R10059" t="s">
        <v>41656</v>
      </c>
      <c r="W10059" t="s">
        <v>41657</v>
      </c>
      <c r="X10059" t="s">
        <v>27125</v>
      </c>
      <c r="Y10059" t="s">
        <v>97</v>
      </c>
      <c r="Z10059" t="s">
        <v>77</v>
      </c>
      <c r="AA10059" t="str">
        <f>"10003"</f>
        <v>10003</v>
      </c>
      <c r="AB10059" t="s">
        <v>78</v>
      </c>
      <c r="AC10059" t="s">
        <v>79</v>
      </c>
      <c r="AD10059" t="s">
        <v>75</v>
      </c>
      <c r="AE10059" t="s">
        <v>80</v>
      </c>
      <c r="AG10059" t="s">
        <v>81</v>
      </c>
    </row>
    <row r="10060" spans="1:33" x14ac:dyDescent="0.25">
      <c r="A10060" t="str">
        <f>"1821151457"</f>
        <v>1821151457</v>
      </c>
      <c r="B10060" t="str">
        <f>"02153657"</f>
        <v>02153657</v>
      </c>
      <c r="C10060" t="s">
        <v>13436</v>
      </c>
      <c r="D10060" t="s">
        <v>41658</v>
      </c>
      <c r="E10060" t="s">
        <v>41659</v>
      </c>
      <c r="G10060" t="s">
        <v>41660</v>
      </c>
      <c r="L10060" t="s">
        <v>105</v>
      </c>
      <c r="M10060" t="s">
        <v>75</v>
      </c>
      <c r="R10060" t="s">
        <v>41661</v>
      </c>
      <c r="W10060" t="s">
        <v>41662</v>
      </c>
      <c r="X10060" t="s">
        <v>1734</v>
      </c>
      <c r="Y10060" t="s">
        <v>97</v>
      </c>
      <c r="Z10060" t="s">
        <v>77</v>
      </c>
      <c r="AA10060" t="str">
        <f>"10032-3726"</f>
        <v>10032-3726</v>
      </c>
      <c r="AB10060" t="s">
        <v>125</v>
      </c>
      <c r="AC10060" t="s">
        <v>79</v>
      </c>
      <c r="AD10060" t="s">
        <v>75</v>
      </c>
      <c r="AE10060" t="s">
        <v>80</v>
      </c>
      <c r="AG10060" t="s">
        <v>81</v>
      </c>
    </row>
    <row r="10061" spans="1:33" x14ac:dyDescent="0.25">
      <c r="A10061" t="str">
        <f>"1821174772"</f>
        <v>1821174772</v>
      </c>
      <c r="B10061" t="str">
        <f>"02278191"</f>
        <v>02278191</v>
      </c>
      <c r="C10061" t="s">
        <v>13436</v>
      </c>
      <c r="D10061" t="s">
        <v>41663</v>
      </c>
      <c r="E10061" t="s">
        <v>41664</v>
      </c>
      <c r="L10061" t="s">
        <v>94</v>
      </c>
      <c r="M10061" t="s">
        <v>85</v>
      </c>
      <c r="R10061" t="s">
        <v>41665</v>
      </c>
      <c r="W10061" t="s">
        <v>41664</v>
      </c>
      <c r="X10061" t="s">
        <v>223</v>
      </c>
      <c r="Y10061" t="s">
        <v>131</v>
      </c>
      <c r="Z10061" t="s">
        <v>77</v>
      </c>
      <c r="AA10061" t="str">
        <f>"10467-2403"</f>
        <v>10467-2403</v>
      </c>
      <c r="AB10061" t="s">
        <v>78</v>
      </c>
      <c r="AC10061" t="s">
        <v>79</v>
      </c>
      <c r="AD10061" t="s">
        <v>75</v>
      </c>
      <c r="AE10061" t="s">
        <v>80</v>
      </c>
      <c r="AG10061" t="s">
        <v>81</v>
      </c>
    </row>
    <row r="10062" spans="1:33" x14ac:dyDescent="0.25">
      <c r="A10062" t="str">
        <f>"1821213265"</f>
        <v>1821213265</v>
      </c>
      <c r="B10062" t="str">
        <f>"03427621"</f>
        <v>03427621</v>
      </c>
      <c r="C10062" t="s">
        <v>13436</v>
      </c>
      <c r="D10062" t="s">
        <v>41666</v>
      </c>
      <c r="E10062" t="s">
        <v>41667</v>
      </c>
      <c r="L10062" t="s">
        <v>83</v>
      </c>
      <c r="M10062" t="s">
        <v>85</v>
      </c>
      <c r="R10062" t="s">
        <v>41667</v>
      </c>
      <c r="W10062" t="s">
        <v>41667</v>
      </c>
      <c r="X10062" t="s">
        <v>329</v>
      </c>
      <c r="Y10062" t="s">
        <v>97</v>
      </c>
      <c r="Z10062" t="s">
        <v>77</v>
      </c>
      <c r="AA10062" t="str">
        <f>"10029-6500"</f>
        <v>10029-6500</v>
      </c>
      <c r="AB10062" t="s">
        <v>78</v>
      </c>
      <c r="AC10062" t="s">
        <v>79</v>
      </c>
      <c r="AD10062" t="s">
        <v>75</v>
      </c>
      <c r="AE10062" t="s">
        <v>80</v>
      </c>
      <c r="AG10062" t="s">
        <v>81</v>
      </c>
    </row>
    <row r="10063" spans="1:33" x14ac:dyDescent="0.25">
      <c r="A10063" t="str">
        <f>"1982815163"</f>
        <v>1982815163</v>
      </c>
      <c r="B10063" t="str">
        <f>"02912687"</f>
        <v>02912687</v>
      </c>
      <c r="C10063" t="s">
        <v>41668</v>
      </c>
      <c r="D10063" t="s">
        <v>6232</v>
      </c>
      <c r="E10063" t="s">
        <v>6233</v>
      </c>
      <c r="G10063" t="s">
        <v>35048</v>
      </c>
      <c r="H10063" t="s">
        <v>35049</v>
      </c>
      <c r="J10063" t="s">
        <v>35050</v>
      </c>
      <c r="L10063" t="s">
        <v>84</v>
      </c>
      <c r="M10063" t="s">
        <v>85</v>
      </c>
      <c r="R10063" t="s">
        <v>6234</v>
      </c>
      <c r="W10063" t="s">
        <v>6235</v>
      </c>
      <c r="X10063" t="s">
        <v>5381</v>
      </c>
      <c r="Y10063" t="s">
        <v>131</v>
      </c>
      <c r="Z10063" t="s">
        <v>77</v>
      </c>
      <c r="AA10063" t="str">
        <f>"10468-2702"</f>
        <v>10468-2702</v>
      </c>
      <c r="AB10063" t="s">
        <v>78</v>
      </c>
      <c r="AC10063" t="s">
        <v>79</v>
      </c>
      <c r="AD10063" t="s">
        <v>75</v>
      </c>
      <c r="AE10063" t="s">
        <v>80</v>
      </c>
      <c r="AG10063" t="s">
        <v>81</v>
      </c>
    </row>
    <row r="10064" spans="1:33" x14ac:dyDescent="0.25">
      <c r="A10064" t="str">
        <f>"1669522256"</f>
        <v>1669522256</v>
      </c>
      <c r="C10064" t="s">
        <v>41669</v>
      </c>
      <c r="G10064" t="s">
        <v>32379</v>
      </c>
      <c r="H10064" t="s">
        <v>183</v>
      </c>
      <c r="J10064" t="s">
        <v>184</v>
      </c>
      <c r="K10064" t="s">
        <v>2011</v>
      </c>
      <c r="L10064" t="s">
        <v>102</v>
      </c>
      <c r="M10064" t="s">
        <v>75</v>
      </c>
      <c r="R10064" t="s">
        <v>3823</v>
      </c>
      <c r="S10064" t="s">
        <v>3791</v>
      </c>
      <c r="T10064" t="s">
        <v>87</v>
      </c>
      <c r="U10064" t="s">
        <v>77</v>
      </c>
      <c r="V10064" t="str">
        <f>"112243604"</f>
        <v>112243604</v>
      </c>
      <c r="AC10064" t="s">
        <v>79</v>
      </c>
      <c r="AD10064" t="s">
        <v>75</v>
      </c>
      <c r="AE10064" t="s">
        <v>103</v>
      </c>
      <c r="AG10064" t="s">
        <v>81</v>
      </c>
    </row>
    <row r="10065" spans="1:33" x14ac:dyDescent="0.25">
      <c r="A10065" t="str">
        <f>"1992043392"</f>
        <v>1992043392</v>
      </c>
      <c r="C10065" t="s">
        <v>41670</v>
      </c>
      <c r="G10065" t="s">
        <v>32379</v>
      </c>
      <c r="H10065" t="s">
        <v>183</v>
      </c>
      <c r="J10065" t="s">
        <v>184</v>
      </c>
      <c r="K10065" t="s">
        <v>2011</v>
      </c>
      <c r="L10065" t="s">
        <v>102</v>
      </c>
      <c r="M10065" t="s">
        <v>75</v>
      </c>
      <c r="R10065" t="s">
        <v>3850</v>
      </c>
      <c r="S10065" t="s">
        <v>3813</v>
      </c>
      <c r="T10065" t="s">
        <v>97</v>
      </c>
      <c r="U10065" t="s">
        <v>77</v>
      </c>
      <c r="V10065" t="str">
        <f>"100184190"</f>
        <v>100184190</v>
      </c>
      <c r="AC10065" t="s">
        <v>79</v>
      </c>
      <c r="AD10065" t="s">
        <v>75</v>
      </c>
      <c r="AE10065" t="s">
        <v>103</v>
      </c>
      <c r="AG10065" t="s">
        <v>81</v>
      </c>
    </row>
    <row r="10066" spans="1:33" x14ac:dyDescent="0.25">
      <c r="A10066" t="str">
        <f>"1932373081"</f>
        <v>1932373081</v>
      </c>
      <c r="B10066" t="str">
        <f>"03278291"</f>
        <v>03278291</v>
      </c>
      <c r="C10066" t="s">
        <v>41671</v>
      </c>
      <c r="D10066" t="s">
        <v>540</v>
      </c>
      <c r="E10066" t="s">
        <v>541</v>
      </c>
      <c r="G10066" t="s">
        <v>32379</v>
      </c>
      <c r="H10066" t="s">
        <v>183</v>
      </c>
      <c r="J10066" t="s">
        <v>184</v>
      </c>
      <c r="L10066" t="s">
        <v>74</v>
      </c>
      <c r="M10066" t="s">
        <v>85</v>
      </c>
      <c r="R10066" t="s">
        <v>542</v>
      </c>
      <c r="W10066" t="s">
        <v>541</v>
      </c>
      <c r="X10066" t="s">
        <v>543</v>
      </c>
      <c r="Y10066" t="s">
        <v>87</v>
      </c>
      <c r="Z10066" t="s">
        <v>77</v>
      </c>
      <c r="AA10066" t="str">
        <f>"11206-5317"</f>
        <v>11206-5317</v>
      </c>
      <c r="AB10066" t="s">
        <v>78</v>
      </c>
      <c r="AC10066" t="s">
        <v>79</v>
      </c>
      <c r="AD10066" t="s">
        <v>75</v>
      </c>
      <c r="AE10066" t="s">
        <v>80</v>
      </c>
      <c r="AG10066" t="s">
        <v>81</v>
      </c>
    </row>
    <row r="10067" spans="1:33" x14ac:dyDescent="0.25">
      <c r="A10067" t="str">
        <f>"1215355425"</f>
        <v>1215355425</v>
      </c>
      <c r="C10067" t="s">
        <v>13436</v>
      </c>
      <c r="G10067" t="s">
        <v>41672</v>
      </c>
      <c r="K10067" t="s">
        <v>99</v>
      </c>
      <c r="L10067" t="s">
        <v>102</v>
      </c>
      <c r="M10067" t="s">
        <v>75</v>
      </c>
      <c r="R10067" t="s">
        <v>41673</v>
      </c>
      <c r="S10067" t="s">
        <v>12769</v>
      </c>
      <c r="T10067" t="s">
        <v>4861</v>
      </c>
      <c r="U10067" t="s">
        <v>156</v>
      </c>
      <c r="V10067" t="str">
        <f>"076311808"</f>
        <v>076311808</v>
      </c>
      <c r="AC10067" t="s">
        <v>79</v>
      </c>
      <c r="AD10067" t="s">
        <v>75</v>
      </c>
      <c r="AE10067" t="s">
        <v>103</v>
      </c>
      <c r="AG10067" t="s">
        <v>81</v>
      </c>
    </row>
    <row r="10068" spans="1:33" x14ac:dyDescent="0.25">
      <c r="A10068" t="str">
        <f>"1215371984"</f>
        <v>1215371984</v>
      </c>
      <c r="C10068" t="s">
        <v>13436</v>
      </c>
      <c r="K10068" t="s">
        <v>99</v>
      </c>
      <c r="L10068" t="s">
        <v>102</v>
      </c>
      <c r="M10068" t="s">
        <v>75</v>
      </c>
      <c r="R10068" t="s">
        <v>41674</v>
      </c>
      <c r="S10068" t="s">
        <v>191</v>
      </c>
      <c r="T10068" t="s">
        <v>97</v>
      </c>
      <c r="U10068" t="s">
        <v>77</v>
      </c>
      <c r="V10068" t="str">
        <f>"100191147"</f>
        <v>100191147</v>
      </c>
      <c r="AC10068" t="s">
        <v>79</v>
      </c>
      <c r="AD10068" t="s">
        <v>75</v>
      </c>
      <c r="AE10068" t="s">
        <v>103</v>
      </c>
      <c r="AG10068" t="s">
        <v>81</v>
      </c>
    </row>
    <row r="10069" spans="1:33" x14ac:dyDescent="0.25">
      <c r="A10069" t="str">
        <f>"1215376975"</f>
        <v>1215376975</v>
      </c>
      <c r="C10069" t="s">
        <v>13436</v>
      </c>
      <c r="K10069" t="s">
        <v>99</v>
      </c>
      <c r="L10069" t="s">
        <v>102</v>
      </c>
      <c r="M10069" t="s">
        <v>75</v>
      </c>
      <c r="R10069" t="s">
        <v>41675</v>
      </c>
      <c r="S10069" t="s">
        <v>1714</v>
      </c>
      <c r="T10069" t="s">
        <v>316</v>
      </c>
      <c r="U10069" t="s">
        <v>77</v>
      </c>
      <c r="V10069" t="str">
        <f>"108015502"</f>
        <v>108015502</v>
      </c>
      <c r="AC10069" t="s">
        <v>79</v>
      </c>
      <c r="AD10069" t="s">
        <v>75</v>
      </c>
      <c r="AE10069" t="s">
        <v>103</v>
      </c>
      <c r="AG10069" t="s">
        <v>81</v>
      </c>
    </row>
    <row r="10070" spans="1:33" x14ac:dyDescent="0.25">
      <c r="A10070" t="str">
        <f>"1215905047"</f>
        <v>1215905047</v>
      </c>
      <c r="B10070" t="str">
        <f>"02088071"</f>
        <v>02088071</v>
      </c>
      <c r="C10070" t="s">
        <v>13436</v>
      </c>
      <c r="D10070" t="s">
        <v>41676</v>
      </c>
      <c r="E10070" t="s">
        <v>41677</v>
      </c>
      <c r="G10070" t="s">
        <v>41678</v>
      </c>
      <c r="L10070" t="s">
        <v>83</v>
      </c>
      <c r="M10070" t="s">
        <v>85</v>
      </c>
      <c r="R10070" t="s">
        <v>41679</v>
      </c>
      <c r="W10070" t="s">
        <v>41677</v>
      </c>
      <c r="X10070" t="s">
        <v>41680</v>
      </c>
      <c r="Y10070" t="s">
        <v>97</v>
      </c>
      <c r="Z10070" t="s">
        <v>77</v>
      </c>
      <c r="AA10070" t="str">
        <f>"10029-6500"</f>
        <v>10029-6500</v>
      </c>
      <c r="AB10070" t="s">
        <v>78</v>
      </c>
      <c r="AC10070" t="s">
        <v>79</v>
      </c>
      <c r="AD10070" t="s">
        <v>75</v>
      </c>
      <c r="AE10070" t="s">
        <v>80</v>
      </c>
      <c r="AG10070" t="s">
        <v>81</v>
      </c>
    </row>
    <row r="10071" spans="1:33" x14ac:dyDescent="0.25">
      <c r="A10071" t="str">
        <f>"1215909981"</f>
        <v>1215909981</v>
      </c>
      <c r="B10071" t="str">
        <f>"02613505"</f>
        <v>02613505</v>
      </c>
      <c r="C10071" t="s">
        <v>13436</v>
      </c>
      <c r="D10071" t="s">
        <v>41681</v>
      </c>
      <c r="E10071" t="s">
        <v>41682</v>
      </c>
      <c r="G10071" t="s">
        <v>41683</v>
      </c>
      <c r="L10071" t="s">
        <v>83</v>
      </c>
      <c r="M10071" t="s">
        <v>85</v>
      </c>
      <c r="R10071" t="s">
        <v>41684</v>
      </c>
      <c r="W10071" t="s">
        <v>41682</v>
      </c>
      <c r="X10071" t="s">
        <v>329</v>
      </c>
      <c r="Y10071" t="s">
        <v>97</v>
      </c>
      <c r="Z10071" t="s">
        <v>77</v>
      </c>
      <c r="AA10071" t="str">
        <f>"10029-6500"</f>
        <v>10029-6500</v>
      </c>
      <c r="AB10071" t="s">
        <v>78</v>
      </c>
      <c r="AC10071" t="s">
        <v>79</v>
      </c>
      <c r="AD10071" t="s">
        <v>75</v>
      </c>
      <c r="AE10071" t="s">
        <v>80</v>
      </c>
      <c r="AG10071" t="s">
        <v>81</v>
      </c>
    </row>
    <row r="10072" spans="1:33" x14ac:dyDescent="0.25">
      <c r="A10072" t="str">
        <f>"1215920970"</f>
        <v>1215920970</v>
      </c>
      <c r="B10072" t="str">
        <f>"02795619"</f>
        <v>02795619</v>
      </c>
      <c r="C10072" t="s">
        <v>13436</v>
      </c>
      <c r="D10072" t="s">
        <v>41685</v>
      </c>
      <c r="E10072" t="s">
        <v>41686</v>
      </c>
      <c r="G10072" t="s">
        <v>41687</v>
      </c>
      <c r="L10072" t="s">
        <v>83</v>
      </c>
      <c r="M10072" t="s">
        <v>85</v>
      </c>
      <c r="R10072" t="s">
        <v>41686</v>
      </c>
      <c r="W10072" t="s">
        <v>41688</v>
      </c>
      <c r="X10072" t="s">
        <v>26007</v>
      </c>
      <c r="Y10072" t="s">
        <v>97</v>
      </c>
      <c r="Z10072" t="s">
        <v>77</v>
      </c>
      <c r="AA10072" t="str">
        <f>"10029-6508"</f>
        <v>10029-6508</v>
      </c>
      <c r="AB10072" t="s">
        <v>78</v>
      </c>
      <c r="AC10072" t="s">
        <v>79</v>
      </c>
      <c r="AD10072" t="s">
        <v>75</v>
      </c>
      <c r="AE10072" t="s">
        <v>80</v>
      </c>
      <c r="AG10072" t="s">
        <v>81</v>
      </c>
    </row>
    <row r="10073" spans="1:33" x14ac:dyDescent="0.25">
      <c r="A10073" t="str">
        <f>"1104808575"</f>
        <v>1104808575</v>
      </c>
      <c r="B10073" t="str">
        <f>"00271238"</f>
        <v>00271238</v>
      </c>
      <c r="C10073" t="s">
        <v>13436</v>
      </c>
      <c r="D10073" t="s">
        <v>41689</v>
      </c>
      <c r="E10073" t="s">
        <v>41690</v>
      </c>
      <c r="G10073" t="s">
        <v>41691</v>
      </c>
      <c r="L10073" t="s">
        <v>83</v>
      </c>
      <c r="M10073" t="s">
        <v>85</v>
      </c>
      <c r="R10073" t="s">
        <v>41692</v>
      </c>
      <c r="W10073" t="s">
        <v>41690</v>
      </c>
      <c r="Y10073" t="s">
        <v>97</v>
      </c>
      <c r="Z10073" t="s">
        <v>77</v>
      </c>
      <c r="AA10073" t="str">
        <f>"10029-6500"</f>
        <v>10029-6500</v>
      </c>
      <c r="AB10073" t="s">
        <v>78</v>
      </c>
      <c r="AC10073" t="s">
        <v>79</v>
      </c>
      <c r="AD10073" t="s">
        <v>75</v>
      </c>
      <c r="AE10073" t="s">
        <v>80</v>
      </c>
      <c r="AG10073" t="s">
        <v>81</v>
      </c>
    </row>
    <row r="10074" spans="1:33" x14ac:dyDescent="0.25">
      <c r="A10074" t="str">
        <f>"1104832138"</f>
        <v>1104832138</v>
      </c>
      <c r="B10074" t="str">
        <f>"00906670"</f>
        <v>00906670</v>
      </c>
      <c r="C10074" t="s">
        <v>13436</v>
      </c>
      <c r="D10074" t="s">
        <v>41693</v>
      </c>
      <c r="E10074" t="s">
        <v>41694</v>
      </c>
      <c r="G10074" t="s">
        <v>41695</v>
      </c>
      <c r="L10074" t="s">
        <v>83</v>
      </c>
      <c r="M10074" t="s">
        <v>85</v>
      </c>
      <c r="R10074" t="s">
        <v>41696</v>
      </c>
      <c r="W10074" t="s">
        <v>41694</v>
      </c>
      <c r="X10074" t="s">
        <v>11945</v>
      </c>
      <c r="Y10074" t="s">
        <v>2128</v>
      </c>
      <c r="Z10074" t="s">
        <v>77</v>
      </c>
      <c r="AA10074" t="str">
        <f>"11743-2779"</f>
        <v>11743-2779</v>
      </c>
      <c r="AB10074" t="s">
        <v>78</v>
      </c>
      <c r="AC10074" t="s">
        <v>79</v>
      </c>
      <c r="AD10074" t="s">
        <v>75</v>
      </c>
      <c r="AE10074" t="s">
        <v>80</v>
      </c>
      <c r="AG10074" t="s">
        <v>81</v>
      </c>
    </row>
    <row r="10075" spans="1:33" x14ac:dyDescent="0.25">
      <c r="A10075" t="str">
        <f>"1104847508"</f>
        <v>1104847508</v>
      </c>
      <c r="B10075" t="str">
        <f>"01725268"</f>
        <v>01725268</v>
      </c>
      <c r="C10075" t="s">
        <v>13436</v>
      </c>
      <c r="D10075" t="s">
        <v>41697</v>
      </c>
      <c r="E10075" t="s">
        <v>41698</v>
      </c>
      <c r="G10075" t="s">
        <v>41699</v>
      </c>
      <c r="L10075" t="s">
        <v>83</v>
      </c>
      <c r="M10075" t="s">
        <v>85</v>
      </c>
      <c r="R10075" t="s">
        <v>41700</v>
      </c>
      <c r="W10075" t="s">
        <v>41701</v>
      </c>
      <c r="X10075" t="s">
        <v>41702</v>
      </c>
      <c r="Y10075" t="s">
        <v>97</v>
      </c>
      <c r="Z10075" t="s">
        <v>77</v>
      </c>
      <c r="AA10075" t="str">
        <f>"10128-1243"</f>
        <v>10128-1243</v>
      </c>
      <c r="AB10075" t="s">
        <v>78</v>
      </c>
      <c r="AC10075" t="s">
        <v>79</v>
      </c>
      <c r="AD10075" t="s">
        <v>75</v>
      </c>
      <c r="AE10075" t="s">
        <v>80</v>
      </c>
      <c r="AG10075" t="s">
        <v>81</v>
      </c>
    </row>
    <row r="10076" spans="1:33" x14ac:dyDescent="0.25">
      <c r="A10076" t="str">
        <f>"1104867340"</f>
        <v>1104867340</v>
      </c>
      <c r="B10076" t="str">
        <f>"02169868"</f>
        <v>02169868</v>
      </c>
      <c r="C10076" t="s">
        <v>13436</v>
      </c>
      <c r="D10076" t="s">
        <v>41703</v>
      </c>
      <c r="E10076" t="s">
        <v>41704</v>
      </c>
      <c r="G10076" t="s">
        <v>41705</v>
      </c>
      <c r="L10076" t="s">
        <v>74</v>
      </c>
      <c r="M10076" t="s">
        <v>85</v>
      </c>
      <c r="R10076" t="s">
        <v>41706</v>
      </c>
      <c r="W10076" t="s">
        <v>41704</v>
      </c>
      <c r="X10076" t="s">
        <v>3067</v>
      </c>
      <c r="Y10076" t="s">
        <v>91</v>
      </c>
      <c r="Z10076" t="s">
        <v>77</v>
      </c>
      <c r="AA10076" t="str">
        <f>"11373-1329"</f>
        <v>11373-1329</v>
      </c>
      <c r="AB10076" t="s">
        <v>78</v>
      </c>
      <c r="AC10076" t="s">
        <v>79</v>
      </c>
      <c r="AD10076" t="s">
        <v>75</v>
      </c>
      <c r="AE10076" t="s">
        <v>80</v>
      </c>
      <c r="AG10076" t="s">
        <v>81</v>
      </c>
    </row>
    <row r="10077" spans="1:33" x14ac:dyDescent="0.25">
      <c r="A10077" t="str">
        <f>"1104869304"</f>
        <v>1104869304</v>
      </c>
      <c r="B10077" t="str">
        <f>"01021154"</f>
        <v>01021154</v>
      </c>
      <c r="C10077" t="s">
        <v>13436</v>
      </c>
      <c r="D10077" t="s">
        <v>41707</v>
      </c>
      <c r="E10077" t="s">
        <v>41708</v>
      </c>
      <c r="G10077" t="s">
        <v>41709</v>
      </c>
      <c r="L10077" t="s">
        <v>83</v>
      </c>
      <c r="M10077" t="s">
        <v>85</v>
      </c>
      <c r="R10077" t="s">
        <v>41710</v>
      </c>
      <c r="W10077" t="s">
        <v>41708</v>
      </c>
      <c r="X10077" t="s">
        <v>41711</v>
      </c>
      <c r="Y10077" t="s">
        <v>131</v>
      </c>
      <c r="Z10077" t="s">
        <v>77</v>
      </c>
      <c r="AA10077" t="str">
        <f>"10461-3124"</f>
        <v>10461-3124</v>
      </c>
      <c r="AB10077" t="s">
        <v>78</v>
      </c>
      <c r="AC10077" t="s">
        <v>79</v>
      </c>
      <c r="AD10077" t="s">
        <v>75</v>
      </c>
      <c r="AE10077" t="s">
        <v>80</v>
      </c>
      <c r="AG10077" t="s">
        <v>81</v>
      </c>
    </row>
    <row r="10078" spans="1:33" x14ac:dyDescent="0.25">
      <c r="A10078" t="str">
        <f>"1104870658"</f>
        <v>1104870658</v>
      </c>
      <c r="B10078" t="str">
        <f>"00153342"</f>
        <v>00153342</v>
      </c>
      <c r="C10078" t="s">
        <v>13436</v>
      </c>
      <c r="D10078" t="s">
        <v>41712</v>
      </c>
      <c r="E10078" t="s">
        <v>41713</v>
      </c>
      <c r="G10078" t="s">
        <v>41714</v>
      </c>
      <c r="L10078" t="s">
        <v>83</v>
      </c>
      <c r="M10078" t="s">
        <v>85</v>
      </c>
      <c r="R10078" t="s">
        <v>41715</v>
      </c>
      <c r="W10078" t="s">
        <v>41713</v>
      </c>
      <c r="X10078" t="s">
        <v>1290</v>
      </c>
      <c r="Y10078" t="s">
        <v>97</v>
      </c>
      <c r="Z10078" t="s">
        <v>77</v>
      </c>
      <c r="AA10078" t="str">
        <f>"10029"</f>
        <v>10029</v>
      </c>
      <c r="AB10078" t="s">
        <v>78</v>
      </c>
      <c r="AC10078" t="s">
        <v>79</v>
      </c>
      <c r="AD10078" t="s">
        <v>75</v>
      </c>
      <c r="AE10078" t="s">
        <v>80</v>
      </c>
      <c r="AG10078" t="s">
        <v>81</v>
      </c>
    </row>
    <row r="10079" spans="1:33" x14ac:dyDescent="0.25">
      <c r="A10079" t="str">
        <f>"1104872696"</f>
        <v>1104872696</v>
      </c>
      <c r="B10079" t="str">
        <f>"03226524"</f>
        <v>03226524</v>
      </c>
      <c r="C10079" t="s">
        <v>13436</v>
      </c>
      <c r="D10079" t="s">
        <v>41716</v>
      </c>
      <c r="E10079" t="s">
        <v>41717</v>
      </c>
      <c r="G10079" t="s">
        <v>41718</v>
      </c>
      <c r="L10079" t="s">
        <v>83</v>
      </c>
      <c r="M10079" t="s">
        <v>85</v>
      </c>
      <c r="R10079" t="s">
        <v>41717</v>
      </c>
      <c r="W10079" t="s">
        <v>41717</v>
      </c>
      <c r="X10079" t="s">
        <v>41719</v>
      </c>
      <c r="Y10079" t="s">
        <v>97</v>
      </c>
      <c r="Z10079" t="s">
        <v>77</v>
      </c>
      <c r="AA10079" t="str">
        <f>"10029-6500"</f>
        <v>10029-6500</v>
      </c>
      <c r="AB10079" t="s">
        <v>78</v>
      </c>
      <c r="AC10079" t="s">
        <v>79</v>
      </c>
      <c r="AD10079" t="s">
        <v>75</v>
      </c>
      <c r="AE10079" t="s">
        <v>80</v>
      </c>
      <c r="AG10079" t="s">
        <v>81</v>
      </c>
    </row>
    <row r="10080" spans="1:33" x14ac:dyDescent="0.25">
      <c r="A10080" t="str">
        <f>"1104892488"</f>
        <v>1104892488</v>
      </c>
      <c r="B10080" t="str">
        <f>"01936185"</f>
        <v>01936185</v>
      </c>
      <c r="C10080" t="s">
        <v>13436</v>
      </c>
      <c r="D10080" t="s">
        <v>41720</v>
      </c>
      <c r="E10080" t="s">
        <v>41721</v>
      </c>
      <c r="G10080" t="s">
        <v>41722</v>
      </c>
      <c r="L10080" t="s">
        <v>83</v>
      </c>
      <c r="M10080" t="s">
        <v>85</v>
      </c>
      <c r="R10080" t="s">
        <v>41723</v>
      </c>
      <c r="W10080" t="s">
        <v>41721</v>
      </c>
      <c r="X10080" t="s">
        <v>86</v>
      </c>
      <c r="Y10080" t="s">
        <v>87</v>
      </c>
      <c r="Z10080" t="s">
        <v>77</v>
      </c>
      <c r="AA10080" t="str">
        <f>"11220-2559"</f>
        <v>11220-2559</v>
      </c>
      <c r="AB10080" t="s">
        <v>78</v>
      </c>
      <c r="AC10080" t="s">
        <v>79</v>
      </c>
      <c r="AD10080" t="s">
        <v>75</v>
      </c>
      <c r="AE10080" t="s">
        <v>80</v>
      </c>
      <c r="AG10080" t="s">
        <v>81</v>
      </c>
    </row>
    <row r="10081" spans="1:33" x14ac:dyDescent="0.25">
      <c r="A10081" t="str">
        <f>"1932449279"</f>
        <v>1932449279</v>
      </c>
      <c r="B10081" t="str">
        <f>"03820468"</f>
        <v>03820468</v>
      </c>
      <c r="C10081" t="s">
        <v>13436</v>
      </c>
      <c r="D10081" t="s">
        <v>41724</v>
      </c>
      <c r="E10081" t="s">
        <v>41725</v>
      </c>
      <c r="G10081" t="s">
        <v>41726</v>
      </c>
      <c r="L10081" t="s">
        <v>105</v>
      </c>
      <c r="M10081" t="s">
        <v>85</v>
      </c>
      <c r="R10081" t="s">
        <v>41727</v>
      </c>
      <c r="W10081" t="s">
        <v>41725</v>
      </c>
      <c r="X10081" t="s">
        <v>1959</v>
      </c>
      <c r="Y10081" t="s">
        <v>1960</v>
      </c>
      <c r="Z10081" t="s">
        <v>77</v>
      </c>
      <c r="AA10081" t="str">
        <f>"11598-1347"</f>
        <v>11598-1347</v>
      </c>
      <c r="AB10081" t="s">
        <v>78</v>
      </c>
      <c r="AC10081" t="s">
        <v>79</v>
      </c>
      <c r="AD10081" t="s">
        <v>75</v>
      </c>
      <c r="AE10081" t="s">
        <v>80</v>
      </c>
      <c r="AG10081" t="s">
        <v>81</v>
      </c>
    </row>
    <row r="10082" spans="1:33" x14ac:dyDescent="0.25">
      <c r="A10082" t="str">
        <f>"1932547015"</f>
        <v>1932547015</v>
      </c>
      <c r="B10082" t="str">
        <f>"03747711"</f>
        <v>03747711</v>
      </c>
      <c r="C10082" t="s">
        <v>13436</v>
      </c>
      <c r="D10082" t="s">
        <v>41728</v>
      </c>
      <c r="E10082" t="s">
        <v>41729</v>
      </c>
      <c r="G10082" t="s">
        <v>41730</v>
      </c>
      <c r="L10082" t="s">
        <v>102</v>
      </c>
      <c r="M10082" t="s">
        <v>75</v>
      </c>
      <c r="R10082" t="s">
        <v>41731</v>
      </c>
      <c r="W10082" t="s">
        <v>41729</v>
      </c>
      <c r="X10082" t="s">
        <v>25010</v>
      </c>
      <c r="Y10082" t="s">
        <v>97</v>
      </c>
      <c r="Z10082" t="s">
        <v>77</v>
      </c>
      <c r="AA10082" t="str">
        <f>"10019-8022"</f>
        <v>10019-8022</v>
      </c>
      <c r="AB10082" t="s">
        <v>78</v>
      </c>
      <c r="AC10082" t="s">
        <v>79</v>
      </c>
      <c r="AD10082" t="s">
        <v>75</v>
      </c>
      <c r="AE10082" t="s">
        <v>80</v>
      </c>
      <c r="AG10082" t="s">
        <v>81</v>
      </c>
    </row>
    <row r="10083" spans="1:33" x14ac:dyDescent="0.25">
      <c r="A10083" t="str">
        <f>"1942208756"</f>
        <v>1942208756</v>
      </c>
      <c r="B10083" t="str">
        <f>"02414400"</f>
        <v>02414400</v>
      </c>
      <c r="C10083" t="s">
        <v>13436</v>
      </c>
      <c r="D10083" t="s">
        <v>41732</v>
      </c>
      <c r="E10083" t="s">
        <v>41733</v>
      </c>
      <c r="L10083" t="s">
        <v>83</v>
      </c>
      <c r="M10083" t="s">
        <v>85</v>
      </c>
      <c r="R10083" t="s">
        <v>41734</v>
      </c>
      <c r="W10083" t="s">
        <v>41733</v>
      </c>
      <c r="X10083" t="s">
        <v>36584</v>
      </c>
      <c r="Y10083" t="s">
        <v>97</v>
      </c>
      <c r="Z10083" t="s">
        <v>77</v>
      </c>
      <c r="AA10083" t="str">
        <f>"10128"</f>
        <v>10128</v>
      </c>
      <c r="AB10083" t="s">
        <v>78</v>
      </c>
      <c r="AC10083" t="s">
        <v>79</v>
      </c>
      <c r="AD10083" t="s">
        <v>75</v>
      </c>
      <c r="AE10083" t="s">
        <v>80</v>
      </c>
      <c r="AG10083" t="s">
        <v>81</v>
      </c>
    </row>
    <row r="10084" spans="1:33" x14ac:dyDescent="0.25">
      <c r="A10084" t="str">
        <f>"1942230453"</f>
        <v>1942230453</v>
      </c>
      <c r="B10084" t="str">
        <f>"00808993"</f>
        <v>00808993</v>
      </c>
      <c r="C10084" t="s">
        <v>13436</v>
      </c>
      <c r="D10084" t="s">
        <v>41735</v>
      </c>
      <c r="E10084" t="s">
        <v>41736</v>
      </c>
      <c r="L10084" t="s">
        <v>74</v>
      </c>
      <c r="M10084" t="s">
        <v>85</v>
      </c>
      <c r="R10084" t="s">
        <v>41737</v>
      </c>
      <c r="W10084" t="s">
        <v>41736</v>
      </c>
      <c r="X10084" t="s">
        <v>272</v>
      </c>
      <c r="Y10084" t="s">
        <v>97</v>
      </c>
      <c r="Z10084" t="s">
        <v>77</v>
      </c>
      <c r="AA10084" t="str">
        <f>"10029-6501"</f>
        <v>10029-6501</v>
      </c>
      <c r="AB10084" t="s">
        <v>78</v>
      </c>
      <c r="AC10084" t="s">
        <v>79</v>
      </c>
      <c r="AD10084" t="s">
        <v>75</v>
      </c>
      <c r="AE10084" t="s">
        <v>80</v>
      </c>
      <c r="AG10084" t="s">
        <v>81</v>
      </c>
    </row>
    <row r="10085" spans="1:33" x14ac:dyDescent="0.25">
      <c r="A10085" t="str">
        <f>"1942276647"</f>
        <v>1942276647</v>
      </c>
      <c r="B10085" t="str">
        <f>"02103542"</f>
        <v>02103542</v>
      </c>
      <c r="C10085" t="s">
        <v>13436</v>
      </c>
      <c r="D10085" t="s">
        <v>41738</v>
      </c>
      <c r="E10085" t="s">
        <v>41739</v>
      </c>
      <c r="L10085" t="s">
        <v>83</v>
      </c>
      <c r="M10085" t="s">
        <v>85</v>
      </c>
      <c r="R10085" t="s">
        <v>41740</v>
      </c>
      <c r="W10085" t="s">
        <v>41739</v>
      </c>
      <c r="X10085" t="s">
        <v>272</v>
      </c>
      <c r="Y10085" t="s">
        <v>97</v>
      </c>
      <c r="Z10085" t="s">
        <v>77</v>
      </c>
      <c r="AA10085" t="str">
        <f>"10029-6501"</f>
        <v>10029-6501</v>
      </c>
      <c r="AB10085" t="s">
        <v>78</v>
      </c>
      <c r="AC10085" t="s">
        <v>79</v>
      </c>
      <c r="AD10085" t="s">
        <v>75</v>
      </c>
      <c r="AE10085" t="s">
        <v>80</v>
      </c>
      <c r="AG10085" t="s">
        <v>81</v>
      </c>
    </row>
    <row r="10086" spans="1:33" x14ac:dyDescent="0.25">
      <c r="A10086" t="str">
        <f>"1558789586"</f>
        <v>1558789586</v>
      </c>
      <c r="C10086" t="s">
        <v>13436</v>
      </c>
      <c r="K10086" t="s">
        <v>99</v>
      </c>
      <c r="L10086" t="s">
        <v>102</v>
      </c>
      <c r="M10086" t="s">
        <v>75</v>
      </c>
      <c r="R10086" t="s">
        <v>41741</v>
      </c>
      <c r="S10086" t="s">
        <v>41742</v>
      </c>
      <c r="T10086" t="s">
        <v>97</v>
      </c>
      <c r="U10086" t="s">
        <v>77</v>
      </c>
      <c r="V10086" t="str">
        <f>"100296503"</f>
        <v>100296503</v>
      </c>
      <c r="AC10086" t="s">
        <v>79</v>
      </c>
      <c r="AD10086" t="s">
        <v>75</v>
      </c>
      <c r="AE10086" t="s">
        <v>103</v>
      </c>
      <c r="AG10086" t="s">
        <v>81</v>
      </c>
    </row>
    <row r="10087" spans="1:33" x14ac:dyDescent="0.25">
      <c r="A10087" t="str">
        <f>"1629495098"</f>
        <v>1629495098</v>
      </c>
      <c r="C10087" t="s">
        <v>13436</v>
      </c>
      <c r="K10087" t="s">
        <v>99</v>
      </c>
      <c r="L10087" t="s">
        <v>102</v>
      </c>
      <c r="M10087" t="s">
        <v>75</v>
      </c>
      <c r="R10087" t="s">
        <v>41743</v>
      </c>
      <c r="S10087" t="s">
        <v>41744</v>
      </c>
      <c r="T10087" t="s">
        <v>13682</v>
      </c>
      <c r="U10087" t="s">
        <v>12526</v>
      </c>
      <c r="V10087" t="str">
        <f>"009663144"</f>
        <v>009663144</v>
      </c>
      <c r="AC10087" t="s">
        <v>79</v>
      </c>
      <c r="AD10087" t="s">
        <v>75</v>
      </c>
      <c r="AE10087" t="s">
        <v>103</v>
      </c>
      <c r="AG10087" t="s">
        <v>81</v>
      </c>
    </row>
    <row r="10088" spans="1:33" x14ac:dyDescent="0.25">
      <c r="C10088" t="s">
        <v>41745</v>
      </c>
      <c r="H10088" t="s">
        <v>41746</v>
      </c>
      <c r="J10088" t="s">
        <v>41747</v>
      </c>
      <c r="K10088" t="s">
        <v>206</v>
      </c>
      <c r="L10088" t="s">
        <v>100</v>
      </c>
      <c r="M10088" t="s">
        <v>75</v>
      </c>
      <c r="N10088" t="s">
        <v>41748</v>
      </c>
      <c r="O10088" t="s">
        <v>431</v>
      </c>
      <c r="P10088" t="s">
        <v>6410</v>
      </c>
      <c r="AC10088" t="s">
        <v>79</v>
      </c>
      <c r="AD10088" t="s">
        <v>75</v>
      </c>
      <c r="AE10088" t="s">
        <v>101</v>
      </c>
      <c r="AG10088" t="s">
        <v>81</v>
      </c>
    </row>
    <row r="10089" spans="1:33" x14ac:dyDescent="0.25">
      <c r="A10089" t="str">
        <f>"1326049529"</f>
        <v>1326049529</v>
      </c>
      <c r="B10089" t="str">
        <f>"00844642"</f>
        <v>00844642</v>
      </c>
      <c r="C10089" t="s">
        <v>41749</v>
      </c>
      <c r="D10089" t="s">
        <v>41750</v>
      </c>
      <c r="E10089" t="s">
        <v>41751</v>
      </c>
      <c r="H10089" t="s">
        <v>41752</v>
      </c>
      <c r="J10089" t="s">
        <v>41753</v>
      </c>
      <c r="L10089" t="s">
        <v>84</v>
      </c>
      <c r="M10089" t="s">
        <v>75</v>
      </c>
      <c r="R10089" t="s">
        <v>41754</v>
      </c>
      <c r="W10089" t="s">
        <v>41751</v>
      </c>
      <c r="X10089" t="s">
        <v>9730</v>
      </c>
      <c r="Y10089" t="s">
        <v>97</v>
      </c>
      <c r="Z10089" t="s">
        <v>77</v>
      </c>
      <c r="AA10089" t="str">
        <f>"10024-3512"</f>
        <v>10024-3512</v>
      </c>
      <c r="AB10089" t="s">
        <v>78</v>
      </c>
      <c r="AC10089" t="s">
        <v>79</v>
      </c>
      <c r="AD10089" t="s">
        <v>75</v>
      </c>
      <c r="AE10089" t="s">
        <v>80</v>
      </c>
      <c r="AG10089" t="s">
        <v>81</v>
      </c>
    </row>
    <row r="10090" spans="1:33" x14ac:dyDescent="0.25">
      <c r="A10090" t="str">
        <f>"1396064176"</f>
        <v>1396064176</v>
      </c>
      <c r="C10090" t="s">
        <v>13436</v>
      </c>
      <c r="K10090" t="s">
        <v>99</v>
      </c>
      <c r="L10090" t="s">
        <v>74</v>
      </c>
      <c r="M10090" t="s">
        <v>75</v>
      </c>
      <c r="R10090" t="s">
        <v>41755</v>
      </c>
      <c r="S10090" t="s">
        <v>41756</v>
      </c>
      <c r="T10090" t="s">
        <v>97</v>
      </c>
      <c r="U10090" t="s">
        <v>77</v>
      </c>
      <c r="V10090" t="str">
        <f>"100244611"</f>
        <v>100244611</v>
      </c>
      <c r="AC10090" t="s">
        <v>79</v>
      </c>
      <c r="AD10090" t="s">
        <v>75</v>
      </c>
      <c r="AE10090" t="s">
        <v>103</v>
      </c>
      <c r="AG10090" t="s">
        <v>81</v>
      </c>
    </row>
    <row r="10091" spans="1:33" x14ac:dyDescent="0.25">
      <c r="A10091" t="str">
        <f>"1740226554"</f>
        <v>1740226554</v>
      </c>
      <c r="B10091" t="str">
        <f>"01341542"</f>
        <v>01341542</v>
      </c>
      <c r="C10091" t="s">
        <v>13436</v>
      </c>
      <c r="D10091" t="s">
        <v>41757</v>
      </c>
      <c r="E10091" t="s">
        <v>41758</v>
      </c>
      <c r="G10091" t="s">
        <v>41759</v>
      </c>
      <c r="L10091" t="s">
        <v>74</v>
      </c>
      <c r="M10091" t="s">
        <v>75</v>
      </c>
      <c r="R10091" t="s">
        <v>41760</v>
      </c>
      <c r="W10091" t="s">
        <v>41758</v>
      </c>
      <c r="X10091" t="s">
        <v>41761</v>
      </c>
      <c r="Y10091" t="s">
        <v>97</v>
      </c>
      <c r="Z10091" t="s">
        <v>77</v>
      </c>
      <c r="AA10091" t="str">
        <f>"10029-6503"</f>
        <v>10029-6503</v>
      </c>
      <c r="AB10091" t="s">
        <v>78</v>
      </c>
      <c r="AC10091" t="s">
        <v>79</v>
      </c>
      <c r="AD10091" t="s">
        <v>75</v>
      </c>
      <c r="AE10091" t="s">
        <v>80</v>
      </c>
      <c r="AG10091" t="s">
        <v>81</v>
      </c>
    </row>
    <row r="10092" spans="1:33" x14ac:dyDescent="0.25">
      <c r="A10092" t="str">
        <f>"1760737720"</f>
        <v>1760737720</v>
      </c>
      <c r="B10092" t="str">
        <f>"03972130"</f>
        <v>03972130</v>
      </c>
      <c r="C10092" t="s">
        <v>13436</v>
      </c>
      <c r="D10092" t="s">
        <v>41762</v>
      </c>
      <c r="E10092" t="s">
        <v>41763</v>
      </c>
      <c r="G10092" t="s">
        <v>41764</v>
      </c>
      <c r="L10092" t="s">
        <v>83</v>
      </c>
      <c r="M10092" t="s">
        <v>75</v>
      </c>
      <c r="R10092" t="s">
        <v>41765</v>
      </c>
      <c r="W10092" t="s">
        <v>41763</v>
      </c>
      <c r="X10092" t="s">
        <v>329</v>
      </c>
      <c r="Y10092" t="s">
        <v>97</v>
      </c>
      <c r="Z10092" t="s">
        <v>77</v>
      </c>
      <c r="AA10092" t="str">
        <f>"10029-6504"</f>
        <v>10029-6504</v>
      </c>
      <c r="AB10092" t="s">
        <v>78</v>
      </c>
      <c r="AC10092" t="s">
        <v>79</v>
      </c>
      <c r="AD10092" t="s">
        <v>75</v>
      </c>
      <c r="AE10092" t="s">
        <v>80</v>
      </c>
      <c r="AG10092" t="s">
        <v>81</v>
      </c>
    </row>
    <row r="10093" spans="1:33" x14ac:dyDescent="0.25">
      <c r="A10093" t="str">
        <f>"1760746697"</f>
        <v>1760746697</v>
      </c>
      <c r="C10093" t="s">
        <v>13436</v>
      </c>
      <c r="K10093" t="s">
        <v>99</v>
      </c>
      <c r="L10093" t="s">
        <v>102</v>
      </c>
      <c r="M10093" t="s">
        <v>75</v>
      </c>
      <c r="R10093" t="s">
        <v>41766</v>
      </c>
      <c r="S10093" t="s">
        <v>41767</v>
      </c>
      <c r="T10093" t="s">
        <v>4575</v>
      </c>
      <c r="U10093" t="s">
        <v>4576</v>
      </c>
      <c r="V10093" t="str">
        <f>"198063267"</f>
        <v>198063267</v>
      </c>
      <c r="AC10093" t="s">
        <v>79</v>
      </c>
      <c r="AD10093" t="s">
        <v>75</v>
      </c>
      <c r="AE10093" t="s">
        <v>103</v>
      </c>
      <c r="AG10093" t="s">
        <v>81</v>
      </c>
    </row>
    <row r="10094" spans="1:33" x14ac:dyDescent="0.25">
      <c r="A10094" t="str">
        <f>"1760748305"</f>
        <v>1760748305</v>
      </c>
      <c r="C10094" t="s">
        <v>13436</v>
      </c>
      <c r="K10094" t="s">
        <v>99</v>
      </c>
      <c r="L10094" t="s">
        <v>102</v>
      </c>
      <c r="M10094" t="s">
        <v>75</v>
      </c>
      <c r="R10094" t="s">
        <v>41768</v>
      </c>
      <c r="S10094" t="s">
        <v>329</v>
      </c>
      <c r="T10094" t="s">
        <v>97</v>
      </c>
      <c r="U10094" t="s">
        <v>77</v>
      </c>
      <c r="V10094" t="str">
        <f>"100296574"</f>
        <v>100296574</v>
      </c>
      <c r="AC10094" t="s">
        <v>79</v>
      </c>
      <c r="AD10094" t="s">
        <v>75</v>
      </c>
      <c r="AE10094" t="s">
        <v>103</v>
      </c>
      <c r="AG10094" t="s">
        <v>81</v>
      </c>
    </row>
    <row r="10095" spans="1:33" x14ac:dyDescent="0.25">
      <c r="A10095" t="str">
        <f>"1760751754"</f>
        <v>1760751754</v>
      </c>
      <c r="B10095" t="str">
        <f>"03453972"</f>
        <v>03453972</v>
      </c>
      <c r="C10095" t="s">
        <v>13436</v>
      </c>
      <c r="D10095" t="s">
        <v>41769</v>
      </c>
      <c r="E10095" t="s">
        <v>41770</v>
      </c>
      <c r="G10095" t="s">
        <v>41771</v>
      </c>
      <c r="L10095" t="s">
        <v>74</v>
      </c>
      <c r="M10095" t="s">
        <v>75</v>
      </c>
      <c r="R10095" t="s">
        <v>41772</v>
      </c>
      <c r="W10095" t="s">
        <v>41770</v>
      </c>
      <c r="X10095" t="s">
        <v>267</v>
      </c>
      <c r="Y10095" t="s">
        <v>91</v>
      </c>
      <c r="Z10095" t="s">
        <v>77</v>
      </c>
      <c r="AA10095" t="str">
        <f>"11373-1329"</f>
        <v>11373-1329</v>
      </c>
      <c r="AB10095" t="s">
        <v>78</v>
      </c>
      <c r="AC10095" t="s">
        <v>79</v>
      </c>
      <c r="AD10095" t="s">
        <v>75</v>
      </c>
      <c r="AE10095" t="s">
        <v>80</v>
      </c>
      <c r="AG10095" t="s">
        <v>81</v>
      </c>
    </row>
    <row r="10096" spans="1:33" x14ac:dyDescent="0.25">
      <c r="A10096" t="str">
        <f>"1720072606"</f>
        <v>1720072606</v>
      </c>
      <c r="B10096" t="str">
        <f>"00865536"</f>
        <v>00865536</v>
      </c>
      <c r="C10096" t="s">
        <v>13436</v>
      </c>
      <c r="D10096" t="s">
        <v>41773</v>
      </c>
      <c r="E10096" t="s">
        <v>41774</v>
      </c>
      <c r="G10096" t="s">
        <v>41775</v>
      </c>
      <c r="L10096" t="s">
        <v>74</v>
      </c>
      <c r="M10096" t="s">
        <v>75</v>
      </c>
      <c r="R10096" t="s">
        <v>41776</v>
      </c>
      <c r="W10096" t="s">
        <v>41774</v>
      </c>
      <c r="X10096" t="s">
        <v>41777</v>
      </c>
      <c r="Y10096" t="s">
        <v>97</v>
      </c>
      <c r="Z10096" t="s">
        <v>77</v>
      </c>
      <c r="AA10096" t="str">
        <f>"10016-7604"</f>
        <v>10016-7604</v>
      </c>
      <c r="AB10096" t="s">
        <v>128</v>
      </c>
      <c r="AC10096" t="s">
        <v>79</v>
      </c>
      <c r="AD10096" t="s">
        <v>75</v>
      </c>
      <c r="AE10096" t="s">
        <v>80</v>
      </c>
      <c r="AG10096" t="s">
        <v>81</v>
      </c>
    </row>
    <row r="10097" spans="1:33" x14ac:dyDescent="0.25">
      <c r="A10097" t="str">
        <f>"1720125016"</f>
        <v>1720125016</v>
      </c>
      <c r="B10097" t="str">
        <f>"01266595"</f>
        <v>01266595</v>
      </c>
      <c r="C10097" t="s">
        <v>13436</v>
      </c>
      <c r="D10097" t="s">
        <v>41778</v>
      </c>
      <c r="E10097" t="s">
        <v>41779</v>
      </c>
      <c r="G10097" t="s">
        <v>41780</v>
      </c>
      <c r="L10097" t="s">
        <v>83</v>
      </c>
      <c r="M10097" t="s">
        <v>75</v>
      </c>
      <c r="R10097" t="s">
        <v>41781</v>
      </c>
      <c r="W10097" t="s">
        <v>41782</v>
      </c>
      <c r="X10097" t="s">
        <v>41783</v>
      </c>
      <c r="Y10097" t="s">
        <v>87</v>
      </c>
      <c r="Z10097" t="s">
        <v>77</v>
      </c>
      <c r="AA10097" t="str">
        <f>"11229-1100"</f>
        <v>11229-1100</v>
      </c>
      <c r="AB10097" t="s">
        <v>128</v>
      </c>
      <c r="AC10097" t="s">
        <v>79</v>
      </c>
      <c r="AD10097" t="s">
        <v>75</v>
      </c>
      <c r="AE10097" t="s">
        <v>80</v>
      </c>
      <c r="AG10097" t="s">
        <v>81</v>
      </c>
    </row>
    <row r="10098" spans="1:33" x14ac:dyDescent="0.25">
      <c r="A10098" t="str">
        <f>"1730165614"</f>
        <v>1730165614</v>
      </c>
      <c r="B10098" t="str">
        <f>"01025465"</f>
        <v>01025465</v>
      </c>
      <c r="C10098" t="s">
        <v>13436</v>
      </c>
      <c r="D10098" t="s">
        <v>41784</v>
      </c>
      <c r="E10098" t="s">
        <v>41785</v>
      </c>
      <c r="G10098" t="s">
        <v>41786</v>
      </c>
      <c r="L10098" t="s">
        <v>83</v>
      </c>
      <c r="M10098" t="s">
        <v>85</v>
      </c>
      <c r="R10098" t="s">
        <v>41787</v>
      </c>
      <c r="W10098" t="s">
        <v>41788</v>
      </c>
      <c r="X10098" t="s">
        <v>41789</v>
      </c>
      <c r="Y10098" t="s">
        <v>87</v>
      </c>
      <c r="Z10098" t="s">
        <v>77</v>
      </c>
      <c r="AA10098" t="str">
        <f>"11230-5102"</f>
        <v>11230-5102</v>
      </c>
      <c r="AB10098" t="s">
        <v>78</v>
      </c>
      <c r="AC10098" t="s">
        <v>79</v>
      </c>
      <c r="AD10098" t="s">
        <v>75</v>
      </c>
      <c r="AE10098" t="s">
        <v>80</v>
      </c>
      <c r="AG10098" t="s">
        <v>81</v>
      </c>
    </row>
    <row r="10099" spans="1:33" x14ac:dyDescent="0.25">
      <c r="A10099" t="str">
        <f>"1730386657"</f>
        <v>1730386657</v>
      </c>
      <c r="B10099" t="str">
        <f>"02992574"</f>
        <v>02992574</v>
      </c>
      <c r="C10099" t="s">
        <v>13436</v>
      </c>
      <c r="D10099" t="s">
        <v>41790</v>
      </c>
      <c r="E10099" t="s">
        <v>41791</v>
      </c>
      <c r="G10099" t="s">
        <v>41792</v>
      </c>
      <c r="L10099" t="s">
        <v>83</v>
      </c>
      <c r="M10099" t="s">
        <v>75</v>
      </c>
      <c r="R10099" t="s">
        <v>41793</v>
      </c>
      <c r="W10099" t="s">
        <v>41791</v>
      </c>
      <c r="X10099" t="s">
        <v>41794</v>
      </c>
      <c r="Y10099" t="s">
        <v>87</v>
      </c>
      <c r="Z10099" t="s">
        <v>77</v>
      </c>
      <c r="AA10099" t="str">
        <f>"11218-5913"</f>
        <v>11218-5913</v>
      </c>
      <c r="AB10099" t="s">
        <v>78</v>
      </c>
      <c r="AC10099" t="s">
        <v>79</v>
      </c>
      <c r="AD10099" t="s">
        <v>75</v>
      </c>
      <c r="AE10099" t="s">
        <v>80</v>
      </c>
      <c r="AG10099" t="s">
        <v>81</v>
      </c>
    </row>
    <row r="10100" spans="1:33" x14ac:dyDescent="0.25">
      <c r="A10100" t="str">
        <f>"1740436112"</f>
        <v>1740436112</v>
      </c>
      <c r="C10100" t="s">
        <v>13436</v>
      </c>
      <c r="G10100" t="s">
        <v>41795</v>
      </c>
      <c r="K10100" t="s">
        <v>99</v>
      </c>
      <c r="L10100" t="s">
        <v>102</v>
      </c>
      <c r="M10100" t="s">
        <v>75</v>
      </c>
      <c r="R10100" t="s">
        <v>41796</v>
      </c>
      <c r="S10100" t="s">
        <v>11489</v>
      </c>
      <c r="T10100" t="s">
        <v>97</v>
      </c>
      <c r="U10100" t="s">
        <v>77</v>
      </c>
      <c r="V10100" t="str">
        <f>"100033804"</f>
        <v>100033804</v>
      </c>
      <c r="AC10100" t="s">
        <v>79</v>
      </c>
      <c r="AD10100" t="s">
        <v>75</v>
      </c>
      <c r="AE10100" t="s">
        <v>103</v>
      </c>
      <c r="AG10100" t="s">
        <v>81</v>
      </c>
    </row>
    <row r="10101" spans="1:33" x14ac:dyDescent="0.25">
      <c r="A10101" t="str">
        <f>"1750364790"</f>
        <v>1750364790</v>
      </c>
      <c r="B10101" t="str">
        <f>"01494095"</f>
        <v>01494095</v>
      </c>
      <c r="C10101" t="s">
        <v>13436</v>
      </c>
      <c r="D10101" t="s">
        <v>41797</v>
      </c>
      <c r="E10101" t="s">
        <v>41798</v>
      </c>
      <c r="G10101" t="s">
        <v>41799</v>
      </c>
      <c r="L10101" t="s">
        <v>83</v>
      </c>
      <c r="M10101" t="s">
        <v>85</v>
      </c>
      <c r="R10101" t="s">
        <v>41798</v>
      </c>
      <c r="W10101" t="s">
        <v>41798</v>
      </c>
      <c r="X10101" t="s">
        <v>14871</v>
      </c>
      <c r="Y10101" t="s">
        <v>97</v>
      </c>
      <c r="Z10101" t="s">
        <v>77</v>
      </c>
      <c r="AA10101" t="str">
        <f>"10003-0000"</f>
        <v>10003-0000</v>
      </c>
      <c r="AB10101" t="s">
        <v>114</v>
      </c>
      <c r="AC10101" t="s">
        <v>79</v>
      </c>
      <c r="AD10101" t="s">
        <v>75</v>
      </c>
      <c r="AE10101" t="s">
        <v>80</v>
      </c>
      <c r="AG10101" t="s">
        <v>81</v>
      </c>
    </row>
    <row r="10102" spans="1:33" x14ac:dyDescent="0.25">
      <c r="A10102" t="str">
        <f>"1750461885"</f>
        <v>1750461885</v>
      </c>
      <c r="B10102" t="str">
        <f>"03121693"</f>
        <v>03121693</v>
      </c>
      <c r="C10102" t="s">
        <v>13436</v>
      </c>
      <c r="D10102" t="s">
        <v>5387</v>
      </c>
      <c r="E10102" t="s">
        <v>5388</v>
      </c>
      <c r="G10102" t="s">
        <v>41800</v>
      </c>
      <c r="L10102" t="s">
        <v>102</v>
      </c>
      <c r="M10102" t="s">
        <v>75</v>
      </c>
      <c r="R10102" t="s">
        <v>5389</v>
      </c>
      <c r="W10102" t="s">
        <v>5388</v>
      </c>
      <c r="X10102" t="s">
        <v>3910</v>
      </c>
      <c r="Y10102" t="s">
        <v>216</v>
      </c>
      <c r="Z10102" t="s">
        <v>77</v>
      </c>
      <c r="AA10102" t="str">
        <f>"11691-3645"</f>
        <v>11691-3645</v>
      </c>
      <c r="AB10102" t="s">
        <v>78</v>
      </c>
      <c r="AC10102" t="s">
        <v>79</v>
      </c>
      <c r="AD10102" t="s">
        <v>75</v>
      </c>
      <c r="AE10102" t="s">
        <v>80</v>
      </c>
      <c r="AG10102" t="s">
        <v>81</v>
      </c>
    </row>
    <row r="10103" spans="1:33" x14ac:dyDescent="0.25">
      <c r="A10103" t="str">
        <f>"1750492773"</f>
        <v>1750492773</v>
      </c>
      <c r="B10103" t="str">
        <f>"01273789"</f>
        <v>01273789</v>
      </c>
      <c r="C10103" t="s">
        <v>13436</v>
      </c>
      <c r="D10103" t="s">
        <v>41801</v>
      </c>
      <c r="E10103" t="s">
        <v>41802</v>
      </c>
      <c r="G10103" t="s">
        <v>41803</v>
      </c>
      <c r="L10103" t="s">
        <v>83</v>
      </c>
      <c r="M10103" t="s">
        <v>75</v>
      </c>
      <c r="R10103" t="s">
        <v>41804</v>
      </c>
      <c r="W10103" t="s">
        <v>41805</v>
      </c>
      <c r="X10103" t="s">
        <v>41783</v>
      </c>
      <c r="Y10103" t="s">
        <v>87</v>
      </c>
      <c r="Z10103" t="s">
        <v>77</v>
      </c>
      <c r="AA10103" t="str">
        <f>"11229-1190"</f>
        <v>11229-1190</v>
      </c>
      <c r="AB10103" t="s">
        <v>128</v>
      </c>
      <c r="AC10103" t="s">
        <v>79</v>
      </c>
      <c r="AD10103" t="s">
        <v>75</v>
      </c>
      <c r="AE10103" t="s">
        <v>80</v>
      </c>
      <c r="AG10103" t="s">
        <v>81</v>
      </c>
    </row>
    <row r="10104" spans="1:33" x14ac:dyDescent="0.25">
      <c r="A10104" t="str">
        <f>"1760462436"</f>
        <v>1760462436</v>
      </c>
      <c r="B10104" t="str">
        <f>"01586649"</f>
        <v>01586649</v>
      </c>
      <c r="C10104" t="s">
        <v>13436</v>
      </c>
      <c r="D10104" t="s">
        <v>41806</v>
      </c>
      <c r="E10104" t="s">
        <v>41807</v>
      </c>
      <c r="G10104" t="s">
        <v>41808</v>
      </c>
      <c r="L10104" t="s">
        <v>83</v>
      </c>
      <c r="M10104" t="s">
        <v>75</v>
      </c>
      <c r="R10104" t="s">
        <v>41809</v>
      </c>
      <c r="W10104" t="s">
        <v>41807</v>
      </c>
      <c r="X10104">
        <v>450</v>
      </c>
      <c r="Y10104" t="s">
        <v>41810</v>
      </c>
      <c r="Z10104" t="s">
        <v>77</v>
      </c>
      <c r="AA10104" t="str">
        <f>"11203"</f>
        <v>11203</v>
      </c>
      <c r="AB10104" t="s">
        <v>78</v>
      </c>
      <c r="AC10104" t="s">
        <v>79</v>
      </c>
      <c r="AD10104" t="s">
        <v>75</v>
      </c>
      <c r="AE10104" t="s">
        <v>80</v>
      </c>
      <c r="AG10104" t="s">
        <v>81</v>
      </c>
    </row>
    <row r="10105" spans="1:33" x14ac:dyDescent="0.25">
      <c r="A10105" t="str">
        <f>"1760615744"</f>
        <v>1760615744</v>
      </c>
      <c r="B10105" t="str">
        <f>"03189791"</f>
        <v>03189791</v>
      </c>
      <c r="C10105" t="s">
        <v>13436</v>
      </c>
      <c r="D10105" t="s">
        <v>41811</v>
      </c>
      <c r="E10105" t="s">
        <v>41812</v>
      </c>
      <c r="G10105" t="s">
        <v>41813</v>
      </c>
      <c r="L10105" t="s">
        <v>84</v>
      </c>
      <c r="M10105" t="s">
        <v>85</v>
      </c>
      <c r="R10105" t="s">
        <v>41814</v>
      </c>
      <c r="W10105" t="s">
        <v>41812</v>
      </c>
      <c r="X10105" t="s">
        <v>41815</v>
      </c>
      <c r="Y10105" t="s">
        <v>87</v>
      </c>
      <c r="Z10105" t="s">
        <v>77</v>
      </c>
      <c r="AA10105" t="str">
        <f>"11211-7823"</f>
        <v>11211-7823</v>
      </c>
      <c r="AB10105" t="s">
        <v>78</v>
      </c>
      <c r="AC10105" t="s">
        <v>79</v>
      </c>
      <c r="AD10105" t="s">
        <v>75</v>
      </c>
      <c r="AE10105" t="s">
        <v>80</v>
      </c>
      <c r="AG10105" t="s">
        <v>81</v>
      </c>
    </row>
    <row r="10106" spans="1:33" x14ac:dyDescent="0.25">
      <c r="A10106" t="str">
        <f>"1023324068"</f>
        <v>1023324068</v>
      </c>
      <c r="B10106" t="str">
        <f>"03346187"</f>
        <v>03346187</v>
      </c>
      <c r="C10106" t="s">
        <v>13436</v>
      </c>
      <c r="D10106" t="s">
        <v>41816</v>
      </c>
      <c r="E10106" t="s">
        <v>41817</v>
      </c>
      <c r="L10106" t="s">
        <v>83</v>
      </c>
      <c r="M10106" t="s">
        <v>75</v>
      </c>
      <c r="R10106" t="s">
        <v>41817</v>
      </c>
      <c r="W10106" t="s">
        <v>41817</v>
      </c>
      <c r="X10106" t="s">
        <v>5450</v>
      </c>
      <c r="Y10106" t="s">
        <v>97</v>
      </c>
      <c r="Z10106" t="s">
        <v>77</v>
      </c>
      <c r="AA10106" t="str">
        <f>"10011-3601"</f>
        <v>10011-3601</v>
      </c>
      <c r="AB10106" t="s">
        <v>78</v>
      </c>
      <c r="AC10106" t="s">
        <v>79</v>
      </c>
      <c r="AD10106" t="s">
        <v>75</v>
      </c>
      <c r="AE10106" t="s">
        <v>80</v>
      </c>
      <c r="AG10106" t="s">
        <v>81</v>
      </c>
    </row>
    <row r="10107" spans="1:33" x14ac:dyDescent="0.25">
      <c r="A10107" t="str">
        <f>"1033431960"</f>
        <v>1033431960</v>
      </c>
      <c r="B10107" t="str">
        <f>"03875692"</f>
        <v>03875692</v>
      </c>
      <c r="C10107" t="s">
        <v>13436</v>
      </c>
      <c r="D10107" t="s">
        <v>41818</v>
      </c>
      <c r="E10107" t="s">
        <v>41819</v>
      </c>
      <c r="L10107" t="s">
        <v>74</v>
      </c>
      <c r="M10107" t="s">
        <v>75</v>
      </c>
      <c r="R10107" t="s">
        <v>41819</v>
      </c>
      <c r="W10107" t="s">
        <v>41819</v>
      </c>
      <c r="X10107" t="s">
        <v>41820</v>
      </c>
      <c r="Y10107" t="s">
        <v>97</v>
      </c>
      <c r="Z10107" t="s">
        <v>77</v>
      </c>
      <c r="AA10107" t="str">
        <f>"10007-3715"</f>
        <v>10007-3715</v>
      </c>
      <c r="AB10107" t="s">
        <v>78</v>
      </c>
      <c r="AC10107" t="s">
        <v>79</v>
      </c>
      <c r="AD10107" t="s">
        <v>75</v>
      </c>
      <c r="AE10107" t="s">
        <v>80</v>
      </c>
      <c r="AG10107" t="s">
        <v>81</v>
      </c>
    </row>
    <row r="10108" spans="1:33" x14ac:dyDescent="0.25">
      <c r="A10108" t="str">
        <f>"1033447404"</f>
        <v>1033447404</v>
      </c>
      <c r="C10108" t="s">
        <v>13436</v>
      </c>
      <c r="K10108" t="s">
        <v>99</v>
      </c>
      <c r="L10108" t="s">
        <v>102</v>
      </c>
      <c r="M10108" t="s">
        <v>75</v>
      </c>
      <c r="R10108" t="s">
        <v>41821</v>
      </c>
      <c r="S10108" t="s">
        <v>41822</v>
      </c>
      <c r="T10108" t="s">
        <v>97</v>
      </c>
      <c r="U10108" t="s">
        <v>77</v>
      </c>
      <c r="V10108" t="str">
        <f>"100112202"</f>
        <v>100112202</v>
      </c>
      <c r="AC10108" t="s">
        <v>79</v>
      </c>
      <c r="AD10108" t="s">
        <v>75</v>
      </c>
      <c r="AE10108" t="s">
        <v>103</v>
      </c>
      <c r="AG10108" t="s">
        <v>81</v>
      </c>
    </row>
    <row r="10109" spans="1:33" x14ac:dyDescent="0.25">
      <c r="A10109" t="str">
        <f>"1043442239"</f>
        <v>1043442239</v>
      </c>
      <c r="B10109" t="str">
        <f>"03134741"</f>
        <v>03134741</v>
      </c>
      <c r="C10109" t="s">
        <v>13436</v>
      </c>
      <c r="D10109" t="s">
        <v>41823</v>
      </c>
      <c r="E10109" t="s">
        <v>41824</v>
      </c>
      <c r="L10109" t="s">
        <v>102</v>
      </c>
      <c r="M10109" t="s">
        <v>75</v>
      </c>
      <c r="R10109" t="s">
        <v>41824</v>
      </c>
      <c r="W10109" t="s">
        <v>41824</v>
      </c>
      <c r="X10109" t="s">
        <v>2587</v>
      </c>
      <c r="Y10109" t="s">
        <v>97</v>
      </c>
      <c r="Z10109" t="s">
        <v>77</v>
      </c>
      <c r="AA10109" t="str">
        <f>"10003-3314"</f>
        <v>10003-3314</v>
      </c>
      <c r="AB10109" t="s">
        <v>78</v>
      </c>
      <c r="AC10109" t="s">
        <v>79</v>
      </c>
      <c r="AD10109" t="s">
        <v>75</v>
      </c>
      <c r="AE10109" t="s">
        <v>80</v>
      </c>
      <c r="AG10109" t="s">
        <v>81</v>
      </c>
    </row>
    <row r="10110" spans="1:33" x14ac:dyDescent="0.25">
      <c r="A10110" t="str">
        <f>"1104892850"</f>
        <v>1104892850</v>
      </c>
      <c r="B10110" t="str">
        <f>"00505248"</f>
        <v>00505248</v>
      </c>
      <c r="C10110" t="s">
        <v>13436</v>
      </c>
      <c r="D10110" t="s">
        <v>41825</v>
      </c>
      <c r="E10110" t="s">
        <v>41826</v>
      </c>
      <c r="G10110" t="s">
        <v>41827</v>
      </c>
      <c r="L10110" t="s">
        <v>74</v>
      </c>
      <c r="M10110" t="s">
        <v>85</v>
      </c>
      <c r="R10110" t="s">
        <v>41828</v>
      </c>
      <c r="W10110" t="s">
        <v>41829</v>
      </c>
      <c r="X10110" t="s">
        <v>329</v>
      </c>
      <c r="Y10110" t="s">
        <v>97</v>
      </c>
      <c r="Z10110" t="s">
        <v>77</v>
      </c>
      <c r="AA10110" t="str">
        <f>"10029-6500"</f>
        <v>10029-6500</v>
      </c>
      <c r="AB10110" t="s">
        <v>78</v>
      </c>
      <c r="AC10110" t="s">
        <v>79</v>
      </c>
      <c r="AD10110" t="s">
        <v>75</v>
      </c>
      <c r="AE10110" t="s">
        <v>80</v>
      </c>
      <c r="AG10110" t="s">
        <v>81</v>
      </c>
    </row>
    <row r="10111" spans="1:33" x14ac:dyDescent="0.25">
      <c r="A10111" t="str">
        <f>"1255689758"</f>
        <v>1255689758</v>
      </c>
      <c r="C10111" t="s">
        <v>13436</v>
      </c>
      <c r="K10111" t="s">
        <v>99</v>
      </c>
      <c r="L10111" t="s">
        <v>102</v>
      </c>
      <c r="M10111" t="s">
        <v>75</v>
      </c>
      <c r="R10111" t="s">
        <v>41830</v>
      </c>
      <c r="S10111" t="s">
        <v>41831</v>
      </c>
      <c r="T10111" t="s">
        <v>5785</v>
      </c>
      <c r="U10111" t="s">
        <v>2595</v>
      </c>
      <c r="V10111" t="str">
        <f>"900890112"</f>
        <v>900890112</v>
      </c>
      <c r="AC10111" t="s">
        <v>79</v>
      </c>
      <c r="AD10111" t="s">
        <v>75</v>
      </c>
      <c r="AE10111" t="s">
        <v>103</v>
      </c>
      <c r="AG10111" t="s">
        <v>81</v>
      </c>
    </row>
    <row r="10112" spans="1:33" x14ac:dyDescent="0.25">
      <c r="A10112" t="str">
        <f>"1255690459"</f>
        <v>1255690459</v>
      </c>
      <c r="B10112" t="str">
        <f>"03702614"</f>
        <v>03702614</v>
      </c>
      <c r="C10112" t="s">
        <v>13436</v>
      </c>
      <c r="D10112" t="s">
        <v>41832</v>
      </c>
      <c r="E10112" t="s">
        <v>41833</v>
      </c>
      <c r="G10112" t="s">
        <v>41834</v>
      </c>
      <c r="L10112" t="s">
        <v>74</v>
      </c>
      <c r="M10112" t="s">
        <v>75</v>
      </c>
      <c r="R10112" t="s">
        <v>41835</v>
      </c>
      <c r="W10112" t="s">
        <v>41836</v>
      </c>
      <c r="X10112" t="s">
        <v>41837</v>
      </c>
      <c r="Y10112" t="s">
        <v>97</v>
      </c>
      <c r="Z10112" t="s">
        <v>77</v>
      </c>
      <c r="AA10112" t="str">
        <f>"10087-7036"</f>
        <v>10087-7036</v>
      </c>
      <c r="AB10112" t="s">
        <v>78</v>
      </c>
      <c r="AC10112" t="s">
        <v>79</v>
      </c>
      <c r="AD10112" t="s">
        <v>75</v>
      </c>
      <c r="AE10112" t="s">
        <v>80</v>
      </c>
      <c r="AG10112" t="s">
        <v>81</v>
      </c>
    </row>
    <row r="10113" spans="1:33" x14ac:dyDescent="0.25">
      <c r="A10113" t="str">
        <f>"1255694451"</f>
        <v>1255694451</v>
      </c>
      <c r="C10113" t="s">
        <v>13436</v>
      </c>
      <c r="G10113" t="s">
        <v>41838</v>
      </c>
      <c r="K10113" t="s">
        <v>99</v>
      </c>
      <c r="L10113" t="s">
        <v>102</v>
      </c>
      <c r="M10113" t="s">
        <v>75</v>
      </c>
      <c r="R10113" t="s">
        <v>41839</v>
      </c>
      <c r="S10113" t="s">
        <v>11254</v>
      </c>
      <c r="T10113" t="s">
        <v>131</v>
      </c>
      <c r="U10113" t="s">
        <v>77</v>
      </c>
      <c r="V10113" t="str">
        <f>"104683904"</f>
        <v>104683904</v>
      </c>
      <c r="AC10113" t="s">
        <v>79</v>
      </c>
      <c r="AD10113" t="s">
        <v>75</v>
      </c>
      <c r="AE10113" t="s">
        <v>103</v>
      </c>
      <c r="AG10113" t="s">
        <v>81</v>
      </c>
    </row>
    <row r="10114" spans="1:33" x14ac:dyDescent="0.25">
      <c r="A10114" t="str">
        <f>"1255696928"</f>
        <v>1255696928</v>
      </c>
      <c r="C10114" t="s">
        <v>13436</v>
      </c>
      <c r="K10114" t="s">
        <v>99</v>
      </c>
      <c r="L10114" t="s">
        <v>102</v>
      </c>
      <c r="M10114" t="s">
        <v>75</v>
      </c>
      <c r="R10114" t="s">
        <v>41840</v>
      </c>
      <c r="S10114" t="s">
        <v>14299</v>
      </c>
      <c r="T10114" t="s">
        <v>97</v>
      </c>
      <c r="U10114" t="s">
        <v>77</v>
      </c>
      <c r="V10114" t="str">
        <f>"100033821"</f>
        <v>100033821</v>
      </c>
      <c r="AC10114" t="s">
        <v>79</v>
      </c>
      <c r="AD10114" t="s">
        <v>75</v>
      </c>
      <c r="AE10114" t="s">
        <v>103</v>
      </c>
      <c r="AG10114" t="s">
        <v>81</v>
      </c>
    </row>
    <row r="10115" spans="1:33" x14ac:dyDescent="0.25">
      <c r="A10115" t="str">
        <f>"1043655111"</f>
        <v>1043655111</v>
      </c>
      <c r="C10115" t="s">
        <v>13436</v>
      </c>
      <c r="K10115" t="s">
        <v>99</v>
      </c>
      <c r="L10115" t="s">
        <v>102</v>
      </c>
      <c r="M10115" t="s">
        <v>75</v>
      </c>
      <c r="R10115" t="s">
        <v>41841</v>
      </c>
      <c r="S10115" t="s">
        <v>41842</v>
      </c>
      <c r="T10115" t="s">
        <v>97</v>
      </c>
      <c r="U10115" t="s">
        <v>77</v>
      </c>
      <c r="V10115" t="str">
        <f>"100033821"</f>
        <v>100033821</v>
      </c>
      <c r="AC10115" t="s">
        <v>79</v>
      </c>
      <c r="AD10115" t="s">
        <v>75</v>
      </c>
      <c r="AE10115" t="s">
        <v>103</v>
      </c>
      <c r="AG10115" t="s">
        <v>81</v>
      </c>
    </row>
    <row r="10116" spans="1:33" x14ac:dyDescent="0.25">
      <c r="A10116" t="str">
        <f>"1093766578"</f>
        <v>1093766578</v>
      </c>
      <c r="B10116" t="str">
        <f>"01835414"</f>
        <v>01835414</v>
      </c>
      <c r="C10116" t="s">
        <v>13436</v>
      </c>
      <c r="D10116" t="s">
        <v>41843</v>
      </c>
      <c r="E10116" t="s">
        <v>41844</v>
      </c>
      <c r="G10116" t="s">
        <v>41845</v>
      </c>
      <c r="L10116" t="s">
        <v>84</v>
      </c>
      <c r="M10116" t="s">
        <v>75</v>
      </c>
      <c r="R10116" t="s">
        <v>41846</v>
      </c>
      <c r="W10116" t="s">
        <v>41844</v>
      </c>
      <c r="X10116" t="s">
        <v>36725</v>
      </c>
      <c r="Y10116" t="s">
        <v>217</v>
      </c>
      <c r="Z10116" t="s">
        <v>77</v>
      </c>
      <c r="AA10116" t="str">
        <f>"11557-1619"</f>
        <v>11557-1619</v>
      </c>
      <c r="AB10116" t="s">
        <v>78</v>
      </c>
      <c r="AC10116" t="s">
        <v>79</v>
      </c>
      <c r="AD10116" t="s">
        <v>75</v>
      </c>
      <c r="AE10116" t="s">
        <v>80</v>
      </c>
      <c r="AG10116" t="s">
        <v>81</v>
      </c>
    </row>
    <row r="10117" spans="1:33" x14ac:dyDescent="0.25">
      <c r="A10117" t="str">
        <f>"1093777534"</f>
        <v>1093777534</v>
      </c>
      <c r="B10117" t="str">
        <f>"00867794"</f>
        <v>00867794</v>
      </c>
      <c r="C10117" t="s">
        <v>13436</v>
      </c>
      <c r="D10117" t="s">
        <v>41847</v>
      </c>
      <c r="E10117" t="s">
        <v>41848</v>
      </c>
      <c r="G10117" t="s">
        <v>41849</v>
      </c>
      <c r="L10117" t="s">
        <v>83</v>
      </c>
      <c r="M10117" t="s">
        <v>75</v>
      </c>
      <c r="R10117" t="s">
        <v>41850</v>
      </c>
      <c r="W10117" t="s">
        <v>41848</v>
      </c>
      <c r="X10117" t="s">
        <v>41851</v>
      </c>
      <c r="Y10117" t="s">
        <v>87</v>
      </c>
      <c r="Z10117" t="s">
        <v>77</v>
      </c>
      <c r="AA10117" t="str">
        <f>"11201-5514"</f>
        <v>11201-5514</v>
      </c>
      <c r="AB10117" t="s">
        <v>78</v>
      </c>
      <c r="AC10117" t="s">
        <v>79</v>
      </c>
      <c r="AD10117" t="s">
        <v>75</v>
      </c>
      <c r="AE10117" t="s">
        <v>80</v>
      </c>
      <c r="AG10117" t="s">
        <v>81</v>
      </c>
    </row>
    <row r="10118" spans="1:33" x14ac:dyDescent="0.25">
      <c r="A10118" t="str">
        <f>"1104902949"</f>
        <v>1104902949</v>
      </c>
      <c r="B10118" t="str">
        <f>"01136130"</f>
        <v>01136130</v>
      </c>
      <c r="C10118" t="s">
        <v>3308</v>
      </c>
      <c r="D10118" t="s">
        <v>3303</v>
      </c>
      <c r="E10118" t="s">
        <v>3304</v>
      </c>
      <c r="G10118" t="s">
        <v>5011</v>
      </c>
      <c r="H10118" t="s">
        <v>5012</v>
      </c>
      <c r="J10118" t="s">
        <v>3305</v>
      </c>
      <c r="L10118" t="s">
        <v>37</v>
      </c>
      <c r="M10118" t="s">
        <v>85</v>
      </c>
      <c r="R10118" t="s">
        <v>3306</v>
      </c>
      <c r="W10118" t="s">
        <v>3304</v>
      </c>
      <c r="X10118" t="s">
        <v>1751</v>
      </c>
      <c r="Y10118" t="s">
        <v>3307</v>
      </c>
      <c r="Z10118" t="s">
        <v>77</v>
      </c>
      <c r="AA10118" t="str">
        <f>"10562-2327"</f>
        <v>10562-2327</v>
      </c>
      <c r="AB10118" t="s">
        <v>98</v>
      </c>
      <c r="AC10118" t="s">
        <v>79</v>
      </c>
      <c r="AD10118" t="s">
        <v>75</v>
      </c>
      <c r="AE10118" t="s">
        <v>80</v>
      </c>
      <c r="AG10118" t="s">
        <v>81</v>
      </c>
    </row>
    <row r="10119" spans="1:33" x14ac:dyDescent="0.25">
      <c r="A10119" t="str">
        <f>"1154446557"</f>
        <v>1154446557</v>
      </c>
      <c r="B10119" t="str">
        <f>"01743457"</f>
        <v>01743457</v>
      </c>
      <c r="C10119" t="s">
        <v>41852</v>
      </c>
      <c r="D10119" t="s">
        <v>41853</v>
      </c>
      <c r="E10119" t="s">
        <v>41854</v>
      </c>
      <c r="G10119" t="s">
        <v>41855</v>
      </c>
      <c r="H10119" t="s">
        <v>41856</v>
      </c>
      <c r="J10119" t="s">
        <v>41857</v>
      </c>
      <c r="L10119" t="s">
        <v>35</v>
      </c>
      <c r="M10119" t="s">
        <v>85</v>
      </c>
      <c r="R10119" t="s">
        <v>41858</v>
      </c>
      <c r="W10119" t="s">
        <v>41859</v>
      </c>
      <c r="X10119" t="s">
        <v>41860</v>
      </c>
      <c r="Y10119" t="s">
        <v>5568</v>
      </c>
      <c r="Z10119" t="s">
        <v>77</v>
      </c>
      <c r="AA10119" t="str">
        <f>"11788-3604"</f>
        <v>11788-3604</v>
      </c>
      <c r="AB10119" t="s">
        <v>98</v>
      </c>
      <c r="AC10119" t="s">
        <v>79</v>
      </c>
      <c r="AD10119" t="s">
        <v>75</v>
      </c>
      <c r="AE10119" t="s">
        <v>80</v>
      </c>
      <c r="AG10119" t="s">
        <v>81</v>
      </c>
    </row>
    <row r="10120" spans="1:33" x14ac:dyDescent="0.25">
      <c r="A10120" t="str">
        <f>"1174510648"</f>
        <v>1174510648</v>
      </c>
      <c r="B10120" t="str">
        <f>"00312336"</f>
        <v>00312336</v>
      </c>
      <c r="C10120" t="s">
        <v>41861</v>
      </c>
      <c r="D10120" t="s">
        <v>41862</v>
      </c>
      <c r="E10120" t="s">
        <v>41863</v>
      </c>
      <c r="G10120" t="s">
        <v>41864</v>
      </c>
      <c r="H10120" t="s">
        <v>6744</v>
      </c>
      <c r="J10120" t="s">
        <v>41865</v>
      </c>
      <c r="L10120" t="s">
        <v>106</v>
      </c>
      <c r="M10120" t="s">
        <v>85</v>
      </c>
      <c r="R10120" t="s">
        <v>41866</v>
      </c>
      <c r="W10120" t="s">
        <v>41863</v>
      </c>
      <c r="X10120" t="s">
        <v>10308</v>
      </c>
      <c r="Y10120" t="s">
        <v>155</v>
      </c>
      <c r="Z10120" t="s">
        <v>77</v>
      </c>
      <c r="AA10120" t="str">
        <f>"10314-5166"</f>
        <v>10314-5166</v>
      </c>
      <c r="AB10120" t="s">
        <v>107</v>
      </c>
      <c r="AC10120" t="s">
        <v>79</v>
      </c>
      <c r="AD10120" t="s">
        <v>75</v>
      </c>
      <c r="AE10120" t="s">
        <v>80</v>
      </c>
      <c r="AG10120" t="s">
        <v>81</v>
      </c>
    </row>
    <row r="10121" spans="1:33" x14ac:dyDescent="0.25">
      <c r="A10121" t="str">
        <f>"1194900720"</f>
        <v>1194900720</v>
      </c>
      <c r="B10121" t="str">
        <f>"01405669"</f>
        <v>01405669</v>
      </c>
      <c r="C10121" t="s">
        <v>41867</v>
      </c>
      <c r="D10121" t="s">
        <v>489</v>
      </c>
      <c r="E10121" t="s">
        <v>490</v>
      </c>
      <c r="G10121" t="s">
        <v>41868</v>
      </c>
      <c r="H10121" t="s">
        <v>491</v>
      </c>
      <c r="J10121" t="s">
        <v>41869</v>
      </c>
      <c r="L10121" t="s">
        <v>10</v>
      </c>
      <c r="M10121" t="s">
        <v>75</v>
      </c>
      <c r="R10121" t="s">
        <v>488</v>
      </c>
      <c r="W10121" t="s">
        <v>490</v>
      </c>
      <c r="X10121" t="s">
        <v>492</v>
      </c>
      <c r="Y10121" t="s">
        <v>155</v>
      </c>
      <c r="Z10121" t="s">
        <v>77</v>
      </c>
      <c r="AA10121" t="str">
        <f>"10314-5866"</f>
        <v>10314-5866</v>
      </c>
      <c r="AB10121" t="s">
        <v>98</v>
      </c>
      <c r="AC10121" t="s">
        <v>79</v>
      </c>
      <c r="AD10121" t="s">
        <v>75</v>
      </c>
      <c r="AE10121" t="s">
        <v>80</v>
      </c>
      <c r="AG10121" t="s">
        <v>81</v>
      </c>
    </row>
    <row r="10122" spans="1:33" x14ac:dyDescent="0.25">
      <c r="A10122" t="str">
        <f>"1689952764"</f>
        <v>1689952764</v>
      </c>
      <c r="C10122" t="s">
        <v>13436</v>
      </c>
      <c r="K10122" t="s">
        <v>99</v>
      </c>
      <c r="L10122" t="s">
        <v>102</v>
      </c>
      <c r="M10122" t="s">
        <v>75</v>
      </c>
      <c r="R10122" t="s">
        <v>41870</v>
      </c>
      <c r="S10122" t="s">
        <v>258</v>
      </c>
      <c r="T10122" t="s">
        <v>131</v>
      </c>
      <c r="U10122" t="s">
        <v>77</v>
      </c>
      <c r="V10122" t="str">
        <f>"104672401"</f>
        <v>104672401</v>
      </c>
      <c r="AC10122" t="s">
        <v>79</v>
      </c>
      <c r="AD10122" t="s">
        <v>75</v>
      </c>
      <c r="AE10122" t="s">
        <v>103</v>
      </c>
      <c r="AG10122" t="s">
        <v>81</v>
      </c>
    </row>
    <row r="10123" spans="1:33" x14ac:dyDescent="0.25">
      <c r="A10123" t="str">
        <f>"1689963662"</f>
        <v>1689963662</v>
      </c>
      <c r="B10123" t="str">
        <f>"03923879"</f>
        <v>03923879</v>
      </c>
      <c r="C10123" t="s">
        <v>13436</v>
      </c>
      <c r="D10123" t="s">
        <v>41871</v>
      </c>
      <c r="E10123" t="s">
        <v>41872</v>
      </c>
      <c r="G10123" t="s">
        <v>41873</v>
      </c>
      <c r="L10123" t="s">
        <v>74</v>
      </c>
      <c r="M10123" t="s">
        <v>75</v>
      </c>
      <c r="R10123" t="s">
        <v>41874</v>
      </c>
      <c r="W10123" t="s">
        <v>41875</v>
      </c>
      <c r="X10123" t="s">
        <v>5585</v>
      </c>
      <c r="Y10123" t="s">
        <v>97</v>
      </c>
      <c r="Z10123" t="s">
        <v>77</v>
      </c>
      <c r="AA10123" t="str">
        <f>"10011-0000"</f>
        <v>10011-0000</v>
      </c>
      <c r="AB10123" t="s">
        <v>78</v>
      </c>
      <c r="AC10123" t="s">
        <v>79</v>
      </c>
      <c r="AD10123" t="s">
        <v>75</v>
      </c>
      <c r="AE10123" t="s">
        <v>80</v>
      </c>
      <c r="AG10123" t="s">
        <v>81</v>
      </c>
    </row>
    <row r="10124" spans="1:33" x14ac:dyDescent="0.25">
      <c r="A10124" t="str">
        <f>"1760451918"</f>
        <v>1760451918</v>
      </c>
      <c r="B10124" t="str">
        <f>"02819712"</f>
        <v>02819712</v>
      </c>
      <c r="C10124" t="s">
        <v>13436</v>
      </c>
      <c r="D10124" t="s">
        <v>41876</v>
      </c>
      <c r="E10124" t="s">
        <v>41877</v>
      </c>
      <c r="L10124" t="s">
        <v>94</v>
      </c>
      <c r="M10124" t="s">
        <v>75</v>
      </c>
      <c r="R10124" t="s">
        <v>41878</v>
      </c>
      <c r="W10124" t="s">
        <v>41879</v>
      </c>
      <c r="X10124" t="s">
        <v>272</v>
      </c>
      <c r="Y10124" t="s">
        <v>97</v>
      </c>
      <c r="Z10124" t="s">
        <v>77</v>
      </c>
      <c r="AA10124" t="str">
        <f>"10029-6501"</f>
        <v>10029-6501</v>
      </c>
      <c r="AB10124" t="s">
        <v>78</v>
      </c>
      <c r="AC10124" t="s">
        <v>79</v>
      </c>
      <c r="AD10124" t="s">
        <v>75</v>
      </c>
      <c r="AE10124" t="s">
        <v>80</v>
      </c>
      <c r="AG10124" t="s">
        <v>81</v>
      </c>
    </row>
    <row r="10125" spans="1:33" x14ac:dyDescent="0.25">
      <c r="A10125" t="str">
        <f>"1760465132"</f>
        <v>1760465132</v>
      </c>
      <c r="B10125" t="str">
        <f>"02064744"</f>
        <v>02064744</v>
      </c>
      <c r="C10125" t="s">
        <v>13436</v>
      </c>
      <c r="D10125" t="s">
        <v>41880</v>
      </c>
      <c r="E10125" t="s">
        <v>41881</v>
      </c>
      <c r="G10125" t="s">
        <v>41882</v>
      </c>
      <c r="L10125" t="s">
        <v>83</v>
      </c>
      <c r="M10125" t="s">
        <v>85</v>
      </c>
      <c r="R10125" t="s">
        <v>41883</v>
      </c>
      <c r="W10125" t="s">
        <v>41881</v>
      </c>
      <c r="X10125" t="s">
        <v>329</v>
      </c>
      <c r="Y10125" t="s">
        <v>97</v>
      </c>
      <c r="Z10125" t="s">
        <v>77</v>
      </c>
      <c r="AA10125" t="str">
        <f>"10029-6500"</f>
        <v>10029-6500</v>
      </c>
      <c r="AB10125" t="s">
        <v>78</v>
      </c>
      <c r="AC10125" t="s">
        <v>79</v>
      </c>
      <c r="AD10125" t="s">
        <v>75</v>
      </c>
      <c r="AE10125" t="s">
        <v>80</v>
      </c>
      <c r="AG10125" t="s">
        <v>81</v>
      </c>
    </row>
    <row r="10126" spans="1:33" x14ac:dyDescent="0.25">
      <c r="A10126" t="str">
        <f>"1760480685"</f>
        <v>1760480685</v>
      </c>
      <c r="B10126" t="str">
        <f>"02614313"</f>
        <v>02614313</v>
      </c>
      <c r="C10126" t="s">
        <v>13436</v>
      </c>
      <c r="D10126" t="s">
        <v>41884</v>
      </c>
      <c r="E10126" t="s">
        <v>41885</v>
      </c>
      <c r="G10126" t="s">
        <v>41886</v>
      </c>
      <c r="L10126" t="s">
        <v>83</v>
      </c>
      <c r="M10126" t="s">
        <v>85</v>
      </c>
      <c r="R10126" t="s">
        <v>41887</v>
      </c>
      <c r="W10126" t="s">
        <v>41885</v>
      </c>
      <c r="X10126" t="s">
        <v>41887</v>
      </c>
      <c r="Y10126" t="s">
        <v>97</v>
      </c>
      <c r="Z10126" t="s">
        <v>77</v>
      </c>
      <c r="AA10126" t="str">
        <f>"10029-0000"</f>
        <v>10029-0000</v>
      </c>
      <c r="AB10126" t="s">
        <v>78</v>
      </c>
      <c r="AC10126" t="s">
        <v>79</v>
      </c>
      <c r="AD10126" t="s">
        <v>75</v>
      </c>
      <c r="AE10126" t="s">
        <v>80</v>
      </c>
      <c r="AG10126" t="s">
        <v>81</v>
      </c>
    </row>
    <row r="10127" spans="1:33" x14ac:dyDescent="0.25">
      <c r="A10127" t="str">
        <f>"1760644496"</f>
        <v>1760644496</v>
      </c>
      <c r="B10127" t="str">
        <f>"03950814"</f>
        <v>03950814</v>
      </c>
      <c r="C10127" t="s">
        <v>13436</v>
      </c>
      <c r="D10127" t="s">
        <v>41888</v>
      </c>
      <c r="E10127" t="s">
        <v>41889</v>
      </c>
      <c r="G10127" t="s">
        <v>41890</v>
      </c>
      <c r="L10127" t="s">
        <v>83</v>
      </c>
      <c r="M10127" t="s">
        <v>75</v>
      </c>
      <c r="R10127" t="s">
        <v>41889</v>
      </c>
      <c r="W10127" t="s">
        <v>41891</v>
      </c>
      <c r="X10127" t="s">
        <v>2587</v>
      </c>
      <c r="Y10127" t="s">
        <v>97</v>
      </c>
      <c r="Z10127" t="s">
        <v>77</v>
      </c>
      <c r="AA10127" t="str">
        <f>"10003-3314"</f>
        <v>10003-3314</v>
      </c>
      <c r="AB10127" t="s">
        <v>78</v>
      </c>
      <c r="AC10127" t="s">
        <v>79</v>
      </c>
      <c r="AD10127" t="s">
        <v>75</v>
      </c>
      <c r="AE10127" t="s">
        <v>80</v>
      </c>
      <c r="AG10127" t="s">
        <v>81</v>
      </c>
    </row>
    <row r="10128" spans="1:33" x14ac:dyDescent="0.25">
      <c r="A10128" t="str">
        <f>"1063734614"</f>
        <v>1063734614</v>
      </c>
      <c r="B10128" t="str">
        <f>"03224417"</f>
        <v>03224417</v>
      </c>
      <c r="C10128" t="s">
        <v>13436</v>
      </c>
      <c r="D10128" t="s">
        <v>41892</v>
      </c>
      <c r="E10128" t="s">
        <v>41893</v>
      </c>
      <c r="L10128" t="s">
        <v>74</v>
      </c>
      <c r="M10128" t="s">
        <v>75</v>
      </c>
      <c r="R10128" t="s">
        <v>41893</v>
      </c>
      <c r="W10128" t="s">
        <v>41893</v>
      </c>
      <c r="X10128" t="s">
        <v>86</v>
      </c>
      <c r="Y10128" t="s">
        <v>87</v>
      </c>
      <c r="Z10128" t="s">
        <v>77</v>
      </c>
      <c r="AA10128" t="str">
        <f>"11220-2559"</f>
        <v>11220-2559</v>
      </c>
      <c r="AB10128" t="s">
        <v>78</v>
      </c>
      <c r="AC10128" t="s">
        <v>79</v>
      </c>
      <c r="AD10128" t="s">
        <v>75</v>
      </c>
      <c r="AE10128" t="s">
        <v>80</v>
      </c>
      <c r="AG10128" t="s">
        <v>81</v>
      </c>
    </row>
    <row r="10129" spans="1:33" x14ac:dyDescent="0.25">
      <c r="A10129" t="str">
        <f>"1912960287"</f>
        <v>1912960287</v>
      </c>
      <c r="B10129" t="str">
        <f>"02550310"</f>
        <v>02550310</v>
      </c>
      <c r="C10129" t="s">
        <v>13436</v>
      </c>
      <c r="D10129" t="s">
        <v>41894</v>
      </c>
      <c r="E10129" t="s">
        <v>41895</v>
      </c>
      <c r="L10129" t="s">
        <v>83</v>
      </c>
      <c r="M10129" t="s">
        <v>85</v>
      </c>
      <c r="R10129" t="s">
        <v>41896</v>
      </c>
      <c r="W10129" t="s">
        <v>41895</v>
      </c>
      <c r="X10129" t="s">
        <v>30869</v>
      </c>
      <c r="Y10129" t="s">
        <v>97</v>
      </c>
      <c r="Z10129" t="s">
        <v>77</v>
      </c>
      <c r="AA10129" t="str">
        <f>"10029-1147"</f>
        <v>10029-1147</v>
      </c>
      <c r="AB10129" t="s">
        <v>78</v>
      </c>
      <c r="AC10129" t="s">
        <v>79</v>
      </c>
      <c r="AD10129" t="s">
        <v>75</v>
      </c>
      <c r="AE10129" t="s">
        <v>80</v>
      </c>
      <c r="AG10129" t="s">
        <v>81</v>
      </c>
    </row>
    <row r="10130" spans="1:33" x14ac:dyDescent="0.25">
      <c r="A10130" t="str">
        <f>"1356771018"</f>
        <v>1356771018</v>
      </c>
      <c r="B10130" t="str">
        <f>"04054748"</f>
        <v>04054748</v>
      </c>
      <c r="C10130" t="s">
        <v>13436</v>
      </c>
      <c r="D10130" t="s">
        <v>5517</v>
      </c>
      <c r="E10130" t="s">
        <v>5518</v>
      </c>
      <c r="L10130" t="s">
        <v>74</v>
      </c>
      <c r="M10130" t="s">
        <v>75</v>
      </c>
      <c r="R10130" t="s">
        <v>5519</v>
      </c>
      <c r="W10130" t="s">
        <v>5518</v>
      </c>
      <c r="X10130" t="s">
        <v>4799</v>
      </c>
      <c r="Y10130" t="s">
        <v>87</v>
      </c>
      <c r="Z10130" t="s">
        <v>77</v>
      </c>
      <c r="AA10130" t="str">
        <f>"11234-2625"</f>
        <v>11234-2625</v>
      </c>
      <c r="AB10130" t="s">
        <v>78</v>
      </c>
      <c r="AC10130" t="s">
        <v>79</v>
      </c>
      <c r="AD10130" t="s">
        <v>75</v>
      </c>
      <c r="AE10130" t="s">
        <v>80</v>
      </c>
      <c r="AG10130" t="s">
        <v>81</v>
      </c>
    </row>
    <row r="10131" spans="1:33" x14ac:dyDescent="0.25">
      <c r="A10131" t="str">
        <f>"1225438617"</f>
        <v>1225438617</v>
      </c>
      <c r="C10131" t="s">
        <v>13436</v>
      </c>
      <c r="K10131" t="s">
        <v>99</v>
      </c>
      <c r="L10131" t="s">
        <v>102</v>
      </c>
      <c r="M10131" t="s">
        <v>75</v>
      </c>
      <c r="R10131" t="s">
        <v>41897</v>
      </c>
      <c r="S10131" t="s">
        <v>12415</v>
      </c>
      <c r="T10131" t="s">
        <v>97</v>
      </c>
      <c r="U10131" t="s">
        <v>77</v>
      </c>
      <c r="V10131" t="str">
        <f>"10003"</f>
        <v>10003</v>
      </c>
      <c r="AC10131" t="s">
        <v>79</v>
      </c>
      <c r="AD10131" t="s">
        <v>75</v>
      </c>
      <c r="AE10131" t="s">
        <v>103</v>
      </c>
      <c r="AG10131" t="s">
        <v>81</v>
      </c>
    </row>
    <row r="10132" spans="1:33" x14ac:dyDescent="0.25">
      <c r="A10132" t="str">
        <f>"1760771257"</f>
        <v>1760771257</v>
      </c>
      <c r="C10132" t="s">
        <v>13436</v>
      </c>
      <c r="K10132" t="s">
        <v>99</v>
      </c>
      <c r="L10132" t="s">
        <v>102</v>
      </c>
      <c r="M10132" t="s">
        <v>75</v>
      </c>
      <c r="R10132" t="s">
        <v>41898</v>
      </c>
      <c r="S10132" t="s">
        <v>11657</v>
      </c>
      <c r="T10132" t="s">
        <v>97</v>
      </c>
      <c r="U10132" t="s">
        <v>77</v>
      </c>
      <c r="V10132" t="str">
        <f>"10029"</f>
        <v>10029</v>
      </c>
      <c r="AC10132" t="s">
        <v>79</v>
      </c>
      <c r="AD10132" t="s">
        <v>75</v>
      </c>
      <c r="AE10132" t="s">
        <v>103</v>
      </c>
      <c r="AG10132" t="s">
        <v>81</v>
      </c>
    </row>
    <row r="10133" spans="1:33" x14ac:dyDescent="0.25">
      <c r="A10133" t="str">
        <f>"1760772511"</f>
        <v>1760772511</v>
      </c>
      <c r="B10133" t="str">
        <f>"04009798"</f>
        <v>04009798</v>
      </c>
      <c r="C10133" t="s">
        <v>13436</v>
      </c>
      <c r="D10133" t="s">
        <v>41899</v>
      </c>
      <c r="E10133" t="s">
        <v>41900</v>
      </c>
      <c r="L10133" t="s">
        <v>74</v>
      </c>
      <c r="M10133" t="s">
        <v>75</v>
      </c>
      <c r="R10133" t="s">
        <v>41901</v>
      </c>
      <c r="W10133" t="s">
        <v>41900</v>
      </c>
      <c r="X10133" t="s">
        <v>41902</v>
      </c>
      <c r="Y10133" t="s">
        <v>131</v>
      </c>
      <c r="Z10133" t="s">
        <v>77</v>
      </c>
      <c r="AA10133" t="str">
        <f>"10461-1119"</f>
        <v>10461-1119</v>
      </c>
      <c r="AB10133" t="s">
        <v>78</v>
      </c>
      <c r="AC10133" t="s">
        <v>79</v>
      </c>
      <c r="AD10133" t="s">
        <v>75</v>
      </c>
      <c r="AE10133" t="s">
        <v>80</v>
      </c>
      <c r="AG10133" t="s">
        <v>81</v>
      </c>
    </row>
    <row r="10134" spans="1:33" x14ac:dyDescent="0.25">
      <c r="A10134" t="str">
        <f>"1760774376"</f>
        <v>1760774376</v>
      </c>
      <c r="C10134" t="s">
        <v>13436</v>
      </c>
      <c r="K10134" t="s">
        <v>99</v>
      </c>
      <c r="L10134" t="s">
        <v>102</v>
      </c>
      <c r="M10134" t="s">
        <v>75</v>
      </c>
      <c r="R10134" t="s">
        <v>41903</v>
      </c>
      <c r="S10134" t="s">
        <v>41904</v>
      </c>
      <c r="T10134" t="s">
        <v>41905</v>
      </c>
      <c r="U10134" t="s">
        <v>1784</v>
      </c>
      <c r="V10134" t="str">
        <f>"160012239"</f>
        <v>160012239</v>
      </c>
      <c r="AC10134" t="s">
        <v>79</v>
      </c>
      <c r="AD10134" t="s">
        <v>75</v>
      </c>
      <c r="AE10134" t="s">
        <v>103</v>
      </c>
      <c r="AG10134" t="s">
        <v>81</v>
      </c>
    </row>
    <row r="10135" spans="1:33" x14ac:dyDescent="0.25">
      <c r="A10135" t="str">
        <f>"1760775787"</f>
        <v>1760775787</v>
      </c>
      <c r="B10135" t="str">
        <f>"04070137"</f>
        <v>04070137</v>
      </c>
      <c r="C10135" t="s">
        <v>13436</v>
      </c>
      <c r="D10135" t="s">
        <v>41906</v>
      </c>
      <c r="E10135" t="s">
        <v>41907</v>
      </c>
      <c r="G10135" t="s">
        <v>41908</v>
      </c>
      <c r="L10135" t="s">
        <v>74</v>
      </c>
      <c r="M10135" t="s">
        <v>75</v>
      </c>
      <c r="R10135" t="s">
        <v>41909</v>
      </c>
      <c r="W10135" t="s">
        <v>41907</v>
      </c>
      <c r="X10135" t="s">
        <v>32354</v>
      </c>
      <c r="Y10135" t="s">
        <v>97</v>
      </c>
      <c r="Z10135" t="s">
        <v>77</v>
      </c>
      <c r="AA10135" t="str">
        <f>"10029-6501"</f>
        <v>10029-6501</v>
      </c>
      <c r="AB10135" t="s">
        <v>78</v>
      </c>
      <c r="AC10135" t="s">
        <v>79</v>
      </c>
      <c r="AD10135" t="s">
        <v>75</v>
      </c>
      <c r="AE10135" t="s">
        <v>80</v>
      </c>
      <c r="AG10135" t="s">
        <v>81</v>
      </c>
    </row>
    <row r="10136" spans="1:33" x14ac:dyDescent="0.25">
      <c r="A10136" t="str">
        <f>"1275509655"</f>
        <v>1275509655</v>
      </c>
      <c r="B10136" t="str">
        <f>"00382792"</f>
        <v>00382792</v>
      </c>
      <c r="C10136" t="s">
        <v>13436</v>
      </c>
      <c r="D10136" t="s">
        <v>41910</v>
      </c>
      <c r="E10136" t="s">
        <v>41911</v>
      </c>
      <c r="G10136" t="s">
        <v>41912</v>
      </c>
      <c r="L10136" t="s">
        <v>102</v>
      </c>
      <c r="M10136" t="s">
        <v>75</v>
      </c>
      <c r="R10136" t="s">
        <v>41913</v>
      </c>
      <c r="W10136" t="s">
        <v>41911</v>
      </c>
      <c r="X10136" t="s">
        <v>33569</v>
      </c>
      <c r="Y10136" t="s">
        <v>97</v>
      </c>
      <c r="Z10136" t="s">
        <v>77</v>
      </c>
      <c r="AA10136" t="str">
        <f>"10029-6501"</f>
        <v>10029-6501</v>
      </c>
      <c r="AB10136" t="s">
        <v>78</v>
      </c>
      <c r="AC10136" t="s">
        <v>79</v>
      </c>
      <c r="AD10136" t="s">
        <v>75</v>
      </c>
      <c r="AE10136" t="s">
        <v>80</v>
      </c>
      <c r="AG10136" t="s">
        <v>81</v>
      </c>
    </row>
    <row r="10137" spans="1:33" x14ac:dyDescent="0.25">
      <c r="A10137" t="str">
        <f>"1649467192"</f>
        <v>1649467192</v>
      </c>
      <c r="B10137" t="str">
        <f>"03431707"</f>
        <v>03431707</v>
      </c>
      <c r="C10137" t="s">
        <v>13436</v>
      </c>
      <c r="D10137" t="s">
        <v>41914</v>
      </c>
      <c r="E10137" t="s">
        <v>41915</v>
      </c>
      <c r="G10137" t="s">
        <v>41916</v>
      </c>
      <c r="L10137" t="s">
        <v>74</v>
      </c>
      <c r="M10137" t="s">
        <v>75</v>
      </c>
      <c r="R10137" t="s">
        <v>41915</v>
      </c>
      <c r="W10137" t="s">
        <v>41915</v>
      </c>
      <c r="X10137" t="s">
        <v>330</v>
      </c>
      <c r="Y10137" t="s">
        <v>97</v>
      </c>
      <c r="Z10137" t="s">
        <v>77</v>
      </c>
      <c r="AA10137" t="str">
        <f>"10029-5204"</f>
        <v>10029-5204</v>
      </c>
      <c r="AB10137" t="s">
        <v>78</v>
      </c>
      <c r="AC10137" t="s">
        <v>79</v>
      </c>
      <c r="AD10137" t="s">
        <v>75</v>
      </c>
      <c r="AE10137" t="s">
        <v>80</v>
      </c>
      <c r="AG10137" t="s">
        <v>81</v>
      </c>
    </row>
    <row r="10138" spans="1:33" x14ac:dyDescent="0.25">
      <c r="A10138" t="str">
        <f>"1174840326"</f>
        <v>1174840326</v>
      </c>
      <c r="C10138" t="s">
        <v>13436</v>
      </c>
      <c r="G10138" t="s">
        <v>41917</v>
      </c>
      <c r="K10138" t="s">
        <v>99</v>
      </c>
      <c r="L10138" t="s">
        <v>102</v>
      </c>
      <c r="M10138" t="s">
        <v>75</v>
      </c>
      <c r="R10138" t="s">
        <v>2618</v>
      </c>
      <c r="S10138" t="s">
        <v>41918</v>
      </c>
      <c r="T10138" t="s">
        <v>97</v>
      </c>
      <c r="U10138" t="s">
        <v>77</v>
      </c>
      <c r="V10138" t="str">
        <f>"100296508"</f>
        <v>100296508</v>
      </c>
      <c r="AC10138" t="s">
        <v>79</v>
      </c>
      <c r="AD10138" t="s">
        <v>75</v>
      </c>
      <c r="AE10138" t="s">
        <v>103</v>
      </c>
      <c r="AG10138" t="s">
        <v>81</v>
      </c>
    </row>
    <row r="10139" spans="1:33" x14ac:dyDescent="0.25">
      <c r="A10139" t="str">
        <f>"1407992340"</f>
        <v>1407992340</v>
      </c>
      <c r="C10139" t="s">
        <v>13436</v>
      </c>
      <c r="G10139" t="s">
        <v>41919</v>
      </c>
      <c r="K10139" t="s">
        <v>99</v>
      </c>
      <c r="L10139" t="s">
        <v>102</v>
      </c>
      <c r="M10139" t="s">
        <v>75</v>
      </c>
      <c r="R10139" t="s">
        <v>41920</v>
      </c>
      <c r="S10139" t="s">
        <v>41921</v>
      </c>
      <c r="T10139" t="s">
        <v>97</v>
      </c>
      <c r="U10139" t="s">
        <v>77</v>
      </c>
      <c r="V10139" t="str">
        <f>"100215718"</f>
        <v>100215718</v>
      </c>
      <c r="AC10139" t="s">
        <v>79</v>
      </c>
      <c r="AD10139" t="s">
        <v>75</v>
      </c>
      <c r="AE10139" t="s">
        <v>103</v>
      </c>
      <c r="AG10139" t="s">
        <v>81</v>
      </c>
    </row>
    <row r="10140" spans="1:33" x14ac:dyDescent="0.25">
      <c r="A10140" t="str">
        <f>"1982004735"</f>
        <v>1982004735</v>
      </c>
      <c r="C10140" t="s">
        <v>13436</v>
      </c>
      <c r="G10140" t="s">
        <v>41922</v>
      </c>
      <c r="K10140" t="s">
        <v>99</v>
      </c>
      <c r="L10140" t="s">
        <v>102</v>
      </c>
      <c r="M10140" t="s">
        <v>75</v>
      </c>
      <c r="R10140" t="s">
        <v>41923</v>
      </c>
      <c r="S10140" t="s">
        <v>41924</v>
      </c>
      <c r="T10140" t="s">
        <v>97</v>
      </c>
      <c r="U10140" t="s">
        <v>77</v>
      </c>
      <c r="V10140" t="str">
        <f>"100296504"</f>
        <v>100296504</v>
      </c>
      <c r="AC10140" t="s">
        <v>79</v>
      </c>
      <c r="AD10140" t="s">
        <v>75</v>
      </c>
      <c r="AE10140" t="s">
        <v>103</v>
      </c>
      <c r="AG10140" t="s">
        <v>81</v>
      </c>
    </row>
    <row r="10141" spans="1:33" x14ac:dyDescent="0.25">
      <c r="A10141" t="str">
        <f>"1275936254"</f>
        <v>1275936254</v>
      </c>
      <c r="C10141" t="s">
        <v>13436</v>
      </c>
      <c r="G10141" t="s">
        <v>41925</v>
      </c>
      <c r="K10141" t="s">
        <v>99</v>
      </c>
      <c r="L10141" t="s">
        <v>102</v>
      </c>
      <c r="M10141" t="s">
        <v>75</v>
      </c>
      <c r="R10141" t="s">
        <v>41926</v>
      </c>
      <c r="S10141" t="s">
        <v>329</v>
      </c>
      <c r="T10141" t="s">
        <v>97</v>
      </c>
      <c r="U10141" t="s">
        <v>77</v>
      </c>
      <c r="V10141" t="str">
        <f>"100296504"</f>
        <v>100296504</v>
      </c>
      <c r="AC10141" t="s">
        <v>79</v>
      </c>
      <c r="AD10141" t="s">
        <v>75</v>
      </c>
      <c r="AE10141" t="s">
        <v>103</v>
      </c>
      <c r="AG10141" t="s">
        <v>81</v>
      </c>
    </row>
    <row r="10142" spans="1:33" x14ac:dyDescent="0.25">
      <c r="A10142" t="str">
        <f>"1649270877"</f>
        <v>1649270877</v>
      </c>
      <c r="B10142" t="str">
        <f>"01459250"</f>
        <v>01459250</v>
      </c>
      <c r="C10142" t="s">
        <v>13436</v>
      </c>
      <c r="D10142" t="s">
        <v>41927</v>
      </c>
      <c r="E10142" t="s">
        <v>41928</v>
      </c>
      <c r="G10142" t="s">
        <v>41929</v>
      </c>
      <c r="L10142" t="s">
        <v>84</v>
      </c>
      <c r="M10142" t="s">
        <v>85</v>
      </c>
      <c r="R10142" t="s">
        <v>41930</v>
      </c>
      <c r="W10142" t="s">
        <v>41931</v>
      </c>
      <c r="X10142" t="s">
        <v>41932</v>
      </c>
      <c r="Y10142" t="s">
        <v>1811</v>
      </c>
      <c r="Z10142" t="s">
        <v>77</v>
      </c>
      <c r="AA10142" t="str">
        <f>"14850-1342"</f>
        <v>14850-1342</v>
      </c>
      <c r="AB10142" t="s">
        <v>78</v>
      </c>
      <c r="AC10142" t="s">
        <v>79</v>
      </c>
      <c r="AD10142" t="s">
        <v>75</v>
      </c>
      <c r="AE10142" t="s">
        <v>80</v>
      </c>
      <c r="AG10142" t="s">
        <v>81</v>
      </c>
    </row>
    <row r="10143" spans="1:33" x14ac:dyDescent="0.25">
      <c r="A10143" t="str">
        <f>"1760482566"</f>
        <v>1760482566</v>
      </c>
      <c r="B10143" t="str">
        <f>"02589586"</f>
        <v>02589586</v>
      </c>
      <c r="C10143" t="s">
        <v>13436</v>
      </c>
      <c r="D10143" t="s">
        <v>41933</v>
      </c>
      <c r="E10143" t="s">
        <v>41934</v>
      </c>
      <c r="G10143" t="s">
        <v>41935</v>
      </c>
      <c r="L10143" t="s">
        <v>74</v>
      </c>
      <c r="M10143" t="s">
        <v>75</v>
      </c>
      <c r="R10143" t="s">
        <v>41936</v>
      </c>
      <c r="W10143" t="s">
        <v>41934</v>
      </c>
      <c r="X10143" t="s">
        <v>41937</v>
      </c>
      <c r="Y10143" t="s">
        <v>87</v>
      </c>
      <c r="Z10143" t="s">
        <v>77</v>
      </c>
      <c r="AA10143" t="str">
        <f>"11219-2999"</f>
        <v>11219-2999</v>
      </c>
      <c r="AB10143" t="s">
        <v>78</v>
      </c>
      <c r="AC10143" t="s">
        <v>79</v>
      </c>
      <c r="AD10143" t="s">
        <v>75</v>
      </c>
      <c r="AE10143" t="s">
        <v>80</v>
      </c>
      <c r="AG10143" t="s">
        <v>81</v>
      </c>
    </row>
    <row r="10144" spans="1:33" x14ac:dyDescent="0.25">
      <c r="A10144" t="str">
        <f>"1760492250"</f>
        <v>1760492250</v>
      </c>
      <c r="B10144" t="str">
        <f>"02199544"</f>
        <v>02199544</v>
      </c>
      <c r="C10144" t="s">
        <v>13436</v>
      </c>
      <c r="D10144" t="s">
        <v>41938</v>
      </c>
      <c r="E10144" t="s">
        <v>41939</v>
      </c>
      <c r="G10144" t="s">
        <v>41940</v>
      </c>
      <c r="L10144" t="s">
        <v>74</v>
      </c>
      <c r="M10144" t="s">
        <v>85</v>
      </c>
      <c r="R10144" t="s">
        <v>41941</v>
      </c>
      <c r="W10144" t="s">
        <v>41939</v>
      </c>
      <c r="X10144" t="s">
        <v>11597</v>
      </c>
      <c r="Y10144" t="s">
        <v>2128</v>
      </c>
      <c r="Z10144" t="s">
        <v>77</v>
      </c>
      <c r="AA10144" t="str">
        <f>"11743-2743"</f>
        <v>11743-2743</v>
      </c>
      <c r="AB10144" t="s">
        <v>78</v>
      </c>
      <c r="AC10144" t="s">
        <v>79</v>
      </c>
      <c r="AD10144" t="s">
        <v>75</v>
      </c>
      <c r="AE10144" t="s">
        <v>80</v>
      </c>
      <c r="AG10144" t="s">
        <v>81</v>
      </c>
    </row>
    <row r="10145" spans="1:33" x14ac:dyDescent="0.25">
      <c r="A10145" t="str">
        <f>"1760609135"</f>
        <v>1760609135</v>
      </c>
      <c r="B10145" t="str">
        <f>"02964616"</f>
        <v>02964616</v>
      </c>
      <c r="C10145" t="s">
        <v>13436</v>
      </c>
      <c r="D10145" t="s">
        <v>41942</v>
      </c>
      <c r="E10145" t="s">
        <v>41943</v>
      </c>
      <c r="G10145" t="s">
        <v>41944</v>
      </c>
      <c r="L10145" t="s">
        <v>83</v>
      </c>
      <c r="M10145" t="s">
        <v>85</v>
      </c>
      <c r="R10145" t="s">
        <v>41945</v>
      </c>
      <c r="W10145" t="s">
        <v>41946</v>
      </c>
      <c r="X10145" t="s">
        <v>41947</v>
      </c>
      <c r="Y10145" t="s">
        <v>97</v>
      </c>
      <c r="Z10145" t="s">
        <v>77</v>
      </c>
      <c r="AA10145" t="str">
        <f>"10128-1255"</f>
        <v>10128-1255</v>
      </c>
      <c r="AB10145" t="s">
        <v>78</v>
      </c>
      <c r="AC10145" t="s">
        <v>79</v>
      </c>
      <c r="AD10145" t="s">
        <v>75</v>
      </c>
      <c r="AE10145" t="s">
        <v>80</v>
      </c>
      <c r="AG10145" t="s">
        <v>81</v>
      </c>
    </row>
    <row r="10146" spans="1:33" x14ac:dyDescent="0.25">
      <c r="A10146" t="str">
        <f>"1952606675"</f>
        <v>1952606675</v>
      </c>
      <c r="B10146" t="str">
        <f>"03341577"</f>
        <v>03341577</v>
      </c>
      <c r="C10146" t="s">
        <v>13436</v>
      </c>
      <c r="D10146" t="s">
        <v>41948</v>
      </c>
      <c r="E10146" t="s">
        <v>41949</v>
      </c>
      <c r="G10146" t="s">
        <v>41950</v>
      </c>
      <c r="L10146" t="s">
        <v>74</v>
      </c>
      <c r="M10146" t="s">
        <v>75</v>
      </c>
      <c r="R10146" t="s">
        <v>41949</v>
      </c>
      <c r="W10146" t="s">
        <v>41949</v>
      </c>
      <c r="X10146" t="s">
        <v>38751</v>
      </c>
      <c r="Y10146" t="s">
        <v>87</v>
      </c>
      <c r="Z10146" t="s">
        <v>77</v>
      </c>
      <c r="AA10146" t="str">
        <f>"11234-5512"</f>
        <v>11234-5512</v>
      </c>
      <c r="AB10146" t="s">
        <v>78</v>
      </c>
      <c r="AC10146" t="s">
        <v>79</v>
      </c>
      <c r="AD10146" t="s">
        <v>75</v>
      </c>
      <c r="AE10146" t="s">
        <v>80</v>
      </c>
      <c r="AG10146" t="s">
        <v>81</v>
      </c>
    </row>
    <row r="10147" spans="1:33" x14ac:dyDescent="0.25">
      <c r="A10147" t="str">
        <f>"1477672988"</f>
        <v>1477672988</v>
      </c>
      <c r="B10147" t="str">
        <f>"00013098"</f>
        <v>00013098</v>
      </c>
      <c r="C10147" t="s">
        <v>39807</v>
      </c>
      <c r="D10147" t="s">
        <v>41951</v>
      </c>
      <c r="E10147" t="s">
        <v>41952</v>
      </c>
      <c r="G10147" t="s">
        <v>40543</v>
      </c>
      <c r="H10147" t="s">
        <v>40544</v>
      </c>
      <c r="J10147" t="s">
        <v>40545</v>
      </c>
      <c r="L10147" t="s">
        <v>102</v>
      </c>
      <c r="M10147" t="s">
        <v>85</v>
      </c>
      <c r="R10147" t="s">
        <v>39813</v>
      </c>
      <c r="W10147" t="s">
        <v>41952</v>
      </c>
      <c r="X10147" t="s">
        <v>41953</v>
      </c>
      <c r="Y10147" t="s">
        <v>131</v>
      </c>
      <c r="Z10147" t="s">
        <v>77</v>
      </c>
      <c r="AA10147" t="str">
        <f>"10455-1368"</f>
        <v>10455-1368</v>
      </c>
      <c r="AB10147" t="s">
        <v>133</v>
      </c>
      <c r="AC10147" t="s">
        <v>79</v>
      </c>
      <c r="AD10147" t="s">
        <v>75</v>
      </c>
      <c r="AE10147" t="s">
        <v>80</v>
      </c>
      <c r="AG10147" t="s">
        <v>81</v>
      </c>
    </row>
    <row r="10148" spans="1:33" x14ac:dyDescent="0.25">
      <c r="C10148" t="s">
        <v>39807</v>
      </c>
      <c r="G10148" t="s">
        <v>39810</v>
      </c>
      <c r="H10148" t="s">
        <v>39811</v>
      </c>
      <c r="J10148" t="s">
        <v>39812</v>
      </c>
      <c r="K10148" t="s">
        <v>99</v>
      </c>
      <c r="L10148" t="s">
        <v>100</v>
      </c>
      <c r="M10148" t="s">
        <v>75</v>
      </c>
      <c r="N10148" t="s">
        <v>8565</v>
      </c>
      <c r="O10148" t="s">
        <v>6410</v>
      </c>
      <c r="P10148">
        <v>11375</v>
      </c>
      <c r="AC10148" t="s">
        <v>79</v>
      </c>
      <c r="AD10148" t="s">
        <v>75</v>
      </c>
      <c r="AE10148" t="s">
        <v>101</v>
      </c>
      <c r="AG10148" t="s">
        <v>81</v>
      </c>
    </row>
    <row r="10149" spans="1:33" x14ac:dyDescent="0.25">
      <c r="A10149" t="str">
        <f>"1689688764"</f>
        <v>1689688764</v>
      </c>
      <c r="B10149" t="str">
        <f>"00936769"</f>
        <v>00936769</v>
      </c>
      <c r="C10149" t="s">
        <v>13436</v>
      </c>
      <c r="D10149" t="s">
        <v>41954</v>
      </c>
      <c r="E10149" t="s">
        <v>41955</v>
      </c>
      <c r="G10149" t="s">
        <v>41956</v>
      </c>
      <c r="L10149" t="s">
        <v>83</v>
      </c>
      <c r="M10149" t="s">
        <v>85</v>
      </c>
      <c r="R10149" t="s">
        <v>41957</v>
      </c>
      <c r="W10149" t="s">
        <v>41958</v>
      </c>
      <c r="X10149" t="s">
        <v>41959</v>
      </c>
      <c r="Y10149" t="s">
        <v>87</v>
      </c>
      <c r="Z10149" t="s">
        <v>77</v>
      </c>
      <c r="AA10149" t="str">
        <f>"11229-1705"</f>
        <v>11229-1705</v>
      </c>
      <c r="AB10149" t="s">
        <v>78</v>
      </c>
      <c r="AC10149" t="s">
        <v>79</v>
      </c>
      <c r="AD10149" t="s">
        <v>75</v>
      </c>
      <c r="AE10149" t="s">
        <v>80</v>
      </c>
      <c r="AG10149" t="s">
        <v>81</v>
      </c>
    </row>
    <row r="10150" spans="1:33" x14ac:dyDescent="0.25">
      <c r="A10150" t="str">
        <f>"1750657649"</f>
        <v>1750657649</v>
      </c>
      <c r="C10150" t="s">
        <v>13436</v>
      </c>
      <c r="K10150" t="s">
        <v>99</v>
      </c>
      <c r="L10150" t="s">
        <v>102</v>
      </c>
      <c r="M10150" t="s">
        <v>75</v>
      </c>
      <c r="R10150" t="s">
        <v>41960</v>
      </c>
      <c r="S10150" t="s">
        <v>41961</v>
      </c>
      <c r="T10150" t="s">
        <v>41962</v>
      </c>
      <c r="U10150" t="s">
        <v>351</v>
      </c>
      <c r="V10150" t="str">
        <f>"34471"</f>
        <v>34471</v>
      </c>
      <c r="AC10150" t="s">
        <v>79</v>
      </c>
      <c r="AD10150" t="s">
        <v>75</v>
      </c>
      <c r="AE10150" t="s">
        <v>103</v>
      </c>
      <c r="AG10150" t="s">
        <v>81</v>
      </c>
    </row>
    <row r="10151" spans="1:33" x14ac:dyDescent="0.25">
      <c r="A10151" t="str">
        <f>"1750661633"</f>
        <v>1750661633</v>
      </c>
      <c r="B10151" t="str">
        <f>"03395851"</f>
        <v>03395851</v>
      </c>
      <c r="C10151" t="s">
        <v>13436</v>
      </c>
      <c r="D10151" t="s">
        <v>41963</v>
      </c>
      <c r="E10151" t="s">
        <v>41964</v>
      </c>
      <c r="G10151" t="s">
        <v>41965</v>
      </c>
      <c r="L10151" t="s">
        <v>74</v>
      </c>
      <c r="M10151" t="s">
        <v>75</v>
      </c>
      <c r="R10151" t="s">
        <v>41966</v>
      </c>
      <c r="W10151" t="s">
        <v>41964</v>
      </c>
      <c r="X10151" t="s">
        <v>41967</v>
      </c>
      <c r="Y10151" t="s">
        <v>87</v>
      </c>
      <c r="Z10151" t="s">
        <v>77</v>
      </c>
      <c r="AA10151" t="str">
        <f>"11237-5883"</f>
        <v>11237-5883</v>
      </c>
      <c r="AB10151" t="s">
        <v>78</v>
      </c>
      <c r="AC10151" t="s">
        <v>79</v>
      </c>
      <c r="AD10151" t="s">
        <v>75</v>
      </c>
      <c r="AE10151" t="s">
        <v>80</v>
      </c>
      <c r="AG10151" t="s">
        <v>81</v>
      </c>
    </row>
    <row r="10152" spans="1:33" x14ac:dyDescent="0.25">
      <c r="A10152" t="str">
        <f>"1245674365"</f>
        <v>1245674365</v>
      </c>
      <c r="B10152" t="str">
        <f>"03747793"</f>
        <v>03747793</v>
      </c>
      <c r="C10152" t="s">
        <v>41968</v>
      </c>
      <c r="D10152" t="s">
        <v>3851</v>
      </c>
      <c r="E10152" t="s">
        <v>3852</v>
      </c>
      <c r="G10152" t="s">
        <v>32379</v>
      </c>
      <c r="H10152" t="s">
        <v>183</v>
      </c>
      <c r="J10152" t="s">
        <v>184</v>
      </c>
      <c r="L10152" t="s">
        <v>74</v>
      </c>
      <c r="M10152" t="s">
        <v>75</v>
      </c>
      <c r="R10152" t="s">
        <v>3852</v>
      </c>
      <c r="W10152" t="s">
        <v>3852</v>
      </c>
      <c r="X10152" t="s">
        <v>3853</v>
      </c>
      <c r="Y10152" t="s">
        <v>131</v>
      </c>
      <c r="Z10152" t="s">
        <v>77</v>
      </c>
      <c r="AA10152" t="str">
        <f>"10461-2723"</f>
        <v>10461-2723</v>
      </c>
      <c r="AB10152" t="s">
        <v>78</v>
      </c>
      <c r="AC10152" t="s">
        <v>79</v>
      </c>
      <c r="AD10152" t="s">
        <v>75</v>
      </c>
      <c r="AE10152" t="s">
        <v>80</v>
      </c>
      <c r="AG10152" t="s">
        <v>81</v>
      </c>
    </row>
    <row r="10153" spans="1:33" x14ac:dyDescent="0.25">
      <c r="A10153" t="str">
        <f>"1336443357"</f>
        <v>1336443357</v>
      </c>
      <c r="C10153" t="s">
        <v>41969</v>
      </c>
      <c r="G10153" t="s">
        <v>32379</v>
      </c>
      <c r="H10153" t="s">
        <v>183</v>
      </c>
      <c r="J10153" t="s">
        <v>184</v>
      </c>
      <c r="K10153" t="s">
        <v>2011</v>
      </c>
      <c r="L10153" t="s">
        <v>74</v>
      </c>
      <c r="M10153" t="s">
        <v>75</v>
      </c>
      <c r="R10153" t="s">
        <v>3854</v>
      </c>
      <c r="S10153" t="s">
        <v>3855</v>
      </c>
      <c r="T10153" t="s">
        <v>3856</v>
      </c>
      <c r="U10153" t="s">
        <v>77</v>
      </c>
      <c r="V10153" t="str">
        <f>"132122649"</f>
        <v>132122649</v>
      </c>
      <c r="AC10153" t="s">
        <v>79</v>
      </c>
      <c r="AD10153" t="s">
        <v>75</v>
      </c>
      <c r="AE10153" t="s">
        <v>103</v>
      </c>
      <c r="AG10153" t="s">
        <v>81</v>
      </c>
    </row>
    <row r="10154" spans="1:33" x14ac:dyDescent="0.25">
      <c r="A10154" t="str">
        <f>"1598047805"</f>
        <v>1598047805</v>
      </c>
      <c r="C10154" t="s">
        <v>41970</v>
      </c>
      <c r="G10154" t="s">
        <v>32379</v>
      </c>
      <c r="H10154" t="s">
        <v>183</v>
      </c>
      <c r="J10154" t="s">
        <v>184</v>
      </c>
      <c r="K10154" t="s">
        <v>2011</v>
      </c>
      <c r="L10154" t="s">
        <v>102</v>
      </c>
      <c r="M10154" t="s">
        <v>75</v>
      </c>
      <c r="R10154" t="s">
        <v>3857</v>
      </c>
      <c r="S10154" t="s">
        <v>3858</v>
      </c>
      <c r="T10154" t="s">
        <v>155</v>
      </c>
      <c r="U10154" t="s">
        <v>77</v>
      </c>
      <c r="V10154" t="str">
        <f>"103143547"</f>
        <v>103143547</v>
      </c>
      <c r="AC10154" t="s">
        <v>79</v>
      </c>
      <c r="AD10154" t="s">
        <v>75</v>
      </c>
      <c r="AE10154" t="s">
        <v>103</v>
      </c>
      <c r="AG10154" t="s">
        <v>81</v>
      </c>
    </row>
    <row r="10155" spans="1:33" x14ac:dyDescent="0.25">
      <c r="A10155" t="str">
        <f>"1083946131"</f>
        <v>1083946131</v>
      </c>
      <c r="C10155" t="s">
        <v>41971</v>
      </c>
      <c r="G10155" t="s">
        <v>32379</v>
      </c>
      <c r="H10155" t="s">
        <v>183</v>
      </c>
      <c r="J10155" t="s">
        <v>184</v>
      </c>
      <c r="K10155" t="s">
        <v>2011</v>
      </c>
      <c r="L10155" t="s">
        <v>74</v>
      </c>
      <c r="M10155" t="s">
        <v>75</v>
      </c>
      <c r="R10155" t="s">
        <v>3859</v>
      </c>
      <c r="S10155" t="s">
        <v>208</v>
      </c>
      <c r="T10155" t="s">
        <v>155</v>
      </c>
      <c r="U10155" t="s">
        <v>77</v>
      </c>
      <c r="V10155" t="str">
        <f>"103143533"</f>
        <v>103143533</v>
      </c>
      <c r="AC10155" t="s">
        <v>79</v>
      </c>
      <c r="AD10155" t="s">
        <v>75</v>
      </c>
      <c r="AE10155" t="s">
        <v>103</v>
      </c>
      <c r="AG10155" t="s">
        <v>81</v>
      </c>
    </row>
    <row r="10156" spans="1:33" x14ac:dyDescent="0.25">
      <c r="A10156" t="str">
        <f>"1346588530"</f>
        <v>1346588530</v>
      </c>
      <c r="C10156" t="s">
        <v>41972</v>
      </c>
      <c r="G10156" t="s">
        <v>32379</v>
      </c>
      <c r="H10156" t="s">
        <v>183</v>
      </c>
      <c r="J10156" t="s">
        <v>184</v>
      </c>
      <c r="K10156" t="s">
        <v>2011</v>
      </c>
      <c r="L10156" t="s">
        <v>102</v>
      </c>
      <c r="M10156" t="s">
        <v>75</v>
      </c>
      <c r="R10156" t="s">
        <v>3867</v>
      </c>
      <c r="S10156" t="s">
        <v>3868</v>
      </c>
      <c r="T10156" t="s">
        <v>3818</v>
      </c>
      <c r="U10156" t="s">
        <v>77</v>
      </c>
      <c r="V10156" t="str">
        <f>"117145708"</f>
        <v>117145708</v>
      </c>
      <c r="AC10156" t="s">
        <v>79</v>
      </c>
      <c r="AD10156" t="s">
        <v>75</v>
      </c>
      <c r="AE10156" t="s">
        <v>103</v>
      </c>
      <c r="AG10156" t="s">
        <v>81</v>
      </c>
    </row>
    <row r="10157" spans="1:33" x14ac:dyDescent="0.25">
      <c r="A10157" t="str">
        <f>"1912088287"</f>
        <v>1912088287</v>
      </c>
      <c r="C10157" t="s">
        <v>41973</v>
      </c>
      <c r="G10157" t="s">
        <v>32379</v>
      </c>
      <c r="H10157" t="s">
        <v>183</v>
      </c>
      <c r="J10157" t="s">
        <v>184</v>
      </c>
      <c r="K10157" t="s">
        <v>2011</v>
      </c>
      <c r="L10157" t="s">
        <v>102</v>
      </c>
      <c r="M10157" t="s">
        <v>75</v>
      </c>
      <c r="R10157" t="s">
        <v>3869</v>
      </c>
      <c r="S10157" t="s">
        <v>3870</v>
      </c>
      <c r="T10157" t="s">
        <v>87</v>
      </c>
      <c r="U10157" t="s">
        <v>77</v>
      </c>
      <c r="V10157" t="str">
        <f>"112014300"</f>
        <v>112014300</v>
      </c>
      <c r="AC10157" t="s">
        <v>79</v>
      </c>
      <c r="AD10157" t="s">
        <v>75</v>
      </c>
      <c r="AE10157" t="s">
        <v>103</v>
      </c>
      <c r="AG10157" t="s">
        <v>81</v>
      </c>
    </row>
    <row r="10158" spans="1:33" x14ac:dyDescent="0.25">
      <c r="A10158" t="str">
        <f>"1518918101"</f>
        <v>1518918101</v>
      </c>
      <c r="B10158" t="str">
        <f>"01439087"</f>
        <v>01439087</v>
      </c>
      <c r="C10158" t="s">
        <v>41974</v>
      </c>
      <c r="D10158" t="s">
        <v>362</v>
      </c>
      <c r="E10158" t="s">
        <v>363</v>
      </c>
      <c r="G10158" t="s">
        <v>32379</v>
      </c>
      <c r="H10158" t="s">
        <v>183</v>
      </c>
      <c r="J10158" t="s">
        <v>184</v>
      </c>
      <c r="L10158" t="s">
        <v>119</v>
      </c>
      <c r="M10158" t="s">
        <v>85</v>
      </c>
      <c r="R10158" t="s">
        <v>364</v>
      </c>
      <c r="W10158" t="s">
        <v>363</v>
      </c>
      <c r="X10158" t="s">
        <v>208</v>
      </c>
      <c r="Y10158" t="s">
        <v>155</v>
      </c>
      <c r="Z10158" t="s">
        <v>77</v>
      </c>
      <c r="AA10158" t="str">
        <f>"10314-3533"</f>
        <v>10314-3533</v>
      </c>
      <c r="AB10158" t="s">
        <v>122</v>
      </c>
      <c r="AC10158" t="s">
        <v>79</v>
      </c>
      <c r="AD10158" t="s">
        <v>75</v>
      </c>
      <c r="AE10158" t="s">
        <v>80</v>
      </c>
      <c r="AG10158" t="s">
        <v>81</v>
      </c>
    </row>
    <row r="10159" spans="1:33" x14ac:dyDescent="0.25">
      <c r="A10159" t="str">
        <f>"1780927202"</f>
        <v>1780927202</v>
      </c>
      <c r="C10159" t="s">
        <v>41975</v>
      </c>
      <c r="G10159" t="s">
        <v>32379</v>
      </c>
      <c r="H10159" t="s">
        <v>183</v>
      </c>
      <c r="J10159" t="s">
        <v>184</v>
      </c>
      <c r="K10159" t="s">
        <v>2011</v>
      </c>
      <c r="L10159" t="s">
        <v>74</v>
      </c>
      <c r="M10159" t="s">
        <v>75</v>
      </c>
      <c r="R10159" t="s">
        <v>3871</v>
      </c>
      <c r="S10159" t="s">
        <v>3813</v>
      </c>
      <c r="T10159" t="s">
        <v>97</v>
      </c>
      <c r="U10159" t="s">
        <v>77</v>
      </c>
      <c r="V10159" t="str">
        <f>"100184190"</f>
        <v>100184190</v>
      </c>
      <c r="AC10159" t="s">
        <v>79</v>
      </c>
      <c r="AD10159" t="s">
        <v>75</v>
      </c>
      <c r="AE10159" t="s">
        <v>103</v>
      </c>
      <c r="AG10159" t="s">
        <v>81</v>
      </c>
    </row>
    <row r="10160" spans="1:33" x14ac:dyDescent="0.25">
      <c r="A10160" t="str">
        <f>"1194132282"</f>
        <v>1194132282</v>
      </c>
      <c r="C10160" t="s">
        <v>41976</v>
      </c>
      <c r="G10160" t="s">
        <v>32379</v>
      </c>
      <c r="H10160" t="s">
        <v>183</v>
      </c>
      <c r="J10160" t="s">
        <v>184</v>
      </c>
      <c r="K10160" t="s">
        <v>2011</v>
      </c>
      <c r="L10160" t="s">
        <v>102</v>
      </c>
      <c r="M10160" t="s">
        <v>75</v>
      </c>
      <c r="R10160" t="s">
        <v>3872</v>
      </c>
      <c r="S10160" t="s">
        <v>3873</v>
      </c>
      <c r="T10160" t="s">
        <v>87</v>
      </c>
      <c r="U10160" t="s">
        <v>77</v>
      </c>
      <c r="V10160" t="str">
        <f>"112014333"</f>
        <v>112014333</v>
      </c>
      <c r="AC10160" t="s">
        <v>79</v>
      </c>
      <c r="AD10160" t="s">
        <v>75</v>
      </c>
      <c r="AE10160" t="s">
        <v>103</v>
      </c>
      <c r="AG10160" t="s">
        <v>81</v>
      </c>
    </row>
    <row r="10161" spans="1:33" x14ac:dyDescent="0.25">
      <c r="A10161" t="str">
        <f>"1366877961"</f>
        <v>1366877961</v>
      </c>
      <c r="C10161" t="s">
        <v>41977</v>
      </c>
      <c r="G10161" t="s">
        <v>32379</v>
      </c>
      <c r="H10161" t="s">
        <v>183</v>
      </c>
      <c r="J10161" t="s">
        <v>184</v>
      </c>
      <c r="K10161" t="s">
        <v>2011</v>
      </c>
      <c r="L10161" t="s">
        <v>102</v>
      </c>
      <c r="M10161" t="s">
        <v>75</v>
      </c>
      <c r="R10161" t="s">
        <v>3874</v>
      </c>
      <c r="S10161" t="s">
        <v>3813</v>
      </c>
      <c r="T10161" t="s">
        <v>97</v>
      </c>
      <c r="U10161" t="s">
        <v>77</v>
      </c>
      <c r="V10161" t="str">
        <f>"100184190"</f>
        <v>100184190</v>
      </c>
      <c r="AC10161" t="s">
        <v>79</v>
      </c>
      <c r="AD10161" t="s">
        <v>75</v>
      </c>
      <c r="AE10161" t="s">
        <v>103</v>
      </c>
      <c r="AG10161" t="s">
        <v>81</v>
      </c>
    </row>
    <row r="10162" spans="1:33" x14ac:dyDescent="0.25">
      <c r="A10162" t="str">
        <f>"1497094627"</f>
        <v>1497094627</v>
      </c>
      <c r="C10162" t="s">
        <v>41978</v>
      </c>
      <c r="G10162" t="s">
        <v>32379</v>
      </c>
      <c r="H10162" t="s">
        <v>183</v>
      </c>
      <c r="J10162" t="s">
        <v>184</v>
      </c>
      <c r="K10162" t="s">
        <v>2011</v>
      </c>
      <c r="L10162" t="s">
        <v>102</v>
      </c>
      <c r="M10162" t="s">
        <v>75</v>
      </c>
      <c r="AC10162" t="s">
        <v>79</v>
      </c>
      <c r="AD10162" t="s">
        <v>75</v>
      </c>
      <c r="AE10162" t="s">
        <v>103</v>
      </c>
      <c r="AG10162" t="s">
        <v>81</v>
      </c>
    </row>
    <row r="10163" spans="1:33" x14ac:dyDescent="0.25">
      <c r="A10163" t="str">
        <f>"1861650608"</f>
        <v>1861650608</v>
      </c>
      <c r="B10163" t="str">
        <f>"03084099"</f>
        <v>03084099</v>
      </c>
      <c r="C10163" t="s">
        <v>13436</v>
      </c>
      <c r="D10163" t="s">
        <v>41979</v>
      </c>
      <c r="E10163" t="s">
        <v>41980</v>
      </c>
      <c r="L10163" t="s">
        <v>83</v>
      </c>
      <c r="M10163" t="s">
        <v>85</v>
      </c>
      <c r="R10163" t="s">
        <v>41981</v>
      </c>
      <c r="W10163" t="s">
        <v>41980</v>
      </c>
      <c r="X10163" t="s">
        <v>842</v>
      </c>
      <c r="Y10163" t="s">
        <v>97</v>
      </c>
      <c r="Z10163" t="s">
        <v>77</v>
      </c>
      <c r="AA10163" t="str">
        <f>"10029-6501"</f>
        <v>10029-6501</v>
      </c>
      <c r="AB10163" t="s">
        <v>78</v>
      </c>
      <c r="AC10163" t="s">
        <v>79</v>
      </c>
      <c r="AD10163" t="s">
        <v>75</v>
      </c>
      <c r="AE10163" t="s">
        <v>80</v>
      </c>
      <c r="AG10163" t="s">
        <v>81</v>
      </c>
    </row>
    <row r="10164" spans="1:33" x14ac:dyDescent="0.25">
      <c r="A10164" t="str">
        <f>"1689761207"</f>
        <v>1689761207</v>
      </c>
      <c r="B10164" t="str">
        <f>"01175617"</f>
        <v>01175617</v>
      </c>
      <c r="C10164" t="s">
        <v>13436</v>
      </c>
      <c r="D10164" t="s">
        <v>41982</v>
      </c>
      <c r="E10164" t="s">
        <v>41983</v>
      </c>
      <c r="G10164" t="s">
        <v>41984</v>
      </c>
      <c r="L10164" t="s">
        <v>83</v>
      </c>
      <c r="M10164" t="s">
        <v>85</v>
      </c>
      <c r="R10164" t="s">
        <v>41985</v>
      </c>
      <c r="W10164" t="s">
        <v>41983</v>
      </c>
      <c r="X10164" t="s">
        <v>910</v>
      </c>
      <c r="Y10164" t="s">
        <v>97</v>
      </c>
      <c r="Z10164" t="s">
        <v>77</v>
      </c>
      <c r="AA10164" t="str">
        <f>"10022-1304"</f>
        <v>10022-1304</v>
      </c>
      <c r="AB10164" t="s">
        <v>78</v>
      </c>
      <c r="AC10164" t="s">
        <v>79</v>
      </c>
      <c r="AD10164" t="s">
        <v>75</v>
      </c>
      <c r="AE10164" t="s">
        <v>80</v>
      </c>
      <c r="AG10164" t="s">
        <v>81</v>
      </c>
    </row>
    <row r="10165" spans="1:33" x14ac:dyDescent="0.25">
      <c r="A10165" t="str">
        <f>"1518035930"</f>
        <v>1518035930</v>
      </c>
      <c r="B10165" t="str">
        <f>"00690928"</f>
        <v>00690928</v>
      </c>
      <c r="C10165" t="s">
        <v>13436</v>
      </c>
      <c r="D10165" t="s">
        <v>41986</v>
      </c>
      <c r="E10165" t="s">
        <v>41987</v>
      </c>
      <c r="G10165" t="s">
        <v>41988</v>
      </c>
      <c r="L10165" t="s">
        <v>83</v>
      </c>
      <c r="M10165" t="s">
        <v>75</v>
      </c>
      <c r="R10165" t="s">
        <v>41989</v>
      </c>
      <c r="W10165" t="s">
        <v>41987</v>
      </c>
      <c r="X10165" t="s">
        <v>41990</v>
      </c>
      <c r="Y10165" t="s">
        <v>97</v>
      </c>
      <c r="Z10165" t="s">
        <v>77</v>
      </c>
      <c r="AA10165" t="str">
        <f>"10019-2215"</f>
        <v>10019-2215</v>
      </c>
      <c r="AB10165" t="s">
        <v>128</v>
      </c>
      <c r="AC10165" t="s">
        <v>79</v>
      </c>
      <c r="AD10165" t="s">
        <v>75</v>
      </c>
      <c r="AE10165" t="s">
        <v>80</v>
      </c>
      <c r="AG10165" t="s">
        <v>81</v>
      </c>
    </row>
    <row r="10166" spans="1:33" x14ac:dyDescent="0.25">
      <c r="A10166" t="str">
        <f>"1528060324"</f>
        <v>1528060324</v>
      </c>
      <c r="B10166" t="str">
        <f>"00222853"</f>
        <v>00222853</v>
      </c>
      <c r="C10166" t="s">
        <v>13436</v>
      </c>
      <c r="D10166" t="s">
        <v>1517</v>
      </c>
      <c r="E10166" t="s">
        <v>1518</v>
      </c>
      <c r="G10166" t="s">
        <v>41991</v>
      </c>
      <c r="L10166" t="s">
        <v>83</v>
      </c>
      <c r="M10166" t="s">
        <v>75</v>
      </c>
      <c r="R10166" t="s">
        <v>1516</v>
      </c>
      <c r="W10166" t="s">
        <v>1519</v>
      </c>
      <c r="X10166" t="s">
        <v>858</v>
      </c>
      <c r="Y10166" t="s">
        <v>87</v>
      </c>
      <c r="Z10166" t="s">
        <v>77</v>
      </c>
      <c r="AA10166" t="str">
        <f>"11234-2647"</f>
        <v>11234-2647</v>
      </c>
      <c r="AB10166" t="s">
        <v>78</v>
      </c>
      <c r="AC10166" t="s">
        <v>79</v>
      </c>
      <c r="AD10166" t="s">
        <v>75</v>
      </c>
      <c r="AE10166" t="s">
        <v>80</v>
      </c>
      <c r="AG10166" t="s">
        <v>81</v>
      </c>
    </row>
    <row r="10167" spans="1:33" x14ac:dyDescent="0.25">
      <c r="A10167" t="str">
        <f>"1528097250"</f>
        <v>1528097250</v>
      </c>
      <c r="B10167" t="str">
        <f>"02215350"</f>
        <v>02215350</v>
      </c>
      <c r="C10167" t="s">
        <v>13436</v>
      </c>
      <c r="D10167" t="s">
        <v>41992</v>
      </c>
      <c r="E10167" t="s">
        <v>41993</v>
      </c>
      <c r="G10167" t="s">
        <v>41994</v>
      </c>
      <c r="L10167" t="s">
        <v>74</v>
      </c>
      <c r="M10167" t="s">
        <v>75</v>
      </c>
      <c r="R10167" t="s">
        <v>41995</v>
      </c>
      <c r="W10167" t="s">
        <v>41993</v>
      </c>
      <c r="X10167" t="s">
        <v>905</v>
      </c>
      <c r="Y10167" t="s">
        <v>87</v>
      </c>
      <c r="Z10167" t="s">
        <v>77</v>
      </c>
      <c r="AA10167" t="str">
        <f>"11229-1705"</f>
        <v>11229-1705</v>
      </c>
      <c r="AB10167" t="s">
        <v>78</v>
      </c>
      <c r="AC10167" t="s">
        <v>79</v>
      </c>
      <c r="AD10167" t="s">
        <v>75</v>
      </c>
      <c r="AE10167" t="s">
        <v>80</v>
      </c>
      <c r="AG10167" t="s">
        <v>81</v>
      </c>
    </row>
    <row r="10168" spans="1:33" x14ac:dyDescent="0.25">
      <c r="A10168" t="str">
        <f>"1538184098"</f>
        <v>1538184098</v>
      </c>
      <c r="B10168" t="str">
        <f>"01243925"</f>
        <v>01243925</v>
      </c>
      <c r="C10168" t="s">
        <v>13436</v>
      </c>
      <c r="D10168" t="s">
        <v>41996</v>
      </c>
      <c r="E10168" t="s">
        <v>41997</v>
      </c>
      <c r="G10168" t="s">
        <v>41998</v>
      </c>
      <c r="L10168" t="s">
        <v>83</v>
      </c>
      <c r="M10168" t="s">
        <v>75</v>
      </c>
      <c r="R10168" t="s">
        <v>41999</v>
      </c>
      <c r="W10168" t="s">
        <v>41997</v>
      </c>
      <c r="X10168" t="s">
        <v>42000</v>
      </c>
      <c r="Y10168" t="s">
        <v>131</v>
      </c>
      <c r="Z10168" t="s">
        <v>77</v>
      </c>
      <c r="AA10168" t="str">
        <f>"10469-2510"</f>
        <v>10469-2510</v>
      </c>
      <c r="AB10168" t="s">
        <v>128</v>
      </c>
      <c r="AC10168" t="s">
        <v>79</v>
      </c>
      <c r="AD10168" t="s">
        <v>75</v>
      </c>
      <c r="AE10168" t="s">
        <v>80</v>
      </c>
      <c r="AG10168" t="s">
        <v>81</v>
      </c>
    </row>
    <row r="10169" spans="1:33" x14ac:dyDescent="0.25">
      <c r="A10169" t="str">
        <f>"1538196712"</f>
        <v>1538196712</v>
      </c>
      <c r="B10169" t="str">
        <f>"01274148"</f>
        <v>01274148</v>
      </c>
      <c r="C10169" t="s">
        <v>13436</v>
      </c>
      <c r="D10169" t="s">
        <v>42001</v>
      </c>
      <c r="E10169" t="s">
        <v>42002</v>
      </c>
      <c r="G10169" t="s">
        <v>42003</v>
      </c>
      <c r="L10169" t="s">
        <v>83</v>
      </c>
      <c r="M10169" t="s">
        <v>75</v>
      </c>
      <c r="R10169" t="s">
        <v>42004</v>
      </c>
      <c r="W10169" t="s">
        <v>42005</v>
      </c>
      <c r="X10169" t="s">
        <v>42006</v>
      </c>
      <c r="Y10169" t="s">
        <v>97</v>
      </c>
      <c r="Z10169" t="s">
        <v>77</v>
      </c>
      <c r="AA10169" t="str">
        <f>"10003-2506"</f>
        <v>10003-2506</v>
      </c>
      <c r="AB10169" t="s">
        <v>128</v>
      </c>
      <c r="AC10169" t="s">
        <v>79</v>
      </c>
      <c r="AD10169" t="s">
        <v>75</v>
      </c>
      <c r="AE10169" t="s">
        <v>80</v>
      </c>
      <c r="AG10169" t="s">
        <v>81</v>
      </c>
    </row>
    <row r="10170" spans="1:33" x14ac:dyDescent="0.25">
      <c r="A10170" t="str">
        <f>"1548221708"</f>
        <v>1548221708</v>
      </c>
      <c r="B10170" t="str">
        <f>"00963199"</f>
        <v>00963199</v>
      </c>
      <c r="C10170" t="s">
        <v>13436</v>
      </c>
      <c r="D10170" t="s">
        <v>42007</v>
      </c>
      <c r="E10170" t="s">
        <v>42008</v>
      </c>
      <c r="G10170" t="s">
        <v>42009</v>
      </c>
      <c r="L10170" t="s">
        <v>83</v>
      </c>
      <c r="M10170" t="s">
        <v>75</v>
      </c>
      <c r="R10170" t="s">
        <v>42010</v>
      </c>
      <c r="W10170" t="s">
        <v>42008</v>
      </c>
      <c r="X10170" t="s">
        <v>202</v>
      </c>
      <c r="Y10170" t="s">
        <v>87</v>
      </c>
      <c r="Z10170" t="s">
        <v>77</v>
      </c>
      <c r="AA10170" t="str">
        <f>"11201-5425"</f>
        <v>11201-5425</v>
      </c>
      <c r="AB10170" t="s">
        <v>128</v>
      </c>
      <c r="AC10170" t="s">
        <v>79</v>
      </c>
      <c r="AD10170" t="s">
        <v>75</v>
      </c>
      <c r="AE10170" t="s">
        <v>80</v>
      </c>
      <c r="AG10170" t="s">
        <v>81</v>
      </c>
    </row>
    <row r="10171" spans="1:33" x14ac:dyDescent="0.25">
      <c r="A10171" t="str">
        <f>"1548262348"</f>
        <v>1548262348</v>
      </c>
      <c r="B10171" t="str">
        <f>"00373762"</f>
        <v>00373762</v>
      </c>
      <c r="C10171" t="s">
        <v>13436</v>
      </c>
      <c r="D10171" t="s">
        <v>1513</v>
      </c>
      <c r="E10171" t="s">
        <v>1514</v>
      </c>
      <c r="G10171" t="s">
        <v>42011</v>
      </c>
      <c r="L10171" t="s">
        <v>83</v>
      </c>
      <c r="M10171" t="s">
        <v>75</v>
      </c>
      <c r="R10171" t="s">
        <v>1512</v>
      </c>
      <c r="W10171" t="s">
        <v>1515</v>
      </c>
      <c r="X10171" t="s">
        <v>858</v>
      </c>
      <c r="Y10171" t="s">
        <v>87</v>
      </c>
      <c r="Z10171" t="s">
        <v>77</v>
      </c>
      <c r="AA10171" t="str">
        <f>"11234-2647"</f>
        <v>11234-2647</v>
      </c>
      <c r="AB10171" t="s">
        <v>78</v>
      </c>
      <c r="AC10171" t="s">
        <v>79</v>
      </c>
      <c r="AD10171" t="s">
        <v>75</v>
      </c>
      <c r="AE10171" t="s">
        <v>80</v>
      </c>
      <c r="AG10171" t="s">
        <v>81</v>
      </c>
    </row>
    <row r="10172" spans="1:33" x14ac:dyDescent="0.25">
      <c r="A10172" t="str">
        <f>"1548354020"</f>
        <v>1548354020</v>
      </c>
      <c r="B10172" t="str">
        <f>"01456748"</f>
        <v>01456748</v>
      </c>
      <c r="C10172" t="s">
        <v>13436</v>
      </c>
      <c r="D10172" t="s">
        <v>42012</v>
      </c>
      <c r="E10172" t="s">
        <v>42013</v>
      </c>
      <c r="G10172" t="s">
        <v>42014</v>
      </c>
      <c r="L10172" t="s">
        <v>83</v>
      </c>
      <c r="M10172" t="s">
        <v>75</v>
      </c>
      <c r="R10172" t="s">
        <v>42015</v>
      </c>
      <c r="W10172" t="s">
        <v>42013</v>
      </c>
      <c r="X10172" t="s">
        <v>646</v>
      </c>
      <c r="Y10172" t="s">
        <v>87</v>
      </c>
      <c r="Z10172" t="s">
        <v>77</v>
      </c>
      <c r="AA10172" t="str">
        <f>"11201-5493"</f>
        <v>11201-5493</v>
      </c>
      <c r="AB10172" t="s">
        <v>78</v>
      </c>
      <c r="AC10172" t="s">
        <v>79</v>
      </c>
      <c r="AD10172" t="s">
        <v>75</v>
      </c>
      <c r="AE10172" t="s">
        <v>80</v>
      </c>
      <c r="AG10172" t="s">
        <v>81</v>
      </c>
    </row>
    <row r="10173" spans="1:33" x14ac:dyDescent="0.25">
      <c r="A10173" t="str">
        <f>"1548596125"</f>
        <v>1548596125</v>
      </c>
      <c r="B10173" t="str">
        <f>"03288382"</f>
        <v>03288382</v>
      </c>
      <c r="C10173" t="s">
        <v>13436</v>
      </c>
      <c r="D10173" t="s">
        <v>42016</v>
      </c>
      <c r="E10173" t="s">
        <v>42017</v>
      </c>
      <c r="G10173" t="s">
        <v>42018</v>
      </c>
      <c r="L10173" t="s">
        <v>74</v>
      </c>
      <c r="M10173" t="s">
        <v>75</v>
      </c>
      <c r="R10173" t="s">
        <v>42019</v>
      </c>
      <c r="W10173" t="s">
        <v>42017</v>
      </c>
      <c r="X10173" t="s">
        <v>181</v>
      </c>
      <c r="Y10173" t="s">
        <v>97</v>
      </c>
      <c r="Z10173" t="s">
        <v>77</v>
      </c>
      <c r="AA10173" t="str">
        <f>"10025-1716"</f>
        <v>10025-1716</v>
      </c>
      <c r="AB10173" t="s">
        <v>78</v>
      </c>
      <c r="AC10173" t="s">
        <v>79</v>
      </c>
      <c r="AD10173" t="s">
        <v>75</v>
      </c>
      <c r="AE10173" t="s">
        <v>80</v>
      </c>
      <c r="AG10173" t="s">
        <v>81</v>
      </c>
    </row>
    <row r="10174" spans="1:33" x14ac:dyDescent="0.25">
      <c r="A10174" t="str">
        <f>"1558394916"</f>
        <v>1558394916</v>
      </c>
      <c r="B10174" t="str">
        <f>"01052991"</f>
        <v>01052991</v>
      </c>
      <c r="C10174" t="s">
        <v>13436</v>
      </c>
      <c r="D10174" t="s">
        <v>42020</v>
      </c>
      <c r="E10174" t="s">
        <v>42021</v>
      </c>
      <c r="G10174" t="s">
        <v>42022</v>
      </c>
      <c r="L10174" t="s">
        <v>83</v>
      </c>
      <c r="M10174" t="s">
        <v>75</v>
      </c>
      <c r="R10174" t="s">
        <v>42023</v>
      </c>
      <c r="W10174" t="s">
        <v>42024</v>
      </c>
      <c r="X10174" t="s">
        <v>1010</v>
      </c>
      <c r="Y10174" t="s">
        <v>97</v>
      </c>
      <c r="Z10174" t="s">
        <v>77</v>
      </c>
      <c r="AA10174" t="str">
        <f>"10035-3832"</f>
        <v>10035-3832</v>
      </c>
      <c r="AB10174" t="s">
        <v>128</v>
      </c>
      <c r="AC10174" t="s">
        <v>79</v>
      </c>
      <c r="AD10174" t="s">
        <v>75</v>
      </c>
      <c r="AE10174" t="s">
        <v>80</v>
      </c>
      <c r="AG10174" t="s">
        <v>81</v>
      </c>
    </row>
    <row r="10175" spans="1:33" x14ac:dyDescent="0.25">
      <c r="A10175" t="str">
        <f>"1558435206"</f>
        <v>1558435206</v>
      </c>
      <c r="B10175" t="str">
        <f>"01624395"</f>
        <v>01624395</v>
      </c>
      <c r="C10175" t="s">
        <v>13436</v>
      </c>
      <c r="D10175" t="s">
        <v>42025</v>
      </c>
      <c r="E10175" t="s">
        <v>42026</v>
      </c>
      <c r="G10175" t="s">
        <v>42027</v>
      </c>
      <c r="L10175" t="s">
        <v>102</v>
      </c>
      <c r="M10175" t="s">
        <v>75</v>
      </c>
      <c r="R10175" t="s">
        <v>42028</v>
      </c>
      <c r="W10175" t="s">
        <v>42026</v>
      </c>
      <c r="X10175" t="s">
        <v>42029</v>
      </c>
      <c r="Y10175" t="s">
        <v>97</v>
      </c>
      <c r="Z10175" t="s">
        <v>77</v>
      </c>
      <c r="AA10175" t="str">
        <f>"10003-0000"</f>
        <v>10003-0000</v>
      </c>
      <c r="AB10175" t="s">
        <v>125</v>
      </c>
      <c r="AC10175" t="s">
        <v>79</v>
      </c>
      <c r="AD10175" t="s">
        <v>75</v>
      </c>
      <c r="AE10175" t="s">
        <v>80</v>
      </c>
      <c r="AG10175" t="s">
        <v>81</v>
      </c>
    </row>
    <row r="10176" spans="1:33" x14ac:dyDescent="0.25">
      <c r="A10176" t="str">
        <f>"1568556744"</f>
        <v>1568556744</v>
      </c>
      <c r="B10176" t="str">
        <f>"00859756"</f>
        <v>00859756</v>
      </c>
      <c r="C10176" t="s">
        <v>13436</v>
      </c>
      <c r="D10176" t="s">
        <v>42030</v>
      </c>
      <c r="E10176" t="s">
        <v>42031</v>
      </c>
      <c r="G10176" t="s">
        <v>42032</v>
      </c>
      <c r="L10176" t="s">
        <v>102</v>
      </c>
      <c r="M10176" t="s">
        <v>75</v>
      </c>
      <c r="R10176" t="s">
        <v>42033</v>
      </c>
      <c r="W10176" t="s">
        <v>42031</v>
      </c>
      <c r="X10176" t="s">
        <v>42034</v>
      </c>
      <c r="Y10176" t="s">
        <v>87</v>
      </c>
      <c r="Z10176" t="s">
        <v>77</v>
      </c>
      <c r="AA10176" t="str">
        <f>"11224-1808"</f>
        <v>11224-1808</v>
      </c>
      <c r="AB10176" t="s">
        <v>128</v>
      </c>
      <c r="AC10176" t="s">
        <v>79</v>
      </c>
      <c r="AD10176" t="s">
        <v>75</v>
      </c>
      <c r="AE10176" t="s">
        <v>80</v>
      </c>
      <c r="AG10176" t="s">
        <v>81</v>
      </c>
    </row>
    <row r="10177" spans="1:33" x14ac:dyDescent="0.25">
      <c r="A10177" t="str">
        <f>"1578564274"</f>
        <v>1578564274</v>
      </c>
      <c r="B10177" t="str">
        <f>"01532163"</f>
        <v>01532163</v>
      </c>
      <c r="C10177" t="s">
        <v>13436</v>
      </c>
      <c r="D10177" t="s">
        <v>42035</v>
      </c>
      <c r="E10177" t="s">
        <v>42036</v>
      </c>
      <c r="G10177" t="s">
        <v>42037</v>
      </c>
      <c r="L10177" t="s">
        <v>84</v>
      </c>
      <c r="M10177" t="s">
        <v>75</v>
      </c>
      <c r="R10177" t="s">
        <v>42038</v>
      </c>
      <c r="W10177" t="s">
        <v>42036</v>
      </c>
      <c r="X10177" t="s">
        <v>32596</v>
      </c>
      <c r="Y10177" t="s">
        <v>87</v>
      </c>
      <c r="Z10177" t="s">
        <v>77</v>
      </c>
      <c r="AA10177" t="str">
        <f>"11234-2644"</f>
        <v>11234-2644</v>
      </c>
      <c r="AB10177" t="s">
        <v>78</v>
      </c>
      <c r="AC10177" t="s">
        <v>79</v>
      </c>
      <c r="AD10177" t="s">
        <v>75</v>
      </c>
      <c r="AE10177" t="s">
        <v>80</v>
      </c>
      <c r="AG10177" t="s">
        <v>81</v>
      </c>
    </row>
    <row r="10178" spans="1:33" x14ac:dyDescent="0.25">
      <c r="A10178" t="str">
        <f>"1588606917"</f>
        <v>1588606917</v>
      </c>
      <c r="B10178" t="str">
        <f>"02440155"</f>
        <v>02440155</v>
      </c>
      <c r="C10178" t="s">
        <v>13436</v>
      </c>
      <c r="D10178" t="s">
        <v>42039</v>
      </c>
      <c r="E10178" t="s">
        <v>42040</v>
      </c>
      <c r="G10178" t="s">
        <v>42041</v>
      </c>
      <c r="L10178" t="s">
        <v>83</v>
      </c>
      <c r="M10178" t="s">
        <v>75</v>
      </c>
      <c r="R10178" t="s">
        <v>42042</v>
      </c>
      <c r="W10178" t="s">
        <v>42040</v>
      </c>
      <c r="X10178" t="s">
        <v>42043</v>
      </c>
      <c r="Y10178" t="s">
        <v>87</v>
      </c>
      <c r="Z10178" t="s">
        <v>77</v>
      </c>
      <c r="AA10178" t="str">
        <f>"11234-2625"</f>
        <v>11234-2625</v>
      </c>
      <c r="AB10178" t="s">
        <v>78</v>
      </c>
      <c r="AC10178" t="s">
        <v>79</v>
      </c>
      <c r="AD10178" t="s">
        <v>75</v>
      </c>
      <c r="AE10178" t="s">
        <v>80</v>
      </c>
      <c r="AG10178" t="s">
        <v>81</v>
      </c>
    </row>
    <row r="10179" spans="1:33" x14ac:dyDescent="0.25">
      <c r="A10179" t="str">
        <f>"1588661052"</f>
        <v>1588661052</v>
      </c>
      <c r="B10179" t="str">
        <f>"00582325"</f>
        <v>00582325</v>
      </c>
      <c r="C10179" t="s">
        <v>13436</v>
      </c>
      <c r="D10179" t="s">
        <v>42044</v>
      </c>
      <c r="E10179" t="s">
        <v>42045</v>
      </c>
      <c r="G10179" t="s">
        <v>42046</v>
      </c>
      <c r="L10179" t="s">
        <v>83</v>
      </c>
      <c r="M10179" t="s">
        <v>75</v>
      </c>
      <c r="R10179" t="s">
        <v>42047</v>
      </c>
      <c r="W10179" t="s">
        <v>42045</v>
      </c>
      <c r="X10179" t="s">
        <v>173</v>
      </c>
      <c r="Y10179" t="s">
        <v>87</v>
      </c>
      <c r="Z10179" t="s">
        <v>77</v>
      </c>
      <c r="AA10179" t="str">
        <f>"11219-2999"</f>
        <v>11219-2999</v>
      </c>
      <c r="AB10179" t="s">
        <v>78</v>
      </c>
      <c r="AC10179" t="s">
        <v>79</v>
      </c>
      <c r="AD10179" t="s">
        <v>75</v>
      </c>
      <c r="AE10179" t="s">
        <v>80</v>
      </c>
      <c r="AG10179" t="s">
        <v>81</v>
      </c>
    </row>
    <row r="10180" spans="1:33" x14ac:dyDescent="0.25">
      <c r="A10180" t="str">
        <f>"1588779979"</f>
        <v>1588779979</v>
      </c>
      <c r="B10180" t="str">
        <f>"01243838"</f>
        <v>01243838</v>
      </c>
      <c r="C10180" t="s">
        <v>13436</v>
      </c>
      <c r="D10180" t="s">
        <v>42048</v>
      </c>
      <c r="E10180" t="s">
        <v>42049</v>
      </c>
      <c r="G10180" t="s">
        <v>42050</v>
      </c>
      <c r="L10180" t="s">
        <v>83</v>
      </c>
      <c r="M10180" t="s">
        <v>75</v>
      </c>
      <c r="R10180" t="s">
        <v>42051</v>
      </c>
      <c r="W10180" t="s">
        <v>42049</v>
      </c>
      <c r="X10180" t="s">
        <v>42052</v>
      </c>
      <c r="Y10180" t="s">
        <v>1103</v>
      </c>
      <c r="Z10180" t="s">
        <v>77</v>
      </c>
      <c r="AA10180" t="str">
        <f>"11364-3131"</f>
        <v>11364-3131</v>
      </c>
      <c r="AB10180" t="s">
        <v>128</v>
      </c>
      <c r="AC10180" t="s">
        <v>79</v>
      </c>
      <c r="AD10180" t="s">
        <v>75</v>
      </c>
      <c r="AE10180" t="s">
        <v>80</v>
      </c>
      <c r="AG10180" t="s">
        <v>81</v>
      </c>
    </row>
    <row r="10181" spans="1:33" x14ac:dyDescent="0.25">
      <c r="A10181" t="str">
        <f>"1720235856"</f>
        <v>1720235856</v>
      </c>
      <c r="C10181" t="s">
        <v>13436</v>
      </c>
      <c r="G10181" t="s">
        <v>42053</v>
      </c>
      <c r="K10181" t="s">
        <v>99</v>
      </c>
      <c r="L10181" t="s">
        <v>102</v>
      </c>
      <c r="M10181" t="s">
        <v>75</v>
      </c>
      <c r="R10181" t="s">
        <v>42054</v>
      </c>
      <c r="S10181" t="s">
        <v>4799</v>
      </c>
      <c r="T10181" t="s">
        <v>87</v>
      </c>
      <c r="U10181" t="s">
        <v>77</v>
      </c>
      <c r="V10181" t="str">
        <f>"112342625"</f>
        <v>112342625</v>
      </c>
      <c r="AC10181" t="s">
        <v>79</v>
      </c>
      <c r="AD10181" t="s">
        <v>75</v>
      </c>
      <c r="AE10181" t="s">
        <v>103</v>
      </c>
      <c r="AG10181" t="s">
        <v>81</v>
      </c>
    </row>
    <row r="10182" spans="1:33" x14ac:dyDescent="0.25">
      <c r="A10182" t="str">
        <f>"1861554560"</f>
        <v>1861554560</v>
      </c>
      <c r="B10182" t="str">
        <f>"02110869"</f>
        <v>02110869</v>
      </c>
      <c r="C10182" t="s">
        <v>13436</v>
      </c>
      <c r="D10182" t="s">
        <v>42055</v>
      </c>
      <c r="E10182" t="s">
        <v>42056</v>
      </c>
      <c r="L10182" t="s">
        <v>83</v>
      </c>
      <c r="M10182" t="s">
        <v>85</v>
      </c>
      <c r="R10182" t="s">
        <v>42057</v>
      </c>
      <c r="W10182" t="s">
        <v>42058</v>
      </c>
      <c r="X10182" t="s">
        <v>990</v>
      </c>
      <c r="Y10182" t="s">
        <v>91</v>
      </c>
      <c r="Z10182" t="s">
        <v>77</v>
      </c>
      <c r="AA10182" t="str">
        <f>"11373-1329"</f>
        <v>11373-1329</v>
      </c>
      <c r="AB10182" t="s">
        <v>78</v>
      </c>
      <c r="AC10182" t="s">
        <v>79</v>
      </c>
      <c r="AD10182" t="s">
        <v>75</v>
      </c>
      <c r="AE10182" t="s">
        <v>80</v>
      </c>
      <c r="AG10182" t="s">
        <v>81</v>
      </c>
    </row>
    <row r="10183" spans="1:33" x14ac:dyDescent="0.25">
      <c r="A10183" t="str">
        <f>"1861613929"</f>
        <v>1861613929</v>
      </c>
      <c r="B10183" t="str">
        <f>"02947193"</f>
        <v>02947193</v>
      </c>
      <c r="C10183" t="s">
        <v>13436</v>
      </c>
      <c r="D10183" t="s">
        <v>42059</v>
      </c>
      <c r="E10183" t="s">
        <v>42060</v>
      </c>
      <c r="G10183" t="s">
        <v>42061</v>
      </c>
      <c r="L10183" t="s">
        <v>102</v>
      </c>
      <c r="M10183" t="s">
        <v>75</v>
      </c>
      <c r="R10183" t="s">
        <v>42062</v>
      </c>
      <c r="W10183" t="s">
        <v>42060</v>
      </c>
      <c r="X10183" t="s">
        <v>251</v>
      </c>
      <c r="Y10183" t="s">
        <v>87</v>
      </c>
      <c r="Z10183" t="s">
        <v>77</v>
      </c>
      <c r="AA10183" t="str">
        <f>"11203-1809"</f>
        <v>11203-1809</v>
      </c>
      <c r="AB10183" t="s">
        <v>78</v>
      </c>
      <c r="AC10183" t="s">
        <v>79</v>
      </c>
      <c r="AD10183" t="s">
        <v>75</v>
      </c>
      <c r="AE10183" t="s">
        <v>80</v>
      </c>
      <c r="AG10183" t="s">
        <v>81</v>
      </c>
    </row>
    <row r="10184" spans="1:33" x14ac:dyDescent="0.25">
      <c r="C10184" t="s">
        <v>39767</v>
      </c>
      <c r="G10184" t="s">
        <v>39768</v>
      </c>
      <c r="H10184" t="s">
        <v>3150</v>
      </c>
      <c r="J10184" t="s">
        <v>3151</v>
      </c>
      <c r="K10184" t="s">
        <v>99</v>
      </c>
      <c r="L10184" t="s">
        <v>100</v>
      </c>
      <c r="M10184" t="s">
        <v>75</v>
      </c>
      <c r="N10184" t="s">
        <v>5150</v>
      </c>
      <c r="O10184" t="s">
        <v>77</v>
      </c>
      <c r="P10184">
        <v>10533</v>
      </c>
      <c r="AC10184" t="s">
        <v>79</v>
      </c>
      <c r="AD10184" t="s">
        <v>75</v>
      </c>
      <c r="AE10184" t="s">
        <v>101</v>
      </c>
      <c r="AG10184" t="s">
        <v>81</v>
      </c>
    </row>
    <row r="10185" spans="1:33" x14ac:dyDescent="0.25">
      <c r="B10185" t="str">
        <f>"02923559"</f>
        <v>02923559</v>
      </c>
      <c r="C10185" t="s">
        <v>39767</v>
      </c>
      <c r="D10185" t="s">
        <v>42063</v>
      </c>
      <c r="E10185" t="s">
        <v>42064</v>
      </c>
      <c r="G10185" t="s">
        <v>39768</v>
      </c>
      <c r="H10185" t="s">
        <v>3150</v>
      </c>
      <c r="J10185" t="s">
        <v>3151</v>
      </c>
      <c r="L10185" t="s">
        <v>102</v>
      </c>
      <c r="M10185" t="s">
        <v>75</v>
      </c>
      <c r="W10185" t="s">
        <v>42064</v>
      </c>
      <c r="X10185" t="s">
        <v>24185</v>
      </c>
      <c r="Y10185" t="s">
        <v>3152</v>
      </c>
      <c r="Z10185" t="s">
        <v>77</v>
      </c>
      <c r="AA10185" t="str">
        <f>"10533-1254"</f>
        <v>10533-1254</v>
      </c>
      <c r="AB10185" t="s">
        <v>133</v>
      </c>
      <c r="AC10185" t="s">
        <v>79</v>
      </c>
      <c r="AD10185" t="s">
        <v>75</v>
      </c>
      <c r="AE10185" t="s">
        <v>80</v>
      </c>
      <c r="AG10185" t="s">
        <v>81</v>
      </c>
    </row>
    <row r="10186" spans="1:33" x14ac:dyDescent="0.25">
      <c r="A10186" t="str">
        <f>"1740289529"</f>
        <v>1740289529</v>
      </c>
      <c r="C10186" t="s">
        <v>13436</v>
      </c>
      <c r="K10186" t="s">
        <v>99</v>
      </c>
      <c r="L10186" t="s">
        <v>74</v>
      </c>
      <c r="M10186" t="s">
        <v>75</v>
      </c>
      <c r="R10186" t="s">
        <v>42065</v>
      </c>
      <c r="S10186" t="s">
        <v>42066</v>
      </c>
      <c r="T10186" t="s">
        <v>42067</v>
      </c>
      <c r="U10186" t="s">
        <v>156</v>
      </c>
      <c r="V10186" t="str">
        <f>"080534129"</f>
        <v>080534129</v>
      </c>
      <c r="AC10186" t="s">
        <v>79</v>
      </c>
      <c r="AD10186" t="s">
        <v>75</v>
      </c>
      <c r="AE10186" t="s">
        <v>103</v>
      </c>
      <c r="AG10186" t="s">
        <v>81</v>
      </c>
    </row>
    <row r="10187" spans="1:33" x14ac:dyDescent="0.25">
      <c r="A10187" t="str">
        <f>"1740290162"</f>
        <v>1740290162</v>
      </c>
      <c r="B10187" t="str">
        <f>"02461663"</f>
        <v>02461663</v>
      </c>
      <c r="C10187" t="s">
        <v>13436</v>
      </c>
      <c r="D10187" t="s">
        <v>42068</v>
      </c>
      <c r="E10187" t="s">
        <v>42069</v>
      </c>
      <c r="G10187" t="s">
        <v>42070</v>
      </c>
      <c r="L10187" t="s">
        <v>83</v>
      </c>
      <c r="M10187" t="s">
        <v>85</v>
      </c>
      <c r="R10187" t="s">
        <v>42071</v>
      </c>
      <c r="W10187" t="s">
        <v>42069</v>
      </c>
      <c r="X10187" t="s">
        <v>4386</v>
      </c>
      <c r="Y10187" t="s">
        <v>2128</v>
      </c>
      <c r="Z10187" t="s">
        <v>77</v>
      </c>
      <c r="AA10187" t="str">
        <f>"11743-2924"</f>
        <v>11743-2924</v>
      </c>
      <c r="AB10187" t="s">
        <v>78</v>
      </c>
      <c r="AC10187" t="s">
        <v>79</v>
      </c>
      <c r="AD10187" t="s">
        <v>75</v>
      </c>
      <c r="AE10187" t="s">
        <v>80</v>
      </c>
      <c r="AG10187" t="s">
        <v>81</v>
      </c>
    </row>
    <row r="10188" spans="1:33" x14ac:dyDescent="0.25">
      <c r="A10188" t="str">
        <f>"1740320126"</f>
        <v>1740320126</v>
      </c>
      <c r="B10188" t="str">
        <f>"03107595"</f>
        <v>03107595</v>
      </c>
      <c r="C10188" t="s">
        <v>13436</v>
      </c>
      <c r="D10188" t="s">
        <v>42072</v>
      </c>
      <c r="E10188" t="s">
        <v>42073</v>
      </c>
      <c r="G10188" t="s">
        <v>42074</v>
      </c>
      <c r="L10188" t="s">
        <v>83</v>
      </c>
      <c r="M10188" t="s">
        <v>85</v>
      </c>
      <c r="R10188" t="s">
        <v>42075</v>
      </c>
      <c r="W10188" t="s">
        <v>42073</v>
      </c>
      <c r="X10188" t="s">
        <v>272</v>
      </c>
      <c r="Y10188" t="s">
        <v>97</v>
      </c>
      <c r="Z10188" t="s">
        <v>77</v>
      </c>
      <c r="AA10188" t="str">
        <f>"10029-6501"</f>
        <v>10029-6501</v>
      </c>
      <c r="AB10188" t="s">
        <v>78</v>
      </c>
      <c r="AC10188" t="s">
        <v>79</v>
      </c>
      <c r="AD10188" t="s">
        <v>75</v>
      </c>
      <c r="AE10188" t="s">
        <v>80</v>
      </c>
      <c r="AG10188" t="s">
        <v>81</v>
      </c>
    </row>
    <row r="10189" spans="1:33" x14ac:dyDescent="0.25">
      <c r="A10189" t="str">
        <f>"1740321934"</f>
        <v>1740321934</v>
      </c>
      <c r="B10189" t="str">
        <f>"01707368"</f>
        <v>01707368</v>
      </c>
      <c r="C10189" t="s">
        <v>13436</v>
      </c>
      <c r="D10189" t="s">
        <v>42076</v>
      </c>
      <c r="E10189" t="s">
        <v>42077</v>
      </c>
      <c r="G10189" t="s">
        <v>42078</v>
      </c>
      <c r="L10189" t="s">
        <v>83</v>
      </c>
      <c r="M10189" t="s">
        <v>85</v>
      </c>
      <c r="R10189" t="s">
        <v>42079</v>
      </c>
      <c r="W10189" t="s">
        <v>42080</v>
      </c>
      <c r="X10189" t="s">
        <v>159</v>
      </c>
      <c r="Y10189" t="s">
        <v>160</v>
      </c>
      <c r="Z10189" t="s">
        <v>77</v>
      </c>
      <c r="AA10189" t="str">
        <f>"11030-3816"</f>
        <v>11030-3816</v>
      </c>
      <c r="AB10189" t="s">
        <v>78</v>
      </c>
      <c r="AC10189" t="s">
        <v>79</v>
      </c>
      <c r="AD10189" t="s">
        <v>75</v>
      </c>
      <c r="AE10189" t="s">
        <v>80</v>
      </c>
      <c r="AG10189" t="s">
        <v>81</v>
      </c>
    </row>
    <row r="10190" spans="1:33" x14ac:dyDescent="0.25">
      <c r="A10190" t="str">
        <f>"1740325414"</f>
        <v>1740325414</v>
      </c>
      <c r="B10190" t="str">
        <f>"04227267"</f>
        <v>04227267</v>
      </c>
      <c r="C10190" t="s">
        <v>13436</v>
      </c>
      <c r="D10190" t="s">
        <v>42081</v>
      </c>
      <c r="E10190" t="s">
        <v>42082</v>
      </c>
      <c r="L10190" t="s">
        <v>94</v>
      </c>
      <c r="M10190" t="s">
        <v>75</v>
      </c>
      <c r="R10190" t="s">
        <v>42083</v>
      </c>
      <c r="W10190" t="s">
        <v>42082</v>
      </c>
      <c r="X10190" t="s">
        <v>150</v>
      </c>
      <c r="Y10190" t="s">
        <v>87</v>
      </c>
      <c r="Z10190" t="s">
        <v>77</v>
      </c>
      <c r="AA10190" t="str">
        <f>"11212-3139"</f>
        <v>11212-3139</v>
      </c>
      <c r="AB10190" t="s">
        <v>78</v>
      </c>
      <c r="AC10190" t="s">
        <v>79</v>
      </c>
      <c r="AD10190" t="s">
        <v>75</v>
      </c>
      <c r="AE10190" t="s">
        <v>80</v>
      </c>
      <c r="AG10190" t="s">
        <v>81</v>
      </c>
    </row>
    <row r="10191" spans="1:33" x14ac:dyDescent="0.25">
      <c r="A10191" t="str">
        <f>"1740334838"</f>
        <v>1740334838</v>
      </c>
      <c r="B10191" t="str">
        <f>"03181573"</f>
        <v>03181573</v>
      </c>
      <c r="C10191" t="s">
        <v>13436</v>
      </c>
      <c r="D10191" t="s">
        <v>42084</v>
      </c>
      <c r="E10191" t="s">
        <v>42085</v>
      </c>
      <c r="L10191" t="s">
        <v>94</v>
      </c>
      <c r="M10191" t="s">
        <v>75</v>
      </c>
      <c r="R10191" t="s">
        <v>42086</v>
      </c>
      <c r="W10191" t="s">
        <v>42085</v>
      </c>
      <c r="X10191" t="s">
        <v>42087</v>
      </c>
      <c r="Y10191" t="s">
        <v>97</v>
      </c>
      <c r="Z10191" t="s">
        <v>77</v>
      </c>
      <c r="AA10191" t="str">
        <f>"10032"</f>
        <v>10032</v>
      </c>
      <c r="AB10191" t="s">
        <v>78</v>
      </c>
      <c r="AC10191" t="s">
        <v>79</v>
      </c>
      <c r="AD10191" t="s">
        <v>75</v>
      </c>
      <c r="AE10191" t="s">
        <v>80</v>
      </c>
      <c r="AG10191" t="s">
        <v>81</v>
      </c>
    </row>
    <row r="10192" spans="1:33" x14ac:dyDescent="0.25">
      <c r="A10192" t="str">
        <f>"1740369974"</f>
        <v>1740369974</v>
      </c>
      <c r="B10192" t="str">
        <f>"00793875"</f>
        <v>00793875</v>
      </c>
      <c r="C10192" t="s">
        <v>13436</v>
      </c>
      <c r="D10192" t="s">
        <v>42088</v>
      </c>
      <c r="E10192" t="s">
        <v>42089</v>
      </c>
      <c r="G10192" t="s">
        <v>42090</v>
      </c>
      <c r="L10192" t="s">
        <v>84</v>
      </c>
      <c r="M10192" t="s">
        <v>85</v>
      </c>
      <c r="R10192" t="s">
        <v>42091</v>
      </c>
      <c r="W10192" t="s">
        <v>42089</v>
      </c>
      <c r="X10192" t="s">
        <v>28159</v>
      </c>
      <c r="Y10192" t="s">
        <v>152</v>
      </c>
      <c r="Z10192" t="s">
        <v>77</v>
      </c>
      <c r="AA10192" t="str">
        <f>"11375-3787"</f>
        <v>11375-3787</v>
      </c>
      <c r="AB10192" t="s">
        <v>78</v>
      </c>
      <c r="AC10192" t="s">
        <v>79</v>
      </c>
      <c r="AD10192" t="s">
        <v>75</v>
      </c>
      <c r="AE10192" t="s">
        <v>80</v>
      </c>
      <c r="AG10192" t="s">
        <v>81</v>
      </c>
    </row>
    <row r="10193" spans="1:33" x14ac:dyDescent="0.25">
      <c r="A10193" t="str">
        <f>"1740382324"</f>
        <v>1740382324</v>
      </c>
      <c r="B10193" t="str">
        <f>"01629285"</f>
        <v>01629285</v>
      </c>
      <c r="C10193" t="s">
        <v>13436</v>
      </c>
      <c r="D10193" t="s">
        <v>42092</v>
      </c>
      <c r="E10193" t="s">
        <v>42093</v>
      </c>
      <c r="L10193" t="s">
        <v>74</v>
      </c>
      <c r="M10193" t="s">
        <v>85</v>
      </c>
      <c r="R10193" t="s">
        <v>42094</v>
      </c>
      <c r="W10193" t="s">
        <v>42093</v>
      </c>
      <c r="X10193" t="s">
        <v>42095</v>
      </c>
      <c r="Y10193" t="s">
        <v>3818</v>
      </c>
      <c r="Z10193" t="s">
        <v>77</v>
      </c>
      <c r="AA10193" t="str">
        <f>"11714"</f>
        <v>11714</v>
      </c>
      <c r="AB10193" t="s">
        <v>78</v>
      </c>
      <c r="AC10193" t="s">
        <v>79</v>
      </c>
      <c r="AD10193" t="s">
        <v>75</v>
      </c>
      <c r="AE10193" t="s">
        <v>80</v>
      </c>
      <c r="AG10193" t="s">
        <v>81</v>
      </c>
    </row>
    <row r="10194" spans="1:33" x14ac:dyDescent="0.25">
      <c r="A10194" t="str">
        <f>"1740406206"</f>
        <v>1740406206</v>
      </c>
      <c r="B10194" t="str">
        <f>"03381573"</f>
        <v>03381573</v>
      </c>
      <c r="C10194" t="s">
        <v>13436</v>
      </c>
      <c r="D10194" t="s">
        <v>42096</v>
      </c>
      <c r="E10194" t="s">
        <v>42097</v>
      </c>
      <c r="G10194" t="s">
        <v>42098</v>
      </c>
      <c r="L10194" t="s">
        <v>84</v>
      </c>
      <c r="M10194" t="s">
        <v>85</v>
      </c>
      <c r="R10194" t="s">
        <v>42097</v>
      </c>
      <c r="W10194" t="s">
        <v>42097</v>
      </c>
      <c r="X10194" t="s">
        <v>42099</v>
      </c>
      <c r="Y10194" t="s">
        <v>97</v>
      </c>
      <c r="Z10194" t="s">
        <v>77</v>
      </c>
      <c r="AA10194" t="str">
        <f>"10013-4557"</f>
        <v>10013-4557</v>
      </c>
      <c r="AB10194" t="s">
        <v>78</v>
      </c>
      <c r="AC10194" t="s">
        <v>79</v>
      </c>
      <c r="AD10194" t="s">
        <v>75</v>
      </c>
      <c r="AE10194" t="s">
        <v>80</v>
      </c>
      <c r="AG10194" t="s">
        <v>81</v>
      </c>
    </row>
    <row r="10195" spans="1:33" x14ac:dyDescent="0.25">
      <c r="A10195" t="str">
        <f>"1013915057"</f>
        <v>1013915057</v>
      </c>
      <c r="B10195" t="str">
        <f>"00159559"</f>
        <v>00159559</v>
      </c>
      <c r="C10195" t="s">
        <v>13436</v>
      </c>
      <c r="D10195" t="s">
        <v>42100</v>
      </c>
      <c r="E10195" t="s">
        <v>42101</v>
      </c>
      <c r="L10195" t="s">
        <v>83</v>
      </c>
      <c r="M10195" t="s">
        <v>85</v>
      </c>
      <c r="R10195" t="s">
        <v>42102</v>
      </c>
      <c r="W10195" t="s">
        <v>42101</v>
      </c>
      <c r="X10195" t="s">
        <v>42103</v>
      </c>
      <c r="Y10195" t="s">
        <v>97</v>
      </c>
      <c r="Z10195" t="s">
        <v>77</v>
      </c>
      <c r="AA10195" t="str">
        <f>"10075-0282"</f>
        <v>10075-0282</v>
      </c>
      <c r="AB10195" t="s">
        <v>78</v>
      </c>
      <c r="AC10195" t="s">
        <v>79</v>
      </c>
      <c r="AD10195" t="s">
        <v>75</v>
      </c>
      <c r="AE10195" t="s">
        <v>80</v>
      </c>
      <c r="AG10195" t="s">
        <v>81</v>
      </c>
    </row>
    <row r="10196" spans="1:33" x14ac:dyDescent="0.25">
      <c r="A10196" t="str">
        <f>"1013933746"</f>
        <v>1013933746</v>
      </c>
      <c r="B10196" t="str">
        <f>"00964190"</f>
        <v>00964190</v>
      </c>
      <c r="C10196" t="s">
        <v>13436</v>
      </c>
      <c r="D10196" t="s">
        <v>42104</v>
      </c>
      <c r="E10196" t="s">
        <v>42105</v>
      </c>
      <c r="G10196" t="s">
        <v>42106</v>
      </c>
      <c r="L10196" t="s">
        <v>83</v>
      </c>
      <c r="M10196" t="s">
        <v>85</v>
      </c>
      <c r="R10196" t="s">
        <v>42107</v>
      </c>
      <c r="W10196" t="s">
        <v>42105</v>
      </c>
      <c r="X10196" t="s">
        <v>42108</v>
      </c>
      <c r="Y10196" t="s">
        <v>2118</v>
      </c>
      <c r="Z10196" t="s">
        <v>77</v>
      </c>
      <c r="AA10196" t="str">
        <f>"11730-2800"</f>
        <v>11730-2800</v>
      </c>
      <c r="AB10196" t="s">
        <v>78</v>
      </c>
      <c r="AC10196" t="s">
        <v>79</v>
      </c>
      <c r="AD10196" t="s">
        <v>75</v>
      </c>
      <c r="AE10196" t="s">
        <v>80</v>
      </c>
      <c r="AG10196" t="s">
        <v>81</v>
      </c>
    </row>
    <row r="10197" spans="1:33" x14ac:dyDescent="0.25">
      <c r="A10197" t="str">
        <f>"1013937648"</f>
        <v>1013937648</v>
      </c>
      <c r="B10197" t="str">
        <f>"01847805"</f>
        <v>01847805</v>
      </c>
      <c r="C10197" t="s">
        <v>13436</v>
      </c>
      <c r="D10197" t="s">
        <v>42109</v>
      </c>
      <c r="E10197" t="s">
        <v>42110</v>
      </c>
      <c r="G10197" t="s">
        <v>42111</v>
      </c>
      <c r="L10197" t="s">
        <v>84</v>
      </c>
      <c r="M10197" t="s">
        <v>85</v>
      </c>
      <c r="R10197" t="s">
        <v>42112</v>
      </c>
      <c r="W10197" t="s">
        <v>42110</v>
      </c>
      <c r="X10197" t="s">
        <v>42113</v>
      </c>
      <c r="Y10197" t="s">
        <v>97</v>
      </c>
      <c r="Z10197" t="s">
        <v>77</v>
      </c>
      <c r="AA10197" t="str">
        <f>"10075-0511"</f>
        <v>10075-0511</v>
      </c>
      <c r="AB10197" t="s">
        <v>78</v>
      </c>
      <c r="AC10197" t="s">
        <v>79</v>
      </c>
      <c r="AD10197" t="s">
        <v>75</v>
      </c>
      <c r="AE10197" t="s">
        <v>80</v>
      </c>
      <c r="AG10197" t="s">
        <v>81</v>
      </c>
    </row>
    <row r="10198" spans="1:33" x14ac:dyDescent="0.25">
      <c r="A10198" t="str">
        <f>"1013951201"</f>
        <v>1013951201</v>
      </c>
      <c r="B10198" t="str">
        <f>"02148676"</f>
        <v>02148676</v>
      </c>
      <c r="C10198" t="s">
        <v>13436</v>
      </c>
      <c r="D10198" t="s">
        <v>42114</v>
      </c>
      <c r="E10198" t="s">
        <v>42115</v>
      </c>
      <c r="G10198" t="s">
        <v>42116</v>
      </c>
      <c r="L10198" t="s">
        <v>74</v>
      </c>
      <c r="M10198" t="s">
        <v>75</v>
      </c>
      <c r="R10198" t="s">
        <v>42117</v>
      </c>
      <c r="W10198" t="s">
        <v>42115</v>
      </c>
      <c r="X10198" t="s">
        <v>228</v>
      </c>
      <c r="Y10198" t="s">
        <v>91</v>
      </c>
      <c r="Z10198" t="s">
        <v>77</v>
      </c>
      <c r="AA10198" t="str">
        <f>"11373-1329"</f>
        <v>11373-1329</v>
      </c>
      <c r="AB10198" t="s">
        <v>78</v>
      </c>
      <c r="AC10198" t="s">
        <v>79</v>
      </c>
      <c r="AD10198" t="s">
        <v>75</v>
      </c>
      <c r="AE10198" t="s">
        <v>80</v>
      </c>
      <c r="AG10198" t="s">
        <v>81</v>
      </c>
    </row>
    <row r="10199" spans="1:33" x14ac:dyDescent="0.25">
      <c r="A10199" t="str">
        <f>"1013978733"</f>
        <v>1013978733</v>
      </c>
      <c r="B10199" t="str">
        <f>"00980612"</f>
        <v>00980612</v>
      </c>
      <c r="C10199" t="s">
        <v>13436</v>
      </c>
      <c r="D10199" t="s">
        <v>42118</v>
      </c>
      <c r="E10199" t="s">
        <v>42119</v>
      </c>
      <c r="G10199" t="s">
        <v>42120</v>
      </c>
      <c r="L10199" t="s">
        <v>84</v>
      </c>
      <c r="M10199" t="s">
        <v>85</v>
      </c>
      <c r="R10199" t="s">
        <v>42121</v>
      </c>
      <c r="W10199" t="s">
        <v>42119</v>
      </c>
      <c r="X10199" t="s">
        <v>329</v>
      </c>
      <c r="Y10199" t="s">
        <v>97</v>
      </c>
      <c r="Z10199" t="s">
        <v>77</v>
      </c>
      <c r="AA10199" t="str">
        <f>"10029-6500"</f>
        <v>10029-6500</v>
      </c>
      <c r="AB10199" t="s">
        <v>78</v>
      </c>
      <c r="AC10199" t="s">
        <v>79</v>
      </c>
      <c r="AD10199" t="s">
        <v>75</v>
      </c>
      <c r="AE10199" t="s">
        <v>80</v>
      </c>
      <c r="AG10199" t="s">
        <v>81</v>
      </c>
    </row>
    <row r="10200" spans="1:33" x14ac:dyDescent="0.25">
      <c r="A10200" t="str">
        <f>"1568658045"</f>
        <v>1568658045</v>
      </c>
      <c r="B10200" t="str">
        <f>"03769651"</f>
        <v>03769651</v>
      </c>
      <c r="C10200" t="s">
        <v>13436</v>
      </c>
      <c r="D10200" t="s">
        <v>42122</v>
      </c>
      <c r="E10200" t="s">
        <v>42123</v>
      </c>
      <c r="G10200" t="s">
        <v>42124</v>
      </c>
      <c r="L10200" t="s">
        <v>102</v>
      </c>
      <c r="M10200" t="s">
        <v>75</v>
      </c>
      <c r="R10200" t="s">
        <v>42125</v>
      </c>
      <c r="W10200" t="s">
        <v>42123</v>
      </c>
      <c r="X10200" t="s">
        <v>272</v>
      </c>
      <c r="Y10200" t="s">
        <v>97</v>
      </c>
      <c r="Z10200" t="s">
        <v>77</v>
      </c>
      <c r="AA10200" t="str">
        <f>"10029-6501"</f>
        <v>10029-6501</v>
      </c>
      <c r="AB10200" t="s">
        <v>78</v>
      </c>
      <c r="AC10200" t="s">
        <v>79</v>
      </c>
      <c r="AD10200" t="s">
        <v>75</v>
      </c>
      <c r="AE10200" t="s">
        <v>80</v>
      </c>
      <c r="AG10200" t="s">
        <v>81</v>
      </c>
    </row>
    <row r="10201" spans="1:33" x14ac:dyDescent="0.25">
      <c r="A10201" t="str">
        <f>"1568692424"</f>
        <v>1568692424</v>
      </c>
      <c r="B10201" t="str">
        <f>"04209578"</f>
        <v>04209578</v>
      </c>
      <c r="C10201" t="s">
        <v>13436</v>
      </c>
      <c r="D10201" t="s">
        <v>42126</v>
      </c>
      <c r="E10201" t="s">
        <v>42127</v>
      </c>
      <c r="G10201" t="s">
        <v>42128</v>
      </c>
      <c r="L10201" t="s">
        <v>74</v>
      </c>
      <c r="M10201" t="s">
        <v>75</v>
      </c>
      <c r="R10201" t="s">
        <v>42127</v>
      </c>
      <c r="W10201" t="s">
        <v>42129</v>
      </c>
      <c r="X10201" t="s">
        <v>175</v>
      </c>
      <c r="Y10201" t="s">
        <v>87</v>
      </c>
      <c r="Z10201" t="s">
        <v>77</v>
      </c>
      <c r="AA10201" t="str">
        <f>"11235-7745"</f>
        <v>11235-7745</v>
      </c>
      <c r="AB10201" t="s">
        <v>78</v>
      </c>
      <c r="AC10201" t="s">
        <v>79</v>
      </c>
      <c r="AD10201" t="s">
        <v>75</v>
      </c>
      <c r="AE10201" t="s">
        <v>80</v>
      </c>
      <c r="AG10201" t="s">
        <v>81</v>
      </c>
    </row>
    <row r="10202" spans="1:33" x14ac:dyDescent="0.25">
      <c r="A10202" t="str">
        <f>"1093834871"</f>
        <v>1093834871</v>
      </c>
      <c r="B10202" t="str">
        <f>"03738805"</f>
        <v>03738805</v>
      </c>
      <c r="C10202" t="s">
        <v>13436</v>
      </c>
      <c r="D10202" t="s">
        <v>42130</v>
      </c>
      <c r="E10202" t="s">
        <v>42131</v>
      </c>
      <c r="G10202" t="s">
        <v>42132</v>
      </c>
      <c r="L10202" t="s">
        <v>74</v>
      </c>
      <c r="M10202" t="s">
        <v>75</v>
      </c>
      <c r="R10202" t="s">
        <v>42133</v>
      </c>
      <c r="W10202" t="s">
        <v>42134</v>
      </c>
      <c r="X10202" t="s">
        <v>842</v>
      </c>
      <c r="Y10202" t="s">
        <v>97</v>
      </c>
      <c r="Z10202" t="s">
        <v>77</v>
      </c>
      <c r="AA10202" t="str">
        <f>"10029-6501"</f>
        <v>10029-6501</v>
      </c>
      <c r="AB10202" t="s">
        <v>78</v>
      </c>
      <c r="AC10202" t="s">
        <v>79</v>
      </c>
      <c r="AD10202" t="s">
        <v>75</v>
      </c>
      <c r="AE10202" t="s">
        <v>80</v>
      </c>
      <c r="AG10202" t="s">
        <v>81</v>
      </c>
    </row>
    <row r="10203" spans="1:33" x14ac:dyDescent="0.25">
      <c r="A10203" t="str">
        <f>"1689802464"</f>
        <v>1689802464</v>
      </c>
      <c r="C10203" t="s">
        <v>13436</v>
      </c>
      <c r="K10203" t="s">
        <v>99</v>
      </c>
      <c r="L10203" t="s">
        <v>102</v>
      </c>
      <c r="M10203" t="s">
        <v>75</v>
      </c>
      <c r="R10203" t="s">
        <v>42135</v>
      </c>
      <c r="S10203" t="s">
        <v>2886</v>
      </c>
      <c r="T10203" t="s">
        <v>87</v>
      </c>
      <c r="U10203" t="s">
        <v>77</v>
      </c>
      <c r="V10203" t="str">
        <f>"112097104"</f>
        <v>112097104</v>
      </c>
      <c r="AC10203" t="s">
        <v>79</v>
      </c>
      <c r="AD10203" t="s">
        <v>75</v>
      </c>
      <c r="AE10203" t="s">
        <v>103</v>
      </c>
      <c r="AG10203" t="s">
        <v>81</v>
      </c>
    </row>
    <row r="10204" spans="1:33" x14ac:dyDescent="0.25">
      <c r="A10204" t="str">
        <f>"1881679157"</f>
        <v>1881679157</v>
      </c>
      <c r="B10204" t="str">
        <f>"00111940"</f>
        <v>00111940</v>
      </c>
      <c r="C10204" t="s">
        <v>13436</v>
      </c>
      <c r="D10204" t="s">
        <v>42136</v>
      </c>
      <c r="E10204" t="s">
        <v>42137</v>
      </c>
      <c r="L10204" t="s">
        <v>83</v>
      </c>
      <c r="M10204" t="s">
        <v>85</v>
      </c>
      <c r="R10204" t="s">
        <v>42138</v>
      </c>
      <c r="W10204" t="s">
        <v>42137</v>
      </c>
      <c r="X10204" t="s">
        <v>329</v>
      </c>
      <c r="Y10204" t="s">
        <v>97</v>
      </c>
      <c r="Z10204" t="s">
        <v>77</v>
      </c>
      <c r="AA10204" t="str">
        <f>"10029-6500"</f>
        <v>10029-6500</v>
      </c>
      <c r="AB10204" t="s">
        <v>78</v>
      </c>
      <c r="AC10204" t="s">
        <v>79</v>
      </c>
      <c r="AD10204" t="s">
        <v>75</v>
      </c>
      <c r="AE10204" t="s">
        <v>80</v>
      </c>
      <c r="AG10204" t="s">
        <v>81</v>
      </c>
    </row>
    <row r="10205" spans="1:33" x14ac:dyDescent="0.25">
      <c r="A10205" t="str">
        <f>"1881709228"</f>
        <v>1881709228</v>
      </c>
      <c r="B10205" t="str">
        <f>"02165048"</f>
        <v>02165048</v>
      </c>
      <c r="C10205" t="s">
        <v>13436</v>
      </c>
      <c r="D10205" t="s">
        <v>42139</v>
      </c>
      <c r="E10205" t="s">
        <v>42140</v>
      </c>
      <c r="G10205" t="s">
        <v>42141</v>
      </c>
      <c r="L10205" t="s">
        <v>83</v>
      </c>
      <c r="M10205" t="s">
        <v>75</v>
      </c>
      <c r="R10205" t="s">
        <v>42142</v>
      </c>
      <c r="W10205" t="s">
        <v>42140</v>
      </c>
      <c r="X10205" t="s">
        <v>42143</v>
      </c>
      <c r="Y10205" t="s">
        <v>227</v>
      </c>
      <c r="Z10205" t="s">
        <v>77</v>
      </c>
      <c r="AA10205" t="str">
        <f>"10605-1043"</f>
        <v>10605-1043</v>
      </c>
      <c r="AB10205" t="s">
        <v>78</v>
      </c>
      <c r="AC10205" t="s">
        <v>79</v>
      </c>
      <c r="AD10205" t="s">
        <v>75</v>
      </c>
      <c r="AE10205" t="s">
        <v>80</v>
      </c>
      <c r="AG10205" t="s">
        <v>81</v>
      </c>
    </row>
    <row r="10206" spans="1:33" x14ac:dyDescent="0.25">
      <c r="A10206" t="str">
        <f>"1881711612"</f>
        <v>1881711612</v>
      </c>
      <c r="C10206" t="s">
        <v>13436</v>
      </c>
      <c r="K10206" t="s">
        <v>99</v>
      </c>
      <c r="L10206" t="s">
        <v>74</v>
      </c>
      <c r="M10206" t="s">
        <v>75</v>
      </c>
      <c r="R10206" t="s">
        <v>42144</v>
      </c>
      <c r="S10206" t="s">
        <v>42145</v>
      </c>
      <c r="T10206" t="s">
        <v>97</v>
      </c>
      <c r="U10206" t="s">
        <v>77</v>
      </c>
      <c r="V10206" t="str">
        <f>"100034704"</f>
        <v>100034704</v>
      </c>
      <c r="AC10206" t="s">
        <v>79</v>
      </c>
      <c r="AD10206" t="s">
        <v>75</v>
      </c>
      <c r="AE10206" t="s">
        <v>103</v>
      </c>
      <c r="AG10206" t="s">
        <v>81</v>
      </c>
    </row>
    <row r="10207" spans="1:33" x14ac:dyDescent="0.25">
      <c r="A10207" t="str">
        <f>"1972876993"</f>
        <v>1972876993</v>
      </c>
      <c r="B10207" t="str">
        <f>"03643872"</f>
        <v>03643872</v>
      </c>
      <c r="C10207" t="s">
        <v>13436</v>
      </c>
      <c r="D10207" t="s">
        <v>6189</v>
      </c>
      <c r="E10207" t="s">
        <v>6190</v>
      </c>
      <c r="G10207" t="s">
        <v>42146</v>
      </c>
      <c r="L10207" t="s">
        <v>83</v>
      </c>
      <c r="M10207" t="s">
        <v>85</v>
      </c>
      <c r="R10207" t="s">
        <v>6191</v>
      </c>
      <c r="W10207" t="s">
        <v>6190</v>
      </c>
      <c r="X10207" t="s">
        <v>181</v>
      </c>
      <c r="Y10207" t="s">
        <v>97</v>
      </c>
      <c r="Z10207" t="s">
        <v>77</v>
      </c>
      <c r="AA10207" t="str">
        <f>"10025-1716"</f>
        <v>10025-1716</v>
      </c>
      <c r="AB10207" t="s">
        <v>78</v>
      </c>
      <c r="AC10207" t="s">
        <v>79</v>
      </c>
      <c r="AD10207" t="s">
        <v>75</v>
      </c>
      <c r="AE10207" t="s">
        <v>80</v>
      </c>
      <c r="AG10207" t="s">
        <v>81</v>
      </c>
    </row>
    <row r="10208" spans="1:33" x14ac:dyDescent="0.25">
      <c r="A10208" t="str">
        <f>"1982604955"</f>
        <v>1982604955</v>
      </c>
      <c r="B10208" t="str">
        <f>"01367959"</f>
        <v>01367959</v>
      </c>
      <c r="C10208" t="s">
        <v>13436</v>
      </c>
      <c r="D10208" t="s">
        <v>42147</v>
      </c>
      <c r="E10208" t="s">
        <v>42148</v>
      </c>
      <c r="L10208" t="s">
        <v>84</v>
      </c>
      <c r="M10208" t="s">
        <v>85</v>
      </c>
      <c r="R10208" t="s">
        <v>42149</v>
      </c>
      <c r="W10208" t="s">
        <v>42148</v>
      </c>
      <c r="X10208" t="s">
        <v>2838</v>
      </c>
      <c r="Y10208" t="s">
        <v>97</v>
      </c>
      <c r="Z10208" t="s">
        <v>77</v>
      </c>
      <c r="AA10208" t="str">
        <f>"10003-3105"</f>
        <v>10003-3105</v>
      </c>
      <c r="AB10208" t="s">
        <v>78</v>
      </c>
      <c r="AC10208" t="s">
        <v>79</v>
      </c>
      <c r="AD10208" t="s">
        <v>75</v>
      </c>
      <c r="AE10208" t="s">
        <v>80</v>
      </c>
      <c r="AG10208" t="s">
        <v>81</v>
      </c>
    </row>
    <row r="10209" spans="1:33" x14ac:dyDescent="0.25">
      <c r="A10209" t="str">
        <f>"1982614566"</f>
        <v>1982614566</v>
      </c>
      <c r="B10209" t="str">
        <f>"01773440"</f>
        <v>01773440</v>
      </c>
      <c r="C10209" t="s">
        <v>13436</v>
      </c>
      <c r="D10209" t="s">
        <v>42150</v>
      </c>
      <c r="E10209" t="s">
        <v>42151</v>
      </c>
      <c r="G10209" t="s">
        <v>42152</v>
      </c>
      <c r="L10209" t="s">
        <v>84</v>
      </c>
      <c r="M10209" t="s">
        <v>85</v>
      </c>
      <c r="R10209" t="s">
        <v>42153</v>
      </c>
      <c r="W10209" t="s">
        <v>42154</v>
      </c>
      <c r="X10209" t="s">
        <v>6256</v>
      </c>
      <c r="Y10209" t="s">
        <v>97</v>
      </c>
      <c r="Z10209" t="s">
        <v>77</v>
      </c>
      <c r="AA10209" t="str">
        <f>"10128-5604"</f>
        <v>10128-5604</v>
      </c>
      <c r="AB10209" t="s">
        <v>78</v>
      </c>
      <c r="AC10209" t="s">
        <v>79</v>
      </c>
      <c r="AD10209" t="s">
        <v>75</v>
      </c>
      <c r="AE10209" t="s">
        <v>80</v>
      </c>
      <c r="AG10209" t="s">
        <v>81</v>
      </c>
    </row>
    <row r="10210" spans="1:33" x14ac:dyDescent="0.25">
      <c r="A10210" t="str">
        <f>"1982629416"</f>
        <v>1982629416</v>
      </c>
      <c r="B10210" t="str">
        <f>"01922449"</f>
        <v>01922449</v>
      </c>
      <c r="C10210" t="s">
        <v>13436</v>
      </c>
      <c r="D10210" t="s">
        <v>42155</v>
      </c>
      <c r="E10210" t="s">
        <v>42156</v>
      </c>
      <c r="L10210" t="s">
        <v>74</v>
      </c>
      <c r="M10210" t="s">
        <v>85</v>
      </c>
      <c r="R10210" t="s">
        <v>42157</v>
      </c>
      <c r="W10210" t="s">
        <v>42156</v>
      </c>
      <c r="X10210" t="s">
        <v>42158</v>
      </c>
      <c r="Y10210" t="s">
        <v>97</v>
      </c>
      <c r="Z10210" t="s">
        <v>77</v>
      </c>
      <c r="AA10210" t="str">
        <f>"10021-9800"</f>
        <v>10021-9800</v>
      </c>
      <c r="AB10210" t="s">
        <v>78</v>
      </c>
      <c r="AC10210" t="s">
        <v>79</v>
      </c>
      <c r="AD10210" t="s">
        <v>75</v>
      </c>
      <c r="AE10210" t="s">
        <v>80</v>
      </c>
      <c r="AG10210" t="s">
        <v>81</v>
      </c>
    </row>
    <row r="10211" spans="1:33" x14ac:dyDescent="0.25">
      <c r="A10211" t="str">
        <f>"1235213638"</f>
        <v>1235213638</v>
      </c>
      <c r="B10211" t="str">
        <f>"00312414"</f>
        <v>00312414</v>
      </c>
      <c r="C10211" t="s">
        <v>4863</v>
      </c>
      <c r="D10211" t="s">
        <v>4864</v>
      </c>
      <c r="E10211" t="s">
        <v>4865</v>
      </c>
      <c r="G10211" t="s">
        <v>4866</v>
      </c>
      <c r="H10211" t="s">
        <v>4867</v>
      </c>
      <c r="J10211" t="s">
        <v>42159</v>
      </c>
      <c r="L10211" t="s">
        <v>106</v>
      </c>
      <c r="M10211" t="s">
        <v>85</v>
      </c>
      <c r="R10211" t="s">
        <v>4868</v>
      </c>
      <c r="W10211" t="s">
        <v>4865</v>
      </c>
      <c r="X10211" t="s">
        <v>3596</v>
      </c>
      <c r="Y10211" t="s">
        <v>180</v>
      </c>
      <c r="Z10211" t="s">
        <v>77</v>
      </c>
      <c r="AA10211" t="str">
        <f>"10701-2930"</f>
        <v>10701-2930</v>
      </c>
      <c r="AB10211" t="s">
        <v>107</v>
      </c>
      <c r="AC10211" t="s">
        <v>79</v>
      </c>
      <c r="AD10211" t="s">
        <v>75</v>
      </c>
      <c r="AE10211" t="s">
        <v>80</v>
      </c>
      <c r="AG10211" t="s">
        <v>81</v>
      </c>
    </row>
    <row r="10212" spans="1:33" x14ac:dyDescent="0.25">
      <c r="A10212" t="str">
        <f>"1629137641"</f>
        <v>1629137641</v>
      </c>
      <c r="B10212" t="str">
        <f>"01525566"</f>
        <v>01525566</v>
      </c>
      <c r="C10212" t="s">
        <v>42160</v>
      </c>
      <c r="D10212" t="s">
        <v>42161</v>
      </c>
      <c r="E10212" t="s">
        <v>42162</v>
      </c>
      <c r="G10212" t="s">
        <v>42163</v>
      </c>
      <c r="H10212" t="s">
        <v>23942</v>
      </c>
      <c r="J10212" t="s">
        <v>23943</v>
      </c>
      <c r="L10212" t="s">
        <v>10</v>
      </c>
      <c r="M10212" t="s">
        <v>85</v>
      </c>
      <c r="R10212" t="s">
        <v>42164</v>
      </c>
      <c r="W10212" t="s">
        <v>42165</v>
      </c>
      <c r="X10212" t="s">
        <v>42166</v>
      </c>
      <c r="Y10212" t="s">
        <v>87</v>
      </c>
      <c r="Z10212" t="s">
        <v>77</v>
      </c>
      <c r="AA10212" t="str">
        <f>"11217-1024"</f>
        <v>11217-1024</v>
      </c>
      <c r="AB10212" t="s">
        <v>93</v>
      </c>
      <c r="AC10212" t="s">
        <v>79</v>
      </c>
      <c r="AD10212" t="s">
        <v>75</v>
      </c>
      <c r="AE10212" t="s">
        <v>80</v>
      </c>
      <c r="AG10212" t="s">
        <v>81</v>
      </c>
    </row>
    <row r="10213" spans="1:33" x14ac:dyDescent="0.25">
      <c r="A10213" t="str">
        <f>"1336347251"</f>
        <v>1336347251</v>
      </c>
      <c r="B10213" t="str">
        <f>"02738301"</f>
        <v>02738301</v>
      </c>
      <c r="C10213" t="s">
        <v>42167</v>
      </c>
      <c r="D10213" t="s">
        <v>870</v>
      </c>
      <c r="E10213" t="s">
        <v>871</v>
      </c>
      <c r="G10213" t="s">
        <v>497</v>
      </c>
      <c r="H10213" t="s">
        <v>498</v>
      </c>
      <c r="J10213" t="s">
        <v>872</v>
      </c>
      <c r="L10213" t="s">
        <v>35</v>
      </c>
      <c r="M10213" t="s">
        <v>85</v>
      </c>
      <c r="R10213" t="s">
        <v>873</v>
      </c>
      <c r="W10213" t="s">
        <v>874</v>
      </c>
      <c r="X10213" t="s">
        <v>875</v>
      </c>
      <c r="Y10213" t="s">
        <v>876</v>
      </c>
      <c r="Z10213" t="s">
        <v>77</v>
      </c>
      <c r="AA10213" t="str">
        <f>"11694-2412"</f>
        <v>11694-2412</v>
      </c>
      <c r="AB10213" t="s">
        <v>98</v>
      </c>
      <c r="AC10213" t="s">
        <v>79</v>
      </c>
      <c r="AD10213" t="s">
        <v>75</v>
      </c>
      <c r="AE10213" t="s">
        <v>80</v>
      </c>
      <c r="AG10213" t="s">
        <v>81</v>
      </c>
    </row>
    <row r="10214" spans="1:33" x14ac:dyDescent="0.25">
      <c r="A10214" t="str">
        <f>"1396809273"</f>
        <v>1396809273</v>
      </c>
      <c r="B10214" t="str">
        <f>"01024648"</f>
        <v>01024648</v>
      </c>
      <c r="C10214" t="s">
        <v>4434</v>
      </c>
      <c r="D10214" t="s">
        <v>42168</v>
      </c>
      <c r="E10214" t="s">
        <v>42169</v>
      </c>
      <c r="F10214">
        <v>112777066</v>
      </c>
      <c r="G10214" t="s">
        <v>27118</v>
      </c>
      <c r="H10214" t="s">
        <v>27119</v>
      </c>
      <c r="J10214" t="s">
        <v>27120</v>
      </c>
      <c r="L10214" t="s">
        <v>37</v>
      </c>
      <c r="M10214" t="s">
        <v>75</v>
      </c>
      <c r="R10214" t="s">
        <v>4438</v>
      </c>
      <c r="W10214" t="s">
        <v>42169</v>
      </c>
      <c r="X10214" t="s">
        <v>42170</v>
      </c>
      <c r="Y10214" t="s">
        <v>171</v>
      </c>
      <c r="Z10214" t="s">
        <v>77</v>
      </c>
      <c r="AA10214" t="str">
        <f>"11432-4039"</f>
        <v>11432-4039</v>
      </c>
      <c r="AB10214" t="s">
        <v>107</v>
      </c>
      <c r="AC10214" t="s">
        <v>79</v>
      </c>
      <c r="AD10214" t="s">
        <v>75</v>
      </c>
      <c r="AE10214" t="s">
        <v>80</v>
      </c>
      <c r="AG10214" t="s">
        <v>81</v>
      </c>
    </row>
    <row r="10215" spans="1:33" x14ac:dyDescent="0.25">
      <c r="A10215" t="str">
        <f>"1609191972"</f>
        <v>1609191972</v>
      </c>
      <c r="C10215" t="s">
        <v>13436</v>
      </c>
      <c r="G10215" t="s">
        <v>42171</v>
      </c>
      <c r="K10215" t="s">
        <v>99</v>
      </c>
      <c r="L10215" t="s">
        <v>74</v>
      </c>
      <c r="M10215" t="s">
        <v>75</v>
      </c>
      <c r="R10215" t="s">
        <v>42172</v>
      </c>
      <c r="S10215" t="s">
        <v>42173</v>
      </c>
      <c r="T10215" t="s">
        <v>97</v>
      </c>
      <c r="U10215" t="s">
        <v>77</v>
      </c>
      <c r="V10215" t="str">
        <f>"100146329"</f>
        <v>100146329</v>
      </c>
      <c r="AC10215" t="s">
        <v>79</v>
      </c>
      <c r="AD10215" t="s">
        <v>75</v>
      </c>
      <c r="AE10215" t="s">
        <v>103</v>
      </c>
      <c r="AG10215" t="s">
        <v>81</v>
      </c>
    </row>
    <row r="10216" spans="1:33" x14ac:dyDescent="0.25">
      <c r="A10216" t="str">
        <f>"1609193507"</f>
        <v>1609193507</v>
      </c>
      <c r="C10216" t="s">
        <v>13436</v>
      </c>
      <c r="K10216" t="s">
        <v>99</v>
      </c>
      <c r="L10216" t="s">
        <v>102</v>
      </c>
      <c r="M10216" t="s">
        <v>75</v>
      </c>
      <c r="R10216" t="s">
        <v>42174</v>
      </c>
      <c r="S10216" t="s">
        <v>12670</v>
      </c>
      <c r="T10216" t="s">
        <v>97</v>
      </c>
      <c r="U10216" t="s">
        <v>77</v>
      </c>
      <c r="V10216" t="str">
        <f>"100033821"</f>
        <v>100033821</v>
      </c>
      <c r="AC10216" t="s">
        <v>79</v>
      </c>
      <c r="AD10216" t="s">
        <v>75</v>
      </c>
      <c r="AE10216" t="s">
        <v>103</v>
      </c>
      <c r="AG10216" t="s">
        <v>81</v>
      </c>
    </row>
    <row r="10217" spans="1:33" x14ac:dyDescent="0.25">
      <c r="A10217" t="str">
        <f>"1609197524"</f>
        <v>1609197524</v>
      </c>
      <c r="B10217" t="str">
        <f>"03879898"</f>
        <v>03879898</v>
      </c>
      <c r="C10217" t="s">
        <v>13436</v>
      </c>
      <c r="D10217" t="s">
        <v>42175</v>
      </c>
      <c r="E10217" t="s">
        <v>42176</v>
      </c>
      <c r="L10217" t="s">
        <v>74</v>
      </c>
      <c r="M10217" t="s">
        <v>75</v>
      </c>
      <c r="R10217" t="s">
        <v>42177</v>
      </c>
      <c r="W10217" t="s">
        <v>42176</v>
      </c>
      <c r="X10217" t="s">
        <v>1455</v>
      </c>
      <c r="Y10217" t="s">
        <v>91</v>
      </c>
      <c r="Z10217" t="s">
        <v>77</v>
      </c>
      <c r="AA10217" t="str">
        <f>"11373-1329"</f>
        <v>11373-1329</v>
      </c>
      <c r="AB10217" t="s">
        <v>78</v>
      </c>
      <c r="AC10217" t="s">
        <v>79</v>
      </c>
      <c r="AD10217" t="s">
        <v>75</v>
      </c>
      <c r="AE10217" t="s">
        <v>80</v>
      </c>
      <c r="AG10217" t="s">
        <v>81</v>
      </c>
    </row>
    <row r="10218" spans="1:33" x14ac:dyDescent="0.25">
      <c r="A10218" t="str">
        <f>"1609211572"</f>
        <v>1609211572</v>
      </c>
      <c r="C10218" t="s">
        <v>13436</v>
      </c>
      <c r="K10218" t="s">
        <v>99</v>
      </c>
      <c r="L10218" t="s">
        <v>102</v>
      </c>
      <c r="M10218" t="s">
        <v>75</v>
      </c>
      <c r="R10218" t="s">
        <v>42178</v>
      </c>
      <c r="S10218" t="s">
        <v>42179</v>
      </c>
      <c r="T10218" t="s">
        <v>42180</v>
      </c>
      <c r="U10218" t="s">
        <v>2595</v>
      </c>
      <c r="V10218" t="str">
        <f>"951482003"</f>
        <v>951482003</v>
      </c>
      <c r="AC10218" t="s">
        <v>79</v>
      </c>
      <c r="AD10218" t="s">
        <v>75</v>
      </c>
      <c r="AE10218" t="s">
        <v>103</v>
      </c>
      <c r="AG10218" t="s">
        <v>81</v>
      </c>
    </row>
    <row r="10219" spans="1:33" x14ac:dyDescent="0.25">
      <c r="A10219" t="str">
        <f>"1609216563"</f>
        <v>1609216563</v>
      </c>
      <c r="C10219" t="s">
        <v>13436</v>
      </c>
      <c r="K10219" t="s">
        <v>99</v>
      </c>
      <c r="L10219" t="s">
        <v>102</v>
      </c>
      <c r="M10219" t="s">
        <v>75</v>
      </c>
      <c r="R10219" t="s">
        <v>42181</v>
      </c>
      <c r="S10219" t="s">
        <v>42182</v>
      </c>
      <c r="T10219" t="s">
        <v>97</v>
      </c>
      <c r="U10219" t="s">
        <v>77</v>
      </c>
      <c r="V10219" t="str">
        <f>"100104012"</f>
        <v>100104012</v>
      </c>
      <c r="AC10219" t="s">
        <v>79</v>
      </c>
      <c r="AD10219" t="s">
        <v>75</v>
      </c>
      <c r="AE10219" t="s">
        <v>103</v>
      </c>
      <c r="AG10219" t="s">
        <v>81</v>
      </c>
    </row>
    <row r="10220" spans="1:33" x14ac:dyDescent="0.25">
      <c r="A10220" t="str">
        <f>"1609217595"</f>
        <v>1609217595</v>
      </c>
      <c r="C10220" t="s">
        <v>13436</v>
      </c>
      <c r="G10220" t="s">
        <v>42183</v>
      </c>
      <c r="K10220" t="s">
        <v>99</v>
      </c>
      <c r="L10220" t="s">
        <v>102</v>
      </c>
      <c r="M10220" t="s">
        <v>75</v>
      </c>
      <c r="R10220" t="s">
        <v>42184</v>
      </c>
      <c r="S10220" t="s">
        <v>181</v>
      </c>
      <c r="T10220" t="s">
        <v>97</v>
      </c>
      <c r="U10220" t="s">
        <v>77</v>
      </c>
      <c r="V10220" t="str">
        <f>"100251716"</f>
        <v>100251716</v>
      </c>
      <c r="AC10220" t="s">
        <v>79</v>
      </c>
      <c r="AD10220" t="s">
        <v>75</v>
      </c>
      <c r="AE10220" t="s">
        <v>103</v>
      </c>
      <c r="AG10220" t="s">
        <v>81</v>
      </c>
    </row>
    <row r="10221" spans="1:33" x14ac:dyDescent="0.25">
      <c r="A10221" t="str">
        <f>"1609219229"</f>
        <v>1609219229</v>
      </c>
      <c r="C10221" t="s">
        <v>13436</v>
      </c>
      <c r="K10221" t="s">
        <v>99</v>
      </c>
      <c r="L10221" t="s">
        <v>102</v>
      </c>
      <c r="M10221" t="s">
        <v>75</v>
      </c>
      <c r="R10221" t="s">
        <v>42185</v>
      </c>
      <c r="S10221" t="s">
        <v>329</v>
      </c>
      <c r="T10221" t="s">
        <v>97</v>
      </c>
      <c r="U10221" t="s">
        <v>77</v>
      </c>
      <c r="V10221" t="str">
        <f>"100296504"</f>
        <v>100296504</v>
      </c>
      <c r="AC10221" t="s">
        <v>79</v>
      </c>
      <c r="AD10221" t="s">
        <v>75</v>
      </c>
      <c r="AE10221" t="s">
        <v>103</v>
      </c>
      <c r="AG10221" t="s">
        <v>81</v>
      </c>
    </row>
    <row r="10222" spans="1:33" x14ac:dyDescent="0.25">
      <c r="A10222" t="str">
        <f>"1912944398"</f>
        <v>1912944398</v>
      </c>
      <c r="B10222" t="str">
        <f>"02086437"</f>
        <v>02086437</v>
      </c>
      <c r="C10222" t="s">
        <v>13436</v>
      </c>
      <c r="D10222" t="s">
        <v>42186</v>
      </c>
      <c r="E10222" t="s">
        <v>42187</v>
      </c>
      <c r="G10222" t="s">
        <v>42188</v>
      </c>
      <c r="L10222" t="s">
        <v>84</v>
      </c>
      <c r="M10222" t="s">
        <v>75</v>
      </c>
      <c r="R10222" t="s">
        <v>42189</v>
      </c>
      <c r="W10222" t="s">
        <v>42187</v>
      </c>
      <c r="X10222" t="s">
        <v>42190</v>
      </c>
      <c r="Y10222" t="s">
        <v>97</v>
      </c>
      <c r="Z10222" t="s">
        <v>77</v>
      </c>
      <c r="AA10222" t="str">
        <f>"10027-4512"</f>
        <v>10027-4512</v>
      </c>
      <c r="AB10222" t="s">
        <v>78</v>
      </c>
      <c r="AC10222" t="s">
        <v>79</v>
      </c>
      <c r="AD10222" t="s">
        <v>75</v>
      </c>
      <c r="AE10222" t="s">
        <v>80</v>
      </c>
      <c r="AG10222" t="s">
        <v>81</v>
      </c>
    </row>
    <row r="10223" spans="1:33" x14ac:dyDescent="0.25">
      <c r="A10223" t="str">
        <f>"1316134760"</f>
        <v>1316134760</v>
      </c>
      <c r="C10223" t="s">
        <v>13436</v>
      </c>
      <c r="K10223" t="s">
        <v>99</v>
      </c>
      <c r="L10223" t="s">
        <v>74</v>
      </c>
      <c r="M10223" t="s">
        <v>75</v>
      </c>
      <c r="R10223" t="s">
        <v>42191</v>
      </c>
      <c r="S10223" t="s">
        <v>42192</v>
      </c>
      <c r="T10223" t="s">
        <v>131</v>
      </c>
      <c r="U10223" t="s">
        <v>77</v>
      </c>
      <c r="V10223" t="str">
        <f>"10457"</f>
        <v>10457</v>
      </c>
      <c r="AC10223" t="s">
        <v>79</v>
      </c>
      <c r="AD10223" t="s">
        <v>75</v>
      </c>
      <c r="AE10223" t="s">
        <v>103</v>
      </c>
      <c r="AG10223" t="s">
        <v>81</v>
      </c>
    </row>
    <row r="10224" spans="1:33" x14ac:dyDescent="0.25">
      <c r="A10224" t="str">
        <f>"1336454842"</f>
        <v>1336454842</v>
      </c>
      <c r="B10224" t="str">
        <f>"03715840"</f>
        <v>03715840</v>
      </c>
      <c r="C10224" t="s">
        <v>13436</v>
      </c>
      <c r="D10224" t="s">
        <v>42193</v>
      </c>
      <c r="E10224" t="s">
        <v>42194</v>
      </c>
      <c r="L10224" t="s">
        <v>74</v>
      </c>
      <c r="M10224" t="s">
        <v>75</v>
      </c>
      <c r="R10224" t="s">
        <v>42195</v>
      </c>
      <c r="W10224" t="s">
        <v>42194</v>
      </c>
      <c r="X10224" t="s">
        <v>837</v>
      </c>
      <c r="Y10224" t="s">
        <v>97</v>
      </c>
      <c r="Z10224" t="s">
        <v>77</v>
      </c>
      <c r="AA10224" t="str">
        <f>"10028-2119"</f>
        <v>10028-2119</v>
      </c>
      <c r="AB10224" t="s">
        <v>78</v>
      </c>
      <c r="AC10224" t="s">
        <v>79</v>
      </c>
      <c r="AD10224" t="s">
        <v>75</v>
      </c>
      <c r="AE10224" t="s">
        <v>80</v>
      </c>
      <c r="AG10224" t="s">
        <v>81</v>
      </c>
    </row>
    <row r="10225" spans="1:33" x14ac:dyDescent="0.25">
      <c r="A10225" t="str">
        <f>"1346226594"</f>
        <v>1346226594</v>
      </c>
      <c r="B10225" t="str">
        <f>"02529615"</f>
        <v>02529615</v>
      </c>
      <c r="C10225" t="s">
        <v>13436</v>
      </c>
      <c r="D10225" t="s">
        <v>42196</v>
      </c>
      <c r="E10225" t="s">
        <v>42197</v>
      </c>
      <c r="L10225" t="s">
        <v>84</v>
      </c>
      <c r="M10225" t="s">
        <v>75</v>
      </c>
      <c r="R10225" t="s">
        <v>42198</v>
      </c>
      <c r="W10225" t="s">
        <v>42197</v>
      </c>
      <c r="X10225" t="s">
        <v>2587</v>
      </c>
      <c r="Y10225" t="s">
        <v>97</v>
      </c>
      <c r="Z10225" t="s">
        <v>77</v>
      </c>
      <c r="AA10225" t="str">
        <f>"10003-3314"</f>
        <v>10003-3314</v>
      </c>
      <c r="AB10225" t="s">
        <v>78</v>
      </c>
      <c r="AC10225" t="s">
        <v>79</v>
      </c>
      <c r="AD10225" t="s">
        <v>75</v>
      </c>
      <c r="AE10225" t="s">
        <v>80</v>
      </c>
      <c r="AG10225" t="s">
        <v>81</v>
      </c>
    </row>
    <row r="10226" spans="1:33" x14ac:dyDescent="0.25">
      <c r="A10226" t="str">
        <f>"1356422745"</f>
        <v>1356422745</v>
      </c>
      <c r="C10226" t="s">
        <v>13436</v>
      </c>
      <c r="K10226" t="s">
        <v>99</v>
      </c>
      <c r="L10226" t="s">
        <v>102</v>
      </c>
      <c r="M10226" t="s">
        <v>75</v>
      </c>
      <c r="R10226" t="s">
        <v>42199</v>
      </c>
      <c r="S10226" t="s">
        <v>42200</v>
      </c>
      <c r="T10226" t="s">
        <v>2609</v>
      </c>
      <c r="U10226" t="s">
        <v>1842</v>
      </c>
      <c r="V10226" t="str">
        <f>"061028000"</f>
        <v>061028000</v>
      </c>
      <c r="AC10226" t="s">
        <v>79</v>
      </c>
      <c r="AD10226" t="s">
        <v>75</v>
      </c>
      <c r="AE10226" t="s">
        <v>103</v>
      </c>
      <c r="AG10226" t="s">
        <v>81</v>
      </c>
    </row>
    <row r="10227" spans="1:33" x14ac:dyDescent="0.25">
      <c r="A10227" t="str">
        <f>"1366654907"</f>
        <v>1366654907</v>
      </c>
      <c r="B10227" t="str">
        <f>"04205318"</f>
        <v>04205318</v>
      </c>
      <c r="C10227" t="s">
        <v>13436</v>
      </c>
      <c r="D10227" t="s">
        <v>42201</v>
      </c>
      <c r="E10227" t="s">
        <v>42202</v>
      </c>
      <c r="L10227" t="s">
        <v>105</v>
      </c>
      <c r="M10227" t="s">
        <v>75</v>
      </c>
      <c r="R10227" t="s">
        <v>42203</v>
      </c>
      <c r="W10227" t="s">
        <v>42204</v>
      </c>
      <c r="X10227" t="s">
        <v>329</v>
      </c>
      <c r="Y10227" t="s">
        <v>97</v>
      </c>
      <c r="Z10227" t="s">
        <v>77</v>
      </c>
      <c r="AA10227" t="str">
        <f>"10029-6504"</f>
        <v>10029-6504</v>
      </c>
      <c r="AB10227" t="s">
        <v>125</v>
      </c>
      <c r="AC10227" t="s">
        <v>79</v>
      </c>
      <c r="AD10227" t="s">
        <v>75</v>
      </c>
      <c r="AE10227" t="s">
        <v>80</v>
      </c>
      <c r="AG10227" t="s">
        <v>81</v>
      </c>
    </row>
    <row r="10228" spans="1:33" x14ac:dyDescent="0.25">
      <c r="A10228" t="str">
        <f>"1376885822"</f>
        <v>1376885822</v>
      </c>
      <c r="B10228" t="str">
        <f>"03572272"</f>
        <v>03572272</v>
      </c>
      <c r="C10228" t="s">
        <v>13436</v>
      </c>
      <c r="D10228" t="s">
        <v>42205</v>
      </c>
      <c r="E10228" t="s">
        <v>42206</v>
      </c>
      <c r="L10228" t="s">
        <v>84</v>
      </c>
      <c r="M10228" t="s">
        <v>85</v>
      </c>
      <c r="R10228" t="s">
        <v>42207</v>
      </c>
      <c r="W10228" t="s">
        <v>42206</v>
      </c>
      <c r="X10228" t="s">
        <v>2587</v>
      </c>
      <c r="Y10228" t="s">
        <v>97</v>
      </c>
      <c r="Z10228" t="s">
        <v>77</v>
      </c>
      <c r="AA10228" t="str">
        <f>"10003-3314"</f>
        <v>10003-3314</v>
      </c>
      <c r="AB10228" t="s">
        <v>78</v>
      </c>
      <c r="AC10228" t="s">
        <v>79</v>
      </c>
      <c r="AD10228" t="s">
        <v>75</v>
      </c>
      <c r="AE10228" t="s">
        <v>80</v>
      </c>
      <c r="AG10228" t="s">
        <v>81</v>
      </c>
    </row>
    <row r="10229" spans="1:33" x14ac:dyDescent="0.25">
      <c r="A10229" t="str">
        <f>"1386762102"</f>
        <v>1386762102</v>
      </c>
      <c r="B10229" t="str">
        <f>"03251067"</f>
        <v>03251067</v>
      </c>
      <c r="C10229" t="s">
        <v>13436</v>
      </c>
      <c r="D10229" t="s">
        <v>42208</v>
      </c>
      <c r="E10229" t="s">
        <v>42209</v>
      </c>
      <c r="L10229" t="s">
        <v>74</v>
      </c>
      <c r="M10229" t="s">
        <v>75</v>
      </c>
      <c r="R10229" t="s">
        <v>42210</v>
      </c>
      <c r="W10229" t="s">
        <v>42209</v>
      </c>
      <c r="X10229" t="s">
        <v>5440</v>
      </c>
      <c r="Y10229" t="s">
        <v>97</v>
      </c>
      <c r="Z10229" t="s">
        <v>77</v>
      </c>
      <c r="AA10229" t="str">
        <f>"10032-3720"</f>
        <v>10032-3720</v>
      </c>
      <c r="AB10229" t="s">
        <v>78</v>
      </c>
      <c r="AC10229" t="s">
        <v>79</v>
      </c>
      <c r="AD10229" t="s">
        <v>75</v>
      </c>
      <c r="AE10229" t="s">
        <v>80</v>
      </c>
      <c r="AG10229" t="s">
        <v>81</v>
      </c>
    </row>
    <row r="10230" spans="1:33" x14ac:dyDescent="0.25">
      <c r="A10230" t="str">
        <f>"1275609190"</f>
        <v>1275609190</v>
      </c>
      <c r="B10230" t="str">
        <f>"01865296"</f>
        <v>01865296</v>
      </c>
      <c r="C10230" t="s">
        <v>42211</v>
      </c>
      <c r="D10230" t="s">
        <v>42212</v>
      </c>
      <c r="E10230" t="s">
        <v>42213</v>
      </c>
      <c r="G10230" t="s">
        <v>42214</v>
      </c>
      <c r="H10230" t="s">
        <v>42215</v>
      </c>
      <c r="J10230" t="s">
        <v>42216</v>
      </c>
      <c r="L10230" t="s">
        <v>17</v>
      </c>
      <c r="M10230" t="s">
        <v>75</v>
      </c>
      <c r="R10230" t="s">
        <v>42217</v>
      </c>
      <c r="W10230" t="s">
        <v>42213</v>
      </c>
      <c r="X10230" t="s">
        <v>6245</v>
      </c>
      <c r="Y10230" t="s">
        <v>161</v>
      </c>
      <c r="Z10230" t="s">
        <v>77</v>
      </c>
      <c r="AA10230" t="str">
        <f>"11040-1433"</f>
        <v>11040-1433</v>
      </c>
      <c r="AB10230" t="s">
        <v>122</v>
      </c>
      <c r="AC10230" t="s">
        <v>79</v>
      </c>
      <c r="AD10230" t="s">
        <v>75</v>
      </c>
      <c r="AE10230" t="s">
        <v>80</v>
      </c>
      <c r="AG10230" t="s">
        <v>81</v>
      </c>
    </row>
    <row r="10231" spans="1:33" x14ac:dyDescent="0.25">
      <c r="A10231" t="str">
        <f>"1295965606"</f>
        <v>1295965606</v>
      </c>
      <c r="C10231" t="s">
        <v>42218</v>
      </c>
      <c r="G10231" t="s">
        <v>42219</v>
      </c>
      <c r="H10231" t="s">
        <v>42220</v>
      </c>
      <c r="J10231" t="s">
        <v>42221</v>
      </c>
      <c r="K10231" t="s">
        <v>99</v>
      </c>
      <c r="L10231" t="s">
        <v>102</v>
      </c>
      <c r="M10231" t="s">
        <v>75</v>
      </c>
      <c r="R10231" t="s">
        <v>42222</v>
      </c>
      <c r="S10231" t="s">
        <v>266</v>
      </c>
      <c r="T10231" t="s">
        <v>161</v>
      </c>
      <c r="U10231" t="s">
        <v>77</v>
      </c>
      <c r="V10231" t="str">
        <f>"110401436"</f>
        <v>110401436</v>
      </c>
      <c r="AC10231" t="s">
        <v>79</v>
      </c>
      <c r="AD10231" t="s">
        <v>75</v>
      </c>
      <c r="AE10231" t="s">
        <v>103</v>
      </c>
      <c r="AG10231" t="s">
        <v>81</v>
      </c>
    </row>
    <row r="10232" spans="1:33" x14ac:dyDescent="0.25">
      <c r="A10232" t="str">
        <f>"1770792996"</f>
        <v>1770792996</v>
      </c>
      <c r="B10232" t="str">
        <f>"00859072"</f>
        <v>00859072</v>
      </c>
      <c r="C10232" t="s">
        <v>42223</v>
      </c>
      <c r="D10232" t="s">
        <v>42224</v>
      </c>
      <c r="E10232" t="s">
        <v>42225</v>
      </c>
      <c r="F10232">
        <v>135654532</v>
      </c>
      <c r="H10232" t="s">
        <v>42226</v>
      </c>
      <c r="L10232" t="s">
        <v>37</v>
      </c>
      <c r="M10232" t="s">
        <v>75</v>
      </c>
      <c r="R10232" t="s">
        <v>42227</v>
      </c>
      <c r="W10232" t="s">
        <v>42225</v>
      </c>
      <c r="X10232" t="s">
        <v>42228</v>
      </c>
      <c r="Y10232" t="s">
        <v>155</v>
      </c>
      <c r="Z10232" t="s">
        <v>77</v>
      </c>
      <c r="AA10232" t="str">
        <f>"10301-1655"</f>
        <v>10301-1655</v>
      </c>
      <c r="AB10232" t="s">
        <v>107</v>
      </c>
      <c r="AC10232" t="s">
        <v>79</v>
      </c>
      <c r="AD10232" t="s">
        <v>75</v>
      </c>
      <c r="AE10232" t="s">
        <v>80</v>
      </c>
      <c r="AG10232" t="s">
        <v>81</v>
      </c>
    </row>
    <row r="10233" spans="1:33" x14ac:dyDescent="0.25">
      <c r="A10233" t="str">
        <f>"1134338353"</f>
        <v>1134338353</v>
      </c>
      <c r="B10233" t="str">
        <f>"00859081"</f>
        <v>00859081</v>
      </c>
      <c r="C10233" t="s">
        <v>42229</v>
      </c>
      <c r="D10233" t="s">
        <v>42230</v>
      </c>
      <c r="E10233" t="s">
        <v>42231</v>
      </c>
      <c r="F10233">
        <v>135654532</v>
      </c>
      <c r="H10233" t="s">
        <v>42232</v>
      </c>
      <c r="L10233" t="s">
        <v>37</v>
      </c>
      <c r="M10233" t="s">
        <v>75</v>
      </c>
      <c r="R10233" t="s">
        <v>42227</v>
      </c>
      <c r="W10233" t="s">
        <v>42231</v>
      </c>
      <c r="X10233" t="s">
        <v>42233</v>
      </c>
      <c r="Y10233" t="s">
        <v>155</v>
      </c>
      <c r="Z10233" t="s">
        <v>77</v>
      </c>
      <c r="AA10233" t="str">
        <f>"10301-1655"</f>
        <v>10301-1655</v>
      </c>
      <c r="AB10233" t="s">
        <v>107</v>
      </c>
      <c r="AC10233" t="s">
        <v>79</v>
      </c>
      <c r="AD10233" t="s">
        <v>75</v>
      </c>
      <c r="AE10233" t="s">
        <v>80</v>
      </c>
      <c r="AG10233" t="s">
        <v>81</v>
      </c>
    </row>
    <row r="10234" spans="1:33" x14ac:dyDescent="0.25">
      <c r="A10234" t="str">
        <f>"1811102577"</f>
        <v>1811102577</v>
      </c>
      <c r="B10234" t="str">
        <f>"00744789"</f>
        <v>00744789</v>
      </c>
      <c r="C10234" t="s">
        <v>42234</v>
      </c>
      <c r="D10234" t="s">
        <v>42235</v>
      </c>
      <c r="E10234" t="s">
        <v>42236</v>
      </c>
      <c r="F10234">
        <v>135654532</v>
      </c>
      <c r="H10234" t="s">
        <v>42237</v>
      </c>
      <c r="L10234" t="s">
        <v>37</v>
      </c>
      <c r="M10234" t="s">
        <v>75</v>
      </c>
      <c r="R10234" t="s">
        <v>42238</v>
      </c>
      <c r="W10234" t="s">
        <v>42236</v>
      </c>
      <c r="X10234" t="s">
        <v>2670</v>
      </c>
      <c r="Y10234" t="s">
        <v>155</v>
      </c>
      <c r="Z10234" t="s">
        <v>77</v>
      </c>
      <c r="AA10234" t="str">
        <f>"10302-1707"</f>
        <v>10302-1707</v>
      </c>
      <c r="AB10234" t="s">
        <v>122</v>
      </c>
      <c r="AC10234" t="s">
        <v>79</v>
      </c>
      <c r="AD10234" t="s">
        <v>75</v>
      </c>
      <c r="AE10234" t="s">
        <v>80</v>
      </c>
      <c r="AG10234" t="s">
        <v>81</v>
      </c>
    </row>
    <row r="10235" spans="1:33" x14ac:dyDescent="0.25">
      <c r="A10235" t="str">
        <f>"1609084573"</f>
        <v>1609084573</v>
      </c>
      <c r="B10235" t="str">
        <f>"00426893"</f>
        <v>00426893</v>
      </c>
      <c r="C10235" t="s">
        <v>42239</v>
      </c>
      <c r="D10235" t="s">
        <v>42240</v>
      </c>
      <c r="E10235" t="s">
        <v>42241</v>
      </c>
      <c r="F10235">
        <v>135654532</v>
      </c>
      <c r="H10235" t="s">
        <v>42226</v>
      </c>
      <c r="L10235" t="s">
        <v>37</v>
      </c>
      <c r="M10235" t="s">
        <v>75</v>
      </c>
      <c r="R10235" t="s">
        <v>42238</v>
      </c>
      <c r="W10235" t="s">
        <v>42241</v>
      </c>
      <c r="X10235" t="s">
        <v>42242</v>
      </c>
      <c r="Y10235" t="s">
        <v>97</v>
      </c>
      <c r="Z10235" t="s">
        <v>77</v>
      </c>
      <c r="AA10235" t="str">
        <f>"10009-3615"</f>
        <v>10009-3615</v>
      </c>
      <c r="AB10235" t="s">
        <v>107</v>
      </c>
      <c r="AC10235" t="s">
        <v>79</v>
      </c>
      <c r="AD10235" t="s">
        <v>75</v>
      </c>
      <c r="AE10235" t="s">
        <v>80</v>
      </c>
      <c r="AG10235" t="s">
        <v>81</v>
      </c>
    </row>
    <row r="10236" spans="1:33" x14ac:dyDescent="0.25">
      <c r="A10236" t="str">
        <f>"1487863601"</f>
        <v>1487863601</v>
      </c>
      <c r="B10236" t="str">
        <f>"00776132"</f>
        <v>00776132</v>
      </c>
      <c r="C10236" t="s">
        <v>42243</v>
      </c>
      <c r="D10236" t="s">
        <v>42244</v>
      </c>
      <c r="E10236" t="s">
        <v>42245</v>
      </c>
      <c r="F10236">
        <v>135654532</v>
      </c>
      <c r="L10236" t="s">
        <v>37</v>
      </c>
      <c r="M10236" t="s">
        <v>75</v>
      </c>
      <c r="R10236" t="s">
        <v>42227</v>
      </c>
      <c r="W10236" t="s">
        <v>42245</v>
      </c>
      <c r="X10236" t="s">
        <v>42246</v>
      </c>
      <c r="Y10236" t="s">
        <v>97</v>
      </c>
      <c r="Z10236" t="s">
        <v>77</v>
      </c>
      <c r="AA10236" t="str">
        <f>"10010-2602"</f>
        <v>10010-2602</v>
      </c>
      <c r="AB10236" t="s">
        <v>107</v>
      </c>
      <c r="AC10236" t="s">
        <v>79</v>
      </c>
      <c r="AD10236" t="s">
        <v>75</v>
      </c>
      <c r="AE10236" t="s">
        <v>80</v>
      </c>
      <c r="AG10236" t="s">
        <v>81</v>
      </c>
    </row>
    <row r="10237" spans="1:33" x14ac:dyDescent="0.25">
      <c r="B10237" t="str">
        <f>"02610891"</f>
        <v>02610891</v>
      </c>
      <c r="C10237" t="s">
        <v>42247</v>
      </c>
      <c r="D10237" t="s">
        <v>42248</v>
      </c>
      <c r="E10237" t="s">
        <v>42249</v>
      </c>
      <c r="H10237" t="s">
        <v>42226</v>
      </c>
      <c r="L10237" t="s">
        <v>37</v>
      </c>
      <c r="M10237" t="s">
        <v>75</v>
      </c>
      <c r="W10237" t="s">
        <v>42249</v>
      </c>
      <c r="X10237" t="s">
        <v>2119</v>
      </c>
      <c r="Y10237" t="s">
        <v>131</v>
      </c>
      <c r="Z10237" t="s">
        <v>77</v>
      </c>
      <c r="AA10237" t="str">
        <f>"10469-6409"</f>
        <v>10469-6409</v>
      </c>
      <c r="AB10237" t="s">
        <v>98</v>
      </c>
      <c r="AC10237" t="s">
        <v>79</v>
      </c>
      <c r="AD10237" t="s">
        <v>75</v>
      </c>
      <c r="AE10237" t="s">
        <v>80</v>
      </c>
      <c r="AG10237" t="s">
        <v>81</v>
      </c>
    </row>
    <row r="10238" spans="1:33" x14ac:dyDescent="0.25">
      <c r="B10238" t="str">
        <f>"02255416"</f>
        <v>02255416</v>
      </c>
      <c r="C10238" t="s">
        <v>42250</v>
      </c>
      <c r="D10238" t="s">
        <v>42251</v>
      </c>
      <c r="E10238" t="s">
        <v>42252</v>
      </c>
      <c r="F10238">
        <v>135654532</v>
      </c>
      <c r="H10238" t="s">
        <v>42226</v>
      </c>
      <c r="L10238" t="s">
        <v>37</v>
      </c>
      <c r="M10238" t="s">
        <v>75</v>
      </c>
      <c r="W10238" t="s">
        <v>42252</v>
      </c>
      <c r="X10238" t="s">
        <v>1832</v>
      </c>
      <c r="Y10238" t="s">
        <v>97</v>
      </c>
      <c r="Z10238" t="s">
        <v>77</v>
      </c>
      <c r="AA10238" t="str">
        <f>"10038"</f>
        <v>10038</v>
      </c>
      <c r="AB10238" t="s">
        <v>98</v>
      </c>
      <c r="AC10238" t="s">
        <v>79</v>
      </c>
      <c r="AD10238" t="s">
        <v>75</v>
      </c>
      <c r="AE10238" t="s">
        <v>80</v>
      </c>
      <c r="AG10238" t="s">
        <v>81</v>
      </c>
    </row>
    <row r="10239" spans="1:33" x14ac:dyDescent="0.25">
      <c r="B10239" t="str">
        <f>"02255383"</f>
        <v>02255383</v>
      </c>
      <c r="C10239" t="s">
        <v>42253</v>
      </c>
      <c r="D10239" t="s">
        <v>42254</v>
      </c>
      <c r="E10239" t="s">
        <v>42255</v>
      </c>
      <c r="F10239">
        <v>135654532</v>
      </c>
      <c r="H10239" t="s">
        <v>42226</v>
      </c>
      <c r="L10239" t="s">
        <v>37</v>
      </c>
      <c r="M10239" t="s">
        <v>75</v>
      </c>
      <c r="W10239" t="s">
        <v>42255</v>
      </c>
      <c r="X10239" t="s">
        <v>110</v>
      </c>
      <c r="Y10239" t="s">
        <v>97</v>
      </c>
      <c r="Z10239" t="s">
        <v>77</v>
      </c>
      <c r="AA10239" t="str">
        <f>"10038"</f>
        <v>10038</v>
      </c>
      <c r="AB10239" t="s">
        <v>98</v>
      </c>
      <c r="AC10239" t="s">
        <v>79</v>
      </c>
      <c r="AD10239" t="s">
        <v>75</v>
      </c>
      <c r="AE10239" t="s">
        <v>80</v>
      </c>
      <c r="AG10239" t="s">
        <v>81</v>
      </c>
    </row>
    <row r="10240" spans="1:33" x14ac:dyDescent="0.25">
      <c r="B10240" t="str">
        <f>"02610699"</f>
        <v>02610699</v>
      </c>
      <c r="C10240" t="s">
        <v>42256</v>
      </c>
      <c r="D10240" t="s">
        <v>42257</v>
      </c>
      <c r="E10240" t="s">
        <v>42258</v>
      </c>
      <c r="H10240" t="s">
        <v>42226</v>
      </c>
      <c r="L10240" t="s">
        <v>37</v>
      </c>
      <c r="M10240" t="s">
        <v>75</v>
      </c>
      <c r="W10240" t="s">
        <v>42258</v>
      </c>
      <c r="X10240" t="s">
        <v>42259</v>
      </c>
      <c r="Y10240" t="s">
        <v>97</v>
      </c>
      <c r="Z10240" t="s">
        <v>77</v>
      </c>
      <c r="AA10240" t="str">
        <f>"10038-4811"</f>
        <v>10038-4811</v>
      </c>
      <c r="AB10240" t="s">
        <v>98</v>
      </c>
      <c r="AC10240" t="s">
        <v>79</v>
      </c>
      <c r="AD10240" t="s">
        <v>75</v>
      </c>
      <c r="AE10240" t="s">
        <v>80</v>
      </c>
      <c r="AG10240" t="s">
        <v>81</v>
      </c>
    </row>
    <row r="10241" spans="1:33" x14ac:dyDescent="0.25">
      <c r="B10241" t="str">
        <f>"02170212"</f>
        <v>02170212</v>
      </c>
      <c r="C10241" t="s">
        <v>42260</v>
      </c>
      <c r="D10241" t="s">
        <v>42261</v>
      </c>
      <c r="E10241" t="s">
        <v>42262</v>
      </c>
      <c r="H10241" t="s">
        <v>42226</v>
      </c>
      <c r="L10241" t="s">
        <v>37</v>
      </c>
      <c r="M10241" t="s">
        <v>75</v>
      </c>
      <c r="W10241" t="s">
        <v>42262</v>
      </c>
      <c r="X10241" t="s">
        <v>41498</v>
      </c>
      <c r="Y10241" t="s">
        <v>97</v>
      </c>
      <c r="Z10241" t="s">
        <v>77</v>
      </c>
      <c r="AA10241" t="str">
        <f>"10038-4811"</f>
        <v>10038-4811</v>
      </c>
      <c r="AB10241" t="s">
        <v>98</v>
      </c>
      <c r="AC10241" t="s">
        <v>79</v>
      </c>
      <c r="AD10241" t="s">
        <v>75</v>
      </c>
      <c r="AE10241" t="s">
        <v>80</v>
      </c>
      <c r="AG10241" t="s">
        <v>81</v>
      </c>
    </row>
    <row r="10242" spans="1:33" x14ac:dyDescent="0.25">
      <c r="B10242" t="str">
        <f>"02753097"</f>
        <v>02753097</v>
      </c>
      <c r="C10242" t="s">
        <v>42263</v>
      </c>
      <c r="D10242" t="s">
        <v>42264</v>
      </c>
      <c r="E10242" t="s">
        <v>42265</v>
      </c>
      <c r="F10242">
        <v>134053788</v>
      </c>
      <c r="H10242" t="s">
        <v>3712</v>
      </c>
      <c r="L10242" t="s">
        <v>37</v>
      </c>
      <c r="M10242" t="s">
        <v>85</v>
      </c>
      <c r="W10242" t="s">
        <v>42266</v>
      </c>
      <c r="X10242" t="s">
        <v>110</v>
      </c>
      <c r="Y10242" t="s">
        <v>97</v>
      </c>
      <c r="Z10242" t="s">
        <v>77</v>
      </c>
      <c r="AA10242" t="str">
        <f>"10023-2401"</f>
        <v>10023-2401</v>
      </c>
      <c r="AB10242" t="s">
        <v>98</v>
      </c>
      <c r="AC10242" t="s">
        <v>79</v>
      </c>
      <c r="AD10242" t="s">
        <v>75</v>
      </c>
      <c r="AE10242" t="s">
        <v>80</v>
      </c>
      <c r="AG10242" t="s">
        <v>81</v>
      </c>
    </row>
    <row r="10243" spans="1:33" x14ac:dyDescent="0.25">
      <c r="B10243" t="str">
        <f>"02938925"</f>
        <v>02938925</v>
      </c>
      <c r="C10243" t="s">
        <v>42267</v>
      </c>
      <c r="D10243" t="s">
        <v>42268</v>
      </c>
      <c r="E10243" t="s">
        <v>42269</v>
      </c>
      <c r="H10243" t="s">
        <v>919</v>
      </c>
      <c r="L10243" t="s">
        <v>10</v>
      </c>
      <c r="M10243" t="s">
        <v>75</v>
      </c>
      <c r="W10243" t="s">
        <v>42269</v>
      </c>
      <c r="X10243" t="s">
        <v>345</v>
      </c>
      <c r="Y10243" t="s">
        <v>97</v>
      </c>
      <c r="Z10243" t="s">
        <v>77</v>
      </c>
      <c r="AA10243" t="str">
        <f>"10010-1058"</f>
        <v>10010-1058</v>
      </c>
      <c r="AB10243" t="s">
        <v>133</v>
      </c>
      <c r="AC10243" t="s">
        <v>79</v>
      </c>
      <c r="AD10243" t="s">
        <v>75</v>
      </c>
      <c r="AE10243" t="s">
        <v>80</v>
      </c>
      <c r="AG10243" t="s">
        <v>81</v>
      </c>
    </row>
    <row r="10244" spans="1:33" x14ac:dyDescent="0.25">
      <c r="B10244" t="str">
        <f>"02633030"</f>
        <v>02633030</v>
      </c>
      <c r="C10244" t="s">
        <v>42270</v>
      </c>
      <c r="D10244" t="s">
        <v>42271</v>
      </c>
      <c r="E10244" t="s">
        <v>42272</v>
      </c>
      <c r="H10244" t="s">
        <v>42273</v>
      </c>
      <c r="L10244" t="s">
        <v>37</v>
      </c>
      <c r="M10244" t="s">
        <v>75</v>
      </c>
      <c r="W10244" t="s">
        <v>42272</v>
      </c>
      <c r="X10244" t="s">
        <v>2119</v>
      </c>
      <c r="Y10244" t="s">
        <v>300</v>
      </c>
      <c r="Z10244" t="s">
        <v>77</v>
      </c>
      <c r="AA10244" t="str">
        <f>"10954-3106"</f>
        <v>10954-3106</v>
      </c>
      <c r="AB10244" t="s">
        <v>98</v>
      </c>
      <c r="AC10244" t="s">
        <v>79</v>
      </c>
      <c r="AD10244" t="s">
        <v>75</v>
      </c>
      <c r="AE10244" t="s">
        <v>80</v>
      </c>
      <c r="AG10244" t="s">
        <v>81</v>
      </c>
    </row>
    <row r="10245" spans="1:33" x14ac:dyDescent="0.25">
      <c r="B10245" t="str">
        <f>"02633085"</f>
        <v>02633085</v>
      </c>
      <c r="C10245" t="s">
        <v>42274</v>
      </c>
      <c r="D10245" t="s">
        <v>42275</v>
      </c>
      <c r="E10245" t="s">
        <v>42276</v>
      </c>
      <c r="H10245" t="s">
        <v>42273</v>
      </c>
      <c r="L10245" t="s">
        <v>37</v>
      </c>
      <c r="M10245" t="s">
        <v>75</v>
      </c>
      <c r="W10245" t="s">
        <v>42276</v>
      </c>
      <c r="X10245" t="s">
        <v>2120</v>
      </c>
      <c r="Y10245" t="s">
        <v>300</v>
      </c>
      <c r="Z10245" t="s">
        <v>77</v>
      </c>
      <c r="AA10245" t="str">
        <f>"10954-3106"</f>
        <v>10954-3106</v>
      </c>
      <c r="AB10245" t="s">
        <v>98</v>
      </c>
      <c r="AC10245" t="s">
        <v>79</v>
      </c>
      <c r="AD10245" t="s">
        <v>75</v>
      </c>
      <c r="AE10245" t="s">
        <v>80</v>
      </c>
      <c r="AG10245" t="s">
        <v>81</v>
      </c>
    </row>
    <row r="10246" spans="1:33" x14ac:dyDescent="0.25">
      <c r="B10246" t="str">
        <f>"00273267"</f>
        <v>00273267</v>
      </c>
      <c r="C10246" t="s">
        <v>42277</v>
      </c>
      <c r="D10246" t="s">
        <v>3109</v>
      </c>
      <c r="E10246" t="s">
        <v>3110</v>
      </c>
      <c r="H10246" t="s">
        <v>6463</v>
      </c>
      <c r="L10246" t="s">
        <v>211</v>
      </c>
      <c r="M10246" t="s">
        <v>85</v>
      </c>
      <c r="W10246" t="s">
        <v>42278</v>
      </c>
      <c r="X10246" t="s">
        <v>42279</v>
      </c>
      <c r="Y10246" t="s">
        <v>97</v>
      </c>
      <c r="Z10246" t="s">
        <v>77</v>
      </c>
      <c r="AA10246" t="str">
        <f>"10025-2956"</f>
        <v>10025-2956</v>
      </c>
      <c r="AB10246" t="s">
        <v>122</v>
      </c>
      <c r="AC10246" t="s">
        <v>79</v>
      </c>
      <c r="AD10246" t="s">
        <v>75</v>
      </c>
      <c r="AE10246" t="s">
        <v>80</v>
      </c>
      <c r="AG10246" t="s">
        <v>81</v>
      </c>
    </row>
    <row r="10247" spans="1:33" x14ac:dyDescent="0.25">
      <c r="B10247" t="str">
        <f>"01958263"</f>
        <v>01958263</v>
      </c>
      <c r="C10247" t="s">
        <v>40988</v>
      </c>
      <c r="D10247" t="s">
        <v>40987</v>
      </c>
      <c r="E10247" t="s">
        <v>40988</v>
      </c>
      <c r="H10247" t="s">
        <v>40990</v>
      </c>
      <c r="L10247" t="s">
        <v>106</v>
      </c>
      <c r="M10247" t="s">
        <v>85</v>
      </c>
      <c r="W10247" t="s">
        <v>40988</v>
      </c>
      <c r="X10247" t="s">
        <v>2093</v>
      </c>
      <c r="Y10247" t="s">
        <v>97</v>
      </c>
      <c r="Z10247" t="s">
        <v>77</v>
      </c>
      <c r="AA10247" t="str">
        <f>"10025-1715"</f>
        <v>10025-1715</v>
      </c>
      <c r="AB10247" t="s">
        <v>107</v>
      </c>
      <c r="AC10247" t="s">
        <v>79</v>
      </c>
      <c r="AD10247" t="s">
        <v>75</v>
      </c>
      <c r="AE10247" t="s">
        <v>80</v>
      </c>
      <c r="AG10247" t="s">
        <v>81</v>
      </c>
    </row>
    <row r="10248" spans="1:33" x14ac:dyDescent="0.25">
      <c r="A10248" t="str">
        <f>"1598976201"</f>
        <v>1598976201</v>
      </c>
      <c r="B10248" t="str">
        <f>"01195211"</f>
        <v>01195211</v>
      </c>
      <c r="C10248" t="s">
        <v>42280</v>
      </c>
      <c r="D10248" t="s">
        <v>42281</v>
      </c>
      <c r="E10248" t="s">
        <v>42282</v>
      </c>
      <c r="H10248" t="s">
        <v>6479</v>
      </c>
      <c r="L10248" t="s">
        <v>35</v>
      </c>
      <c r="M10248" t="s">
        <v>85</v>
      </c>
      <c r="R10248" t="s">
        <v>42283</v>
      </c>
      <c r="W10248" t="s">
        <v>42282</v>
      </c>
      <c r="X10248" t="s">
        <v>42284</v>
      </c>
      <c r="Y10248" t="s">
        <v>97</v>
      </c>
      <c r="Z10248" t="s">
        <v>77</v>
      </c>
      <c r="AA10248" t="str">
        <f>"10029-2184"</f>
        <v>10029-2184</v>
      </c>
      <c r="AB10248" t="s">
        <v>98</v>
      </c>
      <c r="AC10248" t="s">
        <v>79</v>
      </c>
      <c r="AD10248" t="s">
        <v>75</v>
      </c>
      <c r="AE10248" t="s">
        <v>80</v>
      </c>
      <c r="AG10248" t="s">
        <v>81</v>
      </c>
    </row>
    <row r="10249" spans="1:33" x14ac:dyDescent="0.25">
      <c r="A10249" t="str">
        <f>"1730173402"</f>
        <v>1730173402</v>
      </c>
      <c r="B10249" t="str">
        <f>"01427196"</f>
        <v>01427196</v>
      </c>
      <c r="C10249" t="s">
        <v>42285</v>
      </c>
      <c r="D10249" t="s">
        <v>42286</v>
      </c>
      <c r="E10249" t="s">
        <v>42287</v>
      </c>
      <c r="H10249" t="s">
        <v>42288</v>
      </c>
      <c r="L10249" t="s">
        <v>35</v>
      </c>
      <c r="M10249" t="s">
        <v>85</v>
      </c>
      <c r="R10249" t="s">
        <v>8110</v>
      </c>
      <c r="W10249" t="s">
        <v>42287</v>
      </c>
      <c r="Y10249" t="s">
        <v>97</v>
      </c>
      <c r="Z10249" t="s">
        <v>77</v>
      </c>
      <c r="AA10249" t="str">
        <f>"10002-2924"</f>
        <v>10002-2924</v>
      </c>
      <c r="AB10249" t="s">
        <v>98</v>
      </c>
      <c r="AC10249" t="s">
        <v>79</v>
      </c>
      <c r="AD10249" t="s">
        <v>75</v>
      </c>
      <c r="AE10249" t="s">
        <v>80</v>
      </c>
      <c r="AG10249" t="s">
        <v>81</v>
      </c>
    </row>
    <row r="10250" spans="1:33" x14ac:dyDescent="0.25">
      <c r="A10250" t="str">
        <f>"1457368995"</f>
        <v>1457368995</v>
      </c>
      <c r="B10250" t="str">
        <f>"00245267"</f>
        <v>00245267</v>
      </c>
      <c r="C10250" t="s">
        <v>42289</v>
      </c>
      <c r="D10250" t="s">
        <v>42290</v>
      </c>
      <c r="E10250" t="s">
        <v>42291</v>
      </c>
      <c r="H10250" t="s">
        <v>42292</v>
      </c>
      <c r="L10250" t="s">
        <v>37</v>
      </c>
      <c r="M10250" t="s">
        <v>75</v>
      </c>
      <c r="R10250" t="s">
        <v>11569</v>
      </c>
      <c r="W10250" t="s">
        <v>42291</v>
      </c>
      <c r="X10250" t="s">
        <v>4947</v>
      </c>
      <c r="Y10250" t="s">
        <v>97</v>
      </c>
      <c r="Z10250" t="s">
        <v>77</v>
      </c>
      <c r="AA10250" t="str">
        <f>"10003-8908"</f>
        <v>10003-8908</v>
      </c>
      <c r="AB10250" t="s">
        <v>122</v>
      </c>
      <c r="AC10250" t="s">
        <v>79</v>
      </c>
      <c r="AD10250" t="s">
        <v>75</v>
      </c>
      <c r="AE10250" t="s">
        <v>80</v>
      </c>
      <c r="AG10250" t="s">
        <v>81</v>
      </c>
    </row>
    <row r="10251" spans="1:33" x14ac:dyDescent="0.25">
      <c r="A10251" t="str">
        <f>"1386698504"</f>
        <v>1386698504</v>
      </c>
      <c r="B10251" t="str">
        <f>"00826444"</f>
        <v>00826444</v>
      </c>
      <c r="C10251" t="s">
        <v>42293</v>
      </c>
      <c r="D10251" t="s">
        <v>42294</v>
      </c>
      <c r="E10251" t="s">
        <v>42295</v>
      </c>
      <c r="H10251" t="s">
        <v>42296</v>
      </c>
      <c r="L10251" t="s">
        <v>115</v>
      </c>
      <c r="M10251" t="s">
        <v>75</v>
      </c>
      <c r="R10251" t="s">
        <v>42297</v>
      </c>
      <c r="W10251" t="s">
        <v>42295</v>
      </c>
      <c r="X10251" t="s">
        <v>42298</v>
      </c>
      <c r="Y10251" t="s">
        <v>5172</v>
      </c>
      <c r="Z10251" t="s">
        <v>77</v>
      </c>
      <c r="AA10251" t="str">
        <f>"11101-4130"</f>
        <v>11101-4130</v>
      </c>
      <c r="AB10251" t="s">
        <v>93</v>
      </c>
      <c r="AC10251" t="s">
        <v>79</v>
      </c>
      <c r="AD10251" t="s">
        <v>75</v>
      </c>
      <c r="AE10251" t="s">
        <v>80</v>
      </c>
      <c r="AG10251" t="s">
        <v>81</v>
      </c>
    </row>
    <row r="10252" spans="1:33" x14ac:dyDescent="0.25">
      <c r="A10252" t="str">
        <f>"1851346936"</f>
        <v>1851346936</v>
      </c>
      <c r="B10252" t="str">
        <f>"03006044"</f>
        <v>03006044</v>
      </c>
      <c r="C10252" t="s">
        <v>42293</v>
      </c>
      <c r="D10252" t="s">
        <v>42294</v>
      </c>
      <c r="E10252" t="s">
        <v>42295</v>
      </c>
      <c r="H10252" t="s">
        <v>42296</v>
      </c>
      <c r="L10252" t="s">
        <v>115</v>
      </c>
      <c r="M10252" t="s">
        <v>75</v>
      </c>
      <c r="R10252" t="s">
        <v>42297</v>
      </c>
      <c r="W10252" t="s">
        <v>42295</v>
      </c>
      <c r="X10252" t="s">
        <v>42299</v>
      </c>
      <c r="Y10252" t="s">
        <v>97</v>
      </c>
      <c r="Z10252" t="s">
        <v>77</v>
      </c>
      <c r="AA10252" t="str">
        <f>"10022-1202"</f>
        <v>10022-1202</v>
      </c>
      <c r="AB10252" t="s">
        <v>122</v>
      </c>
      <c r="AC10252" t="s">
        <v>79</v>
      </c>
      <c r="AD10252" t="s">
        <v>75</v>
      </c>
      <c r="AE10252" t="s">
        <v>80</v>
      </c>
      <c r="AG10252" t="s">
        <v>81</v>
      </c>
    </row>
    <row r="10253" spans="1:33" x14ac:dyDescent="0.25">
      <c r="A10253" t="str">
        <f>"1609800432"</f>
        <v>1609800432</v>
      </c>
      <c r="B10253" t="str">
        <f>"02998718"</f>
        <v>02998718</v>
      </c>
      <c r="C10253" t="s">
        <v>42300</v>
      </c>
      <c r="D10253" t="s">
        <v>39059</v>
      </c>
      <c r="E10253" t="s">
        <v>19316</v>
      </c>
      <c r="H10253" t="s">
        <v>42301</v>
      </c>
      <c r="L10253" t="s">
        <v>39060</v>
      </c>
      <c r="M10253" t="s">
        <v>85</v>
      </c>
      <c r="R10253" t="s">
        <v>27695</v>
      </c>
      <c r="W10253" t="s">
        <v>19316</v>
      </c>
      <c r="Y10253" t="s">
        <v>87</v>
      </c>
      <c r="Z10253" t="s">
        <v>77</v>
      </c>
      <c r="AA10253" t="str">
        <f>"11201-5493"</f>
        <v>11201-5493</v>
      </c>
      <c r="AB10253" t="s">
        <v>96</v>
      </c>
      <c r="AC10253" t="s">
        <v>79</v>
      </c>
      <c r="AD10253" t="s">
        <v>75</v>
      </c>
      <c r="AE10253" t="s">
        <v>80</v>
      </c>
      <c r="AG10253" t="s">
        <v>81</v>
      </c>
    </row>
    <row r="10254" spans="1:33" x14ac:dyDescent="0.25">
      <c r="A10254" t="str">
        <f>"1790719524"</f>
        <v>1790719524</v>
      </c>
      <c r="B10254" t="str">
        <f>"02998727"</f>
        <v>02998727</v>
      </c>
      <c r="C10254" t="s">
        <v>42300</v>
      </c>
      <c r="D10254" t="s">
        <v>39059</v>
      </c>
      <c r="E10254" t="s">
        <v>19316</v>
      </c>
      <c r="H10254" t="s">
        <v>42301</v>
      </c>
      <c r="L10254" t="s">
        <v>39060</v>
      </c>
      <c r="M10254" t="s">
        <v>85</v>
      </c>
      <c r="R10254" t="s">
        <v>27695</v>
      </c>
      <c r="W10254" t="s">
        <v>19316</v>
      </c>
      <c r="Y10254" t="s">
        <v>87</v>
      </c>
      <c r="Z10254" t="s">
        <v>77</v>
      </c>
      <c r="AA10254" t="str">
        <f>"11201-5493"</f>
        <v>11201-5493</v>
      </c>
      <c r="AB10254" t="s">
        <v>96</v>
      </c>
      <c r="AC10254" t="s">
        <v>79</v>
      </c>
      <c r="AD10254" t="s">
        <v>75</v>
      </c>
      <c r="AE10254" t="s">
        <v>80</v>
      </c>
      <c r="AG10254" t="s">
        <v>81</v>
      </c>
    </row>
    <row r="10255" spans="1:33" x14ac:dyDescent="0.25">
      <c r="A10255" t="str">
        <f>"1306892070"</f>
        <v>1306892070</v>
      </c>
      <c r="B10255" t="str">
        <f>"02165346"</f>
        <v>02165346</v>
      </c>
      <c r="C10255" t="s">
        <v>42302</v>
      </c>
      <c r="D10255" t="s">
        <v>42303</v>
      </c>
      <c r="E10255" t="s">
        <v>42304</v>
      </c>
      <c r="G10255" t="s">
        <v>42305</v>
      </c>
      <c r="H10255" t="s">
        <v>42306</v>
      </c>
      <c r="J10255" t="s">
        <v>42307</v>
      </c>
      <c r="L10255" t="s">
        <v>106</v>
      </c>
      <c r="M10255" t="s">
        <v>85</v>
      </c>
      <c r="R10255" t="s">
        <v>42308</v>
      </c>
      <c r="W10255" t="s">
        <v>42309</v>
      </c>
      <c r="X10255" t="s">
        <v>42310</v>
      </c>
      <c r="Y10255" t="s">
        <v>87</v>
      </c>
      <c r="Z10255" t="s">
        <v>77</v>
      </c>
      <c r="AA10255" t="str">
        <f>"11239-1526"</f>
        <v>11239-1526</v>
      </c>
      <c r="AB10255" t="s">
        <v>107</v>
      </c>
      <c r="AC10255" t="s">
        <v>79</v>
      </c>
      <c r="AD10255" t="s">
        <v>75</v>
      </c>
      <c r="AE10255" t="s">
        <v>80</v>
      </c>
      <c r="AG10255" t="s">
        <v>81</v>
      </c>
    </row>
    <row r="10256" spans="1:33" x14ac:dyDescent="0.25">
      <c r="B10256" t="str">
        <f>"03044864"</f>
        <v>03044864</v>
      </c>
      <c r="C10256" t="s">
        <v>42311</v>
      </c>
      <c r="D10256" t="s">
        <v>383</v>
      </c>
      <c r="E10256" t="s">
        <v>384</v>
      </c>
      <c r="F10256">
        <v>131624123</v>
      </c>
      <c r="L10256" t="s">
        <v>37</v>
      </c>
      <c r="M10256" t="s">
        <v>75</v>
      </c>
      <c r="W10256" t="s">
        <v>385</v>
      </c>
      <c r="X10256" t="s">
        <v>386</v>
      </c>
      <c r="Y10256" t="s">
        <v>205</v>
      </c>
      <c r="Z10256" t="s">
        <v>77</v>
      </c>
      <c r="AA10256" t="str">
        <f>"10977-4014"</f>
        <v>10977-4014</v>
      </c>
      <c r="AB10256" t="s">
        <v>98</v>
      </c>
      <c r="AC10256" t="s">
        <v>79</v>
      </c>
      <c r="AD10256" t="s">
        <v>75</v>
      </c>
      <c r="AE10256" t="s">
        <v>80</v>
      </c>
      <c r="AG10256" t="s">
        <v>81</v>
      </c>
    </row>
    <row r="10257" spans="1:33" x14ac:dyDescent="0.25">
      <c r="A10257" t="str">
        <f>"1215974183"</f>
        <v>1215974183</v>
      </c>
      <c r="B10257" t="str">
        <f>"02679454"</f>
        <v>02679454</v>
      </c>
      <c r="C10257" t="s">
        <v>42312</v>
      </c>
      <c r="D10257" t="s">
        <v>452</v>
      </c>
      <c r="E10257" t="s">
        <v>453</v>
      </c>
      <c r="G10257" t="s">
        <v>454</v>
      </c>
      <c r="H10257" t="s">
        <v>42313</v>
      </c>
      <c r="J10257" t="s">
        <v>42314</v>
      </c>
      <c r="L10257" t="s">
        <v>119</v>
      </c>
      <c r="M10257" t="s">
        <v>85</v>
      </c>
      <c r="R10257" t="s">
        <v>456</v>
      </c>
      <c r="W10257" t="s">
        <v>453</v>
      </c>
      <c r="X10257" t="s">
        <v>457</v>
      </c>
      <c r="Y10257" t="s">
        <v>87</v>
      </c>
      <c r="Z10257" t="s">
        <v>77</v>
      </c>
      <c r="AA10257" t="str">
        <f>"11206-4101"</f>
        <v>11206-4101</v>
      </c>
      <c r="AB10257" t="s">
        <v>122</v>
      </c>
      <c r="AC10257" t="s">
        <v>79</v>
      </c>
      <c r="AD10257" t="s">
        <v>75</v>
      </c>
      <c r="AE10257" t="s">
        <v>80</v>
      </c>
      <c r="AG10257" t="s">
        <v>81</v>
      </c>
    </row>
    <row r="10258" spans="1:33" x14ac:dyDescent="0.25">
      <c r="A10258" t="str">
        <f>"1194840496"</f>
        <v>1194840496</v>
      </c>
      <c r="B10258" t="str">
        <f>"03019409"</f>
        <v>03019409</v>
      </c>
      <c r="C10258" t="s">
        <v>42315</v>
      </c>
      <c r="D10258" t="s">
        <v>42316</v>
      </c>
      <c r="E10258" t="s">
        <v>42317</v>
      </c>
      <c r="G10258" t="s">
        <v>42318</v>
      </c>
      <c r="H10258" t="s">
        <v>6273</v>
      </c>
      <c r="I10258">
        <v>419</v>
      </c>
      <c r="J10258" t="s">
        <v>6274</v>
      </c>
      <c r="L10258" t="s">
        <v>83</v>
      </c>
      <c r="M10258" t="s">
        <v>75</v>
      </c>
      <c r="R10258" t="s">
        <v>42317</v>
      </c>
      <c r="W10258" t="s">
        <v>42317</v>
      </c>
      <c r="X10258" t="s">
        <v>259</v>
      </c>
      <c r="Y10258" t="s">
        <v>139</v>
      </c>
      <c r="Z10258" t="s">
        <v>77</v>
      </c>
      <c r="AA10258" t="str">
        <f>"11355-2205"</f>
        <v>11355-2205</v>
      </c>
      <c r="AB10258" t="s">
        <v>128</v>
      </c>
      <c r="AC10258" t="s">
        <v>79</v>
      </c>
      <c r="AD10258" t="s">
        <v>75</v>
      </c>
      <c r="AE10258" t="s">
        <v>80</v>
      </c>
      <c r="AG10258" t="s">
        <v>81</v>
      </c>
    </row>
    <row r="10259" spans="1:33" x14ac:dyDescent="0.25">
      <c r="A10259" t="str">
        <f>"1225005952"</f>
        <v>1225005952</v>
      </c>
      <c r="B10259" t="str">
        <f>"00612079"</f>
        <v>00612079</v>
      </c>
      <c r="C10259" t="s">
        <v>42319</v>
      </c>
      <c r="D10259" t="s">
        <v>42320</v>
      </c>
      <c r="E10259" t="s">
        <v>42321</v>
      </c>
      <c r="G10259" t="s">
        <v>42318</v>
      </c>
      <c r="H10259" t="s">
        <v>6273</v>
      </c>
      <c r="I10259">
        <v>419</v>
      </c>
      <c r="J10259" t="s">
        <v>6274</v>
      </c>
      <c r="L10259" t="s">
        <v>74</v>
      </c>
      <c r="M10259" t="s">
        <v>85</v>
      </c>
      <c r="R10259" t="s">
        <v>42322</v>
      </c>
      <c r="W10259" t="s">
        <v>42321</v>
      </c>
      <c r="X10259" t="s">
        <v>42323</v>
      </c>
      <c r="Y10259" t="s">
        <v>131</v>
      </c>
      <c r="Z10259" t="s">
        <v>77</v>
      </c>
      <c r="AA10259" t="str">
        <f>"10467-2461"</f>
        <v>10467-2461</v>
      </c>
      <c r="AB10259" t="s">
        <v>78</v>
      </c>
      <c r="AC10259" t="s">
        <v>79</v>
      </c>
      <c r="AD10259" t="s">
        <v>75</v>
      </c>
      <c r="AE10259" t="s">
        <v>80</v>
      </c>
      <c r="AG10259" t="s">
        <v>81</v>
      </c>
    </row>
    <row r="10260" spans="1:33" x14ac:dyDescent="0.25">
      <c r="A10260" t="str">
        <f>"1235206475"</f>
        <v>1235206475</v>
      </c>
      <c r="B10260" t="str">
        <f>"00990730"</f>
        <v>00990730</v>
      </c>
      <c r="C10260" t="s">
        <v>42324</v>
      </c>
      <c r="D10260" t="s">
        <v>42325</v>
      </c>
      <c r="E10260" t="s">
        <v>42326</v>
      </c>
      <c r="G10260" t="s">
        <v>42318</v>
      </c>
      <c r="H10260" t="s">
        <v>6273</v>
      </c>
      <c r="I10260">
        <v>419</v>
      </c>
      <c r="J10260" t="s">
        <v>6274</v>
      </c>
      <c r="L10260" t="s">
        <v>74</v>
      </c>
      <c r="M10260" t="s">
        <v>75</v>
      </c>
      <c r="R10260" t="s">
        <v>42327</v>
      </c>
      <c r="W10260" t="s">
        <v>42326</v>
      </c>
      <c r="X10260" t="s">
        <v>42328</v>
      </c>
      <c r="Y10260" t="s">
        <v>97</v>
      </c>
      <c r="Z10260" t="s">
        <v>77</v>
      </c>
      <c r="AA10260" t="str">
        <f>"10023-7648"</f>
        <v>10023-7648</v>
      </c>
      <c r="AB10260" t="s">
        <v>78</v>
      </c>
      <c r="AC10260" t="s">
        <v>79</v>
      </c>
      <c r="AD10260" t="s">
        <v>75</v>
      </c>
      <c r="AE10260" t="s">
        <v>80</v>
      </c>
      <c r="AG10260" t="s">
        <v>81</v>
      </c>
    </row>
    <row r="10261" spans="1:33" x14ac:dyDescent="0.25">
      <c r="A10261" t="str">
        <f>"1275646838"</f>
        <v>1275646838</v>
      </c>
      <c r="B10261" t="str">
        <f>"02918436"</f>
        <v>02918436</v>
      </c>
      <c r="C10261" t="s">
        <v>42329</v>
      </c>
      <c r="D10261" t="s">
        <v>42330</v>
      </c>
      <c r="E10261" t="s">
        <v>42331</v>
      </c>
      <c r="G10261" t="s">
        <v>42318</v>
      </c>
      <c r="H10261" t="s">
        <v>6273</v>
      </c>
      <c r="I10261">
        <v>419</v>
      </c>
      <c r="J10261" t="s">
        <v>6274</v>
      </c>
      <c r="L10261" t="s">
        <v>83</v>
      </c>
      <c r="M10261" t="s">
        <v>85</v>
      </c>
      <c r="R10261" t="s">
        <v>42332</v>
      </c>
      <c r="W10261" t="s">
        <v>42333</v>
      </c>
      <c r="X10261" t="s">
        <v>42334</v>
      </c>
      <c r="Y10261" t="s">
        <v>227</v>
      </c>
      <c r="Z10261" t="s">
        <v>77</v>
      </c>
      <c r="AA10261" t="str">
        <f>"10605-1238"</f>
        <v>10605-1238</v>
      </c>
      <c r="AB10261" t="s">
        <v>78</v>
      </c>
      <c r="AC10261" t="s">
        <v>79</v>
      </c>
      <c r="AD10261" t="s">
        <v>75</v>
      </c>
      <c r="AE10261" t="s">
        <v>80</v>
      </c>
      <c r="AG10261" t="s">
        <v>81</v>
      </c>
    </row>
    <row r="10262" spans="1:33" x14ac:dyDescent="0.25">
      <c r="A10262" t="str">
        <f>"1275851834"</f>
        <v>1275851834</v>
      </c>
      <c r="C10262" t="s">
        <v>42335</v>
      </c>
      <c r="G10262" t="s">
        <v>42318</v>
      </c>
      <c r="H10262" t="s">
        <v>6273</v>
      </c>
      <c r="I10262">
        <v>419</v>
      </c>
      <c r="J10262" t="s">
        <v>6274</v>
      </c>
      <c r="K10262" t="s">
        <v>99</v>
      </c>
      <c r="L10262" t="s">
        <v>102</v>
      </c>
      <c r="M10262" t="s">
        <v>75</v>
      </c>
      <c r="R10262" t="s">
        <v>42336</v>
      </c>
      <c r="S10262" t="s">
        <v>42337</v>
      </c>
      <c r="T10262" t="s">
        <v>180</v>
      </c>
      <c r="U10262" t="s">
        <v>77</v>
      </c>
      <c r="V10262" t="str">
        <f>"107101125"</f>
        <v>107101125</v>
      </c>
      <c r="AC10262" t="s">
        <v>79</v>
      </c>
      <c r="AD10262" t="s">
        <v>75</v>
      </c>
      <c r="AE10262" t="s">
        <v>103</v>
      </c>
      <c r="AG10262" t="s">
        <v>81</v>
      </c>
    </row>
    <row r="10263" spans="1:33" x14ac:dyDescent="0.25">
      <c r="A10263" t="str">
        <f>"1326078346"</f>
        <v>1326078346</v>
      </c>
      <c r="B10263" t="str">
        <f>"01026402"</f>
        <v>01026402</v>
      </c>
      <c r="C10263" t="s">
        <v>42338</v>
      </c>
      <c r="D10263" t="s">
        <v>4912</v>
      </c>
      <c r="E10263" t="s">
        <v>4913</v>
      </c>
      <c r="G10263" t="s">
        <v>42318</v>
      </c>
      <c r="H10263" t="s">
        <v>6273</v>
      </c>
      <c r="I10263">
        <v>419</v>
      </c>
      <c r="J10263" t="s">
        <v>6274</v>
      </c>
      <c r="L10263" t="s">
        <v>84</v>
      </c>
      <c r="M10263" t="s">
        <v>75</v>
      </c>
      <c r="R10263" t="s">
        <v>4914</v>
      </c>
      <c r="W10263" t="s">
        <v>4913</v>
      </c>
      <c r="X10263" t="s">
        <v>4915</v>
      </c>
      <c r="Y10263" t="s">
        <v>236</v>
      </c>
      <c r="Z10263" t="s">
        <v>77</v>
      </c>
      <c r="AA10263" t="str">
        <f>"11103-2539"</f>
        <v>11103-2539</v>
      </c>
      <c r="AB10263" t="s">
        <v>78</v>
      </c>
      <c r="AC10263" t="s">
        <v>79</v>
      </c>
      <c r="AD10263" t="s">
        <v>75</v>
      </c>
      <c r="AE10263" t="s">
        <v>80</v>
      </c>
      <c r="AG10263" t="s">
        <v>81</v>
      </c>
    </row>
    <row r="10264" spans="1:33" x14ac:dyDescent="0.25">
      <c r="A10264" t="str">
        <f>"1336446392"</f>
        <v>1336446392</v>
      </c>
      <c r="C10264" t="s">
        <v>42339</v>
      </c>
      <c r="G10264" t="s">
        <v>42318</v>
      </c>
      <c r="H10264" t="s">
        <v>6273</v>
      </c>
      <c r="I10264">
        <v>419</v>
      </c>
      <c r="J10264" t="s">
        <v>6274</v>
      </c>
      <c r="K10264" t="s">
        <v>99</v>
      </c>
      <c r="L10264" t="s">
        <v>74</v>
      </c>
      <c r="M10264" t="s">
        <v>75</v>
      </c>
      <c r="R10264" t="s">
        <v>42340</v>
      </c>
      <c r="S10264" t="s">
        <v>42341</v>
      </c>
      <c r="T10264" t="s">
        <v>405</v>
      </c>
      <c r="U10264" t="s">
        <v>77</v>
      </c>
      <c r="V10264" t="str">
        <f>"108031504"</f>
        <v>108031504</v>
      </c>
      <c r="AC10264" t="s">
        <v>79</v>
      </c>
      <c r="AD10264" t="s">
        <v>75</v>
      </c>
      <c r="AE10264" t="s">
        <v>103</v>
      </c>
      <c r="AG10264" t="s">
        <v>81</v>
      </c>
    </row>
    <row r="10265" spans="1:33" x14ac:dyDescent="0.25">
      <c r="A10265" t="str">
        <f>"1346285145"</f>
        <v>1346285145</v>
      </c>
      <c r="B10265" t="str">
        <f>"01824482"</f>
        <v>01824482</v>
      </c>
      <c r="C10265" t="s">
        <v>42342</v>
      </c>
      <c r="D10265" t="s">
        <v>4853</v>
      </c>
      <c r="E10265" t="s">
        <v>4854</v>
      </c>
      <c r="G10265" t="s">
        <v>42318</v>
      </c>
      <c r="H10265" t="s">
        <v>6273</v>
      </c>
      <c r="I10265">
        <v>419</v>
      </c>
      <c r="J10265" t="s">
        <v>6274</v>
      </c>
      <c r="L10265" t="s">
        <v>84</v>
      </c>
      <c r="M10265" t="s">
        <v>85</v>
      </c>
      <c r="R10265" t="s">
        <v>4855</v>
      </c>
      <c r="W10265" t="s">
        <v>4854</v>
      </c>
      <c r="X10265" t="s">
        <v>4856</v>
      </c>
      <c r="Y10265" t="s">
        <v>2360</v>
      </c>
      <c r="Z10265" t="s">
        <v>77</v>
      </c>
      <c r="AA10265" t="str">
        <f>"10583-6955"</f>
        <v>10583-6955</v>
      </c>
      <c r="AB10265" t="s">
        <v>78</v>
      </c>
      <c r="AC10265" t="s">
        <v>79</v>
      </c>
      <c r="AD10265" t="s">
        <v>75</v>
      </c>
      <c r="AE10265" t="s">
        <v>80</v>
      </c>
      <c r="AG10265" t="s">
        <v>81</v>
      </c>
    </row>
    <row r="10266" spans="1:33" x14ac:dyDescent="0.25">
      <c r="A10266" t="str">
        <f>"1528077732"</f>
        <v>1528077732</v>
      </c>
      <c r="B10266" t="str">
        <f>"01577820"</f>
        <v>01577820</v>
      </c>
      <c r="C10266" t="s">
        <v>5728</v>
      </c>
      <c r="D10266" t="s">
        <v>5729</v>
      </c>
      <c r="E10266" t="s">
        <v>5730</v>
      </c>
      <c r="G10266" t="s">
        <v>42318</v>
      </c>
      <c r="H10266" t="s">
        <v>6273</v>
      </c>
      <c r="I10266">
        <v>419</v>
      </c>
      <c r="J10266" t="s">
        <v>6274</v>
      </c>
      <c r="L10266" t="s">
        <v>84</v>
      </c>
      <c r="M10266" t="s">
        <v>85</v>
      </c>
      <c r="R10266" t="s">
        <v>5731</v>
      </c>
      <c r="W10266" t="s">
        <v>5730</v>
      </c>
      <c r="X10266" t="s">
        <v>737</v>
      </c>
      <c r="Y10266" t="s">
        <v>97</v>
      </c>
      <c r="Z10266" t="s">
        <v>77</v>
      </c>
      <c r="AA10266" t="str">
        <f>"10019-1147"</f>
        <v>10019-1147</v>
      </c>
      <c r="AB10266" t="s">
        <v>78</v>
      </c>
      <c r="AC10266" t="s">
        <v>79</v>
      </c>
      <c r="AD10266" t="s">
        <v>75</v>
      </c>
      <c r="AE10266" t="s">
        <v>80</v>
      </c>
      <c r="AG10266" t="s">
        <v>81</v>
      </c>
    </row>
    <row r="10267" spans="1:33" x14ac:dyDescent="0.25">
      <c r="A10267" t="str">
        <f>"1538167820"</f>
        <v>1538167820</v>
      </c>
      <c r="B10267" t="str">
        <f>"01196854"</f>
        <v>01196854</v>
      </c>
      <c r="C10267" t="s">
        <v>5903</v>
      </c>
      <c r="D10267" t="s">
        <v>5904</v>
      </c>
      <c r="E10267" t="s">
        <v>5905</v>
      </c>
      <c r="G10267" t="s">
        <v>42318</v>
      </c>
      <c r="H10267" t="s">
        <v>6273</v>
      </c>
      <c r="I10267">
        <v>419</v>
      </c>
      <c r="J10267" t="s">
        <v>6274</v>
      </c>
      <c r="L10267" t="s">
        <v>83</v>
      </c>
      <c r="M10267" t="s">
        <v>85</v>
      </c>
      <c r="R10267" t="s">
        <v>5906</v>
      </c>
      <c r="W10267" t="s">
        <v>5905</v>
      </c>
      <c r="X10267" t="s">
        <v>5907</v>
      </c>
      <c r="Y10267" t="s">
        <v>97</v>
      </c>
      <c r="Z10267" t="s">
        <v>77</v>
      </c>
      <c r="AA10267" t="str">
        <f>"10003-2693"</f>
        <v>10003-2693</v>
      </c>
      <c r="AB10267" t="s">
        <v>78</v>
      </c>
      <c r="AC10267" t="s">
        <v>79</v>
      </c>
      <c r="AD10267" t="s">
        <v>75</v>
      </c>
      <c r="AE10267" t="s">
        <v>80</v>
      </c>
      <c r="AG10267" t="s">
        <v>81</v>
      </c>
    </row>
    <row r="10268" spans="1:33" x14ac:dyDescent="0.25">
      <c r="A10268" t="str">
        <f>"1548333198"</f>
        <v>1548333198</v>
      </c>
      <c r="B10268" t="str">
        <f>"02442079"</f>
        <v>02442079</v>
      </c>
      <c r="C10268" t="s">
        <v>5897</v>
      </c>
      <c r="D10268" t="s">
        <v>5898</v>
      </c>
      <c r="E10268" t="s">
        <v>5899</v>
      </c>
      <c r="G10268" t="s">
        <v>42318</v>
      </c>
      <c r="H10268" t="s">
        <v>6273</v>
      </c>
      <c r="I10268">
        <v>419</v>
      </c>
      <c r="J10268" t="s">
        <v>6274</v>
      </c>
      <c r="L10268" t="s">
        <v>94</v>
      </c>
      <c r="M10268" t="s">
        <v>75</v>
      </c>
      <c r="R10268" t="s">
        <v>5900</v>
      </c>
      <c r="W10268" t="s">
        <v>5899</v>
      </c>
      <c r="X10268" t="s">
        <v>273</v>
      </c>
      <c r="Y10268" t="s">
        <v>131</v>
      </c>
      <c r="Z10268" t="s">
        <v>77</v>
      </c>
      <c r="AA10268" t="str">
        <f>"10451-5589"</f>
        <v>10451-5589</v>
      </c>
      <c r="AB10268" t="s">
        <v>78</v>
      </c>
      <c r="AC10268" t="s">
        <v>79</v>
      </c>
      <c r="AD10268" t="s">
        <v>75</v>
      </c>
      <c r="AE10268" t="s">
        <v>80</v>
      </c>
      <c r="AG10268" t="s">
        <v>81</v>
      </c>
    </row>
    <row r="10269" spans="1:33" x14ac:dyDescent="0.25">
      <c r="A10269" t="str">
        <f>"1609091933"</f>
        <v>1609091933</v>
      </c>
      <c r="B10269" t="str">
        <f>"01839761"</f>
        <v>01839761</v>
      </c>
      <c r="C10269" t="s">
        <v>42343</v>
      </c>
      <c r="D10269" t="s">
        <v>42344</v>
      </c>
      <c r="E10269" t="s">
        <v>42345</v>
      </c>
      <c r="G10269" t="s">
        <v>42318</v>
      </c>
      <c r="H10269" t="s">
        <v>6273</v>
      </c>
      <c r="I10269">
        <v>419</v>
      </c>
      <c r="J10269" t="s">
        <v>6274</v>
      </c>
      <c r="L10269" t="s">
        <v>83</v>
      </c>
      <c r="M10269" t="s">
        <v>75</v>
      </c>
      <c r="R10269" t="s">
        <v>42346</v>
      </c>
      <c r="W10269" t="s">
        <v>42345</v>
      </c>
      <c r="X10269" t="s">
        <v>42347</v>
      </c>
      <c r="Y10269" t="s">
        <v>190</v>
      </c>
      <c r="Z10269" t="s">
        <v>77</v>
      </c>
      <c r="AA10269" t="str">
        <f>"11106-3607"</f>
        <v>11106-3607</v>
      </c>
      <c r="AB10269" t="s">
        <v>78</v>
      </c>
      <c r="AC10269" t="s">
        <v>79</v>
      </c>
      <c r="AD10269" t="s">
        <v>75</v>
      </c>
      <c r="AE10269" t="s">
        <v>80</v>
      </c>
      <c r="AG10269" t="s">
        <v>81</v>
      </c>
    </row>
    <row r="10270" spans="1:33" x14ac:dyDescent="0.25">
      <c r="A10270" t="str">
        <f>"1740253186"</f>
        <v>1740253186</v>
      </c>
      <c r="B10270" t="str">
        <f>"00620640"</f>
        <v>00620640</v>
      </c>
      <c r="C10270" t="s">
        <v>42348</v>
      </c>
      <c r="D10270" t="s">
        <v>42349</v>
      </c>
      <c r="E10270" t="s">
        <v>42350</v>
      </c>
      <c r="G10270" t="s">
        <v>42318</v>
      </c>
      <c r="H10270" t="s">
        <v>6273</v>
      </c>
      <c r="I10270">
        <v>419</v>
      </c>
      <c r="J10270" t="s">
        <v>6274</v>
      </c>
      <c r="L10270" t="s">
        <v>83</v>
      </c>
      <c r="M10270" t="s">
        <v>85</v>
      </c>
      <c r="R10270" t="s">
        <v>42351</v>
      </c>
      <c r="W10270" t="s">
        <v>42350</v>
      </c>
      <c r="X10270" t="s">
        <v>42352</v>
      </c>
      <c r="Y10270" t="s">
        <v>891</v>
      </c>
      <c r="Z10270" t="s">
        <v>77</v>
      </c>
      <c r="AA10270" t="str">
        <f>"10549-3405"</f>
        <v>10549-3405</v>
      </c>
      <c r="AB10270" t="s">
        <v>78</v>
      </c>
      <c r="AC10270" t="s">
        <v>79</v>
      </c>
      <c r="AD10270" t="s">
        <v>75</v>
      </c>
      <c r="AE10270" t="s">
        <v>80</v>
      </c>
      <c r="AG10270" t="s">
        <v>81</v>
      </c>
    </row>
    <row r="10271" spans="1:33" x14ac:dyDescent="0.25">
      <c r="A10271" t="str">
        <f>"1811977283"</f>
        <v>1811977283</v>
      </c>
      <c r="B10271" t="str">
        <f>"01142290"</f>
        <v>01142290</v>
      </c>
      <c r="C10271" t="s">
        <v>5859</v>
      </c>
      <c r="D10271" t="s">
        <v>5860</v>
      </c>
      <c r="E10271" t="s">
        <v>5861</v>
      </c>
      <c r="G10271" t="s">
        <v>42318</v>
      </c>
      <c r="H10271" t="s">
        <v>6273</v>
      </c>
      <c r="I10271">
        <v>419</v>
      </c>
      <c r="J10271" t="s">
        <v>6274</v>
      </c>
      <c r="L10271" t="s">
        <v>83</v>
      </c>
      <c r="M10271" t="s">
        <v>85</v>
      </c>
      <c r="R10271" t="s">
        <v>5862</v>
      </c>
      <c r="W10271" t="s">
        <v>5861</v>
      </c>
      <c r="X10271" t="s">
        <v>5863</v>
      </c>
      <c r="Y10271" t="s">
        <v>97</v>
      </c>
      <c r="Z10271" t="s">
        <v>77</v>
      </c>
      <c r="AA10271" t="str">
        <f>"10022-2928"</f>
        <v>10022-2928</v>
      </c>
      <c r="AB10271" t="s">
        <v>78</v>
      </c>
      <c r="AC10271" t="s">
        <v>79</v>
      </c>
      <c r="AD10271" t="s">
        <v>75</v>
      </c>
      <c r="AE10271" t="s">
        <v>80</v>
      </c>
      <c r="AG10271" t="s">
        <v>81</v>
      </c>
    </row>
    <row r="10272" spans="1:33" x14ac:dyDescent="0.25">
      <c r="A10272" t="str">
        <f>"1871539056"</f>
        <v>1871539056</v>
      </c>
      <c r="B10272" t="str">
        <f>"01059961"</f>
        <v>01059961</v>
      </c>
      <c r="C10272" t="s">
        <v>42353</v>
      </c>
      <c r="D10272" t="s">
        <v>42354</v>
      </c>
      <c r="E10272" t="s">
        <v>42355</v>
      </c>
      <c r="G10272" t="s">
        <v>42318</v>
      </c>
      <c r="H10272" t="s">
        <v>6273</v>
      </c>
      <c r="I10272">
        <v>419</v>
      </c>
      <c r="J10272" t="s">
        <v>6274</v>
      </c>
      <c r="L10272" t="s">
        <v>84</v>
      </c>
      <c r="M10272" t="s">
        <v>75</v>
      </c>
      <c r="R10272" t="s">
        <v>42356</v>
      </c>
      <c r="W10272" t="s">
        <v>42355</v>
      </c>
      <c r="X10272" t="s">
        <v>42357</v>
      </c>
      <c r="Y10272" t="s">
        <v>180</v>
      </c>
      <c r="Z10272" t="s">
        <v>77</v>
      </c>
      <c r="AA10272" t="str">
        <f>"10701-1311"</f>
        <v>10701-1311</v>
      </c>
      <c r="AB10272" t="s">
        <v>78</v>
      </c>
      <c r="AC10272" t="s">
        <v>79</v>
      </c>
      <c r="AD10272" t="s">
        <v>75</v>
      </c>
      <c r="AE10272" t="s">
        <v>80</v>
      </c>
      <c r="AG10272" t="s">
        <v>81</v>
      </c>
    </row>
    <row r="10273" spans="1:33" x14ac:dyDescent="0.25">
      <c r="A10273" t="str">
        <f>"1871567925"</f>
        <v>1871567925</v>
      </c>
      <c r="B10273" t="str">
        <f>"01465407"</f>
        <v>01465407</v>
      </c>
      <c r="C10273" t="s">
        <v>42358</v>
      </c>
      <c r="D10273" t="s">
        <v>42359</v>
      </c>
      <c r="E10273" t="s">
        <v>42360</v>
      </c>
      <c r="G10273" t="s">
        <v>42318</v>
      </c>
      <c r="H10273" t="s">
        <v>6273</v>
      </c>
      <c r="I10273">
        <v>419</v>
      </c>
      <c r="J10273" t="s">
        <v>6274</v>
      </c>
      <c r="L10273" t="s">
        <v>84</v>
      </c>
      <c r="M10273" t="s">
        <v>85</v>
      </c>
      <c r="R10273" t="s">
        <v>42361</v>
      </c>
      <c r="W10273" t="s">
        <v>42360</v>
      </c>
      <c r="X10273" t="s">
        <v>42337</v>
      </c>
      <c r="Y10273" t="s">
        <v>180</v>
      </c>
      <c r="Z10273" t="s">
        <v>77</v>
      </c>
      <c r="AA10273" t="str">
        <f>"10710-1125"</f>
        <v>10710-1125</v>
      </c>
      <c r="AB10273" t="s">
        <v>78</v>
      </c>
      <c r="AC10273" t="s">
        <v>79</v>
      </c>
      <c r="AD10273" t="s">
        <v>75</v>
      </c>
      <c r="AE10273" t="s">
        <v>80</v>
      </c>
      <c r="AG10273" t="s">
        <v>81</v>
      </c>
    </row>
    <row r="10274" spans="1:33" x14ac:dyDescent="0.25">
      <c r="C10274" t="s">
        <v>42362</v>
      </c>
      <c r="G10274" t="s">
        <v>1364</v>
      </c>
      <c r="H10274" t="s">
        <v>1365</v>
      </c>
      <c r="I10274">
        <v>616</v>
      </c>
      <c r="J10274" t="s">
        <v>1366</v>
      </c>
      <c r="K10274" t="s">
        <v>99</v>
      </c>
      <c r="L10274" t="s">
        <v>100</v>
      </c>
      <c r="M10274" t="s">
        <v>75</v>
      </c>
      <c r="N10274" t="s">
        <v>42363</v>
      </c>
      <c r="O10274" t="s">
        <v>431</v>
      </c>
      <c r="P10274" t="s">
        <v>77</v>
      </c>
      <c r="Q10274" t="str">
        <f>"11218"</f>
        <v>11218</v>
      </c>
      <c r="AC10274" t="s">
        <v>79</v>
      </c>
      <c r="AD10274" t="s">
        <v>75</v>
      </c>
      <c r="AE10274" t="s">
        <v>101</v>
      </c>
      <c r="AG10274" t="s">
        <v>81</v>
      </c>
    </row>
    <row r="10275" spans="1:33" x14ac:dyDescent="0.25">
      <c r="A10275" t="str">
        <f>"1306918685"</f>
        <v>1306918685</v>
      </c>
      <c r="B10275" t="str">
        <f>"02995100"</f>
        <v>02995100</v>
      </c>
      <c r="C10275" t="s">
        <v>42364</v>
      </c>
      <c r="D10275" t="s">
        <v>42365</v>
      </c>
      <c r="E10275" t="s">
        <v>42366</v>
      </c>
      <c r="G10275" t="s">
        <v>42367</v>
      </c>
      <c r="H10275" t="s">
        <v>42368</v>
      </c>
      <c r="I10275">
        <v>141</v>
      </c>
      <c r="J10275" t="s">
        <v>42369</v>
      </c>
      <c r="L10275" t="s">
        <v>106</v>
      </c>
      <c r="M10275" t="s">
        <v>85</v>
      </c>
      <c r="R10275" t="s">
        <v>42370</v>
      </c>
      <c r="W10275" t="s">
        <v>42370</v>
      </c>
      <c r="X10275" t="s">
        <v>42371</v>
      </c>
      <c r="Y10275" t="s">
        <v>1354</v>
      </c>
      <c r="Z10275" t="s">
        <v>77</v>
      </c>
      <c r="AA10275" t="str">
        <f>"11369-1305"</f>
        <v>11369-1305</v>
      </c>
      <c r="AB10275" t="s">
        <v>107</v>
      </c>
      <c r="AC10275" t="s">
        <v>79</v>
      </c>
      <c r="AD10275" t="s">
        <v>75</v>
      </c>
      <c r="AE10275" t="s">
        <v>80</v>
      </c>
      <c r="AG10275" t="s">
        <v>81</v>
      </c>
    </row>
    <row r="10276" spans="1:33" x14ac:dyDescent="0.25">
      <c r="A10276" t="str">
        <f>"1255629127"</f>
        <v>1255629127</v>
      </c>
      <c r="B10276" t="str">
        <f>"03613825"</f>
        <v>03613825</v>
      </c>
      <c r="C10276" t="s">
        <v>42372</v>
      </c>
      <c r="D10276" t="s">
        <v>42373</v>
      </c>
      <c r="E10276" t="s">
        <v>42374</v>
      </c>
      <c r="G10276" t="s">
        <v>42375</v>
      </c>
      <c r="H10276" t="s">
        <v>42376</v>
      </c>
      <c r="I10276">
        <v>14</v>
      </c>
      <c r="J10276" t="s">
        <v>42377</v>
      </c>
      <c r="L10276" t="s">
        <v>10</v>
      </c>
      <c r="M10276" t="s">
        <v>85</v>
      </c>
      <c r="R10276" t="s">
        <v>42374</v>
      </c>
      <c r="W10276" t="s">
        <v>42374</v>
      </c>
      <c r="X10276" t="s">
        <v>42378</v>
      </c>
      <c r="Y10276" t="s">
        <v>97</v>
      </c>
      <c r="Z10276" t="s">
        <v>77</v>
      </c>
      <c r="AA10276" t="str">
        <f>"10006-2503"</f>
        <v>10006-2503</v>
      </c>
      <c r="AB10276" t="s">
        <v>122</v>
      </c>
      <c r="AC10276" t="s">
        <v>79</v>
      </c>
      <c r="AD10276" t="s">
        <v>75</v>
      </c>
      <c r="AE10276" t="s">
        <v>80</v>
      </c>
      <c r="AG10276" t="s">
        <v>81</v>
      </c>
    </row>
    <row r="10277" spans="1:33" x14ac:dyDescent="0.25">
      <c r="A10277" t="str">
        <f>"1700210838"</f>
        <v>1700210838</v>
      </c>
      <c r="C10277" t="s">
        <v>42379</v>
      </c>
      <c r="G10277" t="s">
        <v>42375</v>
      </c>
      <c r="H10277" t="s">
        <v>42376</v>
      </c>
      <c r="I10277">
        <v>14</v>
      </c>
      <c r="J10277" t="s">
        <v>42377</v>
      </c>
      <c r="K10277" t="s">
        <v>99</v>
      </c>
      <c r="L10277" t="s">
        <v>74</v>
      </c>
      <c r="M10277" t="s">
        <v>75</v>
      </c>
      <c r="R10277" t="s">
        <v>42380</v>
      </c>
      <c r="S10277" t="s">
        <v>42381</v>
      </c>
      <c r="T10277" t="s">
        <v>97</v>
      </c>
      <c r="U10277" t="s">
        <v>77</v>
      </c>
      <c r="V10277" t="str">
        <f>"100062503"</f>
        <v>100062503</v>
      </c>
      <c r="AC10277" t="s">
        <v>79</v>
      </c>
      <c r="AD10277" t="s">
        <v>75</v>
      </c>
      <c r="AE10277" t="s">
        <v>103</v>
      </c>
      <c r="AG10277" t="s">
        <v>81</v>
      </c>
    </row>
    <row r="10278" spans="1:33" x14ac:dyDescent="0.25">
      <c r="A10278" t="str">
        <f>"1730396540"</f>
        <v>1730396540</v>
      </c>
      <c r="B10278" t="str">
        <f>"03231138"</f>
        <v>03231138</v>
      </c>
      <c r="C10278" t="s">
        <v>42382</v>
      </c>
      <c r="D10278" t="s">
        <v>42383</v>
      </c>
      <c r="E10278" t="s">
        <v>42384</v>
      </c>
      <c r="G10278" t="s">
        <v>42375</v>
      </c>
      <c r="H10278" t="s">
        <v>42376</v>
      </c>
      <c r="I10278">
        <v>14</v>
      </c>
      <c r="J10278" t="s">
        <v>42377</v>
      </c>
      <c r="L10278" t="s">
        <v>105</v>
      </c>
      <c r="M10278" t="s">
        <v>75</v>
      </c>
      <c r="R10278" t="s">
        <v>42384</v>
      </c>
      <c r="W10278" t="s">
        <v>42385</v>
      </c>
      <c r="X10278" t="s">
        <v>42386</v>
      </c>
      <c r="Y10278" t="s">
        <v>97</v>
      </c>
      <c r="Z10278" t="s">
        <v>77</v>
      </c>
      <c r="AA10278" t="str">
        <f>"10006-2503"</f>
        <v>10006-2503</v>
      </c>
      <c r="AB10278" t="s">
        <v>78</v>
      </c>
      <c r="AC10278" t="s">
        <v>79</v>
      </c>
      <c r="AD10278" t="s">
        <v>75</v>
      </c>
      <c r="AE10278" t="s">
        <v>80</v>
      </c>
      <c r="AG10278" t="s">
        <v>81</v>
      </c>
    </row>
    <row r="10279" spans="1:33" x14ac:dyDescent="0.25">
      <c r="A10279" t="str">
        <f>"1841516028"</f>
        <v>1841516028</v>
      </c>
      <c r="B10279" t="str">
        <f>"03243107"</f>
        <v>03243107</v>
      </c>
      <c r="C10279" t="s">
        <v>42387</v>
      </c>
      <c r="D10279" t="s">
        <v>42388</v>
      </c>
      <c r="E10279" t="s">
        <v>42389</v>
      </c>
      <c r="G10279" t="s">
        <v>42375</v>
      </c>
      <c r="H10279" t="s">
        <v>42376</v>
      </c>
      <c r="I10279">
        <v>14</v>
      </c>
      <c r="J10279" t="s">
        <v>42377</v>
      </c>
      <c r="L10279" t="s">
        <v>105</v>
      </c>
      <c r="M10279" t="s">
        <v>75</v>
      </c>
      <c r="R10279" t="s">
        <v>42390</v>
      </c>
      <c r="W10279" t="s">
        <v>42389</v>
      </c>
      <c r="X10279" t="s">
        <v>5559</v>
      </c>
      <c r="Y10279" t="s">
        <v>97</v>
      </c>
      <c r="Z10279" t="s">
        <v>77</v>
      </c>
      <c r="AA10279" t="str">
        <f>"10006-2540"</f>
        <v>10006-2540</v>
      </c>
      <c r="AB10279" t="s">
        <v>113</v>
      </c>
      <c r="AC10279" t="s">
        <v>79</v>
      </c>
      <c r="AD10279" t="s">
        <v>75</v>
      </c>
      <c r="AE10279" t="s">
        <v>80</v>
      </c>
      <c r="AG10279" t="s">
        <v>81</v>
      </c>
    </row>
    <row r="10280" spans="1:33" x14ac:dyDescent="0.25">
      <c r="A10280" t="str">
        <f>"1952634230"</f>
        <v>1952634230</v>
      </c>
      <c r="B10280" t="str">
        <f>"03776616"</f>
        <v>03776616</v>
      </c>
      <c r="C10280" t="s">
        <v>42391</v>
      </c>
      <c r="D10280" t="s">
        <v>42392</v>
      </c>
      <c r="E10280" t="s">
        <v>42393</v>
      </c>
      <c r="G10280" t="s">
        <v>42375</v>
      </c>
      <c r="H10280" t="s">
        <v>42376</v>
      </c>
      <c r="I10280">
        <v>14</v>
      </c>
      <c r="J10280" t="s">
        <v>42377</v>
      </c>
      <c r="L10280" t="s">
        <v>105</v>
      </c>
      <c r="M10280" t="s">
        <v>75</v>
      </c>
      <c r="R10280" t="s">
        <v>42394</v>
      </c>
      <c r="W10280" t="s">
        <v>42393</v>
      </c>
      <c r="X10280" t="s">
        <v>5559</v>
      </c>
      <c r="Y10280" t="s">
        <v>97</v>
      </c>
      <c r="Z10280" t="s">
        <v>77</v>
      </c>
      <c r="AA10280" t="str">
        <f>"10006-2540"</f>
        <v>10006-2540</v>
      </c>
      <c r="AB10280" t="s">
        <v>125</v>
      </c>
      <c r="AC10280" t="s">
        <v>79</v>
      </c>
      <c r="AD10280" t="s">
        <v>75</v>
      </c>
      <c r="AE10280" t="s">
        <v>80</v>
      </c>
      <c r="AG10280" t="s">
        <v>81</v>
      </c>
    </row>
    <row r="10281" spans="1:33" x14ac:dyDescent="0.25">
      <c r="A10281" t="str">
        <f>"1639576325"</f>
        <v>1639576325</v>
      </c>
      <c r="B10281" t="str">
        <f>"04034520"</f>
        <v>04034520</v>
      </c>
      <c r="C10281" t="s">
        <v>42395</v>
      </c>
      <c r="D10281" t="s">
        <v>42396</v>
      </c>
      <c r="E10281" t="s">
        <v>42397</v>
      </c>
      <c r="G10281" t="s">
        <v>447</v>
      </c>
      <c r="H10281" t="s">
        <v>448</v>
      </c>
      <c r="J10281" t="s">
        <v>636</v>
      </c>
      <c r="L10281" t="s">
        <v>102</v>
      </c>
      <c r="M10281" t="s">
        <v>75</v>
      </c>
      <c r="R10281" t="s">
        <v>42397</v>
      </c>
      <c r="W10281" t="s">
        <v>42397</v>
      </c>
      <c r="X10281" t="s">
        <v>638</v>
      </c>
      <c r="Y10281" t="s">
        <v>131</v>
      </c>
      <c r="Z10281" t="s">
        <v>77</v>
      </c>
      <c r="AA10281" t="str">
        <f>"10453-4303"</f>
        <v>10453-4303</v>
      </c>
      <c r="AB10281" t="s">
        <v>78</v>
      </c>
      <c r="AC10281" t="s">
        <v>79</v>
      </c>
      <c r="AD10281" t="s">
        <v>75</v>
      </c>
      <c r="AE10281" t="s">
        <v>80</v>
      </c>
      <c r="AG10281" t="s">
        <v>81</v>
      </c>
    </row>
    <row r="10282" spans="1:33" x14ac:dyDescent="0.25">
      <c r="C10282" t="s">
        <v>5700</v>
      </c>
      <c r="H10282" t="s">
        <v>9829</v>
      </c>
      <c r="J10282" t="s">
        <v>9830</v>
      </c>
      <c r="K10282" t="s">
        <v>99</v>
      </c>
      <c r="L10282" t="s">
        <v>100</v>
      </c>
      <c r="M10282" t="s">
        <v>75</v>
      </c>
      <c r="N10282" t="s">
        <v>42398</v>
      </c>
      <c r="O10282" t="s">
        <v>296</v>
      </c>
      <c r="P10282" t="s">
        <v>77</v>
      </c>
      <c r="Q10282" t="str">
        <f>"10463"</f>
        <v>10463</v>
      </c>
      <c r="AC10282" t="s">
        <v>79</v>
      </c>
      <c r="AD10282" t="s">
        <v>75</v>
      </c>
      <c r="AE10282" t="s">
        <v>101</v>
      </c>
      <c r="AG10282" t="s">
        <v>81</v>
      </c>
    </row>
    <row r="10283" spans="1:33" x14ac:dyDescent="0.25">
      <c r="B10283" t="str">
        <f>"01012871"</f>
        <v>01012871</v>
      </c>
      <c r="C10283" t="s">
        <v>37595</v>
      </c>
      <c r="D10283" t="s">
        <v>37596</v>
      </c>
      <c r="E10283" t="s">
        <v>37597</v>
      </c>
      <c r="L10283" t="s">
        <v>106</v>
      </c>
      <c r="M10283" t="s">
        <v>85</v>
      </c>
      <c r="W10283" t="s">
        <v>42399</v>
      </c>
      <c r="X10283" t="s">
        <v>42400</v>
      </c>
      <c r="Y10283" t="s">
        <v>87</v>
      </c>
      <c r="Z10283" t="s">
        <v>77</v>
      </c>
      <c r="AA10283" t="str">
        <f>"11235-1112"</f>
        <v>11235-1112</v>
      </c>
      <c r="AB10283" t="s">
        <v>107</v>
      </c>
      <c r="AC10283" t="s">
        <v>79</v>
      </c>
      <c r="AD10283" t="s">
        <v>75</v>
      </c>
      <c r="AE10283" t="s">
        <v>80</v>
      </c>
      <c r="AG10283" t="s">
        <v>81</v>
      </c>
    </row>
    <row r="10284" spans="1:33" x14ac:dyDescent="0.25">
      <c r="A10284" t="str">
        <f>"1205970217"</f>
        <v>1205970217</v>
      </c>
      <c r="B10284" t="str">
        <f>"02188618"</f>
        <v>02188618</v>
      </c>
      <c r="C10284" t="s">
        <v>37601</v>
      </c>
      <c r="D10284" t="s">
        <v>37602</v>
      </c>
      <c r="E10284" t="s">
        <v>37603</v>
      </c>
      <c r="L10284" t="s">
        <v>115</v>
      </c>
      <c r="M10284" t="s">
        <v>85</v>
      </c>
      <c r="R10284" t="s">
        <v>42401</v>
      </c>
      <c r="W10284" t="s">
        <v>37603</v>
      </c>
      <c r="X10284" t="s">
        <v>1901</v>
      </c>
      <c r="Y10284" t="s">
        <v>1042</v>
      </c>
      <c r="Z10284" t="s">
        <v>77</v>
      </c>
      <c r="AA10284" t="str">
        <f>"11693-1303"</f>
        <v>11693-1303</v>
      </c>
      <c r="AB10284" t="s">
        <v>122</v>
      </c>
      <c r="AC10284" t="s">
        <v>79</v>
      </c>
      <c r="AD10284" t="s">
        <v>75</v>
      </c>
      <c r="AE10284" t="s">
        <v>80</v>
      </c>
      <c r="AG10284" t="s">
        <v>81</v>
      </c>
    </row>
    <row r="10285" spans="1:33" x14ac:dyDescent="0.25">
      <c r="B10285" t="str">
        <f>"00308383"</f>
        <v>00308383</v>
      </c>
      <c r="C10285" t="s">
        <v>40497</v>
      </c>
      <c r="D10285" t="s">
        <v>2123</v>
      </c>
      <c r="E10285" t="s">
        <v>2124</v>
      </c>
      <c r="L10285" t="s">
        <v>106</v>
      </c>
      <c r="M10285" t="s">
        <v>85</v>
      </c>
      <c r="W10285" t="s">
        <v>2126</v>
      </c>
      <c r="Y10285" t="s">
        <v>2128</v>
      </c>
      <c r="Z10285" t="s">
        <v>77</v>
      </c>
      <c r="AA10285" t="str">
        <f>"11743-4543"</f>
        <v>11743-4543</v>
      </c>
      <c r="AB10285" t="s">
        <v>107</v>
      </c>
      <c r="AC10285" t="s">
        <v>79</v>
      </c>
      <c r="AD10285" t="s">
        <v>75</v>
      </c>
      <c r="AE10285" t="s">
        <v>80</v>
      </c>
      <c r="AG10285" t="s">
        <v>81</v>
      </c>
    </row>
    <row r="10286" spans="1:33" x14ac:dyDescent="0.25">
      <c r="B10286" t="str">
        <f>"01582269"</f>
        <v>01582269</v>
      </c>
      <c r="C10286" t="s">
        <v>39298</v>
      </c>
      <c r="D10286" t="s">
        <v>39299</v>
      </c>
      <c r="E10286" t="s">
        <v>39300</v>
      </c>
      <c r="L10286" t="s">
        <v>106</v>
      </c>
      <c r="M10286" t="s">
        <v>85</v>
      </c>
      <c r="W10286" t="s">
        <v>40235</v>
      </c>
      <c r="X10286" t="s">
        <v>42402</v>
      </c>
      <c r="Y10286" t="s">
        <v>179</v>
      </c>
      <c r="Z10286" t="s">
        <v>77</v>
      </c>
      <c r="AA10286" t="str">
        <f>"11550-5624"</f>
        <v>11550-5624</v>
      </c>
      <c r="AB10286" t="s">
        <v>107</v>
      </c>
      <c r="AC10286" t="s">
        <v>79</v>
      </c>
      <c r="AD10286" t="s">
        <v>75</v>
      </c>
      <c r="AE10286" t="s">
        <v>80</v>
      </c>
      <c r="AG10286" t="s">
        <v>81</v>
      </c>
    </row>
    <row r="10287" spans="1:33" x14ac:dyDescent="0.25">
      <c r="A10287" t="str">
        <f>"1780626317"</f>
        <v>1780626317</v>
      </c>
      <c r="B10287" t="str">
        <f>"01961119"</f>
        <v>01961119</v>
      </c>
      <c r="C10287" t="s">
        <v>13436</v>
      </c>
      <c r="D10287" t="s">
        <v>42403</v>
      </c>
      <c r="E10287" t="s">
        <v>42404</v>
      </c>
      <c r="L10287" t="s">
        <v>83</v>
      </c>
      <c r="M10287" t="s">
        <v>85</v>
      </c>
      <c r="R10287" t="s">
        <v>42405</v>
      </c>
      <c r="W10287" t="s">
        <v>42404</v>
      </c>
      <c r="X10287" t="s">
        <v>42406</v>
      </c>
      <c r="Y10287" t="s">
        <v>97</v>
      </c>
      <c r="Z10287" t="s">
        <v>77</v>
      </c>
      <c r="AA10287" t="str">
        <f>"10027-4111"</f>
        <v>10027-4111</v>
      </c>
      <c r="AB10287" t="s">
        <v>78</v>
      </c>
      <c r="AC10287" t="s">
        <v>79</v>
      </c>
      <c r="AD10287" t="s">
        <v>75</v>
      </c>
      <c r="AE10287" t="s">
        <v>80</v>
      </c>
      <c r="AG10287" t="s">
        <v>81</v>
      </c>
    </row>
    <row r="10288" spans="1:33" x14ac:dyDescent="0.25">
      <c r="A10288" t="str">
        <f>"1780626754"</f>
        <v>1780626754</v>
      </c>
      <c r="B10288" t="str">
        <f>"02749791"</f>
        <v>02749791</v>
      </c>
      <c r="C10288" t="s">
        <v>13436</v>
      </c>
      <c r="D10288" t="s">
        <v>42407</v>
      </c>
      <c r="E10288" t="s">
        <v>42408</v>
      </c>
      <c r="L10288" t="s">
        <v>83</v>
      </c>
      <c r="M10288" t="s">
        <v>85</v>
      </c>
      <c r="R10288" t="s">
        <v>42409</v>
      </c>
      <c r="W10288" t="s">
        <v>42408</v>
      </c>
      <c r="X10288" t="s">
        <v>234</v>
      </c>
      <c r="Y10288" t="s">
        <v>97</v>
      </c>
      <c r="Z10288" t="s">
        <v>77</v>
      </c>
      <c r="AA10288" t="str">
        <f>"10032-3729"</f>
        <v>10032-3729</v>
      </c>
      <c r="AB10288" t="s">
        <v>78</v>
      </c>
      <c r="AC10288" t="s">
        <v>79</v>
      </c>
      <c r="AD10288" t="s">
        <v>75</v>
      </c>
      <c r="AE10288" t="s">
        <v>80</v>
      </c>
      <c r="AG10288" t="s">
        <v>81</v>
      </c>
    </row>
    <row r="10289" spans="1:33" x14ac:dyDescent="0.25">
      <c r="A10289" t="str">
        <f>"1780635680"</f>
        <v>1780635680</v>
      </c>
      <c r="B10289" t="str">
        <f>"02523499"</f>
        <v>02523499</v>
      </c>
      <c r="C10289" t="s">
        <v>13436</v>
      </c>
      <c r="D10289" t="s">
        <v>42410</v>
      </c>
      <c r="E10289" t="s">
        <v>42411</v>
      </c>
      <c r="L10289" t="s">
        <v>83</v>
      </c>
      <c r="M10289" t="s">
        <v>85</v>
      </c>
      <c r="R10289" t="s">
        <v>42412</v>
      </c>
      <c r="W10289" t="s">
        <v>42411</v>
      </c>
      <c r="X10289" t="s">
        <v>267</v>
      </c>
      <c r="Y10289" t="s">
        <v>91</v>
      </c>
      <c r="Z10289" t="s">
        <v>77</v>
      </c>
      <c r="AA10289" t="str">
        <f>"11373-1329"</f>
        <v>11373-1329</v>
      </c>
      <c r="AB10289" t="s">
        <v>78</v>
      </c>
      <c r="AC10289" t="s">
        <v>79</v>
      </c>
      <c r="AD10289" t="s">
        <v>75</v>
      </c>
      <c r="AE10289" t="s">
        <v>80</v>
      </c>
      <c r="AG10289" t="s">
        <v>81</v>
      </c>
    </row>
    <row r="10290" spans="1:33" x14ac:dyDescent="0.25">
      <c r="B10290" t="str">
        <f>"03122130"</f>
        <v>03122130</v>
      </c>
      <c r="C10290" t="s">
        <v>42413</v>
      </c>
      <c r="D10290" t="s">
        <v>42414</v>
      </c>
      <c r="E10290" t="s">
        <v>42415</v>
      </c>
      <c r="F10290">
        <v>132730776</v>
      </c>
      <c r="L10290" t="s">
        <v>37</v>
      </c>
      <c r="M10290" t="s">
        <v>85</v>
      </c>
      <c r="W10290" t="s">
        <v>42415</v>
      </c>
      <c r="X10290" t="s">
        <v>42416</v>
      </c>
      <c r="Y10290" t="s">
        <v>97</v>
      </c>
      <c r="Z10290" t="s">
        <v>77</v>
      </c>
      <c r="AA10290" t="str">
        <f>"10004-1653"</f>
        <v>10004-1653</v>
      </c>
      <c r="AB10290" t="s">
        <v>98</v>
      </c>
      <c r="AC10290" t="s">
        <v>79</v>
      </c>
      <c r="AD10290" t="s">
        <v>75</v>
      </c>
      <c r="AE10290" t="s">
        <v>80</v>
      </c>
      <c r="AG10290" t="s">
        <v>81</v>
      </c>
    </row>
    <row r="10291" spans="1:33" x14ac:dyDescent="0.25">
      <c r="A10291" t="str">
        <f>"1770502031"</f>
        <v>1770502031</v>
      </c>
      <c r="B10291" t="str">
        <f>"01097649"</f>
        <v>01097649</v>
      </c>
      <c r="C10291" t="s">
        <v>42417</v>
      </c>
      <c r="D10291" t="s">
        <v>42418</v>
      </c>
      <c r="E10291" t="s">
        <v>42419</v>
      </c>
      <c r="L10291" t="s">
        <v>83</v>
      </c>
      <c r="M10291" t="s">
        <v>75</v>
      </c>
      <c r="R10291" t="s">
        <v>42420</v>
      </c>
      <c r="W10291" t="s">
        <v>42419</v>
      </c>
      <c r="X10291" t="s">
        <v>5591</v>
      </c>
      <c r="Y10291" t="s">
        <v>3030</v>
      </c>
      <c r="Z10291" t="s">
        <v>77</v>
      </c>
      <c r="AA10291" t="str">
        <f>"10989-2019"</f>
        <v>10989-2019</v>
      </c>
      <c r="AB10291" t="s">
        <v>78</v>
      </c>
      <c r="AC10291" t="s">
        <v>79</v>
      </c>
      <c r="AD10291" t="s">
        <v>75</v>
      </c>
      <c r="AE10291" t="s">
        <v>80</v>
      </c>
      <c r="AG10291" t="s">
        <v>81</v>
      </c>
    </row>
    <row r="10292" spans="1:33" x14ac:dyDescent="0.25">
      <c r="A10292" t="str">
        <f>"1225297088"</f>
        <v>1225297088</v>
      </c>
      <c r="B10292" t="str">
        <f>"00327853"</f>
        <v>00327853</v>
      </c>
      <c r="C10292" t="s">
        <v>4434</v>
      </c>
      <c r="D10292" t="s">
        <v>42421</v>
      </c>
      <c r="E10292" t="s">
        <v>42422</v>
      </c>
      <c r="G10292" t="s">
        <v>27118</v>
      </c>
      <c r="H10292" t="s">
        <v>27119</v>
      </c>
      <c r="I10292">
        <v>310</v>
      </c>
      <c r="J10292" t="s">
        <v>27120</v>
      </c>
      <c r="L10292" t="s">
        <v>102</v>
      </c>
      <c r="M10292" t="s">
        <v>85</v>
      </c>
      <c r="R10292" t="s">
        <v>4438</v>
      </c>
      <c r="W10292" t="s">
        <v>42422</v>
      </c>
      <c r="X10292" t="s">
        <v>42423</v>
      </c>
      <c r="Y10292" t="s">
        <v>42424</v>
      </c>
      <c r="Z10292" t="s">
        <v>77</v>
      </c>
      <c r="AA10292" t="str">
        <f>"11579-2055"</f>
        <v>11579-2055</v>
      </c>
      <c r="AB10292" t="s">
        <v>133</v>
      </c>
      <c r="AC10292" t="s">
        <v>79</v>
      </c>
      <c r="AD10292" t="s">
        <v>75</v>
      </c>
      <c r="AE10292" t="s">
        <v>80</v>
      </c>
      <c r="AG10292" t="s">
        <v>81</v>
      </c>
    </row>
    <row r="10293" spans="1:33" x14ac:dyDescent="0.25">
      <c r="A10293" t="str">
        <f>"1023387354"</f>
        <v>1023387354</v>
      </c>
      <c r="B10293" t="str">
        <f>"03921560"</f>
        <v>03921560</v>
      </c>
      <c r="C10293" t="s">
        <v>42425</v>
      </c>
      <c r="D10293" t="s">
        <v>42426</v>
      </c>
      <c r="E10293" t="s">
        <v>42427</v>
      </c>
      <c r="G10293" t="s">
        <v>42428</v>
      </c>
      <c r="H10293" t="s">
        <v>42429</v>
      </c>
      <c r="J10293" t="s">
        <v>42430</v>
      </c>
      <c r="L10293" t="s">
        <v>84</v>
      </c>
      <c r="M10293" t="s">
        <v>75</v>
      </c>
      <c r="R10293" t="s">
        <v>42431</v>
      </c>
      <c r="W10293" t="s">
        <v>42432</v>
      </c>
      <c r="X10293" t="s">
        <v>4446</v>
      </c>
      <c r="Y10293" t="s">
        <v>131</v>
      </c>
      <c r="Z10293" t="s">
        <v>77</v>
      </c>
      <c r="AA10293" t="str">
        <f>"10453-6018"</f>
        <v>10453-6018</v>
      </c>
      <c r="AB10293" t="s">
        <v>78</v>
      </c>
      <c r="AC10293" t="s">
        <v>79</v>
      </c>
      <c r="AD10293" t="s">
        <v>75</v>
      </c>
      <c r="AE10293" t="s">
        <v>80</v>
      </c>
      <c r="AG10293" t="s">
        <v>81</v>
      </c>
    </row>
    <row r="10294" spans="1:33" x14ac:dyDescent="0.25">
      <c r="A10294" t="str">
        <f>"1033119011"</f>
        <v>1033119011</v>
      </c>
      <c r="B10294" t="str">
        <f>"01387599"</f>
        <v>01387599</v>
      </c>
      <c r="C10294" t="s">
        <v>42433</v>
      </c>
      <c r="D10294" t="s">
        <v>42434</v>
      </c>
      <c r="E10294" t="s">
        <v>42435</v>
      </c>
      <c r="G10294" t="s">
        <v>42428</v>
      </c>
      <c r="H10294" t="s">
        <v>42429</v>
      </c>
      <c r="J10294" t="s">
        <v>42430</v>
      </c>
      <c r="L10294" t="s">
        <v>84</v>
      </c>
      <c r="M10294" t="s">
        <v>85</v>
      </c>
      <c r="R10294" t="s">
        <v>42436</v>
      </c>
      <c r="W10294" t="s">
        <v>42437</v>
      </c>
      <c r="X10294" t="s">
        <v>2838</v>
      </c>
      <c r="Y10294" t="s">
        <v>97</v>
      </c>
      <c r="Z10294" t="s">
        <v>77</v>
      </c>
      <c r="AA10294" t="str">
        <f>"10003-3105"</f>
        <v>10003-3105</v>
      </c>
      <c r="AB10294" t="s">
        <v>78</v>
      </c>
      <c r="AC10294" t="s">
        <v>79</v>
      </c>
      <c r="AD10294" t="s">
        <v>75</v>
      </c>
      <c r="AE10294" t="s">
        <v>80</v>
      </c>
      <c r="AG10294" t="s">
        <v>81</v>
      </c>
    </row>
    <row r="10295" spans="1:33" x14ac:dyDescent="0.25">
      <c r="A10295" t="str">
        <f>"1053560318"</f>
        <v>1053560318</v>
      </c>
      <c r="C10295" t="s">
        <v>42438</v>
      </c>
      <c r="G10295" t="s">
        <v>42428</v>
      </c>
      <c r="H10295" t="s">
        <v>42429</v>
      </c>
      <c r="J10295" t="s">
        <v>42430</v>
      </c>
      <c r="K10295" t="s">
        <v>99</v>
      </c>
      <c r="L10295" t="s">
        <v>74</v>
      </c>
      <c r="M10295" t="s">
        <v>75</v>
      </c>
      <c r="R10295" t="s">
        <v>42439</v>
      </c>
      <c r="S10295" t="s">
        <v>42440</v>
      </c>
      <c r="T10295" t="s">
        <v>131</v>
      </c>
      <c r="U10295" t="s">
        <v>77</v>
      </c>
      <c r="V10295" t="str">
        <f>"104651710"</f>
        <v>104651710</v>
      </c>
      <c r="AC10295" t="s">
        <v>79</v>
      </c>
      <c r="AD10295" t="s">
        <v>75</v>
      </c>
      <c r="AE10295" t="s">
        <v>103</v>
      </c>
      <c r="AG10295" t="s">
        <v>81</v>
      </c>
    </row>
    <row r="10296" spans="1:33" x14ac:dyDescent="0.25">
      <c r="A10296" t="str">
        <f>"1104132836"</f>
        <v>1104132836</v>
      </c>
      <c r="B10296" t="str">
        <f>"03642591"</f>
        <v>03642591</v>
      </c>
      <c r="C10296" t="s">
        <v>42441</v>
      </c>
      <c r="D10296" t="s">
        <v>42442</v>
      </c>
      <c r="E10296" t="s">
        <v>42443</v>
      </c>
      <c r="G10296" t="s">
        <v>42428</v>
      </c>
      <c r="H10296" t="s">
        <v>42429</v>
      </c>
      <c r="J10296" t="s">
        <v>42430</v>
      </c>
      <c r="L10296" t="s">
        <v>83</v>
      </c>
      <c r="M10296" t="s">
        <v>75</v>
      </c>
      <c r="R10296" t="s">
        <v>42444</v>
      </c>
      <c r="W10296" t="s">
        <v>42443</v>
      </c>
      <c r="X10296" t="s">
        <v>4446</v>
      </c>
      <c r="Y10296" t="s">
        <v>131</v>
      </c>
      <c r="Z10296" t="s">
        <v>77</v>
      </c>
      <c r="AA10296" t="str">
        <f>"10453-6018"</f>
        <v>10453-6018</v>
      </c>
      <c r="AB10296" t="s">
        <v>78</v>
      </c>
      <c r="AC10296" t="s">
        <v>79</v>
      </c>
      <c r="AD10296" t="s">
        <v>75</v>
      </c>
      <c r="AE10296" t="s">
        <v>80</v>
      </c>
      <c r="AG10296" t="s">
        <v>81</v>
      </c>
    </row>
    <row r="10297" spans="1:33" x14ac:dyDescent="0.25">
      <c r="A10297" t="str">
        <f>"1174799654"</f>
        <v>1174799654</v>
      </c>
      <c r="B10297" t="str">
        <f>"03520789"</f>
        <v>03520789</v>
      </c>
      <c r="C10297" t="s">
        <v>42445</v>
      </c>
      <c r="D10297" t="s">
        <v>42446</v>
      </c>
      <c r="E10297" t="s">
        <v>42447</v>
      </c>
      <c r="G10297" t="s">
        <v>42428</v>
      </c>
      <c r="H10297" t="s">
        <v>42429</v>
      </c>
      <c r="J10297" t="s">
        <v>42430</v>
      </c>
      <c r="L10297" t="s">
        <v>83</v>
      </c>
      <c r="M10297" t="s">
        <v>75</v>
      </c>
      <c r="R10297" t="s">
        <v>42448</v>
      </c>
      <c r="W10297" t="s">
        <v>42447</v>
      </c>
      <c r="X10297" t="s">
        <v>42449</v>
      </c>
      <c r="Y10297" t="s">
        <v>97</v>
      </c>
      <c r="Z10297" t="s">
        <v>77</v>
      </c>
      <c r="AA10297" t="str">
        <f>"10031-4611"</f>
        <v>10031-4611</v>
      </c>
      <c r="AB10297" t="s">
        <v>440</v>
      </c>
      <c r="AC10297" t="s">
        <v>79</v>
      </c>
      <c r="AD10297" t="s">
        <v>75</v>
      </c>
      <c r="AE10297" t="s">
        <v>80</v>
      </c>
      <c r="AG10297" t="s">
        <v>81</v>
      </c>
    </row>
    <row r="10298" spans="1:33" x14ac:dyDescent="0.25">
      <c r="A10298" t="str">
        <f>"1215184429"</f>
        <v>1215184429</v>
      </c>
      <c r="B10298" t="str">
        <f>"03934365"</f>
        <v>03934365</v>
      </c>
      <c r="C10298" t="s">
        <v>42450</v>
      </c>
      <c r="D10298" t="s">
        <v>42451</v>
      </c>
      <c r="E10298" t="s">
        <v>42452</v>
      </c>
      <c r="G10298" t="s">
        <v>42428</v>
      </c>
      <c r="H10298" t="s">
        <v>42429</v>
      </c>
      <c r="J10298" t="s">
        <v>42430</v>
      </c>
      <c r="L10298" t="s">
        <v>83</v>
      </c>
      <c r="M10298" t="s">
        <v>75</v>
      </c>
      <c r="R10298" t="s">
        <v>42453</v>
      </c>
      <c r="W10298" t="s">
        <v>42452</v>
      </c>
      <c r="X10298" t="s">
        <v>40244</v>
      </c>
      <c r="Y10298" t="s">
        <v>97</v>
      </c>
      <c r="Z10298" t="s">
        <v>77</v>
      </c>
      <c r="AA10298" t="str">
        <f>"10003-3105"</f>
        <v>10003-3105</v>
      </c>
      <c r="AB10298" t="s">
        <v>114</v>
      </c>
      <c r="AC10298" t="s">
        <v>79</v>
      </c>
      <c r="AD10298" t="s">
        <v>75</v>
      </c>
      <c r="AE10298" t="s">
        <v>80</v>
      </c>
      <c r="AG10298" t="s">
        <v>81</v>
      </c>
    </row>
    <row r="10299" spans="1:33" x14ac:dyDescent="0.25">
      <c r="A10299" t="str">
        <f>"1225439409"</f>
        <v>1225439409</v>
      </c>
      <c r="B10299" t="str">
        <f>"04006066"</f>
        <v>04006066</v>
      </c>
      <c r="C10299" t="s">
        <v>42454</v>
      </c>
      <c r="D10299" t="s">
        <v>42455</v>
      </c>
      <c r="E10299" t="s">
        <v>42456</v>
      </c>
      <c r="G10299" t="s">
        <v>42428</v>
      </c>
      <c r="H10299" t="s">
        <v>42429</v>
      </c>
      <c r="J10299" t="s">
        <v>42430</v>
      </c>
      <c r="L10299" t="s">
        <v>83</v>
      </c>
      <c r="M10299" t="s">
        <v>75</v>
      </c>
      <c r="R10299" t="s">
        <v>42456</v>
      </c>
      <c r="W10299" t="s">
        <v>42456</v>
      </c>
      <c r="X10299" t="s">
        <v>3876</v>
      </c>
      <c r="Y10299" t="s">
        <v>131</v>
      </c>
      <c r="Z10299" t="s">
        <v>77</v>
      </c>
      <c r="AA10299" t="str">
        <f>"10473-2631"</f>
        <v>10473-2631</v>
      </c>
      <c r="AB10299" t="s">
        <v>440</v>
      </c>
      <c r="AC10299" t="s">
        <v>79</v>
      </c>
      <c r="AD10299" t="s">
        <v>75</v>
      </c>
      <c r="AE10299" t="s">
        <v>80</v>
      </c>
      <c r="AG10299" t="s">
        <v>81</v>
      </c>
    </row>
    <row r="10300" spans="1:33" x14ac:dyDescent="0.25">
      <c r="A10300" t="str">
        <f>"1245518513"</f>
        <v>1245518513</v>
      </c>
      <c r="B10300" t="str">
        <f>"03796545"</f>
        <v>03796545</v>
      </c>
      <c r="C10300" t="s">
        <v>42457</v>
      </c>
      <c r="D10300" t="s">
        <v>42458</v>
      </c>
      <c r="E10300" t="s">
        <v>42459</v>
      </c>
      <c r="G10300" t="s">
        <v>42428</v>
      </c>
      <c r="H10300" t="s">
        <v>42429</v>
      </c>
      <c r="J10300" t="s">
        <v>42430</v>
      </c>
      <c r="L10300" t="s">
        <v>83</v>
      </c>
      <c r="M10300" t="s">
        <v>75</v>
      </c>
      <c r="R10300" t="s">
        <v>42460</v>
      </c>
      <c r="W10300" t="s">
        <v>42459</v>
      </c>
      <c r="X10300" t="s">
        <v>11308</v>
      </c>
      <c r="Y10300" t="s">
        <v>131</v>
      </c>
      <c r="Z10300" t="s">
        <v>77</v>
      </c>
      <c r="AA10300" t="str">
        <f>"10453-5436"</f>
        <v>10453-5436</v>
      </c>
      <c r="AB10300" t="s">
        <v>440</v>
      </c>
      <c r="AC10300" t="s">
        <v>79</v>
      </c>
      <c r="AD10300" t="s">
        <v>75</v>
      </c>
      <c r="AE10300" t="s">
        <v>80</v>
      </c>
      <c r="AG10300" t="s">
        <v>81</v>
      </c>
    </row>
    <row r="10301" spans="1:33" x14ac:dyDescent="0.25">
      <c r="A10301" t="str">
        <f>"1285925735"</f>
        <v>1285925735</v>
      </c>
      <c r="B10301" t="str">
        <f>"03984970"</f>
        <v>03984970</v>
      </c>
      <c r="C10301" t="s">
        <v>42461</v>
      </c>
      <c r="D10301" t="s">
        <v>42462</v>
      </c>
      <c r="E10301" t="s">
        <v>42463</v>
      </c>
      <c r="G10301" t="s">
        <v>42428</v>
      </c>
      <c r="H10301" t="s">
        <v>42429</v>
      </c>
      <c r="J10301" t="s">
        <v>42430</v>
      </c>
      <c r="L10301" t="s">
        <v>84</v>
      </c>
      <c r="M10301" t="s">
        <v>75</v>
      </c>
      <c r="R10301" t="s">
        <v>42463</v>
      </c>
      <c r="W10301" t="s">
        <v>42463</v>
      </c>
      <c r="X10301" t="s">
        <v>1010</v>
      </c>
      <c r="Y10301" t="s">
        <v>97</v>
      </c>
      <c r="Z10301" t="s">
        <v>77</v>
      </c>
      <c r="AA10301" t="str">
        <f>"10035-3832"</f>
        <v>10035-3832</v>
      </c>
      <c r="AB10301" t="s">
        <v>78</v>
      </c>
      <c r="AC10301" t="s">
        <v>79</v>
      </c>
      <c r="AD10301" t="s">
        <v>75</v>
      </c>
      <c r="AE10301" t="s">
        <v>80</v>
      </c>
      <c r="AG10301" t="s">
        <v>81</v>
      </c>
    </row>
    <row r="10302" spans="1:33" x14ac:dyDescent="0.25">
      <c r="B10302" t="str">
        <f>"02119551"</f>
        <v>02119551</v>
      </c>
      <c r="C10302" t="s">
        <v>27836</v>
      </c>
      <c r="D10302" t="s">
        <v>42464</v>
      </c>
      <c r="E10302" t="s">
        <v>35691</v>
      </c>
      <c r="G10302" t="s">
        <v>27839</v>
      </c>
      <c r="H10302" t="s">
        <v>27840</v>
      </c>
      <c r="I10302">
        <v>1154</v>
      </c>
      <c r="J10302" t="s">
        <v>27841</v>
      </c>
      <c r="L10302" t="s">
        <v>37</v>
      </c>
      <c r="M10302" t="s">
        <v>85</v>
      </c>
      <c r="W10302" t="s">
        <v>35691</v>
      </c>
      <c r="X10302" t="s">
        <v>27843</v>
      </c>
      <c r="Y10302" t="s">
        <v>87</v>
      </c>
      <c r="Z10302" t="s">
        <v>77</v>
      </c>
      <c r="AA10302" t="str">
        <f>"11206-4661"</f>
        <v>11206-4661</v>
      </c>
      <c r="AB10302" t="s">
        <v>98</v>
      </c>
      <c r="AC10302" t="s">
        <v>79</v>
      </c>
      <c r="AD10302" t="s">
        <v>75</v>
      </c>
      <c r="AE10302" t="s">
        <v>80</v>
      </c>
      <c r="AG10302" t="s">
        <v>81</v>
      </c>
    </row>
    <row r="10303" spans="1:33" x14ac:dyDescent="0.25">
      <c r="B10303" t="str">
        <f>"02256691"</f>
        <v>02256691</v>
      </c>
      <c r="C10303" t="s">
        <v>42465</v>
      </c>
      <c r="D10303" t="s">
        <v>42466</v>
      </c>
      <c r="E10303" t="s">
        <v>42467</v>
      </c>
      <c r="F10303">
        <v>112030172</v>
      </c>
      <c r="G10303" t="s">
        <v>37120</v>
      </c>
      <c r="H10303" t="s">
        <v>6801</v>
      </c>
      <c r="I10303">
        <v>6136</v>
      </c>
      <c r="J10303" t="s">
        <v>7219</v>
      </c>
      <c r="L10303" t="s">
        <v>37</v>
      </c>
      <c r="M10303" t="s">
        <v>75</v>
      </c>
      <c r="W10303" t="s">
        <v>42467</v>
      </c>
      <c r="X10303" t="s">
        <v>1832</v>
      </c>
      <c r="Y10303" t="s">
        <v>97</v>
      </c>
      <c r="Z10303" t="s">
        <v>77</v>
      </c>
      <c r="AA10303" t="str">
        <f>"10001-2320"</f>
        <v>10001-2320</v>
      </c>
      <c r="AB10303" t="s">
        <v>98</v>
      </c>
      <c r="AC10303" t="s">
        <v>79</v>
      </c>
      <c r="AD10303" t="s">
        <v>75</v>
      </c>
      <c r="AE10303" t="s">
        <v>80</v>
      </c>
      <c r="AG10303" t="s">
        <v>81</v>
      </c>
    </row>
    <row r="10304" spans="1:33" x14ac:dyDescent="0.25">
      <c r="B10304" t="str">
        <f>"02600168"</f>
        <v>02600168</v>
      </c>
      <c r="C10304" t="s">
        <v>42468</v>
      </c>
      <c r="D10304" t="s">
        <v>42469</v>
      </c>
      <c r="E10304" t="s">
        <v>42470</v>
      </c>
      <c r="G10304" t="s">
        <v>37120</v>
      </c>
      <c r="H10304" t="s">
        <v>6801</v>
      </c>
      <c r="I10304">
        <v>6136</v>
      </c>
      <c r="J10304" t="s">
        <v>7219</v>
      </c>
      <c r="L10304" t="s">
        <v>37</v>
      </c>
      <c r="M10304" t="s">
        <v>75</v>
      </c>
      <c r="W10304" t="s">
        <v>42470</v>
      </c>
      <c r="X10304" t="s">
        <v>42471</v>
      </c>
      <c r="Y10304" t="s">
        <v>308</v>
      </c>
      <c r="Z10304" t="s">
        <v>77</v>
      </c>
      <c r="AA10304" t="str">
        <f>"11368-3502"</f>
        <v>11368-3502</v>
      </c>
      <c r="AB10304" t="s">
        <v>98</v>
      </c>
      <c r="AC10304" t="s">
        <v>79</v>
      </c>
      <c r="AD10304" t="s">
        <v>75</v>
      </c>
      <c r="AE10304" t="s">
        <v>80</v>
      </c>
      <c r="AG10304" t="s">
        <v>81</v>
      </c>
    </row>
    <row r="10305" spans="1:33" x14ac:dyDescent="0.25">
      <c r="A10305" t="str">
        <f>"1679859904"</f>
        <v>1679859904</v>
      </c>
      <c r="C10305" t="s">
        <v>2999</v>
      </c>
      <c r="G10305" t="s">
        <v>42472</v>
      </c>
      <c r="H10305" t="s">
        <v>42473</v>
      </c>
      <c r="J10305" t="s">
        <v>42474</v>
      </c>
      <c r="K10305" t="s">
        <v>99</v>
      </c>
      <c r="L10305" t="s">
        <v>102</v>
      </c>
      <c r="M10305" t="s">
        <v>75</v>
      </c>
      <c r="R10305" t="s">
        <v>3000</v>
      </c>
      <c r="S10305" t="s">
        <v>3001</v>
      </c>
      <c r="T10305" t="s">
        <v>131</v>
      </c>
      <c r="U10305" t="s">
        <v>77</v>
      </c>
      <c r="V10305" t="str">
        <f>"104613637"</f>
        <v>104613637</v>
      </c>
      <c r="AC10305" t="s">
        <v>79</v>
      </c>
      <c r="AD10305" t="s">
        <v>75</v>
      </c>
      <c r="AE10305" t="s">
        <v>103</v>
      </c>
      <c r="AG10305" t="s">
        <v>81</v>
      </c>
    </row>
    <row r="10306" spans="1:33" x14ac:dyDescent="0.25">
      <c r="A10306" t="str">
        <f>"1053360743"</f>
        <v>1053360743</v>
      </c>
      <c r="B10306" t="str">
        <f>"02697496"</f>
        <v>02697496</v>
      </c>
      <c r="C10306" t="s">
        <v>42475</v>
      </c>
      <c r="D10306" t="s">
        <v>1063</v>
      </c>
      <c r="E10306" t="s">
        <v>1064</v>
      </c>
      <c r="G10306" t="s">
        <v>2708</v>
      </c>
      <c r="H10306" t="s">
        <v>868</v>
      </c>
      <c r="J10306" t="s">
        <v>2709</v>
      </c>
      <c r="L10306" t="s">
        <v>84</v>
      </c>
      <c r="M10306" t="s">
        <v>85</v>
      </c>
      <c r="R10306" t="s">
        <v>1065</v>
      </c>
      <c r="W10306" t="s">
        <v>1066</v>
      </c>
      <c r="X10306" t="s">
        <v>1067</v>
      </c>
      <c r="Y10306" t="s">
        <v>281</v>
      </c>
      <c r="Z10306" t="s">
        <v>77</v>
      </c>
      <c r="AA10306" t="str">
        <f>"11366-1715"</f>
        <v>11366-1715</v>
      </c>
      <c r="AB10306" t="s">
        <v>78</v>
      </c>
      <c r="AC10306" t="s">
        <v>79</v>
      </c>
      <c r="AD10306" t="s">
        <v>75</v>
      </c>
      <c r="AE10306" t="s">
        <v>80</v>
      </c>
      <c r="AG10306" t="s">
        <v>81</v>
      </c>
    </row>
    <row r="10307" spans="1:33" x14ac:dyDescent="0.25">
      <c r="A10307" t="str">
        <f>"1083700611"</f>
        <v>1083700611</v>
      </c>
      <c r="B10307" t="str">
        <f>"01780010"</f>
        <v>01780010</v>
      </c>
      <c r="C10307" t="s">
        <v>42476</v>
      </c>
      <c r="D10307" t="s">
        <v>4369</v>
      </c>
      <c r="E10307" t="s">
        <v>4370</v>
      </c>
      <c r="G10307" t="s">
        <v>2708</v>
      </c>
      <c r="H10307" t="s">
        <v>868</v>
      </c>
      <c r="J10307" t="s">
        <v>2709</v>
      </c>
      <c r="L10307" t="s">
        <v>83</v>
      </c>
      <c r="M10307" t="s">
        <v>85</v>
      </c>
      <c r="R10307" t="s">
        <v>4371</v>
      </c>
      <c r="W10307" t="s">
        <v>4370</v>
      </c>
      <c r="X10307" t="s">
        <v>4372</v>
      </c>
      <c r="Y10307" t="s">
        <v>97</v>
      </c>
      <c r="Z10307" t="s">
        <v>77</v>
      </c>
      <c r="AA10307" t="str">
        <f>"10010-1600"</f>
        <v>10010-1600</v>
      </c>
      <c r="AB10307" t="s">
        <v>114</v>
      </c>
      <c r="AC10307" t="s">
        <v>79</v>
      </c>
      <c r="AD10307" t="s">
        <v>75</v>
      </c>
      <c r="AE10307" t="s">
        <v>80</v>
      </c>
      <c r="AG10307" t="s">
        <v>81</v>
      </c>
    </row>
    <row r="10308" spans="1:33" x14ac:dyDescent="0.25">
      <c r="A10308" t="str">
        <f>"1083735500"</f>
        <v>1083735500</v>
      </c>
      <c r="B10308" t="str">
        <f>"02351568"</f>
        <v>02351568</v>
      </c>
      <c r="C10308" t="s">
        <v>42477</v>
      </c>
      <c r="D10308" t="s">
        <v>3517</v>
      </c>
      <c r="E10308" t="s">
        <v>3518</v>
      </c>
      <c r="G10308" t="s">
        <v>2708</v>
      </c>
      <c r="H10308" t="s">
        <v>868</v>
      </c>
      <c r="J10308" t="s">
        <v>2709</v>
      </c>
      <c r="L10308" t="s">
        <v>83</v>
      </c>
      <c r="M10308" t="s">
        <v>85</v>
      </c>
      <c r="R10308" t="s">
        <v>3519</v>
      </c>
      <c r="W10308" t="s">
        <v>3518</v>
      </c>
      <c r="X10308" t="s">
        <v>3520</v>
      </c>
      <c r="Y10308" t="s">
        <v>97</v>
      </c>
      <c r="Z10308" t="s">
        <v>77</v>
      </c>
      <c r="AA10308" t="str">
        <f>"10034-6001"</f>
        <v>10034-6001</v>
      </c>
      <c r="AB10308" t="s">
        <v>114</v>
      </c>
      <c r="AC10308" t="s">
        <v>79</v>
      </c>
      <c r="AD10308" t="s">
        <v>75</v>
      </c>
      <c r="AE10308" t="s">
        <v>80</v>
      </c>
      <c r="AG10308" t="s">
        <v>81</v>
      </c>
    </row>
    <row r="10309" spans="1:33" x14ac:dyDescent="0.25">
      <c r="A10309" t="str">
        <f>"1124041538"</f>
        <v>1124041538</v>
      </c>
      <c r="B10309" t="str">
        <f>"03127502"</f>
        <v>03127502</v>
      </c>
      <c r="C10309" t="s">
        <v>42478</v>
      </c>
      <c r="D10309" t="s">
        <v>42479</v>
      </c>
      <c r="E10309" t="s">
        <v>42480</v>
      </c>
      <c r="G10309" t="s">
        <v>2708</v>
      </c>
      <c r="H10309" t="s">
        <v>868</v>
      </c>
      <c r="J10309" t="s">
        <v>2709</v>
      </c>
      <c r="L10309" t="s">
        <v>84</v>
      </c>
      <c r="M10309" t="s">
        <v>85</v>
      </c>
      <c r="R10309" t="s">
        <v>42480</v>
      </c>
      <c r="W10309" t="s">
        <v>42481</v>
      </c>
      <c r="X10309" t="s">
        <v>2710</v>
      </c>
      <c r="Y10309" t="s">
        <v>97</v>
      </c>
      <c r="Z10309" t="s">
        <v>77</v>
      </c>
      <c r="AA10309" t="str">
        <f>"10002-2301"</f>
        <v>10002-2301</v>
      </c>
      <c r="AB10309" t="s">
        <v>78</v>
      </c>
      <c r="AC10309" t="s">
        <v>79</v>
      </c>
      <c r="AD10309" t="s">
        <v>75</v>
      </c>
      <c r="AE10309" t="s">
        <v>80</v>
      </c>
      <c r="AG10309" t="s">
        <v>81</v>
      </c>
    </row>
    <row r="10310" spans="1:33" x14ac:dyDescent="0.25">
      <c r="A10310" t="str">
        <f>"1124098686"</f>
        <v>1124098686</v>
      </c>
      <c r="B10310" t="str">
        <f>"02010240"</f>
        <v>02010240</v>
      </c>
      <c r="C10310" t="s">
        <v>42482</v>
      </c>
      <c r="D10310" t="s">
        <v>2834</v>
      </c>
      <c r="E10310" t="s">
        <v>2835</v>
      </c>
      <c r="G10310" t="s">
        <v>2708</v>
      </c>
      <c r="H10310" t="s">
        <v>868</v>
      </c>
      <c r="J10310" t="s">
        <v>2709</v>
      </c>
      <c r="L10310" t="s">
        <v>83</v>
      </c>
      <c r="M10310" t="s">
        <v>75</v>
      </c>
      <c r="R10310" t="s">
        <v>2836</v>
      </c>
      <c r="W10310" t="s">
        <v>2835</v>
      </c>
      <c r="X10310" t="s">
        <v>2837</v>
      </c>
      <c r="Y10310" t="s">
        <v>131</v>
      </c>
      <c r="Z10310" t="s">
        <v>77</v>
      </c>
      <c r="AA10310" t="str">
        <f>"10461-1400"</f>
        <v>10461-1400</v>
      </c>
      <c r="AB10310" t="s">
        <v>128</v>
      </c>
      <c r="AC10310" t="s">
        <v>79</v>
      </c>
      <c r="AD10310" t="s">
        <v>75</v>
      </c>
      <c r="AE10310" t="s">
        <v>80</v>
      </c>
      <c r="AG10310" t="s">
        <v>81</v>
      </c>
    </row>
    <row r="10311" spans="1:33" x14ac:dyDescent="0.25">
      <c r="A10311" t="str">
        <f>"1164519237"</f>
        <v>1164519237</v>
      </c>
      <c r="B10311" t="str">
        <f>"02384825"</f>
        <v>02384825</v>
      </c>
      <c r="C10311" t="s">
        <v>42483</v>
      </c>
      <c r="D10311" t="s">
        <v>42484</v>
      </c>
      <c r="E10311" t="s">
        <v>42485</v>
      </c>
      <c r="G10311" t="s">
        <v>2708</v>
      </c>
      <c r="H10311" t="s">
        <v>868</v>
      </c>
      <c r="J10311" t="s">
        <v>2709</v>
      </c>
      <c r="L10311" t="s">
        <v>84</v>
      </c>
      <c r="M10311" t="s">
        <v>75</v>
      </c>
      <c r="R10311" t="s">
        <v>42486</v>
      </c>
      <c r="W10311" t="s">
        <v>42485</v>
      </c>
      <c r="X10311" t="s">
        <v>4376</v>
      </c>
      <c r="Y10311" t="s">
        <v>42487</v>
      </c>
      <c r="Z10311" t="s">
        <v>77</v>
      </c>
      <c r="AA10311" t="str">
        <f>"11106"</f>
        <v>11106</v>
      </c>
      <c r="AB10311" t="s">
        <v>78</v>
      </c>
      <c r="AC10311" t="s">
        <v>79</v>
      </c>
      <c r="AD10311" t="s">
        <v>75</v>
      </c>
      <c r="AE10311" t="s">
        <v>80</v>
      </c>
      <c r="AG10311" t="s">
        <v>81</v>
      </c>
    </row>
    <row r="10312" spans="1:33" x14ac:dyDescent="0.25">
      <c r="A10312" t="str">
        <f>"1184965493"</f>
        <v>1184965493</v>
      </c>
      <c r="B10312" t="str">
        <f>"03818297"</f>
        <v>03818297</v>
      </c>
      <c r="C10312" t="s">
        <v>42488</v>
      </c>
      <c r="D10312" t="s">
        <v>2765</v>
      </c>
      <c r="E10312" t="s">
        <v>2766</v>
      </c>
      <c r="G10312" t="s">
        <v>2708</v>
      </c>
      <c r="H10312" t="s">
        <v>868</v>
      </c>
      <c r="J10312" t="s">
        <v>2709</v>
      </c>
      <c r="L10312" t="s">
        <v>83</v>
      </c>
      <c r="M10312" t="s">
        <v>75</v>
      </c>
      <c r="R10312" t="s">
        <v>2767</v>
      </c>
      <c r="W10312" t="s">
        <v>2768</v>
      </c>
      <c r="X10312" t="s">
        <v>2769</v>
      </c>
      <c r="Y10312" t="s">
        <v>97</v>
      </c>
      <c r="Z10312" t="s">
        <v>77</v>
      </c>
      <c r="AA10312" t="str">
        <f>"10026-3138"</f>
        <v>10026-3138</v>
      </c>
      <c r="AB10312" t="s">
        <v>78</v>
      </c>
      <c r="AC10312" t="s">
        <v>79</v>
      </c>
      <c r="AD10312" t="s">
        <v>75</v>
      </c>
      <c r="AE10312" t="s">
        <v>80</v>
      </c>
      <c r="AG10312" t="s">
        <v>81</v>
      </c>
    </row>
    <row r="10313" spans="1:33" x14ac:dyDescent="0.25">
      <c r="A10313" t="str">
        <f>"1265570451"</f>
        <v>1265570451</v>
      </c>
      <c r="B10313" t="str">
        <f>"03078026"</f>
        <v>03078026</v>
      </c>
      <c r="C10313" t="s">
        <v>42489</v>
      </c>
      <c r="D10313" t="s">
        <v>3399</v>
      </c>
      <c r="E10313" t="s">
        <v>3400</v>
      </c>
      <c r="G10313" t="s">
        <v>2708</v>
      </c>
      <c r="H10313" t="s">
        <v>868</v>
      </c>
      <c r="J10313" t="s">
        <v>2709</v>
      </c>
      <c r="L10313" t="s">
        <v>83</v>
      </c>
      <c r="M10313" t="s">
        <v>85</v>
      </c>
      <c r="R10313" t="s">
        <v>3400</v>
      </c>
      <c r="W10313" t="s">
        <v>3401</v>
      </c>
      <c r="X10313" t="s">
        <v>289</v>
      </c>
      <c r="Y10313" t="s">
        <v>283</v>
      </c>
      <c r="Z10313" t="s">
        <v>77</v>
      </c>
      <c r="AA10313" t="str">
        <f>"11418-2618"</f>
        <v>11418-2618</v>
      </c>
      <c r="AB10313" t="s">
        <v>114</v>
      </c>
      <c r="AC10313" t="s">
        <v>79</v>
      </c>
      <c r="AD10313" t="s">
        <v>75</v>
      </c>
      <c r="AE10313" t="s">
        <v>80</v>
      </c>
      <c r="AG10313" t="s">
        <v>81</v>
      </c>
    </row>
    <row r="10314" spans="1:33" x14ac:dyDescent="0.25">
      <c r="A10314" t="str">
        <f>"1285853549"</f>
        <v>1285853549</v>
      </c>
      <c r="B10314" t="str">
        <f>"02230537"</f>
        <v>02230537</v>
      </c>
      <c r="C10314" t="s">
        <v>42490</v>
      </c>
      <c r="D10314" t="s">
        <v>3512</v>
      </c>
      <c r="E10314" t="s">
        <v>3513</v>
      </c>
      <c r="G10314" t="s">
        <v>2708</v>
      </c>
      <c r="H10314" t="s">
        <v>868</v>
      </c>
      <c r="J10314" t="s">
        <v>2709</v>
      </c>
      <c r="L10314" t="s">
        <v>84</v>
      </c>
      <c r="M10314" t="s">
        <v>75</v>
      </c>
      <c r="R10314" t="s">
        <v>3513</v>
      </c>
      <c r="W10314" t="s">
        <v>3513</v>
      </c>
      <c r="X10314" t="s">
        <v>3513</v>
      </c>
      <c r="Y10314" t="s">
        <v>87</v>
      </c>
      <c r="Z10314" t="s">
        <v>77</v>
      </c>
      <c r="AA10314" t="str">
        <f>"11225-5417"</f>
        <v>11225-5417</v>
      </c>
      <c r="AB10314" t="s">
        <v>114</v>
      </c>
      <c r="AC10314" t="s">
        <v>79</v>
      </c>
      <c r="AD10314" t="s">
        <v>75</v>
      </c>
      <c r="AE10314" t="s">
        <v>80</v>
      </c>
      <c r="AG10314" t="s">
        <v>81</v>
      </c>
    </row>
    <row r="10315" spans="1:33" x14ac:dyDescent="0.25">
      <c r="A10315" t="str">
        <f>"1295026714"</f>
        <v>1295026714</v>
      </c>
      <c r="B10315" t="str">
        <f>"03364665"</f>
        <v>03364665</v>
      </c>
      <c r="C10315" t="s">
        <v>42491</v>
      </c>
      <c r="D10315" t="s">
        <v>795</v>
      </c>
      <c r="E10315" t="s">
        <v>796</v>
      </c>
      <c r="G10315" t="s">
        <v>2708</v>
      </c>
      <c r="H10315" t="s">
        <v>868</v>
      </c>
      <c r="J10315" t="s">
        <v>2709</v>
      </c>
      <c r="L10315" t="s">
        <v>83</v>
      </c>
      <c r="M10315" t="s">
        <v>85</v>
      </c>
      <c r="R10315" t="s">
        <v>798</v>
      </c>
      <c r="W10315" t="s">
        <v>796</v>
      </c>
      <c r="X10315" t="s">
        <v>612</v>
      </c>
      <c r="Y10315" t="s">
        <v>450</v>
      </c>
      <c r="Z10315" t="s">
        <v>77</v>
      </c>
      <c r="AA10315" t="str">
        <f>"11423-2511"</f>
        <v>11423-2511</v>
      </c>
      <c r="AB10315" t="s">
        <v>114</v>
      </c>
      <c r="AC10315" t="s">
        <v>79</v>
      </c>
      <c r="AD10315" t="s">
        <v>75</v>
      </c>
      <c r="AE10315" t="s">
        <v>80</v>
      </c>
      <c r="AG10315" t="s">
        <v>81</v>
      </c>
    </row>
    <row r="10316" spans="1:33" x14ac:dyDescent="0.25">
      <c r="A10316" t="str">
        <f>"1306120936"</f>
        <v>1306120936</v>
      </c>
      <c r="B10316" t="str">
        <f>"03404400"</f>
        <v>03404400</v>
      </c>
      <c r="C10316" t="s">
        <v>42492</v>
      </c>
      <c r="D10316" t="s">
        <v>2860</v>
      </c>
      <c r="E10316" t="s">
        <v>2861</v>
      </c>
      <c r="G10316" t="s">
        <v>2708</v>
      </c>
      <c r="H10316" t="s">
        <v>868</v>
      </c>
      <c r="J10316" t="s">
        <v>2709</v>
      </c>
      <c r="L10316" t="s">
        <v>83</v>
      </c>
      <c r="M10316" t="s">
        <v>85</v>
      </c>
      <c r="R10316" t="s">
        <v>2862</v>
      </c>
      <c r="W10316" t="s">
        <v>2861</v>
      </c>
      <c r="X10316" t="s">
        <v>2863</v>
      </c>
      <c r="Y10316" t="s">
        <v>87</v>
      </c>
      <c r="Z10316" t="s">
        <v>77</v>
      </c>
      <c r="AA10316" t="str">
        <f>"11206-2501"</f>
        <v>11206-2501</v>
      </c>
      <c r="AB10316" t="s">
        <v>78</v>
      </c>
      <c r="AC10316" t="s">
        <v>79</v>
      </c>
      <c r="AD10316" t="s">
        <v>75</v>
      </c>
      <c r="AE10316" t="s">
        <v>80</v>
      </c>
      <c r="AG10316" t="s">
        <v>81</v>
      </c>
    </row>
    <row r="10317" spans="1:33" x14ac:dyDescent="0.25">
      <c r="A10317" t="str">
        <f>"1306837000"</f>
        <v>1306837000</v>
      </c>
      <c r="B10317" t="str">
        <f>"01044522"</f>
        <v>01044522</v>
      </c>
      <c r="C10317" t="s">
        <v>42493</v>
      </c>
      <c r="D10317" t="s">
        <v>3049</v>
      </c>
      <c r="E10317" t="s">
        <v>3050</v>
      </c>
      <c r="G10317" t="s">
        <v>2708</v>
      </c>
      <c r="H10317" t="s">
        <v>868</v>
      </c>
      <c r="J10317" t="s">
        <v>2709</v>
      </c>
      <c r="L10317" t="s">
        <v>83</v>
      </c>
      <c r="M10317" t="s">
        <v>85</v>
      </c>
      <c r="R10317" t="s">
        <v>3052</v>
      </c>
      <c r="W10317" t="s">
        <v>3050</v>
      </c>
      <c r="X10317" t="s">
        <v>318</v>
      </c>
      <c r="Y10317" t="s">
        <v>131</v>
      </c>
      <c r="Z10317" t="s">
        <v>77</v>
      </c>
      <c r="AA10317" t="str">
        <f>"10457-7606"</f>
        <v>10457-7606</v>
      </c>
      <c r="AB10317" t="s">
        <v>78</v>
      </c>
      <c r="AC10317" t="s">
        <v>79</v>
      </c>
      <c r="AD10317" t="s">
        <v>75</v>
      </c>
      <c r="AE10317" t="s">
        <v>80</v>
      </c>
      <c r="AG10317" t="s">
        <v>81</v>
      </c>
    </row>
    <row r="10318" spans="1:33" x14ac:dyDescent="0.25">
      <c r="A10318" t="str">
        <f>"1336388867"</f>
        <v>1336388867</v>
      </c>
      <c r="B10318" t="str">
        <f>"03108303"</f>
        <v>03108303</v>
      </c>
      <c r="C10318" t="s">
        <v>4434</v>
      </c>
      <c r="D10318" t="s">
        <v>4435</v>
      </c>
      <c r="E10318" t="s">
        <v>4436</v>
      </c>
      <c r="G10318" t="s">
        <v>27118</v>
      </c>
      <c r="H10318" t="s">
        <v>27119</v>
      </c>
      <c r="I10318">
        <v>310</v>
      </c>
      <c r="J10318" t="s">
        <v>27120</v>
      </c>
      <c r="L10318" t="s">
        <v>10</v>
      </c>
      <c r="M10318" t="s">
        <v>85</v>
      </c>
      <c r="R10318" t="s">
        <v>4438</v>
      </c>
      <c r="W10318" t="s">
        <v>42494</v>
      </c>
      <c r="X10318" t="s">
        <v>42495</v>
      </c>
      <c r="Y10318" t="s">
        <v>87</v>
      </c>
      <c r="Z10318" t="s">
        <v>77</v>
      </c>
      <c r="AA10318" t="str">
        <f>"11233-3104"</f>
        <v>11233-3104</v>
      </c>
      <c r="AB10318" t="s">
        <v>98</v>
      </c>
      <c r="AC10318" t="s">
        <v>79</v>
      </c>
      <c r="AD10318" t="s">
        <v>75</v>
      </c>
      <c r="AE10318" t="s">
        <v>80</v>
      </c>
      <c r="AG10318" t="s">
        <v>81</v>
      </c>
    </row>
    <row r="10319" spans="1:33" x14ac:dyDescent="0.25">
      <c r="A10319" t="str">
        <f>"1417196940"</f>
        <v>1417196940</v>
      </c>
      <c r="B10319" t="str">
        <f>"03122474"</f>
        <v>03122474</v>
      </c>
      <c r="C10319" t="s">
        <v>4434</v>
      </c>
      <c r="D10319" t="s">
        <v>4435</v>
      </c>
      <c r="E10319" t="s">
        <v>4436</v>
      </c>
      <c r="G10319" t="s">
        <v>27118</v>
      </c>
      <c r="H10319" t="s">
        <v>27119</v>
      </c>
      <c r="I10319">
        <v>310</v>
      </c>
      <c r="J10319" t="s">
        <v>27120</v>
      </c>
      <c r="L10319" t="s">
        <v>10</v>
      </c>
      <c r="M10319" t="s">
        <v>85</v>
      </c>
      <c r="R10319" t="s">
        <v>4438</v>
      </c>
      <c r="W10319" t="s">
        <v>42496</v>
      </c>
      <c r="X10319" t="s">
        <v>42497</v>
      </c>
      <c r="Y10319" t="s">
        <v>313</v>
      </c>
      <c r="Z10319" t="s">
        <v>77</v>
      </c>
      <c r="AA10319" t="str">
        <f>"11429-1205"</f>
        <v>11429-1205</v>
      </c>
      <c r="AB10319" t="s">
        <v>98</v>
      </c>
      <c r="AC10319" t="s">
        <v>79</v>
      </c>
      <c r="AD10319" t="s">
        <v>75</v>
      </c>
      <c r="AE10319" t="s">
        <v>80</v>
      </c>
      <c r="AG10319" t="s">
        <v>81</v>
      </c>
    </row>
    <row r="10320" spans="1:33" x14ac:dyDescent="0.25">
      <c r="A10320" t="str">
        <f>"1295050789"</f>
        <v>1295050789</v>
      </c>
      <c r="B10320" t="str">
        <f>"03235090"</f>
        <v>03235090</v>
      </c>
      <c r="C10320" t="s">
        <v>42498</v>
      </c>
      <c r="D10320" t="s">
        <v>4840</v>
      </c>
      <c r="E10320" t="s">
        <v>4841</v>
      </c>
      <c r="G10320" t="s">
        <v>42499</v>
      </c>
      <c r="H10320" t="s">
        <v>42500</v>
      </c>
      <c r="J10320" t="s">
        <v>42501</v>
      </c>
      <c r="L10320" t="s">
        <v>74</v>
      </c>
      <c r="M10320" t="s">
        <v>75</v>
      </c>
      <c r="R10320" t="s">
        <v>4842</v>
      </c>
      <c r="W10320" t="s">
        <v>4841</v>
      </c>
      <c r="X10320" t="s">
        <v>4843</v>
      </c>
      <c r="Y10320" t="s">
        <v>131</v>
      </c>
      <c r="Z10320" t="s">
        <v>77</v>
      </c>
      <c r="AA10320" t="str">
        <f>"10459-2967"</f>
        <v>10459-2967</v>
      </c>
      <c r="AB10320" t="s">
        <v>82</v>
      </c>
      <c r="AC10320" t="s">
        <v>79</v>
      </c>
      <c r="AD10320" t="s">
        <v>75</v>
      </c>
      <c r="AE10320" t="s">
        <v>80</v>
      </c>
      <c r="AG10320" t="s">
        <v>81</v>
      </c>
    </row>
    <row r="10321" spans="1:33" x14ac:dyDescent="0.25">
      <c r="A10321" t="str">
        <f>"1306852892"</f>
        <v>1306852892</v>
      </c>
      <c r="B10321" t="str">
        <f>"01268377"</f>
        <v>01268377</v>
      </c>
      <c r="C10321" t="s">
        <v>3650</v>
      </c>
      <c r="D10321" t="s">
        <v>3651</v>
      </c>
      <c r="E10321" t="s">
        <v>3652</v>
      </c>
      <c r="G10321" t="s">
        <v>42502</v>
      </c>
      <c r="H10321" t="s">
        <v>3653</v>
      </c>
      <c r="I10321">
        <v>8901</v>
      </c>
      <c r="J10321" t="s">
        <v>3654</v>
      </c>
      <c r="L10321" t="s">
        <v>94</v>
      </c>
      <c r="M10321" t="s">
        <v>75</v>
      </c>
      <c r="R10321" t="s">
        <v>3655</v>
      </c>
      <c r="W10321" t="s">
        <v>3652</v>
      </c>
      <c r="X10321" t="s">
        <v>738</v>
      </c>
      <c r="Y10321" t="s">
        <v>308</v>
      </c>
      <c r="Z10321" t="s">
        <v>77</v>
      </c>
      <c r="AA10321" t="str">
        <f>"11368-2122"</f>
        <v>11368-2122</v>
      </c>
      <c r="AB10321" t="s">
        <v>78</v>
      </c>
      <c r="AC10321" t="s">
        <v>79</v>
      </c>
      <c r="AD10321" t="s">
        <v>75</v>
      </c>
      <c r="AE10321" t="s">
        <v>80</v>
      </c>
      <c r="AG10321" t="s">
        <v>81</v>
      </c>
    </row>
    <row r="10322" spans="1:33" x14ac:dyDescent="0.25">
      <c r="A10322" t="str">
        <f>"1376822130"</f>
        <v>1376822130</v>
      </c>
      <c r="B10322" t="str">
        <f>"03459625"</f>
        <v>03459625</v>
      </c>
      <c r="C10322" t="s">
        <v>42503</v>
      </c>
      <c r="D10322" t="s">
        <v>374</v>
      </c>
      <c r="E10322" t="s">
        <v>368</v>
      </c>
      <c r="F10322">
        <v>131624123</v>
      </c>
      <c r="L10322" t="s">
        <v>37</v>
      </c>
      <c r="M10322" t="s">
        <v>75</v>
      </c>
      <c r="R10322" t="s">
        <v>375</v>
      </c>
      <c r="W10322" t="s">
        <v>376</v>
      </c>
      <c r="X10322" t="s">
        <v>377</v>
      </c>
      <c r="Y10322" t="s">
        <v>300</v>
      </c>
      <c r="Z10322" t="s">
        <v>77</v>
      </c>
      <c r="AA10322" t="str">
        <f>"10954-3121"</f>
        <v>10954-3121</v>
      </c>
      <c r="AB10322" t="s">
        <v>107</v>
      </c>
      <c r="AC10322" t="s">
        <v>79</v>
      </c>
      <c r="AD10322" t="s">
        <v>75</v>
      </c>
      <c r="AE10322" t="s">
        <v>80</v>
      </c>
      <c r="AG10322" t="s">
        <v>81</v>
      </c>
    </row>
    <row r="10323" spans="1:33" x14ac:dyDescent="0.25">
      <c r="A10323" t="str">
        <f>"1407995004"</f>
        <v>1407995004</v>
      </c>
      <c r="B10323" t="str">
        <f>"00518745"</f>
        <v>00518745</v>
      </c>
      <c r="C10323" t="s">
        <v>42504</v>
      </c>
      <c r="D10323" t="s">
        <v>425</v>
      </c>
      <c r="E10323" t="s">
        <v>426</v>
      </c>
      <c r="F10323">
        <v>131624123</v>
      </c>
      <c r="L10323" t="s">
        <v>37</v>
      </c>
      <c r="M10323" t="s">
        <v>75</v>
      </c>
      <c r="R10323" t="s">
        <v>427</v>
      </c>
      <c r="W10323" t="s">
        <v>428</v>
      </c>
      <c r="X10323" t="s">
        <v>429</v>
      </c>
      <c r="Y10323" t="s">
        <v>430</v>
      </c>
      <c r="Z10323" t="s">
        <v>77</v>
      </c>
      <c r="AA10323" t="str">
        <f>"10502-1109"</f>
        <v>10502-1109</v>
      </c>
      <c r="AB10323" t="s">
        <v>107</v>
      </c>
      <c r="AC10323" t="s">
        <v>79</v>
      </c>
      <c r="AD10323" t="s">
        <v>75</v>
      </c>
      <c r="AE10323" t="s">
        <v>80</v>
      </c>
      <c r="AG10323" t="s">
        <v>81</v>
      </c>
    </row>
    <row r="10324" spans="1:33" ht="105" x14ac:dyDescent="0.25">
      <c r="A10324" t="str">
        <f>"1427197425"</f>
        <v>1427197425</v>
      </c>
      <c r="B10324" t="str">
        <f>"00871756"</f>
        <v>00871756</v>
      </c>
      <c r="C10324" s="13" t="s">
        <v>42505</v>
      </c>
      <c r="D10324" t="s">
        <v>369</v>
      </c>
      <c r="E10324" t="s">
        <v>370</v>
      </c>
      <c r="F10324">
        <v>131624123</v>
      </c>
      <c r="G10324" t="s">
        <v>42506</v>
      </c>
      <c r="H10324" t="s">
        <v>237</v>
      </c>
      <c r="J10324" t="s">
        <v>42507</v>
      </c>
      <c r="L10324" t="s">
        <v>37</v>
      </c>
      <c r="M10324" t="s">
        <v>75</v>
      </c>
      <c r="R10324" t="s">
        <v>371</v>
      </c>
      <c r="W10324" t="s">
        <v>372</v>
      </c>
      <c r="X10324" t="s">
        <v>373</v>
      </c>
      <c r="Y10324" t="s">
        <v>300</v>
      </c>
      <c r="Z10324" t="s">
        <v>77</v>
      </c>
      <c r="AA10324" t="str">
        <f>"10954-3121"</f>
        <v>10954-3121</v>
      </c>
      <c r="AB10324" t="s">
        <v>107</v>
      </c>
      <c r="AC10324" t="s">
        <v>79</v>
      </c>
      <c r="AD10324" t="s">
        <v>75</v>
      </c>
      <c r="AE10324" t="s">
        <v>80</v>
      </c>
      <c r="AG10324" t="s">
        <v>81</v>
      </c>
    </row>
    <row r="10325" spans="1:33" x14ac:dyDescent="0.25">
      <c r="A10325" t="str">
        <f>"1497981328"</f>
        <v>1497981328</v>
      </c>
      <c r="B10325" t="str">
        <f>"03140250"</f>
        <v>03140250</v>
      </c>
      <c r="C10325" t="s">
        <v>42508</v>
      </c>
      <c r="D10325" t="s">
        <v>552</v>
      </c>
      <c r="E10325" t="s">
        <v>553</v>
      </c>
      <c r="G10325" t="s">
        <v>454</v>
      </c>
      <c r="H10325" t="s">
        <v>42509</v>
      </c>
      <c r="J10325" t="s">
        <v>455</v>
      </c>
      <c r="L10325" t="s">
        <v>119</v>
      </c>
      <c r="M10325" t="s">
        <v>85</v>
      </c>
      <c r="R10325" t="s">
        <v>554</v>
      </c>
      <c r="W10325" t="s">
        <v>553</v>
      </c>
      <c r="X10325" t="s">
        <v>555</v>
      </c>
      <c r="Y10325" t="s">
        <v>131</v>
      </c>
      <c r="Z10325" t="s">
        <v>77</v>
      </c>
      <c r="AA10325" t="str">
        <f>"10472-2501"</f>
        <v>10472-2501</v>
      </c>
      <c r="AB10325" t="s">
        <v>122</v>
      </c>
      <c r="AC10325" t="s">
        <v>79</v>
      </c>
      <c r="AD10325" t="s">
        <v>75</v>
      </c>
      <c r="AE10325" t="s">
        <v>80</v>
      </c>
      <c r="AG10325" t="s">
        <v>81</v>
      </c>
    </row>
    <row r="10326" spans="1:33" x14ac:dyDescent="0.25">
      <c r="A10326" t="str">
        <f>"1568535284"</f>
        <v>1568535284</v>
      </c>
      <c r="B10326" t="str">
        <f>"01452964"</f>
        <v>01452964</v>
      </c>
      <c r="C10326" t="s">
        <v>42510</v>
      </c>
      <c r="D10326" t="s">
        <v>42511</v>
      </c>
      <c r="E10326" t="s">
        <v>42512</v>
      </c>
      <c r="G10326" t="s">
        <v>42513</v>
      </c>
      <c r="H10326" t="s">
        <v>42514</v>
      </c>
      <c r="I10326">
        <v>200</v>
      </c>
      <c r="J10326" t="s">
        <v>42515</v>
      </c>
      <c r="L10326" t="s">
        <v>106</v>
      </c>
      <c r="M10326" t="s">
        <v>85</v>
      </c>
      <c r="R10326" t="s">
        <v>42516</v>
      </c>
      <c r="W10326" t="s">
        <v>42512</v>
      </c>
      <c r="X10326" t="s">
        <v>4059</v>
      </c>
      <c r="Y10326" t="s">
        <v>131</v>
      </c>
      <c r="Z10326" t="s">
        <v>77</v>
      </c>
      <c r="AA10326" t="str">
        <f>"10465-2319"</f>
        <v>10465-2319</v>
      </c>
      <c r="AB10326" t="s">
        <v>107</v>
      </c>
      <c r="AC10326" t="s">
        <v>79</v>
      </c>
      <c r="AD10326" t="s">
        <v>75</v>
      </c>
      <c r="AE10326" t="s">
        <v>80</v>
      </c>
      <c r="AG10326" t="s">
        <v>81</v>
      </c>
    </row>
    <row r="10327" spans="1:33" x14ac:dyDescent="0.25">
      <c r="A10327" t="str">
        <f>"1306875141"</f>
        <v>1306875141</v>
      </c>
      <c r="B10327" t="str">
        <f>"01701651"</f>
        <v>01701651</v>
      </c>
      <c r="C10327" t="s">
        <v>42517</v>
      </c>
      <c r="D10327" t="s">
        <v>42518</v>
      </c>
      <c r="E10327" t="s">
        <v>42519</v>
      </c>
      <c r="G10327" t="s">
        <v>42520</v>
      </c>
      <c r="H10327" t="s">
        <v>42521</v>
      </c>
      <c r="J10327" t="s">
        <v>42522</v>
      </c>
      <c r="L10327" t="s">
        <v>106</v>
      </c>
      <c r="M10327" t="s">
        <v>85</v>
      </c>
      <c r="R10327" t="s">
        <v>42523</v>
      </c>
      <c r="W10327" t="s">
        <v>42519</v>
      </c>
      <c r="X10327" t="s">
        <v>3567</v>
      </c>
      <c r="Y10327" t="s">
        <v>317</v>
      </c>
      <c r="Z10327" t="s">
        <v>77</v>
      </c>
      <c r="AA10327" t="str">
        <f>"11553-1111"</f>
        <v>11553-1111</v>
      </c>
      <c r="AB10327" t="s">
        <v>107</v>
      </c>
      <c r="AC10327" t="s">
        <v>79</v>
      </c>
      <c r="AD10327" t="s">
        <v>75</v>
      </c>
      <c r="AE10327" t="s">
        <v>80</v>
      </c>
      <c r="AG10327" t="s">
        <v>81</v>
      </c>
    </row>
    <row r="10328" spans="1:33" x14ac:dyDescent="0.25">
      <c r="A10328" t="str">
        <f>"1831129865"</f>
        <v>1831129865</v>
      </c>
      <c r="B10328" t="str">
        <f>"02492304"</f>
        <v>02492304</v>
      </c>
      <c r="C10328" t="s">
        <v>42524</v>
      </c>
      <c r="D10328" t="s">
        <v>42525</v>
      </c>
      <c r="E10328" t="s">
        <v>42526</v>
      </c>
      <c r="G10328" t="s">
        <v>42527</v>
      </c>
      <c r="H10328" t="s">
        <v>8249</v>
      </c>
      <c r="I10328">
        <v>2626</v>
      </c>
      <c r="J10328" t="s">
        <v>8250</v>
      </c>
      <c r="L10328" t="s">
        <v>37</v>
      </c>
      <c r="M10328" t="s">
        <v>75</v>
      </c>
      <c r="R10328" t="s">
        <v>42528</v>
      </c>
      <c r="W10328" t="s">
        <v>42529</v>
      </c>
      <c r="X10328" t="s">
        <v>10281</v>
      </c>
      <c r="Y10328" t="s">
        <v>155</v>
      </c>
      <c r="Z10328" t="s">
        <v>77</v>
      </c>
      <c r="AA10328" t="str">
        <f>"10314-6623"</f>
        <v>10314-6623</v>
      </c>
      <c r="AB10328" t="s">
        <v>93</v>
      </c>
      <c r="AC10328" t="s">
        <v>79</v>
      </c>
      <c r="AD10328" t="s">
        <v>75</v>
      </c>
      <c r="AE10328" t="s">
        <v>80</v>
      </c>
      <c r="AG10328" t="s">
        <v>81</v>
      </c>
    </row>
    <row r="10329" spans="1:33" x14ac:dyDescent="0.25">
      <c r="A10329" t="str">
        <f>"1861495202"</f>
        <v>1861495202</v>
      </c>
      <c r="B10329" t="str">
        <f>"01669772"</f>
        <v>01669772</v>
      </c>
      <c r="C10329" t="s">
        <v>42530</v>
      </c>
      <c r="D10329" t="s">
        <v>42531</v>
      </c>
      <c r="E10329" t="s">
        <v>42532</v>
      </c>
      <c r="G10329" t="s">
        <v>42533</v>
      </c>
      <c r="H10329" t="s">
        <v>42534</v>
      </c>
      <c r="I10329">
        <v>1107</v>
      </c>
      <c r="J10329" t="s">
        <v>42535</v>
      </c>
      <c r="L10329" t="s">
        <v>106</v>
      </c>
      <c r="M10329" t="s">
        <v>85</v>
      </c>
      <c r="R10329" t="s">
        <v>42536</v>
      </c>
      <c r="W10329" t="s">
        <v>42532</v>
      </c>
      <c r="X10329" t="s">
        <v>42537</v>
      </c>
      <c r="Y10329" t="s">
        <v>1960</v>
      </c>
      <c r="Z10329" t="s">
        <v>77</v>
      </c>
      <c r="AA10329" t="str">
        <f>"11598-1218"</f>
        <v>11598-1218</v>
      </c>
      <c r="AB10329" t="s">
        <v>107</v>
      </c>
      <c r="AC10329" t="s">
        <v>79</v>
      </c>
      <c r="AD10329" t="s">
        <v>75</v>
      </c>
      <c r="AE10329" t="s">
        <v>80</v>
      </c>
      <c r="AG10329" t="s">
        <v>81</v>
      </c>
    </row>
    <row r="10330" spans="1:33" x14ac:dyDescent="0.25">
      <c r="C10330" t="s">
        <v>721</v>
      </c>
      <c r="G10330" t="s">
        <v>724</v>
      </c>
      <c r="H10330" t="s">
        <v>725</v>
      </c>
      <c r="J10330" t="s">
        <v>726</v>
      </c>
      <c r="K10330" t="s">
        <v>99</v>
      </c>
      <c r="L10330" t="s">
        <v>100</v>
      </c>
      <c r="M10330" t="s">
        <v>75</v>
      </c>
      <c r="N10330" t="s">
        <v>42538</v>
      </c>
      <c r="O10330" t="s">
        <v>296</v>
      </c>
      <c r="P10330" t="s">
        <v>77</v>
      </c>
      <c r="Q10330" t="str">
        <f>"10470"</f>
        <v>10470</v>
      </c>
      <c r="AC10330" t="s">
        <v>79</v>
      </c>
      <c r="AD10330" t="s">
        <v>75</v>
      </c>
      <c r="AE10330" t="s">
        <v>101</v>
      </c>
      <c r="AG10330" t="s">
        <v>81</v>
      </c>
    </row>
    <row r="10331" spans="1:33" x14ac:dyDescent="0.25">
      <c r="C10331" t="s">
        <v>42539</v>
      </c>
      <c r="G10331" t="s">
        <v>42540</v>
      </c>
      <c r="H10331" t="s">
        <v>2725</v>
      </c>
      <c r="I10331">
        <v>447</v>
      </c>
      <c r="J10331" t="s">
        <v>42541</v>
      </c>
      <c r="K10331" t="s">
        <v>99</v>
      </c>
      <c r="L10331" t="s">
        <v>100</v>
      </c>
      <c r="M10331" t="s">
        <v>75</v>
      </c>
      <c r="N10331" t="s">
        <v>42542</v>
      </c>
      <c r="O10331" t="s">
        <v>296</v>
      </c>
      <c r="P10331" t="s">
        <v>77</v>
      </c>
      <c r="Q10331" t="str">
        <f>"10469"</f>
        <v>10469</v>
      </c>
      <c r="AC10331" t="s">
        <v>79</v>
      </c>
      <c r="AD10331" t="s">
        <v>75</v>
      </c>
      <c r="AE10331" t="s">
        <v>101</v>
      </c>
      <c r="AG10331" t="s">
        <v>81</v>
      </c>
    </row>
    <row r="10332" spans="1:33" x14ac:dyDescent="0.25">
      <c r="C10332" t="s">
        <v>42543</v>
      </c>
      <c r="G10332" t="s">
        <v>42544</v>
      </c>
      <c r="H10332" t="s">
        <v>42545</v>
      </c>
      <c r="J10332" t="s">
        <v>42546</v>
      </c>
      <c r="K10332" t="s">
        <v>99</v>
      </c>
      <c r="L10332" t="s">
        <v>100</v>
      </c>
      <c r="M10332" t="s">
        <v>75</v>
      </c>
      <c r="N10332" t="s">
        <v>42547</v>
      </c>
      <c r="O10332" t="s">
        <v>167</v>
      </c>
      <c r="P10332" t="s">
        <v>77</v>
      </c>
      <c r="Q10332" t="str">
        <f>"10025"</f>
        <v>10025</v>
      </c>
      <c r="AC10332" t="s">
        <v>79</v>
      </c>
      <c r="AD10332" t="s">
        <v>75</v>
      </c>
      <c r="AE10332" t="s">
        <v>101</v>
      </c>
      <c r="AG10332" t="s">
        <v>81</v>
      </c>
    </row>
    <row r="10333" spans="1:33" x14ac:dyDescent="0.25">
      <c r="C10333" t="s">
        <v>42311</v>
      </c>
      <c r="K10333" t="s">
        <v>99</v>
      </c>
      <c r="L10333" t="s">
        <v>100</v>
      </c>
      <c r="M10333" t="s">
        <v>75</v>
      </c>
      <c r="N10333" t="s">
        <v>42548</v>
      </c>
      <c r="O10333" t="s">
        <v>42549</v>
      </c>
      <c r="P10333" t="s">
        <v>167</v>
      </c>
      <c r="AC10333" t="s">
        <v>79</v>
      </c>
      <c r="AD10333" t="s">
        <v>75</v>
      </c>
      <c r="AE10333" t="s">
        <v>101</v>
      </c>
      <c r="AG10333" t="s">
        <v>81</v>
      </c>
    </row>
    <row r="10334" spans="1:33" x14ac:dyDescent="0.25">
      <c r="A10334" t="str">
        <f>"1699954412"</f>
        <v>1699954412</v>
      </c>
      <c r="B10334" t="str">
        <f>"00356836"</f>
        <v>00356836</v>
      </c>
      <c r="C10334" t="s">
        <v>3750</v>
      </c>
      <c r="D10334" t="s">
        <v>42550</v>
      </c>
      <c r="E10334" t="s">
        <v>42551</v>
      </c>
      <c r="F10334">
        <v>131968035</v>
      </c>
      <c r="G10334" t="s">
        <v>3753</v>
      </c>
      <c r="H10334" t="s">
        <v>3413</v>
      </c>
      <c r="I10334">
        <v>2205</v>
      </c>
      <c r="J10334" t="s">
        <v>3754</v>
      </c>
      <c r="L10334" t="s">
        <v>37</v>
      </c>
      <c r="M10334" t="s">
        <v>85</v>
      </c>
      <c r="R10334" t="s">
        <v>3414</v>
      </c>
      <c r="W10334" t="s">
        <v>42551</v>
      </c>
      <c r="X10334" t="s">
        <v>42552</v>
      </c>
      <c r="Y10334" t="s">
        <v>97</v>
      </c>
      <c r="Z10334" t="s">
        <v>77</v>
      </c>
      <c r="AA10334" t="str">
        <f>"10005-1625"</f>
        <v>10005-1625</v>
      </c>
      <c r="AB10334" t="s">
        <v>107</v>
      </c>
      <c r="AC10334" t="s">
        <v>79</v>
      </c>
      <c r="AD10334" t="s">
        <v>75</v>
      </c>
      <c r="AE10334" t="s">
        <v>80</v>
      </c>
      <c r="AG10334" t="s">
        <v>81</v>
      </c>
    </row>
    <row r="10335" spans="1:33" x14ac:dyDescent="0.25">
      <c r="C10335" t="s">
        <v>3750</v>
      </c>
      <c r="G10335" t="s">
        <v>3753</v>
      </c>
      <c r="H10335" t="s">
        <v>3413</v>
      </c>
      <c r="I10335">
        <v>2205</v>
      </c>
      <c r="J10335" t="s">
        <v>3754</v>
      </c>
      <c r="K10335" t="s">
        <v>99</v>
      </c>
      <c r="L10335" t="s">
        <v>100</v>
      </c>
      <c r="M10335" t="s">
        <v>75</v>
      </c>
      <c r="N10335" t="s">
        <v>42553</v>
      </c>
      <c r="O10335" t="s">
        <v>167</v>
      </c>
      <c r="P10335" t="s">
        <v>77</v>
      </c>
      <c r="Q10335" t="str">
        <f>"10005"</f>
        <v>10005</v>
      </c>
      <c r="AC10335" t="s">
        <v>79</v>
      </c>
      <c r="AD10335" t="s">
        <v>75</v>
      </c>
      <c r="AE10335" t="s">
        <v>101</v>
      </c>
      <c r="AG10335" t="s">
        <v>81</v>
      </c>
    </row>
    <row r="10336" spans="1:33" x14ac:dyDescent="0.25">
      <c r="C10336" t="s">
        <v>42554</v>
      </c>
      <c r="G10336" t="s">
        <v>20196</v>
      </c>
      <c r="H10336" t="s">
        <v>20197</v>
      </c>
      <c r="I10336">
        <v>3118</v>
      </c>
      <c r="J10336" t="s">
        <v>20198</v>
      </c>
      <c r="K10336" t="s">
        <v>99</v>
      </c>
      <c r="L10336" t="s">
        <v>100</v>
      </c>
      <c r="M10336" t="s">
        <v>75</v>
      </c>
      <c r="N10336" t="s">
        <v>5149</v>
      </c>
      <c r="O10336" t="s">
        <v>5150</v>
      </c>
      <c r="P10336" t="s">
        <v>77</v>
      </c>
      <c r="Q10336" t="str">
        <f>"10533"</f>
        <v>10533</v>
      </c>
      <c r="AC10336" t="s">
        <v>79</v>
      </c>
      <c r="AD10336" t="s">
        <v>75</v>
      </c>
      <c r="AE10336" t="s">
        <v>101</v>
      </c>
      <c r="AG10336" t="s">
        <v>81</v>
      </c>
    </row>
    <row r="10337" spans="1:33" x14ac:dyDescent="0.25">
      <c r="A10337" t="str">
        <f>"1295139665"</f>
        <v>1295139665</v>
      </c>
      <c r="C10337" t="s">
        <v>42555</v>
      </c>
      <c r="G10337" t="s">
        <v>42556</v>
      </c>
      <c r="H10337" t="s">
        <v>42557</v>
      </c>
      <c r="I10337">
        <v>222</v>
      </c>
      <c r="J10337" t="s">
        <v>42558</v>
      </c>
      <c r="K10337" t="s">
        <v>99</v>
      </c>
      <c r="L10337" t="s">
        <v>102</v>
      </c>
      <c r="M10337" t="s">
        <v>75</v>
      </c>
      <c r="R10337" t="s">
        <v>3374</v>
      </c>
      <c r="S10337" t="s">
        <v>3375</v>
      </c>
      <c r="T10337" t="s">
        <v>97</v>
      </c>
      <c r="U10337" t="s">
        <v>77</v>
      </c>
      <c r="V10337" t="str">
        <f>"100351015"</f>
        <v>100351015</v>
      </c>
      <c r="AC10337" t="s">
        <v>79</v>
      </c>
      <c r="AD10337" t="s">
        <v>75</v>
      </c>
      <c r="AE10337" t="s">
        <v>103</v>
      </c>
      <c r="AG10337" t="s">
        <v>81</v>
      </c>
    </row>
    <row r="10338" spans="1:33" x14ac:dyDescent="0.25">
      <c r="A10338" t="str">
        <f>"1003010174"</f>
        <v>1003010174</v>
      </c>
      <c r="B10338" t="str">
        <f>"03276726"</f>
        <v>03276726</v>
      </c>
      <c r="C10338" t="s">
        <v>42559</v>
      </c>
      <c r="D10338" t="s">
        <v>42560</v>
      </c>
      <c r="E10338" t="s">
        <v>42561</v>
      </c>
      <c r="G10338" t="s">
        <v>42559</v>
      </c>
      <c r="L10338" t="s">
        <v>83</v>
      </c>
      <c r="M10338" t="s">
        <v>75</v>
      </c>
      <c r="R10338" t="s">
        <v>42562</v>
      </c>
      <c r="W10338" t="s">
        <v>42561</v>
      </c>
      <c r="X10338" t="s">
        <v>2779</v>
      </c>
      <c r="Y10338" t="s">
        <v>87</v>
      </c>
      <c r="Z10338" t="s">
        <v>77</v>
      </c>
      <c r="AA10338" t="str">
        <f>"11217-1702"</f>
        <v>11217-1702</v>
      </c>
      <c r="AB10338" t="s">
        <v>78</v>
      </c>
      <c r="AC10338" t="s">
        <v>79</v>
      </c>
      <c r="AD10338" t="s">
        <v>75</v>
      </c>
      <c r="AE10338" t="s">
        <v>80</v>
      </c>
      <c r="AG10338" t="s">
        <v>81</v>
      </c>
    </row>
    <row r="10339" spans="1:33" x14ac:dyDescent="0.25">
      <c r="A10339" t="str">
        <f>"1003106444"</f>
        <v>1003106444</v>
      </c>
      <c r="B10339" t="str">
        <f>"03539200"</f>
        <v>03539200</v>
      </c>
      <c r="C10339" t="s">
        <v>42563</v>
      </c>
      <c r="D10339" t="s">
        <v>42564</v>
      </c>
      <c r="E10339" t="s">
        <v>42565</v>
      </c>
      <c r="G10339" t="s">
        <v>42563</v>
      </c>
      <c r="L10339" t="s">
        <v>83</v>
      </c>
      <c r="M10339" t="s">
        <v>75</v>
      </c>
      <c r="R10339" t="s">
        <v>42566</v>
      </c>
      <c r="W10339" t="s">
        <v>42565</v>
      </c>
      <c r="X10339" t="s">
        <v>8978</v>
      </c>
      <c r="Y10339" t="s">
        <v>155</v>
      </c>
      <c r="Z10339" t="s">
        <v>77</v>
      </c>
      <c r="AA10339" t="str">
        <f>"10301-3627"</f>
        <v>10301-3627</v>
      </c>
      <c r="AB10339" t="s">
        <v>128</v>
      </c>
      <c r="AC10339" t="s">
        <v>79</v>
      </c>
      <c r="AD10339" t="s">
        <v>75</v>
      </c>
      <c r="AE10339" t="s">
        <v>80</v>
      </c>
      <c r="AG10339" t="s">
        <v>81</v>
      </c>
    </row>
    <row r="10340" spans="1:33" x14ac:dyDescent="0.25">
      <c r="A10340" t="str">
        <f>"1003141706"</f>
        <v>1003141706</v>
      </c>
      <c r="B10340" t="str">
        <f>"03421996"</f>
        <v>03421996</v>
      </c>
      <c r="C10340" t="s">
        <v>42567</v>
      </c>
      <c r="D10340" t="s">
        <v>42568</v>
      </c>
      <c r="E10340" t="s">
        <v>42569</v>
      </c>
      <c r="G10340" t="s">
        <v>42567</v>
      </c>
      <c r="L10340" t="s">
        <v>84</v>
      </c>
      <c r="M10340" t="s">
        <v>75</v>
      </c>
      <c r="R10340" t="s">
        <v>42569</v>
      </c>
      <c r="W10340" t="s">
        <v>42569</v>
      </c>
      <c r="X10340" t="s">
        <v>42570</v>
      </c>
      <c r="Y10340" t="s">
        <v>97</v>
      </c>
      <c r="Z10340" t="s">
        <v>77</v>
      </c>
      <c r="AA10340" t="str">
        <f>"10010-5332"</f>
        <v>10010-5332</v>
      </c>
      <c r="AB10340" t="s">
        <v>78</v>
      </c>
      <c r="AC10340" t="s">
        <v>79</v>
      </c>
      <c r="AD10340" t="s">
        <v>75</v>
      </c>
      <c r="AE10340" t="s">
        <v>80</v>
      </c>
      <c r="AG10340" t="s">
        <v>81</v>
      </c>
    </row>
    <row r="10341" spans="1:33" x14ac:dyDescent="0.25">
      <c r="A10341" t="str">
        <f>"1376850065"</f>
        <v>1376850065</v>
      </c>
      <c r="B10341" t="str">
        <f>"03743280"</f>
        <v>03743280</v>
      </c>
      <c r="C10341" t="s">
        <v>42571</v>
      </c>
      <c r="D10341" t="s">
        <v>3263</v>
      </c>
      <c r="E10341" t="s">
        <v>3264</v>
      </c>
      <c r="G10341" t="s">
        <v>2708</v>
      </c>
      <c r="H10341" t="s">
        <v>868</v>
      </c>
      <c r="J10341" t="s">
        <v>2709</v>
      </c>
      <c r="L10341" t="s">
        <v>83</v>
      </c>
      <c r="M10341" t="s">
        <v>85</v>
      </c>
      <c r="R10341" t="s">
        <v>3265</v>
      </c>
      <c r="W10341" t="s">
        <v>3264</v>
      </c>
      <c r="X10341" t="s">
        <v>2855</v>
      </c>
      <c r="Y10341" t="s">
        <v>131</v>
      </c>
      <c r="Z10341" t="s">
        <v>77</v>
      </c>
      <c r="AA10341" t="str">
        <f>"10459-3204"</f>
        <v>10459-3204</v>
      </c>
      <c r="AB10341" t="s">
        <v>78</v>
      </c>
      <c r="AC10341" t="s">
        <v>79</v>
      </c>
      <c r="AD10341" t="s">
        <v>75</v>
      </c>
      <c r="AE10341" t="s">
        <v>80</v>
      </c>
      <c r="AG10341" t="s">
        <v>81</v>
      </c>
    </row>
    <row r="10342" spans="1:33" x14ac:dyDescent="0.25">
      <c r="A10342" t="str">
        <f>"1396046918"</f>
        <v>1396046918</v>
      </c>
      <c r="B10342" t="str">
        <f>"03312883"</f>
        <v>03312883</v>
      </c>
      <c r="C10342" t="s">
        <v>42572</v>
      </c>
      <c r="D10342" t="s">
        <v>4239</v>
      </c>
      <c r="E10342" t="s">
        <v>4240</v>
      </c>
      <c r="G10342" t="s">
        <v>2708</v>
      </c>
      <c r="H10342" t="s">
        <v>868</v>
      </c>
      <c r="J10342" t="s">
        <v>2709</v>
      </c>
      <c r="L10342" t="s">
        <v>83</v>
      </c>
      <c r="M10342" t="s">
        <v>85</v>
      </c>
      <c r="R10342" t="s">
        <v>4241</v>
      </c>
      <c r="W10342" t="s">
        <v>4240</v>
      </c>
      <c r="X10342" t="s">
        <v>3464</v>
      </c>
      <c r="Y10342" t="s">
        <v>131</v>
      </c>
      <c r="Z10342" t="s">
        <v>77</v>
      </c>
      <c r="AA10342" t="str">
        <f>"10457-4501"</f>
        <v>10457-4501</v>
      </c>
      <c r="AB10342" t="s">
        <v>78</v>
      </c>
      <c r="AC10342" t="s">
        <v>79</v>
      </c>
      <c r="AD10342" t="s">
        <v>75</v>
      </c>
      <c r="AE10342" t="s">
        <v>80</v>
      </c>
      <c r="AG10342" t="s">
        <v>81</v>
      </c>
    </row>
    <row r="10343" spans="1:33" x14ac:dyDescent="0.25">
      <c r="A10343" t="str">
        <f>"1518235134"</f>
        <v>1518235134</v>
      </c>
      <c r="B10343" t="str">
        <f>"03426762"</f>
        <v>03426762</v>
      </c>
      <c r="C10343" t="s">
        <v>42573</v>
      </c>
      <c r="D10343" t="s">
        <v>800</v>
      </c>
      <c r="E10343" t="s">
        <v>801</v>
      </c>
      <c r="G10343" t="s">
        <v>2708</v>
      </c>
      <c r="H10343" t="s">
        <v>868</v>
      </c>
      <c r="J10343" t="s">
        <v>2709</v>
      </c>
      <c r="L10343" t="s">
        <v>83</v>
      </c>
      <c r="M10343" t="s">
        <v>85</v>
      </c>
      <c r="R10343" t="s">
        <v>799</v>
      </c>
      <c r="W10343" t="s">
        <v>802</v>
      </c>
      <c r="X10343" t="s">
        <v>289</v>
      </c>
      <c r="Y10343" t="s">
        <v>283</v>
      </c>
      <c r="Z10343" t="s">
        <v>77</v>
      </c>
      <c r="AA10343" t="str">
        <f>"11418-2618"</f>
        <v>11418-2618</v>
      </c>
      <c r="AB10343" t="s">
        <v>114</v>
      </c>
      <c r="AC10343" t="s">
        <v>79</v>
      </c>
      <c r="AD10343" t="s">
        <v>75</v>
      </c>
      <c r="AE10343" t="s">
        <v>80</v>
      </c>
      <c r="AG10343" t="s">
        <v>81</v>
      </c>
    </row>
    <row r="10344" spans="1:33" x14ac:dyDescent="0.25">
      <c r="A10344" t="str">
        <f>"1528145711"</f>
        <v>1528145711</v>
      </c>
      <c r="B10344" t="str">
        <f>"03036308"</f>
        <v>03036308</v>
      </c>
      <c r="C10344" t="s">
        <v>42574</v>
      </c>
      <c r="D10344" t="s">
        <v>42575</v>
      </c>
      <c r="E10344" t="s">
        <v>42576</v>
      </c>
      <c r="G10344" t="s">
        <v>2708</v>
      </c>
      <c r="H10344" t="s">
        <v>868</v>
      </c>
      <c r="J10344" t="s">
        <v>2709</v>
      </c>
      <c r="L10344" t="s">
        <v>83</v>
      </c>
      <c r="M10344" t="s">
        <v>75</v>
      </c>
      <c r="R10344" t="s">
        <v>42577</v>
      </c>
      <c r="W10344" t="s">
        <v>42576</v>
      </c>
      <c r="X10344" t="s">
        <v>42578</v>
      </c>
      <c r="Y10344" t="s">
        <v>87</v>
      </c>
      <c r="Z10344" t="s">
        <v>77</v>
      </c>
      <c r="AA10344" t="str">
        <f>"11212-7306"</f>
        <v>11212-7306</v>
      </c>
      <c r="AB10344" t="s">
        <v>78</v>
      </c>
      <c r="AC10344" t="s">
        <v>79</v>
      </c>
      <c r="AD10344" t="s">
        <v>75</v>
      </c>
      <c r="AE10344" t="s">
        <v>80</v>
      </c>
      <c r="AG10344" t="s">
        <v>81</v>
      </c>
    </row>
    <row r="10345" spans="1:33" x14ac:dyDescent="0.25">
      <c r="A10345" t="str">
        <f>"1538396148"</f>
        <v>1538396148</v>
      </c>
      <c r="B10345" t="str">
        <f>"03651085"</f>
        <v>03651085</v>
      </c>
      <c r="C10345" t="s">
        <v>42579</v>
      </c>
      <c r="D10345" t="s">
        <v>2843</v>
      </c>
      <c r="E10345" t="s">
        <v>2844</v>
      </c>
      <c r="G10345" t="s">
        <v>2708</v>
      </c>
      <c r="H10345" t="s">
        <v>868</v>
      </c>
      <c r="J10345" t="s">
        <v>2709</v>
      </c>
      <c r="L10345" t="s">
        <v>84</v>
      </c>
      <c r="M10345" t="s">
        <v>75</v>
      </c>
      <c r="R10345" t="s">
        <v>2845</v>
      </c>
      <c r="W10345" t="s">
        <v>2844</v>
      </c>
      <c r="X10345" t="s">
        <v>204</v>
      </c>
      <c r="Y10345" t="s">
        <v>97</v>
      </c>
      <c r="Z10345" t="s">
        <v>77</v>
      </c>
      <c r="AA10345" t="str">
        <f>"10065-4870"</f>
        <v>10065-4870</v>
      </c>
      <c r="AB10345" t="s">
        <v>78</v>
      </c>
      <c r="AC10345" t="s">
        <v>79</v>
      </c>
      <c r="AD10345" t="s">
        <v>75</v>
      </c>
      <c r="AE10345" t="s">
        <v>80</v>
      </c>
      <c r="AG10345" t="s">
        <v>81</v>
      </c>
    </row>
    <row r="10346" spans="1:33" x14ac:dyDescent="0.25">
      <c r="A10346" t="str">
        <f>"1568898872"</f>
        <v>1568898872</v>
      </c>
      <c r="B10346" t="str">
        <f>"03736041"</f>
        <v>03736041</v>
      </c>
      <c r="C10346" t="s">
        <v>42580</v>
      </c>
      <c r="D10346" t="s">
        <v>42581</v>
      </c>
      <c r="E10346" t="s">
        <v>42582</v>
      </c>
      <c r="G10346" t="s">
        <v>2708</v>
      </c>
      <c r="H10346" t="s">
        <v>868</v>
      </c>
      <c r="J10346" t="s">
        <v>2709</v>
      </c>
      <c r="L10346" t="s">
        <v>84</v>
      </c>
      <c r="M10346" t="s">
        <v>85</v>
      </c>
      <c r="R10346" t="s">
        <v>42583</v>
      </c>
      <c r="W10346" t="s">
        <v>42582</v>
      </c>
      <c r="X10346" t="s">
        <v>2855</v>
      </c>
      <c r="Y10346" t="s">
        <v>131</v>
      </c>
      <c r="Z10346" t="s">
        <v>77</v>
      </c>
      <c r="AA10346" t="str">
        <f>"10459-3204"</f>
        <v>10459-3204</v>
      </c>
      <c r="AB10346" t="s">
        <v>78</v>
      </c>
      <c r="AC10346" t="s">
        <v>79</v>
      </c>
      <c r="AD10346" t="s">
        <v>75</v>
      </c>
      <c r="AE10346" t="s">
        <v>80</v>
      </c>
      <c r="AG10346" t="s">
        <v>81</v>
      </c>
    </row>
    <row r="10347" spans="1:33" x14ac:dyDescent="0.25">
      <c r="A10347" t="str">
        <f>"1659490563"</f>
        <v>1659490563</v>
      </c>
      <c r="B10347" t="str">
        <f>"02598709"</f>
        <v>02598709</v>
      </c>
      <c r="C10347" t="s">
        <v>42584</v>
      </c>
      <c r="D10347" t="s">
        <v>4399</v>
      </c>
      <c r="E10347" t="s">
        <v>4400</v>
      </c>
      <c r="G10347" t="s">
        <v>2708</v>
      </c>
      <c r="H10347" t="s">
        <v>868</v>
      </c>
      <c r="J10347" t="s">
        <v>2709</v>
      </c>
      <c r="L10347" t="s">
        <v>84</v>
      </c>
      <c r="M10347" t="s">
        <v>85</v>
      </c>
      <c r="R10347" t="s">
        <v>4401</v>
      </c>
      <c r="W10347" t="s">
        <v>4400</v>
      </c>
      <c r="X10347" t="s">
        <v>4402</v>
      </c>
      <c r="Y10347" t="s">
        <v>1747</v>
      </c>
      <c r="Z10347" t="s">
        <v>123</v>
      </c>
      <c r="AA10347" t="str">
        <f>"01199-1006"</f>
        <v>01199-1006</v>
      </c>
      <c r="AB10347" t="s">
        <v>78</v>
      </c>
      <c r="AC10347" t="s">
        <v>79</v>
      </c>
      <c r="AD10347" t="s">
        <v>75</v>
      </c>
      <c r="AE10347" t="s">
        <v>80</v>
      </c>
      <c r="AG10347" t="s">
        <v>81</v>
      </c>
    </row>
    <row r="10348" spans="1:33" x14ac:dyDescent="0.25">
      <c r="A10348" t="str">
        <f>"1700107554"</f>
        <v>1700107554</v>
      </c>
      <c r="B10348" t="str">
        <f>"03619601"</f>
        <v>03619601</v>
      </c>
      <c r="C10348" t="s">
        <v>42585</v>
      </c>
      <c r="D10348" t="s">
        <v>42586</v>
      </c>
      <c r="E10348" t="s">
        <v>42587</v>
      </c>
      <c r="G10348" t="s">
        <v>2708</v>
      </c>
      <c r="H10348" t="s">
        <v>868</v>
      </c>
      <c r="J10348" t="s">
        <v>2709</v>
      </c>
      <c r="L10348" t="s">
        <v>84</v>
      </c>
      <c r="M10348" t="s">
        <v>85</v>
      </c>
      <c r="R10348" t="s">
        <v>42588</v>
      </c>
      <c r="W10348" t="s">
        <v>42587</v>
      </c>
      <c r="X10348" t="s">
        <v>2710</v>
      </c>
      <c r="Y10348" t="s">
        <v>97</v>
      </c>
      <c r="Z10348" t="s">
        <v>77</v>
      </c>
      <c r="AA10348" t="str">
        <f>"10002-2301"</f>
        <v>10002-2301</v>
      </c>
      <c r="AB10348" t="s">
        <v>78</v>
      </c>
      <c r="AC10348" t="s">
        <v>79</v>
      </c>
      <c r="AD10348" t="s">
        <v>75</v>
      </c>
      <c r="AE10348" t="s">
        <v>80</v>
      </c>
      <c r="AG10348" t="s">
        <v>81</v>
      </c>
    </row>
    <row r="10349" spans="1:33" x14ac:dyDescent="0.25">
      <c r="A10349" t="str">
        <f>"1750489423"</f>
        <v>1750489423</v>
      </c>
      <c r="B10349" t="str">
        <f>"00843123"</f>
        <v>00843123</v>
      </c>
      <c r="C10349" t="s">
        <v>42589</v>
      </c>
      <c r="D10349" t="s">
        <v>2958</v>
      </c>
      <c r="E10349" t="s">
        <v>2959</v>
      </c>
      <c r="G10349" t="s">
        <v>2708</v>
      </c>
      <c r="H10349" t="s">
        <v>868</v>
      </c>
      <c r="J10349" t="s">
        <v>2709</v>
      </c>
      <c r="L10349" t="s">
        <v>83</v>
      </c>
      <c r="M10349" t="s">
        <v>85</v>
      </c>
      <c r="R10349" t="s">
        <v>2960</v>
      </c>
      <c r="W10349" t="s">
        <v>2959</v>
      </c>
      <c r="X10349" t="s">
        <v>2961</v>
      </c>
      <c r="Y10349" t="s">
        <v>254</v>
      </c>
      <c r="Z10349" t="s">
        <v>77</v>
      </c>
      <c r="AA10349" t="str">
        <f>"11374-3335"</f>
        <v>11374-3335</v>
      </c>
      <c r="AB10349" t="s">
        <v>78</v>
      </c>
      <c r="AC10349" t="s">
        <v>79</v>
      </c>
      <c r="AD10349" t="s">
        <v>75</v>
      </c>
      <c r="AE10349" t="s">
        <v>80</v>
      </c>
      <c r="AG10349" t="s">
        <v>81</v>
      </c>
    </row>
    <row r="10350" spans="1:33" x14ac:dyDescent="0.25">
      <c r="A10350" t="str">
        <f>"1811254725"</f>
        <v>1811254725</v>
      </c>
      <c r="B10350" t="str">
        <f>"03814142"</f>
        <v>03814142</v>
      </c>
      <c r="C10350" t="s">
        <v>42590</v>
      </c>
      <c r="D10350" t="s">
        <v>2953</v>
      </c>
      <c r="E10350" t="s">
        <v>2954</v>
      </c>
      <c r="G10350" t="s">
        <v>2708</v>
      </c>
      <c r="H10350" t="s">
        <v>868</v>
      </c>
      <c r="J10350" t="s">
        <v>2709</v>
      </c>
      <c r="L10350" t="s">
        <v>83</v>
      </c>
      <c r="M10350" t="s">
        <v>75</v>
      </c>
      <c r="R10350" t="s">
        <v>2954</v>
      </c>
      <c r="W10350" t="s">
        <v>2954</v>
      </c>
      <c r="X10350" t="s">
        <v>2769</v>
      </c>
      <c r="Y10350" t="s">
        <v>97</v>
      </c>
      <c r="Z10350" t="s">
        <v>77</v>
      </c>
      <c r="AA10350" t="str">
        <f>"10026-3138"</f>
        <v>10026-3138</v>
      </c>
      <c r="AB10350" t="s">
        <v>128</v>
      </c>
      <c r="AC10350" t="s">
        <v>79</v>
      </c>
      <c r="AD10350" t="s">
        <v>75</v>
      </c>
      <c r="AE10350" t="s">
        <v>80</v>
      </c>
      <c r="AG10350" t="s">
        <v>81</v>
      </c>
    </row>
    <row r="10351" spans="1:33" x14ac:dyDescent="0.25">
      <c r="A10351" t="str">
        <f>"1972647410"</f>
        <v>1972647410</v>
      </c>
      <c r="B10351" t="str">
        <f>"02924330"</f>
        <v>02924330</v>
      </c>
      <c r="C10351" t="s">
        <v>42591</v>
      </c>
      <c r="D10351" t="s">
        <v>2955</v>
      </c>
      <c r="E10351" t="s">
        <v>2956</v>
      </c>
      <c r="G10351" t="s">
        <v>2708</v>
      </c>
      <c r="H10351" t="s">
        <v>868</v>
      </c>
      <c r="J10351" t="s">
        <v>2709</v>
      </c>
      <c r="L10351" t="s">
        <v>83</v>
      </c>
      <c r="M10351" t="s">
        <v>85</v>
      </c>
      <c r="R10351" t="s">
        <v>2957</v>
      </c>
      <c r="W10351" t="s">
        <v>2956</v>
      </c>
      <c r="X10351" t="s">
        <v>612</v>
      </c>
      <c r="Y10351" t="s">
        <v>450</v>
      </c>
      <c r="Z10351" t="s">
        <v>77</v>
      </c>
      <c r="AA10351" t="str">
        <f>"11423-2511"</f>
        <v>11423-2511</v>
      </c>
      <c r="AB10351" t="s">
        <v>114</v>
      </c>
      <c r="AC10351" t="s">
        <v>79</v>
      </c>
      <c r="AD10351" t="s">
        <v>75</v>
      </c>
      <c r="AE10351" t="s">
        <v>80</v>
      </c>
      <c r="AG10351" t="s">
        <v>81</v>
      </c>
    </row>
    <row r="10352" spans="1:33" x14ac:dyDescent="0.25">
      <c r="A10352" t="str">
        <f>"1982987327"</f>
        <v>1982987327</v>
      </c>
      <c r="B10352" t="str">
        <f>"03379004"</f>
        <v>03379004</v>
      </c>
      <c r="C10352" t="s">
        <v>42592</v>
      </c>
      <c r="D10352" t="s">
        <v>42593</v>
      </c>
      <c r="E10352" t="s">
        <v>42594</v>
      </c>
      <c r="G10352" t="s">
        <v>2708</v>
      </c>
      <c r="H10352" t="s">
        <v>868</v>
      </c>
      <c r="J10352" t="s">
        <v>2709</v>
      </c>
      <c r="L10352" t="s">
        <v>83</v>
      </c>
      <c r="M10352" t="s">
        <v>85</v>
      </c>
      <c r="R10352" t="s">
        <v>42595</v>
      </c>
      <c r="W10352" t="s">
        <v>42594</v>
      </c>
      <c r="X10352" t="s">
        <v>42596</v>
      </c>
      <c r="Y10352" t="s">
        <v>214</v>
      </c>
      <c r="Z10352" t="s">
        <v>77</v>
      </c>
      <c r="AA10352" t="str">
        <f>"11801-5851"</f>
        <v>11801-5851</v>
      </c>
      <c r="AB10352" t="s">
        <v>82</v>
      </c>
      <c r="AC10352" t="s">
        <v>79</v>
      </c>
      <c r="AD10352" t="s">
        <v>75</v>
      </c>
      <c r="AE10352" t="s">
        <v>80</v>
      </c>
      <c r="AG10352" t="s">
        <v>81</v>
      </c>
    </row>
    <row r="10353" spans="1:33" x14ac:dyDescent="0.25">
      <c r="A10353" t="str">
        <f>"1376844605"</f>
        <v>1376844605</v>
      </c>
      <c r="B10353" t="str">
        <f>"03869725"</f>
        <v>03869725</v>
      </c>
      <c r="C10353" t="s">
        <v>42597</v>
      </c>
      <c r="D10353" t="s">
        <v>42598</v>
      </c>
      <c r="E10353" t="s">
        <v>42599</v>
      </c>
      <c r="G10353" t="s">
        <v>42428</v>
      </c>
      <c r="H10353" t="s">
        <v>42429</v>
      </c>
      <c r="J10353" t="s">
        <v>42430</v>
      </c>
      <c r="L10353" t="s">
        <v>74</v>
      </c>
      <c r="M10353" t="s">
        <v>75</v>
      </c>
      <c r="R10353" t="s">
        <v>42600</v>
      </c>
      <c r="W10353" t="s">
        <v>42599</v>
      </c>
      <c r="X10353" t="s">
        <v>42601</v>
      </c>
      <c r="Y10353" t="s">
        <v>97</v>
      </c>
      <c r="Z10353" t="s">
        <v>77</v>
      </c>
      <c r="AA10353" t="str">
        <f>"10035-3832"</f>
        <v>10035-3832</v>
      </c>
      <c r="AB10353" t="s">
        <v>440</v>
      </c>
      <c r="AC10353" t="s">
        <v>79</v>
      </c>
      <c r="AD10353" t="s">
        <v>75</v>
      </c>
      <c r="AE10353" t="s">
        <v>80</v>
      </c>
      <c r="AG10353" t="s">
        <v>81</v>
      </c>
    </row>
    <row r="10354" spans="1:33" x14ac:dyDescent="0.25">
      <c r="A10354" t="str">
        <f>"1487993002"</f>
        <v>1487993002</v>
      </c>
      <c r="B10354" t="str">
        <f>"03632560"</f>
        <v>03632560</v>
      </c>
      <c r="C10354" t="s">
        <v>42602</v>
      </c>
      <c r="D10354" t="s">
        <v>42603</v>
      </c>
      <c r="E10354" t="s">
        <v>42604</v>
      </c>
      <c r="G10354" t="s">
        <v>42428</v>
      </c>
      <c r="H10354" t="s">
        <v>42429</v>
      </c>
      <c r="J10354" t="s">
        <v>42430</v>
      </c>
      <c r="L10354" t="s">
        <v>83</v>
      </c>
      <c r="M10354" t="s">
        <v>75</v>
      </c>
      <c r="R10354" t="s">
        <v>42605</v>
      </c>
      <c r="W10354" t="s">
        <v>42604</v>
      </c>
      <c r="X10354" t="s">
        <v>11308</v>
      </c>
      <c r="Y10354" t="s">
        <v>131</v>
      </c>
      <c r="Z10354" t="s">
        <v>77</v>
      </c>
      <c r="AA10354" t="str">
        <f>"10453-5436"</f>
        <v>10453-5436</v>
      </c>
      <c r="AB10354" t="s">
        <v>78</v>
      </c>
      <c r="AC10354" t="s">
        <v>79</v>
      </c>
      <c r="AD10354" t="s">
        <v>75</v>
      </c>
      <c r="AE10354" t="s">
        <v>80</v>
      </c>
      <c r="AG10354" t="s">
        <v>81</v>
      </c>
    </row>
    <row r="10355" spans="1:33" x14ac:dyDescent="0.25">
      <c r="A10355" t="str">
        <f>"1497046072"</f>
        <v>1497046072</v>
      </c>
      <c r="B10355" t="str">
        <f>"04038895"</f>
        <v>04038895</v>
      </c>
      <c r="C10355" t="s">
        <v>42606</v>
      </c>
      <c r="D10355" t="s">
        <v>42607</v>
      </c>
      <c r="E10355" t="s">
        <v>42608</v>
      </c>
      <c r="G10355" t="s">
        <v>42428</v>
      </c>
      <c r="H10355" t="s">
        <v>42429</v>
      </c>
      <c r="J10355" t="s">
        <v>42430</v>
      </c>
      <c r="L10355" t="s">
        <v>83</v>
      </c>
      <c r="M10355" t="s">
        <v>75</v>
      </c>
      <c r="R10355" t="s">
        <v>42608</v>
      </c>
      <c r="W10355" t="s">
        <v>42608</v>
      </c>
      <c r="X10355" t="s">
        <v>2838</v>
      </c>
      <c r="Y10355" t="s">
        <v>97</v>
      </c>
      <c r="Z10355" t="s">
        <v>77</v>
      </c>
      <c r="AA10355" t="str">
        <f>"10003-3105"</f>
        <v>10003-3105</v>
      </c>
      <c r="AB10355" t="s">
        <v>78</v>
      </c>
      <c r="AC10355" t="s">
        <v>79</v>
      </c>
      <c r="AD10355" t="s">
        <v>75</v>
      </c>
      <c r="AE10355" t="s">
        <v>80</v>
      </c>
      <c r="AG10355" t="s">
        <v>81</v>
      </c>
    </row>
    <row r="10356" spans="1:33" x14ac:dyDescent="0.25">
      <c r="A10356" t="str">
        <f>"1538418454"</f>
        <v>1538418454</v>
      </c>
      <c r="B10356" t="str">
        <f>"03868164"</f>
        <v>03868164</v>
      </c>
      <c r="C10356" t="s">
        <v>42609</v>
      </c>
      <c r="D10356" t="s">
        <v>42610</v>
      </c>
      <c r="E10356" t="s">
        <v>42611</v>
      </c>
      <c r="G10356" t="s">
        <v>42428</v>
      </c>
      <c r="H10356" t="s">
        <v>42429</v>
      </c>
      <c r="J10356" t="s">
        <v>42430</v>
      </c>
      <c r="L10356" t="s">
        <v>83</v>
      </c>
      <c r="M10356" t="s">
        <v>75</v>
      </c>
      <c r="R10356" t="s">
        <v>42612</v>
      </c>
      <c r="W10356" t="s">
        <v>42611</v>
      </c>
      <c r="X10356" t="s">
        <v>1010</v>
      </c>
      <c r="Y10356" t="s">
        <v>97</v>
      </c>
      <c r="Z10356" t="s">
        <v>77</v>
      </c>
      <c r="AA10356" t="str">
        <f>"10035-3832"</f>
        <v>10035-3832</v>
      </c>
      <c r="AB10356" t="s">
        <v>440</v>
      </c>
      <c r="AC10356" t="s">
        <v>79</v>
      </c>
      <c r="AD10356" t="s">
        <v>75</v>
      </c>
      <c r="AE10356" t="s">
        <v>80</v>
      </c>
      <c r="AG10356" t="s">
        <v>81</v>
      </c>
    </row>
    <row r="10357" spans="1:33" x14ac:dyDescent="0.25">
      <c r="A10357" t="str">
        <f>"1578557625"</f>
        <v>1578557625</v>
      </c>
      <c r="B10357" t="str">
        <f>"02518358"</f>
        <v>02518358</v>
      </c>
      <c r="C10357" t="s">
        <v>42613</v>
      </c>
      <c r="D10357" t="s">
        <v>42614</v>
      </c>
      <c r="E10357" t="s">
        <v>42615</v>
      </c>
      <c r="G10357" t="s">
        <v>42428</v>
      </c>
      <c r="H10357" t="s">
        <v>42429</v>
      </c>
      <c r="J10357" t="s">
        <v>42430</v>
      </c>
      <c r="L10357" t="s">
        <v>83</v>
      </c>
      <c r="M10357" t="s">
        <v>75</v>
      </c>
      <c r="R10357" t="s">
        <v>42616</v>
      </c>
      <c r="W10357" t="s">
        <v>42617</v>
      </c>
      <c r="X10357" t="s">
        <v>4876</v>
      </c>
      <c r="Y10357" t="s">
        <v>131</v>
      </c>
      <c r="Z10357" t="s">
        <v>77</v>
      </c>
      <c r="AA10357" t="str">
        <f>"10473-1402"</f>
        <v>10473-1402</v>
      </c>
      <c r="AB10357" t="s">
        <v>128</v>
      </c>
      <c r="AC10357" t="s">
        <v>79</v>
      </c>
      <c r="AD10357" t="s">
        <v>75</v>
      </c>
      <c r="AE10357" t="s">
        <v>80</v>
      </c>
      <c r="AG10357" t="s">
        <v>81</v>
      </c>
    </row>
    <row r="10358" spans="1:33" x14ac:dyDescent="0.25">
      <c r="A10358" t="str">
        <f>"1619961802"</f>
        <v>1619961802</v>
      </c>
      <c r="B10358" t="str">
        <f>"01753415"</f>
        <v>01753415</v>
      </c>
      <c r="C10358" t="s">
        <v>42618</v>
      </c>
      <c r="D10358" t="s">
        <v>42619</v>
      </c>
      <c r="E10358" t="s">
        <v>42620</v>
      </c>
      <c r="G10358" t="s">
        <v>42428</v>
      </c>
      <c r="H10358" t="s">
        <v>42429</v>
      </c>
      <c r="J10358" t="s">
        <v>42430</v>
      </c>
      <c r="L10358" t="s">
        <v>84</v>
      </c>
      <c r="M10358" t="s">
        <v>85</v>
      </c>
      <c r="R10358" t="s">
        <v>42621</v>
      </c>
      <c r="W10358" t="s">
        <v>42620</v>
      </c>
      <c r="X10358" t="s">
        <v>4446</v>
      </c>
      <c r="Y10358" t="s">
        <v>131</v>
      </c>
      <c r="Z10358" t="s">
        <v>77</v>
      </c>
      <c r="AA10358" t="str">
        <f>"10453-6018"</f>
        <v>10453-6018</v>
      </c>
      <c r="AB10358" t="s">
        <v>78</v>
      </c>
      <c r="AC10358" t="s">
        <v>79</v>
      </c>
      <c r="AD10358" t="s">
        <v>75</v>
      </c>
      <c r="AE10358" t="s">
        <v>80</v>
      </c>
      <c r="AG10358" t="s">
        <v>81</v>
      </c>
    </row>
    <row r="10359" spans="1:33" x14ac:dyDescent="0.25">
      <c r="A10359" t="str">
        <f>"1841452935"</f>
        <v>1841452935</v>
      </c>
      <c r="B10359" t="str">
        <f>"03078911"</f>
        <v>03078911</v>
      </c>
      <c r="C10359" t="s">
        <v>42622</v>
      </c>
      <c r="D10359" t="s">
        <v>42623</v>
      </c>
      <c r="E10359" t="s">
        <v>42624</v>
      </c>
      <c r="G10359" t="s">
        <v>42428</v>
      </c>
      <c r="H10359" t="s">
        <v>42429</v>
      </c>
      <c r="J10359" t="s">
        <v>42430</v>
      </c>
      <c r="L10359" t="s">
        <v>83</v>
      </c>
      <c r="M10359" t="s">
        <v>75</v>
      </c>
      <c r="R10359" t="s">
        <v>42624</v>
      </c>
      <c r="W10359" t="s">
        <v>42624</v>
      </c>
      <c r="X10359" t="s">
        <v>202</v>
      </c>
      <c r="Y10359" t="s">
        <v>87</v>
      </c>
      <c r="Z10359" t="s">
        <v>77</v>
      </c>
      <c r="AA10359" t="str">
        <f>"11201-5425"</f>
        <v>11201-5425</v>
      </c>
      <c r="AB10359" t="s">
        <v>78</v>
      </c>
      <c r="AC10359" t="s">
        <v>79</v>
      </c>
      <c r="AD10359" t="s">
        <v>75</v>
      </c>
      <c r="AE10359" t="s">
        <v>80</v>
      </c>
      <c r="AG10359" t="s">
        <v>81</v>
      </c>
    </row>
    <row r="10360" spans="1:33" x14ac:dyDescent="0.25">
      <c r="A10360" t="str">
        <f>"1851510135"</f>
        <v>1851510135</v>
      </c>
      <c r="B10360" t="str">
        <f>"03813247"</f>
        <v>03813247</v>
      </c>
      <c r="C10360" t="s">
        <v>42625</v>
      </c>
      <c r="D10360" t="s">
        <v>42626</v>
      </c>
      <c r="E10360" t="s">
        <v>42627</v>
      </c>
      <c r="G10360" t="s">
        <v>42428</v>
      </c>
      <c r="H10360" t="s">
        <v>42429</v>
      </c>
      <c r="J10360" t="s">
        <v>42430</v>
      </c>
      <c r="L10360" t="s">
        <v>83</v>
      </c>
      <c r="M10360" t="s">
        <v>75</v>
      </c>
      <c r="R10360" t="s">
        <v>42628</v>
      </c>
      <c r="W10360" t="s">
        <v>42627</v>
      </c>
      <c r="X10360" t="s">
        <v>3876</v>
      </c>
      <c r="Y10360" t="s">
        <v>131</v>
      </c>
      <c r="Z10360" t="s">
        <v>77</v>
      </c>
      <c r="AA10360" t="str">
        <f>"10473-2631"</f>
        <v>10473-2631</v>
      </c>
      <c r="AB10360" t="s">
        <v>440</v>
      </c>
      <c r="AC10360" t="s">
        <v>79</v>
      </c>
      <c r="AD10360" t="s">
        <v>75</v>
      </c>
      <c r="AE10360" t="s">
        <v>80</v>
      </c>
      <c r="AG10360" t="s">
        <v>81</v>
      </c>
    </row>
    <row r="10361" spans="1:33" x14ac:dyDescent="0.25">
      <c r="A10361" t="str">
        <f>"1912308636"</f>
        <v>1912308636</v>
      </c>
      <c r="B10361" t="str">
        <f>"03993217"</f>
        <v>03993217</v>
      </c>
      <c r="C10361" t="s">
        <v>42629</v>
      </c>
      <c r="D10361" t="s">
        <v>42630</v>
      </c>
      <c r="E10361" t="s">
        <v>42631</v>
      </c>
      <c r="G10361" t="s">
        <v>42428</v>
      </c>
      <c r="H10361" t="s">
        <v>42429</v>
      </c>
      <c r="J10361" t="s">
        <v>42430</v>
      </c>
      <c r="L10361" t="s">
        <v>83</v>
      </c>
      <c r="M10361" t="s">
        <v>75</v>
      </c>
      <c r="R10361" t="s">
        <v>42632</v>
      </c>
      <c r="W10361" t="s">
        <v>42631</v>
      </c>
      <c r="X10361" t="s">
        <v>42633</v>
      </c>
      <c r="Y10361" t="s">
        <v>4623</v>
      </c>
      <c r="Z10361" t="s">
        <v>1842</v>
      </c>
      <c r="AA10361" t="str">
        <f>"06851-4411"</f>
        <v>06851-4411</v>
      </c>
      <c r="AB10361" t="s">
        <v>78</v>
      </c>
      <c r="AC10361" t="s">
        <v>79</v>
      </c>
      <c r="AD10361" t="s">
        <v>75</v>
      </c>
      <c r="AE10361" t="s">
        <v>80</v>
      </c>
      <c r="AG10361" t="s">
        <v>81</v>
      </c>
    </row>
    <row r="10362" spans="1:33" x14ac:dyDescent="0.25">
      <c r="A10362" t="str">
        <f>"1922385335"</f>
        <v>1922385335</v>
      </c>
      <c r="B10362" t="str">
        <f>"03441747"</f>
        <v>03441747</v>
      </c>
      <c r="C10362" t="s">
        <v>42634</v>
      </c>
      <c r="D10362" t="s">
        <v>42635</v>
      </c>
      <c r="E10362" t="s">
        <v>42636</v>
      </c>
      <c r="G10362" t="s">
        <v>42428</v>
      </c>
      <c r="H10362" t="s">
        <v>42429</v>
      </c>
      <c r="J10362" t="s">
        <v>42430</v>
      </c>
      <c r="L10362" t="s">
        <v>84</v>
      </c>
      <c r="M10362" t="s">
        <v>85</v>
      </c>
      <c r="R10362" t="s">
        <v>42637</v>
      </c>
      <c r="W10362" t="s">
        <v>42636</v>
      </c>
      <c r="X10362" t="s">
        <v>3876</v>
      </c>
      <c r="Y10362" t="s">
        <v>131</v>
      </c>
      <c r="Z10362" t="s">
        <v>77</v>
      </c>
      <c r="AA10362" t="str">
        <f>"10473-2631"</f>
        <v>10473-2631</v>
      </c>
      <c r="AB10362" t="s">
        <v>78</v>
      </c>
      <c r="AC10362" t="s">
        <v>79</v>
      </c>
      <c r="AD10362" t="s">
        <v>75</v>
      </c>
      <c r="AE10362" t="s">
        <v>80</v>
      </c>
      <c r="AG10362" t="s">
        <v>81</v>
      </c>
    </row>
    <row r="10363" spans="1:33" x14ac:dyDescent="0.25">
      <c r="C10363" t="s">
        <v>42638</v>
      </c>
      <c r="G10363" t="s">
        <v>42638</v>
      </c>
      <c r="H10363" t="s">
        <v>10237</v>
      </c>
      <c r="J10363" t="s">
        <v>10238</v>
      </c>
      <c r="K10363" t="s">
        <v>99</v>
      </c>
      <c r="L10363" t="s">
        <v>100</v>
      </c>
      <c r="M10363" t="s">
        <v>75</v>
      </c>
      <c r="N10363" t="s">
        <v>42639</v>
      </c>
      <c r="O10363" t="s">
        <v>167</v>
      </c>
      <c r="P10363" t="s">
        <v>77</v>
      </c>
      <c r="Q10363" t="str">
        <f>"10040"</f>
        <v>10040</v>
      </c>
      <c r="AC10363" t="s">
        <v>79</v>
      </c>
      <c r="AD10363" t="s">
        <v>75</v>
      </c>
      <c r="AE10363" t="s">
        <v>101</v>
      </c>
      <c r="AG10363" t="s">
        <v>81</v>
      </c>
    </row>
    <row r="10364" spans="1:33" x14ac:dyDescent="0.25">
      <c r="A10364" t="str">
        <f>"1366789158"</f>
        <v>1366789158</v>
      </c>
      <c r="B10364" t="str">
        <f>"03804973"</f>
        <v>03804973</v>
      </c>
      <c r="C10364" t="s">
        <v>42640</v>
      </c>
      <c r="D10364" t="s">
        <v>42641</v>
      </c>
      <c r="E10364" t="s">
        <v>42642</v>
      </c>
      <c r="G10364" t="s">
        <v>42643</v>
      </c>
      <c r="H10364" t="s">
        <v>42644</v>
      </c>
      <c r="J10364" t="s">
        <v>42645</v>
      </c>
      <c r="L10364" t="s">
        <v>119</v>
      </c>
      <c r="M10364" t="s">
        <v>85</v>
      </c>
      <c r="R10364" t="s">
        <v>42642</v>
      </c>
      <c r="W10364" t="s">
        <v>42642</v>
      </c>
      <c r="X10364" t="s">
        <v>42646</v>
      </c>
      <c r="Y10364" t="s">
        <v>97</v>
      </c>
      <c r="Z10364" t="s">
        <v>77</v>
      </c>
      <c r="AA10364" t="str">
        <f>"10012-4051"</f>
        <v>10012-4051</v>
      </c>
      <c r="AB10364" t="s">
        <v>122</v>
      </c>
      <c r="AC10364" t="s">
        <v>79</v>
      </c>
      <c r="AD10364" t="s">
        <v>75</v>
      </c>
      <c r="AE10364" t="s">
        <v>80</v>
      </c>
      <c r="AG10364" t="s">
        <v>81</v>
      </c>
    </row>
    <row r="10365" spans="1:33" x14ac:dyDescent="0.25">
      <c r="A10365" t="str">
        <f>"1699031070"</f>
        <v>1699031070</v>
      </c>
      <c r="C10365" t="s">
        <v>42647</v>
      </c>
      <c r="G10365" t="s">
        <v>42647</v>
      </c>
      <c r="H10365" t="s">
        <v>42648</v>
      </c>
      <c r="J10365" t="s">
        <v>42645</v>
      </c>
      <c r="K10365" t="s">
        <v>99</v>
      </c>
      <c r="L10365" t="s">
        <v>102</v>
      </c>
      <c r="M10365" t="s">
        <v>75</v>
      </c>
      <c r="R10365" t="s">
        <v>42649</v>
      </c>
      <c r="S10365" t="s">
        <v>42650</v>
      </c>
      <c r="T10365" t="s">
        <v>97</v>
      </c>
      <c r="U10365" t="s">
        <v>77</v>
      </c>
      <c r="V10365" t="str">
        <f>"100273003"</f>
        <v>100273003</v>
      </c>
      <c r="AC10365" t="s">
        <v>79</v>
      </c>
      <c r="AD10365" t="s">
        <v>75</v>
      </c>
      <c r="AE10365" t="s">
        <v>103</v>
      </c>
      <c r="AG10365" t="s">
        <v>81</v>
      </c>
    </row>
    <row r="10366" spans="1:33" x14ac:dyDescent="0.25">
      <c r="A10366" t="str">
        <f>"1851542658"</f>
        <v>1851542658</v>
      </c>
      <c r="B10366" t="str">
        <f>"04289158"</f>
        <v>04289158</v>
      </c>
      <c r="C10366" t="s">
        <v>42651</v>
      </c>
      <c r="D10366" t="s">
        <v>42652</v>
      </c>
      <c r="E10366" t="s">
        <v>42653</v>
      </c>
      <c r="G10366" t="s">
        <v>42654</v>
      </c>
      <c r="H10366" t="s">
        <v>17233</v>
      </c>
      <c r="I10366">
        <v>7720</v>
      </c>
      <c r="J10366" t="s">
        <v>3397</v>
      </c>
      <c r="L10366" t="s">
        <v>102</v>
      </c>
      <c r="M10366" t="s">
        <v>75</v>
      </c>
      <c r="R10366" t="s">
        <v>42655</v>
      </c>
      <c r="W10366" t="s">
        <v>42653</v>
      </c>
      <c r="X10366" t="s">
        <v>42656</v>
      </c>
      <c r="Y10366" t="s">
        <v>97</v>
      </c>
      <c r="Z10366" t="s">
        <v>77</v>
      </c>
      <c r="AA10366" t="str">
        <f>"10010-3101"</f>
        <v>10010-3101</v>
      </c>
      <c r="AB10366" t="s">
        <v>78</v>
      </c>
      <c r="AC10366" t="s">
        <v>79</v>
      </c>
      <c r="AD10366" t="s">
        <v>75</v>
      </c>
      <c r="AE10366" t="s">
        <v>80</v>
      </c>
      <c r="AG10366" t="s">
        <v>81</v>
      </c>
    </row>
    <row r="10367" spans="1:33" x14ac:dyDescent="0.25">
      <c r="C10367" t="s">
        <v>42657</v>
      </c>
      <c r="H10367" t="s">
        <v>1167</v>
      </c>
      <c r="K10367" t="s">
        <v>99</v>
      </c>
      <c r="L10367" t="s">
        <v>100</v>
      </c>
      <c r="M10367" t="s">
        <v>75</v>
      </c>
      <c r="N10367" t="s">
        <v>42658</v>
      </c>
      <c r="O10367" t="s">
        <v>1310</v>
      </c>
      <c r="P10367" t="s">
        <v>77</v>
      </c>
      <c r="Q10367" t="str">
        <f>"10039"</f>
        <v>10039</v>
      </c>
      <c r="AC10367" t="s">
        <v>79</v>
      </c>
      <c r="AD10367" t="s">
        <v>75</v>
      </c>
      <c r="AE10367" t="s">
        <v>101</v>
      </c>
      <c r="AG10367" t="s">
        <v>81</v>
      </c>
    </row>
    <row r="10368" spans="1:33" x14ac:dyDescent="0.25">
      <c r="C10368" t="s">
        <v>42659</v>
      </c>
      <c r="G10368" t="s">
        <v>42660</v>
      </c>
      <c r="H10368" t="s">
        <v>1406</v>
      </c>
      <c r="J10368" t="s">
        <v>40572</v>
      </c>
      <c r="K10368" t="s">
        <v>99</v>
      </c>
      <c r="L10368" t="s">
        <v>100</v>
      </c>
      <c r="M10368" t="s">
        <v>75</v>
      </c>
      <c r="AC10368" t="s">
        <v>79</v>
      </c>
      <c r="AD10368" t="s">
        <v>75</v>
      </c>
      <c r="AE10368" t="s">
        <v>101</v>
      </c>
      <c r="AG10368" t="s">
        <v>81</v>
      </c>
    </row>
    <row r="10369" spans="1:33" x14ac:dyDescent="0.25">
      <c r="A10369" t="str">
        <f>"1780605444"</f>
        <v>1780605444</v>
      </c>
      <c r="B10369" t="str">
        <f>"03500438"</f>
        <v>03500438</v>
      </c>
      <c r="C10369" t="s">
        <v>42661</v>
      </c>
      <c r="D10369" t="s">
        <v>42662</v>
      </c>
      <c r="E10369" t="s">
        <v>42663</v>
      </c>
      <c r="G10369" t="s">
        <v>42664</v>
      </c>
      <c r="H10369" t="s">
        <v>42665</v>
      </c>
      <c r="J10369" t="s">
        <v>42666</v>
      </c>
      <c r="L10369" t="s">
        <v>102</v>
      </c>
      <c r="M10369" t="s">
        <v>75</v>
      </c>
      <c r="R10369" t="s">
        <v>42667</v>
      </c>
      <c r="W10369" t="s">
        <v>42663</v>
      </c>
      <c r="X10369" t="s">
        <v>42668</v>
      </c>
      <c r="Y10369" t="s">
        <v>3818</v>
      </c>
      <c r="Z10369" t="s">
        <v>77</v>
      </c>
      <c r="AA10369" t="str">
        <f>"11714-3716"</f>
        <v>11714-3716</v>
      </c>
      <c r="AB10369" t="s">
        <v>136</v>
      </c>
      <c r="AC10369" t="s">
        <v>79</v>
      </c>
      <c r="AD10369" t="s">
        <v>75</v>
      </c>
      <c r="AE10369" t="s">
        <v>80</v>
      </c>
      <c r="AG10369" t="s">
        <v>81</v>
      </c>
    </row>
    <row r="10370" spans="1:33" x14ac:dyDescent="0.25">
      <c r="C10370" t="s">
        <v>42669</v>
      </c>
      <c r="G10370" t="s">
        <v>42670</v>
      </c>
      <c r="H10370" t="s">
        <v>1324</v>
      </c>
      <c r="J10370" t="s">
        <v>39939</v>
      </c>
      <c r="K10370" t="s">
        <v>99</v>
      </c>
      <c r="L10370" t="s">
        <v>100</v>
      </c>
      <c r="M10370" t="s">
        <v>75</v>
      </c>
      <c r="N10370" t="s">
        <v>42671</v>
      </c>
      <c r="O10370" t="s">
        <v>42672</v>
      </c>
      <c r="P10370" t="s">
        <v>77</v>
      </c>
      <c r="Q10370" t="str">
        <f>"11101"</f>
        <v>11101</v>
      </c>
      <c r="AC10370" t="s">
        <v>79</v>
      </c>
      <c r="AD10370" t="s">
        <v>75</v>
      </c>
      <c r="AE10370" t="s">
        <v>101</v>
      </c>
      <c r="AG10370" t="s">
        <v>81</v>
      </c>
    </row>
    <row r="10371" spans="1:33" x14ac:dyDescent="0.25">
      <c r="C10371" t="s">
        <v>42673</v>
      </c>
      <c r="G10371" t="s">
        <v>42670</v>
      </c>
      <c r="H10371" t="s">
        <v>1324</v>
      </c>
      <c r="J10371" t="s">
        <v>39939</v>
      </c>
      <c r="K10371" t="s">
        <v>99</v>
      </c>
      <c r="L10371" t="s">
        <v>100</v>
      </c>
      <c r="M10371" t="s">
        <v>75</v>
      </c>
      <c r="N10371" t="s">
        <v>42674</v>
      </c>
      <c r="O10371" t="s">
        <v>42672</v>
      </c>
      <c r="P10371" t="s">
        <v>77</v>
      </c>
      <c r="Q10371" t="str">
        <f>"11101"</f>
        <v>11101</v>
      </c>
      <c r="AC10371" t="s">
        <v>79</v>
      </c>
      <c r="AD10371" t="s">
        <v>75</v>
      </c>
      <c r="AE10371" t="s">
        <v>101</v>
      </c>
      <c r="AG10371" t="s">
        <v>81</v>
      </c>
    </row>
    <row r="10372" spans="1:33" x14ac:dyDescent="0.25">
      <c r="C10372" t="s">
        <v>42675</v>
      </c>
      <c r="G10372" t="s">
        <v>42670</v>
      </c>
      <c r="H10372" t="s">
        <v>1324</v>
      </c>
      <c r="J10372" t="s">
        <v>39939</v>
      </c>
      <c r="K10372" t="s">
        <v>99</v>
      </c>
      <c r="L10372" t="s">
        <v>100</v>
      </c>
      <c r="M10372" t="s">
        <v>75</v>
      </c>
      <c r="N10372" t="s">
        <v>42676</v>
      </c>
      <c r="O10372" t="s">
        <v>42677</v>
      </c>
      <c r="P10372" t="s">
        <v>77</v>
      </c>
      <c r="Q10372" t="str">
        <f>"11104"</f>
        <v>11104</v>
      </c>
      <c r="AC10372" t="s">
        <v>79</v>
      </c>
      <c r="AD10372" t="s">
        <v>75</v>
      </c>
      <c r="AE10372" t="s">
        <v>101</v>
      </c>
      <c r="AG10372" t="s">
        <v>81</v>
      </c>
    </row>
    <row r="10373" spans="1:33" x14ac:dyDescent="0.25">
      <c r="C10373" t="s">
        <v>42678</v>
      </c>
      <c r="G10373" t="s">
        <v>42670</v>
      </c>
      <c r="H10373" t="s">
        <v>1324</v>
      </c>
      <c r="J10373" t="s">
        <v>39939</v>
      </c>
      <c r="K10373" t="s">
        <v>99</v>
      </c>
      <c r="L10373" t="s">
        <v>100</v>
      </c>
      <c r="M10373" t="s">
        <v>75</v>
      </c>
      <c r="N10373" t="s">
        <v>42679</v>
      </c>
      <c r="O10373" t="s">
        <v>42680</v>
      </c>
      <c r="P10373" t="s">
        <v>77</v>
      </c>
      <c r="Q10373" t="str">
        <f>"11373"</f>
        <v>11373</v>
      </c>
      <c r="AC10373" t="s">
        <v>79</v>
      </c>
      <c r="AD10373" t="s">
        <v>75</v>
      </c>
      <c r="AE10373" t="s">
        <v>101</v>
      </c>
      <c r="AG10373" t="s">
        <v>81</v>
      </c>
    </row>
    <row r="10374" spans="1:33" x14ac:dyDescent="0.25">
      <c r="A10374" t="str">
        <f>"1912088220"</f>
        <v>1912088220</v>
      </c>
      <c r="B10374" t="str">
        <f>"02658648"</f>
        <v>02658648</v>
      </c>
      <c r="C10374" t="s">
        <v>42681</v>
      </c>
      <c r="D10374" t="s">
        <v>42682</v>
      </c>
      <c r="E10374" t="s">
        <v>42683</v>
      </c>
      <c r="G10374" t="s">
        <v>35048</v>
      </c>
      <c r="H10374" t="s">
        <v>35049</v>
      </c>
      <c r="J10374" t="s">
        <v>35050</v>
      </c>
      <c r="L10374" t="s">
        <v>83</v>
      </c>
      <c r="M10374" t="s">
        <v>85</v>
      </c>
      <c r="R10374" t="s">
        <v>42684</v>
      </c>
      <c r="W10374" t="s">
        <v>42683</v>
      </c>
      <c r="X10374" t="s">
        <v>42685</v>
      </c>
      <c r="Y10374" t="s">
        <v>5172</v>
      </c>
      <c r="Z10374" t="s">
        <v>77</v>
      </c>
      <c r="AA10374" t="str">
        <f>"11373"</f>
        <v>11373</v>
      </c>
      <c r="AB10374" t="s">
        <v>114</v>
      </c>
      <c r="AC10374" t="s">
        <v>79</v>
      </c>
      <c r="AD10374" t="s">
        <v>75</v>
      </c>
      <c r="AE10374" t="s">
        <v>80</v>
      </c>
      <c r="AG10374" t="s">
        <v>81</v>
      </c>
    </row>
    <row r="10375" spans="1:33" x14ac:dyDescent="0.25">
      <c r="A10375" t="str">
        <f>"1306019286"</f>
        <v>1306019286</v>
      </c>
      <c r="B10375" t="str">
        <f>"03382285"</f>
        <v>03382285</v>
      </c>
      <c r="C10375" t="s">
        <v>42686</v>
      </c>
      <c r="D10375" t="s">
        <v>42687</v>
      </c>
      <c r="E10375" t="s">
        <v>42688</v>
      </c>
      <c r="G10375" t="s">
        <v>35048</v>
      </c>
      <c r="H10375" t="s">
        <v>35049</v>
      </c>
      <c r="J10375" t="s">
        <v>35050</v>
      </c>
      <c r="L10375" t="s">
        <v>83</v>
      </c>
      <c r="M10375" t="s">
        <v>85</v>
      </c>
      <c r="R10375" t="s">
        <v>42689</v>
      </c>
      <c r="W10375" t="s">
        <v>42688</v>
      </c>
      <c r="X10375" t="s">
        <v>2582</v>
      </c>
      <c r="Y10375" t="s">
        <v>97</v>
      </c>
      <c r="Z10375" t="s">
        <v>77</v>
      </c>
      <c r="AA10375" t="str">
        <f>"10012-2413"</f>
        <v>10012-2413</v>
      </c>
      <c r="AB10375" t="s">
        <v>78</v>
      </c>
      <c r="AC10375" t="s">
        <v>79</v>
      </c>
      <c r="AD10375" t="s">
        <v>75</v>
      </c>
      <c r="AE10375" t="s">
        <v>80</v>
      </c>
      <c r="AG10375" t="s">
        <v>81</v>
      </c>
    </row>
    <row r="10376" spans="1:33" x14ac:dyDescent="0.25">
      <c r="A10376" t="str">
        <f>"1447335575"</f>
        <v>1447335575</v>
      </c>
      <c r="B10376" t="str">
        <f>"00226444"</f>
        <v>00226444</v>
      </c>
      <c r="C10376" t="s">
        <v>42690</v>
      </c>
      <c r="D10376" t="s">
        <v>4694</v>
      </c>
      <c r="E10376" t="s">
        <v>4695</v>
      </c>
      <c r="G10376" t="s">
        <v>35048</v>
      </c>
      <c r="H10376" t="s">
        <v>35049</v>
      </c>
      <c r="J10376" t="s">
        <v>35050</v>
      </c>
      <c r="L10376" t="s">
        <v>84</v>
      </c>
      <c r="M10376" t="s">
        <v>85</v>
      </c>
      <c r="R10376" t="s">
        <v>4696</v>
      </c>
      <c r="W10376" t="s">
        <v>4697</v>
      </c>
      <c r="X10376" t="s">
        <v>4698</v>
      </c>
      <c r="Y10376" t="s">
        <v>131</v>
      </c>
      <c r="Z10376" t="s">
        <v>77</v>
      </c>
      <c r="AA10376" t="str">
        <f>"10467-2702"</f>
        <v>10467-2702</v>
      </c>
      <c r="AB10376" t="s">
        <v>78</v>
      </c>
      <c r="AC10376" t="s">
        <v>79</v>
      </c>
      <c r="AD10376" t="s">
        <v>75</v>
      </c>
      <c r="AE10376" t="s">
        <v>80</v>
      </c>
      <c r="AG10376" t="s">
        <v>81</v>
      </c>
    </row>
    <row r="10377" spans="1:33" x14ac:dyDescent="0.25">
      <c r="A10377" t="str">
        <f>"1770787186"</f>
        <v>1770787186</v>
      </c>
      <c r="B10377" t="str">
        <f>"02156994"</f>
        <v>02156994</v>
      </c>
      <c r="C10377" t="s">
        <v>42691</v>
      </c>
      <c r="D10377" t="s">
        <v>42692</v>
      </c>
      <c r="E10377" t="s">
        <v>42693</v>
      </c>
      <c r="G10377" t="s">
        <v>35048</v>
      </c>
      <c r="H10377" t="s">
        <v>35049</v>
      </c>
      <c r="J10377" t="s">
        <v>35050</v>
      </c>
      <c r="L10377" t="s">
        <v>83</v>
      </c>
      <c r="M10377" t="s">
        <v>85</v>
      </c>
      <c r="R10377" t="s">
        <v>42694</v>
      </c>
      <c r="W10377" t="s">
        <v>42695</v>
      </c>
      <c r="X10377" t="s">
        <v>2582</v>
      </c>
      <c r="Y10377" t="s">
        <v>97</v>
      </c>
      <c r="Z10377" t="s">
        <v>77</v>
      </c>
      <c r="AA10377" t="str">
        <f>"10012-2413"</f>
        <v>10012-2413</v>
      </c>
      <c r="AB10377" t="s">
        <v>93</v>
      </c>
      <c r="AC10377" t="s">
        <v>79</v>
      </c>
      <c r="AD10377" t="s">
        <v>75</v>
      </c>
      <c r="AE10377" t="s">
        <v>80</v>
      </c>
      <c r="AG10377" t="s">
        <v>81</v>
      </c>
    </row>
    <row r="10378" spans="1:33" x14ac:dyDescent="0.25">
      <c r="A10378" t="str">
        <f>"1902829047"</f>
        <v>1902829047</v>
      </c>
      <c r="B10378" t="str">
        <f>"01828422"</f>
        <v>01828422</v>
      </c>
      <c r="C10378" t="s">
        <v>42696</v>
      </c>
      <c r="D10378" t="s">
        <v>42697</v>
      </c>
      <c r="E10378" t="s">
        <v>42698</v>
      </c>
      <c r="G10378" t="s">
        <v>35048</v>
      </c>
      <c r="H10378" t="s">
        <v>35049</v>
      </c>
      <c r="J10378" t="s">
        <v>35050</v>
      </c>
      <c r="L10378" t="s">
        <v>83</v>
      </c>
      <c r="M10378" t="s">
        <v>85</v>
      </c>
      <c r="R10378" t="s">
        <v>42699</v>
      </c>
      <c r="W10378" t="s">
        <v>42698</v>
      </c>
      <c r="X10378" t="s">
        <v>2926</v>
      </c>
      <c r="Y10378" t="s">
        <v>97</v>
      </c>
      <c r="Z10378" t="s">
        <v>77</v>
      </c>
      <c r="AA10378" t="str">
        <f>"10029-6503"</f>
        <v>10029-6503</v>
      </c>
      <c r="AB10378" t="s">
        <v>78</v>
      </c>
      <c r="AC10378" t="s">
        <v>79</v>
      </c>
      <c r="AD10378" t="s">
        <v>75</v>
      </c>
      <c r="AE10378" t="s">
        <v>80</v>
      </c>
      <c r="AG10378" t="s">
        <v>81</v>
      </c>
    </row>
    <row r="10379" spans="1:33" x14ac:dyDescent="0.25">
      <c r="A10379" t="str">
        <f>"1669694956"</f>
        <v>1669694956</v>
      </c>
      <c r="B10379" t="str">
        <f>"02606953"</f>
        <v>02606953</v>
      </c>
      <c r="C10379" t="s">
        <v>42700</v>
      </c>
      <c r="D10379" t="s">
        <v>42701</v>
      </c>
      <c r="E10379" t="s">
        <v>42702</v>
      </c>
      <c r="G10379" t="s">
        <v>35048</v>
      </c>
      <c r="H10379" t="s">
        <v>35049</v>
      </c>
      <c r="J10379" t="s">
        <v>35050</v>
      </c>
      <c r="L10379" t="s">
        <v>83</v>
      </c>
      <c r="M10379" t="s">
        <v>85</v>
      </c>
      <c r="R10379" t="s">
        <v>42703</v>
      </c>
      <c r="W10379" t="s">
        <v>42704</v>
      </c>
      <c r="X10379" t="s">
        <v>2582</v>
      </c>
      <c r="Y10379" t="s">
        <v>97</v>
      </c>
      <c r="Z10379" t="s">
        <v>77</v>
      </c>
      <c r="AA10379" t="str">
        <f>"10012-2413"</f>
        <v>10012-2413</v>
      </c>
      <c r="AB10379" t="s">
        <v>78</v>
      </c>
      <c r="AC10379" t="s">
        <v>79</v>
      </c>
      <c r="AD10379" t="s">
        <v>75</v>
      </c>
      <c r="AE10379" t="s">
        <v>80</v>
      </c>
      <c r="AG10379" t="s">
        <v>81</v>
      </c>
    </row>
    <row r="10380" spans="1:33" x14ac:dyDescent="0.25">
      <c r="A10380" t="str">
        <f>"1326195918"</f>
        <v>1326195918</v>
      </c>
      <c r="B10380" t="str">
        <f>"02547226"</f>
        <v>02547226</v>
      </c>
      <c r="C10380" t="s">
        <v>42705</v>
      </c>
      <c r="D10380" t="s">
        <v>42706</v>
      </c>
      <c r="E10380" t="s">
        <v>42707</v>
      </c>
      <c r="G10380" t="s">
        <v>35048</v>
      </c>
      <c r="H10380" t="s">
        <v>35049</v>
      </c>
      <c r="J10380" t="s">
        <v>35050</v>
      </c>
      <c r="L10380" t="s">
        <v>83</v>
      </c>
      <c r="M10380" t="s">
        <v>85</v>
      </c>
      <c r="R10380" t="s">
        <v>42708</v>
      </c>
      <c r="W10380" t="s">
        <v>42707</v>
      </c>
      <c r="X10380" t="s">
        <v>2582</v>
      </c>
      <c r="Y10380" t="s">
        <v>97</v>
      </c>
      <c r="Z10380" t="s">
        <v>77</v>
      </c>
      <c r="AA10380" t="str">
        <f>"10012-2413"</f>
        <v>10012-2413</v>
      </c>
      <c r="AB10380" t="s">
        <v>114</v>
      </c>
      <c r="AC10380" t="s">
        <v>79</v>
      </c>
      <c r="AD10380" t="s">
        <v>75</v>
      </c>
      <c r="AE10380" t="s">
        <v>80</v>
      </c>
      <c r="AG10380" t="s">
        <v>81</v>
      </c>
    </row>
    <row r="10381" spans="1:33" x14ac:dyDescent="0.25">
      <c r="A10381" t="str">
        <f>"1972844926"</f>
        <v>1972844926</v>
      </c>
      <c r="B10381" t="str">
        <f>"03722429"</f>
        <v>03722429</v>
      </c>
      <c r="C10381" t="s">
        <v>42709</v>
      </c>
      <c r="D10381" t="s">
        <v>42710</v>
      </c>
      <c r="E10381" t="s">
        <v>42711</v>
      </c>
      <c r="G10381" t="s">
        <v>35048</v>
      </c>
      <c r="H10381" t="s">
        <v>35049</v>
      </c>
      <c r="J10381" t="s">
        <v>35050</v>
      </c>
      <c r="L10381" t="s">
        <v>83</v>
      </c>
      <c r="M10381" t="s">
        <v>75</v>
      </c>
      <c r="R10381" t="s">
        <v>42712</v>
      </c>
      <c r="W10381" t="s">
        <v>42711</v>
      </c>
      <c r="X10381" t="s">
        <v>2582</v>
      </c>
      <c r="Y10381" t="s">
        <v>97</v>
      </c>
      <c r="Z10381" t="s">
        <v>77</v>
      </c>
      <c r="AA10381" t="str">
        <f>"10012-2413"</f>
        <v>10012-2413</v>
      </c>
      <c r="AB10381" t="s">
        <v>78</v>
      </c>
      <c r="AC10381" t="s">
        <v>79</v>
      </c>
      <c r="AD10381" t="s">
        <v>75</v>
      </c>
      <c r="AE10381" t="s">
        <v>80</v>
      </c>
      <c r="AG10381" t="s">
        <v>81</v>
      </c>
    </row>
    <row r="10382" spans="1:33" x14ac:dyDescent="0.25">
      <c r="A10382" t="str">
        <f>"1639249832"</f>
        <v>1639249832</v>
      </c>
      <c r="B10382" t="str">
        <f>"02458579"</f>
        <v>02458579</v>
      </c>
      <c r="C10382" t="s">
        <v>42713</v>
      </c>
      <c r="D10382" t="s">
        <v>5800</v>
      </c>
      <c r="E10382" t="s">
        <v>5801</v>
      </c>
      <c r="G10382" t="s">
        <v>35048</v>
      </c>
      <c r="H10382" t="s">
        <v>35049</v>
      </c>
      <c r="J10382" t="s">
        <v>35050</v>
      </c>
      <c r="L10382" t="s">
        <v>84</v>
      </c>
      <c r="M10382" t="s">
        <v>75</v>
      </c>
      <c r="R10382" t="s">
        <v>5802</v>
      </c>
      <c r="W10382" t="s">
        <v>5801</v>
      </c>
      <c r="X10382" t="s">
        <v>5803</v>
      </c>
      <c r="Y10382" t="s">
        <v>131</v>
      </c>
      <c r="Z10382" t="s">
        <v>77</v>
      </c>
      <c r="AA10382" t="str">
        <f>"10469-0000"</f>
        <v>10469-0000</v>
      </c>
      <c r="AB10382" t="s">
        <v>78</v>
      </c>
      <c r="AC10382" t="s">
        <v>79</v>
      </c>
      <c r="AD10382" t="s">
        <v>75</v>
      </c>
      <c r="AE10382" t="s">
        <v>80</v>
      </c>
      <c r="AG10382" t="s">
        <v>81</v>
      </c>
    </row>
    <row r="10383" spans="1:33" x14ac:dyDescent="0.25">
      <c r="A10383" t="str">
        <f>"1861431744"</f>
        <v>1861431744</v>
      </c>
      <c r="B10383" t="str">
        <f>"01439174"</f>
        <v>01439174</v>
      </c>
      <c r="C10383" t="s">
        <v>13436</v>
      </c>
      <c r="D10383" t="s">
        <v>42714</v>
      </c>
      <c r="E10383" t="s">
        <v>42715</v>
      </c>
      <c r="L10383" t="s">
        <v>83</v>
      </c>
      <c r="M10383" t="s">
        <v>85</v>
      </c>
      <c r="R10383" t="s">
        <v>42716</v>
      </c>
      <c r="W10383" t="s">
        <v>42717</v>
      </c>
      <c r="X10383" t="s">
        <v>984</v>
      </c>
      <c r="Y10383" t="s">
        <v>97</v>
      </c>
      <c r="Z10383" t="s">
        <v>77</v>
      </c>
      <c r="AA10383" t="str">
        <f>"10029-7491"</f>
        <v>10029-7491</v>
      </c>
      <c r="AB10383" t="s">
        <v>78</v>
      </c>
      <c r="AC10383" t="s">
        <v>79</v>
      </c>
      <c r="AD10383" t="s">
        <v>75</v>
      </c>
      <c r="AE10383" t="s">
        <v>80</v>
      </c>
      <c r="AG10383" t="s">
        <v>81</v>
      </c>
    </row>
    <row r="10384" spans="1:33" x14ac:dyDescent="0.25">
      <c r="A10384" t="str">
        <f>"1861453698"</f>
        <v>1861453698</v>
      </c>
      <c r="B10384" t="str">
        <f>"02358652"</f>
        <v>02358652</v>
      </c>
      <c r="C10384" t="s">
        <v>13436</v>
      </c>
      <c r="D10384" t="s">
        <v>42718</v>
      </c>
      <c r="E10384" t="s">
        <v>42719</v>
      </c>
      <c r="G10384" t="s">
        <v>42720</v>
      </c>
      <c r="L10384" t="s">
        <v>83</v>
      </c>
      <c r="M10384" t="s">
        <v>85</v>
      </c>
      <c r="R10384" t="s">
        <v>42721</v>
      </c>
      <c r="W10384" t="s">
        <v>42719</v>
      </c>
      <c r="X10384" t="s">
        <v>42722</v>
      </c>
      <c r="Y10384" t="s">
        <v>87</v>
      </c>
      <c r="Z10384" t="s">
        <v>77</v>
      </c>
      <c r="AA10384" t="str">
        <f>"11217-2019"</f>
        <v>11217-2019</v>
      </c>
      <c r="AB10384" t="s">
        <v>78</v>
      </c>
      <c r="AC10384" t="s">
        <v>79</v>
      </c>
      <c r="AD10384" t="s">
        <v>75</v>
      </c>
      <c r="AE10384" t="s">
        <v>80</v>
      </c>
      <c r="AG10384" t="s">
        <v>81</v>
      </c>
    </row>
    <row r="10385" spans="1:33" x14ac:dyDescent="0.25">
      <c r="A10385" t="str">
        <f>"1710987623"</f>
        <v>1710987623</v>
      </c>
      <c r="B10385" t="str">
        <f>"02696528"</f>
        <v>02696528</v>
      </c>
      <c r="C10385" t="s">
        <v>13436</v>
      </c>
      <c r="D10385" t="s">
        <v>42723</v>
      </c>
      <c r="E10385" t="s">
        <v>42724</v>
      </c>
      <c r="G10385" t="s">
        <v>42725</v>
      </c>
      <c r="L10385" t="s">
        <v>83</v>
      </c>
      <c r="M10385" t="s">
        <v>85</v>
      </c>
      <c r="R10385" t="s">
        <v>42726</v>
      </c>
      <c r="W10385" t="s">
        <v>42724</v>
      </c>
      <c r="X10385" t="s">
        <v>42727</v>
      </c>
      <c r="Y10385" t="s">
        <v>97</v>
      </c>
      <c r="Z10385" t="s">
        <v>77</v>
      </c>
      <c r="AA10385" t="str">
        <f>"10128"</f>
        <v>10128</v>
      </c>
      <c r="AB10385" t="s">
        <v>78</v>
      </c>
      <c r="AC10385" t="s">
        <v>79</v>
      </c>
      <c r="AD10385" t="s">
        <v>75</v>
      </c>
      <c r="AE10385" t="s">
        <v>80</v>
      </c>
      <c r="AG10385" t="s">
        <v>81</v>
      </c>
    </row>
    <row r="10386" spans="1:33" x14ac:dyDescent="0.25">
      <c r="A10386" t="str">
        <f>"1710992524"</f>
        <v>1710992524</v>
      </c>
      <c r="B10386" t="str">
        <f>"00776114"</f>
        <v>00776114</v>
      </c>
      <c r="C10386" t="s">
        <v>13436</v>
      </c>
      <c r="D10386" t="s">
        <v>42728</v>
      </c>
      <c r="E10386" t="s">
        <v>42729</v>
      </c>
      <c r="G10386" t="s">
        <v>42730</v>
      </c>
      <c r="L10386" t="s">
        <v>83</v>
      </c>
      <c r="M10386" t="s">
        <v>85</v>
      </c>
      <c r="R10386" t="s">
        <v>42731</v>
      </c>
      <c r="W10386" t="s">
        <v>42729</v>
      </c>
      <c r="X10386" t="s">
        <v>42732</v>
      </c>
      <c r="Y10386" t="s">
        <v>2128</v>
      </c>
      <c r="Z10386" t="s">
        <v>77</v>
      </c>
      <c r="AA10386" t="str">
        <f>"11743-2779"</f>
        <v>11743-2779</v>
      </c>
      <c r="AB10386" t="s">
        <v>78</v>
      </c>
      <c r="AC10386" t="s">
        <v>79</v>
      </c>
      <c r="AD10386" t="s">
        <v>75</v>
      </c>
      <c r="AE10386" t="s">
        <v>80</v>
      </c>
      <c r="AG10386" t="s">
        <v>81</v>
      </c>
    </row>
    <row r="10387" spans="1:33" x14ac:dyDescent="0.25">
      <c r="A10387" t="str">
        <f>"1720013139"</f>
        <v>1720013139</v>
      </c>
      <c r="B10387" t="str">
        <f>"01162963"</f>
        <v>01162963</v>
      </c>
      <c r="C10387" t="s">
        <v>13436</v>
      </c>
      <c r="D10387" t="s">
        <v>5793</v>
      </c>
      <c r="E10387" t="s">
        <v>5794</v>
      </c>
      <c r="G10387" t="s">
        <v>42733</v>
      </c>
      <c r="L10387" t="s">
        <v>83</v>
      </c>
      <c r="M10387" t="s">
        <v>85</v>
      </c>
      <c r="R10387" t="s">
        <v>5795</v>
      </c>
      <c r="W10387" t="s">
        <v>5794</v>
      </c>
      <c r="X10387" t="s">
        <v>2644</v>
      </c>
      <c r="Y10387" t="s">
        <v>180</v>
      </c>
      <c r="Z10387" t="s">
        <v>77</v>
      </c>
      <c r="AA10387" t="str">
        <f>"10701-1301"</f>
        <v>10701-1301</v>
      </c>
      <c r="AB10387" t="s">
        <v>78</v>
      </c>
      <c r="AC10387" t="s">
        <v>79</v>
      </c>
      <c r="AD10387" t="s">
        <v>75</v>
      </c>
      <c r="AE10387" t="s">
        <v>80</v>
      </c>
      <c r="AG10387" t="s">
        <v>81</v>
      </c>
    </row>
    <row r="10388" spans="1:33" x14ac:dyDescent="0.25">
      <c r="A10388" t="str">
        <f>"1720049067"</f>
        <v>1720049067</v>
      </c>
      <c r="B10388" t="str">
        <f>"02115819"</f>
        <v>02115819</v>
      </c>
      <c r="C10388" t="s">
        <v>13436</v>
      </c>
      <c r="D10388" t="s">
        <v>42734</v>
      </c>
      <c r="E10388" t="s">
        <v>42735</v>
      </c>
      <c r="G10388" t="s">
        <v>42736</v>
      </c>
      <c r="L10388" t="s">
        <v>74</v>
      </c>
      <c r="M10388" t="s">
        <v>85</v>
      </c>
      <c r="R10388" t="s">
        <v>42737</v>
      </c>
      <c r="W10388" t="s">
        <v>42735</v>
      </c>
      <c r="X10388" t="s">
        <v>6093</v>
      </c>
      <c r="Y10388" t="s">
        <v>207</v>
      </c>
      <c r="Z10388" t="s">
        <v>77</v>
      </c>
      <c r="AA10388" t="str">
        <f>"11581-1011"</f>
        <v>11581-1011</v>
      </c>
      <c r="AB10388" t="s">
        <v>78</v>
      </c>
      <c r="AC10388" t="s">
        <v>79</v>
      </c>
      <c r="AD10388" t="s">
        <v>75</v>
      </c>
      <c r="AE10388" t="s">
        <v>80</v>
      </c>
      <c r="AG10388" t="s">
        <v>81</v>
      </c>
    </row>
    <row r="10389" spans="1:33" x14ac:dyDescent="0.25">
      <c r="A10389" t="str">
        <f>"1720062763"</f>
        <v>1720062763</v>
      </c>
      <c r="B10389" t="str">
        <f>"02548850"</f>
        <v>02548850</v>
      </c>
      <c r="C10389" t="s">
        <v>13436</v>
      </c>
      <c r="D10389" t="s">
        <v>42738</v>
      </c>
      <c r="E10389" t="s">
        <v>42739</v>
      </c>
      <c r="G10389" t="s">
        <v>42740</v>
      </c>
      <c r="L10389" t="s">
        <v>83</v>
      </c>
      <c r="M10389" t="s">
        <v>75</v>
      </c>
      <c r="R10389" t="s">
        <v>42741</v>
      </c>
      <c r="W10389" t="s">
        <v>42742</v>
      </c>
      <c r="X10389" t="s">
        <v>42743</v>
      </c>
      <c r="Y10389" t="s">
        <v>1797</v>
      </c>
      <c r="Z10389" t="s">
        <v>77</v>
      </c>
      <c r="AA10389" t="str">
        <f>"12550-3722"</f>
        <v>12550-3722</v>
      </c>
      <c r="AB10389" t="s">
        <v>78</v>
      </c>
      <c r="AC10389" t="s">
        <v>79</v>
      </c>
      <c r="AD10389" t="s">
        <v>75</v>
      </c>
      <c r="AE10389" t="s">
        <v>80</v>
      </c>
      <c r="AG10389" t="s">
        <v>81</v>
      </c>
    </row>
    <row r="10390" spans="1:33" x14ac:dyDescent="0.25">
      <c r="A10390" t="str">
        <f>"1720063001"</f>
        <v>1720063001</v>
      </c>
      <c r="B10390" t="str">
        <f>"01245087"</f>
        <v>01245087</v>
      </c>
      <c r="C10390" t="s">
        <v>13436</v>
      </c>
      <c r="D10390" t="s">
        <v>42744</v>
      </c>
      <c r="E10390" t="s">
        <v>42745</v>
      </c>
      <c r="G10390" t="s">
        <v>42746</v>
      </c>
      <c r="L10390" t="s">
        <v>83</v>
      </c>
      <c r="M10390" t="s">
        <v>85</v>
      </c>
      <c r="R10390" t="s">
        <v>42747</v>
      </c>
      <c r="W10390" t="s">
        <v>42745</v>
      </c>
      <c r="X10390" t="s">
        <v>329</v>
      </c>
      <c r="Y10390" t="s">
        <v>97</v>
      </c>
      <c r="Z10390" t="s">
        <v>77</v>
      </c>
      <c r="AA10390" t="str">
        <f>"10029-6500"</f>
        <v>10029-6500</v>
      </c>
      <c r="AB10390" t="s">
        <v>78</v>
      </c>
      <c r="AC10390" t="s">
        <v>79</v>
      </c>
      <c r="AD10390" t="s">
        <v>75</v>
      </c>
      <c r="AE10390" t="s">
        <v>80</v>
      </c>
      <c r="AG10390" t="s">
        <v>81</v>
      </c>
    </row>
    <row r="10391" spans="1:33" x14ac:dyDescent="0.25">
      <c r="A10391" t="str">
        <f>"1720092562"</f>
        <v>1720092562</v>
      </c>
      <c r="B10391" t="str">
        <f>"03915877"</f>
        <v>03915877</v>
      </c>
      <c r="C10391" t="s">
        <v>13436</v>
      </c>
      <c r="D10391" t="s">
        <v>42748</v>
      </c>
      <c r="E10391" t="s">
        <v>42749</v>
      </c>
      <c r="G10391" t="s">
        <v>42750</v>
      </c>
      <c r="L10391" t="s">
        <v>74</v>
      </c>
      <c r="M10391" t="s">
        <v>75</v>
      </c>
      <c r="R10391" t="s">
        <v>42751</v>
      </c>
      <c r="W10391" t="s">
        <v>42752</v>
      </c>
      <c r="X10391" t="s">
        <v>2587</v>
      </c>
      <c r="Y10391" t="s">
        <v>97</v>
      </c>
      <c r="Z10391" t="s">
        <v>77</v>
      </c>
      <c r="AA10391" t="str">
        <f>"10003-3314"</f>
        <v>10003-3314</v>
      </c>
      <c r="AB10391" t="s">
        <v>78</v>
      </c>
      <c r="AC10391" t="s">
        <v>79</v>
      </c>
      <c r="AD10391" t="s">
        <v>75</v>
      </c>
      <c r="AE10391" t="s">
        <v>80</v>
      </c>
      <c r="AG10391" t="s">
        <v>81</v>
      </c>
    </row>
    <row r="10392" spans="1:33" x14ac:dyDescent="0.25">
      <c r="A10392" t="str">
        <f>"1720101975"</f>
        <v>1720101975</v>
      </c>
      <c r="B10392" t="str">
        <f>"03251594"</f>
        <v>03251594</v>
      </c>
      <c r="C10392" t="s">
        <v>13436</v>
      </c>
      <c r="D10392" t="s">
        <v>42753</v>
      </c>
      <c r="E10392" t="s">
        <v>42754</v>
      </c>
      <c r="G10392" t="s">
        <v>42755</v>
      </c>
      <c r="L10392" t="s">
        <v>74</v>
      </c>
      <c r="M10392" t="s">
        <v>85</v>
      </c>
      <c r="R10392" t="s">
        <v>42756</v>
      </c>
      <c r="W10392" t="s">
        <v>42757</v>
      </c>
      <c r="X10392" t="s">
        <v>329</v>
      </c>
      <c r="Y10392" t="s">
        <v>97</v>
      </c>
      <c r="Z10392" t="s">
        <v>77</v>
      </c>
      <c r="AA10392" t="str">
        <f>"10029-6500"</f>
        <v>10029-6500</v>
      </c>
      <c r="AB10392" t="s">
        <v>78</v>
      </c>
      <c r="AC10392" t="s">
        <v>79</v>
      </c>
      <c r="AD10392" t="s">
        <v>75</v>
      </c>
      <c r="AE10392" t="s">
        <v>80</v>
      </c>
      <c r="AG10392" t="s">
        <v>81</v>
      </c>
    </row>
    <row r="10393" spans="1:33" x14ac:dyDescent="0.25">
      <c r="A10393" t="str">
        <f>"1720110695"</f>
        <v>1720110695</v>
      </c>
      <c r="B10393" t="str">
        <f>"03802059"</f>
        <v>03802059</v>
      </c>
      <c r="C10393" t="s">
        <v>13436</v>
      </c>
      <c r="D10393" t="s">
        <v>42758</v>
      </c>
      <c r="E10393" t="s">
        <v>42759</v>
      </c>
      <c r="G10393" t="s">
        <v>42760</v>
      </c>
      <c r="L10393" t="s">
        <v>83</v>
      </c>
      <c r="M10393" t="s">
        <v>85</v>
      </c>
      <c r="R10393" t="s">
        <v>42761</v>
      </c>
      <c r="W10393" t="s">
        <v>42759</v>
      </c>
      <c r="X10393" t="s">
        <v>11195</v>
      </c>
      <c r="Y10393" t="s">
        <v>97</v>
      </c>
      <c r="Z10393" t="s">
        <v>77</v>
      </c>
      <c r="AA10393" t="str">
        <f>"10029-6030"</f>
        <v>10029-6030</v>
      </c>
      <c r="AB10393" t="s">
        <v>78</v>
      </c>
      <c r="AC10393" t="s">
        <v>79</v>
      </c>
      <c r="AD10393" t="s">
        <v>75</v>
      </c>
      <c r="AE10393" t="s">
        <v>80</v>
      </c>
      <c r="AG10393" t="s">
        <v>81</v>
      </c>
    </row>
    <row r="10394" spans="1:33" x14ac:dyDescent="0.25">
      <c r="A10394" t="str">
        <f>"1720114481"</f>
        <v>1720114481</v>
      </c>
      <c r="B10394" t="str">
        <f>"03366603"</f>
        <v>03366603</v>
      </c>
      <c r="C10394" t="s">
        <v>13436</v>
      </c>
      <c r="D10394" t="s">
        <v>42762</v>
      </c>
      <c r="E10394" t="s">
        <v>42763</v>
      </c>
      <c r="G10394" t="s">
        <v>42764</v>
      </c>
      <c r="L10394" t="s">
        <v>74</v>
      </c>
      <c r="M10394" t="s">
        <v>75</v>
      </c>
      <c r="R10394" t="s">
        <v>42763</v>
      </c>
      <c r="W10394" t="s">
        <v>42763</v>
      </c>
      <c r="X10394" t="s">
        <v>329</v>
      </c>
      <c r="Y10394" t="s">
        <v>97</v>
      </c>
      <c r="Z10394" t="s">
        <v>77</v>
      </c>
      <c r="AA10394" t="str">
        <f>"10029-6500"</f>
        <v>10029-6500</v>
      </c>
      <c r="AB10394" t="s">
        <v>125</v>
      </c>
      <c r="AC10394" t="s">
        <v>79</v>
      </c>
      <c r="AD10394" t="s">
        <v>75</v>
      </c>
      <c r="AE10394" t="s">
        <v>80</v>
      </c>
      <c r="AG10394" t="s">
        <v>81</v>
      </c>
    </row>
    <row r="10395" spans="1:33" x14ac:dyDescent="0.25">
      <c r="A10395" t="str">
        <f>"1720147085"</f>
        <v>1720147085</v>
      </c>
      <c r="B10395" t="str">
        <f>"02202248"</f>
        <v>02202248</v>
      </c>
      <c r="C10395" t="s">
        <v>13436</v>
      </c>
      <c r="D10395" t="s">
        <v>42765</v>
      </c>
      <c r="E10395" t="s">
        <v>42766</v>
      </c>
      <c r="G10395" t="s">
        <v>42767</v>
      </c>
      <c r="L10395" t="s">
        <v>74</v>
      </c>
      <c r="M10395" t="s">
        <v>75</v>
      </c>
      <c r="R10395" t="s">
        <v>42768</v>
      </c>
      <c r="W10395" t="s">
        <v>42766</v>
      </c>
      <c r="X10395" t="s">
        <v>6041</v>
      </c>
      <c r="Y10395" t="s">
        <v>97</v>
      </c>
      <c r="Z10395" t="s">
        <v>77</v>
      </c>
      <c r="AA10395" t="str">
        <f>"10029-6574"</f>
        <v>10029-6574</v>
      </c>
      <c r="AB10395" t="s">
        <v>78</v>
      </c>
      <c r="AC10395" t="s">
        <v>79</v>
      </c>
      <c r="AD10395" t="s">
        <v>75</v>
      </c>
      <c r="AE10395" t="s">
        <v>80</v>
      </c>
      <c r="AG10395" t="s">
        <v>81</v>
      </c>
    </row>
    <row r="10396" spans="1:33" x14ac:dyDescent="0.25">
      <c r="A10396" t="str">
        <f>"1003844309"</f>
        <v>1003844309</v>
      </c>
      <c r="B10396" t="str">
        <f>"01723615"</f>
        <v>01723615</v>
      </c>
      <c r="C10396" t="s">
        <v>42769</v>
      </c>
      <c r="D10396" t="s">
        <v>42770</v>
      </c>
      <c r="E10396" t="s">
        <v>42771</v>
      </c>
      <c r="G10396" t="s">
        <v>42769</v>
      </c>
      <c r="L10396" t="s">
        <v>84</v>
      </c>
      <c r="M10396" t="s">
        <v>85</v>
      </c>
      <c r="R10396" t="s">
        <v>42772</v>
      </c>
      <c r="W10396" t="s">
        <v>42771</v>
      </c>
      <c r="X10396" t="s">
        <v>42773</v>
      </c>
      <c r="Y10396" t="s">
        <v>216</v>
      </c>
      <c r="Z10396" t="s">
        <v>77</v>
      </c>
      <c r="AA10396" t="str">
        <f>"11691-1941"</f>
        <v>11691-1941</v>
      </c>
      <c r="AB10396" t="s">
        <v>78</v>
      </c>
      <c r="AC10396" t="s">
        <v>79</v>
      </c>
      <c r="AD10396" t="s">
        <v>75</v>
      </c>
      <c r="AE10396" t="s">
        <v>80</v>
      </c>
      <c r="AG10396" t="s">
        <v>81</v>
      </c>
    </row>
    <row r="10397" spans="1:33" x14ac:dyDescent="0.25">
      <c r="A10397" t="str">
        <f>"1003915919"</f>
        <v>1003915919</v>
      </c>
      <c r="B10397" t="str">
        <f>"02358029"</f>
        <v>02358029</v>
      </c>
      <c r="C10397" t="s">
        <v>42774</v>
      </c>
      <c r="D10397" t="s">
        <v>42775</v>
      </c>
      <c r="E10397" t="s">
        <v>42776</v>
      </c>
      <c r="G10397" t="s">
        <v>42774</v>
      </c>
      <c r="L10397" t="s">
        <v>83</v>
      </c>
      <c r="M10397" t="s">
        <v>75</v>
      </c>
      <c r="R10397" t="s">
        <v>42777</v>
      </c>
      <c r="W10397" t="s">
        <v>42776</v>
      </c>
      <c r="X10397" t="s">
        <v>26961</v>
      </c>
      <c r="Y10397" t="s">
        <v>97</v>
      </c>
      <c r="Z10397" t="s">
        <v>77</v>
      </c>
      <c r="AA10397" t="str">
        <f>"10128-4077"</f>
        <v>10128-4077</v>
      </c>
      <c r="AB10397" t="s">
        <v>78</v>
      </c>
      <c r="AC10397" t="s">
        <v>79</v>
      </c>
      <c r="AD10397" t="s">
        <v>75</v>
      </c>
      <c r="AE10397" t="s">
        <v>80</v>
      </c>
      <c r="AG10397" t="s">
        <v>81</v>
      </c>
    </row>
    <row r="10398" spans="1:33" x14ac:dyDescent="0.25">
      <c r="A10398" t="str">
        <f>"1013079011"</f>
        <v>1013079011</v>
      </c>
      <c r="B10398" t="str">
        <f>"02512054"</f>
        <v>02512054</v>
      </c>
      <c r="C10398" t="s">
        <v>42778</v>
      </c>
      <c r="D10398" t="s">
        <v>42779</v>
      </c>
      <c r="E10398" t="s">
        <v>42780</v>
      </c>
      <c r="G10398" t="s">
        <v>42778</v>
      </c>
      <c r="L10398" t="s">
        <v>84</v>
      </c>
      <c r="M10398" t="s">
        <v>75</v>
      </c>
      <c r="R10398" t="s">
        <v>42781</v>
      </c>
      <c r="W10398" t="s">
        <v>42780</v>
      </c>
      <c r="X10398" t="s">
        <v>22254</v>
      </c>
      <c r="Y10398" t="s">
        <v>97</v>
      </c>
      <c r="Z10398" t="s">
        <v>77</v>
      </c>
      <c r="AA10398" t="str">
        <f>"10033-2411"</f>
        <v>10033-2411</v>
      </c>
      <c r="AB10398" t="s">
        <v>78</v>
      </c>
      <c r="AC10398" t="s">
        <v>79</v>
      </c>
      <c r="AD10398" t="s">
        <v>75</v>
      </c>
      <c r="AE10398" t="s">
        <v>80</v>
      </c>
      <c r="AG10398" t="s">
        <v>81</v>
      </c>
    </row>
    <row r="10399" spans="1:33" x14ac:dyDescent="0.25">
      <c r="A10399" t="str">
        <f>"1013241223"</f>
        <v>1013241223</v>
      </c>
      <c r="B10399" t="str">
        <f>"03155451"</f>
        <v>03155451</v>
      </c>
      <c r="C10399" t="s">
        <v>42782</v>
      </c>
      <c r="D10399" t="s">
        <v>42783</v>
      </c>
      <c r="E10399" t="s">
        <v>42784</v>
      </c>
      <c r="G10399" t="s">
        <v>42782</v>
      </c>
      <c r="L10399" t="s">
        <v>84</v>
      </c>
      <c r="M10399" t="s">
        <v>85</v>
      </c>
      <c r="R10399" t="s">
        <v>42785</v>
      </c>
      <c r="W10399" t="s">
        <v>42784</v>
      </c>
      <c r="X10399" t="s">
        <v>3553</v>
      </c>
      <c r="Y10399" t="s">
        <v>97</v>
      </c>
      <c r="Z10399" t="s">
        <v>77</v>
      </c>
      <c r="AA10399" t="str">
        <f>"10003-3851"</f>
        <v>10003-3851</v>
      </c>
      <c r="AB10399" t="s">
        <v>78</v>
      </c>
      <c r="AC10399" t="s">
        <v>79</v>
      </c>
      <c r="AD10399" t="s">
        <v>75</v>
      </c>
      <c r="AE10399" t="s">
        <v>80</v>
      </c>
      <c r="AG10399" t="s">
        <v>81</v>
      </c>
    </row>
    <row r="10400" spans="1:33" x14ac:dyDescent="0.25">
      <c r="C10400" t="s">
        <v>42786</v>
      </c>
      <c r="G10400" t="s">
        <v>42670</v>
      </c>
      <c r="H10400" t="s">
        <v>1324</v>
      </c>
      <c r="J10400" t="s">
        <v>39939</v>
      </c>
      <c r="K10400" t="s">
        <v>99</v>
      </c>
      <c r="L10400" t="s">
        <v>100</v>
      </c>
      <c r="M10400" t="s">
        <v>75</v>
      </c>
      <c r="N10400" t="s">
        <v>42787</v>
      </c>
      <c r="O10400" t="s">
        <v>9407</v>
      </c>
      <c r="P10400" t="s">
        <v>77</v>
      </c>
      <c r="Q10400" t="str">
        <f>"11101"</f>
        <v>11101</v>
      </c>
      <c r="AC10400" t="s">
        <v>79</v>
      </c>
      <c r="AD10400" t="s">
        <v>75</v>
      </c>
      <c r="AE10400" t="s">
        <v>101</v>
      </c>
      <c r="AG10400" t="s">
        <v>81</v>
      </c>
    </row>
    <row r="10401" spans="1:33" x14ac:dyDescent="0.25">
      <c r="C10401" t="s">
        <v>42788</v>
      </c>
      <c r="G10401" t="s">
        <v>42670</v>
      </c>
      <c r="H10401" t="s">
        <v>1324</v>
      </c>
      <c r="J10401" t="s">
        <v>39939</v>
      </c>
      <c r="K10401" t="s">
        <v>99</v>
      </c>
      <c r="L10401" t="s">
        <v>100</v>
      </c>
      <c r="M10401" t="s">
        <v>75</v>
      </c>
      <c r="N10401" t="s">
        <v>42789</v>
      </c>
      <c r="O10401" t="s">
        <v>42790</v>
      </c>
      <c r="P10401" t="s">
        <v>77</v>
      </c>
      <c r="Q10401" t="str">
        <f>"11377"</f>
        <v>11377</v>
      </c>
      <c r="AC10401" t="s">
        <v>79</v>
      </c>
      <c r="AD10401" t="s">
        <v>75</v>
      </c>
      <c r="AE10401" t="s">
        <v>101</v>
      </c>
      <c r="AG10401" t="s">
        <v>81</v>
      </c>
    </row>
    <row r="10402" spans="1:33" x14ac:dyDescent="0.25">
      <c r="C10402" t="s">
        <v>42791</v>
      </c>
      <c r="G10402" t="s">
        <v>42670</v>
      </c>
      <c r="H10402" t="s">
        <v>1324</v>
      </c>
      <c r="J10402" t="s">
        <v>39939</v>
      </c>
      <c r="K10402" t="s">
        <v>99</v>
      </c>
      <c r="L10402" t="s">
        <v>100</v>
      </c>
      <c r="M10402" t="s">
        <v>75</v>
      </c>
      <c r="N10402" t="s">
        <v>42792</v>
      </c>
      <c r="O10402" t="s">
        <v>42672</v>
      </c>
      <c r="P10402" t="s">
        <v>77</v>
      </c>
      <c r="Q10402" t="str">
        <f>"11106"</f>
        <v>11106</v>
      </c>
      <c r="AC10402" t="s">
        <v>79</v>
      </c>
      <c r="AD10402" t="s">
        <v>75</v>
      </c>
      <c r="AE10402" t="s">
        <v>101</v>
      </c>
      <c r="AG10402" t="s">
        <v>81</v>
      </c>
    </row>
    <row r="10403" spans="1:33" x14ac:dyDescent="0.25">
      <c r="C10403" t="s">
        <v>42793</v>
      </c>
      <c r="G10403" t="s">
        <v>42670</v>
      </c>
      <c r="H10403" t="s">
        <v>1324</v>
      </c>
      <c r="J10403" t="s">
        <v>39939</v>
      </c>
      <c r="K10403" t="s">
        <v>99</v>
      </c>
      <c r="L10403" t="s">
        <v>100</v>
      </c>
      <c r="M10403" t="s">
        <v>75</v>
      </c>
      <c r="N10403" t="s">
        <v>42794</v>
      </c>
      <c r="O10403" t="s">
        <v>431</v>
      </c>
      <c r="P10403" t="s">
        <v>77</v>
      </c>
      <c r="Q10403" t="str">
        <f>"11237"</f>
        <v>11237</v>
      </c>
      <c r="AC10403" t="s">
        <v>79</v>
      </c>
      <c r="AD10403" t="s">
        <v>75</v>
      </c>
      <c r="AE10403" t="s">
        <v>101</v>
      </c>
      <c r="AG10403" t="s">
        <v>81</v>
      </c>
    </row>
    <row r="10404" spans="1:33" x14ac:dyDescent="0.25">
      <c r="C10404" t="s">
        <v>42795</v>
      </c>
      <c r="G10404" t="s">
        <v>42670</v>
      </c>
      <c r="H10404" t="s">
        <v>1324</v>
      </c>
      <c r="J10404" t="s">
        <v>39939</v>
      </c>
      <c r="K10404" t="s">
        <v>99</v>
      </c>
      <c r="L10404" t="s">
        <v>100</v>
      </c>
      <c r="M10404" t="s">
        <v>75</v>
      </c>
      <c r="N10404" t="s">
        <v>42796</v>
      </c>
      <c r="O10404" t="s">
        <v>42680</v>
      </c>
      <c r="P10404" t="s">
        <v>77</v>
      </c>
      <c r="Q10404" t="str">
        <f>"11373"</f>
        <v>11373</v>
      </c>
      <c r="AC10404" t="s">
        <v>79</v>
      </c>
      <c r="AD10404" t="s">
        <v>75</v>
      </c>
      <c r="AE10404" t="s">
        <v>101</v>
      </c>
      <c r="AG10404" t="s">
        <v>81</v>
      </c>
    </row>
    <row r="10405" spans="1:33" x14ac:dyDescent="0.25">
      <c r="C10405" t="s">
        <v>42797</v>
      </c>
      <c r="G10405" t="s">
        <v>42670</v>
      </c>
      <c r="H10405" t="s">
        <v>1324</v>
      </c>
      <c r="J10405" t="s">
        <v>39939</v>
      </c>
      <c r="K10405" t="s">
        <v>99</v>
      </c>
      <c r="L10405" t="s">
        <v>100</v>
      </c>
      <c r="M10405" t="s">
        <v>75</v>
      </c>
      <c r="N10405" t="s">
        <v>42798</v>
      </c>
      <c r="O10405" t="s">
        <v>42790</v>
      </c>
      <c r="P10405" t="s">
        <v>77</v>
      </c>
      <c r="Q10405" t="str">
        <f>"11377"</f>
        <v>11377</v>
      </c>
      <c r="AC10405" t="s">
        <v>79</v>
      </c>
      <c r="AD10405" t="s">
        <v>75</v>
      </c>
      <c r="AE10405" t="s">
        <v>101</v>
      </c>
      <c r="AG10405" t="s">
        <v>81</v>
      </c>
    </row>
    <row r="10406" spans="1:33" x14ac:dyDescent="0.25">
      <c r="C10406" t="s">
        <v>3950</v>
      </c>
      <c r="K10406" t="s">
        <v>99</v>
      </c>
      <c r="L10406" t="s">
        <v>100</v>
      </c>
      <c r="M10406" t="s">
        <v>75</v>
      </c>
      <c r="N10406" t="s">
        <v>3951</v>
      </c>
      <c r="O10406" t="s">
        <v>296</v>
      </c>
      <c r="P10406" t="s">
        <v>77</v>
      </c>
      <c r="Q10406" t="str">
        <f>"10467"</f>
        <v>10467</v>
      </c>
      <c r="AC10406" t="s">
        <v>79</v>
      </c>
      <c r="AD10406" t="s">
        <v>75</v>
      </c>
      <c r="AE10406" t="s">
        <v>101</v>
      </c>
      <c r="AG10406" t="s">
        <v>81</v>
      </c>
    </row>
    <row r="10407" spans="1:33" x14ac:dyDescent="0.25">
      <c r="A10407" t="str">
        <f>"1114282399"</f>
        <v>1114282399</v>
      </c>
      <c r="B10407" t="str">
        <f>"03641792"</f>
        <v>03641792</v>
      </c>
      <c r="C10407" t="s">
        <v>42799</v>
      </c>
      <c r="D10407" t="s">
        <v>355</v>
      </c>
      <c r="E10407" t="s">
        <v>356</v>
      </c>
      <c r="G10407" t="s">
        <v>42800</v>
      </c>
      <c r="H10407" t="s">
        <v>919</v>
      </c>
      <c r="J10407" t="s">
        <v>42801</v>
      </c>
      <c r="L10407" t="s">
        <v>74</v>
      </c>
      <c r="M10407" t="s">
        <v>75</v>
      </c>
      <c r="R10407" t="s">
        <v>357</v>
      </c>
      <c r="W10407" t="s">
        <v>356</v>
      </c>
      <c r="X10407" t="s">
        <v>345</v>
      </c>
      <c r="Y10407" t="s">
        <v>97</v>
      </c>
      <c r="Z10407" t="s">
        <v>77</v>
      </c>
      <c r="AA10407" t="str">
        <f>"10010-1058"</f>
        <v>10010-1058</v>
      </c>
      <c r="AB10407" t="s">
        <v>125</v>
      </c>
      <c r="AC10407" t="s">
        <v>79</v>
      </c>
      <c r="AD10407" t="s">
        <v>75</v>
      </c>
      <c r="AE10407" t="s">
        <v>80</v>
      </c>
      <c r="AG10407" t="s">
        <v>81</v>
      </c>
    </row>
    <row r="10408" spans="1:33" x14ac:dyDescent="0.25">
      <c r="A10408" t="str">
        <f>"1245351170"</f>
        <v>1245351170</v>
      </c>
      <c r="B10408" t="str">
        <f>"00327899"</f>
        <v>00327899</v>
      </c>
      <c r="C10408" t="s">
        <v>5258</v>
      </c>
      <c r="D10408" t="s">
        <v>366</v>
      </c>
      <c r="E10408" t="s">
        <v>118</v>
      </c>
      <c r="G10408" t="s">
        <v>42802</v>
      </c>
      <c r="H10408" t="s">
        <v>1400</v>
      </c>
      <c r="J10408" t="s">
        <v>42803</v>
      </c>
      <c r="L10408" t="s">
        <v>102</v>
      </c>
      <c r="M10408" t="s">
        <v>85</v>
      </c>
      <c r="R10408" t="s">
        <v>116</v>
      </c>
      <c r="W10408" t="s">
        <v>118</v>
      </c>
      <c r="X10408" t="s">
        <v>367</v>
      </c>
      <c r="Y10408" t="s">
        <v>124</v>
      </c>
      <c r="Z10408" t="s">
        <v>77</v>
      </c>
      <c r="AA10408" t="str">
        <f>"14608-1053"</f>
        <v>14608-1053</v>
      </c>
      <c r="AB10408" t="s">
        <v>133</v>
      </c>
      <c r="AC10408" t="s">
        <v>79</v>
      </c>
      <c r="AD10408" t="s">
        <v>75</v>
      </c>
      <c r="AE10408" t="s">
        <v>80</v>
      </c>
      <c r="AG10408" t="s">
        <v>81</v>
      </c>
    </row>
    <row r="10409" spans="1:33" x14ac:dyDescent="0.25">
      <c r="A10409" t="str">
        <f>"1265786628"</f>
        <v>1265786628</v>
      </c>
      <c r="C10409" t="s">
        <v>42799</v>
      </c>
      <c r="G10409" t="s">
        <v>42804</v>
      </c>
      <c r="H10409" t="s">
        <v>919</v>
      </c>
      <c r="J10409" t="s">
        <v>42805</v>
      </c>
      <c r="K10409" t="s">
        <v>99</v>
      </c>
      <c r="L10409" t="s">
        <v>74</v>
      </c>
      <c r="M10409" t="s">
        <v>75</v>
      </c>
      <c r="R10409" t="s">
        <v>42806</v>
      </c>
      <c r="S10409" t="s">
        <v>42807</v>
      </c>
      <c r="T10409" t="s">
        <v>97</v>
      </c>
      <c r="U10409" t="s">
        <v>77</v>
      </c>
      <c r="V10409" t="str">
        <f>"100101006"</f>
        <v>100101006</v>
      </c>
      <c r="AC10409" t="s">
        <v>79</v>
      </c>
      <c r="AD10409" t="s">
        <v>75</v>
      </c>
      <c r="AE10409" t="s">
        <v>103</v>
      </c>
      <c r="AG10409" t="s">
        <v>81</v>
      </c>
    </row>
    <row r="10410" spans="1:33" x14ac:dyDescent="0.25">
      <c r="A10410" t="str">
        <f>"1992898639"</f>
        <v>1992898639</v>
      </c>
      <c r="B10410" t="str">
        <f>"02235110"</f>
        <v>02235110</v>
      </c>
      <c r="C10410" t="s">
        <v>42808</v>
      </c>
      <c r="D10410" t="s">
        <v>3252</v>
      </c>
      <c r="E10410" t="s">
        <v>3253</v>
      </c>
      <c r="G10410" t="s">
        <v>2708</v>
      </c>
      <c r="H10410" t="s">
        <v>868</v>
      </c>
      <c r="J10410" t="s">
        <v>2709</v>
      </c>
      <c r="L10410" t="s">
        <v>83</v>
      </c>
      <c r="M10410" t="s">
        <v>85</v>
      </c>
      <c r="R10410" t="s">
        <v>3254</v>
      </c>
      <c r="W10410" t="s">
        <v>3253</v>
      </c>
      <c r="X10410" t="s">
        <v>2828</v>
      </c>
      <c r="Y10410" t="s">
        <v>190</v>
      </c>
      <c r="Z10410" t="s">
        <v>77</v>
      </c>
      <c r="AA10410" t="str">
        <f>"11106-4705"</f>
        <v>11106-4705</v>
      </c>
      <c r="AB10410" t="s">
        <v>114</v>
      </c>
      <c r="AC10410" t="s">
        <v>79</v>
      </c>
      <c r="AD10410" t="s">
        <v>75</v>
      </c>
      <c r="AE10410" t="s">
        <v>80</v>
      </c>
      <c r="AG10410" t="s">
        <v>81</v>
      </c>
    </row>
    <row r="10411" spans="1:33" x14ac:dyDescent="0.25">
      <c r="A10411" t="str">
        <f>"1992900088"</f>
        <v>1992900088</v>
      </c>
      <c r="B10411" t="str">
        <f>"03522754"</f>
        <v>03522754</v>
      </c>
      <c r="C10411" t="s">
        <v>42809</v>
      </c>
      <c r="D10411" t="s">
        <v>42810</v>
      </c>
      <c r="E10411" t="s">
        <v>42811</v>
      </c>
      <c r="G10411" t="s">
        <v>2708</v>
      </c>
      <c r="H10411" t="s">
        <v>868</v>
      </c>
      <c r="J10411" t="s">
        <v>2709</v>
      </c>
      <c r="L10411" t="s">
        <v>84</v>
      </c>
      <c r="M10411" t="s">
        <v>85</v>
      </c>
      <c r="R10411" t="s">
        <v>42812</v>
      </c>
      <c r="W10411" t="s">
        <v>42811</v>
      </c>
      <c r="X10411" t="s">
        <v>2769</v>
      </c>
      <c r="Y10411" t="s">
        <v>97</v>
      </c>
      <c r="Z10411" t="s">
        <v>77</v>
      </c>
      <c r="AA10411" t="str">
        <f>"10026-3138"</f>
        <v>10026-3138</v>
      </c>
      <c r="AB10411" t="s">
        <v>78</v>
      </c>
      <c r="AC10411" t="s">
        <v>79</v>
      </c>
      <c r="AD10411" t="s">
        <v>75</v>
      </c>
      <c r="AE10411" t="s">
        <v>80</v>
      </c>
      <c r="AG10411" t="s">
        <v>81</v>
      </c>
    </row>
    <row r="10412" spans="1:33" x14ac:dyDescent="0.25">
      <c r="A10412" t="str">
        <f>"1336281286"</f>
        <v>1336281286</v>
      </c>
      <c r="B10412" t="str">
        <f>"02772705"</f>
        <v>02772705</v>
      </c>
      <c r="C10412" t="s">
        <v>42813</v>
      </c>
      <c r="D10412" t="s">
        <v>42814</v>
      </c>
      <c r="E10412" t="s">
        <v>42815</v>
      </c>
      <c r="G10412" t="s">
        <v>42816</v>
      </c>
      <c r="H10412" t="s">
        <v>42817</v>
      </c>
      <c r="J10412" t="s">
        <v>42818</v>
      </c>
      <c r="L10412" t="s">
        <v>119</v>
      </c>
      <c r="M10412" t="s">
        <v>85</v>
      </c>
      <c r="R10412" t="s">
        <v>42819</v>
      </c>
      <c r="W10412" t="s">
        <v>42815</v>
      </c>
      <c r="X10412" t="s">
        <v>42820</v>
      </c>
      <c r="Y10412" t="s">
        <v>97</v>
      </c>
      <c r="Z10412" t="s">
        <v>77</v>
      </c>
      <c r="AA10412" t="str">
        <f>"10009-4724"</f>
        <v>10009-4724</v>
      </c>
      <c r="AB10412" t="s">
        <v>122</v>
      </c>
      <c r="AC10412" t="s">
        <v>79</v>
      </c>
      <c r="AD10412" t="s">
        <v>75</v>
      </c>
      <c r="AE10412" t="s">
        <v>80</v>
      </c>
      <c r="AG10412" t="s">
        <v>81</v>
      </c>
    </row>
    <row r="10413" spans="1:33" x14ac:dyDescent="0.25">
      <c r="A10413" t="str">
        <f>"1245375153"</f>
        <v>1245375153</v>
      </c>
      <c r="C10413" t="s">
        <v>42821</v>
      </c>
      <c r="G10413" t="s">
        <v>42822</v>
      </c>
      <c r="H10413" t="s">
        <v>24707</v>
      </c>
      <c r="J10413" t="s">
        <v>24708</v>
      </c>
      <c r="K10413" t="s">
        <v>99</v>
      </c>
      <c r="L10413" t="s">
        <v>102</v>
      </c>
      <c r="M10413" t="s">
        <v>75</v>
      </c>
      <c r="R10413" t="s">
        <v>42823</v>
      </c>
      <c r="S10413" t="s">
        <v>42824</v>
      </c>
      <c r="T10413" t="s">
        <v>450</v>
      </c>
      <c r="U10413" t="s">
        <v>77</v>
      </c>
      <c r="V10413" t="str">
        <f>"11423"</f>
        <v>11423</v>
      </c>
      <c r="AC10413" t="s">
        <v>79</v>
      </c>
      <c r="AD10413" t="s">
        <v>75</v>
      </c>
      <c r="AE10413" t="s">
        <v>103</v>
      </c>
      <c r="AG10413" t="s">
        <v>81</v>
      </c>
    </row>
    <row r="10414" spans="1:33" x14ac:dyDescent="0.25">
      <c r="A10414" t="str">
        <f>"1083647101"</f>
        <v>1083647101</v>
      </c>
      <c r="B10414" t="str">
        <f>"01635309"</f>
        <v>01635309</v>
      </c>
      <c r="C10414" t="s">
        <v>42825</v>
      </c>
      <c r="D10414" t="s">
        <v>42826</v>
      </c>
      <c r="E10414" t="s">
        <v>42827</v>
      </c>
      <c r="G10414" t="s">
        <v>36480</v>
      </c>
      <c r="H10414" t="s">
        <v>36481</v>
      </c>
      <c r="J10414" t="s">
        <v>36482</v>
      </c>
      <c r="L10414" t="s">
        <v>115</v>
      </c>
      <c r="M10414" t="s">
        <v>85</v>
      </c>
      <c r="R10414" t="s">
        <v>42828</v>
      </c>
      <c r="W10414" t="s">
        <v>42827</v>
      </c>
      <c r="X10414" t="s">
        <v>42829</v>
      </c>
      <c r="Y10414" t="s">
        <v>87</v>
      </c>
      <c r="Z10414" t="s">
        <v>77</v>
      </c>
      <c r="AA10414" t="str">
        <f>"11201-5290"</f>
        <v>11201-5290</v>
      </c>
      <c r="AB10414" t="s">
        <v>122</v>
      </c>
      <c r="AC10414" t="s">
        <v>79</v>
      </c>
      <c r="AD10414" t="s">
        <v>75</v>
      </c>
      <c r="AE10414" t="s">
        <v>80</v>
      </c>
      <c r="AG10414" t="s">
        <v>81</v>
      </c>
    </row>
    <row r="10415" spans="1:33" x14ac:dyDescent="0.25">
      <c r="A10415" t="str">
        <f>"1831122977"</f>
        <v>1831122977</v>
      </c>
      <c r="B10415" t="str">
        <f>"01752285"</f>
        <v>01752285</v>
      </c>
      <c r="C10415" t="s">
        <v>42830</v>
      </c>
      <c r="D10415" t="s">
        <v>42831</v>
      </c>
      <c r="E10415" t="s">
        <v>42832</v>
      </c>
      <c r="G10415" t="s">
        <v>36480</v>
      </c>
      <c r="H10415" t="s">
        <v>36481</v>
      </c>
      <c r="J10415" t="s">
        <v>36482</v>
      </c>
      <c r="L10415" t="s">
        <v>358</v>
      </c>
      <c r="M10415" t="s">
        <v>85</v>
      </c>
      <c r="R10415" t="s">
        <v>42833</v>
      </c>
      <c r="W10415" t="s">
        <v>42832</v>
      </c>
      <c r="X10415" t="s">
        <v>42834</v>
      </c>
      <c r="Y10415" t="s">
        <v>97</v>
      </c>
      <c r="Z10415" t="s">
        <v>77</v>
      </c>
      <c r="AA10415" t="str">
        <f>"10009-5335"</f>
        <v>10009-5335</v>
      </c>
      <c r="AB10415" t="s">
        <v>122</v>
      </c>
      <c r="AC10415" t="s">
        <v>79</v>
      </c>
      <c r="AD10415" t="s">
        <v>75</v>
      </c>
      <c r="AE10415" t="s">
        <v>80</v>
      </c>
      <c r="AG10415" t="s">
        <v>81</v>
      </c>
    </row>
    <row r="10416" spans="1:33" x14ac:dyDescent="0.25">
      <c r="A10416" t="str">
        <f>"1245251222"</f>
        <v>1245251222</v>
      </c>
      <c r="B10416" t="str">
        <f>"00243476"</f>
        <v>00243476</v>
      </c>
      <c r="C10416" t="s">
        <v>42835</v>
      </c>
      <c r="D10416" t="s">
        <v>42836</v>
      </c>
      <c r="E10416" t="s">
        <v>42837</v>
      </c>
      <c r="G10416" t="s">
        <v>27833</v>
      </c>
      <c r="H10416" t="s">
        <v>27834</v>
      </c>
      <c r="J10416" t="s">
        <v>27835</v>
      </c>
      <c r="L10416" t="s">
        <v>42838</v>
      </c>
      <c r="M10416" t="s">
        <v>85</v>
      </c>
      <c r="R10416" t="s">
        <v>42839</v>
      </c>
      <c r="W10416" t="s">
        <v>42837</v>
      </c>
      <c r="X10416" t="s">
        <v>306</v>
      </c>
      <c r="Y10416" t="s">
        <v>97</v>
      </c>
      <c r="Z10416" t="s">
        <v>77</v>
      </c>
      <c r="AA10416" t="str">
        <f>"10003-4201"</f>
        <v>10003-4201</v>
      </c>
      <c r="AB10416" t="s">
        <v>93</v>
      </c>
      <c r="AC10416" t="s">
        <v>79</v>
      </c>
      <c r="AD10416" t="s">
        <v>75</v>
      </c>
      <c r="AE10416" t="s">
        <v>80</v>
      </c>
      <c r="AG10416" t="s">
        <v>81</v>
      </c>
    </row>
    <row r="10417" spans="1:33" x14ac:dyDescent="0.25">
      <c r="A10417" t="str">
        <f>"1285034678"</f>
        <v>1285034678</v>
      </c>
      <c r="C10417" t="s">
        <v>42840</v>
      </c>
      <c r="G10417" t="s">
        <v>42841</v>
      </c>
      <c r="H10417" t="s">
        <v>42842</v>
      </c>
      <c r="I10417">
        <v>239</v>
      </c>
      <c r="J10417" t="s">
        <v>42843</v>
      </c>
      <c r="K10417" t="s">
        <v>99</v>
      </c>
      <c r="L10417" t="s">
        <v>102</v>
      </c>
      <c r="M10417" t="s">
        <v>75</v>
      </c>
      <c r="R10417" t="s">
        <v>42844</v>
      </c>
      <c r="S10417" t="s">
        <v>39066</v>
      </c>
      <c r="T10417" t="s">
        <v>141</v>
      </c>
      <c r="U10417" t="s">
        <v>77</v>
      </c>
      <c r="V10417" t="str">
        <f>"113774965"</f>
        <v>113774965</v>
      </c>
      <c r="AC10417" t="s">
        <v>79</v>
      </c>
      <c r="AD10417" t="s">
        <v>75</v>
      </c>
      <c r="AE10417" t="s">
        <v>103</v>
      </c>
      <c r="AG10417" t="s">
        <v>81</v>
      </c>
    </row>
    <row r="10418" spans="1:33" x14ac:dyDescent="0.25">
      <c r="A10418" t="str">
        <f>"1376943761"</f>
        <v>1376943761</v>
      </c>
      <c r="C10418" t="s">
        <v>42840</v>
      </c>
      <c r="G10418" t="s">
        <v>42841</v>
      </c>
      <c r="H10418" t="s">
        <v>42842</v>
      </c>
      <c r="I10418">
        <v>239</v>
      </c>
      <c r="J10418" t="s">
        <v>42843</v>
      </c>
      <c r="K10418" t="s">
        <v>99</v>
      </c>
      <c r="L10418" t="s">
        <v>102</v>
      </c>
      <c r="M10418" t="s">
        <v>75</v>
      </c>
      <c r="R10418" t="s">
        <v>42844</v>
      </c>
      <c r="S10418" t="s">
        <v>39066</v>
      </c>
      <c r="T10418" t="s">
        <v>141</v>
      </c>
      <c r="U10418" t="s">
        <v>77</v>
      </c>
      <c r="V10418" t="str">
        <f>"113774965"</f>
        <v>113774965</v>
      </c>
      <c r="AC10418" t="s">
        <v>79</v>
      </c>
      <c r="AD10418" t="s">
        <v>75</v>
      </c>
      <c r="AE10418" t="s">
        <v>103</v>
      </c>
      <c r="AG10418" t="s">
        <v>81</v>
      </c>
    </row>
    <row r="10419" spans="1:33" x14ac:dyDescent="0.25">
      <c r="A10419" t="str">
        <f>"1326160904"</f>
        <v>1326160904</v>
      </c>
      <c r="C10419" t="s">
        <v>42845</v>
      </c>
      <c r="G10419" t="s">
        <v>4838</v>
      </c>
      <c r="H10419" t="s">
        <v>42846</v>
      </c>
      <c r="J10419" t="s">
        <v>42847</v>
      </c>
      <c r="K10419" t="s">
        <v>99</v>
      </c>
      <c r="L10419" t="s">
        <v>102</v>
      </c>
      <c r="M10419" t="s">
        <v>75</v>
      </c>
      <c r="R10419" t="s">
        <v>622</v>
      </c>
      <c r="S10419" t="s">
        <v>42848</v>
      </c>
      <c r="T10419" t="s">
        <v>97</v>
      </c>
      <c r="U10419" t="s">
        <v>77</v>
      </c>
      <c r="V10419" t="str">
        <f>"100186504"</f>
        <v>100186504</v>
      </c>
      <c r="AC10419" t="s">
        <v>79</v>
      </c>
      <c r="AD10419" t="s">
        <v>75</v>
      </c>
      <c r="AE10419" t="s">
        <v>103</v>
      </c>
      <c r="AG10419" t="s">
        <v>81</v>
      </c>
    </row>
    <row r="10420" spans="1:33" x14ac:dyDescent="0.25">
      <c r="A10420" t="str">
        <f>"1023072709"</f>
        <v>1023072709</v>
      </c>
      <c r="B10420" t="str">
        <f>"01993008"</f>
        <v>01993008</v>
      </c>
      <c r="C10420" t="s">
        <v>42849</v>
      </c>
      <c r="D10420" t="s">
        <v>42850</v>
      </c>
      <c r="E10420" t="s">
        <v>42851</v>
      </c>
      <c r="G10420" t="s">
        <v>42852</v>
      </c>
      <c r="L10420" t="s">
        <v>83</v>
      </c>
      <c r="M10420" t="s">
        <v>75</v>
      </c>
      <c r="R10420" t="s">
        <v>42853</v>
      </c>
      <c r="W10420" t="s">
        <v>42851</v>
      </c>
      <c r="X10420" t="s">
        <v>42854</v>
      </c>
      <c r="Y10420" t="s">
        <v>4615</v>
      </c>
      <c r="Z10420" t="s">
        <v>3878</v>
      </c>
      <c r="AA10420" t="str">
        <f>"77030-2703"</f>
        <v>77030-2703</v>
      </c>
      <c r="AB10420" t="s">
        <v>78</v>
      </c>
      <c r="AC10420" t="s">
        <v>79</v>
      </c>
      <c r="AD10420" t="s">
        <v>75</v>
      </c>
      <c r="AE10420" t="s">
        <v>80</v>
      </c>
      <c r="AG10420" t="s">
        <v>81</v>
      </c>
    </row>
    <row r="10421" spans="1:33" x14ac:dyDescent="0.25">
      <c r="A10421" t="str">
        <f>"1023075066"</f>
        <v>1023075066</v>
      </c>
      <c r="B10421" t="str">
        <f>"01097878"</f>
        <v>01097878</v>
      </c>
      <c r="C10421" t="s">
        <v>42855</v>
      </c>
      <c r="D10421" t="s">
        <v>42856</v>
      </c>
      <c r="E10421" t="s">
        <v>42857</v>
      </c>
      <c r="G10421" t="s">
        <v>42855</v>
      </c>
      <c r="L10421" t="s">
        <v>83</v>
      </c>
      <c r="M10421" t="s">
        <v>75</v>
      </c>
      <c r="R10421" t="s">
        <v>42858</v>
      </c>
      <c r="W10421" t="s">
        <v>42857</v>
      </c>
      <c r="X10421" t="s">
        <v>9142</v>
      </c>
      <c r="Y10421" t="s">
        <v>87</v>
      </c>
      <c r="Z10421" t="s">
        <v>77</v>
      </c>
      <c r="AA10421" t="str">
        <f>"11212"</f>
        <v>11212</v>
      </c>
      <c r="AB10421" t="s">
        <v>78</v>
      </c>
      <c r="AC10421" t="s">
        <v>79</v>
      </c>
      <c r="AD10421" t="s">
        <v>75</v>
      </c>
      <c r="AE10421" t="s">
        <v>80</v>
      </c>
      <c r="AG10421" t="s">
        <v>81</v>
      </c>
    </row>
    <row r="10422" spans="1:33" x14ac:dyDescent="0.25">
      <c r="A10422" t="str">
        <f>"1033163969"</f>
        <v>1033163969</v>
      </c>
      <c r="B10422" t="str">
        <f>"01838751"</f>
        <v>01838751</v>
      </c>
      <c r="C10422" t="s">
        <v>42859</v>
      </c>
      <c r="D10422" t="s">
        <v>42860</v>
      </c>
      <c r="E10422" t="s">
        <v>42861</v>
      </c>
      <c r="G10422" t="s">
        <v>42859</v>
      </c>
      <c r="L10422" t="s">
        <v>83</v>
      </c>
      <c r="M10422" t="s">
        <v>75</v>
      </c>
      <c r="R10422" t="s">
        <v>42862</v>
      </c>
      <c r="W10422" t="s">
        <v>42861</v>
      </c>
      <c r="X10422" t="s">
        <v>42863</v>
      </c>
      <c r="Y10422" t="s">
        <v>42864</v>
      </c>
      <c r="Z10422" t="s">
        <v>77</v>
      </c>
      <c r="AA10422" t="str">
        <f>"11779"</f>
        <v>11779</v>
      </c>
      <c r="AB10422" t="s">
        <v>78</v>
      </c>
      <c r="AC10422" t="s">
        <v>79</v>
      </c>
      <c r="AD10422" t="s">
        <v>75</v>
      </c>
      <c r="AE10422" t="s">
        <v>80</v>
      </c>
      <c r="AG10422" t="s">
        <v>81</v>
      </c>
    </row>
    <row r="10423" spans="1:33" x14ac:dyDescent="0.25">
      <c r="A10423" t="str">
        <f>"1033165824"</f>
        <v>1033165824</v>
      </c>
      <c r="B10423" t="str">
        <f>"01030208"</f>
        <v>01030208</v>
      </c>
      <c r="C10423" t="s">
        <v>42865</v>
      </c>
      <c r="D10423" t="s">
        <v>42866</v>
      </c>
      <c r="E10423" t="s">
        <v>42867</v>
      </c>
      <c r="G10423" t="s">
        <v>42865</v>
      </c>
      <c r="L10423" t="s">
        <v>83</v>
      </c>
      <c r="M10423" t="s">
        <v>75</v>
      </c>
      <c r="R10423" t="s">
        <v>42868</v>
      </c>
      <c r="W10423" t="s">
        <v>42867</v>
      </c>
      <c r="X10423" t="s">
        <v>42869</v>
      </c>
      <c r="Y10423" t="s">
        <v>161</v>
      </c>
      <c r="Z10423" t="s">
        <v>77</v>
      </c>
      <c r="AA10423" t="str">
        <f>"11040-1433"</f>
        <v>11040-1433</v>
      </c>
      <c r="AB10423" t="s">
        <v>78</v>
      </c>
      <c r="AC10423" t="s">
        <v>79</v>
      </c>
      <c r="AD10423" t="s">
        <v>75</v>
      </c>
      <c r="AE10423" t="s">
        <v>80</v>
      </c>
      <c r="AG10423" t="s">
        <v>81</v>
      </c>
    </row>
    <row r="10424" spans="1:33" x14ac:dyDescent="0.25">
      <c r="A10424" t="str">
        <f>"1033321294"</f>
        <v>1033321294</v>
      </c>
      <c r="B10424" t="str">
        <f>"03285430"</f>
        <v>03285430</v>
      </c>
      <c r="C10424" t="s">
        <v>42870</v>
      </c>
      <c r="D10424" t="s">
        <v>42871</v>
      </c>
      <c r="E10424" t="s">
        <v>42872</v>
      </c>
      <c r="G10424" t="s">
        <v>42870</v>
      </c>
      <c r="L10424" t="s">
        <v>84</v>
      </c>
      <c r="M10424" t="s">
        <v>75</v>
      </c>
      <c r="R10424" t="s">
        <v>42872</v>
      </c>
      <c r="W10424" t="s">
        <v>42872</v>
      </c>
      <c r="X10424" t="s">
        <v>29116</v>
      </c>
      <c r="Y10424" t="s">
        <v>87</v>
      </c>
      <c r="Z10424" t="s">
        <v>77</v>
      </c>
      <c r="AA10424" t="str">
        <f>"11208-5132"</f>
        <v>11208-5132</v>
      </c>
      <c r="AB10424" t="s">
        <v>78</v>
      </c>
      <c r="AC10424" t="s">
        <v>79</v>
      </c>
      <c r="AD10424" t="s">
        <v>75</v>
      </c>
      <c r="AE10424" t="s">
        <v>80</v>
      </c>
      <c r="AG10424" t="s">
        <v>81</v>
      </c>
    </row>
    <row r="10425" spans="1:33" x14ac:dyDescent="0.25">
      <c r="A10425" t="str">
        <f>"1043315831"</f>
        <v>1043315831</v>
      </c>
      <c r="B10425" t="str">
        <f>"01838884"</f>
        <v>01838884</v>
      </c>
      <c r="C10425" t="s">
        <v>42873</v>
      </c>
      <c r="D10425" t="s">
        <v>42874</v>
      </c>
      <c r="E10425" t="s">
        <v>42875</v>
      </c>
      <c r="G10425" t="s">
        <v>42873</v>
      </c>
      <c r="L10425" t="s">
        <v>84</v>
      </c>
      <c r="M10425" t="s">
        <v>75</v>
      </c>
      <c r="R10425" t="s">
        <v>42876</v>
      </c>
      <c r="W10425" t="s">
        <v>42875</v>
      </c>
      <c r="X10425" t="s">
        <v>31400</v>
      </c>
      <c r="Y10425" t="s">
        <v>97</v>
      </c>
      <c r="Z10425" t="s">
        <v>77</v>
      </c>
      <c r="AA10425" t="str">
        <f>"10128-4077"</f>
        <v>10128-4077</v>
      </c>
      <c r="AB10425" t="s">
        <v>78</v>
      </c>
      <c r="AC10425" t="s">
        <v>79</v>
      </c>
      <c r="AD10425" t="s">
        <v>75</v>
      </c>
      <c r="AE10425" t="s">
        <v>80</v>
      </c>
      <c r="AG10425" t="s">
        <v>81</v>
      </c>
    </row>
    <row r="10426" spans="1:33" x14ac:dyDescent="0.25">
      <c r="A10426" t="str">
        <f>"1043479033"</f>
        <v>1043479033</v>
      </c>
      <c r="B10426" t="str">
        <f>"03347000"</f>
        <v>03347000</v>
      </c>
      <c r="C10426" t="s">
        <v>42877</v>
      </c>
      <c r="D10426" t="s">
        <v>42878</v>
      </c>
      <c r="E10426" t="s">
        <v>42879</v>
      </c>
      <c r="G10426" t="s">
        <v>42877</v>
      </c>
      <c r="L10426" t="s">
        <v>83</v>
      </c>
      <c r="M10426" t="s">
        <v>75</v>
      </c>
      <c r="R10426" t="s">
        <v>42880</v>
      </c>
      <c r="W10426" t="s">
        <v>42881</v>
      </c>
      <c r="X10426" t="s">
        <v>8978</v>
      </c>
      <c r="Y10426" t="s">
        <v>155</v>
      </c>
      <c r="Z10426" t="s">
        <v>77</v>
      </c>
      <c r="AA10426" t="str">
        <f>"10301-3627"</f>
        <v>10301-3627</v>
      </c>
      <c r="AB10426" t="s">
        <v>78</v>
      </c>
      <c r="AC10426" t="s">
        <v>79</v>
      </c>
      <c r="AD10426" t="s">
        <v>75</v>
      </c>
      <c r="AE10426" t="s">
        <v>80</v>
      </c>
      <c r="AG10426" t="s">
        <v>81</v>
      </c>
    </row>
    <row r="10427" spans="1:33" x14ac:dyDescent="0.25">
      <c r="C10427" t="s">
        <v>42882</v>
      </c>
      <c r="G10427" t="s">
        <v>42882</v>
      </c>
      <c r="K10427" t="s">
        <v>99</v>
      </c>
      <c r="L10427" t="s">
        <v>100</v>
      </c>
      <c r="M10427" t="s">
        <v>75</v>
      </c>
      <c r="N10427" t="s">
        <v>42883</v>
      </c>
      <c r="AC10427" t="s">
        <v>79</v>
      </c>
      <c r="AD10427" t="s">
        <v>75</v>
      </c>
      <c r="AE10427" t="s">
        <v>101</v>
      </c>
      <c r="AG10427" t="s">
        <v>81</v>
      </c>
    </row>
    <row r="10428" spans="1:33" x14ac:dyDescent="0.25">
      <c r="A10428" t="str">
        <f>"1053321414"</f>
        <v>1053321414</v>
      </c>
      <c r="B10428" t="str">
        <f>"00826031"</f>
        <v>00826031</v>
      </c>
      <c r="C10428" t="s">
        <v>42884</v>
      </c>
      <c r="D10428" t="s">
        <v>42885</v>
      </c>
      <c r="E10428" t="s">
        <v>42886</v>
      </c>
      <c r="G10428" t="s">
        <v>42884</v>
      </c>
      <c r="L10428" t="s">
        <v>74</v>
      </c>
      <c r="M10428" t="s">
        <v>75</v>
      </c>
      <c r="R10428" t="s">
        <v>42887</v>
      </c>
      <c r="W10428" t="s">
        <v>42888</v>
      </c>
      <c r="X10428" t="s">
        <v>29116</v>
      </c>
      <c r="Y10428" t="s">
        <v>87</v>
      </c>
      <c r="Z10428" t="s">
        <v>77</v>
      </c>
      <c r="AA10428" t="str">
        <f>"11208-5132"</f>
        <v>11208-5132</v>
      </c>
      <c r="AB10428" t="s">
        <v>128</v>
      </c>
      <c r="AC10428" t="s">
        <v>79</v>
      </c>
      <c r="AD10428" t="s">
        <v>75</v>
      </c>
      <c r="AE10428" t="s">
        <v>80</v>
      </c>
      <c r="AG10428" t="s">
        <v>81</v>
      </c>
    </row>
    <row r="10429" spans="1:33" x14ac:dyDescent="0.25">
      <c r="A10429" t="str">
        <f>"1053339838"</f>
        <v>1053339838</v>
      </c>
      <c r="B10429" t="str">
        <f>"00865361"</f>
        <v>00865361</v>
      </c>
      <c r="C10429" t="s">
        <v>42889</v>
      </c>
      <c r="D10429" t="s">
        <v>42890</v>
      </c>
      <c r="E10429" t="s">
        <v>42891</v>
      </c>
      <c r="G10429" t="s">
        <v>42889</v>
      </c>
      <c r="L10429" t="s">
        <v>84</v>
      </c>
      <c r="M10429" t="s">
        <v>75</v>
      </c>
      <c r="R10429" t="s">
        <v>42892</v>
      </c>
      <c r="W10429" t="s">
        <v>42891</v>
      </c>
      <c r="X10429" t="s">
        <v>42893</v>
      </c>
      <c r="Y10429" t="s">
        <v>227</v>
      </c>
      <c r="Z10429" t="s">
        <v>77</v>
      </c>
      <c r="AA10429" t="str">
        <f>"10601-1712"</f>
        <v>10601-1712</v>
      </c>
      <c r="AB10429" t="s">
        <v>78</v>
      </c>
      <c r="AC10429" t="s">
        <v>79</v>
      </c>
      <c r="AD10429" t="s">
        <v>75</v>
      </c>
      <c r="AE10429" t="s">
        <v>80</v>
      </c>
      <c r="AG10429" t="s">
        <v>81</v>
      </c>
    </row>
    <row r="10430" spans="1:33" x14ac:dyDescent="0.25">
      <c r="A10430" t="str">
        <f>"1053352658"</f>
        <v>1053352658</v>
      </c>
      <c r="B10430" t="str">
        <f>"02552734"</f>
        <v>02552734</v>
      </c>
      <c r="C10430" t="s">
        <v>42894</v>
      </c>
      <c r="D10430" t="s">
        <v>42895</v>
      </c>
      <c r="E10430" t="s">
        <v>42896</v>
      </c>
      <c r="G10430" t="s">
        <v>42894</v>
      </c>
      <c r="L10430" t="s">
        <v>83</v>
      </c>
      <c r="M10430" t="s">
        <v>75</v>
      </c>
      <c r="R10430" t="s">
        <v>42897</v>
      </c>
      <c r="W10430" t="s">
        <v>42896</v>
      </c>
      <c r="X10430" t="s">
        <v>42898</v>
      </c>
      <c r="Y10430" t="s">
        <v>214</v>
      </c>
      <c r="Z10430" t="s">
        <v>77</v>
      </c>
      <c r="AA10430" t="str">
        <f>"11801-4242"</f>
        <v>11801-4242</v>
      </c>
      <c r="AB10430" t="s">
        <v>78</v>
      </c>
      <c r="AC10430" t="s">
        <v>79</v>
      </c>
      <c r="AD10430" t="s">
        <v>75</v>
      </c>
      <c r="AE10430" t="s">
        <v>80</v>
      </c>
      <c r="AG10430" t="s">
        <v>81</v>
      </c>
    </row>
    <row r="10431" spans="1:33" x14ac:dyDescent="0.25">
      <c r="A10431" t="str">
        <f>"1053548958"</f>
        <v>1053548958</v>
      </c>
      <c r="B10431" t="str">
        <f>"02989215"</f>
        <v>02989215</v>
      </c>
      <c r="C10431" t="s">
        <v>42899</v>
      </c>
      <c r="D10431" t="s">
        <v>42900</v>
      </c>
      <c r="E10431" t="s">
        <v>42901</v>
      </c>
      <c r="G10431" t="s">
        <v>42899</v>
      </c>
      <c r="L10431" t="s">
        <v>74</v>
      </c>
      <c r="M10431" t="s">
        <v>75</v>
      </c>
      <c r="R10431" t="s">
        <v>42902</v>
      </c>
      <c r="W10431" t="s">
        <v>42901</v>
      </c>
      <c r="X10431" t="s">
        <v>5586</v>
      </c>
      <c r="Y10431" t="s">
        <v>87</v>
      </c>
      <c r="Z10431" t="s">
        <v>77</v>
      </c>
      <c r="AA10431" t="str">
        <f>"11201-3601"</f>
        <v>11201-3601</v>
      </c>
      <c r="AB10431" t="s">
        <v>109</v>
      </c>
      <c r="AC10431" t="s">
        <v>79</v>
      </c>
      <c r="AD10431" t="s">
        <v>75</v>
      </c>
      <c r="AE10431" t="s">
        <v>80</v>
      </c>
      <c r="AG10431" t="s">
        <v>81</v>
      </c>
    </row>
    <row r="10432" spans="1:33" x14ac:dyDescent="0.25">
      <c r="A10432" t="str">
        <f>"1053564260"</f>
        <v>1053564260</v>
      </c>
      <c r="B10432" t="str">
        <f>"03052504"</f>
        <v>03052504</v>
      </c>
      <c r="C10432" t="s">
        <v>42903</v>
      </c>
      <c r="D10432" t="s">
        <v>42904</v>
      </c>
      <c r="E10432" t="s">
        <v>42905</v>
      </c>
      <c r="G10432" t="s">
        <v>42903</v>
      </c>
      <c r="L10432" t="s">
        <v>84</v>
      </c>
      <c r="M10432" t="s">
        <v>75</v>
      </c>
      <c r="R10432" t="s">
        <v>42905</v>
      </c>
      <c r="W10432" t="s">
        <v>42906</v>
      </c>
      <c r="X10432" t="s">
        <v>86</v>
      </c>
      <c r="Y10432" t="s">
        <v>87</v>
      </c>
      <c r="Z10432" t="s">
        <v>77</v>
      </c>
      <c r="AA10432" t="str">
        <f>"11220-2559"</f>
        <v>11220-2559</v>
      </c>
      <c r="AB10432" t="s">
        <v>78</v>
      </c>
      <c r="AC10432" t="s">
        <v>79</v>
      </c>
      <c r="AD10432" t="s">
        <v>75</v>
      </c>
      <c r="AE10432" t="s">
        <v>80</v>
      </c>
      <c r="AG10432" t="s">
        <v>81</v>
      </c>
    </row>
    <row r="10433" spans="1:33" x14ac:dyDescent="0.25">
      <c r="A10433" t="str">
        <f>"1053690537"</f>
        <v>1053690537</v>
      </c>
      <c r="B10433" t="str">
        <f>"03990636"</f>
        <v>03990636</v>
      </c>
      <c r="C10433" t="s">
        <v>42907</v>
      </c>
      <c r="D10433" t="s">
        <v>42908</v>
      </c>
      <c r="E10433" t="s">
        <v>42909</v>
      </c>
      <c r="G10433" t="s">
        <v>42907</v>
      </c>
      <c r="L10433" t="s">
        <v>83</v>
      </c>
      <c r="M10433" t="s">
        <v>75</v>
      </c>
      <c r="R10433" t="s">
        <v>42910</v>
      </c>
      <c r="W10433" t="s">
        <v>42909</v>
      </c>
      <c r="X10433" t="s">
        <v>2779</v>
      </c>
      <c r="Y10433" t="s">
        <v>87</v>
      </c>
      <c r="Z10433" t="s">
        <v>77</v>
      </c>
      <c r="AA10433" t="str">
        <f>"11217-1702"</f>
        <v>11217-1702</v>
      </c>
      <c r="AB10433" t="s">
        <v>78</v>
      </c>
      <c r="AC10433" t="s">
        <v>79</v>
      </c>
      <c r="AD10433" t="s">
        <v>75</v>
      </c>
      <c r="AE10433" t="s">
        <v>80</v>
      </c>
      <c r="AG10433" t="s">
        <v>81</v>
      </c>
    </row>
    <row r="10434" spans="1:33" x14ac:dyDescent="0.25">
      <c r="A10434" t="str">
        <f>"1063468254"</f>
        <v>1063468254</v>
      </c>
      <c r="B10434" t="str">
        <f>"02920327"</f>
        <v>02920327</v>
      </c>
      <c r="C10434" t="s">
        <v>42911</v>
      </c>
      <c r="D10434" t="s">
        <v>42912</v>
      </c>
      <c r="E10434" t="s">
        <v>42913</v>
      </c>
      <c r="G10434" t="s">
        <v>42911</v>
      </c>
      <c r="L10434" t="s">
        <v>83</v>
      </c>
      <c r="M10434" t="s">
        <v>75</v>
      </c>
      <c r="R10434" t="s">
        <v>42914</v>
      </c>
      <c r="W10434" t="s">
        <v>42913</v>
      </c>
      <c r="X10434" t="s">
        <v>40667</v>
      </c>
      <c r="Y10434" t="s">
        <v>87</v>
      </c>
      <c r="Z10434" t="s">
        <v>77</v>
      </c>
      <c r="AA10434" t="str">
        <f>"11201-3628"</f>
        <v>11201-3628</v>
      </c>
      <c r="AB10434" t="s">
        <v>78</v>
      </c>
      <c r="AC10434" t="s">
        <v>79</v>
      </c>
      <c r="AD10434" t="s">
        <v>75</v>
      </c>
      <c r="AE10434" t="s">
        <v>80</v>
      </c>
      <c r="AG10434" t="s">
        <v>81</v>
      </c>
    </row>
    <row r="10435" spans="1:33" x14ac:dyDescent="0.25">
      <c r="A10435" t="str">
        <f>"1063639169"</f>
        <v>1063639169</v>
      </c>
      <c r="C10435" t="s">
        <v>42915</v>
      </c>
      <c r="G10435" t="s">
        <v>42915</v>
      </c>
      <c r="K10435" t="s">
        <v>99</v>
      </c>
      <c r="L10435" t="s">
        <v>102</v>
      </c>
      <c r="M10435" t="s">
        <v>75</v>
      </c>
      <c r="R10435" t="s">
        <v>42916</v>
      </c>
      <c r="S10435" t="s">
        <v>42863</v>
      </c>
      <c r="T10435" t="s">
        <v>241</v>
      </c>
      <c r="U10435" t="s">
        <v>77</v>
      </c>
      <c r="V10435" t="str">
        <f>"11703"</f>
        <v>11703</v>
      </c>
      <c r="AC10435" t="s">
        <v>79</v>
      </c>
      <c r="AD10435" t="s">
        <v>75</v>
      </c>
      <c r="AE10435" t="s">
        <v>103</v>
      </c>
      <c r="AG10435" t="s">
        <v>81</v>
      </c>
    </row>
    <row r="10436" spans="1:33" x14ac:dyDescent="0.25">
      <c r="A10436" t="str">
        <f>"1083651947"</f>
        <v>1083651947</v>
      </c>
      <c r="B10436" t="str">
        <f>"01295087"</f>
        <v>01295087</v>
      </c>
      <c r="C10436" t="s">
        <v>42917</v>
      </c>
      <c r="D10436" t="s">
        <v>42918</v>
      </c>
      <c r="E10436" t="s">
        <v>42919</v>
      </c>
      <c r="G10436" t="s">
        <v>42917</v>
      </c>
      <c r="L10436" t="s">
        <v>83</v>
      </c>
      <c r="M10436" t="s">
        <v>75</v>
      </c>
      <c r="R10436" t="s">
        <v>42920</v>
      </c>
      <c r="W10436" t="s">
        <v>42921</v>
      </c>
      <c r="X10436" t="s">
        <v>271</v>
      </c>
      <c r="Y10436" t="s">
        <v>161</v>
      </c>
      <c r="Z10436" t="s">
        <v>77</v>
      </c>
      <c r="AA10436" t="str">
        <f>"11040-1661"</f>
        <v>11040-1661</v>
      </c>
      <c r="AB10436" t="s">
        <v>78</v>
      </c>
      <c r="AC10436" t="s">
        <v>79</v>
      </c>
      <c r="AD10436" t="s">
        <v>75</v>
      </c>
      <c r="AE10436" t="s">
        <v>80</v>
      </c>
      <c r="AG10436" t="s">
        <v>81</v>
      </c>
    </row>
    <row r="10437" spans="1:33" x14ac:dyDescent="0.25">
      <c r="A10437" t="str">
        <f>"1083657126"</f>
        <v>1083657126</v>
      </c>
      <c r="B10437" t="str">
        <f>"01190761"</f>
        <v>01190761</v>
      </c>
      <c r="C10437" t="s">
        <v>42922</v>
      </c>
      <c r="D10437" t="s">
        <v>42923</v>
      </c>
      <c r="E10437" t="s">
        <v>42924</v>
      </c>
      <c r="G10437" t="s">
        <v>42922</v>
      </c>
      <c r="L10437" t="s">
        <v>83</v>
      </c>
      <c r="M10437" t="s">
        <v>75</v>
      </c>
      <c r="R10437" t="s">
        <v>42925</v>
      </c>
      <c r="W10437" t="s">
        <v>42924</v>
      </c>
      <c r="X10437" t="s">
        <v>287</v>
      </c>
      <c r="Y10437" t="s">
        <v>152</v>
      </c>
      <c r="Z10437" t="s">
        <v>77</v>
      </c>
      <c r="AA10437" t="str">
        <f>"11375-6625"</f>
        <v>11375-6625</v>
      </c>
      <c r="AB10437" t="s">
        <v>78</v>
      </c>
      <c r="AC10437" t="s">
        <v>79</v>
      </c>
      <c r="AD10437" t="s">
        <v>75</v>
      </c>
      <c r="AE10437" t="s">
        <v>80</v>
      </c>
      <c r="AG10437" t="s">
        <v>81</v>
      </c>
    </row>
    <row r="10438" spans="1:33" x14ac:dyDescent="0.25">
      <c r="A10438" t="str">
        <f>"1083659304"</f>
        <v>1083659304</v>
      </c>
      <c r="B10438" t="str">
        <f>"02734756"</f>
        <v>02734756</v>
      </c>
      <c r="C10438" t="s">
        <v>42926</v>
      </c>
      <c r="D10438" t="s">
        <v>42927</v>
      </c>
      <c r="E10438" t="s">
        <v>42928</v>
      </c>
      <c r="G10438" t="s">
        <v>42926</v>
      </c>
      <c r="L10438" t="s">
        <v>74</v>
      </c>
      <c r="M10438" t="s">
        <v>75</v>
      </c>
      <c r="R10438" t="s">
        <v>42929</v>
      </c>
      <c r="W10438" t="s">
        <v>42928</v>
      </c>
      <c r="X10438" t="s">
        <v>4916</v>
      </c>
      <c r="Y10438" t="s">
        <v>171</v>
      </c>
      <c r="Z10438" t="s">
        <v>77</v>
      </c>
      <c r="AA10438" t="str">
        <f>"11432-4727"</f>
        <v>11432-4727</v>
      </c>
      <c r="AB10438" t="s">
        <v>78</v>
      </c>
      <c r="AC10438" t="s">
        <v>79</v>
      </c>
      <c r="AD10438" t="s">
        <v>75</v>
      </c>
      <c r="AE10438" t="s">
        <v>80</v>
      </c>
      <c r="AG10438" t="s">
        <v>81</v>
      </c>
    </row>
    <row r="10439" spans="1:33" x14ac:dyDescent="0.25">
      <c r="A10439" t="str">
        <f>"1083734917"</f>
        <v>1083734917</v>
      </c>
      <c r="B10439" t="str">
        <f>"03118169"</f>
        <v>03118169</v>
      </c>
      <c r="C10439" t="s">
        <v>42930</v>
      </c>
      <c r="D10439" t="s">
        <v>42931</v>
      </c>
      <c r="E10439" t="s">
        <v>42932</v>
      </c>
      <c r="G10439" t="s">
        <v>42930</v>
      </c>
      <c r="L10439" t="s">
        <v>83</v>
      </c>
      <c r="M10439" t="s">
        <v>75</v>
      </c>
      <c r="R10439" t="s">
        <v>42933</v>
      </c>
      <c r="W10439" t="s">
        <v>42933</v>
      </c>
      <c r="X10439" t="s">
        <v>200</v>
      </c>
      <c r="Y10439" t="s">
        <v>97</v>
      </c>
      <c r="Z10439" t="s">
        <v>77</v>
      </c>
      <c r="AA10439" t="str">
        <f>"10032-3720"</f>
        <v>10032-3720</v>
      </c>
      <c r="AB10439" t="s">
        <v>78</v>
      </c>
      <c r="AC10439" t="s">
        <v>79</v>
      </c>
      <c r="AD10439" t="s">
        <v>75</v>
      </c>
      <c r="AE10439" t="s">
        <v>80</v>
      </c>
      <c r="AG10439" t="s">
        <v>81</v>
      </c>
    </row>
    <row r="10440" spans="1:33" x14ac:dyDescent="0.25">
      <c r="A10440" t="str">
        <f>"1083856231"</f>
        <v>1083856231</v>
      </c>
      <c r="B10440" t="str">
        <f>"03959368"</f>
        <v>03959368</v>
      </c>
      <c r="C10440" t="s">
        <v>42934</v>
      </c>
      <c r="D10440" t="s">
        <v>42935</v>
      </c>
      <c r="E10440" t="s">
        <v>42936</v>
      </c>
      <c r="G10440" t="s">
        <v>42934</v>
      </c>
      <c r="L10440" t="s">
        <v>83</v>
      </c>
      <c r="M10440" t="s">
        <v>75</v>
      </c>
      <c r="R10440" t="s">
        <v>42937</v>
      </c>
      <c r="W10440" t="s">
        <v>42936</v>
      </c>
      <c r="X10440" t="s">
        <v>590</v>
      </c>
      <c r="Y10440" t="s">
        <v>97</v>
      </c>
      <c r="Z10440" t="s">
        <v>77</v>
      </c>
      <c r="AA10440" t="str">
        <f>"10128-4077"</f>
        <v>10128-4077</v>
      </c>
      <c r="AB10440" t="s">
        <v>78</v>
      </c>
      <c r="AC10440" t="s">
        <v>79</v>
      </c>
      <c r="AD10440" t="s">
        <v>75</v>
      </c>
      <c r="AE10440" t="s">
        <v>80</v>
      </c>
      <c r="AG10440" t="s">
        <v>81</v>
      </c>
    </row>
    <row r="10441" spans="1:33" x14ac:dyDescent="0.25">
      <c r="A10441" t="str">
        <f>"1093842122"</f>
        <v>1093842122</v>
      </c>
      <c r="B10441" t="str">
        <f>"01862986"</f>
        <v>01862986</v>
      </c>
      <c r="C10441" t="s">
        <v>42938</v>
      </c>
      <c r="D10441" t="s">
        <v>42939</v>
      </c>
      <c r="E10441" t="s">
        <v>42940</v>
      </c>
      <c r="G10441" t="s">
        <v>42938</v>
      </c>
      <c r="L10441" t="s">
        <v>84</v>
      </c>
      <c r="M10441" t="s">
        <v>75</v>
      </c>
      <c r="R10441" t="s">
        <v>42941</v>
      </c>
      <c r="W10441" t="s">
        <v>42942</v>
      </c>
      <c r="X10441" t="s">
        <v>590</v>
      </c>
      <c r="Y10441" t="s">
        <v>97</v>
      </c>
      <c r="Z10441" t="s">
        <v>77</v>
      </c>
      <c r="AA10441" t="str">
        <f>"10128-4077"</f>
        <v>10128-4077</v>
      </c>
      <c r="AB10441" t="s">
        <v>78</v>
      </c>
      <c r="AC10441" t="s">
        <v>79</v>
      </c>
      <c r="AD10441" t="s">
        <v>75</v>
      </c>
      <c r="AE10441" t="s">
        <v>80</v>
      </c>
      <c r="AG10441" t="s">
        <v>81</v>
      </c>
    </row>
    <row r="10442" spans="1:33" x14ac:dyDescent="0.25">
      <c r="A10442" t="str">
        <f>"1093866832"</f>
        <v>1093866832</v>
      </c>
      <c r="B10442" t="str">
        <f>"02858359"</f>
        <v>02858359</v>
      </c>
      <c r="C10442" t="s">
        <v>42943</v>
      </c>
      <c r="D10442" t="s">
        <v>42944</v>
      </c>
      <c r="E10442" t="s">
        <v>42945</v>
      </c>
      <c r="G10442" t="s">
        <v>42943</v>
      </c>
      <c r="L10442" t="s">
        <v>83</v>
      </c>
      <c r="M10442" t="s">
        <v>75</v>
      </c>
      <c r="R10442" t="s">
        <v>42946</v>
      </c>
      <c r="W10442" t="s">
        <v>42947</v>
      </c>
      <c r="X10442" t="s">
        <v>173</v>
      </c>
      <c r="Y10442" t="s">
        <v>87</v>
      </c>
      <c r="Z10442" t="s">
        <v>77</v>
      </c>
      <c r="AA10442" t="str">
        <f>"11219-2916"</f>
        <v>11219-2916</v>
      </c>
      <c r="AB10442" t="s">
        <v>78</v>
      </c>
      <c r="AC10442" t="s">
        <v>79</v>
      </c>
      <c r="AD10442" t="s">
        <v>75</v>
      </c>
      <c r="AE10442" t="s">
        <v>80</v>
      </c>
      <c r="AG10442" t="s">
        <v>81</v>
      </c>
    </row>
    <row r="10443" spans="1:33" x14ac:dyDescent="0.25">
      <c r="A10443" t="str">
        <f>"1093899734"</f>
        <v>1093899734</v>
      </c>
      <c r="B10443" t="str">
        <f>"02012724"</f>
        <v>02012724</v>
      </c>
      <c r="C10443" t="s">
        <v>42948</v>
      </c>
      <c r="D10443" t="s">
        <v>42949</v>
      </c>
      <c r="E10443" t="s">
        <v>42950</v>
      </c>
      <c r="G10443" t="s">
        <v>42948</v>
      </c>
      <c r="L10443" t="s">
        <v>83</v>
      </c>
      <c r="M10443" t="s">
        <v>75</v>
      </c>
      <c r="R10443" t="s">
        <v>42951</v>
      </c>
      <c r="W10443" t="s">
        <v>42950</v>
      </c>
      <c r="X10443" t="s">
        <v>42950</v>
      </c>
      <c r="Y10443" t="s">
        <v>312</v>
      </c>
      <c r="Z10443" t="s">
        <v>77</v>
      </c>
      <c r="AA10443" t="str">
        <f>"11385-7413"</f>
        <v>11385-7413</v>
      </c>
      <c r="AB10443" t="s">
        <v>128</v>
      </c>
      <c r="AC10443" t="s">
        <v>79</v>
      </c>
      <c r="AD10443" t="s">
        <v>75</v>
      </c>
      <c r="AE10443" t="s">
        <v>80</v>
      </c>
      <c r="AG10443" t="s">
        <v>81</v>
      </c>
    </row>
    <row r="10444" spans="1:33" x14ac:dyDescent="0.25">
      <c r="A10444" t="str">
        <f>"1104880228"</f>
        <v>1104880228</v>
      </c>
      <c r="B10444" t="str">
        <f>"02117320"</f>
        <v>02117320</v>
      </c>
      <c r="C10444" t="s">
        <v>42952</v>
      </c>
      <c r="D10444" t="s">
        <v>42953</v>
      </c>
      <c r="E10444" t="s">
        <v>42954</v>
      </c>
      <c r="G10444" t="s">
        <v>42952</v>
      </c>
      <c r="L10444" t="s">
        <v>83</v>
      </c>
      <c r="M10444" t="s">
        <v>75</v>
      </c>
      <c r="R10444" t="s">
        <v>42955</v>
      </c>
      <c r="W10444" t="s">
        <v>42956</v>
      </c>
      <c r="X10444" t="s">
        <v>42957</v>
      </c>
      <c r="Y10444" t="s">
        <v>3539</v>
      </c>
      <c r="Z10444" t="s">
        <v>77</v>
      </c>
      <c r="AA10444" t="str">
        <f>"11510-1848"</f>
        <v>11510-1848</v>
      </c>
      <c r="AB10444" t="s">
        <v>128</v>
      </c>
      <c r="AC10444" t="s">
        <v>79</v>
      </c>
      <c r="AD10444" t="s">
        <v>75</v>
      </c>
      <c r="AE10444" t="s">
        <v>80</v>
      </c>
      <c r="AG10444" t="s">
        <v>81</v>
      </c>
    </row>
    <row r="10445" spans="1:33" x14ac:dyDescent="0.25">
      <c r="A10445" t="str">
        <f>"1720184468"</f>
        <v>1720184468</v>
      </c>
      <c r="B10445" t="str">
        <f>"02339875"</f>
        <v>02339875</v>
      </c>
      <c r="C10445" t="s">
        <v>13436</v>
      </c>
      <c r="D10445" t="s">
        <v>42958</v>
      </c>
      <c r="E10445" t="s">
        <v>42959</v>
      </c>
      <c r="L10445" t="s">
        <v>74</v>
      </c>
      <c r="M10445" t="s">
        <v>75</v>
      </c>
      <c r="R10445" t="s">
        <v>42960</v>
      </c>
      <c r="W10445" t="s">
        <v>42959</v>
      </c>
      <c r="X10445" t="s">
        <v>42961</v>
      </c>
      <c r="Y10445" t="s">
        <v>190</v>
      </c>
      <c r="Z10445" t="s">
        <v>77</v>
      </c>
      <c r="AA10445" t="str">
        <f>"11102-2448"</f>
        <v>11102-2448</v>
      </c>
      <c r="AB10445" t="s">
        <v>78</v>
      </c>
      <c r="AC10445" t="s">
        <v>79</v>
      </c>
      <c r="AD10445" t="s">
        <v>75</v>
      </c>
      <c r="AE10445" t="s">
        <v>80</v>
      </c>
      <c r="AG10445" t="s">
        <v>81</v>
      </c>
    </row>
    <row r="10446" spans="1:33" x14ac:dyDescent="0.25">
      <c r="A10446" t="str">
        <f>"1871574905"</f>
        <v>1871574905</v>
      </c>
      <c r="B10446" t="str">
        <f>"01920447"</f>
        <v>01920447</v>
      </c>
      <c r="C10446" t="s">
        <v>13436</v>
      </c>
      <c r="D10446" t="s">
        <v>42962</v>
      </c>
      <c r="E10446" t="s">
        <v>42963</v>
      </c>
      <c r="G10446" t="s">
        <v>42964</v>
      </c>
      <c r="L10446" t="s">
        <v>83</v>
      </c>
      <c r="M10446" t="s">
        <v>75</v>
      </c>
      <c r="R10446" t="s">
        <v>42965</v>
      </c>
      <c r="W10446" t="s">
        <v>42963</v>
      </c>
      <c r="X10446" t="s">
        <v>3553</v>
      </c>
      <c r="Y10446" t="s">
        <v>97</v>
      </c>
      <c r="Z10446" t="s">
        <v>77</v>
      </c>
      <c r="AA10446" t="str">
        <f>"10003-3851"</f>
        <v>10003-3851</v>
      </c>
      <c r="AB10446" t="s">
        <v>78</v>
      </c>
      <c r="AC10446" t="s">
        <v>79</v>
      </c>
      <c r="AD10446" t="s">
        <v>75</v>
      </c>
      <c r="AE10446" t="s">
        <v>80</v>
      </c>
      <c r="AG10446" t="s">
        <v>81</v>
      </c>
    </row>
    <row r="10447" spans="1:33" x14ac:dyDescent="0.25">
      <c r="A10447" t="str">
        <f>"1871599605"</f>
        <v>1871599605</v>
      </c>
      <c r="B10447" t="str">
        <f>"01849292"</f>
        <v>01849292</v>
      </c>
      <c r="C10447" t="s">
        <v>13436</v>
      </c>
      <c r="D10447" t="s">
        <v>42966</v>
      </c>
      <c r="E10447" t="s">
        <v>42967</v>
      </c>
      <c r="L10447" t="s">
        <v>74</v>
      </c>
      <c r="M10447" t="s">
        <v>85</v>
      </c>
      <c r="R10447" t="s">
        <v>42968</v>
      </c>
      <c r="W10447" t="s">
        <v>42967</v>
      </c>
      <c r="X10447" t="s">
        <v>27352</v>
      </c>
      <c r="Y10447" t="s">
        <v>160</v>
      </c>
      <c r="Z10447" t="s">
        <v>77</v>
      </c>
      <c r="AA10447" t="str">
        <f>"11030-3008"</f>
        <v>11030-3008</v>
      </c>
      <c r="AB10447" t="s">
        <v>78</v>
      </c>
      <c r="AC10447" t="s">
        <v>79</v>
      </c>
      <c r="AD10447" t="s">
        <v>75</v>
      </c>
      <c r="AE10447" t="s">
        <v>80</v>
      </c>
      <c r="AG10447" t="s">
        <v>81</v>
      </c>
    </row>
    <row r="10448" spans="1:33" x14ac:dyDescent="0.25">
      <c r="A10448" t="str">
        <f>"1144250291"</f>
        <v>1144250291</v>
      </c>
      <c r="B10448" t="str">
        <f>"00355151"</f>
        <v>00355151</v>
      </c>
      <c r="C10448" t="s">
        <v>42969</v>
      </c>
      <c r="D10448" t="s">
        <v>42970</v>
      </c>
      <c r="E10448" t="s">
        <v>26064</v>
      </c>
      <c r="G10448" t="s">
        <v>42971</v>
      </c>
      <c r="H10448" t="s">
        <v>9838</v>
      </c>
      <c r="J10448" t="s">
        <v>9839</v>
      </c>
      <c r="L10448" t="s">
        <v>115</v>
      </c>
      <c r="M10448" t="s">
        <v>85</v>
      </c>
      <c r="R10448" t="s">
        <v>42972</v>
      </c>
      <c r="W10448" t="s">
        <v>26064</v>
      </c>
      <c r="X10448" t="s">
        <v>9842</v>
      </c>
      <c r="Y10448" t="s">
        <v>97</v>
      </c>
      <c r="Z10448" t="s">
        <v>77</v>
      </c>
      <c r="AA10448" t="str">
        <f>"10029-4007"</f>
        <v>10029-4007</v>
      </c>
      <c r="AB10448" t="s">
        <v>122</v>
      </c>
      <c r="AC10448" t="s">
        <v>79</v>
      </c>
      <c r="AD10448" t="s">
        <v>75</v>
      </c>
      <c r="AE10448" t="s">
        <v>80</v>
      </c>
      <c r="AG10448" t="s">
        <v>81</v>
      </c>
    </row>
    <row r="10449" spans="1:33" x14ac:dyDescent="0.25">
      <c r="A10449" t="str">
        <f>"1013165737"</f>
        <v>1013165737</v>
      </c>
      <c r="C10449" t="s">
        <v>42973</v>
      </c>
      <c r="G10449" t="s">
        <v>42974</v>
      </c>
      <c r="H10449" t="s">
        <v>42975</v>
      </c>
      <c r="I10449">
        <v>368</v>
      </c>
      <c r="J10449" t="s">
        <v>42976</v>
      </c>
      <c r="K10449" t="s">
        <v>99</v>
      </c>
      <c r="L10449" t="s">
        <v>102</v>
      </c>
      <c r="M10449" t="s">
        <v>75</v>
      </c>
      <c r="R10449" t="s">
        <v>42977</v>
      </c>
      <c r="S10449" t="s">
        <v>42978</v>
      </c>
      <c r="T10449" t="s">
        <v>97</v>
      </c>
      <c r="U10449" t="s">
        <v>77</v>
      </c>
      <c r="V10449" t="str">
        <f>"100015304"</f>
        <v>100015304</v>
      </c>
      <c r="AC10449" t="s">
        <v>79</v>
      </c>
      <c r="AD10449" t="s">
        <v>75</v>
      </c>
      <c r="AE10449" t="s">
        <v>103</v>
      </c>
      <c r="AG10449" t="s">
        <v>81</v>
      </c>
    </row>
    <row r="10450" spans="1:33" x14ac:dyDescent="0.25">
      <c r="A10450" t="str">
        <f>"1013992494"</f>
        <v>1013992494</v>
      </c>
      <c r="B10450" t="str">
        <f>"01422884"</f>
        <v>01422884</v>
      </c>
      <c r="C10450" t="s">
        <v>42979</v>
      </c>
      <c r="D10450" t="s">
        <v>42980</v>
      </c>
      <c r="E10450" t="s">
        <v>42981</v>
      </c>
      <c r="H10450" t="s">
        <v>42982</v>
      </c>
      <c r="L10450" t="s">
        <v>83</v>
      </c>
      <c r="M10450" t="s">
        <v>85</v>
      </c>
      <c r="R10450" t="s">
        <v>42983</v>
      </c>
      <c r="W10450" t="s">
        <v>42981</v>
      </c>
      <c r="X10450" t="s">
        <v>42984</v>
      </c>
      <c r="Y10450" t="s">
        <v>87</v>
      </c>
      <c r="Z10450" t="s">
        <v>77</v>
      </c>
      <c r="AA10450" t="str">
        <f>"11203-2017"</f>
        <v>11203-2017</v>
      </c>
      <c r="AB10450" t="s">
        <v>78</v>
      </c>
      <c r="AC10450" t="s">
        <v>79</v>
      </c>
      <c r="AD10450" t="s">
        <v>75</v>
      </c>
      <c r="AE10450" t="s">
        <v>80</v>
      </c>
      <c r="AG10450" t="s">
        <v>81</v>
      </c>
    </row>
    <row r="10451" spans="1:33" x14ac:dyDescent="0.25">
      <c r="A10451" t="str">
        <f>"1962599019"</f>
        <v>1962599019</v>
      </c>
      <c r="B10451" t="str">
        <f>"03332047"</f>
        <v>03332047</v>
      </c>
      <c r="C10451" t="s">
        <v>42985</v>
      </c>
      <c r="D10451" t="s">
        <v>42986</v>
      </c>
      <c r="E10451" t="s">
        <v>42987</v>
      </c>
      <c r="H10451" t="s">
        <v>6663</v>
      </c>
      <c r="L10451" t="s">
        <v>74</v>
      </c>
      <c r="M10451" t="s">
        <v>75</v>
      </c>
      <c r="R10451" t="s">
        <v>42988</v>
      </c>
      <c r="W10451" t="s">
        <v>42987</v>
      </c>
      <c r="X10451" t="s">
        <v>4766</v>
      </c>
      <c r="Y10451" t="s">
        <v>97</v>
      </c>
      <c r="Z10451" t="s">
        <v>77</v>
      </c>
      <c r="AA10451" t="str">
        <f>"10021-4823"</f>
        <v>10021-4823</v>
      </c>
      <c r="AB10451" t="s">
        <v>78</v>
      </c>
      <c r="AC10451" t="s">
        <v>79</v>
      </c>
      <c r="AD10451" t="s">
        <v>75</v>
      </c>
      <c r="AE10451" t="s">
        <v>80</v>
      </c>
      <c r="AG10451" t="s">
        <v>81</v>
      </c>
    </row>
    <row r="10452" spans="1:33" x14ac:dyDescent="0.25">
      <c r="A10452" t="str">
        <f>"1407829856"</f>
        <v>1407829856</v>
      </c>
      <c r="B10452" t="str">
        <f>"00244528"</f>
        <v>00244528</v>
      </c>
      <c r="C10452" t="s">
        <v>42989</v>
      </c>
      <c r="D10452" t="s">
        <v>1175</v>
      </c>
      <c r="E10452" t="s">
        <v>1174</v>
      </c>
      <c r="G10452" t="s">
        <v>42990</v>
      </c>
      <c r="H10452" t="s">
        <v>1176</v>
      </c>
      <c r="J10452" t="s">
        <v>42991</v>
      </c>
      <c r="L10452" t="s">
        <v>115</v>
      </c>
      <c r="M10452" t="s">
        <v>85</v>
      </c>
      <c r="R10452" t="s">
        <v>324</v>
      </c>
      <c r="W10452" t="s">
        <v>1174</v>
      </c>
      <c r="X10452" t="s">
        <v>1177</v>
      </c>
      <c r="Y10452" t="s">
        <v>97</v>
      </c>
      <c r="Z10452" t="s">
        <v>77</v>
      </c>
      <c r="AA10452" t="str">
        <f>"10036-8005"</f>
        <v>10036-8005</v>
      </c>
      <c r="AB10452" t="s">
        <v>93</v>
      </c>
      <c r="AC10452" t="s">
        <v>79</v>
      </c>
      <c r="AD10452" t="s">
        <v>75</v>
      </c>
      <c r="AE10452" t="s">
        <v>80</v>
      </c>
      <c r="AG10452" t="s">
        <v>81</v>
      </c>
    </row>
    <row r="10453" spans="1:33" x14ac:dyDescent="0.25">
      <c r="A10453" t="str">
        <f>"1184657355"</f>
        <v>1184657355</v>
      </c>
      <c r="B10453" t="str">
        <f>"02461452"</f>
        <v>02461452</v>
      </c>
      <c r="C10453" t="s">
        <v>42992</v>
      </c>
      <c r="D10453" t="s">
        <v>42993</v>
      </c>
      <c r="E10453" t="s">
        <v>42994</v>
      </c>
      <c r="G10453" t="s">
        <v>5113</v>
      </c>
      <c r="H10453" t="s">
        <v>13505</v>
      </c>
      <c r="J10453" t="s">
        <v>13506</v>
      </c>
      <c r="L10453" t="s">
        <v>37</v>
      </c>
      <c r="M10453" t="s">
        <v>85</v>
      </c>
      <c r="R10453" t="s">
        <v>42995</v>
      </c>
      <c r="W10453" t="s">
        <v>42994</v>
      </c>
      <c r="X10453" t="s">
        <v>21801</v>
      </c>
      <c r="Y10453" t="s">
        <v>87</v>
      </c>
      <c r="Z10453" t="s">
        <v>77</v>
      </c>
      <c r="AA10453" t="str">
        <f>"11226-1203"</f>
        <v>11226-1203</v>
      </c>
      <c r="AB10453" t="s">
        <v>122</v>
      </c>
      <c r="AC10453" t="s">
        <v>79</v>
      </c>
      <c r="AD10453" t="s">
        <v>75</v>
      </c>
      <c r="AE10453" t="s">
        <v>80</v>
      </c>
      <c r="AG10453" t="s">
        <v>81</v>
      </c>
    </row>
    <row r="10454" spans="1:33" x14ac:dyDescent="0.25">
      <c r="A10454" t="str">
        <f>"1417183963"</f>
        <v>1417183963</v>
      </c>
      <c r="B10454" t="str">
        <f>"03355415"</f>
        <v>03355415</v>
      </c>
      <c r="C10454" t="s">
        <v>42996</v>
      </c>
      <c r="D10454" t="s">
        <v>42997</v>
      </c>
      <c r="E10454" t="s">
        <v>42998</v>
      </c>
      <c r="G10454" t="s">
        <v>5113</v>
      </c>
      <c r="H10454" t="s">
        <v>13505</v>
      </c>
      <c r="J10454" t="s">
        <v>13506</v>
      </c>
      <c r="L10454" t="s">
        <v>37</v>
      </c>
      <c r="M10454" t="s">
        <v>75</v>
      </c>
      <c r="R10454" t="s">
        <v>42999</v>
      </c>
      <c r="W10454" t="s">
        <v>42998</v>
      </c>
      <c r="X10454" t="s">
        <v>202</v>
      </c>
      <c r="Y10454" t="s">
        <v>87</v>
      </c>
      <c r="Z10454" t="s">
        <v>77</v>
      </c>
      <c r="AA10454" t="str">
        <f>"11201-5425"</f>
        <v>11201-5425</v>
      </c>
      <c r="AB10454" t="s">
        <v>127</v>
      </c>
      <c r="AC10454" t="s">
        <v>79</v>
      </c>
      <c r="AD10454" t="s">
        <v>75</v>
      </c>
      <c r="AE10454" t="s">
        <v>80</v>
      </c>
      <c r="AG10454" t="s">
        <v>81</v>
      </c>
    </row>
    <row r="10455" spans="1:33" x14ac:dyDescent="0.25">
      <c r="A10455" t="str">
        <f>"1508959743"</f>
        <v>1508959743</v>
      </c>
      <c r="B10455" t="str">
        <f>"02096871"</f>
        <v>02096871</v>
      </c>
      <c r="C10455" t="s">
        <v>43000</v>
      </c>
      <c r="D10455" t="s">
        <v>43001</v>
      </c>
      <c r="E10455" t="s">
        <v>43002</v>
      </c>
      <c r="G10455" t="s">
        <v>5113</v>
      </c>
      <c r="H10455" t="s">
        <v>13505</v>
      </c>
      <c r="J10455" t="s">
        <v>13506</v>
      </c>
      <c r="L10455" t="s">
        <v>37</v>
      </c>
      <c r="M10455" t="s">
        <v>75</v>
      </c>
      <c r="R10455" t="s">
        <v>43003</v>
      </c>
      <c r="W10455" t="s">
        <v>43004</v>
      </c>
      <c r="X10455" t="s">
        <v>11367</v>
      </c>
      <c r="Y10455" t="s">
        <v>87</v>
      </c>
      <c r="Z10455" t="s">
        <v>77</v>
      </c>
      <c r="AA10455" t="str">
        <f>"11201-5493"</f>
        <v>11201-5493</v>
      </c>
      <c r="AB10455" t="s">
        <v>93</v>
      </c>
      <c r="AC10455" t="s">
        <v>79</v>
      </c>
      <c r="AD10455" t="s">
        <v>75</v>
      </c>
      <c r="AE10455" t="s">
        <v>80</v>
      </c>
      <c r="AG10455" t="s">
        <v>81</v>
      </c>
    </row>
    <row r="10456" spans="1:33" x14ac:dyDescent="0.25">
      <c r="A10456" t="str">
        <f>"1861628091"</f>
        <v>1861628091</v>
      </c>
      <c r="B10456" t="str">
        <f>"03140338"</f>
        <v>03140338</v>
      </c>
      <c r="C10456" t="s">
        <v>43005</v>
      </c>
      <c r="D10456" t="s">
        <v>43006</v>
      </c>
      <c r="E10456" t="s">
        <v>43007</v>
      </c>
      <c r="G10456" t="s">
        <v>5113</v>
      </c>
      <c r="H10456" t="s">
        <v>13505</v>
      </c>
      <c r="J10456" t="s">
        <v>13506</v>
      </c>
      <c r="L10456" t="s">
        <v>37</v>
      </c>
      <c r="M10456" t="s">
        <v>75</v>
      </c>
      <c r="R10456" t="s">
        <v>43007</v>
      </c>
      <c r="W10456" t="s">
        <v>43008</v>
      </c>
      <c r="X10456" t="s">
        <v>202</v>
      </c>
      <c r="Y10456" t="s">
        <v>87</v>
      </c>
      <c r="Z10456" t="s">
        <v>77</v>
      </c>
      <c r="AA10456" t="str">
        <f>"11201-5425"</f>
        <v>11201-5425</v>
      </c>
      <c r="AB10456" t="s">
        <v>127</v>
      </c>
      <c r="AC10456" t="s">
        <v>79</v>
      </c>
      <c r="AD10456" t="s">
        <v>75</v>
      </c>
      <c r="AE10456" t="s">
        <v>80</v>
      </c>
      <c r="AG10456" t="s">
        <v>81</v>
      </c>
    </row>
    <row r="10457" spans="1:33" x14ac:dyDescent="0.25">
      <c r="A10457" t="str">
        <f>"1205990397"</f>
        <v>1205990397</v>
      </c>
      <c r="B10457" t="str">
        <f>"00734854"</f>
        <v>00734854</v>
      </c>
      <c r="C10457" t="s">
        <v>42969</v>
      </c>
      <c r="D10457" t="s">
        <v>43009</v>
      </c>
      <c r="E10457" t="s">
        <v>43010</v>
      </c>
      <c r="G10457" t="s">
        <v>43011</v>
      </c>
      <c r="H10457" t="s">
        <v>43012</v>
      </c>
      <c r="J10457" t="s">
        <v>43013</v>
      </c>
      <c r="L10457" t="s">
        <v>104</v>
      </c>
      <c r="M10457" t="s">
        <v>85</v>
      </c>
      <c r="R10457" t="s">
        <v>43014</v>
      </c>
      <c r="W10457" t="s">
        <v>43015</v>
      </c>
      <c r="X10457" t="s">
        <v>43016</v>
      </c>
      <c r="Y10457" t="s">
        <v>97</v>
      </c>
      <c r="Z10457" t="s">
        <v>77</v>
      </c>
      <c r="AA10457" t="str">
        <f>"10029-2184"</f>
        <v>10029-2184</v>
      </c>
      <c r="AB10457" t="s">
        <v>122</v>
      </c>
      <c r="AC10457" t="s">
        <v>79</v>
      </c>
      <c r="AD10457" t="s">
        <v>75</v>
      </c>
      <c r="AE10457" t="s">
        <v>80</v>
      </c>
      <c r="AG10457" t="s">
        <v>81</v>
      </c>
    </row>
    <row r="10458" spans="1:33" x14ac:dyDescent="0.25">
      <c r="A10458" t="str">
        <f>"1407140841"</f>
        <v>1407140841</v>
      </c>
      <c r="B10458" t="str">
        <f>"03847481"</f>
        <v>03847481</v>
      </c>
      <c r="C10458" t="s">
        <v>42799</v>
      </c>
      <c r="D10458" t="s">
        <v>342</v>
      </c>
      <c r="E10458" t="s">
        <v>343</v>
      </c>
      <c r="G10458" t="s">
        <v>43017</v>
      </c>
      <c r="H10458" t="s">
        <v>919</v>
      </c>
      <c r="J10458" t="s">
        <v>43018</v>
      </c>
      <c r="L10458" t="s">
        <v>74</v>
      </c>
      <c r="M10458" t="s">
        <v>75</v>
      </c>
      <c r="R10458" t="s">
        <v>344</v>
      </c>
      <c r="W10458" t="s">
        <v>343</v>
      </c>
      <c r="X10458" t="s">
        <v>345</v>
      </c>
      <c r="Y10458" t="s">
        <v>97</v>
      </c>
      <c r="Z10458" t="s">
        <v>77</v>
      </c>
      <c r="AA10458" t="str">
        <f>"10010-1058"</f>
        <v>10010-1058</v>
      </c>
      <c r="AB10458" t="s">
        <v>114</v>
      </c>
      <c r="AC10458" t="s">
        <v>79</v>
      </c>
      <c r="AD10458" t="s">
        <v>75</v>
      </c>
      <c r="AE10458" t="s">
        <v>80</v>
      </c>
      <c r="AG10458" t="s">
        <v>81</v>
      </c>
    </row>
    <row r="10459" spans="1:33" x14ac:dyDescent="0.25">
      <c r="A10459" t="str">
        <f>"1457645392"</f>
        <v>1457645392</v>
      </c>
      <c r="B10459" t="str">
        <f>"03696893"</f>
        <v>03696893</v>
      </c>
      <c r="C10459" t="s">
        <v>42799</v>
      </c>
      <c r="D10459" t="s">
        <v>346</v>
      </c>
      <c r="E10459" t="s">
        <v>347</v>
      </c>
      <c r="G10459" t="s">
        <v>43019</v>
      </c>
      <c r="H10459" t="s">
        <v>919</v>
      </c>
      <c r="J10459" t="s">
        <v>43020</v>
      </c>
      <c r="L10459" t="s">
        <v>74</v>
      </c>
      <c r="M10459" t="s">
        <v>75</v>
      </c>
      <c r="R10459" t="s">
        <v>348</v>
      </c>
      <c r="W10459" t="s">
        <v>347</v>
      </c>
      <c r="X10459" t="s">
        <v>345</v>
      </c>
      <c r="Y10459" t="s">
        <v>97</v>
      </c>
      <c r="Z10459" t="s">
        <v>77</v>
      </c>
      <c r="AA10459" t="str">
        <f>"10010-1058"</f>
        <v>10010-1058</v>
      </c>
      <c r="AB10459" t="s">
        <v>114</v>
      </c>
      <c r="AC10459" t="s">
        <v>79</v>
      </c>
      <c r="AD10459" t="s">
        <v>75</v>
      </c>
      <c r="AE10459" t="s">
        <v>80</v>
      </c>
      <c r="AG10459" t="s">
        <v>81</v>
      </c>
    </row>
    <row r="10460" spans="1:33" x14ac:dyDescent="0.25">
      <c r="A10460" t="str">
        <f>"1467603811"</f>
        <v>1467603811</v>
      </c>
      <c r="B10460" t="str">
        <f>"03222575"</f>
        <v>03222575</v>
      </c>
      <c r="C10460" t="s">
        <v>42799</v>
      </c>
      <c r="D10460" t="s">
        <v>43021</v>
      </c>
      <c r="E10460" t="s">
        <v>43022</v>
      </c>
      <c r="G10460" t="s">
        <v>43023</v>
      </c>
      <c r="H10460" t="s">
        <v>919</v>
      </c>
      <c r="J10460" t="s">
        <v>43024</v>
      </c>
      <c r="L10460" t="s">
        <v>105</v>
      </c>
      <c r="M10460" t="s">
        <v>75</v>
      </c>
      <c r="R10460" t="s">
        <v>43022</v>
      </c>
      <c r="W10460" t="s">
        <v>43022</v>
      </c>
      <c r="X10460" t="s">
        <v>43025</v>
      </c>
      <c r="Y10460" t="s">
        <v>97</v>
      </c>
      <c r="Z10460" t="s">
        <v>77</v>
      </c>
      <c r="AA10460" t="str">
        <f>"10010"</f>
        <v>10010</v>
      </c>
      <c r="AB10460" t="s">
        <v>113</v>
      </c>
      <c r="AC10460" t="s">
        <v>79</v>
      </c>
      <c r="AD10460" t="s">
        <v>75</v>
      </c>
      <c r="AE10460" t="s">
        <v>80</v>
      </c>
      <c r="AG10460" t="s">
        <v>81</v>
      </c>
    </row>
    <row r="10461" spans="1:33" x14ac:dyDescent="0.25">
      <c r="A10461" t="str">
        <f>"1508098252"</f>
        <v>1508098252</v>
      </c>
      <c r="B10461" t="str">
        <f>"03222057"</f>
        <v>03222057</v>
      </c>
      <c r="C10461" t="s">
        <v>42799</v>
      </c>
      <c r="D10461" t="s">
        <v>43026</v>
      </c>
      <c r="E10461" t="s">
        <v>43027</v>
      </c>
      <c r="G10461" t="s">
        <v>43028</v>
      </c>
      <c r="H10461" t="s">
        <v>919</v>
      </c>
      <c r="J10461" t="s">
        <v>43029</v>
      </c>
      <c r="L10461" t="s">
        <v>105</v>
      </c>
      <c r="M10461" t="s">
        <v>75</v>
      </c>
      <c r="R10461" t="s">
        <v>43027</v>
      </c>
      <c r="W10461" t="s">
        <v>43027</v>
      </c>
      <c r="X10461" t="s">
        <v>43025</v>
      </c>
      <c r="Y10461" t="s">
        <v>97</v>
      </c>
      <c r="Z10461" t="s">
        <v>77</v>
      </c>
      <c r="AA10461" t="str">
        <f>"10010"</f>
        <v>10010</v>
      </c>
      <c r="AB10461" t="s">
        <v>113</v>
      </c>
      <c r="AC10461" t="s">
        <v>79</v>
      </c>
      <c r="AD10461" t="s">
        <v>75</v>
      </c>
      <c r="AE10461" t="s">
        <v>80</v>
      </c>
      <c r="AG10461" t="s">
        <v>81</v>
      </c>
    </row>
    <row r="10462" spans="1:33" x14ac:dyDescent="0.25">
      <c r="A10462" t="str">
        <f>"1518199488"</f>
        <v>1518199488</v>
      </c>
      <c r="C10462" t="s">
        <v>42799</v>
      </c>
      <c r="G10462" t="s">
        <v>43030</v>
      </c>
      <c r="H10462" t="s">
        <v>919</v>
      </c>
      <c r="J10462" t="s">
        <v>43031</v>
      </c>
      <c r="K10462" t="s">
        <v>99</v>
      </c>
      <c r="L10462" t="s">
        <v>74</v>
      </c>
      <c r="M10462" t="s">
        <v>75</v>
      </c>
      <c r="R10462" t="s">
        <v>43032</v>
      </c>
      <c r="S10462" t="s">
        <v>345</v>
      </c>
      <c r="T10462" t="s">
        <v>97</v>
      </c>
      <c r="U10462" t="s">
        <v>77</v>
      </c>
      <c r="V10462" t="str">
        <f>"100101058"</f>
        <v>100101058</v>
      </c>
      <c r="AC10462" t="s">
        <v>79</v>
      </c>
      <c r="AD10462" t="s">
        <v>75</v>
      </c>
      <c r="AE10462" t="s">
        <v>103</v>
      </c>
      <c r="AG10462" t="s">
        <v>81</v>
      </c>
    </row>
    <row r="10463" spans="1:33" x14ac:dyDescent="0.25">
      <c r="A10463" t="str">
        <f>"1568778108"</f>
        <v>1568778108</v>
      </c>
      <c r="B10463" t="str">
        <f>"03270697"</f>
        <v>03270697</v>
      </c>
      <c r="C10463" t="s">
        <v>42799</v>
      </c>
      <c r="D10463" t="s">
        <v>336</v>
      </c>
      <c r="E10463" t="s">
        <v>337</v>
      </c>
      <c r="G10463" t="s">
        <v>43033</v>
      </c>
      <c r="H10463" t="s">
        <v>919</v>
      </c>
      <c r="J10463" t="s">
        <v>43034</v>
      </c>
      <c r="L10463" t="s">
        <v>74</v>
      </c>
      <c r="M10463" t="s">
        <v>75</v>
      </c>
      <c r="R10463" t="s">
        <v>338</v>
      </c>
      <c r="W10463" t="s">
        <v>339</v>
      </c>
      <c r="X10463" t="s">
        <v>340</v>
      </c>
      <c r="Y10463" t="s">
        <v>141</v>
      </c>
      <c r="Z10463" t="s">
        <v>77</v>
      </c>
      <c r="AA10463" t="str">
        <f>"11377-3351"</f>
        <v>11377-3351</v>
      </c>
      <c r="AB10463" t="s">
        <v>114</v>
      </c>
      <c r="AC10463" t="s">
        <v>79</v>
      </c>
      <c r="AD10463" t="s">
        <v>75</v>
      </c>
      <c r="AE10463" t="s">
        <v>80</v>
      </c>
      <c r="AG10463" t="s">
        <v>81</v>
      </c>
    </row>
    <row r="10464" spans="1:33" x14ac:dyDescent="0.25">
      <c r="A10464" t="str">
        <f>"1700154101"</f>
        <v>1700154101</v>
      </c>
      <c r="C10464" t="s">
        <v>42799</v>
      </c>
      <c r="G10464" t="s">
        <v>43035</v>
      </c>
      <c r="H10464" t="s">
        <v>919</v>
      </c>
      <c r="J10464" t="s">
        <v>43036</v>
      </c>
      <c r="K10464" t="s">
        <v>99</v>
      </c>
      <c r="L10464" t="s">
        <v>74</v>
      </c>
      <c r="M10464" t="s">
        <v>75</v>
      </c>
      <c r="R10464" t="s">
        <v>43037</v>
      </c>
      <c r="S10464" t="s">
        <v>341</v>
      </c>
      <c r="T10464" t="s">
        <v>97</v>
      </c>
      <c r="U10464" t="s">
        <v>77</v>
      </c>
      <c r="V10464" t="str">
        <f>"100101006"</f>
        <v>100101006</v>
      </c>
      <c r="AC10464" t="s">
        <v>79</v>
      </c>
      <c r="AD10464" t="s">
        <v>75</v>
      </c>
      <c r="AE10464" t="s">
        <v>103</v>
      </c>
      <c r="AG10464" t="s">
        <v>81</v>
      </c>
    </row>
    <row r="10465" spans="1:33" x14ac:dyDescent="0.25">
      <c r="A10465" t="str">
        <f>"1790830651"</f>
        <v>1790830651</v>
      </c>
      <c r="C10465" t="s">
        <v>42799</v>
      </c>
      <c r="G10465" t="s">
        <v>43038</v>
      </c>
      <c r="H10465" t="s">
        <v>919</v>
      </c>
      <c r="J10465" t="s">
        <v>43039</v>
      </c>
      <c r="K10465" t="s">
        <v>99</v>
      </c>
      <c r="L10465" t="s">
        <v>102</v>
      </c>
      <c r="M10465" t="s">
        <v>75</v>
      </c>
      <c r="R10465" t="s">
        <v>359</v>
      </c>
      <c r="S10465" t="s">
        <v>341</v>
      </c>
      <c r="T10465" t="s">
        <v>97</v>
      </c>
      <c r="U10465" t="s">
        <v>77</v>
      </c>
      <c r="V10465" t="str">
        <f>"100101006"</f>
        <v>100101006</v>
      </c>
      <c r="AC10465" t="s">
        <v>79</v>
      </c>
      <c r="AD10465" t="s">
        <v>75</v>
      </c>
      <c r="AE10465" t="s">
        <v>103</v>
      </c>
      <c r="AG10465" t="s">
        <v>81</v>
      </c>
    </row>
    <row r="10466" spans="1:33" x14ac:dyDescent="0.25">
      <c r="C10466" t="s">
        <v>42799</v>
      </c>
      <c r="G10466" t="s">
        <v>43040</v>
      </c>
      <c r="H10466" t="s">
        <v>919</v>
      </c>
      <c r="J10466" t="s">
        <v>43041</v>
      </c>
      <c r="K10466" t="s">
        <v>99</v>
      </c>
      <c r="L10466" t="s">
        <v>100</v>
      </c>
      <c r="M10466" t="s">
        <v>75</v>
      </c>
      <c r="N10466" t="s">
        <v>43042</v>
      </c>
      <c r="O10466" t="s">
        <v>167</v>
      </c>
      <c r="P10466" t="s">
        <v>77</v>
      </c>
      <c r="Q10466" t="str">
        <f>"10010"</f>
        <v>10010</v>
      </c>
      <c r="AC10466" t="s">
        <v>79</v>
      </c>
      <c r="AD10466" t="s">
        <v>75</v>
      </c>
      <c r="AE10466" t="s">
        <v>101</v>
      </c>
      <c r="AG10466" t="s">
        <v>81</v>
      </c>
    </row>
    <row r="10467" spans="1:33" x14ac:dyDescent="0.25">
      <c r="A10467" t="str">
        <f>"1922388917"</f>
        <v>1922388917</v>
      </c>
      <c r="C10467" t="s">
        <v>42799</v>
      </c>
      <c r="G10467" t="s">
        <v>43043</v>
      </c>
      <c r="H10467" t="s">
        <v>919</v>
      </c>
      <c r="J10467" t="s">
        <v>43044</v>
      </c>
      <c r="K10467" t="s">
        <v>99</v>
      </c>
      <c r="L10467" t="s">
        <v>74</v>
      </c>
      <c r="M10467" t="s">
        <v>75</v>
      </c>
      <c r="R10467" t="s">
        <v>43045</v>
      </c>
      <c r="S10467" t="s">
        <v>43046</v>
      </c>
      <c r="T10467" t="s">
        <v>227</v>
      </c>
      <c r="U10467" t="s">
        <v>77</v>
      </c>
      <c r="V10467" t="str">
        <f>"106051201"</f>
        <v>106051201</v>
      </c>
      <c r="AC10467" t="s">
        <v>79</v>
      </c>
      <c r="AD10467" t="s">
        <v>75</v>
      </c>
      <c r="AE10467" t="s">
        <v>103</v>
      </c>
      <c r="AG10467" t="s">
        <v>81</v>
      </c>
    </row>
    <row r="10468" spans="1:33" x14ac:dyDescent="0.25">
      <c r="A10468" t="str">
        <f>"1992006696"</f>
        <v>1992006696</v>
      </c>
      <c r="C10468" t="s">
        <v>42799</v>
      </c>
      <c r="G10468" t="s">
        <v>43047</v>
      </c>
      <c r="H10468" t="s">
        <v>919</v>
      </c>
      <c r="J10468" t="s">
        <v>43048</v>
      </c>
      <c r="K10468" t="s">
        <v>99</v>
      </c>
      <c r="L10468" t="s">
        <v>74</v>
      </c>
      <c r="M10468" t="s">
        <v>75</v>
      </c>
      <c r="R10468" t="s">
        <v>43049</v>
      </c>
      <c r="S10468" t="s">
        <v>43050</v>
      </c>
      <c r="T10468" t="s">
        <v>236</v>
      </c>
      <c r="U10468" t="s">
        <v>77</v>
      </c>
      <c r="V10468" t="str">
        <f>"111034574"</f>
        <v>111034574</v>
      </c>
      <c r="AC10468" t="s">
        <v>79</v>
      </c>
      <c r="AD10468" t="s">
        <v>75</v>
      </c>
      <c r="AE10468" t="s">
        <v>103</v>
      </c>
      <c r="AG10468" t="s">
        <v>81</v>
      </c>
    </row>
    <row r="10469" spans="1:33" x14ac:dyDescent="0.25">
      <c r="C10469" t="s">
        <v>43051</v>
      </c>
      <c r="G10469" t="s">
        <v>43051</v>
      </c>
      <c r="H10469" t="s">
        <v>9405</v>
      </c>
      <c r="K10469" t="s">
        <v>99</v>
      </c>
      <c r="L10469" t="s">
        <v>100</v>
      </c>
      <c r="M10469" t="s">
        <v>75</v>
      </c>
      <c r="N10469" t="s">
        <v>43052</v>
      </c>
      <c r="O10469" t="s">
        <v>9407</v>
      </c>
      <c r="P10469" t="s">
        <v>8566</v>
      </c>
      <c r="Q10469" t="str">
        <f>"11106"</f>
        <v>11106</v>
      </c>
      <c r="AC10469" t="s">
        <v>79</v>
      </c>
      <c r="AD10469" t="s">
        <v>75</v>
      </c>
      <c r="AE10469" t="s">
        <v>101</v>
      </c>
      <c r="AG10469" t="s">
        <v>81</v>
      </c>
    </row>
    <row r="10470" spans="1:33" x14ac:dyDescent="0.25">
      <c r="C10470" t="s">
        <v>43053</v>
      </c>
      <c r="G10470" t="s">
        <v>43053</v>
      </c>
      <c r="H10470" t="s">
        <v>9584</v>
      </c>
      <c r="K10470" t="s">
        <v>99</v>
      </c>
      <c r="L10470" t="s">
        <v>100</v>
      </c>
      <c r="M10470" t="s">
        <v>75</v>
      </c>
      <c r="N10470" t="s">
        <v>43054</v>
      </c>
      <c r="O10470" t="s">
        <v>3705</v>
      </c>
      <c r="P10470" t="s">
        <v>8566</v>
      </c>
      <c r="Q10470" t="str">
        <f>"11375"</f>
        <v>11375</v>
      </c>
      <c r="AC10470" t="s">
        <v>79</v>
      </c>
      <c r="AD10470" t="s">
        <v>75</v>
      </c>
      <c r="AE10470" t="s">
        <v>101</v>
      </c>
      <c r="AG10470" t="s">
        <v>81</v>
      </c>
    </row>
    <row r="10471" spans="1:33" x14ac:dyDescent="0.25">
      <c r="C10471" t="s">
        <v>43055</v>
      </c>
      <c r="G10471" t="s">
        <v>43056</v>
      </c>
      <c r="H10471" t="s">
        <v>35049</v>
      </c>
      <c r="J10471" t="s">
        <v>35050</v>
      </c>
      <c r="K10471" t="s">
        <v>99</v>
      </c>
      <c r="L10471" t="s">
        <v>100</v>
      </c>
      <c r="M10471" t="s">
        <v>75</v>
      </c>
      <c r="N10471" t="s">
        <v>43057</v>
      </c>
      <c r="O10471" t="s">
        <v>97</v>
      </c>
      <c r="P10471" t="s">
        <v>77</v>
      </c>
      <c r="Q10471" t="str">
        <f>"10012"</f>
        <v>10012</v>
      </c>
      <c r="AC10471" t="s">
        <v>79</v>
      </c>
      <c r="AD10471" t="s">
        <v>75</v>
      </c>
      <c r="AE10471" t="s">
        <v>101</v>
      </c>
      <c r="AG10471" t="s">
        <v>81</v>
      </c>
    </row>
    <row r="10472" spans="1:33" x14ac:dyDescent="0.25">
      <c r="A10472" t="str">
        <f>"1093051302"</f>
        <v>1093051302</v>
      </c>
      <c r="B10472" t="str">
        <f>"04107562"</f>
        <v>04107562</v>
      </c>
      <c r="C10472" t="s">
        <v>4037</v>
      </c>
      <c r="D10472" t="s">
        <v>4038</v>
      </c>
      <c r="E10472" t="s">
        <v>4039</v>
      </c>
      <c r="G10472" t="s">
        <v>3684</v>
      </c>
      <c r="H10472" t="s">
        <v>3685</v>
      </c>
      <c r="J10472" t="s">
        <v>3686</v>
      </c>
      <c r="L10472" t="s">
        <v>74</v>
      </c>
      <c r="M10472" t="s">
        <v>75</v>
      </c>
      <c r="R10472" t="s">
        <v>4039</v>
      </c>
      <c r="W10472" t="s">
        <v>4039</v>
      </c>
      <c r="X10472" t="s">
        <v>4040</v>
      </c>
      <c r="Y10472" t="s">
        <v>87</v>
      </c>
      <c r="Z10472" t="s">
        <v>77</v>
      </c>
      <c r="AA10472" t="str">
        <f>"11220-4718"</f>
        <v>11220-4718</v>
      </c>
      <c r="AB10472" t="s">
        <v>78</v>
      </c>
      <c r="AC10472" t="s">
        <v>79</v>
      </c>
      <c r="AD10472" t="s">
        <v>75</v>
      </c>
      <c r="AE10472" t="s">
        <v>80</v>
      </c>
      <c r="AG10472" t="s">
        <v>81</v>
      </c>
    </row>
    <row r="10473" spans="1:33" x14ac:dyDescent="0.25">
      <c r="A10473" t="str">
        <f>"1124371521"</f>
        <v>1124371521</v>
      </c>
      <c r="B10473" t="str">
        <f>"03880586"</f>
        <v>03880586</v>
      </c>
      <c r="C10473" t="s">
        <v>4087</v>
      </c>
      <c r="D10473" t="s">
        <v>4088</v>
      </c>
      <c r="E10473" t="s">
        <v>4089</v>
      </c>
      <c r="G10473" t="s">
        <v>3684</v>
      </c>
      <c r="H10473" t="s">
        <v>3685</v>
      </c>
      <c r="J10473" t="s">
        <v>3686</v>
      </c>
      <c r="L10473" t="s">
        <v>83</v>
      </c>
      <c r="M10473" t="s">
        <v>75</v>
      </c>
      <c r="R10473" t="s">
        <v>4090</v>
      </c>
      <c r="W10473" t="s">
        <v>4089</v>
      </c>
      <c r="X10473" t="s">
        <v>4091</v>
      </c>
      <c r="Y10473" t="s">
        <v>97</v>
      </c>
      <c r="Z10473" t="s">
        <v>77</v>
      </c>
      <c r="AA10473" t="str">
        <f>"10017-3301"</f>
        <v>10017-3301</v>
      </c>
      <c r="AB10473" t="s">
        <v>78</v>
      </c>
      <c r="AC10473" t="s">
        <v>79</v>
      </c>
      <c r="AD10473" t="s">
        <v>75</v>
      </c>
      <c r="AE10473" t="s">
        <v>80</v>
      </c>
      <c r="AG10473" t="s">
        <v>81</v>
      </c>
    </row>
    <row r="10474" spans="1:33" x14ac:dyDescent="0.25">
      <c r="A10474" t="str">
        <f>"1144661570"</f>
        <v>1144661570</v>
      </c>
      <c r="B10474" t="str">
        <f>"03808459"</f>
        <v>03808459</v>
      </c>
      <c r="C10474" t="s">
        <v>4188</v>
      </c>
      <c r="D10474" t="s">
        <v>4189</v>
      </c>
      <c r="E10474" t="s">
        <v>4190</v>
      </c>
      <c r="G10474" t="s">
        <v>3684</v>
      </c>
      <c r="H10474" t="s">
        <v>3685</v>
      </c>
      <c r="J10474" t="s">
        <v>3686</v>
      </c>
      <c r="L10474" t="s">
        <v>83</v>
      </c>
      <c r="M10474" t="s">
        <v>75</v>
      </c>
      <c r="R10474" t="s">
        <v>4190</v>
      </c>
      <c r="W10474" t="s">
        <v>4190</v>
      </c>
      <c r="X10474" t="s">
        <v>4191</v>
      </c>
      <c r="Y10474" t="s">
        <v>131</v>
      </c>
      <c r="Z10474" t="s">
        <v>77</v>
      </c>
      <c r="AA10474" t="str">
        <f>"10469-2512"</f>
        <v>10469-2512</v>
      </c>
      <c r="AB10474" t="s">
        <v>78</v>
      </c>
      <c r="AC10474" t="s">
        <v>79</v>
      </c>
      <c r="AD10474" t="s">
        <v>75</v>
      </c>
      <c r="AE10474" t="s">
        <v>80</v>
      </c>
      <c r="AG10474" t="s">
        <v>81</v>
      </c>
    </row>
    <row r="10475" spans="1:33" x14ac:dyDescent="0.25">
      <c r="A10475" t="str">
        <f>"1144661760"</f>
        <v>1144661760</v>
      </c>
      <c r="B10475" t="str">
        <f>"04038648"</f>
        <v>04038648</v>
      </c>
      <c r="C10475" t="s">
        <v>4114</v>
      </c>
      <c r="D10475" t="s">
        <v>4115</v>
      </c>
      <c r="E10475" t="s">
        <v>4116</v>
      </c>
      <c r="G10475" t="s">
        <v>3684</v>
      </c>
      <c r="H10475" t="s">
        <v>3685</v>
      </c>
      <c r="J10475" t="s">
        <v>3686</v>
      </c>
      <c r="L10475" t="s">
        <v>83</v>
      </c>
      <c r="M10475" t="s">
        <v>75</v>
      </c>
      <c r="R10475" t="s">
        <v>4117</v>
      </c>
      <c r="W10475" t="s">
        <v>4118</v>
      </c>
      <c r="X10475" t="s">
        <v>4119</v>
      </c>
      <c r="Y10475" t="s">
        <v>131</v>
      </c>
      <c r="Z10475" t="s">
        <v>77</v>
      </c>
      <c r="AA10475" t="str">
        <f>"10453-1242"</f>
        <v>10453-1242</v>
      </c>
      <c r="AB10475" t="s">
        <v>78</v>
      </c>
      <c r="AC10475" t="s">
        <v>79</v>
      </c>
      <c r="AD10475" t="s">
        <v>75</v>
      </c>
      <c r="AE10475" t="s">
        <v>80</v>
      </c>
      <c r="AG10475" t="s">
        <v>81</v>
      </c>
    </row>
    <row r="10476" spans="1:33" x14ac:dyDescent="0.25">
      <c r="A10476" t="str">
        <f>"1164658985"</f>
        <v>1164658985</v>
      </c>
      <c r="B10476" t="str">
        <f>"03334594"</f>
        <v>03334594</v>
      </c>
      <c r="C10476" t="s">
        <v>3906</v>
      </c>
      <c r="D10476" t="s">
        <v>3907</v>
      </c>
      <c r="E10476" t="s">
        <v>3908</v>
      </c>
      <c r="G10476" t="s">
        <v>3684</v>
      </c>
      <c r="H10476" t="s">
        <v>3685</v>
      </c>
      <c r="J10476" t="s">
        <v>3686</v>
      </c>
      <c r="L10476" t="s">
        <v>74</v>
      </c>
      <c r="M10476" t="s">
        <v>75</v>
      </c>
      <c r="R10476" t="s">
        <v>3909</v>
      </c>
      <c r="W10476" t="s">
        <v>3908</v>
      </c>
      <c r="X10476" t="s">
        <v>3910</v>
      </c>
      <c r="Y10476" t="s">
        <v>216</v>
      </c>
      <c r="Z10476" t="s">
        <v>77</v>
      </c>
      <c r="AA10476" t="str">
        <f>"11691-3645"</f>
        <v>11691-3645</v>
      </c>
      <c r="AB10476" t="s">
        <v>78</v>
      </c>
      <c r="AC10476" t="s">
        <v>79</v>
      </c>
      <c r="AD10476" t="s">
        <v>75</v>
      </c>
      <c r="AE10476" t="s">
        <v>80</v>
      </c>
      <c r="AG10476" t="s">
        <v>81</v>
      </c>
    </row>
    <row r="10477" spans="1:33" x14ac:dyDescent="0.25">
      <c r="A10477" t="str">
        <f>"1174946099"</f>
        <v>1174946099</v>
      </c>
      <c r="C10477" t="s">
        <v>4130</v>
      </c>
      <c r="G10477" t="s">
        <v>3684</v>
      </c>
      <c r="H10477" t="s">
        <v>3685</v>
      </c>
      <c r="J10477" t="s">
        <v>3686</v>
      </c>
      <c r="K10477" t="s">
        <v>99</v>
      </c>
      <c r="L10477" t="s">
        <v>102</v>
      </c>
      <c r="M10477" t="s">
        <v>75</v>
      </c>
      <c r="R10477" t="s">
        <v>4131</v>
      </c>
      <c r="S10477" t="s">
        <v>4043</v>
      </c>
      <c r="T10477" t="s">
        <v>97</v>
      </c>
      <c r="U10477" t="s">
        <v>77</v>
      </c>
      <c r="V10477" t="str">
        <f>"101700002"</f>
        <v>101700002</v>
      </c>
      <c r="AC10477" t="s">
        <v>79</v>
      </c>
      <c r="AD10477" t="s">
        <v>75</v>
      </c>
      <c r="AE10477" t="s">
        <v>103</v>
      </c>
      <c r="AG10477" t="s">
        <v>81</v>
      </c>
    </row>
    <row r="10478" spans="1:33" x14ac:dyDescent="0.25">
      <c r="A10478" t="str">
        <f>"1225314420"</f>
        <v>1225314420</v>
      </c>
      <c r="B10478" t="str">
        <f>"04293849"</f>
        <v>04293849</v>
      </c>
      <c r="C10478" t="s">
        <v>3991</v>
      </c>
      <c r="D10478" t="s">
        <v>3992</v>
      </c>
      <c r="E10478" t="s">
        <v>3993</v>
      </c>
      <c r="G10478" t="s">
        <v>3684</v>
      </c>
      <c r="H10478" t="s">
        <v>3685</v>
      </c>
      <c r="J10478" t="s">
        <v>3686</v>
      </c>
      <c r="L10478" t="s">
        <v>74</v>
      </c>
      <c r="M10478" t="s">
        <v>75</v>
      </c>
      <c r="R10478" t="s">
        <v>3994</v>
      </c>
      <c r="W10478" t="s">
        <v>3993</v>
      </c>
      <c r="X10478" t="s">
        <v>3995</v>
      </c>
      <c r="Y10478" t="s">
        <v>487</v>
      </c>
      <c r="Z10478" t="s">
        <v>77</v>
      </c>
      <c r="AA10478" t="str">
        <f>"11420-2522"</f>
        <v>11420-2522</v>
      </c>
      <c r="AB10478" t="s">
        <v>78</v>
      </c>
      <c r="AC10478" t="s">
        <v>79</v>
      </c>
      <c r="AD10478" t="s">
        <v>75</v>
      </c>
      <c r="AE10478" t="s">
        <v>80</v>
      </c>
      <c r="AG10478" t="s">
        <v>81</v>
      </c>
    </row>
    <row r="10479" spans="1:33" x14ac:dyDescent="0.25">
      <c r="A10479" t="str">
        <f>"1275811903"</f>
        <v>1275811903</v>
      </c>
      <c r="C10479" t="s">
        <v>4208</v>
      </c>
      <c r="G10479" t="s">
        <v>3684</v>
      </c>
      <c r="H10479" t="s">
        <v>3685</v>
      </c>
      <c r="J10479" t="s">
        <v>3686</v>
      </c>
      <c r="K10479" t="s">
        <v>99</v>
      </c>
      <c r="L10479" t="s">
        <v>102</v>
      </c>
      <c r="M10479" t="s">
        <v>75</v>
      </c>
      <c r="R10479" t="s">
        <v>4209</v>
      </c>
      <c r="S10479" t="s">
        <v>4210</v>
      </c>
      <c r="T10479" t="s">
        <v>139</v>
      </c>
      <c r="U10479" t="s">
        <v>77</v>
      </c>
      <c r="V10479" t="str">
        <f>"113544232"</f>
        <v>113544232</v>
      </c>
      <c r="AC10479" t="s">
        <v>79</v>
      </c>
      <c r="AD10479" t="s">
        <v>75</v>
      </c>
      <c r="AE10479" t="s">
        <v>103</v>
      </c>
      <c r="AG10479" t="s">
        <v>81</v>
      </c>
    </row>
    <row r="10480" spans="1:33" x14ac:dyDescent="0.25">
      <c r="A10480" t="str">
        <f>"1285060335"</f>
        <v>1285060335</v>
      </c>
      <c r="B10480" t="str">
        <f>"04028777"</f>
        <v>04028777</v>
      </c>
      <c r="C10480" t="s">
        <v>4214</v>
      </c>
      <c r="D10480" t="s">
        <v>4215</v>
      </c>
      <c r="E10480" t="s">
        <v>4216</v>
      </c>
      <c r="G10480" t="s">
        <v>3684</v>
      </c>
      <c r="H10480" t="s">
        <v>3685</v>
      </c>
      <c r="J10480" t="s">
        <v>3686</v>
      </c>
      <c r="L10480" t="s">
        <v>74</v>
      </c>
      <c r="M10480" t="s">
        <v>75</v>
      </c>
      <c r="R10480" t="s">
        <v>4216</v>
      </c>
      <c r="W10480" t="s">
        <v>4216</v>
      </c>
      <c r="X10480" t="s">
        <v>4217</v>
      </c>
      <c r="Y10480" t="s">
        <v>87</v>
      </c>
      <c r="Z10480" t="s">
        <v>77</v>
      </c>
      <c r="AA10480" t="str">
        <f>"11237-4513"</f>
        <v>11237-4513</v>
      </c>
      <c r="AB10480" t="s">
        <v>78</v>
      </c>
      <c r="AC10480" t="s">
        <v>79</v>
      </c>
      <c r="AD10480" t="s">
        <v>75</v>
      </c>
      <c r="AE10480" t="s">
        <v>80</v>
      </c>
      <c r="AG10480" t="s">
        <v>81</v>
      </c>
    </row>
    <row r="10481" spans="1:33" x14ac:dyDescent="0.25">
      <c r="A10481" t="str">
        <f>"1871673640"</f>
        <v>1871673640</v>
      </c>
      <c r="B10481" t="str">
        <f>"02235207"</f>
        <v>02235207</v>
      </c>
      <c r="C10481" t="s">
        <v>13436</v>
      </c>
      <c r="D10481" t="s">
        <v>43058</v>
      </c>
      <c r="E10481" t="s">
        <v>43059</v>
      </c>
      <c r="L10481" t="s">
        <v>83</v>
      </c>
      <c r="M10481" t="s">
        <v>85</v>
      </c>
      <c r="R10481" t="s">
        <v>43060</v>
      </c>
      <c r="W10481" t="s">
        <v>43059</v>
      </c>
      <c r="X10481" t="s">
        <v>329</v>
      </c>
      <c r="Y10481" t="s">
        <v>97</v>
      </c>
      <c r="Z10481" t="s">
        <v>77</v>
      </c>
      <c r="AA10481" t="str">
        <f>"10029-6504"</f>
        <v>10029-6504</v>
      </c>
      <c r="AB10481" t="s">
        <v>78</v>
      </c>
      <c r="AC10481" t="s">
        <v>79</v>
      </c>
      <c r="AD10481" t="s">
        <v>75</v>
      </c>
      <c r="AE10481" t="s">
        <v>80</v>
      </c>
      <c r="AG10481" t="s">
        <v>81</v>
      </c>
    </row>
    <row r="10482" spans="1:33" x14ac:dyDescent="0.25">
      <c r="A10482" t="str">
        <f>"1740602507"</f>
        <v>1740602507</v>
      </c>
      <c r="B10482" t="str">
        <f>"00816555"</f>
        <v>00816555</v>
      </c>
      <c r="C10482" t="s">
        <v>13436</v>
      </c>
      <c r="D10482" t="s">
        <v>43061</v>
      </c>
      <c r="E10482" t="s">
        <v>43062</v>
      </c>
      <c r="L10482" t="s">
        <v>74</v>
      </c>
      <c r="M10482" t="s">
        <v>85</v>
      </c>
      <c r="R10482" t="s">
        <v>43063</v>
      </c>
      <c r="W10482" t="s">
        <v>43062</v>
      </c>
      <c r="X10482" t="s">
        <v>11379</v>
      </c>
      <c r="Y10482" t="s">
        <v>97</v>
      </c>
      <c r="Z10482" t="s">
        <v>77</v>
      </c>
      <c r="AA10482" t="str">
        <f>"10029-6504"</f>
        <v>10029-6504</v>
      </c>
      <c r="AB10482" t="s">
        <v>78</v>
      </c>
      <c r="AC10482" t="s">
        <v>79</v>
      </c>
      <c r="AD10482" t="s">
        <v>75</v>
      </c>
      <c r="AE10482" t="s">
        <v>80</v>
      </c>
      <c r="AG10482" t="s">
        <v>81</v>
      </c>
    </row>
    <row r="10483" spans="1:33" x14ac:dyDescent="0.25">
      <c r="A10483" t="str">
        <f>"1417128331"</f>
        <v>1417128331</v>
      </c>
      <c r="B10483" t="str">
        <f>"03001154"</f>
        <v>03001154</v>
      </c>
      <c r="C10483" t="s">
        <v>43064</v>
      </c>
      <c r="D10483" t="s">
        <v>1165</v>
      </c>
      <c r="E10483" t="s">
        <v>1166</v>
      </c>
      <c r="G10483" t="s">
        <v>43065</v>
      </c>
      <c r="H10483" t="s">
        <v>1167</v>
      </c>
      <c r="J10483" t="s">
        <v>43066</v>
      </c>
      <c r="L10483" t="s">
        <v>102</v>
      </c>
      <c r="M10483" t="s">
        <v>85</v>
      </c>
      <c r="R10483" t="s">
        <v>1164</v>
      </c>
      <c r="W10483" t="s">
        <v>1166</v>
      </c>
      <c r="X10483" t="s">
        <v>1168</v>
      </c>
      <c r="Y10483" t="s">
        <v>97</v>
      </c>
      <c r="Z10483" t="s">
        <v>77</v>
      </c>
      <c r="AA10483" t="str">
        <f>"10115-0046"</f>
        <v>10115-0046</v>
      </c>
      <c r="AB10483" t="s">
        <v>133</v>
      </c>
      <c r="AC10483" t="s">
        <v>79</v>
      </c>
      <c r="AD10483" t="s">
        <v>75</v>
      </c>
      <c r="AE10483" t="s">
        <v>80</v>
      </c>
      <c r="AG10483" t="s">
        <v>81</v>
      </c>
    </row>
    <row r="10484" spans="1:33" x14ac:dyDescent="0.25">
      <c r="C10484" t="s">
        <v>4285</v>
      </c>
      <c r="G10484" t="s">
        <v>43067</v>
      </c>
      <c r="H10484" t="s">
        <v>43068</v>
      </c>
      <c r="J10484" t="s">
        <v>43069</v>
      </c>
      <c r="K10484" t="s">
        <v>99</v>
      </c>
      <c r="L10484" t="s">
        <v>100</v>
      </c>
      <c r="M10484" t="s">
        <v>75</v>
      </c>
      <c r="N10484" t="s">
        <v>43070</v>
      </c>
      <c r="O10484" t="s">
        <v>42549</v>
      </c>
      <c r="P10484" t="s">
        <v>77</v>
      </c>
      <c r="Q10484" t="str">
        <f>"10306"</f>
        <v>10306</v>
      </c>
      <c r="AC10484" t="s">
        <v>79</v>
      </c>
      <c r="AD10484" t="s">
        <v>75</v>
      </c>
      <c r="AE10484" t="s">
        <v>101</v>
      </c>
      <c r="AG10484" t="s">
        <v>81</v>
      </c>
    </row>
    <row r="10485" spans="1:33" x14ac:dyDescent="0.25">
      <c r="A10485" t="str">
        <f>"1013001197"</f>
        <v>1013001197</v>
      </c>
      <c r="B10485" t="str">
        <f>"01792052"</f>
        <v>01792052</v>
      </c>
      <c r="C10485" t="s">
        <v>556</v>
      </c>
      <c r="D10485" t="s">
        <v>557</v>
      </c>
      <c r="E10485" t="s">
        <v>558</v>
      </c>
      <c r="G10485" t="s">
        <v>559</v>
      </c>
      <c r="H10485" t="s">
        <v>560</v>
      </c>
      <c r="J10485" t="s">
        <v>561</v>
      </c>
      <c r="L10485" t="s">
        <v>17</v>
      </c>
      <c r="M10485" t="s">
        <v>75</v>
      </c>
      <c r="R10485" t="s">
        <v>562</v>
      </c>
      <c r="W10485" t="s">
        <v>558</v>
      </c>
      <c r="X10485" t="s">
        <v>563</v>
      </c>
      <c r="Y10485" t="s">
        <v>190</v>
      </c>
      <c r="Z10485" t="s">
        <v>77</v>
      </c>
      <c r="AA10485" t="str">
        <f>"11101-4347"</f>
        <v>11101-4347</v>
      </c>
      <c r="AB10485" t="s">
        <v>122</v>
      </c>
      <c r="AC10485" t="s">
        <v>79</v>
      </c>
      <c r="AD10485" t="s">
        <v>75</v>
      </c>
      <c r="AE10485" t="s">
        <v>80</v>
      </c>
      <c r="AG10485" t="s">
        <v>81</v>
      </c>
    </row>
    <row r="10486" spans="1:33" x14ac:dyDescent="0.25">
      <c r="A10486" t="str">
        <f>"1013189935"</f>
        <v>1013189935</v>
      </c>
      <c r="B10486" t="str">
        <f>"01272980"</f>
        <v>01272980</v>
      </c>
      <c r="C10486" t="s">
        <v>4434</v>
      </c>
      <c r="D10486" t="s">
        <v>43071</v>
      </c>
      <c r="E10486" t="s">
        <v>43072</v>
      </c>
      <c r="F10486">
        <v>112777066</v>
      </c>
      <c r="G10486" t="s">
        <v>27118</v>
      </c>
      <c r="H10486" t="s">
        <v>27119</v>
      </c>
      <c r="I10486">
        <v>310</v>
      </c>
      <c r="J10486" t="s">
        <v>27120</v>
      </c>
      <c r="L10486" t="s">
        <v>37</v>
      </c>
      <c r="M10486" t="s">
        <v>75</v>
      </c>
      <c r="R10486" t="s">
        <v>4438</v>
      </c>
      <c r="W10486" t="s">
        <v>43072</v>
      </c>
      <c r="X10486" t="s">
        <v>43073</v>
      </c>
      <c r="Y10486" t="s">
        <v>327</v>
      </c>
      <c r="Z10486" t="s">
        <v>77</v>
      </c>
      <c r="AA10486" t="str">
        <f>"11415-3107"</f>
        <v>11415-3107</v>
      </c>
      <c r="AB10486" t="s">
        <v>107</v>
      </c>
      <c r="AC10486" t="s">
        <v>79</v>
      </c>
      <c r="AD10486" t="s">
        <v>75</v>
      </c>
      <c r="AE10486" t="s">
        <v>80</v>
      </c>
      <c r="AG10486" t="s">
        <v>81</v>
      </c>
    </row>
    <row r="10487" spans="1:33" x14ac:dyDescent="0.25">
      <c r="A10487" t="str">
        <f>"1710966379"</f>
        <v>1710966379</v>
      </c>
      <c r="B10487" t="str">
        <f>"00312258"</f>
        <v>00312258</v>
      </c>
      <c r="C10487" t="s">
        <v>43074</v>
      </c>
      <c r="D10487" t="s">
        <v>43075</v>
      </c>
      <c r="E10487" t="s">
        <v>43076</v>
      </c>
      <c r="G10487" t="s">
        <v>43077</v>
      </c>
      <c r="H10487" t="s">
        <v>18201</v>
      </c>
      <c r="J10487" t="s">
        <v>43078</v>
      </c>
      <c r="L10487" t="s">
        <v>15</v>
      </c>
      <c r="M10487" t="s">
        <v>85</v>
      </c>
      <c r="R10487" t="s">
        <v>43079</v>
      </c>
      <c r="W10487" t="s">
        <v>43076</v>
      </c>
      <c r="X10487" t="s">
        <v>16626</v>
      </c>
      <c r="Y10487" t="s">
        <v>97</v>
      </c>
      <c r="Z10487" t="s">
        <v>77</v>
      </c>
      <c r="AA10487" t="str">
        <f>"10021-4707"</f>
        <v>10021-4707</v>
      </c>
      <c r="AB10487" t="s">
        <v>107</v>
      </c>
      <c r="AC10487" t="s">
        <v>79</v>
      </c>
      <c r="AD10487" t="s">
        <v>75</v>
      </c>
      <c r="AE10487" t="s">
        <v>80</v>
      </c>
      <c r="AG10487" t="s">
        <v>81</v>
      </c>
    </row>
    <row r="10488" spans="1:33" x14ac:dyDescent="0.25">
      <c r="A10488" t="str">
        <f>"1023157062"</f>
        <v>1023157062</v>
      </c>
      <c r="B10488" t="str">
        <f>"00696997"</f>
        <v>00696997</v>
      </c>
      <c r="C10488" t="s">
        <v>43080</v>
      </c>
      <c r="D10488" t="s">
        <v>420</v>
      </c>
      <c r="E10488" t="s">
        <v>421</v>
      </c>
      <c r="F10488">
        <v>131624123</v>
      </c>
      <c r="L10488" t="s">
        <v>37</v>
      </c>
      <c r="M10488" t="s">
        <v>75</v>
      </c>
      <c r="R10488" t="s">
        <v>422</v>
      </c>
      <c r="W10488" t="s">
        <v>423</v>
      </c>
      <c r="X10488" t="s">
        <v>424</v>
      </c>
      <c r="Y10488" t="s">
        <v>300</v>
      </c>
      <c r="Z10488" t="s">
        <v>77</v>
      </c>
      <c r="AA10488" t="str">
        <f>"10954-3121"</f>
        <v>10954-3121</v>
      </c>
      <c r="AB10488" t="s">
        <v>107</v>
      </c>
      <c r="AC10488" t="s">
        <v>79</v>
      </c>
      <c r="AD10488" t="s">
        <v>75</v>
      </c>
      <c r="AE10488" t="s">
        <v>80</v>
      </c>
      <c r="AG10488" t="s">
        <v>81</v>
      </c>
    </row>
    <row r="10489" spans="1:33" x14ac:dyDescent="0.25">
      <c r="A10489" t="str">
        <f>"1336134915"</f>
        <v>1336134915</v>
      </c>
      <c r="C10489" t="s">
        <v>43081</v>
      </c>
      <c r="K10489" t="s">
        <v>99</v>
      </c>
      <c r="L10489" t="s">
        <v>102</v>
      </c>
      <c r="M10489" t="s">
        <v>75</v>
      </c>
      <c r="R10489" t="s">
        <v>2271</v>
      </c>
      <c r="S10489" t="s">
        <v>2144</v>
      </c>
      <c r="T10489" t="s">
        <v>87</v>
      </c>
      <c r="U10489" t="s">
        <v>77</v>
      </c>
      <c r="V10489" t="str">
        <f>"11235"</f>
        <v>11235</v>
      </c>
      <c r="AC10489" t="s">
        <v>79</v>
      </c>
      <c r="AD10489" t="s">
        <v>75</v>
      </c>
      <c r="AE10489" t="s">
        <v>103</v>
      </c>
      <c r="AG10489" t="s">
        <v>81</v>
      </c>
    </row>
    <row r="10490" spans="1:33" x14ac:dyDescent="0.25">
      <c r="A10490" t="str">
        <f>"1912179763"</f>
        <v>1912179763</v>
      </c>
      <c r="B10490" t="str">
        <f>"00890813"</f>
        <v>00890813</v>
      </c>
      <c r="C10490" t="s">
        <v>721</v>
      </c>
      <c r="D10490" t="s">
        <v>722</v>
      </c>
      <c r="E10490" t="s">
        <v>723</v>
      </c>
      <c r="G10490" t="s">
        <v>724</v>
      </c>
      <c r="H10490" t="s">
        <v>725</v>
      </c>
      <c r="J10490" t="s">
        <v>726</v>
      </c>
      <c r="L10490" t="s">
        <v>37</v>
      </c>
      <c r="M10490" t="s">
        <v>85</v>
      </c>
      <c r="R10490" t="s">
        <v>723</v>
      </c>
      <c r="W10490" t="s">
        <v>723</v>
      </c>
      <c r="X10490" t="s">
        <v>727</v>
      </c>
      <c r="Y10490" t="s">
        <v>131</v>
      </c>
      <c r="Z10490" t="s">
        <v>77</v>
      </c>
      <c r="AA10490" t="str">
        <f>"10470-1104"</f>
        <v>10470-1104</v>
      </c>
      <c r="AB10490" t="s">
        <v>93</v>
      </c>
      <c r="AC10490" t="s">
        <v>79</v>
      </c>
      <c r="AD10490" t="s">
        <v>75</v>
      </c>
      <c r="AE10490" t="s">
        <v>80</v>
      </c>
      <c r="AG10490" t="s">
        <v>81</v>
      </c>
    </row>
    <row r="10491" spans="1:33" x14ac:dyDescent="0.25">
      <c r="A10491" t="str">
        <f>"1982913109"</f>
        <v>1982913109</v>
      </c>
      <c r="B10491" t="str">
        <f>"00309031"</f>
        <v>00309031</v>
      </c>
      <c r="C10491" t="s">
        <v>43082</v>
      </c>
      <c r="D10491" t="s">
        <v>767</v>
      </c>
      <c r="E10491" t="s">
        <v>768</v>
      </c>
      <c r="G10491" t="s">
        <v>503</v>
      </c>
      <c r="H10491" t="s">
        <v>504</v>
      </c>
      <c r="J10491" t="s">
        <v>505</v>
      </c>
      <c r="L10491" t="s">
        <v>106</v>
      </c>
      <c r="M10491" t="s">
        <v>85</v>
      </c>
      <c r="R10491" t="s">
        <v>769</v>
      </c>
      <c r="W10491" t="s">
        <v>768</v>
      </c>
      <c r="X10491" t="s">
        <v>770</v>
      </c>
      <c r="Y10491" t="s">
        <v>87</v>
      </c>
      <c r="Z10491" t="s">
        <v>77</v>
      </c>
      <c r="AA10491" t="str">
        <f>"11219-3301"</f>
        <v>11219-3301</v>
      </c>
      <c r="AB10491" t="s">
        <v>107</v>
      </c>
      <c r="AC10491" t="s">
        <v>79</v>
      </c>
      <c r="AD10491" t="s">
        <v>75</v>
      </c>
      <c r="AE10491" t="s">
        <v>80</v>
      </c>
      <c r="AG10491" t="s">
        <v>81</v>
      </c>
    </row>
    <row r="10492" spans="1:33" x14ac:dyDescent="0.25">
      <c r="A10492" t="str">
        <f>"1841365509"</f>
        <v>1841365509</v>
      </c>
      <c r="B10492" t="str">
        <f>"00312547"</f>
        <v>00312547</v>
      </c>
      <c r="C10492" t="s">
        <v>777</v>
      </c>
      <c r="D10492" t="s">
        <v>778</v>
      </c>
      <c r="E10492" t="s">
        <v>779</v>
      </c>
      <c r="G10492" t="s">
        <v>503</v>
      </c>
      <c r="H10492" t="s">
        <v>504</v>
      </c>
      <c r="J10492" t="s">
        <v>505</v>
      </c>
      <c r="L10492" t="s">
        <v>106</v>
      </c>
      <c r="M10492" t="s">
        <v>85</v>
      </c>
      <c r="R10492" t="s">
        <v>780</v>
      </c>
      <c r="W10492" t="s">
        <v>779</v>
      </c>
      <c r="X10492" t="s">
        <v>640</v>
      </c>
      <c r="Y10492" t="s">
        <v>87</v>
      </c>
      <c r="Z10492" t="s">
        <v>77</v>
      </c>
      <c r="AA10492" t="str">
        <f>"11230-4713"</f>
        <v>11230-4713</v>
      </c>
      <c r="AB10492" t="s">
        <v>107</v>
      </c>
      <c r="AC10492" t="s">
        <v>79</v>
      </c>
      <c r="AD10492" t="s">
        <v>75</v>
      </c>
      <c r="AE10492" t="s">
        <v>80</v>
      </c>
      <c r="AG10492" t="s">
        <v>81</v>
      </c>
    </row>
    <row r="10493" spans="1:33" x14ac:dyDescent="0.25">
      <c r="A10493" t="str">
        <f>"1225285513"</f>
        <v>1225285513</v>
      </c>
      <c r="B10493" t="str">
        <f>"01113235"</f>
        <v>01113235</v>
      </c>
      <c r="C10493" t="s">
        <v>522</v>
      </c>
      <c r="D10493" t="s">
        <v>523</v>
      </c>
      <c r="E10493" t="s">
        <v>524</v>
      </c>
      <c r="G10493" t="s">
        <v>503</v>
      </c>
      <c r="H10493" t="s">
        <v>504</v>
      </c>
      <c r="J10493" t="s">
        <v>505</v>
      </c>
      <c r="L10493" t="s">
        <v>106</v>
      </c>
      <c r="M10493" t="s">
        <v>85</v>
      </c>
      <c r="R10493" t="s">
        <v>525</v>
      </c>
      <c r="W10493" t="s">
        <v>526</v>
      </c>
      <c r="X10493" t="s">
        <v>527</v>
      </c>
      <c r="Y10493" t="s">
        <v>87</v>
      </c>
      <c r="Z10493" t="s">
        <v>77</v>
      </c>
      <c r="AA10493" t="str">
        <f>"11207-2420"</f>
        <v>11207-2420</v>
      </c>
      <c r="AB10493" t="s">
        <v>107</v>
      </c>
      <c r="AC10493" t="s">
        <v>79</v>
      </c>
      <c r="AD10493" t="s">
        <v>75</v>
      </c>
      <c r="AE10493" t="s">
        <v>80</v>
      </c>
      <c r="AG10493" t="s">
        <v>81</v>
      </c>
    </row>
    <row r="10494" spans="1:33" x14ac:dyDescent="0.25">
      <c r="A10494" t="str">
        <f>"1790001626"</f>
        <v>1790001626</v>
      </c>
      <c r="C10494" t="s">
        <v>43083</v>
      </c>
      <c r="G10494" t="s">
        <v>850</v>
      </c>
      <c r="H10494" t="s">
        <v>851</v>
      </c>
      <c r="J10494" t="s">
        <v>852</v>
      </c>
      <c r="K10494" t="s">
        <v>99</v>
      </c>
      <c r="L10494" t="s">
        <v>102</v>
      </c>
      <c r="M10494" t="s">
        <v>75</v>
      </c>
      <c r="R10494" t="s">
        <v>1350</v>
      </c>
      <c r="S10494" t="s">
        <v>1351</v>
      </c>
      <c r="T10494" t="s">
        <v>87</v>
      </c>
      <c r="U10494" t="s">
        <v>77</v>
      </c>
      <c r="V10494" t="str">
        <f>"112204742"</f>
        <v>112204742</v>
      </c>
      <c r="AC10494" t="s">
        <v>79</v>
      </c>
      <c r="AD10494" t="s">
        <v>75</v>
      </c>
      <c r="AE10494" t="s">
        <v>103</v>
      </c>
      <c r="AG10494" t="s">
        <v>81</v>
      </c>
    </row>
    <row r="10495" spans="1:33" x14ac:dyDescent="0.25">
      <c r="A10495" t="str">
        <f>"1033298948"</f>
        <v>1033298948</v>
      </c>
      <c r="C10495" t="s">
        <v>43084</v>
      </c>
      <c r="G10495" t="s">
        <v>5011</v>
      </c>
      <c r="H10495" t="s">
        <v>5012</v>
      </c>
      <c r="I10495">
        <v>1101</v>
      </c>
      <c r="J10495" t="s">
        <v>3305</v>
      </c>
      <c r="K10495" t="s">
        <v>99</v>
      </c>
      <c r="L10495" t="s">
        <v>102</v>
      </c>
      <c r="M10495" t="s">
        <v>85</v>
      </c>
      <c r="R10495" t="s">
        <v>3312</v>
      </c>
      <c r="S10495" t="s">
        <v>3313</v>
      </c>
      <c r="T10495" t="s">
        <v>635</v>
      </c>
      <c r="U10495" t="s">
        <v>77</v>
      </c>
      <c r="V10495" t="str">
        <f>"105914012"</f>
        <v>105914012</v>
      </c>
      <c r="AC10495" t="s">
        <v>79</v>
      </c>
      <c r="AD10495" t="s">
        <v>75</v>
      </c>
      <c r="AE10495" t="s">
        <v>103</v>
      </c>
      <c r="AG10495" t="s">
        <v>81</v>
      </c>
    </row>
    <row r="10496" spans="1:33" x14ac:dyDescent="0.25">
      <c r="A10496" t="str">
        <f>"1710148549"</f>
        <v>1710148549</v>
      </c>
      <c r="C10496" t="s">
        <v>43085</v>
      </c>
      <c r="G10496" t="s">
        <v>850</v>
      </c>
      <c r="H10496" t="s">
        <v>851</v>
      </c>
      <c r="J10496" t="s">
        <v>852</v>
      </c>
      <c r="K10496" t="s">
        <v>99</v>
      </c>
      <c r="L10496" t="s">
        <v>102</v>
      </c>
      <c r="M10496" t="s">
        <v>75</v>
      </c>
      <c r="R10496" t="s">
        <v>1379</v>
      </c>
      <c r="S10496" t="s">
        <v>1351</v>
      </c>
      <c r="T10496" t="s">
        <v>87</v>
      </c>
      <c r="U10496" t="s">
        <v>77</v>
      </c>
      <c r="V10496" t="str">
        <f>"112204742"</f>
        <v>112204742</v>
      </c>
      <c r="AC10496" t="s">
        <v>79</v>
      </c>
      <c r="AD10496" t="s">
        <v>75</v>
      </c>
      <c r="AE10496" t="s">
        <v>103</v>
      </c>
      <c r="AG10496" t="s">
        <v>81</v>
      </c>
    </row>
    <row r="10497" spans="1:33" x14ac:dyDescent="0.25">
      <c r="A10497" t="str">
        <f>"1114187689"</f>
        <v>1114187689</v>
      </c>
      <c r="C10497" t="s">
        <v>43086</v>
      </c>
      <c r="G10497" t="s">
        <v>43086</v>
      </c>
      <c r="K10497" t="s">
        <v>99</v>
      </c>
      <c r="L10497" t="s">
        <v>102</v>
      </c>
      <c r="M10497" t="s">
        <v>75</v>
      </c>
      <c r="R10497" t="s">
        <v>43087</v>
      </c>
      <c r="S10497" t="s">
        <v>22254</v>
      </c>
      <c r="T10497" t="s">
        <v>97</v>
      </c>
      <c r="U10497" t="s">
        <v>77</v>
      </c>
      <c r="V10497" t="str">
        <f>"100332411"</f>
        <v>100332411</v>
      </c>
      <c r="AC10497" t="s">
        <v>79</v>
      </c>
      <c r="AD10497" t="s">
        <v>75</v>
      </c>
      <c r="AE10497" t="s">
        <v>103</v>
      </c>
      <c r="AG10497" t="s">
        <v>81</v>
      </c>
    </row>
    <row r="10498" spans="1:33" x14ac:dyDescent="0.25">
      <c r="A10498" t="str">
        <f>"1114265766"</f>
        <v>1114265766</v>
      </c>
      <c r="B10498" t="str">
        <f>"03552903"</f>
        <v>03552903</v>
      </c>
      <c r="C10498" t="s">
        <v>43088</v>
      </c>
      <c r="D10498" t="s">
        <v>43089</v>
      </c>
      <c r="E10498" t="s">
        <v>43090</v>
      </c>
      <c r="G10498" t="s">
        <v>43088</v>
      </c>
      <c r="L10498" t="s">
        <v>83</v>
      </c>
      <c r="M10498" t="s">
        <v>75</v>
      </c>
      <c r="R10498" t="s">
        <v>43090</v>
      </c>
      <c r="W10498" t="s">
        <v>43090</v>
      </c>
      <c r="X10498" t="s">
        <v>200</v>
      </c>
      <c r="Y10498" t="s">
        <v>97</v>
      </c>
      <c r="Z10498" t="s">
        <v>77</v>
      </c>
      <c r="AA10498" t="str">
        <f>"10032-3720"</f>
        <v>10032-3720</v>
      </c>
      <c r="AB10498" t="s">
        <v>78</v>
      </c>
      <c r="AC10498" t="s">
        <v>79</v>
      </c>
      <c r="AD10498" t="s">
        <v>75</v>
      </c>
      <c r="AE10498" t="s">
        <v>80</v>
      </c>
      <c r="AG10498" t="s">
        <v>81</v>
      </c>
    </row>
    <row r="10499" spans="1:33" x14ac:dyDescent="0.25">
      <c r="A10499" t="str">
        <f>"1114972296"</f>
        <v>1114972296</v>
      </c>
      <c r="B10499" t="str">
        <f>"02196858"</f>
        <v>02196858</v>
      </c>
      <c r="C10499" t="s">
        <v>43091</v>
      </c>
      <c r="D10499" t="s">
        <v>43092</v>
      </c>
      <c r="E10499" t="s">
        <v>43093</v>
      </c>
      <c r="G10499" t="s">
        <v>43091</v>
      </c>
      <c r="L10499" t="s">
        <v>83</v>
      </c>
      <c r="M10499" t="s">
        <v>75</v>
      </c>
      <c r="R10499" t="s">
        <v>43094</v>
      </c>
      <c r="W10499" t="s">
        <v>43093</v>
      </c>
      <c r="X10499" t="s">
        <v>823</v>
      </c>
      <c r="Y10499" t="s">
        <v>131</v>
      </c>
      <c r="Z10499" t="s">
        <v>77</v>
      </c>
      <c r="AA10499" t="str">
        <f>"10467-2401"</f>
        <v>10467-2401</v>
      </c>
      <c r="AB10499" t="s">
        <v>78</v>
      </c>
      <c r="AC10499" t="s">
        <v>79</v>
      </c>
      <c r="AD10499" t="s">
        <v>75</v>
      </c>
      <c r="AE10499" t="s">
        <v>80</v>
      </c>
      <c r="AG10499" t="s">
        <v>81</v>
      </c>
    </row>
    <row r="10500" spans="1:33" x14ac:dyDescent="0.25">
      <c r="A10500" t="str">
        <f>"1134100852"</f>
        <v>1134100852</v>
      </c>
      <c r="B10500" t="str">
        <f>"01704609"</f>
        <v>01704609</v>
      </c>
      <c r="C10500" t="s">
        <v>43095</v>
      </c>
      <c r="D10500" t="s">
        <v>43096</v>
      </c>
      <c r="E10500" t="s">
        <v>43097</v>
      </c>
      <c r="G10500" t="s">
        <v>43095</v>
      </c>
      <c r="L10500" t="s">
        <v>83</v>
      </c>
      <c r="M10500" t="s">
        <v>75</v>
      </c>
      <c r="R10500" t="s">
        <v>43097</v>
      </c>
      <c r="W10500" t="s">
        <v>43097</v>
      </c>
      <c r="X10500" t="s">
        <v>610</v>
      </c>
      <c r="Y10500" t="s">
        <v>87</v>
      </c>
      <c r="Z10500" t="s">
        <v>77</v>
      </c>
      <c r="AA10500" t="str">
        <f>"11203-2056"</f>
        <v>11203-2056</v>
      </c>
      <c r="AB10500" t="s">
        <v>78</v>
      </c>
      <c r="AC10500" t="s">
        <v>79</v>
      </c>
      <c r="AD10500" t="s">
        <v>75</v>
      </c>
      <c r="AE10500" t="s">
        <v>80</v>
      </c>
      <c r="AG10500" t="s">
        <v>81</v>
      </c>
    </row>
    <row r="10501" spans="1:33" x14ac:dyDescent="0.25">
      <c r="A10501" t="str">
        <f>"1285981738"</f>
        <v>1285981738</v>
      </c>
      <c r="C10501" t="s">
        <v>4200</v>
      </c>
      <c r="G10501" t="s">
        <v>3684</v>
      </c>
      <c r="H10501" t="s">
        <v>3685</v>
      </c>
      <c r="J10501" t="s">
        <v>3686</v>
      </c>
      <c r="K10501" t="s">
        <v>99</v>
      </c>
      <c r="L10501" t="s">
        <v>102</v>
      </c>
      <c r="M10501" t="s">
        <v>75</v>
      </c>
      <c r="R10501" t="s">
        <v>4201</v>
      </c>
      <c r="S10501" t="s">
        <v>4202</v>
      </c>
      <c r="T10501" t="s">
        <v>97</v>
      </c>
      <c r="U10501" t="s">
        <v>77</v>
      </c>
      <c r="V10501" t="str">
        <f>"100042415"</f>
        <v>100042415</v>
      </c>
      <c r="AC10501" t="s">
        <v>79</v>
      </c>
      <c r="AD10501" t="s">
        <v>75</v>
      </c>
      <c r="AE10501" t="s">
        <v>103</v>
      </c>
      <c r="AG10501" t="s">
        <v>81</v>
      </c>
    </row>
    <row r="10502" spans="1:33" x14ac:dyDescent="0.25">
      <c r="A10502" t="str">
        <f>"1285988014"</f>
        <v>1285988014</v>
      </c>
      <c r="B10502" t="str">
        <f>"03816671"</f>
        <v>03816671</v>
      </c>
      <c r="C10502" t="s">
        <v>4126</v>
      </c>
      <c r="D10502" t="s">
        <v>4127</v>
      </c>
      <c r="E10502" t="s">
        <v>4128</v>
      </c>
      <c r="G10502" t="s">
        <v>3684</v>
      </c>
      <c r="H10502" t="s">
        <v>3685</v>
      </c>
      <c r="J10502" t="s">
        <v>3686</v>
      </c>
      <c r="L10502" t="s">
        <v>83</v>
      </c>
      <c r="M10502" t="s">
        <v>75</v>
      </c>
      <c r="R10502" t="s">
        <v>4129</v>
      </c>
      <c r="W10502" t="s">
        <v>4128</v>
      </c>
      <c r="X10502" t="s">
        <v>3824</v>
      </c>
      <c r="Y10502" t="s">
        <v>141</v>
      </c>
      <c r="Z10502" t="s">
        <v>77</v>
      </c>
      <c r="AA10502" t="str">
        <f>"11377-5771"</f>
        <v>11377-5771</v>
      </c>
      <c r="AB10502" t="s">
        <v>78</v>
      </c>
      <c r="AC10502" t="s">
        <v>79</v>
      </c>
      <c r="AD10502" t="s">
        <v>75</v>
      </c>
      <c r="AE10502" t="s">
        <v>80</v>
      </c>
      <c r="AG10502" t="s">
        <v>81</v>
      </c>
    </row>
    <row r="10503" spans="1:33" x14ac:dyDescent="0.25">
      <c r="A10503" t="str">
        <f>"1306188313"</f>
        <v>1306188313</v>
      </c>
      <c r="B10503" t="str">
        <f>"03577828"</f>
        <v>03577828</v>
      </c>
      <c r="C10503" t="s">
        <v>3690</v>
      </c>
      <c r="D10503" t="s">
        <v>3691</v>
      </c>
      <c r="E10503" t="s">
        <v>3692</v>
      </c>
      <c r="G10503" t="s">
        <v>3684</v>
      </c>
      <c r="H10503" t="s">
        <v>3685</v>
      </c>
      <c r="J10503" t="s">
        <v>3686</v>
      </c>
      <c r="L10503" t="s">
        <v>84</v>
      </c>
      <c r="M10503" t="s">
        <v>75</v>
      </c>
      <c r="R10503" t="s">
        <v>3692</v>
      </c>
      <c r="W10503" t="s">
        <v>3693</v>
      </c>
      <c r="X10503" t="s">
        <v>638</v>
      </c>
      <c r="Y10503" t="s">
        <v>131</v>
      </c>
      <c r="Z10503" t="s">
        <v>77</v>
      </c>
      <c r="AA10503" t="str">
        <f>"10453-4303"</f>
        <v>10453-4303</v>
      </c>
      <c r="AB10503" t="s">
        <v>78</v>
      </c>
      <c r="AC10503" t="s">
        <v>79</v>
      </c>
      <c r="AD10503" t="s">
        <v>75</v>
      </c>
      <c r="AE10503" t="s">
        <v>80</v>
      </c>
      <c r="AG10503" t="s">
        <v>81</v>
      </c>
    </row>
    <row r="10504" spans="1:33" x14ac:dyDescent="0.25">
      <c r="A10504" t="str">
        <f>"1336426246"</f>
        <v>1336426246</v>
      </c>
      <c r="B10504" t="str">
        <f>"03940127"</f>
        <v>03940127</v>
      </c>
      <c r="C10504" t="s">
        <v>4007</v>
      </c>
      <c r="D10504" t="s">
        <v>4008</v>
      </c>
      <c r="E10504" t="s">
        <v>4009</v>
      </c>
      <c r="G10504" t="s">
        <v>3684</v>
      </c>
      <c r="H10504" t="s">
        <v>3685</v>
      </c>
      <c r="J10504" t="s">
        <v>3686</v>
      </c>
      <c r="L10504" t="s">
        <v>74</v>
      </c>
      <c r="M10504" t="s">
        <v>75</v>
      </c>
      <c r="R10504" t="s">
        <v>4010</v>
      </c>
      <c r="W10504" t="s">
        <v>4009</v>
      </c>
      <c r="X10504" t="s">
        <v>173</v>
      </c>
      <c r="Y10504" t="s">
        <v>87</v>
      </c>
      <c r="Z10504" t="s">
        <v>77</v>
      </c>
      <c r="AA10504" t="str">
        <f>"11219-2916"</f>
        <v>11219-2916</v>
      </c>
      <c r="AB10504" t="s">
        <v>78</v>
      </c>
      <c r="AC10504" t="s">
        <v>79</v>
      </c>
      <c r="AD10504" t="s">
        <v>75</v>
      </c>
      <c r="AE10504" t="s">
        <v>80</v>
      </c>
      <c r="AG10504" t="s">
        <v>81</v>
      </c>
    </row>
    <row r="10505" spans="1:33" x14ac:dyDescent="0.25">
      <c r="A10505" t="str">
        <f>"1346242120"</f>
        <v>1346242120</v>
      </c>
      <c r="B10505" t="str">
        <f>"01389486"</f>
        <v>01389486</v>
      </c>
      <c r="C10505" t="s">
        <v>4184</v>
      </c>
      <c r="D10505" t="s">
        <v>4185</v>
      </c>
      <c r="E10505" t="s">
        <v>4186</v>
      </c>
      <c r="G10505" t="s">
        <v>3684</v>
      </c>
      <c r="H10505" t="s">
        <v>3685</v>
      </c>
      <c r="J10505" t="s">
        <v>3686</v>
      </c>
      <c r="L10505" t="s">
        <v>84</v>
      </c>
      <c r="M10505" t="s">
        <v>75</v>
      </c>
      <c r="R10505" t="s">
        <v>4186</v>
      </c>
      <c r="W10505" t="s">
        <v>4186</v>
      </c>
      <c r="X10505" t="s">
        <v>4187</v>
      </c>
      <c r="Y10505" t="s">
        <v>180</v>
      </c>
      <c r="Z10505" t="s">
        <v>77</v>
      </c>
      <c r="AA10505" t="str">
        <f>"10705-3636"</f>
        <v>10705-3636</v>
      </c>
      <c r="AB10505" t="s">
        <v>78</v>
      </c>
      <c r="AC10505" t="s">
        <v>79</v>
      </c>
      <c r="AD10505" t="s">
        <v>75</v>
      </c>
      <c r="AE10505" t="s">
        <v>80</v>
      </c>
      <c r="AG10505" t="s">
        <v>81</v>
      </c>
    </row>
    <row r="10506" spans="1:33" x14ac:dyDescent="0.25">
      <c r="A10506" t="str">
        <f>"1346434966"</f>
        <v>1346434966</v>
      </c>
      <c r="B10506" t="str">
        <f>"03434291"</f>
        <v>03434291</v>
      </c>
      <c r="C10506" t="s">
        <v>4011</v>
      </c>
      <c r="D10506" t="s">
        <v>4012</v>
      </c>
      <c r="E10506" t="s">
        <v>4013</v>
      </c>
      <c r="G10506" t="s">
        <v>3684</v>
      </c>
      <c r="H10506" t="s">
        <v>3685</v>
      </c>
      <c r="J10506" t="s">
        <v>3686</v>
      </c>
      <c r="L10506" t="s">
        <v>74</v>
      </c>
      <c r="M10506" t="s">
        <v>75</v>
      </c>
      <c r="R10506" t="s">
        <v>4014</v>
      </c>
      <c r="W10506" t="s">
        <v>4015</v>
      </c>
      <c r="X10506" t="s">
        <v>4016</v>
      </c>
      <c r="Y10506" t="s">
        <v>97</v>
      </c>
      <c r="Z10506" t="s">
        <v>77</v>
      </c>
      <c r="AA10506" t="str">
        <f>"10119-0002"</f>
        <v>10119-0002</v>
      </c>
      <c r="AB10506" t="s">
        <v>78</v>
      </c>
      <c r="AC10506" t="s">
        <v>79</v>
      </c>
      <c r="AD10506" t="s">
        <v>75</v>
      </c>
      <c r="AE10506" t="s">
        <v>80</v>
      </c>
      <c r="AG10506" t="s">
        <v>81</v>
      </c>
    </row>
    <row r="10507" spans="1:33" x14ac:dyDescent="0.25">
      <c r="A10507" t="str">
        <f>"1356656763"</f>
        <v>1356656763</v>
      </c>
      <c r="B10507" t="str">
        <f>"03246417"</f>
        <v>03246417</v>
      </c>
      <c r="C10507" t="s">
        <v>4104</v>
      </c>
      <c r="D10507" t="s">
        <v>4105</v>
      </c>
      <c r="E10507" t="s">
        <v>4106</v>
      </c>
      <c r="G10507" t="s">
        <v>3684</v>
      </c>
      <c r="H10507" t="s">
        <v>3685</v>
      </c>
      <c r="J10507" t="s">
        <v>3686</v>
      </c>
      <c r="L10507" t="s">
        <v>1700</v>
      </c>
      <c r="M10507" t="s">
        <v>75</v>
      </c>
      <c r="R10507" t="s">
        <v>4106</v>
      </c>
      <c r="W10507" t="s">
        <v>4106</v>
      </c>
      <c r="X10507" t="s">
        <v>4107</v>
      </c>
      <c r="Y10507" t="s">
        <v>87</v>
      </c>
      <c r="Z10507" t="s">
        <v>77</v>
      </c>
      <c r="AA10507" t="str">
        <f>"11235-4811"</f>
        <v>11235-4811</v>
      </c>
      <c r="AB10507" t="s">
        <v>114</v>
      </c>
      <c r="AC10507" t="s">
        <v>79</v>
      </c>
      <c r="AD10507" t="s">
        <v>75</v>
      </c>
      <c r="AE10507" t="s">
        <v>80</v>
      </c>
      <c r="AG10507" t="s">
        <v>81</v>
      </c>
    </row>
    <row r="10508" spans="1:33" x14ac:dyDescent="0.25">
      <c r="A10508" t="str">
        <f>"1356775779"</f>
        <v>1356775779</v>
      </c>
      <c r="C10508" t="s">
        <v>4041</v>
      </c>
      <c r="G10508" t="s">
        <v>3684</v>
      </c>
      <c r="H10508" t="s">
        <v>3685</v>
      </c>
      <c r="J10508" t="s">
        <v>3686</v>
      </c>
      <c r="K10508" t="s">
        <v>99</v>
      </c>
      <c r="L10508" t="s">
        <v>102</v>
      </c>
      <c r="M10508" t="s">
        <v>75</v>
      </c>
      <c r="R10508" t="s">
        <v>4042</v>
      </c>
      <c r="S10508" t="s">
        <v>4043</v>
      </c>
      <c r="T10508" t="s">
        <v>97</v>
      </c>
      <c r="U10508" t="s">
        <v>77</v>
      </c>
      <c r="V10508" t="str">
        <f>"101700002"</f>
        <v>101700002</v>
      </c>
      <c r="AC10508" t="s">
        <v>79</v>
      </c>
      <c r="AD10508" t="s">
        <v>75</v>
      </c>
      <c r="AE10508" t="s">
        <v>103</v>
      </c>
      <c r="AG10508" t="s">
        <v>81</v>
      </c>
    </row>
    <row r="10509" spans="1:33" x14ac:dyDescent="0.25">
      <c r="A10509" t="str">
        <f>"1437587417"</f>
        <v>1437587417</v>
      </c>
      <c r="B10509" t="str">
        <f>"04027827"</f>
        <v>04027827</v>
      </c>
      <c r="C10509" t="s">
        <v>4034</v>
      </c>
      <c r="D10509" t="s">
        <v>4035</v>
      </c>
      <c r="E10509" t="s">
        <v>4036</v>
      </c>
      <c r="G10509" t="s">
        <v>3684</v>
      </c>
      <c r="H10509" t="s">
        <v>3685</v>
      </c>
      <c r="J10509" t="s">
        <v>3686</v>
      </c>
      <c r="L10509" t="s">
        <v>83</v>
      </c>
      <c r="M10509" t="s">
        <v>75</v>
      </c>
      <c r="R10509" t="s">
        <v>4036</v>
      </c>
      <c r="W10509" t="s">
        <v>4036</v>
      </c>
      <c r="X10509" t="s">
        <v>3664</v>
      </c>
      <c r="Y10509" t="s">
        <v>87</v>
      </c>
      <c r="Z10509" t="s">
        <v>77</v>
      </c>
      <c r="AA10509" t="str">
        <f>"11204-6081"</f>
        <v>11204-6081</v>
      </c>
      <c r="AB10509" t="s">
        <v>78</v>
      </c>
      <c r="AC10509" t="s">
        <v>79</v>
      </c>
      <c r="AD10509" t="s">
        <v>75</v>
      </c>
      <c r="AE10509" t="s">
        <v>80</v>
      </c>
      <c r="AG10509" t="s">
        <v>81</v>
      </c>
    </row>
    <row r="10510" spans="1:33" x14ac:dyDescent="0.25">
      <c r="A10510" t="str">
        <f>"1467713826"</f>
        <v>1467713826</v>
      </c>
      <c r="B10510" t="str">
        <f>"03456957"</f>
        <v>03456957</v>
      </c>
      <c r="C10510" t="s">
        <v>4228</v>
      </c>
      <c r="D10510" t="s">
        <v>4229</v>
      </c>
      <c r="E10510" t="s">
        <v>4230</v>
      </c>
      <c r="G10510" t="s">
        <v>3684</v>
      </c>
      <c r="H10510" t="s">
        <v>3685</v>
      </c>
      <c r="J10510" t="s">
        <v>3686</v>
      </c>
      <c r="L10510" t="s">
        <v>74</v>
      </c>
      <c r="M10510" t="s">
        <v>75</v>
      </c>
      <c r="R10510" t="s">
        <v>4230</v>
      </c>
      <c r="W10510" t="s">
        <v>4230</v>
      </c>
      <c r="X10510" t="s">
        <v>4231</v>
      </c>
      <c r="Y10510" t="s">
        <v>1173</v>
      </c>
      <c r="Z10510" t="s">
        <v>77</v>
      </c>
      <c r="AA10510" t="str">
        <f>"11412-2622"</f>
        <v>11412-2622</v>
      </c>
      <c r="AB10510" t="s">
        <v>78</v>
      </c>
      <c r="AC10510" t="s">
        <v>79</v>
      </c>
      <c r="AD10510" t="s">
        <v>75</v>
      </c>
      <c r="AE10510" t="s">
        <v>80</v>
      </c>
      <c r="AG10510" t="s">
        <v>81</v>
      </c>
    </row>
    <row r="10511" spans="1:33" x14ac:dyDescent="0.25">
      <c r="A10511" t="str">
        <f>"1477994572"</f>
        <v>1477994572</v>
      </c>
      <c r="C10511" t="s">
        <v>4123</v>
      </c>
      <c r="G10511" t="s">
        <v>3684</v>
      </c>
      <c r="H10511" t="s">
        <v>3685</v>
      </c>
      <c r="J10511" t="s">
        <v>3686</v>
      </c>
      <c r="K10511" t="s">
        <v>99</v>
      </c>
      <c r="L10511" t="s">
        <v>102</v>
      </c>
      <c r="M10511" t="s">
        <v>75</v>
      </c>
      <c r="R10511" t="s">
        <v>4124</v>
      </c>
      <c r="S10511" t="s">
        <v>4125</v>
      </c>
      <c r="T10511" t="s">
        <v>90</v>
      </c>
      <c r="U10511" t="s">
        <v>77</v>
      </c>
      <c r="V10511" t="str">
        <f>"129012008"</f>
        <v>129012008</v>
      </c>
      <c r="AC10511" t="s">
        <v>79</v>
      </c>
      <c r="AD10511" t="s">
        <v>75</v>
      </c>
      <c r="AE10511" t="s">
        <v>103</v>
      </c>
      <c r="AG10511" t="s">
        <v>81</v>
      </c>
    </row>
    <row r="10512" spans="1:33" x14ac:dyDescent="0.25">
      <c r="A10512" t="str">
        <f>"1518037639"</f>
        <v>1518037639</v>
      </c>
      <c r="B10512" t="str">
        <f>"01917266"</f>
        <v>01917266</v>
      </c>
      <c r="C10512" t="s">
        <v>3911</v>
      </c>
      <c r="D10512" t="s">
        <v>3912</v>
      </c>
      <c r="E10512" t="s">
        <v>3913</v>
      </c>
      <c r="G10512" t="s">
        <v>3684</v>
      </c>
      <c r="H10512" t="s">
        <v>3685</v>
      </c>
      <c r="J10512" t="s">
        <v>3686</v>
      </c>
      <c r="L10512" t="s">
        <v>84</v>
      </c>
      <c r="M10512" t="s">
        <v>75</v>
      </c>
      <c r="R10512" t="s">
        <v>3914</v>
      </c>
      <c r="W10512" t="s">
        <v>3914</v>
      </c>
      <c r="X10512" t="s">
        <v>2525</v>
      </c>
      <c r="Y10512" t="s">
        <v>227</v>
      </c>
      <c r="Z10512" t="s">
        <v>77</v>
      </c>
      <c r="AA10512" t="str">
        <f>"10601-1712"</f>
        <v>10601-1712</v>
      </c>
      <c r="AB10512" t="s">
        <v>78</v>
      </c>
      <c r="AC10512" t="s">
        <v>79</v>
      </c>
      <c r="AD10512" t="s">
        <v>75</v>
      </c>
      <c r="AE10512" t="s">
        <v>80</v>
      </c>
      <c r="AG10512" t="s">
        <v>81</v>
      </c>
    </row>
    <row r="10513" spans="1:33" x14ac:dyDescent="0.25">
      <c r="A10513" t="str">
        <f>"1881623452"</f>
        <v>1881623452</v>
      </c>
      <c r="B10513" t="str">
        <f>"00177862"</f>
        <v>00177862</v>
      </c>
      <c r="C10513" t="s">
        <v>13436</v>
      </c>
      <c r="D10513" t="s">
        <v>43098</v>
      </c>
      <c r="E10513" t="s">
        <v>43099</v>
      </c>
      <c r="L10513" t="s">
        <v>83</v>
      </c>
      <c r="M10513" t="s">
        <v>85</v>
      </c>
      <c r="R10513" t="s">
        <v>43100</v>
      </c>
      <c r="W10513" t="s">
        <v>43099</v>
      </c>
      <c r="X10513" t="s">
        <v>43101</v>
      </c>
      <c r="Y10513" t="s">
        <v>97</v>
      </c>
      <c r="Z10513" t="s">
        <v>77</v>
      </c>
      <c r="AA10513" t="str">
        <f>"10021"</f>
        <v>10021</v>
      </c>
      <c r="AB10513" t="s">
        <v>78</v>
      </c>
      <c r="AC10513" t="s">
        <v>79</v>
      </c>
      <c r="AD10513" t="s">
        <v>75</v>
      </c>
      <c r="AE10513" t="s">
        <v>80</v>
      </c>
      <c r="AG10513" t="s">
        <v>81</v>
      </c>
    </row>
    <row r="10514" spans="1:33" x14ac:dyDescent="0.25">
      <c r="A10514" t="str">
        <f>"1881641108"</f>
        <v>1881641108</v>
      </c>
      <c r="B10514" t="str">
        <f>"03107999"</f>
        <v>03107999</v>
      </c>
      <c r="C10514" t="s">
        <v>13436</v>
      </c>
      <c r="D10514" t="s">
        <v>43102</v>
      </c>
      <c r="E10514" t="s">
        <v>43103</v>
      </c>
      <c r="L10514" t="s">
        <v>74</v>
      </c>
      <c r="M10514" t="s">
        <v>85</v>
      </c>
      <c r="R10514" t="s">
        <v>43103</v>
      </c>
      <c r="W10514" t="s">
        <v>43104</v>
      </c>
      <c r="X10514" t="s">
        <v>43105</v>
      </c>
      <c r="Y10514" t="s">
        <v>97</v>
      </c>
      <c r="Z10514" t="s">
        <v>77</v>
      </c>
      <c r="AA10514" t="str">
        <f>"10029-6500"</f>
        <v>10029-6500</v>
      </c>
      <c r="AB10514" t="s">
        <v>78</v>
      </c>
      <c r="AC10514" t="s">
        <v>79</v>
      </c>
      <c r="AD10514" t="s">
        <v>75</v>
      </c>
      <c r="AE10514" t="s">
        <v>80</v>
      </c>
      <c r="AG10514" t="s">
        <v>81</v>
      </c>
    </row>
    <row r="10515" spans="1:33" x14ac:dyDescent="0.25">
      <c r="A10515" t="str">
        <f>"1508842519"</f>
        <v>1508842519</v>
      </c>
      <c r="B10515" t="str">
        <f>"01839798"</f>
        <v>01839798</v>
      </c>
      <c r="C10515" t="s">
        <v>43106</v>
      </c>
      <c r="D10515" t="s">
        <v>43107</v>
      </c>
      <c r="E10515" t="s">
        <v>43108</v>
      </c>
      <c r="G10515" t="s">
        <v>24003</v>
      </c>
      <c r="J10515" t="s">
        <v>24004</v>
      </c>
      <c r="L10515" t="s">
        <v>84</v>
      </c>
      <c r="M10515" t="s">
        <v>75</v>
      </c>
      <c r="R10515" t="s">
        <v>43108</v>
      </c>
      <c r="W10515" t="s">
        <v>43108</v>
      </c>
      <c r="X10515" t="s">
        <v>40755</v>
      </c>
      <c r="Y10515" t="s">
        <v>87</v>
      </c>
      <c r="Z10515" t="s">
        <v>77</v>
      </c>
      <c r="AA10515" t="str">
        <f>"11209-3802"</f>
        <v>11209-3802</v>
      </c>
      <c r="AB10515" t="s">
        <v>78</v>
      </c>
      <c r="AC10515" t="s">
        <v>79</v>
      </c>
      <c r="AD10515" t="s">
        <v>75</v>
      </c>
      <c r="AE10515" t="s">
        <v>80</v>
      </c>
      <c r="AG10515" t="s">
        <v>81</v>
      </c>
    </row>
    <row r="10516" spans="1:33" x14ac:dyDescent="0.25">
      <c r="A10516" t="str">
        <f>"1073546131"</f>
        <v>1073546131</v>
      </c>
      <c r="B10516" t="str">
        <f>"01996698"</f>
        <v>01996698</v>
      </c>
      <c r="C10516" t="s">
        <v>43109</v>
      </c>
      <c r="D10516" t="s">
        <v>43110</v>
      </c>
      <c r="E10516" t="s">
        <v>43111</v>
      </c>
      <c r="G10516" t="s">
        <v>24003</v>
      </c>
      <c r="J10516" t="s">
        <v>24004</v>
      </c>
      <c r="L10516" t="s">
        <v>84</v>
      </c>
      <c r="M10516" t="s">
        <v>75</v>
      </c>
      <c r="R10516" t="s">
        <v>43112</v>
      </c>
      <c r="W10516" t="s">
        <v>43111</v>
      </c>
      <c r="X10516" t="s">
        <v>43113</v>
      </c>
      <c r="Y10516" t="s">
        <v>152</v>
      </c>
      <c r="Z10516" t="s">
        <v>77</v>
      </c>
      <c r="AA10516" t="str">
        <f>"11375-1640"</f>
        <v>11375-1640</v>
      </c>
      <c r="AB10516" t="s">
        <v>78</v>
      </c>
      <c r="AC10516" t="s">
        <v>79</v>
      </c>
      <c r="AD10516" t="s">
        <v>75</v>
      </c>
      <c r="AE10516" t="s">
        <v>80</v>
      </c>
      <c r="AG10516" t="s">
        <v>81</v>
      </c>
    </row>
    <row r="10517" spans="1:33" x14ac:dyDescent="0.25">
      <c r="A10517" t="str">
        <f>"1588619860"</f>
        <v>1588619860</v>
      </c>
      <c r="B10517" t="str">
        <f>"03302678"</f>
        <v>03302678</v>
      </c>
      <c r="C10517" t="s">
        <v>43114</v>
      </c>
      <c r="D10517" t="s">
        <v>43115</v>
      </c>
      <c r="E10517" t="s">
        <v>43116</v>
      </c>
      <c r="G10517" t="s">
        <v>24003</v>
      </c>
      <c r="J10517" t="s">
        <v>24004</v>
      </c>
      <c r="L10517" t="s">
        <v>74</v>
      </c>
      <c r="M10517" t="s">
        <v>75</v>
      </c>
      <c r="R10517" t="s">
        <v>43117</v>
      </c>
      <c r="W10517" t="s">
        <v>43116</v>
      </c>
      <c r="X10517" t="s">
        <v>201</v>
      </c>
      <c r="Y10517" t="s">
        <v>87</v>
      </c>
      <c r="Z10517" t="s">
        <v>77</v>
      </c>
      <c r="AA10517" t="str">
        <f>"11237-4006"</f>
        <v>11237-4006</v>
      </c>
      <c r="AB10517" t="s">
        <v>78</v>
      </c>
      <c r="AC10517" t="s">
        <v>79</v>
      </c>
      <c r="AD10517" t="s">
        <v>75</v>
      </c>
      <c r="AE10517" t="s">
        <v>80</v>
      </c>
      <c r="AG10517" t="s">
        <v>81</v>
      </c>
    </row>
    <row r="10518" spans="1:33" x14ac:dyDescent="0.25">
      <c r="A10518" t="str">
        <f>"1366430969"</f>
        <v>1366430969</v>
      </c>
      <c r="B10518" t="str">
        <f>"01366678"</f>
        <v>01366678</v>
      </c>
      <c r="C10518" t="s">
        <v>43118</v>
      </c>
      <c r="D10518" t="s">
        <v>43119</v>
      </c>
      <c r="E10518" t="s">
        <v>43120</v>
      </c>
      <c r="G10518" t="s">
        <v>24003</v>
      </c>
      <c r="J10518" t="s">
        <v>24004</v>
      </c>
      <c r="L10518" t="s">
        <v>84</v>
      </c>
      <c r="M10518" t="s">
        <v>75</v>
      </c>
      <c r="R10518" t="s">
        <v>43121</v>
      </c>
      <c r="W10518" t="s">
        <v>43122</v>
      </c>
      <c r="X10518" t="s">
        <v>37699</v>
      </c>
      <c r="Y10518" t="s">
        <v>87</v>
      </c>
      <c r="Z10518" t="s">
        <v>77</v>
      </c>
      <c r="AA10518" t="str">
        <f>"11235-3408"</f>
        <v>11235-3408</v>
      </c>
      <c r="AB10518" t="s">
        <v>78</v>
      </c>
      <c r="AC10518" t="s">
        <v>79</v>
      </c>
      <c r="AD10518" t="s">
        <v>75</v>
      </c>
      <c r="AE10518" t="s">
        <v>80</v>
      </c>
      <c r="AG10518" t="s">
        <v>81</v>
      </c>
    </row>
    <row r="10519" spans="1:33" x14ac:dyDescent="0.25">
      <c r="A10519" t="str">
        <f>"1376516500"</f>
        <v>1376516500</v>
      </c>
      <c r="B10519" t="str">
        <f>"01713657"</f>
        <v>01713657</v>
      </c>
      <c r="C10519" t="s">
        <v>43123</v>
      </c>
      <c r="D10519" t="s">
        <v>43124</v>
      </c>
      <c r="E10519" t="s">
        <v>43125</v>
      </c>
      <c r="G10519" t="s">
        <v>24003</v>
      </c>
      <c r="J10519" t="s">
        <v>24004</v>
      </c>
      <c r="L10519" t="s">
        <v>84</v>
      </c>
      <c r="M10519" t="s">
        <v>75</v>
      </c>
      <c r="R10519" t="s">
        <v>43126</v>
      </c>
      <c r="W10519" t="s">
        <v>43125</v>
      </c>
      <c r="X10519" t="s">
        <v>1819</v>
      </c>
      <c r="Y10519" t="s">
        <v>218</v>
      </c>
      <c r="Z10519" t="s">
        <v>77</v>
      </c>
      <c r="AA10519" t="str">
        <f>"11570-1001"</f>
        <v>11570-1001</v>
      </c>
      <c r="AB10519" t="s">
        <v>78</v>
      </c>
      <c r="AC10519" t="s">
        <v>79</v>
      </c>
      <c r="AD10519" t="s">
        <v>75</v>
      </c>
      <c r="AE10519" t="s">
        <v>80</v>
      </c>
      <c r="AG10519" t="s">
        <v>81</v>
      </c>
    </row>
    <row r="10520" spans="1:33" x14ac:dyDescent="0.25">
      <c r="A10520" t="str">
        <f>"1801951280"</f>
        <v>1801951280</v>
      </c>
      <c r="B10520" t="str">
        <f>"01452551"</f>
        <v>01452551</v>
      </c>
      <c r="C10520" t="s">
        <v>43127</v>
      </c>
      <c r="D10520" t="s">
        <v>803</v>
      </c>
      <c r="E10520" t="s">
        <v>804</v>
      </c>
      <c r="G10520" t="s">
        <v>24003</v>
      </c>
      <c r="J10520" t="s">
        <v>24004</v>
      </c>
      <c r="L10520" t="s">
        <v>84</v>
      </c>
      <c r="M10520" t="s">
        <v>85</v>
      </c>
      <c r="R10520" t="s">
        <v>754</v>
      </c>
      <c r="W10520" t="s">
        <v>805</v>
      </c>
      <c r="X10520" t="s">
        <v>494</v>
      </c>
      <c r="Y10520" t="s">
        <v>171</v>
      </c>
      <c r="Z10520" t="s">
        <v>77</v>
      </c>
      <c r="AA10520" t="str">
        <f>"11418-0000"</f>
        <v>11418-0000</v>
      </c>
      <c r="AB10520" t="s">
        <v>78</v>
      </c>
      <c r="AC10520" t="s">
        <v>79</v>
      </c>
      <c r="AD10520" t="s">
        <v>75</v>
      </c>
      <c r="AE10520" t="s">
        <v>80</v>
      </c>
      <c r="AG10520" t="s">
        <v>81</v>
      </c>
    </row>
    <row r="10521" spans="1:33" x14ac:dyDescent="0.25">
      <c r="A10521" t="str">
        <f>"1124323951"</f>
        <v>1124323951</v>
      </c>
      <c r="B10521" t="str">
        <f>"03375399"</f>
        <v>03375399</v>
      </c>
      <c r="C10521" t="s">
        <v>43128</v>
      </c>
      <c r="D10521" t="s">
        <v>43129</v>
      </c>
      <c r="E10521" t="s">
        <v>43130</v>
      </c>
      <c r="G10521" t="s">
        <v>24003</v>
      </c>
      <c r="J10521" t="s">
        <v>24004</v>
      </c>
      <c r="L10521" t="s">
        <v>83</v>
      </c>
      <c r="M10521" t="s">
        <v>75</v>
      </c>
      <c r="R10521" t="s">
        <v>43131</v>
      </c>
      <c r="W10521" t="s">
        <v>43130</v>
      </c>
      <c r="X10521" t="s">
        <v>39288</v>
      </c>
      <c r="Y10521" t="s">
        <v>87</v>
      </c>
      <c r="Z10521" t="s">
        <v>77</v>
      </c>
      <c r="AA10521" t="str">
        <f>"11204-4934"</f>
        <v>11204-4934</v>
      </c>
      <c r="AB10521" t="s">
        <v>128</v>
      </c>
      <c r="AC10521" t="s">
        <v>79</v>
      </c>
      <c r="AD10521" t="s">
        <v>75</v>
      </c>
      <c r="AE10521" t="s">
        <v>80</v>
      </c>
      <c r="AG10521" t="s">
        <v>81</v>
      </c>
    </row>
    <row r="10522" spans="1:33" x14ac:dyDescent="0.25">
      <c r="A10522" t="str">
        <f>"1740581941"</f>
        <v>1740581941</v>
      </c>
      <c r="B10522" t="str">
        <f>"03687423"</f>
        <v>03687423</v>
      </c>
      <c r="C10522" t="s">
        <v>13436</v>
      </c>
      <c r="D10522" t="s">
        <v>43132</v>
      </c>
      <c r="E10522" t="s">
        <v>43133</v>
      </c>
      <c r="L10522" t="s">
        <v>105</v>
      </c>
      <c r="M10522" t="s">
        <v>75</v>
      </c>
      <c r="R10522" t="s">
        <v>43134</v>
      </c>
      <c r="W10522" t="s">
        <v>43135</v>
      </c>
      <c r="X10522" t="s">
        <v>43136</v>
      </c>
      <c r="Y10522" t="s">
        <v>165</v>
      </c>
      <c r="Z10522" t="s">
        <v>77</v>
      </c>
      <c r="AA10522" t="str">
        <f>"11004-0000"</f>
        <v>11004-0000</v>
      </c>
      <c r="AB10522" t="s">
        <v>78</v>
      </c>
      <c r="AC10522" t="s">
        <v>79</v>
      </c>
      <c r="AD10522" t="s">
        <v>75</v>
      </c>
      <c r="AE10522" t="s">
        <v>80</v>
      </c>
      <c r="AG10522" t="s">
        <v>81</v>
      </c>
    </row>
    <row r="10523" spans="1:33" x14ac:dyDescent="0.25">
      <c r="A10523" t="str">
        <f>"1912308461"</f>
        <v>1912308461</v>
      </c>
      <c r="B10523" t="str">
        <f>"04008619"</f>
        <v>04008619</v>
      </c>
      <c r="C10523" t="s">
        <v>13436</v>
      </c>
      <c r="D10523" t="s">
        <v>43137</v>
      </c>
      <c r="E10523" t="s">
        <v>43138</v>
      </c>
      <c r="G10523" t="s">
        <v>43139</v>
      </c>
      <c r="L10523" t="s">
        <v>74</v>
      </c>
      <c r="M10523" t="s">
        <v>75</v>
      </c>
      <c r="R10523" t="s">
        <v>43140</v>
      </c>
      <c r="W10523" t="s">
        <v>43141</v>
      </c>
      <c r="X10523" t="s">
        <v>5911</v>
      </c>
      <c r="Y10523" t="s">
        <v>97</v>
      </c>
      <c r="Z10523" t="s">
        <v>77</v>
      </c>
      <c r="AA10523" t="str">
        <f>"10025-1737"</f>
        <v>10025-1737</v>
      </c>
      <c r="AB10523" t="s">
        <v>125</v>
      </c>
      <c r="AC10523" t="s">
        <v>79</v>
      </c>
      <c r="AD10523" t="s">
        <v>75</v>
      </c>
      <c r="AE10523" t="s">
        <v>80</v>
      </c>
      <c r="AG10523" t="s">
        <v>81</v>
      </c>
    </row>
    <row r="10524" spans="1:33" x14ac:dyDescent="0.25">
      <c r="A10524" t="str">
        <f>"1841573516"</f>
        <v>1841573516</v>
      </c>
      <c r="B10524" t="str">
        <f>"03430462"</f>
        <v>03430462</v>
      </c>
      <c r="C10524" t="s">
        <v>13436</v>
      </c>
      <c r="D10524" t="s">
        <v>3056</v>
      </c>
      <c r="E10524" t="s">
        <v>3057</v>
      </c>
      <c r="G10524" t="s">
        <v>43142</v>
      </c>
      <c r="L10524" t="s">
        <v>143</v>
      </c>
      <c r="M10524" t="s">
        <v>85</v>
      </c>
      <c r="R10524" t="s">
        <v>3057</v>
      </c>
      <c r="W10524" t="s">
        <v>3057</v>
      </c>
      <c r="X10524" t="s">
        <v>2724</v>
      </c>
      <c r="Y10524" t="s">
        <v>131</v>
      </c>
      <c r="Z10524" t="s">
        <v>77</v>
      </c>
      <c r="AA10524" t="str">
        <f>"10452-2001"</f>
        <v>10452-2001</v>
      </c>
      <c r="AB10524" t="s">
        <v>78</v>
      </c>
      <c r="AC10524" t="s">
        <v>79</v>
      </c>
      <c r="AD10524" t="s">
        <v>75</v>
      </c>
      <c r="AE10524" t="s">
        <v>80</v>
      </c>
      <c r="AG10524" t="s">
        <v>81</v>
      </c>
    </row>
    <row r="10525" spans="1:33" x14ac:dyDescent="0.25">
      <c r="A10525" t="str">
        <f>"1720318363"</f>
        <v>1720318363</v>
      </c>
      <c r="C10525" t="s">
        <v>13436</v>
      </c>
      <c r="G10525" t="s">
        <v>43143</v>
      </c>
      <c r="K10525" t="s">
        <v>99</v>
      </c>
      <c r="L10525" t="s">
        <v>102</v>
      </c>
      <c r="M10525" t="s">
        <v>75</v>
      </c>
      <c r="R10525" t="s">
        <v>43144</v>
      </c>
      <c r="S10525" t="s">
        <v>43145</v>
      </c>
      <c r="T10525" t="s">
        <v>97</v>
      </c>
      <c r="U10525" t="s">
        <v>77</v>
      </c>
      <c r="V10525" t="str">
        <f>"10019"</f>
        <v>10019</v>
      </c>
      <c r="AC10525" t="s">
        <v>79</v>
      </c>
      <c r="AD10525" t="s">
        <v>75</v>
      </c>
      <c r="AE10525" t="s">
        <v>103</v>
      </c>
      <c r="AG10525" t="s">
        <v>81</v>
      </c>
    </row>
    <row r="10526" spans="1:33" x14ac:dyDescent="0.25">
      <c r="A10526" t="str">
        <f>"1720488836"</f>
        <v>1720488836</v>
      </c>
      <c r="C10526" t="s">
        <v>13436</v>
      </c>
      <c r="G10526" t="s">
        <v>43146</v>
      </c>
      <c r="K10526" t="s">
        <v>99</v>
      </c>
      <c r="L10526" t="s">
        <v>102</v>
      </c>
      <c r="M10526" t="s">
        <v>75</v>
      </c>
      <c r="R10526" t="s">
        <v>43147</v>
      </c>
      <c r="S10526" t="s">
        <v>43148</v>
      </c>
      <c r="T10526" t="s">
        <v>97</v>
      </c>
      <c r="U10526" t="s">
        <v>77</v>
      </c>
      <c r="V10526" t="str">
        <f>"100221801"</f>
        <v>100221801</v>
      </c>
      <c r="AC10526" t="s">
        <v>79</v>
      </c>
      <c r="AD10526" t="s">
        <v>75</v>
      </c>
      <c r="AE10526" t="s">
        <v>103</v>
      </c>
      <c r="AG10526" t="s">
        <v>81</v>
      </c>
    </row>
    <row r="10527" spans="1:33" x14ac:dyDescent="0.25">
      <c r="A10527" t="str">
        <f>"1801906383"</f>
        <v>1801906383</v>
      </c>
      <c r="C10527" t="s">
        <v>13436</v>
      </c>
      <c r="G10527" t="s">
        <v>43149</v>
      </c>
      <c r="K10527" t="s">
        <v>99</v>
      </c>
      <c r="L10527" t="s">
        <v>74</v>
      </c>
      <c r="M10527" t="s">
        <v>75</v>
      </c>
      <c r="R10527" t="s">
        <v>43150</v>
      </c>
      <c r="S10527" t="s">
        <v>11254</v>
      </c>
      <c r="T10527" t="s">
        <v>131</v>
      </c>
      <c r="U10527" t="s">
        <v>77</v>
      </c>
      <c r="V10527" t="str">
        <f>"104683904"</f>
        <v>104683904</v>
      </c>
      <c r="AC10527" t="s">
        <v>79</v>
      </c>
      <c r="AD10527" t="s">
        <v>75</v>
      </c>
      <c r="AE10527" t="s">
        <v>103</v>
      </c>
      <c r="AG10527" t="s">
        <v>81</v>
      </c>
    </row>
    <row r="10528" spans="1:33" x14ac:dyDescent="0.25">
      <c r="A10528" t="str">
        <f>"1710084538"</f>
        <v>1710084538</v>
      </c>
      <c r="B10528" t="str">
        <f>"02658464"</f>
        <v>02658464</v>
      </c>
      <c r="C10528" t="s">
        <v>13436</v>
      </c>
      <c r="D10528" t="s">
        <v>43151</v>
      </c>
      <c r="E10528" t="s">
        <v>43152</v>
      </c>
      <c r="G10528" t="s">
        <v>43153</v>
      </c>
      <c r="L10528" t="s">
        <v>83</v>
      </c>
      <c r="M10528" t="s">
        <v>75</v>
      </c>
      <c r="R10528" t="s">
        <v>43152</v>
      </c>
      <c r="W10528" t="s">
        <v>43152</v>
      </c>
      <c r="X10528" t="s">
        <v>1455</v>
      </c>
      <c r="Y10528" t="s">
        <v>91</v>
      </c>
      <c r="Z10528" t="s">
        <v>77</v>
      </c>
      <c r="AA10528" t="str">
        <f>"11373-1329"</f>
        <v>11373-1329</v>
      </c>
      <c r="AB10528" t="s">
        <v>108</v>
      </c>
      <c r="AC10528" t="s">
        <v>79</v>
      </c>
      <c r="AD10528" t="s">
        <v>75</v>
      </c>
      <c r="AE10528" t="s">
        <v>80</v>
      </c>
      <c r="AG10528" t="s">
        <v>81</v>
      </c>
    </row>
    <row r="10529" spans="1:33" x14ac:dyDescent="0.25">
      <c r="A10529" t="str">
        <f>"1730491945"</f>
        <v>1730491945</v>
      </c>
      <c r="C10529" t="s">
        <v>43154</v>
      </c>
      <c r="G10529" t="s">
        <v>43155</v>
      </c>
      <c r="H10529" t="s">
        <v>5052</v>
      </c>
      <c r="J10529" t="s">
        <v>5053</v>
      </c>
      <c r="K10529" t="s">
        <v>99</v>
      </c>
      <c r="L10529" t="s">
        <v>102</v>
      </c>
      <c r="M10529" t="s">
        <v>75</v>
      </c>
      <c r="R10529" t="s">
        <v>5054</v>
      </c>
      <c r="S10529" t="s">
        <v>5055</v>
      </c>
      <c r="T10529" t="s">
        <v>97</v>
      </c>
      <c r="U10529" t="s">
        <v>77</v>
      </c>
      <c r="V10529" t="str">
        <f>"100284615"</f>
        <v>100284615</v>
      </c>
      <c r="AC10529" t="s">
        <v>79</v>
      </c>
      <c r="AD10529" t="s">
        <v>75</v>
      </c>
      <c r="AE10529" t="s">
        <v>103</v>
      </c>
      <c r="AG10529" t="s">
        <v>81</v>
      </c>
    </row>
    <row r="10530" spans="1:33" x14ac:dyDescent="0.25">
      <c r="A10530" t="str">
        <f>"1699978452"</f>
        <v>1699978452</v>
      </c>
      <c r="B10530" t="str">
        <f>"00309504"</f>
        <v>00309504</v>
      </c>
      <c r="C10530" t="s">
        <v>43156</v>
      </c>
      <c r="D10530" t="s">
        <v>43157</v>
      </c>
      <c r="E10530" t="s">
        <v>43158</v>
      </c>
      <c r="G10530" t="s">
        <v>36824</v>
      </c>
      <c r="H10530" t="s">
        <v>43159</v>
      </c>
      <c r="J10530" t="s">
        <v>36826</v>
      </c>
      <c r="L10530" t="s">
        <v>106</v>
      </c>
      <c r="M10530" t="s">
        <v>85</v>
      </c>
      <c r="R10530" t="s">
        <v>43160</v>
      </c>
      <c r="W10530" t="s">
        <v>43158</v>
      </c>
      <c r="X10530" t="s">
        <v>1460</v>
      </c>
      <c r="Y10530" t="s">
        <v>139</v>
      </c>
      <c r="Z10530" t="s">
        <v>77</v>
      </c>
      <c r="AA10530" t="str">
        <f>"11354-1047"</f>
        <v>11354-1047</v>
      </c>
      <c r="AB10530" t="s">
        <v>107</v>
      </c>
      <c r="AC10530" t="s">
        <v>79</v>
      </c>
      <c r="AD10530" t="s">
        <v>75</v>
      </c>
      <c r="AE10530" t="s">
        <v>80</v>
      </c>
      <c r="AG10530" t="s">
        <v>81</v>
      </c>
    </row>
    <row r="10531" spans="1:33" x14ac:dyDescent="0.25">
      <c r="A10531" t="str">
        <f>"1134167919"</f>
        <v>1134167919</v>
      </c>
      <c r="B10531" t="str">
        <f>"00237696"</f>
        <v>00237696</v>
      </c>
      <c r="C10531" t="s">
        <v>43161</v>
      </c>
      <c r="D10531" t="s">
        <v>43162</v>
      </c>
      <c r="E10531" t="s">
        <v>43163</v>
      </c>
      <c r="G10531" t="s">
        <v>43161</v>
      </c>
      <c r="L10531" t="s">
        <v>84</v>
      </c>
      <c r="M10531" t="s">
        <v>85</v>
      </c>
      <c r="R10531" t="s">
        <v>43164</v>
      </c>
      <c r="W10531" t="s">
        <v>43163</v>
      </c>
      <c r="X10531" t="s">
        <v>4916</v>
      </c>
      <c r="Y10531" t="s">
        <v>171</v>
      </c>
      <c r="Z10531" t="s">
        <v>77</v>
      </c>
      <c r="AA10531" t="str">
        <f>"11432-4727"</f>
        <v>11432-4727</v>
      </c>
      <c r="AB10531" t="s">
        <v>78</v>
      </c>
      <c r="AC10531" t="s">
        <v>79</v>
      </c>
      <c r="AD10531" t="s">
        <v>75</v>
      </c>
      <c r="AE10531" t="s">
        <v>80</v>
      </c>
      <c r="AG10531" t="s">
        <v>81</v>
      </c>
    </row>
    <row r="10532" spans="1:33" x14ac:dyDescent="0.25">
      <c r="A10532" t="str">
        <f>"1134328875"</f>
        <v>1134328875</v>
      </c>
      <c r="B10532" t="str">
        <f>"03992972"</f>
        <v>03992972</v>
      </c>
      <c r="C10532" t="s">
        <v>43165</v>
      </c>
      <c r="D10532" t="s">
        <v>43166</v>
      </c>
      <c r="E10532" t="s">
        <v>43167</v>
      </c>
      <c r="G10532" t="s">
        <v>43165</v>
      </c>
      <c r="L10532" t="s">
        <v>94</v>
      </c>
      <c r="M10532" t="s">
        <v>75</v>
      </c>
      <c r="R10532" t="s">
        <v>43168</v>
      </c>
      <c r="W10532" t="s">
        <v>43167</v>
      </c>
      <c r="X10532" t="s">
        <v>2779</v>
      </c>
      <c r="Y10532" t="s">
        <v>87</v>
      </c>
      <c r="Z10532" t="s">
        <v>77</v>
      </c>
      <c r="AA10532" t="str">
        <f>"11217-1702"</f>
        <v>11217-1702</v>
      </c>
      <c r="AB10532" t="s">
        <v>78</v>
      </c>
      <c r="AC10532" t="s">
        <v>79</v>
      </c>
      <c r="AD10532" t="s">
        <v>75</v>
      </c>
      <c r="AE10532" t="s">
        <v>80</v>
      </c>
      <c r="AG10532" t="s">
        <v>81</v>
      </c>
    </row>
    <row r="10533" spans="1:33" x14ac:dyDescent="0.25">
      <c r="A10533" t="str">
        <f>"1134410590"</f>
        <v>1134410590</v>
      </c>
      <c r="B10533" t="str">
        <f>"03986183"</f>
        <v>03986183</v>
      </c>
      <c r="C10533" t="s">
        <v>43169</v>
      </c>
      <c r="D10533" t="s">
        <v>43170</v>
      </c>
      <c r="E10533" t="s">
        <v>43171</v>
      </c>
      <c r="G10533" t="s">
        <v>43169</v>
      </c>
      <c r="L10533" t="s">
        <v>83</v>
      </c>
      <c r="M10533" t="s">
        <v>75</v>
      </c>
      <c r="R10533" t="s">
        <v>43171</v>
      </c>
      <c r="W10533" t="s">
        <v>43171</v>
      </c>
      <c r="X10533" t="s">
        <v>590</v>
      </c>
      <c r="Y10533" t="s">
        <v>97</v>
      </c>
      <c r="Z10533" t="s">
        <v>77</v>
      </c>
      <c r="AA10533" t="str">
        <f>"10128-4077"</f>
        <v>10128-4077</v>
      </c>
      <c r="AB10533" t="s">
        <v>78</v>
      </c>
      <c r="AC10533" t="s">
        <v>79</v>
      </c>
      <c r="AD10533" t="s">
        <v>75</v>
      </c>
      <c r="AE10533" t="s">
        <v>80</v>
      </c>
      <c r="AG10533" t="s">
        <v>81</v>
      </c>
    </row>
    <row r="10534" spans="1:33" x14ac:dyDescent="0.25">
      <c r="A10534" t="str">
        <f>"1144267931"</f>
        <v>1144267931</v>
      </c>
      <c r="B10534" t="str">
        <f>"00817496"</f>
        <v>00817496</v>
      </c>
      <c r="C10534" t="s">
        <v>43172</v>
      </c>
      <c r="D10534" t="s">
        <v>43173</v>
      </c>
      <c r="E10534" t="s">
        <v>43174</v>
      </c>
      <c r="G10534" t="s">
        <v>43172</v>
      </c>
      <c r="L10534" t="s">
        <v>84</v>
      </c>
      <c r="M10534" t="s">
        <v>85</v>
      </c>
      <c r="R10534" t="s">
        <v>43175</v>
      </c>
      <c r="W10534" t="s">
        <v>43174</v>
      </c>
      <c r="X10534" t="s">
        <v>39167</v>
      </c>
      <c r="Y10534" t="s">
        <v>236</v>
      </c>
      <c r="Z10534" t="s">
        <v>77</v>
      </c>
      <c r="AA10534" t="str">
        <f>"11106-4134"</f>
        <v>11106-4134</v>
      </c>
      <c r="AB10534" t="s">
        <v>78</v>
      </c>
      <c r="AC10534" t="s">
        <v>79</v>
      </c>
      <c r="AD10534" t="s">
        <v>75</v>
      </c>
      <c r="AE10534" t="s">
        <v>80</v>
      </c>
      <c r="AG10534" t="s">
        <v>81</v>
      </c>
    </row>
    <row r="10535" spans="1:33" x14ac:dyDescent="0.25">
      <c r="A10535" t="str">
        <f>"1144275173"</f>
        <v>1144275173</v>
      </c>
      <c r="B10535" t="str">
        <f>"02792827"</f>
        <v>02792827</v>
      </c>
      <c r="C10535" t="s">
        <v>43176</v>
      </c>
      <c r="D10535" t="s">
        <v>43177</v>
      </c>
      <c r="E10535" t="s">
        <v>43178</v>
      </c>
      <c r="G10535" t="s">
        <v>43176</v>
      </c>
      <c r="L10535" t="s">
        <v>83</v>
      </c>
      <c r="M10535" t="s">
        <v>75</v>
      </c>
      <c r="R10535" t="s">
        <v>43179</v>
      </c>
      <c r="W10535" t="s">
        <v>43178</v>
      </c>
      <c r="X10535" t="s">
        <v>14240</v>
      </c>
      <c r="Y10535" t="s">
        <v>1935</v>
      </c>
      <c r="Z10535" t="s">
        <v>77</v>
      </c>
      <c r="AA10535" t="str">
        <f>"11779-2324"</f>
        <v>11779-2324</v>
      </c>
      <c r="AB10535" t="s">
        <v>78</v>
      </c>
      <c r="AC10535" t="s">
        <v>79</v>
      </c>
      <c r="AD10535" t="s">
        <v>75</v>
      </c>
      <c r="AE10535" t="s">
        <v>80</v>
      </c>
      <c r="AG10535" t="s">
        <v>81</v>
      </c>
    </row>
    <row r="10536" spans="1:33" x14ac:dyDescent="0.25">
      <c r="A10536" t="str">
        <f>"1144431610"</f>
        <v>1144431610</v>
      </c>
      <c r="B10536" t="str">
        <f>"02902303"</f>
        <v>02902303</v>
      </c>
      <c r="C10536" t="s">
        <v>43180</v>
      </c>
      <c r="D10536" t="s">
        <v>43181</v>
      </c>
      <c r="E10536" t="s">
        <v>43182</v>
      </c>
      <c r="G10536" t="s">
        <v>43180</v>
      </c>
      <c r="L10536" t="s">
        <v>83</v>
      </c>
      <c r="M10536" t="s">
        <v>75</v>
      </c>
      <c r="R10536" t="s">
        <v>43183</v>
      </c>
      <c r="W10536" t="s">
        <v>43182</v>
      </c>
      <c r="X10536" t="s">
        <v>162</v>
      </c>
      <c r="Y10536" t="s">
        <v>87</v>
      </c>
      <c r="Z10536" t="s">
        <v>77</v>
      </c>
      <c r="AA10536" t="str">
        <f>"11215-3609"</f>
        <v>11215-3609</v>
      </c>
      <c r="AB10536" t="s">
        <v>78</v>
      </c>
      <c r="AC10536" t="s">
        <v>79</v>
      </c>
      <c r="AD10536" t="s">
        <v>75</v>
      </c>
      <c r="AE10536" t="s">
        <v>80</v>
      </c>
      <c r="AG10536" t="s">
        <v>81</v>
      </c>
    </row>
    <row r="10537" spans="1:33" x14ac:dyDescent="0.25">
      <c r="A10537" t="str">
        <f>"1144484940"</f>
        <v>1144484940</v>
      </c>
      <c r="B10537" t="str">
        <f>"03506425"</f>
        <v>03506425</v>
      </c>
      <c r="C10537" t="s">
        <v>43184</v>
      </c>
      <c r="D10537" t="s">
        <v>43185</v>
      </c>
      <c r="E10537" t="s">
        <v>43186</v>
      </c>
      <c r="G10537" t="s">
        <v>43184</v>
      </c>
      <c r="L10537" t="s">
        <v>83</v>
      </c>
      <c r="M10537" t="s">
        <v>75</v>
      </c>
      <c r="R10537" t="s">
        <v>43187</v>
      </c>
      <c r="W10537" t="s">
        <v>43186</v>
      </c>
      <c r="X10537" t="s">
        <v>590</v>
      </c>
      <c r="Y10537" t="s">
        <v>97</v>
      </c>
      <c r="Z10537" t="s">
        <v>77</v>
      </c>
      <c r="AA10537" t="str">
        <f>"10128-4077"</f>
        <v>10128-4077</v>
      </c>
      <c r="AB10537" t="s">
        <v>78</v>
      </c>
      <c r="AC10537" t="s">
        <v>79</v>
      </c>
      <c r="AD10537" t="s">
        <v>75</v>
      </c>
      <c r="AE10537" t="s">
        <v>80</v>
      </c>
      <c r="AG10537" t="s">
        <v>81</v>
      </c>
    </row>
    <row r="10538" spans="1:33" x14ac:dyDescent="0.25">
      <c r="A10538" t="str">
        <f>"1154358646"</f>
        <v>1154358646</v>
      </c>
      <c r="B10538" t="str">
        <f>"02972796"</f>
        <v>02972796</v>
      </c>
      <c r="C10538" t="s">
        <v>43188</v>
      </c>
      <c r="D10538" t="s">
        <v>43189</v>
      </c>
      <c r="E10538" t="s">
        <v>43190</v>
      </c>
      <c r="G10538" t="s">
        <v>43188</v>
      </c>
      <c r="L10538" t="s">
        <v>143</v>
      </c>
      <c r="M10538" t="s">
        <v>75</v>
      </c>
      <c r="R10538" t="s">
        <v>43190</v>
      </c>
      <c r="W10538" t="s">
        <v>43190</v>
      </c>
      <c r="X10538" t="s">
        <v>25797</v>
      </c>
      <c r="Y10538" t="s">
        <v>97</v>
      </c>
      <c r="Z10538" t="s">
        <v>77</v>
      </c>
      <c r="AA10538" t="str">
        <f>"10025-7486"</f>
        <v>10025-7486</v>
      </c>
      <c r="AB10538" t="s">
        <v>113</v>
      </c>
      <c r="AC10538" t="s">
        <v>79</v>
      </c>
      <c r="AD10538" t="s">
        <v>75</v>
      </c>
      <c r="AE10538" t="s">
        <v>80</v>
      </c>
      <c r="AG10538" t="s">
        <v>81</v>
      </c>
    </row>
    <row r="10539" spans="1:33" x14ac:dyDescent="0.25">
      <c r="A10539" t="str">
        <f>"1154360840"</f>
        <v>1154360840</v>
      </c>
      <c r="B10539" t="str">
        <f>"01723642"</f>
        <v>01723642</v>
      </c>
      <c r="C10539" t="s">
        <v>43191</v>
      </c>
      <c r="D10539" t="s">
        <v>43192</v>
      </c>
      <c r="E10539" t="s">
        <v>43193</v>
      </c>
      <c r="G10539" t="s">
        <v>43191</v>
      </c>
      <c r="L10539" t="s">
        <v>84</v>
      </c>
      <c r="M10539" t="s">
        <v>85</v>
      </c>
      <c r="R10539" t="s">
        <v>43194</v>
      </c>
      <c r="W10539" t="s">
        <v>43193</v>
      </c>
      <c r="X10539" t="s">
        <v>40925</v>
      </c>
      <c r="Y10539" t="s">
        <v>91</v>
      </c>
      <c r="Z10539" t="s">
        <v>77</v>
      </c>
      <c r="AA10539" t="str">
        <f>"11373-4437"</f>
        <v>11373-4437</v>
      </c>
      <c r="AB10539" t="s">
        <v>78</v>
      </c>
      <c r="AC10539" t="s">
        <v>79</v>
      </c>
      <c r="AD10539" t="s">
        <v>75</v>
      </c>
      <c r="AE10539" t="s">
        <v>80</v>
      </c>
      <c r="AG10539" t="s">
        <v>81</v>
      </c>
    </row>
    <row r="10540" spans="1:33" x14ac:dyDescent="0.25">
      <c r="A10540" t="str">
        <f>"1154581999"</f>
        <v>1154581999</v>
      </c>
      <c r="B10540" t="str">
        <f>"03823301"</f>
        <v>03823301</v>
      </c>
      <c r="C10540" t="s">
        <v>43195</v>
      </c>
      <c r="D10540" t="s">
        <v>43196</v>
      </c>
      <c r="E10540" t="s">
        <v>43197</v>
      </c>
      <c r="G10540" t="s">
        <v>43195</v>
      </c>
      <c r="L10540" t="s">
        <v>83</v>
      </c>
      <c r="M10540" t="s">
        <v>75</v>
      </c>
      <c r="R10540" t="s">
        <v>43197</v>
      </c>
      <c r="W10540" t="s">
        <v>43197</v>
      </c>
      <c r="X10540" t="s">
        <v>43198</v>
      </c>
      <c r="Y10540" t="s">
        <v>2465</v>
      </c>
      <c r="Z10540" t="s">
        <v>77</v>
      </c>
      <c r="AA10540" t="str">
        <f>"11797"</f>
        <v>11797</v>
      </c>
      <c r="AB10540" t="s">
        <v>78</v>
      </c>
      <c r="AC10540" t="s">
        <v>79</v>
      </c>
      <c r="AD10540" t="s">
        <v>75</v>
      </c>
      <c r="AE10540" t="s">
        <v>80</v>
      </c>
      <c r="AG10540" t="s">
        <v>81</v>
      </c>
    </row>
    <row r="10541" spans="1:33" x14ac:dyDescent="0.25">
      <c r="A10541" t="str">
        <f>"1164681540"</f>
        <v>1164681540</v>
      </c>
      <c r="B10541" t="str">
        <f>"03051172"</f>
        <v>03051172</v>
      </c>
      <c r="C10541" t="s">
        <v>43199</v>
      </c>
      <c r="D10541" t="s">
        <v>43200</v>
      </c>
      <c r="E10541" t="s">
        <v>43201</v>
      </c>
      <c r="G10541" t="s">
        <v>43199</v>
      </c>
      <c r="L10541" t="s">
        <v>84</v>
      </c>
      <c r="M10541" t="s">
        <v>75</v>
      </c>
      <c r="R10541" t="s">
        <v>43202</v>
      </c>
      <c r="W10541" t="s">
        <v>43203</v>
      </c>
      <c r="X10541" t="s">
        <v>590</v>
      </c>
      <c r="Y10541" t="s">
        <v>97</v>
      </c>
      <c r="Z10541" t="s">
        <v>77</v>
      </c>
      <c r="AA10541" t="str">
        <f>"10128-4077"</f>
        <v>10128-4077</v>
      </c>
      <c r="AB10541" t="s">
        <v>78</v>
      </c>
      <c r="AC10541" t="s">
        <v>79</v>
      </c>
      <c r="AD10541" t="s">
        <v>75</v>
      </c>
      <c r="AE10541" t="s">
        <v>80</v>
      </c>
      <c r="AG10541" t="s">
        <v>81</v>
      </c>
    </row>
    <row r="10542" spans="1:33" x14ac:dyDescent="0.25">
      <c r="A10542" t="str">
        <f>"1174565154"</f>
        <v>1174565154</v>
      </c>
      <c r="B10542" t="str">
        <f>"01723633"</f>
        <v>01723633</v>
      </c>
      <c r="C10542" t="s">
        <v>43204</v>
      </c>
      <c r="D10542" t="s">
        <v>43205</v>
      </c>
      <c r="E10542" t="s">
        <v>43206</v>
      </c>
      <c r="G10542" t="s">
        <v>43204</v>
      </c>
      <c r="L10542" t="s">
        <v>84</v>
      </c>
      <c r="M10542" t="s">
        <v>75</v>
      </c>
      <c r="R10542" t="s">
        <v>43207</v>
      </c>
      <c r="W10542" t="s">
        <v>43206</v>
      </c>
      <c r="X10542" t="s">
        <v>4916</v>
      </c>
      <c r="Y10542" t="s">
        <v>171</v>
      </c>
      <c r="Z10542" t="s">
        <v>77</v>
      </c>
      <c r="AA10542" t="str">
        <f>"11432-4727"</f>
        <v>11432-4727</v>
      </c>
      <c r="AB10542" t="s">
        <v>78</v>
      </c>
      <c r="AC10542" t="s">
        <v>79</v>
      </c>
      <c r="AD10542" t="s">
        <v>75</v>
      </c>
      <c r="AE10542" t="s">
        <v>80</v>
      </c>
      <c r="AG10542" t="s">
        <v>81</v>
      </c>
    </row>
    <row r="10543" spans="1:33" x14ac:dyDescent="0.25">
      <c r="A10543" t="str">
        <f>"1174566889"</f>
        <v>1174566889</v>
      </c>
      <c r="C10543" t="s">
        <v>43208</v>
      </c>
      <c r="G10543" t="s">
        <v>43208</v>
      </c>
      <c r="K10543" t="s">
        <v>99</v>
      </c>
      <c r="L10543" t="s">
        <v>102</v>
      </c>
      <c r="M10543" t="s">
        <v>75</v>
      </c>
      <c r="R10543" t="s">
        <v>43209</v>
      </c>
      <c r="S10543" t="s">
        <v>43210</v>
      </c>
      <c r="T10543" t="s">
        <v>87</v>
      </c>
      <c r="U10543" t="s">
        <v>77</v>
      </c>
      <c r="V10543" t="str">
        <f>"11225"</f>
        <v>11225</v>
      </c>
      <c r="AC10543" t="s">
        <v>79</v>
      </c>
      <c r="AD10543" t="s">
        <v>75</v>
      </c>
      <c r="AE10543" t="s">
        <v>103</v>
      </c>
      <c r="AG10543" t="s">
        <v>81</v>
      </c>
    </row>
    <row r="10544" spans="1:33" x14ac:dyDescent="0.25">
      <c r="A10544" t="str">
        <f>"1174587760"</f>
        <v>1174587760</v>
      </c>
      <c r="B10544" t="str">
        <f>"02443281"</f>
        <v>02443281</v>
      </c>
      <c r="C10544" t="s">
        <v>43211</v>
      </c>
      <c r="D10544" t="s">
        <v>939</v>
      </c>
      <c r="E10544" t="s">
        <v>940</v>
      </c>
      <c r="G10544" t="s">
        <v>43211</v>
      </c>
      <c r="L10544" t="s">
        <v>83</v>
      </c>
      <c r="M10544" t="s">
        <v>75</v>
      </c>
      <c r="R10544" t="s">
        <v>938</v>
      </c>
      <c r="W10544" t="s">
        <v>940</v>
      </c>
      <c r="X10544" t="s">
        <v>590</v>
      </c>
      <c r="Y10544" t="s">
        <v>97</v>
      </c>
      <c r="Z10544" t="s">
        <v>77</v>
      </c>
      <c r="AA10544" t="str">
        <f>"10128-4077"</f>
        <v>10128-4077</v>
      </c>
      <c r="AB10544" t="s">
        <v>78</v>
      </c>
      <c r="AC10544" t="s">
        <v>79</v>
      </c>
      <c r="AD10544" t="s">
        <v>75</v>
      </c>
      <c r="AE10544" t="s">
        <v>80</v>
      </c>
      <c r="AG10544" t="s">
        <v>81</v>
      </c>
    </row>
    <row r="10545" spans="1:33" x14ac:dyDescent="0.25">
      <c r="A10545" t="str">
        <f>"1174766125"</f>
        <v>1174766125</v>
      </c>
      <c r="B10545" t="str">
        <f>"03975546"</f>
        <v>03975546</v>
      </c>
      <c r="C10545" t="s">
        <v>43212</v>
      </c>
      <c r="D10545" t="s">
        <v>43213</v>
      </c>
      <c r="E10545" t="s">
        <v>43214</v>
      </c>
      <c r="G10545" t="s">
        <v>43212</v>
      </c>
      <c r="L10545" t="s">
        <v>83</v>
      </c>
      <c r="M10545" t="s">
        <v>75</v>
      </c>
      <c r="R10545" t="s">
        <v>43215</v>
      </c>
      <c r="W10545" t="s">
        <v>43216</v>
      </c>
      <c r="X10545" t="s">
        <v>14532</v>
      </c>
      <c r="Y10545" t="s">
        <v>87</v>
      </c>
      <c r="Z10545" t="s">
        <v>77</v>
      </c>
      <c r="AA10545" t="str">
        <f>"11205-4924"</f>
        <v>11205-4924</v>
      </c>
      <c r="AB10545" t="s">
        <v>78</v>
      </c>
      <c r="AC10545" t="s">
        <v>79</v>
      </c>
      <c r="AD10545" t="s">
        <v>75</v>
      </c>
      <c r="AE10545" t="s">
        <v>80</v>
      </c>
      <c r="AG10545" t="s">
        <v>81</v>
      </c>
    </row>
    <row r="10546" spans="1:33" x14ac:dyDescent="0.25">
      <c r="A10546" t="str">
        <f>"1174788699"</f>
        <v>1174788699</v>
      </c>
      <c r="B10546" t="str">
        <f>"03876299"</f>
        <v>03876299</v>
      </c>
      <c r="C10546" t="s">
        <v>43217</v>
      </c>
      <c r="D10546" t="s">
        <v>43218</v>
      </c>
      <c r="E10546" t="s">
        <v>43219</v>
      </c>
      <c r="G10546" t="s">
        <v>43217</v>
      </c>
      <c r="L10546" t="s">
        <v>83</v>
      </c>
      <c r="M10546" t="s">
        <v>75</v>
      </c>
      <c r="R10546" t="s">
        <v>43220</v>
      </c>
      <c r="W10546" t="s">
        <v>43219</v>
      </c>
      <c r="X10546" t="s">
        <v>2779</v>
      </c>
      <c r="Y10546" t="s">
        <v>87</v>
      </c>
      <c r="Z10546" t="s">
        <v>77</v>
      </c>
      <c r="AA10546" t="str">
        <f>"11217-1702"</f>
        <v>11217-1702</v>
      </c>
      <c r="AB10546" t="s">
        <v>78</v>
      </c>
      <c r="AC10546" t="s">
        <v>79</v>
      </c>
      <c r="AD10546" t="s">
        <v>75</v>
      </c>
      <c r="AE10546" t="s">
        <v>80</v>
      </c>
      <c r="AG10546" t="s">
        <v>81</v>
      </c>
    </row>
    <row r="10547" spans="1:33" x14ac:dyDescent="0.25">
      <c r="A10547" t="str">
        <f>"1194708818"</f>
        <v>1194708818</v>
      </c>
      <c r="B10547" t="str">
        <f>"02512081"</f>
        <v>02512081</v>
      </c>
      <c r="C10547" t="s">
        <v>43221</v>
      </c>
      <c r="D10547" t="s">
        <v>43222</v>
      </c>
      <c r="E10547" t="s">
        <v>43223</v>
      </c>
      <c r="G10547" t="s">
        <v>43221</v>
      </c>
      <c r="L10547" t="s">
        <v>84</v>
      </c>
      <c r="M10547" t="s">
        <v>75</v>
      </c>
      <c r="R10547" t="s">
        <v>43224</v>
      </c>
      <c r="W10547" t="s">
        <v>43223</v>
      </c>
      <c r="X10547" t="s">
        <v>43225</v>
      </c>
      <c r="Y10547" t="s">
        <v>2635</v>
      </c>
      <c r="Z10547" t="s">
        <v>77</v>
      </c>
      <c r="AA10547" t="str">
        <f>"13856-1490"</f>
        <v>13856-1490</v>
      </c>
      <c r="AB10547" t="s">
        <v>78</v>
      </c>
      <c r="AC10547" t="s">
        <v>79</v>
      </c>
      <c r="AD10547" t="s">
        <v>75</v>
      </c>
      <c r="AE10547" t="s">
        <v>80</v>
      </c>
      <c r="AG10547" t="s">
        <v>81</v>
      </c>
    </row>
    <row r="10548" spans="1:33" x14ac:dyDescent="0.25">
      <c r="A10548" t="str">
        <f>"1194771089"</f>
        <v>1194771089</v>
      </c>
      <c r="B10548" t="str">
        <f>"00996676"</f>
        <v>00996676</v>
      </c>
      <c r="C10548" t="s">
        <v>43226</v>
      </c>
      <c r="D10548" t="s">
        <v>43227</v>
      </c>
      <c r="E10548" t="s">
        <v>43228</v>
      </c>
      <c r="G10548" t="s">
        <v>43226</v>
      </c>
      <c r="L10548" t="s">
        <v>84</v>
      </c>
      <c r="M10548" t="s">
        <v>85</v>
      </c>
      <c r="R10548" t="s">
        <v>43229</v>
      </c>
      <c r="W10548" t="s">
        <v>43228</v>
      </c>
      <c r="X10548" t="s">
        <v>43230</v>
      </c>
      <c r="Y10548" t="s">
        <v>152</v>
      </c>
      <c r="Z10548" t="s">
        <v>77</v>
      </c>
      <c r="AA10548" t="str">
        <f>"11374"</f>
        <v>11374</v>
      </c>
      <c r="AB10548" t="s">
        <v>78</v>
      </c>
      <c r="AC10548" t="s">
        <v>79</v>
      </c>
      <c r="AD10548" t="s">
        <v>75</v>
      </c>
      <c r="AE10548" t="s">
        <v>80</v>
      </c>
      <c r="AG10548" t="s">
        <v>81</v>
      </c>
    </row>
    <row r="10549" spans="1:33" x14ac:dyDescent="0.25">
      <c r="A10549" t="str">
        <f>"1205815339"</f>
        <v>1205815339</v>
      </c>
      <c r="B10549" t="str">
        <f>"01055009"</f>
        <v>01055009</v>
      </c>
      <c r="C10549" t="s">
        <v>43231</v>
      </c>
      <c r="D10549" t="s">
        <v>43232</v>
      </c>
      <c r="E10549" t="s">
        <v>43233</v>
      </c>
      <c r="G10549" t="s">
        <v>43231</v>
      </c>
      <c r="L10549" t="s">
        <v>83</v>
      </c>
      <c r="M10549" t="s">
        <v>75</v>
      </c>
      <c r="R10549" t="s">
        <v>43234</v>
      </c>
      <c r="W10549" t="s">
        <v>43233</v>
      </c>
      <c r="Y10549" t="s">
        <v>131</v>
      </c>
      <c r="Z10549" t="s">
        <v>77</v>
      </c>
      <c r="AA10549" t="str">
        <f>"10451-5589"</f>
        <v>10451-5589</v>
      </c>
      <c r="AB10549" t="s">
        <v>78</v>
      </c>
      <c r="AC10549" t="s">
        <v>79</v>
      </c>
      <c r="AD10549" t="s">
        <v>75</v>
      </c>
      <c r="AE10549" t="s">
        <v>80</v>
      </c>
      <c r="AG10549" t="s">
        <v>81</v>
      </c>
    </row>
    <row r="10550" spans="1:33" x14ac:dyDescent="0.25">
      <c r="A10550" t="str">
        <f>"1215135843"</f>
        <v>1215135843</v>
      </c>
      <c r="B10550" t="str">
        <f>"03371175"</f>
        <v>03371175</v>
      </c>
      <c r="C10550" t="s">
        <v>43235</v>
      </c>
      <c r="D10550" t="s">
        <v>43236</v>
      </c>
      <c r="E10550" t="s">
        <v>43237</v>
      </c>
      <c r="G10550" t="s">
        <v>43235</v>
      </c>
      <c r="L10550" t="s">
        <v>84</v>
      </c>
      <c r="M10550" t="s">
        <v>75</v>
      </c>
      <c r="R10550" t="s">
        <v>43237</v>
      </c>
      <c r="W10550" t="s">
        <v>43238</v>
      </c>
      <c r="X10550" t="s">
        <v>38751</v>
      </c>
      <c r="Y10550" t="s">
        <v>87</v>
      </c>
      <c r="Z10550" t="s">
        <v>77</v>
      </c>
      <c r="AA10550" t="str">
        <f>"11234-5512"</f>
        <v>11234-5512</v>
      </c>
      <c r="AB10550" t="s">
        <v>78</v>
      </c>
      <c r="AC10550" t="s">
        <v>79</v>
      </c>
      <c r="AD10550" t="s">
        <v>75</v>
      </c>
      <c r="AE10550" t="s">
        <v>80</v>
      </c>
      <c r="AG10550" t="s">
        <v>81</v>
      </c>
    </row>
    <row r="10551" spans="1:33" x14ac:dyDescent="0.25">
      <c r="A10551" t="str">
        <f>"1215937453"</f>
        <v>1215937453</v>
      </c>
      <c r="B10551" t="str">
        <f>"01723880"</f>
        <v>01723880</v>
      </c>
      <c r="C10551" t="s">
        <v>43239</v>
      </c>
      <c r="D10551" t="s">
        <v>43240</v>
      </c>
      <c r="E10551" t="s">
        <v>43241</v>
      </c>
      <c r="G10551" t="s">
        <v>43239</v>
      </c>
      <c r="L10551" t="s">
        <v>84</v>
      </c>
      <c r="M10551" t="s">
        <v>75</v>
      </c>
      <c r="R10551" t="s">
        <v>43242</v>
      </c>
      <c r="W10551" t="s">
        <v>43241</v>
      </c>
      <c r="X10551" t="s">
        <v>43243</v>
      </c>
      <c r="Y10551" t="s">
        <v>87</v>
      </c>
      <c r="Z10551" t="s">
        <v>77</v>
      </c>
      <c r="AA10551" t="str">
        <f>"11210-3749"</f>
        <v>11210-3749</v>
      </c>
      <c r="AB10551" t="s">
        <v>78</v>
      </c>
      <c r="AC10551" t="s">
        <v>79</v>
      </c>
      <c r="AD10551" t="s">
        <v>75</v>
      </c>
      <c r="AE10551" t="s">
        <v>80</v>
      </c>
      <c r="AG10551" t="s">
        <v>81</v>
      </c>
    </row>
    <row r="10552" spans="1:33" x14ac:dyDescent="0.25">
      <c r="A10552" t="str">
        <f>"1225055676"</f>
        <v>1225055676</v>
      </c>
      <c r="B10552" t="str">
        <f>"02412375"</f>
        <v>02412375</v>
      </c>
      <c r="C10552" t="s">
        <v>43244</v>
      </c>
      <c r="D10552" t="s">
        <v>43245</v>
      </c>
      <c r="E10552" t="s">
        <v>43246</v>
      </c>
      <c r="G10552" t="s">
        <v>43244</v>
      </c>
      <c r="L10552" t="s">
        <v>84</v>
      </c>
      <c r="M10552" t="s">
        <v>75</v>
      </c>
      <c r="R10552" t="s">
        <v>43247</v>
      </c>
      <c r="W10552" t="s">
        <v>43246</v>
      </c>
      <c r="X10552" t="s">
        <v>43248</v>
      </c>
      <c r="Y10552" t="s">
        <v>87</v>
      </c>
      <c r="Z10552" t="s">
        <v>77</v>
      </c>
      <c r="AA10552" t="str">
        <f>"11201-5803"</f>
        <v>11201-5803</v>
      </c>
      <c r="AB10552" t="s">
        <v>78</v>
      </c>
      <c r="AC10552" t="s">
        <v>79</v>
      </c>
      <c r="AD10552" t="s">
        <v>75</v>
      </c>
      <c r="AE10552" t="s">
        <v>80</v>
      </c>
      <c r="AG10552" t="s">
        <v>81</v>
      </c>
    </row>
    <row r="10553" spans="1:33" x14ac:dyDescent="0.25">
      <c r="A10553" t="str">
        <f>"1922004860"</f>
        <v>1922004860</v>
      </c>
      <c r="B10553" t="str">
        <f>"00708181"</f>
        <v>00708181</v>
      </c>
      <c r="C10553" t="s">
        <v>1183</v>
      </c>
      <c r="D10553" t="s">
        <v>1184</v>
      </c>
      <c r="E10553" t="s">
        <v>1185</v>
      </c>
      <c r="G10553" t="s">
        <v>850</v>
      </c>
      <c r="H10553" t="s">
        <v>851</v>
      </c>
      <c r="J10553" t="s">
        <v>852</v>
      </c>
      <c r="L10553" t="s">
        <v>106</v>
      </c>
      <c r="M10553" t="s">
        <v>85</v>
      </c>
      <c r="R10553" t="s">
        <v>1186</v>
      </c>
      <c r="W10553" t="s">
        <v>1185</v>
      </c>
      <c r="X10553" t="s">
        <v>1187</v>
      </c>
      <c r="Y10553" t="s">
        <v>87</v>
      </c>
      <c r="Z10553" t="s">
        <v>77</v>
      </c>
      <c r="AA10553" t="str">
        <f>"11235-2328"</f>
        <v>11235-2328</v>
      </c>
      <c r="AB10553" t="s">
        <v>107</v>
      </c>
      <c r="AC10553" t="s">
        <v>79</v>
      </c>
      <c r="AD10553" t="s">
        <v>75</v>
      </c>
      <c r="AE10553" t="s">
        <v>80</v>
      </c>
      <c r="AG10553" t="s">
        <v>81</v>
      </c>
    </row>
    <row r="10554" spans="1:33" x14ac:dyDescent="0.25">
      <c r="A10554" t="str">
        <f>"1720019144"</f>
        <v>1720019144</v>
      </c>
      <c r="B10554" t="str">
        <f>"02407638"</f>
        <v>02407638</v>
      </c>
      <c r="C10554" t="s">
        <v>43249</v>
      </c>
      <c r="D10554" t="s">
        <v>1048</v>
      </c>
      <c r="E10554" t="s">
        <v>1049</v>
      </c>
      <c r="G10554" t="s">
        <v>850</v>
      </c>
      <c r="H10554" t="s">
        <v>851</v>
      </c>
      <c r="J10554" t="s">
        <v>852</v>
      </c>
      <c r="L10554" t="s">
        <v>37</v>
      </c>
      <c r="M10554" t="s">
        <v>85</v>
      </c>
      <c r="R10554" t="s">
        <v>1050</v>
      </c>
      <c r="W10554" t="s">
        <v>1049</v>
      </c>
      <c r="X10554" t="s">
        <v>1051</v>
      </c>
      <c r="Y10554" t="s">
        <v>97</v>
      </c>
      <c r="Z10554" t="s">
        <v>77</v>
      </c>
      <c r="AA10554" t="str">
        <f>"10001-1629"</f>
        <v>10001-1629</v>
      </c>
      <c r="AB10554" t="s">
        <v>98</v>
      </c>
      <c r="AC10554" t="s">
        <v>79</v>
      </c>
      <c r="AD10554" t="s">
        <v>75</v>
      </c>
      <c r="AE10554" t="s">
        <v>80</v>
      </c>
      <c r="AG10554" t="s">
        <v>81</v>
      </c>
    </row>
    <row r="10555" spans="1:33" x14ac:dyDescent="0.25">
      <c r="A10555" t="str">
        <f>"1710149984"</f>
        <v>1710149984</v>
      </c>
      <c r="B10555" t="str">
        <f>"03001521"</f>
        <v>03001521</v>
      </c>
      <c r="C10555" t="s">
        <v>43250</v>
      </c>
      <c r="D10555" t="s">
        <v>1201</v>
      </c>
      <c r="E10555" t="s">
        <v>1202</v>
      </c>
      <c r="G10555" t="s">
        <v>850</v>
      </c>
      <c r="H10555" t="s">
        <v>851</v>
      </c>
      <c r="J10555" t="s">
        <v>852</v>
      </c>
      <c r="L10555" t="s">
        <v>37</v>
      </c>
      <c r="M10555" t="s">
        <v>85</v>
      </c>
      <c r="R10555" t="s">
        <v>1203</v>
      </c>
      <c r="W10555" t="s">
        <v>1204</v>
      </c>
      <c r="X10555" t="s">
        <v>1205</v>
      </c>
      <c r="Y10555" t="s">
        <v>87</v>
      </c>
      <c r="Z10555" t="s">
        <v>77</v>
      </c>
      <c r="AA10555" t="str">
        <f>"11220-4731"</f>
        <v>11220-4731</v>
      </c>
      <c r="AB10555" t="s">
        <v>107</v>
      </c>
      <c r="AC10555" t="s">
        <v>79</v>
      </c>
      <c r="AD10555" t="s">
        <v>75</v>
      </c>
      <c r="AE10555" t="s">
        <v>80</v>
      </c>
      <c r="AG10555" t="s">
        <v>81</v>
      </c>
    </row>
    <row r="10556" spans="1:33" x14ac:dyDescent="0.25">
      <c r="A10556" t="str">
        <f>"1699020560"</f>
        <v>1699020560</v>
      </c>
      <c r="B10556" t="str">
        <f>"03873434"</f>
        <v>03873434</v>
      </c>
      <c r="C10556" t="s">
        <v>13436</v>
      </c>
      <c r="D10556" t="s">
        <v>43251</v>
      </c>
      <c r="E10556" t="s">
        <v>43252</v>
      </c>
      <c r="G10556" t="s">
        <v>43253</v>
      </c>
      <c r="L10556" t="s">
        <v>74</v>
      </c>
      <c r="M10556" t="s">
        <v>75</v>
      </c>
      <c r="R10556" t="s">
        <v>43254</v>
      </c>
      <c r="W10556" t="s">
        <v>43252</v>
      </c>
      <c r="X10556" t="s">
        <v>2926</v>
      </c>
      <c r="Y10556" t="s">
        <v>97</v>
      </c>
      <c r="Z10556" t="s">
        <v>77</v>
      </c>
      <c r="AA10556" t="str">
        <f>"10029-6503"</f>
        <v>10029-6503</v>
      </c>
      <c r="AB10556" t="s">
        <v>78</v>
      </c>
      <c r="AC10556" t="s">
        <v>79</v>
      </c>
      <c r="AD10556" t="s">
        <v>75</v>
      </c>
      <c r="AE10556" t="s">
        <v>80</v>
      </c>
      <c r="AG10556" t="s">
        <v>81</v>
      </c>
    </row>
    <row r="10557" spans="1:33" x14ac:dyDescent="0.25">
      <c r="B10557" t="str">
        <f>"02246766"</f>
        <v>02246766</v>
      </c>
      <c r="C10557" t="s">
        <v>39601</v>
      </c>
      <c r="D10557" t="s">
        <v>43255</v>
      </c>
      <c r="E10557" t="s">
        <v>43256</v>
      </c>
      <c r="F10557">
        <v>135675643</v>
      </c>
      <c r="G10557" t="s">
        <v>39602</v>
      </c>
      <c r="H10557" t="s">
        <v>39603</v>
      </c>
      <c r="J10557" t="s">
        <v>39604</v>
      </c>
      <c r="L10557" t="s">
        <v>37</v>
      </c>
      <c r="M10557" t="s">
        <v>75</v>
      </c>
      <c r="W10557" t="s">
        <v>43256</v>
      </c>
      <c r="X10557" t="s">
        <v>110</v>
      </c>
      <c r="Y10557" t="s">
        <v>97</v>
      </c>
      <c r="Z10557" t="s">
        <v>77</v>
      </c>
      <c r="AA10557" t="str">
        <f>"10003-4602"</f>
        <v>10003-4602</v>
      </c>
      <c r="AB10557" t="s">
        <v>98</v>
      </c>
      <c r="AC10557" t="s">
        <v>79</v>
      </c>
      <c r="AD10557" t="s">
        <v>75</v>
      </c>
      <c r="AE10557" t="s">
        <v>80</v>
      </c>
      <c r="AG10557" t="s">
        <v>81</v>
      </c>
    </row>
    <row r="10558" spans="1:33" x14ac:dyDescent="0.25">
      <c r="A10558" t="str">
        <f>"1649222605"</f>
        <v>1649222605</v>
      </c>
      <c r="B10558" t="str">
        <f>"02577677"</f>
        <v>02577677</v>
      </c>
      <c r="C10558" t="s">
        <v>13436</v>
      </c>
      <c r="D10558" t="s">
        <v>43257</v>
      </c>
      <c r="E10558" t="s">
        <v>43258</v>
      </c>
      <c r="G10558" t="s">
        <v>43259</v>
      </c>
      <c r="L10558" t="s">
        <v>83</v>
      </c>
      <c r="M10558" t="s">
        <v>85</v>
      </c>
      <c r="R10558" t="s">
        <v>43260</v>
      </c>
      <c r="W10558" t="s">
        <v>43258</v>
      </c>
      <c r="X10558" t="s">
        <v>1236</v>
      </c>
      <c r="Y10558" t="s">
        <v>97</v>
      </c>
      <c r="Z10558" t="s">
        <v>77</v>
      </c>
      <c r="AA10558" t="str">
        <f>"10029-6501"</f>
        <v>10029-6501</v>
      </c>
      <c r="AB10558" t="s">
        <v>78</v>
      </c>
      <c r="AC10558" t="s">
        <v>79</v>
      </c>
      <c r="AD10558" t="s">
        <v>75</v>
      </c>
      <c r="AE10558" t="s">
        <v>80</v>
      </c>
      <c r="AG10558" t="s">
        <v>81</v>
      </c>
    </row>
    <row r="10559" spans="1:33" x14ac:dyDescent="0.25">
      <c r="A10559" t="str">
        <f>"1649230038"</f>
        <v>1649230038</v>
      </c>
      <c r="B10559" t="str">
        <f>"01850022"</f>
        <v>01850022</v>
      </c>
      <c r="C10559" t="s">
        <v>13436</v>
      </c>
      <c r="D10559" t="s">
        <v>43261</v>
      </c>
      <c r="E10559" t="s">
        <v>43262</v>
      </c>
      <c r="G10559" t="s">
        <v>43263</v>
      </c>
      <c r="L10559" t="s">
        <v>84</v>
      </c>
      <c r="M10559" t="s">
        <v>85</v>
      </c>
      <c r="R10559" t="s">
        <v>43264</v>
      </c>
      <c r="W10559" t="s">
        <v>43265</v>
      </c>
      <c r="X10559" t="s">
        <v>43266</v>
      </c>
      <c r="Y10559" t="s">
        <v>43267</v>
      </c>
      <c r="Z10559" t="s">
        <v>77</v>
      </c>
      <c r="AA10559" t="str">
        <f>"11518-1336"</f>
        <v>11518-1336</v>
      </c>
      <c r="AB10559" t="s">
        <v>78</v>
      </c>
      <c r="AC10559" t="s">
        <v>79</v>
      </c>
      <c r="AD10559" t="s">
        <v>75</v>
      </c>
      <c r="AE10559" t="s">
        <v>80</v>
      </c>
      <c r="AG10559" t="s">
        <v>81</v>
      </c>
    </row>
    <row r="10560" spans="1:33" x14ac:dyDescent="0.25">
      <c r="A10560" t="str">
        <f>"1649241688"</f>
        <v>1649241688</v>
      </c>
      <c r="B10560" t="str">
        <f>"03520707"</f>
        <v>03520707</v>
      </c>
      <c r="C10560" t="s">
        <v>13436</v>
      </c>
      <c r="D10560" t="s">
        <v>43268</v>
      </c>
      <c r="E10560" t="s">
        <v>43269</v>
      </c>
      <c r="G10560" t="s">
        <v>43270</v>
      </c>
      <c r="L10560" t="s">
        <v>74</v>
      </c>
      <c r="M10560" t="s">
        <v>85</v>
      </c>
      <c r="R10560" t="s">
        <v>4602</v>
      </c>
      <c r="W10560" t="s">
        <v>43269</v>
      </c>
      <c r="X10560" t="s">
        <v>329</v>
      </c>
      <c r="Y10560" t="s">
        <v>97</v>
      </c>
      <c r="Z10560" t="s">
        <v>77</v>
      </c>
      <c r="AA10560" t="str">
        <f>"10029-6500"</f>
        <v>10029-6500</v>
      </c>
      <c r="AB10560" t="s">
        <v>78</v>
      </c>
      <c r="AC10560" t="s">
        <v>79</v>
      </c>
      <c r="AD10560" t="s">
        <v>75</v>
      </c>
      <c r="AE10560" t="s">
        <v>80</v>
      </c>
      <c r="AG10560" t="s">
        <v>81</v>
      </c>
    </row>
    <row r="10561" spans="1:33" x14ac:dyDescent="0.25">
      <c r="A10561" t="str">
        <f>"1225202708"</f>
        <v>1225202708</v>
      </c>
      <c r="B10561" t="str">
        <f>"01305146"</f>
        <v>01305146</v>
      </c>
      <c r="C10561" t="s">
        <v>41592</v>
      </c>
      <c r="D10561" t="s">
        <v>2875</v>
      </c>
      <c r="E10561" t="s">
        <v>2876</v>
      </c>
      <c r="G10561" t="s">
        <v>43271</v>
      </c>
      <c r="H10561" t="s">
        <v>43272</v>
      </c>
      <c r="J10561" t="s">
        <v>43273</v>
      </c>
      <c r="L10561" t="s">
        <v>10</v>
      </c>
      <c r="M10561" t="s">
        <v>85</v>
      </c>
      <c r="R10561" t="s">
        <v>2873</v>
      </c>
      <c r="W10561" t="s">
        <v>2876</v>
      </c>
      <c r="X10561" t="s">
        <v>2877</v>
      </c>
      <c r="Y10561" t="s">
        <v>97</v>
      </c>
      <c r="Z10561" t="s">
        <v>77</v>
      </c>
      <c r="AA10561" t="str">
        <f>"10026-3331"</f>
        <v>10026-3331</v>
      </c>
      <c r="AB10561" t="s">
        <v>98</v>
      </c>
      <c r="AC10561" t="s">
        <v>79</v>
      </c>
      <c r="AD10561" t="s">
        <v>75</v>
      </c>
      <c r="AE10561" t="s">
        <v>80</v>
      </c>
      <c r="AG10561" t="s">
        <v>81</v>
      </c>
    </row>
    <row r="10562" spans="1:33" x14ac:dyDescent="0.25">
      <c r="C10562" t="s">
        <v>3108</v>
      </c>
      <c r="G10562" t="s">
        <v>43274</v>
      </c>
      <c r="H10562" t="s">
        <v>6463</v>
      </c>
      <c r="I10562">
        <v>1376</v>
      </c>
      <c r="J10562" t="s">
        <v>43275</v>
      </c>
      <c r="K10562" t="s">
        <v>99</v>
      </c>
      <c r="L10562" t="s">
        <v>100</v>
      </c>
      <c r="M10562" t="s">
        <v>75</v>
      </c>
      <c r="N10562" t="s">
        <v>43276</v>
      </c>
      <c r="O10562" t="s">
        <v>167</v>
      </c>
      <c r="P10562" t="s">
        <v>77</v>
      </c>
      <c r="Q10562" t="str">
        <f>"10029"</f>
        <v>10029</v>
      </c>
      <c r="AC10562" t="s">
        <v>79</v>
      </c>
      <c r="AD10562" t="s">
        <v>75</v>
      </c>
      <c r="AE10562" t="s">
        <v>101</v>
      </c>
      <c r="AG10562" t="s">
        <v>81</v>
      </c>
    </row>
    <row r="10563" spans="1:33" x14ac:dyDescent="0.25">
      <c r="C10563" t="s">
        <v>43277</v>
      </c>
      <c r="K10563" t="s">
        <v>99</v>
      </c>
      <c r="L10563" t="s">
        <v>100</v>
      </c>
      <c r="M10563" t="s">
        <v>75</v>
      </c>
      <c r="N10563" t="s">
        <v>43278</v>
      </c>
      <c r="O10563" t="s">
        <v>431</v>
      </c>
      <c r="P10563" t="s">
        <v>77</v>
      </c>
      <c r="Q10563" t="str">
        <f>"11201?"</f>
        <v>11201?</v>
      </c>
      <c r="AC10563" t="s">
        <v>79</v>
      </c>
      <c r="AD10563" t="s">
        <v>75</v>
      </c>
      <c r="AE10563" t="s">
        <v>101</v>
      </c>
      <c r="AG10563" t="s">
        <v>81</v>
      </c>
    </row>
    <row r="10564" spans="1:33" x14ac:dyDescent="0.25">
      <c r="C10564" t="s">
        <v>43279</v>
      </c>
      <c r="K10564" t="s">
        <v>99</v>
      </c>
      <c r="L10564" t="s">
        <v>100</v>
      </c>
      <c r="M10564" t="s">
        <v>75</v>
      </c>
      <c r="N10564" t="s">
        <v>43280</v>
      </c>
      <c r="O10564" t="s">
        <v>431</v>
      </c>
      <c r="P10564" t="s">
        <v>77</v>
      </c>
      <c r="Q10564" t="str">
        <f>"11226"</f>
        <v>11226</v>
      </c>
      <c r="AC10564" t="s">
        <v>79</v>
      </c>
      <c r="AD10564" t="s">
        <v>75</v>
      </c>
      <c r="AE10564" t="s">
        <v>101</v>
      </c>
      <c r="AG10564" t="s">
        <v>81</v>
      </c>
    </row>
    <row r="10565" spans="1:33" x14ac:dyDescent="0.25">
      <c r="C10565" t="s">
        <v>43281</v>
      </c>
      <c r="G10565" t="s">
        <v>43282</v>
      </c>
      <c r="H10565" t="s">
        <v>8058</v>
      </c>
      <c r="J10565" t="s">
        <v>8059</v>
      </c>
      <c r="K10565" t="s">
        <v>99</v>
      </c>
      <c r="L10565" t="s">
        <v>100</v>
      </c>
      <c r="M10565" t="s">
        <v>75</v>
      </c>
      <c r="N10565" t="s">
        <v>43283</v>
      </c>
      <c r="O10565" t="s">
        <v>167</v>
      </c>
      <c r="P10565" t="s">
        <v>77</v>
      </c>
      <c r="Q10565" t="str">
        <f>"10029"</f>
        <v>10029</v>
      </c>
      <c r="AC10565" t="s">
        <v>79</v>
      </c>
      <c r="AD10565" t="s">
        <v>75</v>
      </c>
      <c r="AE10565" t="s">
        <v>101</v>
      </c>
      <c r="AG10565" t="s">
        <v>81</v>
      </c>
    </row>
    <row r="10566" spans="1:33" x14ac:dyDescent="0.25">
      <c r="C10566" t="s">
        <v>43284</v>
      </c>
      <c r="G10566" t="s">
        <v>43285</v>
      </c>
      <c r="H10566" t="s">
        <v>43286</v>
      </c>
      <c r="J10566" t="s">
        <v>43287</v>
      </c>
      <c r="K10566" t="s">
        <v>99</v>
      </c>
      <c r="L10566" t="s">
        <v>100</v>
      </c>
      <c r="M10566" t="s">
        <v>75</v>
      </c>
      <c r="N10566" t="s">
        <v>43288</v>
      </c>
      <c r="O10566" t="s">
        <v>167</v>
      </c>
      <c r="P10566" t="s">
        <v>77</v>
      </c>
      <c r="Q10566" t="str">
        <f>"10002"</f>
        <v>10002</v>
      </c>
      <c r="AC10566" t="s">
        <v>79</v>
      </c>
      <c r="AD10566" t="s">
        <v>75</v>
      </c>
      <c r="AE10566" t="s">
        <v>101</v>
      </c>
      <c r="AG10566" t="s">
        <v>81</v>
      </c>
    </row>
    <row r="10567" spans="1:33" x14ac:dyDescent="0.25">
      <c r="C10567" t="s">
        <v>41507</v>
      </c>
      <c r="G10567" t="s">
        <v>41510</v>
      </c>
      <c r="H10567" t="s">
        <v>41511</v>
      </c>
      <c r="J10567" t="s">
        <v>41512</v>
      </c>
      <c r="K10567" t="s">
        <v>99</v>
      </c>
      <c r="L10567" t="s">
        <v>100</v>
      </c>
      <c r="M10567" t="s">
        <v>75</v>
      </c>
      <c r="N10567" t="s">
        <v>43289</v>
      </c>
      <c r="O10567" t="s">
        <v>167</v>
      </c>
      <c r="P10567" t="s">
        <v>77</v>
      </c>
      <c r="Q10567" t="str">
        <f>"10031"</f>
        <v>10031</v>
      </c>
      <c r="AC10567" t="s">
        <v>79</v>
      </c>
      <c r="AD10567" t="s">
        <v>75</v>
      </c>
      <c r="AE10567" t="s">
        <v>101</v>
      </c>
      <c r="AG10567" t="s">
        <v>81</v>
      </c>
    </row>
    <row r="10568" spans="1:33" x14ac:dyDescent="0.25">
      <c r="C10568" t="s">
        <v>3521</v>
      </c>
      <c r="G10568" t="s">
        <v>3522</v>
      </c>
      <c r="H10568" t="s">
        <v>460</v>
      </c>
      <c r="I10568">
        <v>1912</v>
      </c>
      <c r="J10568" t="s">
        <v>3523</v>
      </c>
      <c r="K10568" t="s">
        <v>99</v>
      </c>
      <c r="L10568" t="s">
        <v>100</v>
      </c>
      <c r="M10568" t="s">
        <v>75</v>
      </c>
      <c r="N10568" t="s">
        <v>43290</v>
      </c>
      <c r="O10568" t="s">
        <v>167</v>
      </c>
      <c r="P10568" t="s">
        <v>77</v>
      </c>
      <c r="Q10568" t="str">
        <f>"10001"</f>
        <v>10001</v>
      </c>
      <c r="AC10568" t="s">
        <v>79</v>
      </c>
      <c r="AD10568" t="s">
        <v>75</v>
      </c>
      <c r="AE10568" t="s">
        <v>101</v>
      </c>
      <c r="AG10568" t="s">
        <v>81</v>
      </c>
    </row>
    <row r="10569" spans="1:33" x14ac:dyDescent="0.25">
      <c r="C10569" t="s">
        <v>27836</v>
      </c>
      <c r="G10569" t="s">
        <v>27839</v>
      </c>
      <c r="H10569" t="s">
        <v>27840</v>
      </c>
      <c r="I10569">
        <v>1154</v>
      </c>
      <c r="J10569" t="s">
        <v>27841</v>
      </c>
      <c r="K10569" t="s">
        <v>99</v>
      </c>
      <c r="L10569" t="s">
        <v>100</v>
      </c>
      <c r="M10569" t="s">
        <v>75</v>
      </c>
      <c r="N10569" t="s">
        <v>43291</v>
      </c>
      <c r="O10569" t="s">
        <v>431</v>
      </c>
      <c r="P10569" t="s">
        <v>77</v>
      </c>
      <c r="Q10569" t="str">
        <f>"11237"</f>
        <v>11237</v>
      </c>
      <c r="AC10569" t="s">
        <v>79</v>
      </c>
      <c r="AD10569" t="s">
        <v>75</v>
      </c>
      <c r="AE10569" t="s">
        <v>101</v>
      </c>
      <c r="AG10569" t="s">
        <v>81</v>
      </c>
    </row>
    <row r="10570" spans="1:33" x14ac:dyDescent="0.25">
      <c r="C10570" t="s">
        <v>43292</v>
      </c>
      <c r="K10570" t="s">
        <v>99</v>
      </c>
      <c r="L10570" t="s">
        <v>100</v>
      </c>
      <c r="M10570" t="s">
        <v>75</v>
      </c>
      <c r="N10570" t="s">
        <v>43293</v>
      </c>
      <c r="O10570" t="s">
        <v>167</v>
      </c>
      <c r="P10570" t="s">
        <v>77</v>
      </c>
      <c r="Q10570" t="str">
        <f>"10001"</f>
        <v>10001</v>
      </c>
      <c r="AC10570" t="s">
        <v>79</v>
      </c>
      <c r="AD10570" t="s">
        <v>75</v>
      </c>
      <c r="AE10570" t="s">
        <v>101</v>
      </c>
      <c r="AG10570" t="s">
        <v>81</v>
      </c>
    </row>
    <row r="10571" spans="1:33" x14ac:dyDescent="0.25">
      <c r="C10571" t="s">
        <v>43294</v>
      </c>
      <c r="K10571" t="s">
        <v>99</v>
      </c>
      <c r="L10571" t="s">
        <v>100</v>
      </c>
      <c r="M10571" t="s">
        <v>75</v>
      </c>
      <c r="AC10571" t="s">
        <v>79</v>
      </c>
      <c r="AD10571" t="s">
        <v>75</v>
      </c>
      <c r="AE10571" t="s">
        <v>101</v>
      </c>
      <c r="AG10571" t="s">
        <v>81</v>
      </c>
    </row>
    <row r="10572" spans="1:33" x14ac:dyDescent="0.25">
      <c r="A10572" t="str">
        <f>"1003063280"</f>
        <v>1003063280</v>
      </c>
      <c r="C10572" t="s">
        <v>43295</v>
      </c>
      <c r="K10572" t="s">
        <v>99</v>
      </c>
      <c r="L10572" t="s">
        <v>102</v>
      </c>
      <c r="M10572" t="s">
        <v>75</v>
      </c>
      <c r="R10572" t="s">
        <v>43296</v>
      </c>
      <c r="S10572" t="s">
        <v>329</v>
      </c>
      <c r="T10572" t="s">
        <v>97</v>
      </c>
      <c r="U10572" t="s">
        <v>77</v>
      </c>
      <c r="V10572" t="str">
        <f>"100296500"</f>
        <v>100296500</v>
      </c>
      <c r="AC10572" t="s">
        <v>79</v>
      </c>
      <c r="AD10572" t="s">
        <v>75</v>
      </c>
      <c r="AE10572" t="s">
        <v>103</v>
      </c>
      <c r="AG10572" t="s">
        <v>81</v>
      </c>
    </row>
    <row r="10573" spans="1:33" x14ac:dyDescent="0.25">
      <c r="A10573" t="str">
        <f>"1013152453"</f>
        <v>1013152453</v>
      </c>
      <c r="C10573" t="s">
        <v>43297</v>
      </c>
      <c r="K10573" t="s">
        <v>99</v>
      </c>
      <c r="L10573" t="s">
        <v>102</v>
      </c>
      <c r="M10573" t="s">
        <v>75</v>
      </c>
      <c r="R10573" t="s">
        <v>36958</v>
      </c>
      <c r="S10573" t="s">
        <v>43298</v>
      </c>
      <c r="T10573" t="s">
        <v>97</v>
      </c>
      <c r="U10573" t="s">
        <v>77</v>
      </c>
      <c r="V10573" t="str">
        <f>"100296500"</f>
        <v>100296500</v>
      </c>
      <c r="AC10573" t="s">
        <v>79</v>
      </c>
      <c r="AD10573" t="s">
        <v>75</v>
      </c>
      <c r="AE10573" t="s">
        <v>103</v>
      </c>
      <c r="AG10573" t="s">
        <v>81</v>
      </c>
    </row>
    <row r="10574" spans="1:33" x14ac:dyDescent="0.25">
      <c r="A10574" t="str">
        <f>"1013250174"</f>
        <v>1013250174</v>
      </c>
      <c r="C10574" t="s">
        <v>43299</v>
      </c>
      <c r="K10574" t="s">
        <v>99</v>
      </c>
      <c r="L10574" t="s">
        <v>102</v>
      </c>
      <c r="M10574" t="s">
        <v>75</v>
      </c>
      <c r="R10574" t="s">
        <v>1290</v>
      </c>
      <c r="S10574" t="s">
        <v>43300</v>
      </c>
      <c r="T10574" t="s">
        <v>97</v>
      </c>
      <c r="U10574" t="s">
        <v>77</v>
      </c>
      <c r="V10574" t="str">
        <f>"100296508"</f>
        <v>100296508</v>
      </c>
      <c r="AC10574" t="s">
        <v>79</v>
      </c>
      <c r="AD10574" t="s">
        <v>75</v>
      </c>
      <c r="AE10574" t="s">
        <v>103</v>
      </c>
      <c r="AG10574" t="s">
        <v>81</v>
      </c>
    </row>
    <row r="10575" spans="1:33" x14ac:dyDescent="0.25">
      <c r="A10575" t="str">
        <f>"1033186093"</f>
        <v>1033186093</v>
      </c>
      <c r="B10575" t="str">
        <f>"00243509"</f>
        <v>00243509</v>
      </c>
      <c r="C10575" t="s">
        <v>43299</v>
      </c>
      <c r="D10575" t="s">
        <v>1291</v>
      </c>
      <c r="E10575" t="s">
        <v>1290</v>
      </c>
      <c r="L10575" t="s">
        <v>148</v>
      </c>
      <c r="M10575" t="s">
        <v>85</v>
      </c>
      <c r="R10575" t="s">
        <v>1290</v>
      </c>
      <c r="W10575" t="s">
        <v>1290</v>
      </c>
      <c r="X10575" t="s">
        <v>329</v>
      </c>
      <c r="Y10575" t="s">
        <v>97</v>
      </c>
      <c r="Z10575" t="s">
        <v>77</v>
      </c>
      <c r="AA10575" t="str">
        <f>"10029-6500"</f>
        <v>10029-6500</v>
      </c>
      <c r="AB10575" t="s">
        <v>96</v>
      </c>
      <c r="AC10575" t="s">
        <v>79</v>
      </c>
      <c r="AD10575" t="s">
        <v>75</v>
      </c>
      <c r="AE10575" t="s">
        <v>80</v>
      </c>
      <c r="AG10575" t="s">
        <v>81</v>
      </c>
    </row>
    <row r="10576" spans="1:33" x14ac:dyDescent="0.25">
      <c r="A10576" t="str">
        <f>"1033206362"</f>
        <v>1033206362</v>
      </c>
      <c r="B10576" t="str">
        <f>"02998561"</f>
        <v>02998561</v>
      </c>
      <c r="C10576" t="s">
        <v>43299</v>
      </c>
      <c r="D10576" t="s">
        <v>1291</v>
      </c>
      <c r="E10576" t="s">
        <v>1290</v>
      </c>
      <c r="L10576" t="s">
        <v>148</v>
      </c>
      <c r="M10576" t="s">
        <v>85</v>
      </c>
      <c r="R10576" t="s">
        <v>1290</v>
      </c>
      <c r="W10576" t="s">
        <v>1290</v>
      </c>
      <c r="X10576" t="s">
        <v>329</v>
      </c>
      <c r="Y10576" t="s">
        <v>97</v>
      </c>
      <c r="Z10576" t="s">
        <v>77</v>
      </c>
      <c r="AA10576" t="str">
        <f>"10029-6500"</f>
        <v>10029-6500</v>
      </c>
      <c r="AB10576" t="s">
        <v>96</v>
      </c>
      <c r="AC10576" t="s">
        <v>79</v>
      </c>
      <c r="AD10576" t="s">
        <v>75</v>
      </c>
      <c r="AE10576" t="s">
        <v>80</v>
      </c>
      <c r="AG10576" t="s">
        <v>81</v>
      </c>
    </row>
    <row r="10577" spans="1:33" x14ac:dyDescent="0.25">
      <c r="A10577" t="str">
        <f>"1033211446"</f>
        <v>1033211446</v>
      </c>
      <c r="C10577" t="s">
        <v>43301</v>
      </c>
      <c r="K10577" t="s">
        <v>99</v>
      </c>
      <c r="L10577" t="s">
        <v>102</v>
      </c>
      <c r="M10577" t="s">
        <v>75</v>
      </c>
      <c r="R10577" t="s">
        <v>43302</v>
      </c>
      <c r="S10577" t="s">
        <v>11379</v>
      </c>
      <c r="T10577" t="s">
        <v>97</v>
      </c>
      <c r="U10577" t="s">
        <v>77</v>
      </c>
      <c r="V10577" t="str">
        <f>"100296500"</f>
        <v>100296500</v>
      </c>
      <c r="AC10577" t="s">
        <v>79</v>
      </c>
      <c r="AD10577" t="s">
        <v>75</v>
      </c>
      <c r="AE10577" t="s">
        <v>103</v>
      </c>
      <c r="AG10577" t="s">
        <v>81</v>
      </c>
    </row>
    <row r="10578" spans="1:33" x14ac:dyDescent="0.25">
      <c r="A10578" t="str">
        <f>"1033225982"</f>
        <v>1033225982</v>
      </c>
      <c r="C10578" t="s">
        <v>43301</v>
      </c>
      <c r="K10578" t="s">
        <v>99</v>
      </c>
      <c r="L10578" t="s">
        <v>102</v>
      </c>
      <c r="M10578" t="s">
        <v>75</v>
      </c>
      <c r="R10578" t="s">
        <v>43302</v>
      </c>
      <c r="S10578" t="s">
        <v>43303</v>
      </c>
      <c r="T10578" t="s">
        <v>97</v>
      </c>
      <c r="U10578" t="s">
        <v>77</v>
      </c>
      <c r="V10578" t="str">
        <f>"100296500"</f>
        <v>100296500</v>
      </c>
      <c r="AC10578" t="s">
        <v>79</v>
      </c>
      <c r="AD10578" t="s">
        <v>75</v>
      </c>
      <c r="AE10578" t="s">
        <v>103</v>
      </c>
      <c r="AG10578" t="s">
        <v>81</v>
      </c>
    </row>
    <row r="10579" spans="1:33" x14ac:dyDescent="0.25">
      <c r="A10579" t="str">
        <f>"1043551708"</f>
        <v>1043551708</v>
      </c>
      <c r="C10579" t="s">
        <v>43304</v>
      </c>
      <c r="K10579" t="s">
        <v>99</v>
      </c>
      <c r="L10579" t="s">
        <v>102</v>
      </c>
      <c r="M10579" t="s">
        <v>75</v>
      </c>
      <c r="R10579" t="s">
        <v>43305</v>
      </c>
      <c r="S10579" t="s">
        <v>176</v>
      </c>
      <c r="T10579" t="s">
        <v>171</v>
      </c>
      <c r="U10579" t="s">
        <v>77</v>
      </c>
      <c r="V10579" t="str">
        <f>"114321121"</f>
        <v>114321121</v>
      </c>
      <c r="AC10579" t="s">
        <v>79</v>
      </c>
      <c r="AD10579" t="s">
        <v>75</v>
      </c>
      <c r="AE10579" t="s">
        <v>103</v>
      </c>
      <c r="AG10579" t="s">
        <v>81</v>
      </c>
    </row>
    <row r="10580" spans="1:33" x14ac:dyDescent="0.25">
      <c r="A10580" t="str">
        <f>"1114929973"</f>
        <v>1114929973</v>
      </c>
      <c r="B10580" t="str">
        <f>"01571695"</f>
        <v>01571695</v>
      </c>
      <c r="C10580" t="s">
        <v>43306</v>
      </c>
      <c r="D10580" t="s">
        <v>43307</v>
      </c>
      <c r="E10580" t="s">
        <v>43308</v>
      </c>
      <c r="G10580" t="s">
        <v>37109</v>
      </c>
      <c r="H10580" t="s">
        <v>6485</v>
      </c>
      <c r="J10580" t="s">
        <v>6486</v>
      </c>
      <c r="L10580" t="s">
        <v>37</v>
      </c>
      <c r="M10580" t="s">
        <v>75</v>
      </c>
      <c r="R10580" t="s">
        <v>43309</v>
      </c>
      <c r="W10580" t="s">
        <v>43310</v>
      </c>
      <c r="X10580" t="s">
        <v>43311</v>
      </c>
      <c r="Y10580" t="s">
        <v>97</v>
      </c>
      <c r="Z10580" t="s">
        <v>77</v>
      </c>
      <c r="AA10580" t="str">
        <f>"10002-1304"</f>
        <v>10002-1304</v>
      </c>
      <c r="AB10580" t="s">
        <v>107</v>
      </c>
      <c r="AC10580" t="s">
        <v>79</v>
      </c>
      <c r="AD10580" t="s">
        <v>75</v>
      </c>
      <c r="AE10580" t="s">
        <v>80</v>
      </c>
      <c r="AG10580" t="s">
        <v>81</v>
      </c>
    </row>
    <row r="10581" spans="1:33" x14ac:dyDescent="0.25">
      <c r="A10581" t="str">
        <f>"1609874585"</f>
        <v>1609874585</v>
      </c>
      <c r="B10581" t="str">
        <f>"01552056"</f>
        <v>01552056</v>
      </c>
      <c r="C10581" t="s">
        <v>43312</v>
      </c>
      <c r="D10581" t="s">
        <v>43313</v>
      </c>
      <c r="E10581" t="s">
        <v>43314</v>
      </c>
      <c r="G10581" t="s">
        <v>37109</v>
      </c>
      <c r="H10581" t="s">
        <v>6485</v>
      </c>
      <c r="J10581" t="s">
        <v>6486</v>
      </c>
      <c r="L10581" t="s">
        <v>106</v>
      </c>
      <c r="M10581" t="s">
        <v>85</v>
      </c>
      <c r="R10581" t="s">
        <v>43315</v>
      </c>
      <c r="W10581" t="s">
        <v>43314</v>
      </c>
      <c r="X10581" t="s">
        <v>43316</v>
      </c>
      <c r="Y10581" t="s">
        <v>97</v>
      </c>
      <c r="Z10581" t="s">
        <v>77</v>
      </c>
      <c r="AA10581" t="str">
        <f>"10002-1304"</f>
        <v>10002-1304</v>
      </c>
      <c r="AB10581" t="s">
        <v>107</v>
      </c>
      <c r="AC10581" t="s">
        <v>79</v>
      </c>
      <c r="AD10581" t="s">
        <v>75</v>
      </c>
      <c r="AE10581" t="s">
        <v>80</v>
      </c>
      <c r="AG10581" t="s">
        <v>81</v>
      </c>
    </row>
    <row r="10582" spans="1:33" x14ac:dyDescent="0.25">
      <c r="A10582" t="str">
        <f>"1457424863"</f>
        <v>1457424863</v>
      </c>
      <c r="B10582" t="str">
        <f>"02743557"</f>
        <v>02743557</v>
      </c>
      <c r="C10582" t="s">
        <v>43317</v>
      </c>
      <c r="D10582" t="s">
        <v>43318</v>
      </c>
      <c r="E10582" t="s">
        <v>43319</v>
      </c>
      <c r="G10582" t="s">
        <v>37109</v>
      </c>
      <c r="H10582" t="s">
        <v>6485</v>
      </c>
      <c r="J10582" t="s">
        <v>6486</v>
      </c>
      <c r="L10582" t="s">
        <v>115</v>
      </c>
      <c r="M10582" t="s">
        <v>85</v>
      </c>
      <c r="R10582" t="s">
        <v>43320</v>
      </c>
      <c r="W10582" t="s">
        <v>43319</v>
      </c>
      <c r="AB10582" t="s">
        <v>122</v>
      </c>
      <c r="AC10582" t="s">
        <v>79</v>
      </c>
      <c r="AD10582" t="s">
        <v>75</v>
      </c>
      <c r="AE10582" t="s">
        <v>80</v>
      </c>
      <c r="AG10582" t="s">
        <v>81</v>
      </c>
    </row>
    <row r="10583" spans="1:33" x14ac:dyDescent="0.25">
      <c r="A10583" t="str">
        <f>"1083753040"</f>
        <v>1083753040</v>
      </c>
      <c r="B10583" t="str">
        <f>"00697003"</f>
        <v>00697003</v>
      </c>
      <c r="C10583" t="s">
        <v>43321</v>
      </c>
      <c r="D10583" t="s">
        <v>378</v>
      </c>
      <c r="E10583" t="s">
        <v>379</v>
      </c>
      <c r="F10583">
        <v>131624123</v>
      </c>
      <c r="L10583" t="s">
        <v>37</v>
      </c>
      <c r="M10583" t="s">
        <v>75</v>
      </c>
      <c r="R10583" t="s">
        <v>380</v>
      </c>
      <c r="W10583" t="s">
        <v>381</v>
      </c>
      <c r="X10583" t="s">
        <v>382</v>
      </c>
      <c r="Y10583" t="s">
        <v>300</v>
      </c>
      <c r="Z10583" t="s">
        <v>77</v>
      </c>
      <c r="AA10583" t="str">
        <f>"10954-3121"</f>
        <v>10954-3121</v>
      </c>
      <c r="AB10583" t="s">
        <v>107</v>
      </c>
      <c r="AC10583" t="s">
        <v>79</v>
      </c>
      <c r="AD10583" t="s">
        <v>75</v>
      </c>
      <c r="AE10583" t="s">
        <v>80</v>
      </c>
      <c r="AG10583" t="s">
        <v>81</v>
      </c>
    </row>
    <row r="10584" spans="1:33" x14ac:dyDescent="0.25">
      <c r="A10584" t="str">
        <f>"1184648560"</f>
        <v>1184648560</v>
      </c>
      <c r="B10584" t="str">
        <f>"01226544"</f>
        <v>01226544</v>
      </c>
      <c r="C10584" t="s">
        <v>43322</v>
      </c>
      <c r="D10584" t="s">
        <v>43323</v>
      </c>
      <c r="E10584" t="s">
        <v>12762</v>
      </c>
      <c r="G10584" t="s">
        <v>37109</v>
      </c>
      <c r="H10584" t="s">
        <v>6485</v>
      </c>
      <c r="J10584" t="s">
        <v>6486</v>
      </c>
      <c r="L10584" t="s">
        <v>37</v>
      </c>
      <c r="M10584" t="s">
        <v>85</v>
      </c>
      <c r="R10584" t="s">
        <v>12762</v>
      </c>
      <c r="W10584" t="s">
        <v>43324</v>
      </c>
      <c r="X10584" t="s">
        <v>43325</v>
      </c>
      <c r="Y10584" t="s">
        <v>97</v>
      </c>
      <c r="Z10584" t="s">
        <v>77</v>
      </c>
      <c r="AA10584" t="str">
        <f>"10014-2653"</f>
        <v>10014-2653</v>
      </c>
      <c r="AB10584" t="s">
        <v>98</v>
      </c>
      <c r="AC10584" t="s">
        <v>79</v>
      </c>
      <c r="AD10584" t="s">
        <v>75</v>
      </c>
      <c r="AE10584" t="s">
        <v>80</v>
      </c>
      <c r="AG10584" t="s">
        <v>81</v>
      </c>
    </row>
    <row r="10585" spans="1:33" x14ac:dyDescent="0.25">
      <c r="A10585" t="str">
        <f>"1932128386"</f>
        <v>1932128386</v>
      </c>
      <c r="B10585" t="str">
        <f>"02578958"</f>
        <v>02578958</v>
      </c>
      <c r="C10585" t="s">
        <v>43326</v>
      </c>
      <c r="D10585" t="s">
        <v>43327</v>
      </c>
      <c r="E10585" t="s">
        <v>43328</v>
      </c>
      <c r="G10585" t="s">
        <v>37109</v>
      </c>
      <c r="H10585" t="s">
        <v>6485</v>
      </c>
      <c r="J10585" t="s">
        <v>6486</v>
      </c>
      <c r="L10585" t="s">
        <v>37</v>
      </c>
      <c r="M10585" t="s">
        <v>85</v>
      </c>
      <c r="R10585" t="s">
        <v>12762</v>
      </c>
      <c r="W10585" t="s">
        <v>43329</v>
      </c>
      <c r="X10585" t="s">
        <v>43330</v>
      </c>
      <c r="Y10585" t="s">
        <v>97</v>
      </c>
      <c r="Z10585" t="s">
        <v>77</v>
      </c>
      <c r="AA10585" t="str">
        <f>"10014-2840"</f>
        <v>10014-2840</v>
      </c>
      <c r="AB10585" t="s">
        <v>98</v>
      </c>
      <c r="AC10585" t="s">
        <v>79</v>
      </c>
      <c r="AD10585" t="s">
        <v>75</v>
      </c>
      <c r="AE10585" t="s">
        <v>80</v>
      </c>
      <c r="AG10585" t="s">
        <v>81</v>
      </c>
    </row>
    <row r="10586" spans="1:33" x14ac:dyDescent="0.25">
      <c r="A10586" t="str">
        <f>"1104923291"</f>
        <v>1104923291</v>
      </c>
      <c r="B10586" t="str">
        <f>"02635674"</f>
        <v>02635674</v>
      </c>
      <c r="C10586" t="s">
        <v>43331</v>
      </c>
      <c r="D10586" t="s">
        <v>465</v>
      </c>
      <c r="E10586" t="s">
        <v>466</v>
      </c>
      <c r="G10586" t="s">
        <v>454</v>
      </c>
      <c r="H10586" t="s">
        <v>43332</v>
      </c>
      <c r="J10586" t="s">
        <v>43333</v>
      </c>
      <c r="L10586" t="s">
        <v>119</v>
      </c>
      <c r="M10586" t="s">
        <v>85</v>
      </c>
      <c r="R10586" t="s">
        <v>467</v>
      </c>
      <c r="W10586" t="s">
        <v>466</v>
      </c>
      <c r="X10586" t="s">
        <v>468</v>
      </c>
      <c r="Y10586" t="s">
        <v>91</v>
      </c>
      <c r="Z10586" t="s">
        <v>77</v>
      </c>
      <c r="AA10586" t="str">
        <f>"11373-1700"</f>
        <v>11373-1700</v>
      </c>
      <c r="AB10586" t="s">
        <v>122</v>
      </c>
      <c r="AC10586" t="s">
        <v>79</v>
      </c>
      <c r="AD10586" t="s">
        <v>75</v>
      </c>
      <c r="AE10586" t="s">
        <v>80</v>
      </c>
      <c r="AG10586" t="s">
        <v>81</v>
      </c>
    </row>
    <row r="10587" spans="1:33" x14ac:dyDescent="0.25">
      <c r="A10587" t="str">
        <f>"1366780850"</f>
        <v>1366780850</v>
      </c>
      <c r="B10587" t="str">
        <f>"03606902"</f>
        <v>03606902</v>
      </c>
      <c r="C10587" t="s">
        <v>43292</v>
      </c>
      <c r="D10587" t="s">
        <v>2919</v>
      </c>
      <c r="E10587" t="s">
        <v>2920</v>
      </c>
      <c r="G10587" t="s">
        <v>43334</v>
      </c>
      <c r="H10587" t="s">
        <v>43335</v>
      </c>
      <c r="J10587" t="s">
        <v>43336</v>
      </c>
      <c r="L10587" t="s">
        <v>35</v>
      </c>
      <c r="M10587" t="s">
        <v>85</v>
      </c>
      <c r="R10587" t="s">
        <v>2921</v>
      </c>
      <c r="W10587" t="s">
        <v>2920</v>
      </c>
      <c r="X10587" t="s">
        <v>2922</v>
      </c>
      <c r="Y10587" t="s">
        <v>97</v>
      </c>
      <c r="Z10587" t="s">
        <v>77</v>
      </c>
      <c r="AA10587" t="str">
        <f>"10001-3701"</f>
        <v>10001-3701</v>
      </c>
      <c r="AB10587" t="s">
        <v>98</v>
      </c>
      <c r="AC10587" t="s">
        <v>79</v>
      </c>
      <c r="AD10587" t="s">
        <v>75</v>
      </c>
      <c r="AE10587" t="s">
        <v>80</v>
      </c>
      <c r="AG10587" t="s">
        <v>81</v>
      </c>
    </row>
    <row r="10588" spans="1:33" x14ac:dyDescent="0.25">
      <c r="A10588" t="str">
        <f>"1215928510"</f>
        <v>1215928510</v>
      </c>
      <c r="B10588" t="str">
        <f>"01049476"</f>
        <v>01049476</v>
      </c>
      <c r="C10588" t="s">
        <v>43337</v>
      </c>
      <c r="D10588" t="s">
        <v>762</v>
      </c>
      <c r="E10588" t="s">
        <v>763</v>
      </c>
      <c r="G10588" t="s">
        <v>172</v>
      </c>
      <c r="H10588" t="s">
        <v>764</v>
      </c>
      <c r="J10588" t="s">
        <v>3058</v>
      </c>
      <c r="L10588" t="s">
        <v>149</v>
      </c>
      <c r="M10588" t="s">
        <v>75</v>
      </c>
      <c r="R10588" t="s">
        <v>765</v>
      </c>
      <c r="W10588" t="s">
        <v>763</v>
      </c>
      <c r="X10588" t="s">
        <v>766</v>
      </c>
      <c r="Y10588" t="s">
        <v>97</v>
      </c>
      <c r="Z10588" t="s">
        <v>77</v>
      </c>
      <c r="AA10588" t="str">
        <f>"10001-3701"</f>
        <v>10001-3701</v>
      </c>
      <c r="AB10588" t="s">
        <v>122</v>
      </c>
      <c r="AC10588" t="s">
        <v>79</v>
      </c>
      <c r="AD10588" t="s">
        <v>75</v>
      </c>
      <c r="AE10588" t="s">
        <v>80</v>
      </c>
      <c r="AG10588" t="s">
        <v>81</v>
      </c>
    </row>
    <row r="10589" spans="1:33" x14ac:dyDescent="0.25">
      <c r="A10589" t="str">
        <f>"1134231632"</f>
        <v>1134231632</v>
      </c>
      <c r="B10589" t="str">
        <f>"00310352"</f>
        <v>00310352</v>
      </c>
      <c r="C10589" t="s">
        <v>43338</v>
      </c>
      <c r="D10589" t="s">
        <v>43339</v>
      </c>
      <c r="E10589" t="s">
        <v>43340</v>
      </c>
      <c r="G10589" t="s">
        <v>43341</v>
      </c>
      <c r="H10589" t="s">
        <v>43342</v>
      </c>
      <c r="I10589">
        <v>108</v>
      </c>
      <c r="J10589" t="s">
        <v>43343</v>
      </c>
      <c r="L10589" t="s">
        <v>15</v>
      </c>
      <c r="M10589" t="s">
        <v>85</v>
      </c>
      <c r="R10589" t="s">
        <v>43344</v>
      </c>
      <c r="W10589" t="s">
        <v>43345</v>
      </c>
      <c r="X10589" t="s">
        <v>43346</v>
      </c>
      <c r="Y10589" t="s">
        <v>216</v>
      </c>
      <c r="Z10589" t="s">
        <v>77</v>
      </c>
      <c r="AA10589" t="str">
        <f>"11691-4307"</f>
        <v>11691-4307</v>
      </c>
      <c r="AB10589" t="s">
        <v>107</v>
      </c>
      <c r="AC10589" t="s">
        <v>79</v>
      </c>
      <c r="AD10589" t="s">
        <v>75</v>
      </c>
      <c r="AE10589" t="s">
        <v>80</v>
      </c>
      <c r="AG10589" t="s">
        <v>81</v>
      </c>
    </row>
    <row r="10590" spans="1:33" x14ac:dyDescent="0.25">
      <c r="A10590" t="str">
        <f>"1760436190"</f>
        <v>1760436190</v>
      </c>
      <c r="B10590" t="str">
        <f>"01751000"</f>
        <v>01751000</v>
      </c>
      <c r="C10590" t="s">
        <v>43347</v>
      </c>
      <c r="D10590" t="s">
        <v>43348</v>
      </c>
      <c r="E10590" t="s">
        <v>43349</v>
      </c>
      <c r="G10590" t="s">
        <v>43350</v>
      </c>
      <c r="H10590" t="s">
        <v>43351</v>
      </c>
      <c r="J10590" t="s">
        <v>6802</v>
      </c>
      <c r="L10590" t="s">
        <v>115</v>
      </c>
      <c r="M10590" t="s">
        <v>85</v>
      </c>
      <c r="R10590" t="s">
        <v>43352</v>
      </c>
      <c r="W10590" t="s">
        <v>43349</v>
      </c>
      <c r="X10590" t="s">
        <v>9151</v>
      </c>
      <c r="Y10590" t="s">
        <v>97</v>
      </c>
      <c r="Z10590" t="s">
        <v>77</v>
      </c>
      <c r="AA10590" t="str">
        <f>"10001-2382"</f>
        <v>10001-2382</v>
      </c>
      <c r="AB10590" t="s">
        <v>122</v>
      </c>
      <c r="AC10590" t="s">
        <v>79</v>
      </c>
      <c r="AD10590" t="s">
        <v>75</v>
      </c>
      <c r="AE10590" t="s">
        <v>80</v>
      </c>
      <c r="AG10590" t="s">
        <v>81</v>
      </c>
    </row>
    <row r="10591" spans="1:33" x14ac:dyDescent="0.25">
      <c r="A10591" t="str">
        <f>"1831330182"</f>
        <v>1831330182</v>
      </c>
      <c r="B10591" t="str">
        <f>"03154267"</f>
        <v>03154267</v>
      </c>
      <c r="C10591" t="s">
        <v>43353</v>
      </c>
      <c r="D10591" t="s">
        <v>43354</v>
      </c>
      <c r="E10591" t="s">
        <v>43355</v>
      </c>
      <c r="F10591">
        <v>133916271</v>
      </c>
      <c r="G10591" t="s">
        <v>43350</v>
      </c>
      <c r="H10591" t="s">
        <v>43351</v>
      </c>
      <c r="J10591" t="s">
        <v>6802</v>
      </c>
      <c r="L10591" t="s">
        <v>37</v>
      </c>
      <c r="M10591" t="s">
        <v>75</v>
      </c>
      <c r="R10591" t="s">
        <v>43352</v>
      </c>
      <c r="W10591" t="s">
        <v>43355</v>
      </c>
      <c r="X10591" t="s">
        <v>43356</v>
      </c>
      <c r="Y10591" t="s">
        <v>97</v>
      </c>
      <c r="Z10591" t="s">
        <v>77</v>
      </c>
      <c r="AA10591" t="str">
        <f>"10001-2320"</f>
        <v>10001-2320</v>
      </c>
      <c r="AB10591" t="s">
        <v>122</v>
      </c>
      <c r="AC10591" t="s">
        <v>79</v>
      </c>
      <c r="AD10591" t="s">
        <v>75</v>
      </c>
      <c r="AE10591" t="s">
        <v>80</v>
      </c>
      <c r="AG10591" t="s">
        <v>81</v>
      </c>
    </row>
    <row r="10592" spans="1:33" x14ac:dyDescent="0.25">
      <c r="A10592" t="str">
        <f>"1144469677"</f>
        <v>1144469677</v>
      </c>
      <c r="B10592" t="str">
        <f>"03153413"</f>
        <v>03153413</v>
      </c>
      <c r="C10592" t="s">
        <v>4434</v>
      </c>
      <c r="D10592" t="s">
        <v>43357</v>
      </c>
      <c r="E10592" t="s">
        <v>43358</v>
      </c>
      <c r="G10592" t="s">
        <v>27118</v>
      </c>
      <c r="H10592" t="s">
        <v>27119</v>
      </c>
      <c r="I10592">
        <v>310</v>
      </c>
      <c r="J10592" t="s">
        <v>27120</v>
      </c>
      <c r="L10592" t="s">
        <v>35</v>
      </c>
      <c r="M10592" t="s">
        <v>85</v>
      </c>
      <c r="R10592" t="s">
        <v>4438</v>
      </c>
      <c r="W10592" t="s">
        <v>43358</v>
      </c>
      <c r="X10592" t="s">
        <v>43359</v>
      </c>
      <c r="Y10592" t="s">
        <v>198</v>
      </c>
      <c r="Z10592" t="s">
        <v>77</v>
      </c>
      <c r="AA10592" t="str">
        <f>"11542-3745"</f>
        <v>11542-3745</v>
      </c>
      <c r="AB10592" t="s">
        <v>98</v>
      </c>
      <c r="AC10592" t="s">
        <v>79</v>
      </c>
      <c r="AD10592" t="s">
        <v>75</v>
      </c>
      <c r="AE10592" t="s">
        <v>80</v>
      </c>
      <c r="AG10592" t="s">
        <v>81</v>
      </c>
    </row>
    <row r="10593" spans="1:33" x14ac:dyDescent="0.25">
      <c r="A10593" t="str">
        <f>"1184799587"</f>
        <v>1184799587</v>
      </c>
      <c r="B10593" t="str">
        <f>"00912065"</f>
        <v>00912065</v>
      </c>
      <c r="C10593" t="s">
        <v>43360</v>
      </c>
      <c r="D10593" t="s">
        <v>43361</v>
      </c>
      <c r="E10593" t="s">
        <v>43362</v>
      </c>
      <c r="G10593" t="s">
        <v>42214</v>
      </c>
      <c r="H10593" t="s">
        <v>42215</v>
      </c>
      <c r="J10593" t="s">
        <v>42216</v>
      </c>
      <c r="L10593" t="s">
        <v>37</v>
      </c>
      <c r="M10593" t="s">
        <v>85</v>
      </c>
      <c r="R10593" t="s">
        <v>43363</v>
      </c>
      <c r="W10593" t="s">
        <v>43364</v>
      </c>
      <c r="X10593" t="s">
        <v>43365</v>
      </c>
      <c r="Y10593" t="s">
        <v>161</v>
      </c>
      <c r="Z10593" t="s">
        <v>77</v>
      </c>
      <c r="AA10593" t="str">
        <f>"11042-1116"</f>
        <v>11042-1116</v>
      </c>
      <c r="AB10593" t="s">
        <v>107</v>
      </c>
      <c r="AC10593" t="s">
        <v>79</v>
      </c>
      <c r="AD10593" t="s">
        <v>75</v>
      </c>
      <c r="AE10593" t="s">
        <v>80</v>
      </c>
      <c r="AG10593" t="s">
        <v>81</v>
      </c>
    </row>
    <row r="10594" spans="1:33" x14ac:dyDescent="0.25">
      <c r="A10594" t="str">
        <f>"1235214313"</f>
        <v>1235214313</v>
      </c>
      <c r="B10594" t="str">
        <f>"01682782"</f>
        <v>01682782</v>
      </c>
      <c r="C10594" t="s">
        <v>43366</v>
      </c>
      <c r="D10594" t="s">
        <v>43367</v>
      </c>
      <c r="E10594" t="s">
        <v>43368</v>
      </c>
      <c r="G10594" t="s">
        <v>43366</v>
      </c>
      <c r="L10594" t="s">
        <v>84</v>
      </c>
      <c r="M10594" t="s">
        <v>75</v>
      </c>
      <c r="R10594" t="s">
        <v>43369</v>
      </c>
      <c r="W10594" t="s">
        <v>43368</v>
      </c>
      <c r="X10594" t="s">
        <v>188</v>
      </c>
      <c r="Y10594" t="s">
        <v>164</v>
      </c>
      <c r="Z10594" t="s">
        <v>77</v>
      </c>
      <c r="AA10594" t="str">
        <f>"11554-1859"</f>
        <v>11554-1859</v>
      </c>
      <c r="AB10594" t="s">
        <v>78</v>
      </c>
      <c r="AC10594" t="s">
        <v>79</v>
      </c>
      <c r="AD10594" t="s">
        <v>75</v>
      </c>
      <c r="AE10594" t="s">
        <v>80</v>
      </c>
      <c r="AG10594" t="s">
        <v>81</v>
      </c>
    </row>
    <row r="10595" spans="1:33" x14ac:dyDescent="0.25">
      <c r="A10595" t="str">
        <f>"1235236746"</f>
        <v>1235236746</v>
      </c>
      <c r="B10595" t="str">
        <f>"01048700"</f>
        <v>01048700</v>
      </c>
      <c r="C10595" t="s">
        <v>43370</v>
      </c>
      <c r="D10595" t="s">
        <v>43371</v>
      </c>
      <c r="E10595" t="s">
        <v>43372</v>
      </c>
      <c r="G10595" t="s">
        <v>43370</v>
      </c>
      <c r="L10595" t="s">
        <v>83</v>
      </c>
      <c r="M10595" t="s">
        <v>75</v>
      </c>
      <c r="R10595" t="s">
        <v>43373</v>
      </c>
      <c r="W10595" t="s">
        <v>43372</v>
      </c>
      <c r="X10595" t="s">
        <v>20668</v>
      </c>
      <c r="Y10595" t="s">
        <v>97</v>
      </c>
      <c r="Z10595" t="s">
        <v>77</v>
      </c>
      <c r="AA10595" t="str">
        <f>"10003-3851"</f>
        <v>10003-3851</v>
      </c>
      <c r="AB10595" t="s">
        <v>78</v>
      </c>
      <c r="AC10595" t="s">
        <v>79</v>
      </c>
      <c r="AD10595" t="s">
        <v>75</v>
      </c>
      <c r="AE10595" t="s">
        <v>80</v>
      </c>
      <c r="AG10595" t="s">
        <v>81</v>
      </c>
    </row>
    <row r="10596" spans="1:33" x14ac:dyDescent="0.25">
      <c r="A10596" t="str">
        <f>"1235579772"</f>
        <v>1235579772</v>
      </c>
      <c r="B10596" t="str">
        <f>"03806659"</f>
        <v>03806659</v>
      </c>
      <c r="C10596" t="s">
        <v>43374</v>
      </c>
      <c r="D10596" t="s">
        <v>43375</v>
      </c>
      <c r="E10596" t="s">
        <v>43376</v>
      </c>
      <c r="G10596" t="s">
        <v>43374</v>
      </c>
      <c r="L10596" t="s">
        <v>84</v>
      </c>
      <c r="M10596" t="s">
        <v>75</v>
      </c>
      <c r="R10596" t="s">
        <v>43376</v>
      </c>
      <c r="W10596" t="s">
        <v>43376</v>
      </c>
      <c r="X10596" t="s">
        <v>43377</v>
      </c>
      <c r="Y10596" t="s">
        <v>97</v>
      </c>
      <c r="Z10596" t="s">
        <v>77</v>
      </c>
      <c r="AA10596" t="str">
        <f>"10036-4702"</f>
        <v>10036-4702</v>
      </c>
      <c r="AB10596" t="s">
        <v>78</v>
      </c>
      <c r="AC10596" t="s">
        <v>79</v>
      </c>
      <c r="AD10596" t="s">
        <v>75</v>
      </c>
      <c r="AE10596" t="s">
        <v>80</v>
      </c>
      <c r="AG10596" t="s">
        <v>81</v>
      </c>
    </row>
    <row r="10597" spans="1:33" x14ac:dyDescent="0.25">
      <c r="A10597" t="str">
        <f>"1245248202"</f>
        <v>1245248202</v>
      </c>
      <c r="B10597" t="str">
        <f>"01371842"</f>
        <v>01371842</v>
      </c>
      <c r="C10597" t="s">
        <v>43378</v>
      </c>
      <c r="D10597" t="s">
        <v>43379</v>
      </c>
      <c r="E10597" t="s">
        <v>43380</v>
      </c>
      <c r="G10597" t="s">
        <v>43378</v>
      </c>
      <c r="L10597" t="s">
        <v>83</v>
      </c>
      <c r="M10597" t="s">
        <v>75</v>
      </c>
      <c r="R10597" t="s">
        <v>43381</v>
      </c>
      <c r="W10597" t="s">
        <v>43380</v>
      </c>
      <c r="X10597" t="s">
        <v>43382</v>
      </c>
      <c r="Y10597" t="s">
        <v>4629</v>
      </c>
      <c r="Z10597" t="s">
        <v>77</v>
      </c>
      <c r="AA10597" t="str">
        <f>"11741-1820"</f>
        <v>11741-1820</v>
      </c>
      <c r="AB10597" t="s">
        <v>78</v>
      </c>
      <c r="AC10597" t="s">
        <v>79</v>
      </c>
      <c r="AD10597" t="s">
        <v>75</v>
      </c>
      <c r="AE10597" t="s">
        <v>80</v>
      </c>
      <c r="AG10597" t="s">
        <v>81</v>
      </c>
    </row>
    <row r="10598" spans="1:33" x14ac:dyDescent="0.25">
      <c r="A10598" t="str">
        <f>"1245285709"</f>
        <v>1245285709</v>
      </c>
      <c r="B10598" t="str">
        <f>"01724029"</f>
        <v>01724029</v>
      </c>
      <c r="C10598" t="s">
        <v>43383</v>
      </c>
      <c r="D10598" t="s">
        <v>43384</v>
      </c>
      <c r="E10598" t="s">
        <v>43385</v>
      </c>
      <c r="G10598" t="s">
        <v>43383</v>
      </c>
      <c r="L10598" t="s">
        <v>84</v>
      </c>
      <c r="M10598" t="s">
        <v>85</v>
      </c>
      <c r="R10598" t="s">
        <v>43386</v>
      </c>
      <c r="W10598" t="s">
        <v>43385</v>
      </c>
      <c r="X10598" t="s">
        <v>40925</v>
      </c>
      <c r="Y10598" t="s">
        <v>91</v>
      </c>
      <c r="Z10598" t="s">
        <v>77</v>
      </c>
      <c r="AA10598" t="str">
        <f>"11373-4437"</f>
        <v>11373-4437</v>
      </c>
      <c r="AB10598" t="s">
        <v>78</v>
      </c>
      <c r="AC10598" t="s">
        <v>79</v>
      </c>
      <c r="AD10598" t="s">
        <v>75</v>
      </c>
      <c r="AE10598" t="s">
        <v>80</v>
      </c>
      <c r="AG10598" t="s">
        <v>81</v>
      </c>
    </row>
    <row r="10599" spans="1:33" x14ac:dyDescent="0.25">
      <c r="A10599" t="str">
        <f>"1063435709"</f>
        <v>1063435709</v>
      </c>
      <c r="C10599" t="s">
        <v>43301</v>
      </c>
      <c r="K10599" t="s">
        <v>99</v>
      </c>
      <c r="L10599" t="s">
        <v>102</v>
      </c>
      <c r="M10599" t="s">
        <v>75</v>
      </c>
      <c r="R10599" t="s">
        <v>43302</v>
      </c>
      <c r="S10599" t="s">
        <v>43303</v>
      </c>
      <c r="T10599" t="s">
        <v>97</v>
      </c>
      <c r="U10599" t="s">
        <v>77</v>
      </c>
      <c r="V10599" t="str">
        <f>"10029"</f>
        <v>10029</v>
      </c>
      <c r="AC10599" t="s">
        <v>79</v>
      </c>
      <c r="AD10599" t="s">
        <v>75</v>
      </c>
      <c r="AE10599" t="s">
        <v>103</v>
      </c>
      <c r="AG10599" t="s">
        <v>81</v>
      </c>
    </row>
    <row r="10600" spans="1:33" x14ac:dyDescent="0.25">
      <c r="A10600" t="str">
        <f>"1063520302"</f>
        <v>1063520302</v>
      </c>
      <c r="C10600" t="s">
        <v>43301</v>
      </c>
      <c r="K10600" t="s">
        <v>99</v>
      </c>
      <c r="L10600" t="s">
        <v>102</v>
      </c>
      <c r="M10600" t="s">
        <v>75</v>
      </c>
      <c r="R10600" t="s">
        <v>43302</v>
      </c>
      <c r="S10600" t="s">
        <v>11379</v>
      </c>
      <c r="T10600" t="s">
        <v>97</v>
      </c>
      <c r="U10600" t="s">
        <v>77</v>
      </c>
      <c r="V10600" t="str">
        <f>"100296500"</f>
        <v>100296500</v>
      </c>
      <c r="AC10600" t="s">
        <v>79</v>
      </c>
      <c r="AD10600" t="s">
        <v>75</v>
      </c>
      <c r="AE10600" t="s">
        <v>103</v>
      </c>
      <c r="AG10600" t="s">
        <v>81</v>
      </c>
    </row>
    <row r="10601" spans="1:33" x14ac:dyDescent="0.25">
      <c r="A10601" t="str">
        <f>"1063657963"</f>
        <v>1063657963</v>
      </c>
      <c r="B10601" t="str">
        <f>"03103404"</f>
        <v>03103404</v>
      </c>
      <c r="C10601" t="s">
        <v>43387</v>
      </c>
      <c r="D10601" t="s">
        <v>27831</v>
      </c>
      <c r="E10601" t="s">
        <v>27832</v>
      </c>
      <c r="L10601" t="s">
        <v>1305</v>
      </c>
      <c r="M10601" t="s">
        <v>85</v>
      </c>
      <c r="R10601" t="s">
        <v>22768</v>
      </c>
      <c r="W10601" t="s">
        <v>43388</v>
      </c>
      <c r="X10601" t="s">
        <v>12415</v>
      </c>
      <c r="Y10601" t="s">
        <v>97</v>
      </c>
      <c r="Z10601" t="s">
        <v>77</v>
      </c>
      <c r="AA10601" t="str">
        <f>"10003-3105"</f>
        <v>10003-3105</v>
      </c>
      <c r="AB10601" t="s">
        <v>96</v>
      </c>
      <c r="AC10601" t="s">
        <v>79</v>
      </c>
      <c r="AD10601" t="s">
        <v>75</v>
      </c>
      <c r="AE10601" t="s">
        <v>80</v>
      </c>
      <c r="AG10601" t="s">
        <v>81</v>
      </c>
    </row>
    <row r="10602" spans="1:33" x14ac:dyDescent="0.25">
      <c r="A10602" t="str">
        <f>"1073621314"</f>
        <v>1073621314</v>
      </c>
      <c r="C10602" t="s">
        <v>43301</v>
      </c>
      <c r="K10602" t="s">
        <v>99</v>
      </c>
      <c r="L10602" t="s">
        <v>102</v>
      </c>
      <c r="M10602" t="s">
        <v>75</v>
      </c>
      <c r="R10602" t="s">
        <v>43302</v>
      </c>
      <c r="S10602" t="s">
        <v>11379</v>
      </c>
      <c r="T10602" t="s">
        <v>97</v>
      </c>
      <c r="U10602" t="s">
        <v>77</v>
      </c>
      <c r="V10602" t="str">
        <f>"10029"</f>
        <v>10029</v>
      </c>
      <c r="AC10602" t="s">
        <v>79</v>
      </c>
      <c r="AD10602" t="s">
        <v>75</v>
      </c>
      <c r="AE10602" t="s">
        <v>103</v>
      </c>
      <c r="AG10602" t="s">
        <v>81</v>
      </c>
    </row>
    <row r="10603" spans="1:33" x14ac:dyDescent="0.25">
      <c r="A10603" t="str">
        <f>"1093015638"</f>
        <v>1093015638</v>
      </c>
      <c r="C10603" t="s">
        <v>43389</v>
      </c>
      <c r="K10603" t="s">
        <v>99</v>
      </c>
      <c r="L10603" t="s">
        <v>102</v>
      </c>
      <c r="M10603" t="s">
        <v>75</v>
      </c>
      <c r="R10603" t="s">
        <v>43390</v>
      </c>
      <c r="S10603" t="s">
        <v>43391</v>
      </c>
      <c r="T10603" t="s">
        <v>97</v>
      </c>
      <c r="U10603" t="s">
        <v>77</v>
      </c>
      <c r="V10603" t="str">
        <f>"100191034"</f>
        <v>100191034</v>
      </c>
      <c r="AC10603" t="s">
        <v>79</v>
      </c>
      <c r="AD10603" t="s">
        <v>75</v>
      </c>
      <c r="AE10603" t="s">
        <v>103</v>
      </c>
      <c r="AG10603" t="s">
        <v>81</v>
      </c>
    </row>
    <row r="10604" spans="1:33" x14ac:dyDescent="0.25">
      <c r="A10604" t="str">
        <f>"1093952772"</f>
        <v>1093952772</v>
      </c>
      <c r="C10604" t="s">
        <v>43392</v>
      </c>
      <c r="K10604" t="s">
        <v>99</v>
      </c>
      <c r="L10604" t="s">
        <v>102</v>
      </c>
      <c r="M10604" t="s">
        <v>75</v>
      </c>
      <c r="R10604" t="s">
        <v>43393</v>
      </c>
      <c r="S10604" t="s">
        <v>13562</v>
      </c>
      <c r="T10604" t="s">
        <v>97</v>
      </c>
      <c r="U10604" t="s">
        <v>77</v>
      </c>
      <c r="V10604" t="str">
        <f>"100296508"</f>
        <v>100296508</v>
      </c>
      <c r="AC10604" t="s">
        <v>79</v>
      </c>
      <c r="AD10604" t="s">
        <v>75</v>
      </c>
      <c r="AE10604" t="s">
        <v>103</v>
      </c>
      <c r="AG10604" t="s">
        <v>81</v>
      </c>
    </row>
    <row r="10605" spans="1:33" x14ac:dyDescent="0.25">
      <c r="A10605" t="str">
        <f>"1104199520"</f>
        <v>1104199520</v>
      </c>
      <c r="C10605" t="s">
        <v>43295</v>
      </c>
      <c r="K10605" t="s">
        <v>99</v>
      </c>
      <c r="L10605" t="s">
        <v>102</v>
      </c>
      <c r="M10605" t="s">
        <v>75</v>
      </c>
      <c r="R10605" t="s">
        <v>43296</v>
      </c>
      <c r="S10605" t="s">
        <v>43394</v>
      </c>
      <c r="T10605" t="s">
        <v>97</v>
      </c>
      <c r="U10605" t="s">
        <v>77</v>
      </c>
      <c r="V10605" t="str">
        <f>"100296508"</f>
        <v>100296508</v>
      </c>
      <c r="AC10605" t="s">
        <v>79</v>
      </c>
      <c r="AD10605" t="s">
        <v>75</v>
      </c>
      <c r="AE10605" t="s">
        <v>103</v>
      </c>
      <c r="AG10605" t="s">
        <v>81</v>
      </c>
    </row>
    <row r="10606" spans="1:33" x14ac:dyDescent="0.25">
      <c r="A10606" t="str">
        <f>"1104982917"</f>
        <v>1104982917</v>
      </c>
      <c r="B10606" t="str">
        <f>"00354967"</f>
        <v>00354967</v>
      </c>
      <c r="C10606" t="s">
        <v>43395</v>
      </c>
      <c r="D10606" t="s">
        <v>1303</v>
      </c>
      <c r="E10606" t="s">
        <v>1304</v>
      </c>
      <c r="L10606" t="s">
        <v>1305</v>
      </c>
      <c r="M10606" t="s">
        <v>85</v>
      </c>
      <c r="R10606" t="s">
        <v>1302</v>
      </c>
      <c r="W10606" t="s">
        <v>1304</v>
      </c>
      <c r="X10606" t="s">
        <v>181</v>
      </c>
      <c r="Y10606" t="s">
        <v>97</v>
      </c>
      <c r="Z10606" t="s">
        <v>77</v>
      </c>
      <c r="AA10606" t="str">
        <f>"10025-1716"</f>
        <v>10025-1716</v>
      </c>
      <c r="AB10606" t="s">
        <v>93</v>
      </c>
      <c r="AC10606" t="s">
        <v>79</v>
      </c>
      <c r="AD10606" t="s">
        <v>75</v>
      </c>
      <c r="AE10606" t="s">
        <v>80</v>
      </c>
      <c r="AG10606" t="s">
        <v>81</v>
      </c>
    </row>
    <row r="10607" spans="1:33" x14ac:dyDescent="0.25">
      <c r="A10607" t="str">
        <f>"1154626364"</f>
        <v>1154626364</v>
      </c>
      <c r="C10607" t="s">
        <v>43299</v>
      </c>
      <c r="K10607" t="s">
        <v>99</v>
      </c>
      <c r="L10607" t="s">
        <v>102</v>
      </c>
      <c r="M10607" t="s">
        <v>75</v>
      </c>
      <c r="R10607" t="s">
        <v>1290</v>
      </c>
      <c r="S10607" t="s">
        <v>329</v>
      </c>
      <c r="T10607" t="s">
        <v>97</v>
      </c>
      <c r="U10607" t="s">
        <v>77</v>
      </c>
      <c r="V10607" t="str">
        <f>"100296500"</f>
        <v>100296500</v>
      </c>
      <c r="AC10607" t="s">
        <v>79</v>
      </c>
      <c r="AD10607" t="s">
        <v>75</v>
      </c>
      <c r="AE10607" t="s">
        <v>103</v>
      </c>
      <c r="AG10607" t="s">
        <v>81</v>
      </c>
    </row>
    <row r="10608" spans="1:33" x14ac:dyDescent="0.25">
      <c r="A10608" t="str">
        <f>"1164582110"</f>
        <v>1164582110</v>
      </c>
      <c r="C10608" t="s">
        <v>43395</v>
      </c>
      <c r="K10608" t="s">
        <v>99</v>
      </c>
      <c r="L10608" t="s">
        <v>102</v>
      </c>
      <c r="M10608" t="s">
        <v>75</v>
      </c>
      <c r="R10608" t="s">
        <v>1302</v>
      </c>
      <c r="S10608" t="s">
        <v>15625</v>
      </c>
      <c r="T10608" t="s">
        <v>97</v>
      </c>
      <c r="U10608" t="s">
        <v>77</v>
      </c>
      <c r="V10608" t="str">
        <f>"100251710"</f>
        <v>100251710</v>
      </c>
      <c r="AC10608" t="s">
        <v>79</v>
      </c>
      <c r="AD10608" t="s">
        <v>75</v>
      </c>
      <c r="AE10608" t="s">
        <v>103</v>
      </c>
      <c r="AG10608" t="s">
        <v>81</v>
      </c>
    </row>
    <row r="10609" spans="1:33" x14ac:dyDescent="0.25">
      <c r="A10609" t="str">
        <f>"1164682340"</f>
        <v>1164682340</v>
      </c>
      <c r="C10609" t="s">
        <v>43299</v>
      </c>
      <c r="K10609" t="s">
        <v>99</v>
      </c>
      <c r="L10609" t="s">
        <v>102</v>
      </c>
      <c r="M10609" t="s">
        <v>75</v>
      </c>
      <c r="R10609" t="s">
        <v>1290</v>
      </c>
      <c r="S10609" t="s">
        <v>329</v>
      </c>
      <c r="T10609" t="s">
        <v>97</v>
      </c>
      <c r="U10609" t="s">
        <v>77</v>
      </c>
      <c r="V10609" t="str">
        <f>"100296500"</f>
        <v>100296500</v>
      </c>
      <c r="AC10609" t="s">
        <v>79</v>
      </c>
      <c r="AD10609" t="s">
        <v>75</v>
      </c>
      <c r="AE10609" t="s">
        <v>103</v>
      </c>
      <c r="AG10609" t="s">
        <v>81</v>
      </c>
    </row>
    <row r="10610" spans="1:33" x14ac:dyDescent="0.25">
      <c r="A10610" t="str">
        <f>"1174689665"</f>
        <v>1174689665</v>
      </c>
      <c r="B10610" t="str">
        <f>"02994489"</f>
        <v>02994489</v>
      </c>
      <c r="C10610" t="s">
        <v>43387</v>
      </c>
      <c r="D10610" t="s">
        <v>27831</v>
      </c>
      <c r="E10610" t="s">
        <v>27832</v>
      </c>
      <c r="L10610" t="s">
        <v>43396</v>
      </c>
      <c r="M10610" t="s">
        <v>85</v>
      </c>
      <c r="R10610" t="s">
        <v>22768</v>
      </c>
      <c r="W10610" t="s">
        <v>22768</v>
      </c>
      <c r="X10610" t="s">
        <v>3553</v>
      </c>
      <c r="Y10610" t="s">
        <v>97</v>
      </c>
      <c r="Z10610" t="s">
        <v>77</v>
      </c>
      <c r="AA10610" t="str">
        <f>"10003-3851"</f>
        <v>10003-3851</v>
      </c>
      <c r="AB10610" t="s">
        <v>93</v>
      </c>
      <c r="AC10610" t="s">
        <v>79</v>
      </c>
      <c r="AD10610" t="s">
        <v>75</v>
      </c>
      <c r="AE10610" t="s">
        <v>80</v>
      </c>
      <c r="AG10610" t="s">
        <v>81</v>
      </c>
    </row>
    <row r="10611" spans="1:33" x14ac:dyDescent="0.25">
      <c r="A10611" t="str">
        <f>"1174768071"</f>
        <v>1174768071</v>
      </c>
      <c r="B10611" t="str">
        <f>"03103413"</f>
        <v>03103413</v>
      </c>
      <c r="C10611" t="s">
        <v>43387</v>
      </c>
      <c r="D10611" t="s">
        <v>27831</v>
      </c>
      <c r="E10611" t="s">
        <v>27832</v>
      </c>
      <c r="L10611" t="s">
        <v>1305</v>
      </c>
      <c r="M10611" t="s">
        <v>85</v>
      </c>
      <c r="R10611" t="s">
        <v>22768</v>
      </c>
      <c r="W10611" t="s">
        <v>43397</v>
      </c>
      <c r="X10611" t="s">
        <v>4799</v>
      </c>
      <c r="Y10611" t="s">
        <v>87</v>
      </c>
      <c r="Z10611" t="s">
        <v>77</v>
      </c>
      <c r="AA10611" t="str">
        <f>"11234-2625"</f>
        <v>11234-2625</v>
      </c>
      <c r="AB10611" t="s">
        <v>96</v>
      </c>
      <c r="AC10611" t="s">
        <v>79</v>
      </c>
      <c r="AD10611" t="s">
        <v>75</v>
      </c>
      <c r="AE10611" t="s">
        <v>80</v>
      </c>
      <c r="AG10611" t="s">
        <v>81</v>
      </c>
    </row>
    <row r="10612" spans="1:33" x14ac:dyDescent="0.25">
      <c r="A10612" t="str">
        <f>"1518264894"</f>
        <v>1518264894</v>
      </c>
      <c r="C10612" t="s">
        <v>4181</v>
      </c>
      <c r="G10612" t="s">
        <v>3684</v>
      </c>
      <c r="H10612" t="s">
        <v>3685</v>
      </c>
      <c r="J10612" t="s">
        <v>3686</v>
      </c>
      <c r="K10612" t="s">
        <v>99</v>
      </c>
      <c r="L10612" t="s">
        <v>102</v>
      </c>
      <c r="M10612" t="s">
        <v>75</v>
      </c>
      <c r="R10612" t="s">
        <v>4182</v>
      </c>
      <c r="S10612" t="s">
        <v>4183</v>
      </c>
      <c r="T10612" t="s">
        <v>97</v>
      </c>
      <c r="U10612" t="s">
        <v>77</v>
      </c>
      <c r="V10612" t="str">
        <f>"100031009"</f>
        <v>100031009</v>
      </c>
      <c r="AC10612" t="s">
        <v>79</v>
      </c>
      <c r="AD10612" t="s">
        <v>75</v>
      </c>
      <c r="AE10612" t="s">
        <v>103</v>
      </c>
      <c r="AG10612" t="s">
        <v>81</v>
      </c>
    </row>
    <row r="10613" spans="1:33" x14ac:dyDescent="0.25">
      <c r="A10613" t="str">
        <f>"1528409976"</f>
        <v>1528409976</v>
      </c>
      <c r="B10613" t="str">
        <f>"03802164"</f>
        <v>03802164</v>
      </c>
      <c r="C10613" t="s">
        <v>4017</v>
      </c>
      <c r="D10613" t="s">
        <v>4018</v>
      </c>
      <c r="E10613" t="s">
        <v>4019</v>
      </c>
      <c r="G10613" t="s">
        <v>3684</v>
      </c>
      <c r="H10613" t="s">
        <v>3685</v>
      </c>
      <c r="J10613" t="s">
        <v>3686</v>
      </c>
      <c r="L10613" t="s">
        <v>84</v>
      </c>
      <c r="M10613" t="s">
        <v>75</v>
      </c>
      <c r="R10613" t="s">
        <v>4020</v>
      </c>
      <c r="W10613" t="s">
        <v>4019</v>
      </c>
      <c r="X10613" t="s">
        <v>86</v>
      </c>
      <c r="Y10613" t="s">
        <v>87</v>
      </c>
      <c r="Z10613" t="s">
        <v>77</v>
      </c>
      <c r="AA10613" t="str">
        <f>"11220-2508"</f>
        <v>11220-2508</v>
      </c>
      <c r="AB10613" t="s">
        <v>78</v>
      </c>
      <c r="AC10613" t="s">
        <v>79</v>
      </c>
      <c r="AD10613" t="s">
        <v>75</v>
      </c>
      <c r="AE10613" t="s">
        <v>80</v>
      </c>
      <c r="AG10613" t="s">
        <v>81</v>
      </c>
    </row>
    <row r="10614" spans="1:33" x14ac:dyDescent="0.25">
      <c r="A10614" t="str">
        <f>"1548450752"</f>
        <v>1548450752</v>
      </c>
      <c r="B10614" t="str">
        <f>"03380825"</f>
        <v>03380825</v>
      </c>
      <c r="C10614" t="s">
        <v>4196</v>
      </c>
      <c r="D10614" t="s">
        <v>4197</v>
      </c>
      <c r="E10614" t="s">
        <v>4198</v>
      </c>
      <c r="G10614" t="s">
        <v>3684</v>
      </c>
      <c r="H10614" t="s">
        <v>3685</v>
      </c>
      <c r="J10614" t="s">
        <v>3686</v>
      </c>
      <c r="L10614" t="s">
        <v>74</v>
      </c>
      <c r="M10614" t="s">
        <v>75</v>
      </c>
      <c r="R10614" t="s">
        <v>4199</v>
      </c>
      <c r="W10614" t="s">
        <v>4198</v>
      </c>
      <c r="X10614" t="s">
        <v>920</v>
      </c>
      <c r="Y10614" t="s">
        <v>97</v>
      </c>
      <c r="Z10614" t="s">
        <v>77</v>
      </c>
      <c r="AA10614" t="str">
        <f>"10170-1699"</f>
        <v>10170-1699</v>
      </c>
      <c r="AB10614" t="s">
        <v>78</v>
      </c>
      <c r="AC10614" t="s">
        <v>79</v>
      </c>
      <c r="AD10614" t="s">
        <v>75</v>
      </c>
      <c r="AE10614" t="s">
        <v>80</v>
      </c>
      <c r="AG10614" t="s">
        <v>81</v>
      </c>
    </row>
    <row r="10615" spans="1:33" x14ac:dyDescent="0.25">
      <c r="A10615" t="str">
        <f>"1558523761"</f>
        <v>1558523761</v>
      </c>
      <c r="B10615" t="str">
        <f>"04141613"</f>
        <v>04141613</v>
      </c>
      <c r="C10615" t="s">
        <v>4099</v>
      </c>
      <c r="D10615" t="s">
        <v>4100</v>
      </c>
      <c r="E10615" t="s">
        <v>4101</v>
      </c>
      <c r="G10615" t="s">
        <v>3684</v>
      </c>
      <c r="H10615" t="s">
        <v>3685</v>
      </c>
      <c r="J10615" t="s">
        <v>3686</v>
      </c>
      <c r="L10615" t="s">
        <v>74</v>
      </c>
      <c r="M10615" t="s">
        <v>75</v>
      </c>
      <c r="R10615" t="s">
        <v>4102</v>
      </c>
      <c r="W10615" t="s">
        <v>4101</v>
      </c>
      <c r="X10615" t="s">
        <v>4103</v>
      </c>
      <c r="Y10615" t="s">
        <v>190</v>
      </c>
      <c r="Z10615" t="s">
        <v>77</v>
      </c>
      <c r="AA10615" t="str">
        <f>"11106-5121"</f>
        <v>11106-5121</v>
      </c>
      <c r="AB10615" t="s">
        <v>78</v>
      </c>
      <c r="AC10615" t="s">
        <v>79</v>
      </c>
      <c r="AD10615" t="s">
        <v>75</v>
      </c>
      <c r="AE10615" t="s">
        <v>80</v>
      </c>
      <c r="AG10615" t="s">
        <v>81</v>
      </c>
    </row>
    <row r="10616" spans="1:33" x14ac:dyDescent="0.25">
      <c r="A10616" t="str">
        <f>"1568742781"</f>
        <v>1568742781</v>
      </c>
      <c r="B10616" t="str">
        <f>"03809405"</f>
        <v>03809405</v>
      </c>
      <c r="C10616" t="s">
        <v>4110</v>
      </c>
      <c r="D10616" t="s">
        <v>4111</v>
      </c>
      <c r="E10616" t="s">
        <v>4112</v>
      </c>
      <c r="G10616" t="s">
        <v>3684</v>
      </c>
      <c r="H10616" t="s">
        <v>3685</v>
      </c>
      <c r="J10616" t="s">
        <v>3686</v>
      </c>
      <c r="L10616" t="s">
        <v>74</v>
      </c>
      <c r="M10616" t="s">
        <v>75</v>
      </c>
      <c r="R10616" t="s">
        <v>4113</v>
      </c>
      <c r="W10616" t="s">
        <v>4112</v>
      </c>
      <c r="X10616" t="s">
        <v>3824</v>
      </c>
      <c r="Y10616" t="s">
        <v>141</v>
      </c>
      <c r="Z10616" t="s">
        <v>77</v>
      </c>
      <c r="AA10616" t="str">
        <f>"11377-5771"</f>
        <v>11377-5771</v>
      </c>
      <c r="AB10616" t="s">
        <v>78</v>
      </c>
      <c r="AC10616" t="s">
        <v>79</v>
      </c>
      <c r="AD10616" t="s">
        <v>75</v>
      </c>
      <c r="AE10616" t="s">
        <v>80</v>
      </c>
      <c r="AG10616" t="s">
        <v>81</v>
      </c>
    </row>
    <row r="10617" spans="1:33" x14ac:dyDescent="0.25">
      <c r="A10617" t="str">
        <f>"1598016933"</f>
        <v>1598016933</v>
      </c>
      <c r="B10617" t="str">
        <f>"04050831"</f>
        <v>04050831</v>
      </c>
      <c r="C10617" t="s">
        <v>4003</v>
      </c>
      <c r="D10617" t="s">
        <v>4004</v>
      </c>
      <c r="E10617" t="s">
        <v>4005</v>
      </c>
      <c r="G10617" t="s">
        <v>3684</v>
      </c>
      <c r="H10617" t="s">
        <v>3685</v>
      </c>
      <c r="J10617" t="s">
        <v>3686</v>
      </c>
      <c r="L10617" t="s">
        <v>74</v>
      </c>
      <c r="M10617" t="s">
        <v>75</v>
      </c>
      <c r="R10617" t="s">
        <v>4006</v>
      </c>
      <c r="W10617" t="s">
        <v>4005</v>
      </c>
      <c r="X10617" t="s">
        <v>3664</v>
      </c>
      <c r="Y10617" t="s">
        <v>87</v>
      </c>
      <c r="Z10617" t="s">
        <v>77</v>
      </c>
      <c r="AA10617" t="str">
        <f>"11204-6081"</f>
        <v>11204-6081</v>
      </c>
      <c r="AB10617" t="s">
        <v>78</v>
      </c>
      <c r="AC10617" t="s">
        <v>79</v>
      </c>
      <c r="AD10617" t="s">
        <v>75</v>
      </c>
      <c r="AE10617" t="s">
        <v>80</v>
      </c>
      <c r="AG10617" t="s">
        <v>81</v>
      </c>
    </row>
    <row r="10618" spans="1:33" x14ac:dyDescent="0.25">
      <c r="A10618" t="str">
        <f>"1669457289"</f>
        <v>1669457289</v>
      </c>
      <c r="B10618" t="str">
        <f>"03081821"</f>
        <v>03081821</v>
      </c>
      <c r="C10618" t="s">
        <v>3681</v>
      </c>
      <c r="D10618" t="s">
        <v>3682</v>
      </c>
      <c r="E10618" t="s">
        <v>3683</v>
      </c>
      <c r="G10618" t="s">
        <v>3684</v>
      </c>
      <c r="H10618" t="s">
        <v>3685</v>
      </c>
      <c r="J10618" t="s">
        <v>3686</v>
      </c>
      <c r="L10618" t="s">
        <v>83</v>
      </c>
      <c r="M10618" t="s">
        <v>85</v>
      </c>
      <c r="R10618" t="s">
        <v>3687</v>
      </c>
      <c r="W10618" t="s">
        <v>3688</v>
      </c>
      <c r="X10618" t="s">
        <v>3689</v>
      </c>
      <c r="Y10618" t="s">
        <v>3539</v>
      </c>
      <c r="Z10618" t="s">
        <v>77</v>
      </c>
      <c r="AA10618" t="str">
        <f>"11510-1019"</f>
        <v>11510-1019</v>
      </c>
      <c r="AB10618" t="s">
        <v>78</v>
      </c>
      <c r="AC10618" t="s">
        <v>79</v>
      </c>
      <c r="AD10618" t="s">
        <v>75</v>
      </c>
      <c r="AE10618" t="s">
        <v>80</v>
      </c>
      <c r="AG10618" t="s">
        <v>81</v>
      </c>
    </row>
    <row r="10619" spans="1:33" x14ac:dyDescent="0.25">
      <c r="A10619" t="str">
        <f>"1669601670"</f>
        <v>1669601670</v>
      </c>
      <c r="C10619" t="s">
        <v>4108</v>
      </c>
      <c r="G10619" t="s">
        <v>3684</v>
      </c>
      <c r="H10619" t="s">
        <v>3685</v>
      </c>
      <c r="J10619" t="s">
        <v>3686</v>
      </c>
      <c r="K10619" t="s">
        <v>99</v>
      </c>
      <c r="L10619" t="s">
        <v>102</v>
      </c>
      <c r="M10619" t="s">
        <v>75</v>
      </c>
      <c r="R10619" t="s">
        <v>4109</v>
      </c>
      <c r="S10619" t="s">
        <v>4043</v>
      </c>
      <c r="T10619" t="s">
        <v>97</v>
      </c>
      <c r="U10619" t="s">
        <v>77</v>
      </c>
      <c r="V10619" t="str">
        <f>"101700002"</f>
        <v>101700002</v>
      </c>
      <c r="AC10619" t="s">
        <v>79</v>
      </c>
      <c r="AD10619" t="s">
        <v>75</v>
      </c>
      <c r="AE10619" t="s">
        <v>103</v>
      </c>
      <c r="AG10619" t="s">
        <v>81</v>
      </c>
    </row>
    <row r="10620" spans="1:33" x14ac:dyDescent="0.25">
      <c r="A10620" t="str">
        <f>"1790035004"</f>
        <v>1790035004</v>
      </c>
      <c r="B10620" t="str">
        <f>"03574701"</f>
        <v>03574701</v>
      </c>
      <c r="C10620" t="s">
        <v>4211</v>
      </c>
      <c r="D10620" t="s">
        <v>4212</v>
      </c>
      <c r="E10620" t="s">
        <v>4213</v>
      </c>
      <c r="G10620" t="s">
        <v>3684</v>
      </c>
      <c r="H10620" t="s">
        <v>3685</v>
      </c>
      <c r="J10620" t="s">
        <v>3686</v>
      </c>
      <c r="L10620" t="s">
        <v>74</v>
      </c>
      <c r="M10620" t="s">
        <v>75</v>
      </c>
      <c r="R10620" t="s">
        <v>4213</v>
      </c>
      <c r="W10620" t="s">
        <v>4213</v>
      </c>
      <c r="X10620" t="s">
        <v>920</v>
      </c>
      <c r="Y10620" t="s">
        <v>97</v>
      </c>
      <c r="Z10620" t="s">
        <v>77</v>
      </c>
      <c r="AA10620" t="str">
        <f>"10170-1699"</f>
        <v>10170-1699</v>
      </c>
      <c r="AB10620" t="s">
        <v>78</v>
      </c>
      <c r="AC10620" t="s">
        <v>79</v>
      </c>
      <c r="AD10620" t="s">
        <v>75</v>
      </c>
      <c r="AE10620" t="s">
        <v>80</v>
      </c>
      <c r="AG10620" t="s">
        <v>81</v>
      </c>
    </row>
    <row r="10621" spans="1:33" x14ac:dyDescent="0.25">
      <c r="A10621" t="str">
        <f>"1790058261"</f>
        <v>1790058261</v>
      </c>
      <c r="B10621" t="str">
        <f>"04091094"</f>
        <v>04091094</v>
      </c>
      <c r="C10621" t="s">
        <v>3996</v>
      </c>
      <c r="D10621" t="s">
        <v>3997</v>
      </c>
      <c r="E10621" t="s">
        <v>3998</v>
      </c>
      <c r="G10621" t="s">
        <v>3684</v>
      </c>
      <c r="H10621" t="s">
        <v>3685</v>
      </c>
      <c r="J10621" t="s">
        <v>3686</v>
      </c>
      <c r="L10621" t="s">
        <v>102</v>
      </c>
      <c r="M10621" t="s">
        <v>75</v>
      </c>
      <c r="R10621" t="s">
        <v>3998</v>
      </c>
      <c r="W10621" t="s">
        <v>3998</v>
      </c>
      <c r="X10621" t="s">
        <v>3999</v>
      </c>
      <c r="Y10621" t="s">
        <v>3733</v>
      </c>
      <c r="Z10621" t="s">
        <v>77</v>
      </c>
      <c r="AA10621" t="str">
        <f>"11559-2030"</f>
        <v>11559-2030</v>
      </c>
      <c r="AB10621" t="s">
        <v>78</v>
      </c>
      <c r="AC10621" t="s">
        <v>79</v>
      </c>
      <c r="AD10621" t="s">
        <v>75</v>
      </c>
      <c r="AE10621" t="s">
        <v>80</v>
      </c>
      <c r="AG10621" t="s">
        <v>81</v>
      </c>
    </row>
    <row r="10622" spans="1:33" x14ac:dyDescent="0.25">
      <c r="A10622" t="str">
        <f>"1801230362"</f>
        <v>1801230362</v>
      </c>
      <c r="C10622" t="s">
        <v>4120</v>
      </c>
      <c r="G10622" t="s">
        <v>3684</v>
      </c>
      <c r="H10622" t="s">
        <v>3685</v>
      </c>
      <c r="J10622" t="s">
        <v>3686</v>
      </c>
      <c r="K10622" t="s">
        <v>99</v>
      </c>
      <c r="L10622" t="s">
        <v>102</v>
      </c>
      <c r="M10622" t="s">
        <v>75</v>
      </c>
      <c r="R10622" t="s">
        <v>4121</v>
      </c>
      <c r="S10622" t="s">
        <v>4122</v>
      </c>
      <c r="T10622" t="s">
        <v>434</v>
      </c>
      <c r="U10622" t="s">
        <v>77</v>
      </c>
      <c r="V10622" t="str">
        <f>"114222315"</f>
        <v>114222315</v>
      </c>
      <c r="AC10622" t="s">
        <v>79</v>
      </c>
      <c r="AD10622" t="s">
        <v>75</v>
      </c>
      <c r="AE10622" t="s">
        <v>103</v>
      </c>
      <c r="AG10622" t="s">
        <v>81</v>
      </c>
    </row>
    <row r="10623" spans="1:33" x14ac:dyDescent="0.25">
      <c r="A10623" t="str">
        <f>"1851496046"</f>
        <v>1851496046</v>
      </c>
      <c r="B10623" t="str">
        <f>"03627929"</f>
        <v>03627929</v>
      </c>
      <c r="C10623" t="s">
        <v>4203</v>
      </c>
      <c r="D10623" t="s">
        <v>4204</v>
      </c>
      <c r="E10623" t="s">
        <v>4205</v>
      </c>
      <c r="G10623" t="s">
        <v>3684</v>
      </c>
      <c r="H10623" t="s">
        <v>3685</v>
      </c>
      <c r="J10623" t="s">
        <v>3686</v>
      </c>
      <c r="L10623" t="s">
        <v>102</v>
      </c>
      <c r="M10623" t="s">
        <v>75</v>
      </c>
      <c r="R10623" t="s">
        <v>4206</v>
      </c>
      <c r="W10623" t="s">
        <v>4205</v>
      </c>
      <c r="X10623" t="s">
        <v>4207</v>
      </c>
      <c r="Y10623" t="s">
        <v>316</v>
      </c>
      <c r="Z10623" t="s">
        <v>77</v>
      </c>
      <c r="AA10623" t="str">
        <f>"10801-6431"</f>
        <v>10801-6431</v>
      </c>
      <c r="AB10623" t="s">
        <v>78</v>
      </c>
      <c r="AC10623" t="s">
        <v>79</v>
      </c>
      <c r="AD10623" t="s">
        <v>75</v>
      </c>
      <c r="AE10623" t="s">
        <v>80</v>
      </c>
      <c r="AG10623" t="s">
        <v>81</v>
      </c>
    </row>
    <row r="10624" spans="1:33" x14ac:dyDescent="0.25">
      <c r="A10624" t="str">
        <f>"1871934224"</f>
        <v>1871934224</v>
      </c>
      <c r="B10624" t="str">
        <f>"03873118"</f>
        <v>03873118</v>
      </c>
      <c r="C10624" t="s">
        <v>4021</v>
      </c>
      <c r="D10624" t="s">
        <v>4022</v>
      </c>
      <c r="E10624" t="s">
        <v>4023</v>
      </c>
      <c r="G10624" t="s">
        <v>3684</v>
      </c>
      <c r="H10624" t="s">
        <v>3685</v>
      </c>
      <c r="J10624" t="s">
        <v>3686</v>
      </c>
      <c r="L10624" t="s">
        <v>84</v>
      </c>
      <c r="M10624" t="s">
        <v>75</v>
      </c>
      <c r="R10624" t="s">
        <v>4024</v>
      </c>
      <c r="W10624" t="s">
        <v>4023</v>
      </c>
      <c r="X10624" t="s">
        <v>4025</v>
      </c>
      <c r="Y10624" t="s">
        <v>131</v>
      </c>
      <c r="Z10624" t="s">
        <v>77</v>
      </c>
      <c r="AA10624" t="str">
        <f>"10456-6704"</f>
        <v>10456-6704</v>
      </c>
      <c r="AB10624" t="s">
        <v>78</v>
      </c>
      <c r="AC10624" t="s">
        <v>79</v>
      </c>
      <c r="AD10624" t="s">
        <v>75</v>
      </c>
      <c r="AE10624" t="s">
        <v>80</v>
      </c>
      <c r="AG10624" t="s">
        <v>81</v>
      </c>
    </row>
    <row r="10625" spans="1:33" x14ac:dyDescent="0.25">
      <c r="A10625" t="str">
        <f>"1932301009"</f>
        <v>1932301009</v>
      </c>
      <c r="B10625" t="str">
        <f>"02979371"</f>
        <v>02979371</v>
      </c>
      <c r="C10625" t="s">
        <v>4092</v>
      </c>
      <c r="D10625" t="s">
        <v>4093</v>
      </c>
      <c r="E10625" t="s">
        <v>4094</v>
      </c>
      <c r="G10625" t="s">
        <v>3684</v>
      </c>
      <c r="H10625" t="s">
        <v>3685</v>
      </c>
      <c r="J10625" t="s">
        <v>3686</v>
      </c>
      <c r="L10625" t="s">
        <v>74</v>
      </c>
      <c r="M10625" t="s">
        <v>85</v>
      </c>
      <c r="R10625" t="s">
        <v>4095</v>
      </c>
      <c r="W10625" t="s">
        <v>4096</v>
      </c>
      <c r="X10625" t="s">
        <v>4097</v>
      </c>
      <c r="Y10625" t="s">
        <v>4098</v>
      </c>
      <c r="Z10625" t="s">
        <v>3878</v>
      </c>
      <c r="AA10625" t="str">
        <f>"75063-3107"</f>
        <v>75063-3107</v>
      </c>
      <c r="AB10625" t="s">
        <v>78</v>
      </c>
      <c r="AC10625" t="s">
        <v>79</v>
      </c>
      <c r="AD10625" t="s">
        <v>75</v>
      </c>
      <c r="AE10625" t="s">
        <v>80</v>
      </c>
      <c r="AG10625" t="s">
        <v>81</v>
      </c>
    </row>
    <row r="10626" spans="1:33" x14ac:dyDescent="0.25">
      <c r="A10626" t="str">
        <f>"1932546652"</f>
        <v>1932546652</v>
      </c>
      <c r="B10626" t="str">
        <f>"04039098"</f>
        <v>04039098</v>
      </c>
      <c r="C10626" t="s">
        <v>4223</v>
      </c>
      <c r="D10626" t="s">
        <v>4224</v>
      </c>
      <c r="E10626" t="s">
        <v>4225</v>
      </c>
      <c r="G10626" t="s">
        <v>3684</v>
      </c>
      <c r="H10626" t="s">
        <v>3685</v>
      </c>
      <c r="J10626" t="s">
        <v>3686</v>
      </c>
      <c r="L10626" t="s">
        <v>74</v>
      </c>
      <c r="M10626" t="s">
        <v>75</v>
      </c>
      <c r="R10626" t="s">
        <v>4225</v>
      </c>
      <c r="W10626" t="s">
        <v>4226</v>
      </c>
      <c r="X10626" t="s">
        <v>4227</v>
      </c>
      <c r="Y10626" t="s">
        <v>91</v>
      </c>
      <c r="Z10626" t="s">
        <v>77</v>
      </c>
      <c r="AA10626" t="str">
        <f>"11373-4831"</f>
        <v>11373-4831</v>
      </c>
      <c r="AB10626" t="s">
        <v>78</v>
      </c>
      <c r="AC10626" t="s">
        <v>79</v>
      </c>
      <c r="AD10626" t="s">
        <v>75</v>
      </c>
      <c r="AE10626" t="s">
        <v>80</v>
      </c>
      <c r="AG10626" t="s">
        <v>81</v>
      </c>
    </row>
    <row r="10627" spans="1:33" x14ac:dyDescent="0.25">
      <c r="A10627" t="str">
        <f>"1952654188"</f>
        <v>1952654188</v>
      </c>
      <c r="B10627" t="str">
        <f>"03688346"</f>
        <v>03688346</v>
      </c>
      <c r="C10627" t="s">
        <v>4218</v>
      </c>
      <c r="D10627" t="s">
        <v>4219</v>
      </c>
      <c r="E10627" t="s">
        <v>4220</v>
      </c>
      <c r="G10627" t="s">
        <v>3684</v>
      </c>
      <c r="H10627" t="s">
        <v>3685</v>
      </c>
      <c r="J10627" t="s">
        <v>3686</v>
      </c>
      <c r="L10627" t="s">
        <v>84</v>
      </c>
      <c r="M10627" t="s">
        <v>75</v>
      </c>
      <c r="R10627" t="s">
        <v>4221</v>
      </c>
      <c r="W10627" t="s">
        <v>4222</v>
      </c>
      <c r="X10627" t="s">
        <v>2822</v>
      </c>
      <c r="Y10627" t="s">
        <v>131</v>
      </c>
      <c r="Z10627" t="s">
        <v>77</v>
      </c>
      <c r="AA10627" t="str">
        <f>"10459-3270"</f>
        <v>10459-3270</v>
      </c>
      <c r="AB10627" t="s">
        <v>78</v>
      </c>
      <c r="AC10627" t="s">
        <v>79</v>
      </c>
      <c r="AD10627" t="s">
        <v>75</v>
      </c>
      <c r="AE10627" t="s">
        <v>80</v>
      </c>
      <c r="AG10627" t="s">
        <v>81</v>
      </c>
    </row>
    <row r="10628" spans="1:33" x14ac:dyDescent="0.25">
      <c r="A10628" t="str">
        <f>"1982030698"</f>
        <v>1982030698</v>
      </c>
      <c r="B10628" t="str">
        <f>"03873681"</f>
        <v>03873681</v>
      </c>
      <c r="C10628" t="s">
        <v>4192</v>
      </c>
      <c r="D10628" t="s">
        <v>4193</v>
      </c>
      <c r="E10628" t="s">
        <v>4194</v>
      </c>
      <c r="G10628" t="s">
        <v>3684</v>
      </c>
      <c r="H10628" t="s">
        <v>3685</v>
      </c>
      <c r="J10628" t="s">
        <v>3686</v>
      </c>
      <c r="L10628" t="s">
        <v>74</v>
      </c>
      <c r="M10628" t="s">
        <v>75</v>
      </c>
      <c r="R10628" t="s">
        <v>4194</v>
      </c>
      <c r="W10628" t="s">
        <v>4195</v>
      </c>
      <c r="X10628" t="s">
        <v>1329</v>
      </c>
      <c r="Y10628" t="s">
        <v>97</v>
      </c>
      <c r="Z10628" t="s">
        <v>77</v>
      </c>
      <c r="AA10628" t="str">
        <f>"10037-1802"</f>
        <v>10037-1802</v>
      </c>
      <c r="AB10628" t="s">
        <v>78</v>
      </c>
      <c r="AC10628" t="s">
        <v>79</v>
      </c>
      <c r="AD10628" t="s">
        <v>75</v>
      </c>
      <c r="AE10628" t="s">
        <v>80</v>
      </c>
      <c r="AG10628" t="s">
        <v>81</v>
      </c>
    </row>
    <row r="10629" spans="1:33" x14ac:dyDescent="0.25">
      <c r="A10629" t="str">
        <f>"1982852497"</f>
        <v>1982852497</v>
      </c>
      <c r="B10629" t="str">
        <f>"02679972"</f>
        <v>02679972</v>
      </c>
      <c r="C10629" t="s">
        <v>5558</v>
      </c>
      <c r="D10629" t="s">
        <v>3777</v>
      </c>
      <c r="E10629" t="s">
        <v>3778</v>
      </c>
      <c r="G10629" t="s">
        <v>3684</v>
      </c>
      <c r="H10629" t="s">
        <v>3685</v>
      </c>
      <c r="J10629" t="s">
        <v>3686</v>
      </c>
      <c r="L10629" t="s">
        <v>84</v>
      </c>
      <c r="M10629" t="s">
        <v>85</v>
      </c>
      <c r="R10629" t="s">
        <v>3779</v>
      </c>
      <c r="W10629" t="s">
        <v>3778</v>
      </c>
      <c r="X10629" t="s">
        <v>251</v>
      </c>
      <c r="Y10629" t="s">
        <v>87</v>
      </c>
      <c r="Z10629" t="s">
        <v>77</v>
      </c>
      <c r="AA10629" t="str">
        <f>"11203-1851"</f>
        <v>11203-1851</v>
      </c>
      <c r="AB10629" t="s">
        <v>93</v>
      </c>
      <c r="AC10629" t="s">
        <v>79</v>
      </c>
      <c r="AD10629" t="s">
        <v>75</v>
      </c>
      <c r="AE10629" t="s">
        <v>80</v>
      </c>
      <c r="AG10629" t="s">
        <v>81</v>
      </c>
    </row>
    <row r="10630" spans="1:33" x14ac:dyDescent="0.25">
      <c r="A10630" t="str">
        <f>"1396161691"</f>
        <v>1396161691</v>
      </c>
      <c r="C10630" t="s">
        <v>4285</v>
      </c>
      <c r="G10630" t="s">
        <v>4286</v>
      </c>
      <c r="H10630" t="s">
        <v>4287</v>
      </c>
      <c r="J10630" t="s">
        <v>3174</v>
      </c>
      <c r="K10630" t="s">
        <v>99</v>
      </c>
      <c r="L10630" t="s">
        <v>102</v>
      </c>
      <c r="M10630" t="s">
        <v>75</v>
      </c>
      <c r="R10630" t="s">
        <v>4288</v>
      </c>
      <c r="S10630" t="s">
        <v>4289</v>
      </c>
      <c r="T10630" t="s">
        <v>1935</v>
      </c>
      <c r="U10630" t="s">
        <v>77</v>
      </c>
      <c r="V10630" t="str">
        <f>"117797667"</f>
        <v>117797667</v>
      </c>
      <c r="AC10630" t="s">
        <v>79</v>
      </c>
      <c r="AD10630" t="s">
        <v>75</v>
      </c>
      <c r="AE10630" t="s">
        <v>103</v>
      </c>
      <c r="AG10630" t="s">
        <v>81</v>
      </c>
    </row>
    <row r="10631" spans="1:33" x14ac:dyDescent="0.25">
      <c r="A10631" t="str">
        <f>"1265657290"</f>
        <v>1265657290</v>
      </c>
      <c r="B10631" t="str">
        <f>"03105002"</f>
        <v>03105002</v>
      </c>
      <c r="C10631" t="s">
        <v>43398</v>
      </c>
      <c r="D10631" t="s">
        <v>43399</v>
      </c>
      <c r="E10631" t="s">
        <v>43400</v>
      </c>
      <c r="H10631" t="s">
        <v>43401</v>
      </c>
      <c r="L10631" t="s">
        <v>16</v>
      </c>
      <c r="M10631" t="s">
        <v>75</v>
      </c>
      <c r="R10631" t="s">
        <v>43402</v>
      </c>
      <c r="W10631" t="s">
        <v>43400</v>
      </c>
      <c r="X10631" t="s">
        <v>43403</v>
      </c>
      <c r="Y10631" t="s">
        <v>892</v>
      </c>
      <c r="Z10631" t="s">
        <v>156</v>
      </c>
      <c r="AA10631" t="str">
        <f>"08873-4185"</f>
        <v>08873-4185</v>
      </c>
      <c r="AB10631" t="s">
        <v>132</v>
      </c>
      <c r="AC10631" t="s">
        <v>79</v>
      </c>
      <c r="AD10631" t="s">
        <v>75</v>
      </c>
      <c r="AE10631" t="s">
        <v>80</v>
      </c>
      <c r="AG10631" t="s">
        <v>81</v>
      </c>
    </row>
    <row r="10632" spans="1:33" x14ac:dyDescent="0.25">
      <c r="A10632" t="str">
        <f>"1124210661"</f>
        <v>1124210661</v>
      </c>
      <c r="B10632" t="str">
        <f>"02491463"</f>
        <v>02491463</v>
      </c>
      <c r="C10632" t="s">
        <v>43404</v>
      </c>
      <c r="D10632" t="s">
        <v>43405</v>
      </c>
      <c r="E10632" t="s">
        <v>43406</v>
      </c>
      <c r="G10632" t="s">
        <v>43407</v>
      </c>
      <c r="H10632" t="s">
        <v>43408</v>
      </c>
      <c r="I10632">
        <v>3052</v>
      </c>
      <c r="J10632" t="s">
        <v>43409</v>
      </c>
      <c r="L10632" t="s">
        <v>37</v>
      </c>
      <c r="M10632" t="s">
        <v>75</v>
      </c>
      <c r="R10632" t="s">
        <v>43410</v>
      </c>
      <c r="W10632" t="s">
        <v>43406</v>
      </c>
      <c r="X10632" t="s">
        <v>43411</v>
      </c>
      <c r="Y10632" t="s">
        <v>129</v>
      </c>
      <c r="Z10632" t="s">
        <v>77</v>
      </c>
      <c r="AA10632" t="str">
        <f>"11372-3970"</f>
        <v>11372-3970</v>
      </c>
      <c r="AB10632" t="s">
        <v>107</v>
      </c>
      <c r="AC10632" t="s">
        <v>79</v>
      </c>
      <c r="AD10632" t="s">
        <v>75</v>
      </c>
      <c r="AE10632" t="s">
        <v>80</v>
      </c>
      <c r="AG10632" t="s">
        <v>81</v>
      </c>
    </row>
    <row r="10633" spans="1:33" x14ac:dyDescent="0.25">
      <c r="A10633" t="str">
        <f>"1700870193"</f>
        <v>1700870193</v>
      </c>
      <c r="B10633" t="str">
        <f>"01196818"</f>
        <v>01196818</v>
      </c>
      <c r="C10633" t="s">
        <v>43412</v>
      </c>
      <c r="D10633" t="s">
        <v>43413</v>
      </c>
      <c r="E10633" t="s">
        <v>43414</v>
      </c>
      <c r="G10633" t="s">
        <v>43415</v>
      </c>
      <c r="H10633" t="s">
        <v>43408</v>
      </c>
      <c r="I10633">
        <v>3055</v>
      </c>
      <c r="J10633" t="s">
        <v>43416</v>
      </c>
      <c r="L10633" t="s">
        <v>74</v>
      </c>
      <c r="M10633" t="s">
        <v>75</v>
      </c>
      <c r="R10633" t="s">
        <v>43417</v>
      </c>
      <c r="W10633" t="s">
        <v>43414</v>
      </c>
      <c r="X10633" t="s">
        <v>5917</v>
      </c>
      <c r="Y10633" t="s">
        <v>87</v>
      </c>
      <c r="Z10633" t="s">
        <v>77</v>
      </c>
      <c r="AA10633" t="str">
        <f>"11221-1971"</f>
        <v>11221-1971</v>
      </c>
      <c r="AB10633" t="s">
        <v>78</v>
      </c>
      <c r="AC10633" t="s">
        <v>79</v>
      </c>
      <c r="AD10633" t="s">
        <v>75</v>
      </c>
      <c r="AE10633" t="s">
        <v>80</v>
      </c>
      <c r="AG10633" t="s">
        <v>81</v>
      </c>
    </row>
    <row r="10634" spans="1:33" x14ac:dyDescent="0.25">
      <c r="C10634" t="s">
        <v>5880</v>
      </c>
      <c r="G10634" t="s">
        <v>5633</v>
      </c>
      <c r="H10634" t="s">
        <v>4867</v>
      </c>
      <c r="I10634">
        <v>135</v>
      </c>
      <c r="J10634" t="s">
        <v>5634</v>
      </c>
      <c r="K10634" t="s">
        <v>99</v>
      </c>
      <c r="L10634" t="s">
        <v>100</v>
      </c>
      <c r="M10634" t="s">
        <v>75</v>
      </c>
      <c r="N10634" t="s">
        <v>43418</v>
      </c>
      <c r="O10634" t="s">
        <v>15456</v>
      </c>
      <c r="P10634" t="s">
        <v>156</v>
      </c>
      <c r="Q10634" t="str">
        <f>"6457"</f>
        <v>6457</v>
      </c>
      <c r="AC10634" t="s">
        <v>79</v>
      </c>
      <c r="AD10634" t="s">
        <v>75</v>
      </c>
      <c r="AE10634" t="s">
        <v>101</v>
      </c>
      <c r="AG10634" t="s">
        <v>81</v>
      </c>
    </row>
    <row r="10635" spans="1:33" x14ac:dyDescent="0.25">
      <c r="C10635" t="s">
        <v>5958</v>
      </c>
      <c r="G10635" t="s">
        <v>5633</v>
      </c>
      <c r="H10635" t="s">
        <v>4867</v>
      </c>
      <c r="I10635">
        <v>135</v>
      </c>
      <c r="J10635" t="s">
        <v>5634</v>
      </c>
      <c r="K10635" t="s">
        <v>99</v>
      </c>
      <c r="L10635" t="s">
        <v>100</v>
      </c>
      <c r="M10635" t="s">
        <v>75</v>
      </c>
      <c r="N10635" t="s">
        <v>43419</v>
      </c>
      <c r="O10635" t="s">
        <v>16193</v>
      </c>
      <c r="P10635" t="s">
        <v>77</v>
      </c>
      <c r="Q10635" t="str">
        <f>"10502"</f>
        <v>10502</v>
      </c>
      <c r="AC10635" t="s">
        <v>79</v>
      </c>
      <c r="AD10635" t="s">
        <v>75</v>
      </c>
      <c r="AE10635" t="s">
        <v>101</v>
      </c>
      <c r="AG10635" t="s">
        <v>81</v>
      </c>
    </row>
    <row r="10636" spans="1:33" x14ac:dyDescent="0.25">
      <c r="C10636" t="s">
        <v>472</v>
      </c>
      <c r="G10636" t="s">
        <v>5633</v>
      </c>
      <c r="H10636" t="s">
        <v>4867</v>
      </c>
      <c r="I10636">
        <v>135</v>
      </c>
      <c r="J10636" t="s">
        <v>5634</v>
      </c>
      <c r="K10636" t="s">
        <v>99</v>
      </c>
      <c r="L10636" t="s">
        <v>100</v>
      </c>
      <c r="M10636" t="s">
        <v>75</v>
      </c>
      <c r="N10636" t="s">
        <v>43420</v>
      </c>
      <c r="O10636" t="s">
        <v>431</v>
      </c>
      <c r="P10636" t="s">
        <v>77</v>
      </c>
      <c r="Q10636" t="str">
        <f>"11237"</f>
        <v>11237</v>
      </c>
      <c r="AC10636" t="s">
        <v>79</v>
      </c>
      <c r="AD10636" t="s">
        <v>75</v>
      </c>
      <c r="AE10636" t="s">
        <v>101</v>
      </c>
      <c r="AG10636" t="s">
        <v>81</v>
      </c>
    </row>
    <row r="10637" spans="1:33" x14ac:dyDescent="0.25">
      <c r="C10637" t="s">
        <v>5967</v>
      </c>
      <c r="G10637" t="s">
        <v>5633</v>
      </c>
      <c r="H10637" t="s">
        <v>4867</v>
      </c>
      <c r="I10637">
        <v>135</v>
      </c>
      <c r="J10637" t="s">
        <v>5634</v>
      </c>
      <c r="K10637" t="s">
        <v>99</v>
      </c>
      <c r="L10637" t="s">
        <v>100</v>
      </c>
      <c r="M10637" t="s">
        <v>75</v>
      </c>
      <c r="N10637" t="s">
        <v>4067</v>
      </c>
      <c r="O10637" t="s">
        <v>296</v>
      </c>
      <c r="P10637" t="s">
        <v>77</v>
      </c>
      <c r="Q10637" t="str">
        <f>"10657"</f>
        <v>10657</v>
      </c>
      <c r="AC10637" t="s">
        <v>79</v>
      </c>
      <c r="AD10637" t="s">
        <v>75</v>
      </c>
      <c r="AE10637" t="s">
        <v>101</v>
      </c>
      <c r="AG10637" t="s">
        <v>81</v>
      </c>
    </row>
    <row r="10638" spans="1:33" x14ac:dyDescent="0.25">
      <c r="A10638" t="str">
        <f>"1245412725"</f>
        <v>1245412725</v>
      </c>
      <c r="B10638" t="str">
        <f>"03541348"</f>
        <v>03541348</v>
      </c>
      <c r="C10638" t="s">
        <v>43421</v>
      </c>
      <c r="D10638" t="s">
        <v>43422</v>
      </c>
      <c r="E10638" t="s">
        <v>43423</v>
      </c>
      <c r="G10638" t="s">
        <v>43421</v>
      </c>
      <c r="L10638" t="s">
        <v>84</v>
      </c>
      <c r="M10638" t="s">
        <v>75</v>
      </c>
      <c r="R10638" t="s">
        <v>43424</v>
      </c>
      <c r="W10638" t="s">
        <v>43423</v>
      </c>
      <c r="X10638" t="s">
        <v>2779</v>
      </c>
      <c r="Y10638" t="s">
        <v>87</v>
      </c>
      <c r="Z10638" t="s">
        <v>77</v>
      </c>
      <c r="AA10638" t="str">
        <f>"11217-1702"</f>
        <v>11217-1702</v>
      </c>
      <c r="AB10638" t="s">
        <v>78</v>
      </c>
      <c r="AC10638" t="s">
        <v>79</v>
      </c>
      <c r="AD10638" t="s">
        <v>75</v>
      </c>
      <c r="AE10638" t="s">
        <v>80</v>
      </c>
      <c r="AG10638" t="s">
        <v>81</v>
      </c>
    </row>
    <row r="10639" spans="1:33" x14ac:dyDescent="0.25">
      <c r="A10639" t="str">
        <f>"1245462720"</f>
        <v>1245462720</v>
      </c>
      <c r="B10639" t="str">
        <f>"03192234"</f>
        <v>03192234</v>
      </c>
      <c r="C10639" t="s">
        <v>43425</v>
      </c>
      <c r="D10639" t="s">
        <v>43426</v>
      </c>
      <c r="E10639" t="s">
        <v>43427</v>
      </c>
      <c r="G10639" t="s">
        <v>43425</v>
      </c>
      <c r="L10639" t="s">
        <v>83</v>
      </c>
      <c r="M10639" t="s">
        <v>75</v>
      </c>
      <c r="R10639" t="s">
        <v>43428</v>
      </c>
      <c r="W10639" t="s">
        <v>43427</v>
      </c>
      <c r="X10639" t="s">
        <v>12683</v>
      </c>
      <c r="Y10639" t="s">
        <v>87</v>
      </c>
      <c r="Z10639" t="s">
        <v>77</v>
      </c>
      <c r="AA10639" t="str">
        <f>"11204-4045"</f>
        <v>11204-4045</v>
      </c>
      <c r="AB10639" t="s">
        <v>109</v>
      </c>
      <c r="AC10639" t="s">
        <v>79</v>
      </c>
      <c r="AD10639" t="s">
        <v>75</v>
      </c>
      <c r="AE10639" t="s">
        <v>80</v>
      </c>
      <c r="AG10639" t="s">
        <v>81</v>
      </c>
    </row>
    <row r="10640" spans="1:33" x14ac:dyDescent="0.25">
      <c r="A10640" t="str">
        <f>"1265488597"</f>
        <v>1265488597</v>
      </c>
      <c r="B10640" t="str">
        <f>"01839541"</f>
        <v>01839541</v>
      </c>
      <c r="C10640" t="s">
        <v>43429</v>
      </c>
      <c r="D10640" t="s">
        <v>43430</v>
      </c>
      <c r="E10640" t="s">
        <v>43431</v>
      </c>
      <c r="G10640" t="s">
        <v>43429</v>
      </c>
      <c r="L10640" t="s">
        <v>83</v>
      </c>
      <c r="M10640" t="s">
        <v>75</v>
      </c>
      <c r="R10640" t="s">
        <v>43432</v>
      </c>
      <c r="W10640" t="s">
        <v>43431</v>
      </c>
      <c r="X10640" t="s">
        <v>4916</v>
      </c>
      <c r="Y10640" t="s">
        <v>171</v>
      </c>
      <c r="Z10640" t="s">
        <v>77</v>
      </c>
      <c r="AA10640" t="str">
        <f>"11432-4727"</f>
        <v>11432-4727</v>
      </c>
      <c r="AB10640" t="s">
        <v>78</v>
      </c>
      <c r="AC10640" t="s">
        <v>79</v>
      </c>
      <c r="AD10640" t="s">
        <v>75</v>
      </c>
      <c r="AE10640" t="s">
        <v>80</v>
      </c>
      <c r="AG10640" t="s">
        <v>81</v>
      </c>
    </row>
    <row r="10641" spans="1:33" x14ac:dyDescent="0.25">
      <c r="A10641" t="str">
        <f>"1265496434"</f>
        <v>1265496434</v>
      </c>
      <c r="B10641" t="str">
        <f>"01838999"</f>
        <v>01838999</v>
      </c>
      <c r="C10641" t="s">
        <v>43433</v>
      </c>
      <c r="D10641" t="s">
        <v>43434</v>
      </c>
      <c r="E10641" t="s">
        <v>43435</v>
      </c>
      <c r="G10641" t="s">
        <v>43433</v>
      </c>
      <c r="L10641" t="s">
        <v>84</v>
      </c>
      <c r="M10641" t="s">
        <v>75</v>
      </c>
      <c r="R10641" t="s">
        <v>43435</v>
      </c>
      <c r="W10641" t="s">
        <v>43436</v>
      </c>
      <c r="X10641" t="s">
        <v>40667</v>
      </c>
      <c r="Y10641" t="s">
        <v>87</v>
      </c>
      <c r="Z10641" t="s">
        <v>77</v>
      </c>
      <c r="AA10641" t="str">
        <f>"11201-3628"</f>
        <v>11201-3628</v>
      </c>
      <c r="AB10641" t="s">
        <v>78</v>
      </c>
      <c r="AC10641" t="s">
        <v>79</v>
      </c>
      <c r="AD10641" t="s">
        <v>75</v>
      </c>
      <c r="AE10641" t="s">
        <v>80</v>
      </c>
      <c r="AG10641" t="s">
        <v>81</v>
      </c>
    </row>
    <row r="10642" spans="1:33" x14ac:dyDescent="0.25">
      <c r="A10642" t="str">
        <f>"1265665616"</f>
        <v>1265665616</v>
      </c>
      <c r="B10642" t="str">
        <f>"03459592"</f>
        <v>03459592</v>
      </c>
      <c r="C10642" t="s">
        <v>43437</v>
      </c>
      <c r="D10642" t="s">
        <v>43438</v>
      </c>
      <c r="E10642" t="s">
        <v>43439</v>
      </c>
      <c r="G10642" t="s">
        <v>43437</v>
      </c>
      <c r="L10642" t="s">
        <v>83</v>
      </c>
      <c r="M10642" t="s">
        <v>75</v>
      </c>
      <c r="R10642" t="s">
        <v>43440</v>
      </c>
      <c r="W10642" t="s">
        <v>43439</v>
      </c>
      <c r="X10642" t="s">
        <v>590</v>
      </c>
      <c r="Y10642" t="s">
        <v>97</v>
      </c>
      <c r="Z10642" t="s">
        <v>77</v>
      </c>
      <c r="AA10642" t="str">
        <f>"10128-4077"</f>
        <v>10128-4077</v>
      </c>
      <c r="AB10642" t="s">
        <v>440</v>
      </c>
      <c r="AC10642" t="s">
        <v>79</v>
      </c>
      <c r="AD10642" t="s">
        <v>75</v>
      </c>
      <c r="AE10642" t="s">
        <v>80</v>
      </c>
      <c r="AG10642" t="s">
        <v>81</v>
      </c>
    </row>
    <row r="10643" spans="1:33" x14ac:dyDescent="0.25">
      <c r="A10643" t="str">
        <f>"1265842900"</f>
        <v>1265842900</v>
      </c>
      <c r="B10643" t="str">
        <f>"03983882"</f>
        <v>03983882</v>
      </c>
      <c r="C10643" t="s">
        <v>43441</v>
      </c>
      <c r="D10643" t="s">
        <v>43442</v>
      </c>
      <c r="E10643" t="s">
        <v>43443</v>
      </c>
      <c r="G10643" t="s">
        <v>43441</v>
      </c>
      <c r="L10643" t="s">
        <v>83</v>
      </c>
      <c r="M10643" t="s">
        <v>75</v>
      </c>
      <c r="R10643" t="s">
        <v>43444</v>
      </c>
      <c r="W10643" t="s">
        <v>43443</v>
      </c>
      <c r="X10643" t="s">
        <v>590</v>
      </c>
      <c r="Y10643" t="s">
        <v>97</v>
      </c>
      <c r="Z10643" t="s">
        <v>77</v>
      </c>
      <c r="AA10643" t="str">
        <f>"10128-4077"</f>
        <v>10128-4077</v>
      </c>
      <c r="AB10643" t="s">
        <v>78</v>
      </c>
      <c r="AC10643" t="s">
        <v>79</v>
      </c>
      <c r="AD10643" t="s">
        <v>75</v>
      </c>
      <c r="AE10643" t="s">
        <v>80</v>
      </c>
      <c r="AG10643" t="s">
        <v>81</v>
      </c>
    </row>
    <row r="10644" spans="1:33" x14ac:dyDescent="0.25">
      <c r="A10644" t="str">
        <f>"1275641672"</f>
        <v>1275641672</v>
      </c>
      <c r="B10644" t="str">
        <f>"02708978"</f>
        <v>02708978</v>
      </c>
      <c r="C10644" t="s">
        <v>43445</v>
      </c>
      <c r="D10644" t="s">
        <v>43446</v>
      </c>
      <c r="E10644" t="s">
        <v>43447</v>
      </c>
      <c r="G10644" t="s">
        <v>43445</v>
      </c>
      <c r="L10644" t="s">
        <v>84</v>
      </c>
      <c r="M10644" t="s">
        <v>75</v>
      </c>
      <c r="R10644" t="s">
        <v>43448</v>
      </c>
      <c r="W10644" t="s">
        <v>43447</v>
      </c>
      <c r="X10644" t="s">
        <v>43449</v>
      </c>
      <c r="Y10644" t="s">
        <v>87</v>
      </c>
      <c r="Z10644" t="s">
        <v>77</v>
      </c>
      <c r="AA10644" t="str">
        <f>"11201-1204"</f>
        <v>11201-1204</v>
      </c>
      <c r="AB10644" t="s">
        <v>78</v>
      </c>
      <c r="AC10644" t="s">
        <v>79</v>
      </c>
      <c r="AD10644" t="s">
        <v>75</v>
      </c>
      <c r="AE10644" t="s">
        <v>80</v>
      </c>
      <c r="AG10644" t="s">
        <v>81</v>
      </c>
    </row>
    <row r="10645" spans="1:33" x14ac:dyDescent="0.25">
      <c r="A10645" t="str">
        <f>"1275963597"</f>
        <v>1275963597</v>
      </c>
      <c r="C10645" t="s">
        <v>43450</v>
      </c>
      <c r="G10645" t="s">
        <v>43450</v>
      </c>
      <c r="K10645" t="s">
        <v>99</v>
      </c>
      <c r="L10645" t="s">
        <v>102</v>
      </c>
      <c r="M10645" t="s">
        <v>75</v>
      </c>
      <c r="R10645" t="s">
        <v>43451</v>
      </c>
      <c r="S10645" t="s">
        <v>43452</v>
      </c>
      <c r="T10645" t="s">
        <v>220</v>
      </c>
      <c r="U10645" t="s">
        <v>77</v>
      </c>
      <c r="V10645" t="str">
        <f>"11784"</f>
        <v>11784</v>
      </c>
      <c r="AC10645" t="s">
        <v>79</v>
      </c>
      <c r="AD10645" t="s">
        <v>75</v>
      </c>
      <c r="AE10645" t="s">
        <v>103</v>
      </c>
      <c r="AG10645" t="s">
        <v>81</v>
      </c>
    </row>
    <row r="10646" spans="1:33" x14ac:dyDescent="0.25">
      <c r="A10646" t="str">
        <f>"1285619106"</f>
        <v>1285619106</v>
      </c>
      <c r="B10646" t="str">
        <f>"01976883"</f>
        <v>01976883</v>
      </c>
      <c r="C10646" t="s">
        <v>43453</v>
      </c>
      <c r="D10646" t="s">
        <v>43454</v>
      </c>
      <c r="E10646" t="s">
        <v>43455</v>
      </c>
      <c r="G10646" t="s">
        <v>43453</v>
      </c>
      <c r="L10646" t="s">
        <v>83</v>
      </c>
      <c r="M10646" t="s">
        <v>75</v>
      </c>
      <c r="R10646" t="s">
        <v>43456</v>
      </c>
      <c r="W10646" t="s">
        <v>43455</v>
      </c>
      <c r="X10646" t="s">
        <v>43457</v>
      </c>
      <c r="Y10646" t="s">
        <v>155</v>
      </c>
      <c r="Z10646" t="s">
        <v>77</v>
      </c>
      <c r="AA10646" t="str">
        <f>"10305-3498"</f>
        <v>10305-3498</v>
      </c>
      <c r="AB10646" t="s">
        <v>78</v>
      </c>
      <c r="AC10646" t="s">
        <v>79</v>
      </c>
      <c r="AD10646" t="s">
        <v>75</v>
      </c>
      <c r="AE10646" t="s">
        <v>80</v>
      </c>
      <c r="AG10646" t="s">
        <v>81</v>
      </c>
    </row>
    <row r="10647" spans="1:33" x14ac:dyDescent="0.25">
      <c r="A10647" t="str">
        <f>"1285694240"</f>
        <v>1285694240</v>
      </c>
      <c r="B10647" t="str">
        <f>"00716990"</f>
        <v>00716990</v>
      </c>
      <c r="C10647" t="s">
        <v>43458</v>
      </c>
      <c r="D10647" t="s">
        <v>43459</v>
      </c>
      <c r="E10647" t="s">
        <v>43460</v>
      </c>
      <c r="G10647" t="s">
        <v>43458</v>
      </c>
      <c r="L10647" t="s">
        <v>84</v>
      </c>
      <c r="M10647" t="s">
        <v>75</v>
      </c>
      <c r="R10647" t="s">
        <v>43461</v>
      </c>
      <c r="W10647" t="s">
        <v>43460</v>
      </c>
      <c r="X10647" t="s">
        <v>43462</v>
      </c>
      <c r="Y10647" t="s">
        <v>155</v>
      </c>
      <c r="Z10647" t="s">
        <v>77</v>
      </c>
      <c r="AA10647" t="str">
        <f>"10301-3027"</f>
        <v>10301-3027</v>
      </c>
      <c r="AB10647" t="s">
        <v>78</v>
      </c>
      <c r="AC10647" t="s">
        <v>79</v>
      </c>
      <c r="AD10647" t="s">
        <v>75</v>
      </c>
      <c r="AE10647" t="s">
        <v>80</v>
      </c>
      <c r="AG10647" t="s">
        <v>81</v>
      </c>
    </row>
    <row r="10648" spans="1:33" x14ac:dyDescent="0.25">
      <c r="A10648" t="str">
        <f>"1285756577"</f>
        <v>1285756577</v>
      </c>
      <c r="B10648" t="str">
        <f>"03512961"</f>
        <v>03512961</v>
      </c>
      <c r="C10648" t="s">
        <v>43463</v>
      </c>
      <c r="D10648" t="s">
        <v>43464</v>
      </c>
      <c r="E10648" t="s">
        <v>43465</v>
      </c>
      <c r="G10648" t="s">
        <v>43463</v>
      </c>
      <c r="L10648" t="s">
        <v>83</v>
      </c>
      <c r="M10648" t="s">
        <v>75</v>
      </c>
      <c r="R10648" t="s">
        <v>43465</v>
      </c>
      <c r="W10648" t="s">
        <v>43465</v>
      </c>
      <c r="X10648" t="s">
        <v>8978</v>
      </c>
      <c r="Y10648" t="s">
        <v>155</v>
      </c>
      <c r="Z10648" t="s">
        <v>77</v>
      </c>
      <c r="AA10648" t="str">
        <f>"10301-3627"</f>
        <v>10301-3627</v>
      </c>
      <c r="AB10648" t="s">
        <v>78</v>
      </c>
      <c r="AC10648" t="s">
        <v>79</v>
      </c>
      <c r="AD10648" t="s">
        <v>75</v>
      </c>
      <c r="AE10648" t="s">
        <v>80</v>
      </c>
      <c r="AG10648" t="s">
        <v>81</v>
      </c>
    </row>
    <row r="10649" spans="1:33" x14ac:dyDescent="0.25">
      <c r="A10649" t="str">
        <f>"1295008654"</f>
        <v>1295008654</v>
      </c>
      <c r="B10649" t="str">
        <f>"03487285"</f>
        <v>03487285</v>
      </c>
      <c r="C10649" t="s">
        <v>43466</v>
      </c>
      <c r="D10649" t="s">
        <v>43467</v>
      </c>
      <c r="E10649" t="s">
        <v>43468</v>
      </c>
      <c r="G10649" t="s">
        <v>43466</v>
      </c>
      <c r="L10649" t="s">
        <v>83</v>
      </c>
      <c r="M10649" t="s">
        <v>75</v>
      </c>
      <c r="R10649" t="s">
        <v>43469</v>
      </c>
      <c r="W10649" t="s">
        <v>43470</v>
      </c>
      <c r="X10649" t="s">
        <v>8978</v>
      </c>
      <c r="Y10649" t="s">
        <v>155</v>
      </c>
      <c r="Z10649" t="s">
        <v>77</v>
      </c>
      <c r="AA10649" t="str">
        <f>"10301-3627"</f>
        <v>10301-3627</v>
      </c>
      <c r="AB10649" t="s">
        <v>78</v>
      </c>
      <c r="AC10649" t="s">
        <v>79</v>
      </c>
      <c r="AD10649" t="s">
        <v>75</v>
      </c>
      <c r="AE10649" t="s">
        <v>80</v>
      </c>
      <c r="AG10649" t="s">
        <v>81</v>
      </c>
    </row>
    <row r="10650" spans="1:33" x14ac:dyDescent="0.25">
      <c r="A10650" t="str">
        <f>"1295009926"</f>
        <v>1295009926</v>
      </c>
      <c r="C10650" t="s">
        <v>43471</v>
      </c>
      <c r="G10650" t="s">
        <v>43471</v>
      </c>
      <c r="K10650" t="s">
        <v>99</v>
      </c>
      <c r="L10650" t="s">
        <v>102</v>
      </c>
      <c r="M10650" t="s">
        <v>75</v>
      </c>
      <c r="R10650" t="s">
        <v>43472</v>
      </c>
      <c r="S10650" t="s">
        <v>43473</v>
      </c>
      <c r="T10650" t="s">
        <v>87</v>
      </c>
      <c r="U10650" t="s">
        <v>77</v>
      </c>
      <c r="V10650" t="str">
        <f>"112015509"</f>
        <v>112015509</v>
      </c>
      <c r="AC10650" t="s">
        <v>79</v>
      </c>
      <c r="AD10650" t="s">
        <v>75</v>
      </c>
      <c r="AE10650" t="s">
        <v>103</v>
      </c>
      <c r="AG10650" t="s">
        <v>81</v>
      </c>
    </row>
    <row r="10651" spans="1:33" x14ac:dyDescent="0.25">
      <c r="A10651" t="str">
        <f>"1295776508"</f>
        <v>1295776508</v>
      </c>
      <c r="B10651" t="str">
        <f>"02318385"</f>
        <v>02318385</v>
      </c>
      <c r="C10651" t="s">
        <v>43474</v>
      </c>
      <c r="D10651" t="s">
        <v>43475</v>
      </c>
      <c r="E10651" t="s">
        <v>43476</v>
      </c>
      <c r="G10651" t="s">
        <v>43474</v>
      </c>
      <c r="L10651" t="s">
        <v>84</v>
      </c>
      <c r="M10651" t="s">
        <v>75</v>
      </c>
      <c r="R10651" t="s">
        <v>43477</v>
      </c>
      <c r="W10651" t="s">
        <v>43476</v>
      </c>
      <c r="X10651" t="s">
        <v>40622</v>
      </c>
      <c r="Y10651" t="s">
        <v>179</v>
      </c>
      <c r="Z10651" t="s">
        <v>77</v>
      </c>
      <c r="AA10651" t="str">
        <f>"11550-2614"</f>
        <v>11550-2614</v>
      </c>
      <c r="AB10651" t="s">
        <v>78</v>
      </c>
      <c r="AC10651" t="s">
        <v>79</v>
      </c>
      <c r="AD10651" t="s">
        <v>75</v>
      </c>
      <c r="AE10651" t="s">
        <v>80</v>
      </c>
      <c r="AG10651" t="s">
        <v>81</v>
      </c>
    </row>
    <row r="10652" spans="1:33" x14ac:dyDescent="0.25">
      <c r="A10652" t="str">
        <f>"1306016951"</f>
        <v>1306016951</v>
      </c>
      <c r="B10652" t="str">
        <f>"03780196"</f>
        <v>03780196</v>
      </c>
      <c r="C10652" t="s">
        <v>43478</v>
      </c>
      <c r="D10652" t="s">
        <v>43479</v>
      </c>
      <c r="E10652" t="s">
        <v>43480</v>
      </c>
      <c r="G10652" t="s">
        <v>43478</v>
      </c>
      <c r="L10652" t="s">
        <v>84</v>
      </c>
      <c r="M10652" t="s">
        <v>75</v>
      </c>
      <c r="R10652" t="s">
        <v>43481</v>
      </c>
      <c r="W10652" t="s">
        <v>43480</v>
      </c>
      <c r="X10652" t="s">
        <v>40667</v>
      </c>
      <c r="Y10652" t="s">
        <v>87</v>
      </c>
      <c r="Z10652" t="s">
        <v>77</v>
      </c>
      <c r="AA10652" t="str">
        <f>"11201-3628"</f>
        <v>11201-3628</v>
      </c>
      <c r="AB10652" t="s">
        <v>78</v>
      </c>
      <c r="AC10652" t="s">
        <v>79</v>
      </c>
      <c r="AD10652" t="s">
        <v>75</v>
      </c>
      <c r="AE10652" t="s">
        <v>80</v>
      </c>
      <c r="AG10652" t="s">
        <v>81</v>
      </c>
    </row>
    <row r="10653" spans="1:33" x14ac:dyDescent="0.25">
      <c r="A10653" t="str">
        <f>"1306031455"</f>
        <v>1306031455</v>
      </c>
      <c r="B10653" t="str">
        <f>"02983888"</f>
        <v>02983888</v>
      </c>
      <c r="C10653" t="s">
        <v>43482</v>
      </c>
      <c r="D10653" t="s">
        <v>43483</v>
      </c>
      <c r="E10653" t="s">
        <v>43484</v>
      </c>
      <c r="G10653" t="s">
        <v>43482</v>
      </c>
      <c r="L10653" t="s">
        <v>83</v>
      </c>
      <c r="M10653" t="s">
        <v>75</v>
      </c>
      <c r="R10653" t="s">
        <v>43485</v>
      </c>
      <c r="W10653" t="s">
        <v>43486</v>
      </c>
      <c r="X10653" t="s">
        <v>173</v>
      </c>
      <c r="Y10653" t="s">
        <v>87</v>
      </c>
      <c r="Z10653" t="s">
        <v>77</v>
      </c>
      <c r="AA10653" t="str">
        <f>"11219-2916"</f>
        <v>11219-2916</v>
      </c>
      <c r="AB10653" t="s">
        <v>78</v>
      </c>
      <c r="AC10653" t="s">
        <v>79</v>
      </c>
      <c r="AD10653" t="s">
        <v>75</v>
      </c>
      <c r="AE10653" t="s">
        <v>80</v>
      </c>
      <c r="AG10653" t="s">
        <v>81</v>
      </c>
    </row>
    <row r="10654" spans="1:33" x14ac:dyDescent="0.25">
      <c r="A10654" t="str">
        <f>"1316084577"</f>
        <v>1316084577</v>
      </c>
      <c r="B10654" t="str">
        <f>"02846899"</f>
        <v>02846899</v>
      </c>
      <c r="C10654" t="s">
        <v>5653</v>
      </c>
      <c r="D10654" t="s">
        <v>5654</v>
      </c>
      <c r="E10654" t="s">
        <v>5655</v>
      </c>
      <c r="G10654" t="s">
        <v>5653</v>
      </c>
      <c r="L10654" t="s">
        <v>84</v>
      </c>
      <c r="M10654" t="s">
        <v>75</v>
      </c>
      <c r="R10654" t="s">
        <v>5656</v>
      </c>
      <c r="W10654" t="s">
        <v>5657</v>
      </c>
      <c r="X10654" t="s">
        <v>1771</v>
      </c>
      <c r="Y10654" t="s">
        <v>1772</v>
      </c>
      <c r="Z10654" t="s">
        <v>77</v>
      </c>
      <c r="AA10654" t="str">
        <f>"12010-1054"</f>
        <v>12010-1054</v>
      </c>
      <c r="AB10654" t="s">
        <v>78</v>
      </c>
      <c r="AC10654" t="s">
        <v>79</v>
      </c>
      <c r="AD10654" t="s">
        <v>75</v>
      </c>
      <c r="AE10654" t="s">
        <v>80</v>
      </c>
      <c r="AG10654" t="s">
        <v>81</v>
      </c>
    </row>
    <row r="10655" spans="1:33" x14ac:dyDescent="0.25">
      <c r="A10655" t="str">
        <f>"1316249766"</f>
        <v>1316249766</v>
      </c>
      <c r="B10655" t="str">
        <f>"03827089"</f>
        <v>03827089</v>
      </c>
      <c r="C10655" t="s">
        <v>43487</v>
      </c>
      <c r="D10655" t="s">
        <v>43488</v>
      </c>
      <c r="E10655" t="s">
        <v>43489</v>
      </c>
      <c r="G10655" t="s">
        <v>43487</v>
      </c>
      <c r="L10655" t="s">
        <v>74</v>
      </c>
      <c r="M10655" t="s">
        <v>75</v>
      </c>
      <c r="R10655" t="s">
        <v>43489</v>
      </c>
      <c r="W10655" t="s">
        <v>43489</v>
      </c>
      <c r="X10655" t="s">
        <v>43490</v>
      </c>
      <c r="Y10655" t="s">
        <v>97</v>
      </c>
      <c r="Z10655" t="s">
        <v>77</v>
      </c>
      <c r="AA10655" t="str">
        <f>"10128-4077"</f>
        <v>10128-4077</v>
      </c>
      <c r="AB10655" t="s">
        <v>78</v>
      </c>
      <c r="AC10655" t="s">
        <v>79</v>
      </c>
      <c r="AD10655" t="s">
        <v>75</v>
      </c>
      <c r="AE10655" t="s">
        <v>80</v>
      </c>
      <c r="AG10655" t="s">
        <v>81</v>
      </c>
    </row>
    <row r="10656" spans="1:33" x14ac:dyDescent="0.25">
      <c r="A10656" t="str">
        <f>"1326099532"</f>
        <v>1326099532</v>
      </c>
      <c r="B10656" t="str">
        <f>"02126525"</f>
        <v>02126525</v>
      </c>
      <c r="C10656" t="s">
        <v>43491</v>
      </c>
      <c r="D10656" t="s">
        <v>43492</v>
      </c>
      <c r="E10656" t="s">
        <v>43493</v>
      </c>
      <c r="G10656" t="s">
        <v>43491</v>
      </c>
      <c r="L10656" t="s">
        <v>83</v>
      </c>
      <c r="M10656" t="s">
        <v>75</v>
      </c>
      <c r="R10656" t="s">
        <v>43494</v>
      </c>
      <c r="W10656" t="s">
        <v>43493</v>
      </c>
      <c r="X10656" t="s">
        <v>43495</v>
      </c>
      <c r="Y10656" t="s">
        <v>87</v>
      </c>
      <c r="Z10656" t="s">
        <v>77</v>
      </c>
      <c r="AA10656" t="str">
        <f>"11219-2916"</f>
        <v>11219-2916</v>
      </c>
      <c r="AB10656" t="s">
        <v>78</v>
      </c>
      <c r="AC10656" t="s">
        <v>79</v>
      </c>
      <c r="AD10656" t="s">
        <v>75</v>
      </c>
      <c r="AE10656" t="s">
        <v>80</v>
      </c>
      <c r="AG10656" t="s">
        <v>81</v>
      </c>
    </row>
    <row r="10657" spans="1:33" x14ac:dyDescent="0.25">
      <c r="A10657" t="str">
        <f>"1326103789"</f>
        <v>1326103789</v>
      </c>
      <c r="B10657" t="str">
        <f>"00315733"</f>
        <v>00315733</v>
      </c>
      <c r="C10657" t="s">
        <v>43496</v>
      </c>
      <c r="D10657" t="s">
        <v>43497</v>
      </c>
      <c r="E10657" t="s">
        <v>43498</v>
      </c>
      <c r="G10657" t="s">
        <v>43496</v>
      </c>
      <c r="L10657" t="s">
        <v>84</v>
      </c>
      <c r="M10657" t="s">
        <v>75</v>
      </c>
      <c r="R10657" t="s">
        <v>43499</v>
      </c>
      <c r="W10657" t="s">
        <v>43498</v>
      </c>
      <c r="X10657" t="s">
        <v>43500</v>
      </c>
      <c r="Y10657" t="s">
        <v>283</v>
      </c>
      <c r="Z10657" t="s">
        <v>77</v>
      </c>
      <c r="AA10657" t="str">
        <f>"11418-2512"</f>
        <v>11418-2512</v>
      </c>
      <c r="AB10657" t="s">
        <v>78</v>
      </c>
      <c r="AC10657" t="s">
        <v>79</v>
      </c>
      <c r="AD10657" t="s">
        <v>75</v>
      </c>
      <c r="AE10657" t="s">
        <v>80</v>
      </c>
      <c r="AG10657" t="s">
        <v>81</v>
      </c>
    </row>
    <row r="10658" spans="1:33" x14ac:dyDescent="0.25">
      <c r="A10658" t="str">
        <f>"1336149855"</f>
        <v>1336149855</v>
      </c>
      <c r="B10658" t="str">
        <f>"00869076"</f>
        <v>00869076</v>
      </c>
      <c r="C10658" t="s">
        <v>43501</v>
      </c>
      <c r="D10658" t="s">
        <v>43502</v>
      </c>
      <c r="E10658" t="s">
        <v>43503</v>
      </c>
      <c r="G10658" t="s">
        <v>43501</v>
      </c>
      <c r="L10658" t="s">
        <v>83</v>
      </c>
      <c r="M10658" t="s">
        <v>75</v>
      </c>
      <c r="R10658" t="s">
        <v>43504</v>
      </c>
      <c r="W10658" t="s">
        <v>43504</v>
      </c>
      <c r="X10658" t="s">
        <v>26618</v>
      </c>
      <c r="Y10658" t="s">
        <v>214</v>
      </c>
      <c r="Z10658" t="s">
        <v>77</v>
      </c>
      <c r="AA10658" t="str">
        <f>"11801-5006"</f>
        <v>11801-5006</v>
      </c>
      <c r="AB10658" t="s">
        <v>128</v>
      </c>
      <c r="AC10658" t="s">
        <v>79</v>
      </c>
      <c r="AD10658" t="s">
        <v>75</v>
      </c>
      <c r="AE10658" t="s">
        <v>80</v>
      </c>
      <c r="AG10658" t="s">
        <v>81</v>
      </c>
    </row>
    <row r="10659" spans="1:33" x14ac:dyDescent="0.25">
      <c r="A10659" t="str">
        <f>"1336179860"</f>
        <v>1336179860</v>
      </c>
      <c r="B10659" t="str">
        <f>"01722774"</f>
        <v>01722774</v>
      </c>
      <c r="C10659" t="s">
        <v>43505</v>
      </c>
      <c r="D10659" t="s">
        <v>43506</v>
      </c>
      <c r="E10659" t="s">
        <v>43507</v>
      </c>
      <c r="G10659" t="s">
        <v>43505</v>
      </c>
      <c r="L10659" t="s">
        <v>84</v>
      </c>
      <c r="M10659" t="s">
        <v>85</v>
      </c>
      <c r="R10659" t="s">
        <v>43508</v>
      </c>
      <c r="W10659" t="s">
        <v>43507</v>
      </c>
      <c r="X10659" t="s">
        <v>43509</v>
      </c>
      <c r="Y10659" t="s">
        <v>240</v>
      </c>
      <c r="Z10659" t="s">
        <v>77</v>
      </c>
      <c r="AA10659" t="str">
        <f>"11530-2133"</f>
        <v>11530-2133</v>
      </c>
      <c r="AB10659" t="s">
        <v>78</v>
      </c>
      <c r="AC10659" t="s">
        <v>79</v>
      </c>
      <c r="AD10659" t="s">
        <v>75</v>
      </c>
      <c r="AE10659" t="s">
        <v>80</v>
      </c>
      <c r="AG10659" t="s">
        <v>81</v>
      </c>
    </row>
    <row r="10660" spans="1:33" x14ac:dyDescent="0.25">
      <c r="A10660" t="str">
        <f>"1336181403"</f>
        <v>1336181403</v>
      </c>
      <c r="B10660" t="str">
        <f>"00408526"</f>
        <v>00408526</v>
      </c>
      <c r="C10660" t="s">
        <v>43510</v>
      </c>
      <c r="D10660" t="s">
        <v>43511</v>
      </c>
      <c r="E10660" t="s">
        <v>43512</v>
      </c>
      <c r="G10660" t="s">
        <v>43510</v>
      </c>
      <c r="L10660" t="s">
        <v>84</v>
      </c>
      <c r="M10660" t="s">
        <v>85</v>
      </c>
      <c r="R10660" t="s">
        <v>43513</v>
      </c>
      <c r="W10660" t="s">
        <v>43512</v>
      </c>
      <c r="X10660" t="s">
        <v>26618</v>
      </c>
      <c r="Y10660" t="s">
        <v>214</v>
      </c>
      <c r="Z10660" t="s">
        <v>77</v>
      </c>
      <c r="AA10660" t="str">
        <f>"11801-5074"</f>
        <v>11801-5074</v>
      </c>
      <c r="AB10660" t="s">
        <v>78</v>
      </c>
      <c r="AC10660" t="s">
        <v>79</v>
      </c>
      <c r="AD10660" t="s">
        <v>75</v>
      </c>
      <c r="AE10660" t="s">
        <v>80</v>
      </c>
      <c r="AG10660" t="s">
        <v>81</v>
      </c>
    </row>
    <row r="10661" spans="1:33" x14ac:dyDescent="0.25">
      <c r="A10661" t="str">
        <f>"1336299882"</f>
        <v>1336299882</v>
      </c>
      <c r="C10661" t="s">
        <v>43514</v>
      </c>
      <c r="G10661" t="s">
        <v>43514</v>
      </c>
      <c r="K10661" t="s">
        <v>99</v>
      </c>
      <c r="L10661" t="s">
        <v>102</v>
      </c>
      <c r="M10661" t="s">
        <v>75</v>
      </c>
      <c r="R10661" t="s">
        <v>43515</v>
      </c>
      <c r="S10661" t="s">
        <v>6093</v>
      </c>
      <c r="T10661" t="s">
        <v>207</v>
      </c>
      <c r="U10661" t="s">
        <v>77</v>
      </c>
      <c r="V10661" t="str">
        <f>"115811011"</f>
        <v>115811011</v>
      </c>
      <c r="AC10661" t="s">
        <v>79</v>
      </c>
      <c r="AD10661" t="s">
        <v>75</v>
      </c>
      <c r="AE10661" t="s">
        <v>103</v>
      </c>
      <c r="AG10661" t="s">
        <v>81</v>
      </c>
    </row>
    <row r="10662" spans="1:33" x14ac:dyDescent="0.25">
      <c r="A10662" t="str">
        <f>"1336300201"</f>
        <v>1336300201</v>
      </c>
      <c r="B10662" t="str">
        <f>"03546958"</f>
        <v>03546958</v>
      </c>
      <c r="C10662" t="s">
        <v>43516</v>
      </c>
      <c r="D10662" t="s">
        <v>43517</v>
      </c>
      <c r="E10662" t="s">
        <v>43518</v>
      </c>
      <c r="G10662" t="s">
        <v>43516</v>
      </c>
      <c r="L10662" t="s">
        <v>83</v>
      </c>
      <c r="M10662" t="s">
        <v>75</v>
      </c>
      <c r="R10662" t="s">
        <v>43519</v>
      </c>
      <c r="W10662" t="s">
        <v>43520</v>
      </c>
      <c r="X10662" t="s">
        <v>14405</v>
      </c>
      <c r="Y10662" t="s">
        <v>87</v>
      </c>
      <c r="Z10662" t="s">
        <v>77</v>
      </c>
      <c r="AA10662" t="str">
        <f>"11225-1604"</f>
        <v>11225-1604</v>
      </c>
      <c r="AB10662" t="s">
        <v>78</v>
      </c>
      <c r="AC10662" t="s">
        <v>79</v>
      </c>
      <c r="AD10662" t="s">
        <v>75</v>
      </c>
      <c r="AE10662" t="s">
        <v>80</v>
      </c>
      <c r="AG10662" t="s">
        <v>81</v>
      </c>
    </row>
    <row r="10663" spans="1:33" x14ac:dyDescent="0.25">
      <c r="A10663" t="str">
        <f>"1336323831"</f>
        <v>1336323831</v>
      </c>
      <c r="B10663" t="str">
        <f>"03283305"</f>
        <v>03283305</v>
      </c>
      <c r="C10663" t="s">
        <v>43521</v>
      </c>
      <c r="D10663" t="s">
        <v>43522</v>
      </c>
      <c r="E10663" t="s">
        <v>43523</v>
      </c>
      <c r="G10663" t="s">
        <v>43521</v>
      </c>
      <c r="L10663" t="s">
        <v>83</v>
      </c>
      <c r="M10663" t="s">
        <v>75</v>
      </c>
      <c r="R10663" t="s">
        <v>43524</v>
      </c>
      <c r="W10663" t="s">
        <v>43525</v>
      </c>
      <c r="X10663" t="s">
        <v>1329</v>
      </c>
      <c r="Y10663" t="s">
        <v>97</v>
      </c>
      <c r="Z10663" t="s">
        <v>77</v>
      </c>
      <c r="AA10663" t="str">
        <f>"10037-1802"</f>
        <v>10037-1802</v>
      </c>
      <c r="AB10663" t="s">
        <v>78</v>
      </c>
      <c r="AC10663" t="s">
        <v>79</v>
      </c>
      <c r="AD10663" t="s">
        <v>75</v>
      </c>
      <c r="AE10663" t="s">
        <v>80</v>
      </c>
      <c r="AG10663" t="s">
        <v>81</v>
      </c>
    </row>
    <row r="10664" spans="1:33" x14ac:dyDescent="0.25">
      <c r="A10664" t="str">
        <f>"1346436151"</f>
        <v>1346436151</v>
      </c>
      <c r="B10664" t="str">
        <f>"03344350"</f>
        <v>03344350</v>
      </c>
      <c r="C10664" t="s">
        <v>43526</v>
      </c>
      <c r="D10664" t="s">
        <v>43527</v>
      </c>
      <c r="E10664" t="s">
        <v>43528</v>
      </c>
      <c r="G10664" t="s">
        <v>43526</v>
      </c>
      <c r="L10664" t="s">
        <v>83</v>
      </c>
      <c r="M10664" t="s">
        <v>75</v>
      </c>
      <c r="R10664" t="s">
        <v>43529</v>
      </c>
      <c r="W10664" t="s">
        <v>43528</v>
      </c>
      <c r="X10664" t="s">
        <v>173</v>
      </c>
      <c r="Y10664" t="s">
        <v>87</v>
      </c>
      <c r="Z10664" t="s">
        <v>77</v>
      </c>
      <c r="AA10664" t="str">
        <f>"11219-2916"</f>
        <v>11219-2916</v>
      </c>
      <c r="AB10664" t="s">
        <v>78</v>
      </c>
      <c r="AC10664" t="s">
        <v>79</v>
      </c>
      <c r="AD10664" t="s">
        <v>75</v>
      </c>
      <c r="AE10664" t="s">
        <v>80</v>
      </c>
      <c r="AG10664" t="s">
        <v>81</v>
      </c>
    </row>
    <row r="10665" spans="1:33" x14ac:dyDescent="0.25">
      <c r="A10665" t="str">
        <f>"1356304372"</f>
        <v>1356304372</v>
      </c>
      <c r="B10665" t="str">
        <f>"01889087"</f>
        <v>01889087</v>
      </c>
      <c r="C10665" t="s">
        <v>43530</v>
      </c>
      <c r="D10665" t="s">
        <v>43531</v>
      </c>
      <c r="E10665" t="s">
        <v>43532</v>
      </c>
      <c r="G10665" t="s">
        <v>43530</v>
      </c>
      <c r="L10665" t="s">
        <v>84</v>
      </c>
      <c r="M10665" t="s">
        <v>75</v>
      </c>
      <c r="R10665" t="s">
        <v>43533</v>
      </c>
      <c r="W10665" t="s">
        <v>43532</v>
      </c>
      <c r="X10665" t="s">
        <v>8978</v>
      </c>
      <c r="Y10665" t="s">
        <v>155</v>
      </c>
      <c r="Z10665" t="s">
        <v>77</v>
      </c>
      <c r="AA10665" t="str">
        <f>"10301-3627"</f>
        <v>10301-3627</v>
      </c>
      <c r="AB10665" t="s">
        <v>78</v>
      </c>
      <c r="AC10665" t="s">
        <v>79</v>
      </c>
      <c r="AD10665" t="s">
        <v>75</v>
      </c>
      <c r="AE10665" t="s">
        <v>80</v>
      </c>
      <c r="AG10665" t="s">
        <v>81</v>
      </c>
    </row>
    <row r="10666" spans="1:33" x14ac:dyDescent="0.25">
      <c r="A10666" t="str">
        <f>"1356366843"</f>
        <v>1356366843</v>
      </c>
      <c r="B10666" t="str">
        <f>"00779548"</f>
        <v>00779548</v>
      </c>
      <c r="C10666" t="s">
        <v>43534</v>
      </c>
      <c r="D10666" t="s">
        <v>43535</v>
      </c>
      <c r="E10666" t="s">
        <v>43536</v>
      </c>
      <c r="G10666" t="s">
        <v>43534</v>
      </c>
      <c r="L10666" t="s">
        <v>83</v>
      </c>
      <c r="M10666" t="s">
        <v>75</v>
      </c>
      <c r="R10666" t="s">
        <v>43537</v>
      </c>
      <c r="W10666" t="s">
        <v>43536</v>
      </c>
      <c r="X10666" t="s">
        <v>26618</v>
      </c>
      <c r="Y10666" t="s">
        <v>214</v>
      </c>
      <c r="Z10666" t="s">
        <v>77</v>
      </c>
      <c r="AA10666" t="str">
        <f>"11801-5006"</f>
        <v>11801-5006</v>
      </c>
      <c r="AB10666" t="s">
        <v>78</v>
      </c>
      <c r="AC10666" t="s">
        <v>79</v>
      </c>
      <c r="AD10666" t="s">
        <v>75</v>
      </c>
      <c r="AE10666" t="s">
        <v>80</v>
      </c>
      <c r="AG10666" t="s">
        <v>81</v>
      </c>
    </row>
    <row r="10667" spans="1:33" x14ac:dyDescent="0.25">
      <c r="A10667" t="str">
        <f>"1356397681"</f>
        <v>1356397681</v>
      </c>
      <c r="B10667" t="str">
        <f>"02720634"</f>
        <v>02720634</v>
      </c>
      <c r="C10667" t="s">
        <v>43538</v>
      </c>
      <c r="D10667" t="s">
        <v>43539</v>
      </c>
      <c r="E10667" t="s">
        <v>43540</v>
      </c>
      <c r="G10667" t="s">
        <v>43538</v>
      </c>
      <c r="L10667" t="s">
        <v>84</v>
      </c>
      <c r="M10667" t="s">
        <v>75</v>
      </c>
      <c r="R10667" t="s">
        <v>43541</v>
      </c>
      <c r="W10667" t="s">
        <v>43540</v>
      </c>
      <c r="X10667" t="s">
        <v>43542</v>
      </c>
      <c r="Y10667" t="s">
        <v>139</v>
      </c>
      <c r="Z10667" t="s">
        <v>77</v>
      </c>
      <c r="AA10667" t="str">
        <f>"11355-2557"</f>
        <v>11355-2557</v>
      </c>
      <c r="AB10667" t="s">
        <v>78</v>
      </c>
      <c r="AC10667" t="s">
        <v>79</v>
      </c>
      <c r="AD10667" t="s">
        <v>75</v>
      </c>
      <c r="AE10667" t="s">
        <v>80</v>
      </c>
      <c r="AG10667" t="s">
        <v>81</v>
      </c>
    </row>
    <row r="10668" spans="1:33" x14ac:dyDescent="0.25">
      <c r="A10668" t="str">
        <f>"1356596779"</f>
        <v>1356596779</v>
      </c>
      <c r="B10668" t="str">
        <f>"03565895"</f>
        <v>03565895</v>
      </c>
      <c r="C10668" t="s">
        <v>5091</v>
      </c>
      <c r="D10668" t="s">
        <v>5092</v>
      </c>
      <c r="E10668" t="s">
        <v>5093</v>
      </c>
      <c r="G10668" t="s">
        <v>5091</v>
      </c>
      <c r="L10668" t="s">
        <v>83</v>
      </c>
      <c r="M10668" t="s">
        <v>75</v>
      </c>
      <c r="R10668" t="s">
        <v>5094</v>
      </c>
      <c r="W10668" t="s">
        <v>5093</v>
      </c>
      <c r="X10668" t="s">
        <v>5095</v>
      </c>
      <c r="Y10668" t="s">
        <v>1765</v>
      </c>
      <c r="Z10668" t="s">
        <v>77</v>
      </c>
      <c r="AA10668" t="str">
        <f>"12540-5128"</f>
        <v>12540-5128</v>
      </c>
      <c r="AB10668" t="s">
        <v>78</v>
      </c>
      <c r="AC10668" t="s">
        <v>79</v>
      </c>
      <c r="AD10668" t="s">
        <v>75</v>
      </c>
      <c r="AE10668" t="s">
        <v>80</v>
      </c>
      <c r="AG10668" t="s">
        <v>81</v>
      </c>
    </row>
    <row r="10669" spans="1:33" x14ac:dyDescent="0.25">
      <c r="A10669" t="str">
        <f>"1366492183"</f>
        <v>1366492183</v>
      </c>
      <c r="B10669" t="str">
        <f>"02661714"</f>
        <v>02661714</v>
      </c>
      <c r="C10669" t="s">
        <v>43543</v>
      </c>
      <c r="D10669" t="s">
        <v>43544</v>
      </c>
      <c r="E10669" t="s">
        <v>43545</v>
      </c>
      <c r="G10669" t="s">
        <v>43543</v>
      </c>
      <c r="L10669" t="s">
        <v>84</v>
      </c>
      <c r="M10669" t="s">
        <v>75</v>
      </c>
      <c r="R10669" t="s">
        <v>43546</v>
      </c>
      <c r="W10669" t="s">
        <v>43545</v>
      </c>
      <c r="X10669" t="s">
        <v>451</v>
      </c>
      <c r="Y10669" t="s">
        <v>171</v>
      </c>
      <c r="Z10669" t="s">
        <v>77</v>
      </c>
      <c r="AA10669" t="str">
        <f>"11432-3216"</f>
        <v>11432-3216</v>
      </c>
      <c r="AB10669" t="s">
        <v>78</v>
      </c>
      <c r="AC10669" t="s">
        <v>79</v>
      </c>
      <c r="AD10669" t="s">
        <v>75</v>
      </c>
      <c r="AE10669" t="s">
        <v>80</v>
      </c>
      <c r="AG10669" t="s">
        <v>81</v>
      </c>
    </row>
    <row r="10670" spans="1:33" x14ac:dyDescent="0.25">
      <c r="A10670" t="str">
        <f>"1366543324"</f>
        <v>1366543324</v>
      </c>
      <c r="B10670" t="str">
        <f>"01034293"</f>
        <v>01034293</v>
      </c>
      <c r="C10670" t="s">
        <v>43547</v>
      </c>
      <c r="D10670" t="s">
        <v>43548</v>
      </c>
      <c r="E10670" t="s">
        <v>43549</v>
      </c>
      <c r="G10670" t="s">
        <v>43547</v>
      </c>
      <c r="L10670" t="s">
        <v>84</v>
      </c>
      <c r="M10670" t="s">
        <v>75</v>
      </c>
      <c r="R10670" t="s">
        <v>43550</v>
      </c>
      <c r="W10670" t="s">
        <v>43549</v>
      </c>
      <c r="X10670" t="s">
        <v>15371</v>
      </c>
      <c r="Y10670" t="s">
        <v>87</v>
      </c>
      <c r="Z10670" t="s">
        <v>77</v>
      </c>
      <c r="AA10670" t="str">
        <f>"11212"</f>
        <v>11212</v>
      </c>
      <c r="AB10670" t="s">
        <v>78</v>
      </c>
      <c r="AC10670" t="s">
        <v>79</v>
      </c>
      <c r="AD10670" t="s">
        <v>75</v>
      </c>
      <c r="AE10670" t="s">
        <v>80</v>
      </c>
      <c r="AG10670" t="s">
        <v>81</v>
      </c>
    </row>
    <row r="10671" spans="1:33" x14ac:dyDescent="0.25">
      <c r="A10671" t="str">
        <f>"1366868663"</f>
        <v>1366868663</v>
      </c>
      <c r="B10671" t="str">
        <f>"04011703"</f>
        <v>04011703</v>
      </c>
      <c r="C10671" t="s">
        <v>43551</v>
      </c>
      <c r="D10671" t="s">
        <v>43552</v>
      </c>
      <c r="E10671" t="s">
        <v>43553</v>
      </c>
      <c r="G10671" t="s">
        <v>43551</v>
      </c>
      <c r="L10671" t="s">
        <v>83</v>
      </c>
      <c r="M10671" t="s">
        <v>75</v>
      </c>
      <c r="R10671" t="s">
        <v>43553</v>
      </c>
      <c r="W10671" t="s">
        <v>43554</v>
      </c>
      <c r="X10671" t="s">
        <v>590</v>
      </c>
      <c r="Y10671" t="s">
        <v>97</v>
      </c>
      <c r="Z10671" t="s">
        <v>77</v>
      </c>
      <c r="AA10671" t="str">
        <f>"10128-4077"</f>
        <v>10128-4077</v>
      </c>
      <c r="AB10671" t="s">
        <v>78</v>
      </c>
      <c r="AC10671" t="s">
        <v>79</v>
      </c>
      <c r="AD10671" t="s">
        <v>75</v>
      </c>
      <c r="AE10671" t="s">
        <v>80</v>
      </c>
      <c r="AG10671" t="s">
        <v>81</v>
      </c>
    </row>
    <row r="10672" spans="1:33" x14ac:dyDescent="0.25">
      <c r="A10672" t="str">
        <f>"1467752196"</f>
        <v>1467752196</v>
      </c>
      <c r="B10672" t="str">
        <f>"03292959"</f>
        <v>03292959</v>
      </c>
      <c r="C10672" t="s">
        <v>4434</v>
      </c>
      <c r="D10672" t="s">
        <v>43555</v>
      </c>
      <c r="E10672" t="s">
        <v>43556</v>
      </c>
      <c r="G10672" t="s">
        <v>27118</v>
      </c>
      <c r="H10672" t="s">
        <v>27119</v>
      </c>
      <c r="I10672">
        <v>310</v>
      </c>
      <c r="J10672" t="s">
        <v>27120</v>
      </c>
      <c r="L10672" t="s">
        <v>35</v>
      </c>
      <c r="M10672" t="s">
        <v>75</v>
      </c>
      <c r="R10672" t="s">
        <v>4438</v>
      </c>
      <c r="W10672" t="s">
        <v>43556</v>
      </c>
      <c r="X10672" t="s">
        <v>43557</v>
      </c>
      <c r="Y10672" t="s">
        <v>87</v>
      </c>
      <c r="Z10672" t="s">
        <v>77</v>
      </c>
      <c r="AA10672" t="str">
        <f>"11216-1801"</f>
        <v>11216-1801</v>
      </c>
      <c r="AB10672" t="s">
        <v>98</v>
      </c>
      <c r="AC10672" t="s">
        <v>79</v>
      </c>
      <c r="AD10672" t="s">
        <v>75</v>
      </c>
      <c r="AE10672" t="s">
        <v>80</v>
      </c>
      <c r="AG10672" t="s">
        <v>81</v>
      </c>
    </row>
    <row r="10673" spans="1:33" x14ac:dyDescent="0.25">
      <c r="A10673" t="str">
        <f>"1477785384"</f>
        <v>1477785384</v>
      </c>
      <c r="B10673" t="str">
        <f>"03265029"</f>
        <v>03265029</v>
      </c>
      <c r="C10673" t="s">
        <v>43558</v>
      </c>
      <c r="D10673" t="s">
        <v>43559</v>
      </c>
      <c r="E10673" t="s">
        <v>43560</v>
      </c>
      <c r="G10673" t="s">
        <v>43561</v>
      </c>
      <c r="H10673" t="s">
        <v>43562</v>
      </c>
      <c r="J10673" t="s">
        <v>43563</v>
      </c>
      <c r="L10673" t="s">
        <v>115</v>
      </c>
      <c r="M10673" t="s">
        <v>75</v>
      </c>
      <c r="R10673" t="s">
        <v>43564</v>
      </c>
      <c r="W10673" t="s">
        <v>43560</v>
      </c>
      <c r="X10673" t="s">
        <v>266</v>
      </c>
      <c r="Y10673" t="s">
        <v>161</v>
      </c>
      <c r="Z10673" t="s">
        <v>77</v>
      </c>
      <c r="AA10673" t="str">
        <f>"11040-1436"</f>
        <v>11040-1436</v>
      </c>
      <c r="AB10673" t="s">
        <v>122</v>
      </c>
      <c r="AC10673" t="s">
        <v>79</v>
      </c>
      <c r="AD10673" t="s">
        <v>75</v>
      </c>
      <c r="AE10673" t="s">
        <v>80</v>
      </c>
      <c r="AG10673" t="s">
        <v>81</v>
      </c>
    </row>
    <row r="10674" spans="1:33" x14ac:dyDescent="0.25">
      <c r="A10674" t="str">
        <f>"1497894414"</f>
        <v>1497894414</v>
      </c>
      <c r="B10674" t="str">
        <f>"00518754"</f>
        <v>00518754</v>
      </c>
      <c r="C10674" t="s">
        <v>43565</v>
      </c>
      <c r="D10674" t="s">
        <v>400</v>
      </c>
      <c r="E10674" t="s">
        <v>401</v>
      </c>
      <c r="F10674">
        <v>131624123</v>
      </c>
      <c r="L10674" t="s">
        <v>37</v>
      </c>
      <c r="M10674" t="s">
        <v>75</v>
      </c>
      <c r="R10674" t="s">
        <v>402</v>
      </c>
      <c r="W10674" t="s">
        <v>403</v>
      </c>
      <c r="X10674" t="s">
        <v>404</v>
      </c>
      <c r="Y10674" t="s">
        <v>405</v>
      </c>
      <c r="Z10674" t="s">
        <v>77</v>
      </c>
      <c r="AA10674" t="str">
        <f>"10803-3614"</f>
        <v>10803-3614</v>
      </c>
      <c r="AB10674" t="s">
        <v>107</v>
      </c>
      <c r="AC10674" t="s">
        <v>79</v>
      </c>
      <c r="AD10674" t="s">
        <v>75</v>
      </c>
      <c r="AE10674" t="s">
        <v>80</v>
      </c>
      <c r="AG10674" t="s">
        <v>81</v>
      </c>
    </row>
    <row r="10675" spans="1:33" x14ac:dyDescent="0.25">
      <c r="A10675" t="str">
        <f>"1508883273"</f>
        <v>1508883273</v>
      </c>
      <c r="B10675" t="str">
        <f>"01541299"</f>
        <v>01541299</v>
      </c>
      <c r="C10675" t="s">
        <v>43566</v>
      </c>
      <c r="D10675" t="s">
        <v>4825</v>
      </c>
      <c r="E10675" t="s">
        <v>4826</v>
      </c>
      <c r="G10675" t="s">
        <v>4570</v>
      </c>
      <c r="H10675" t="s">
        <v>4571</v>
      </c>
      <c r="J10675" t="s">
        <v>4572</v>
      </c>
      <c r="L10675" t="s">
        <v>37</v>
      </c>
      <c r="M10675" t="s">
        <v>75</v>
      </c>
      <c r="R10675" t="s">
        <v>4827</v>
      </c>
      <c r="W10675" t="s">
        <v>4826</v>
      </c>
      <c r="X10675" t="s">
        <v>4828</v>
      </c>
      <c r="Y10675" t="s">
        <v>300</v>
      </c>
      <c r="Z10675" t="s">
        <v>77</v>
      </c>
      <c r="AA10675" t="str">
        <f>"10954-5238"</f>
        <v>10954-5238</v>
      </c>
      <c r="AB10675" t="s">
        <v>114</v>
      </c>
      <c r="AC10675" t="s">
        <v>79</v>
      </c>
      <c r="AD10675" t="s">
        <v>75</v>
      </c>
      <c r="AE10675" t="s">
        <v>80</v>
      </c>
      <c r="AG10675" t="s">
        <v>81</v>
      </c>
    </row>
    <row r="10676" spans="1:33" x14ac:dyDescent="0.25">
      <c r="A10676" t="str">
        <f>"1730451071"</f>
        <v>1730451071</v>
      </c>
      <c r="B10676" t="str">
        <f>"03559515"</f>
        <v>03559515</v>
      </c>
      <c r="C10676" t="s">
        <v>43567</v>
      </c>
      <c r="D10676" t="s">
        <v>43568</v>
      </c>
      <c r="E10676" t="s">
        <v>43569</v>
      </c>
      <c r="G10676" t="s">
        <v>43570</v>
      </c>
      <c r="H10676" t="s">
        <v>43571</v>
      </c>
      <c r="J10676" t="s">
        <v>43572</v>
      </c>
      <c r="L10676" t="s">
        <v>35</v>
      </c>
      <c r="M10676" t="s">
        <v>85</v>
      </c>
      <c r="R10676" t="s">
        <v>43573</v>
      </c>
      <c r="W10676" t="s">
        <v>43569</v>
      </c>
      <c r="X10676" t="s">
        <v>43574</v>
      </c>
      <c r="Y10676" t="s">
        <v>97</v>
      </c>
      <c r="Z10676" t="s">
        <v>77</v>
      </c>
      <c r="AA10676" t="str">
        <f>"10010-4305"</f>
        <v>10010-4305</v>
      </c>
      <c r="AB10676" t="s">
        <v>98</v>
      </c>
      <c r="AC10676" t="s">
        <v>79</v>
      </c>
      <c r="AD10676" t="s">
        <v>75</v>
      </c>
      <c r="AE10676" t="s">
        <v>80</v>
      </c>
      <c r="AG10676" t="s">
        <v>81</v>
      </c>
    </row>
    <row r="10677" spans="1:33" x14ac:dyDescent="0.25">
      <c r="A10677" t="str">
        <f>"1659534543"</f>
        <v>1659534543</v>
      </c>
      <c r="B10677" t="str">
        <f>"03023874"</f>
        <v>03023874</v>
      </c>
      <c r="C10677" t="s">
        <v>43575</v>
      </c>
      <c r="D10677" t="s">
        <v>43576</v>
      </c>
      <c r="E10677" t="s">
        <v>43577</v>
      </c>
      <c r="G10677" t="s">
        <v>43575</v>
      </c>
      <c r="L10677" t="s">
        <v>84</v>
      </c>
      <c r="M10677" t="s">
        <v>75</v>
      </c>
      <c r="R10677" t="s">
        <v>43578</v>
      </c>
      <c r="W10677" t="s">
        <v>43579</v>
      </c>
      <c r="X10677" t="s">
        <v>43580</v>
      </c>
      <c r="Y10677" t="s">
        <v>623</v>
      </c>
      <c r="Z10677" t="s">
        <v>77</v>
      </c>
      <c r="AA10677" t="str">
        <f>"11419-1412"</f>
        <v>11419-1412</v>
      </c>
      <c r="AB10677" t="s">
        <v>78</v>
      </c>
      <c r="AC10677" t="s">
        <v>79</v>
      </c>
      <c r="AD10677" t="s">
        <v>75</v>
      </c>
      <c r="AE10677" t="s">
        <v>80</v>
      </c>
      <c r="AG10677" t="s">
        <v>81</v>
      </c>
    </row>
    <row r="10678" spans="1:33" x14ac:dyDescent="0.25">
      <c r="A10678" t="str">
        <f>"1659608867"</f>
        <v>1659608867</v>
      </c>
      <c r="B10678" t="str">
        <f>"03203138"</f>
        <v>03203138</v>
      </c>
      <c r="C10678" t="s">
        <v>43581</v>
      </c>
      <c r="D10678" t="s">
        <v>43582</v>
      </c>
      <c r="E10678" t="s">
        <v>43583</v>
      </c>
      <c r="G10678" t="s">
        <v>43581</v>
      </c>
      <c r="L10678" t="s">
        <v>84</v>
      </c>
      <c r="M10678" t="s">
        <v>75</v>
      </c>
      <c r="R10678" t="s">
        <v>43583</v>
      </c>
      <c r="W10678" t="s">
        <v>43583</v>
      </c>
      <c r="X10678" t="s">
        <v>43584</v>
      </c>
      <c r="Y10678" t="s">
        <v>87</v>
      </c>
      <c r="Z10678" t="s">
        <v>77</v>
      </c>
      <c r="AA10678" t="str">
        <f>"11205-4924"</f>
        <v>11205-4924</v>
      </c>
      <c r="AB10678" t="s">
        <v>78</v>
      </c>
      <c r="AC10678" t="s">
        <v>79</v>
      </c>
      <c r="AD10678" t="s">
        <v>75</v>
      </c>
      <c r="AE10678" t="s">
        <v>80</v>
      </c>
      <c r="AG10678" t="s">
        <v>81</v>
      </c>
    </row>
    <row r="10679" spans="1:33" x14ac:dyDescent="0.25">
      <c r="A10679" t="str">
        <f>"1669567996"</f>
        <v>1669567996</v>
      </c>
      <c r="B10679" t="str">
        <f>"01470391"</f>
        <v>01470391</v>
      </c>
      <c r="C10679" t="s">
        <v>43585</v>
      </c>
      <c r="D10679" t="s">
        <v>43586</v>
      </c>
      <c r="E10679" t="s">
        <v>43587</v>
      </c>
      <c r="G10679" t="s">
        <v>43585</v>
      </c>
      <c r="L10679" t="s">
        <v>83</v>
      </c>
      <c r="M10679" t="s">
        <v>75</v>
      </c>
      <c r="R10679" t="s">
        <v>43588</v>
      </c>
      <c r="W10679" t="s">
        <v>43587</v>
      </c>
      <c r="X10679" t="s">
        <v>43589</v>
      </c>
      <c r="Y10679" t="s">
        <v>13049</v>
      </c>
      <c r="Z10679" t="s">
        <v>77</v>
      </c>
      <c r="AA10679" t="str">
        <f>"11793-1850"</f>
        <v>11793-1850</v>
      </c>
      <c r="AB10679" t="s">
        <v>128</v>
      </c>
      <c r="AC10679" t="s">
        <v>79</v>
      </c>
      <c r="AD10679" t="s">
        <v>75</v>
      </c>
      <c r="AE10679" t="s">
        <v>80</v>
      </c>
      <c r="AG10679" t="s">
        <v>81</v>
      </c>
    </row>
    <row r="10680" spans="1:33" x14ac:dyDescent="0.25">
      <c r="A10680" t="str">
        <f>"1669602363"</f>
        <v>1669602363</v>
      </c>
      <c r="B10680" t="str">
        <f>"03191059"</f>
        <v>03191059</v>
      </c>
      <c r="C10680" t="s">
        <v>43590</v>
      </c>
      <c r="D10680" t="s">
        <v>43591</v>
      </c>
      <c r="E10680" t="s">
        <v>43592</v>
      </c>
      <c r="G10680" t="s">
        <v>43590</v>
      </c>
      <c r="L10680" t="s">
        <v>84</v>
      </c>
      <c r="M10680" t="s">
        <v>75</v>
      </c>
      <c r="R10680" t="s">
        <v>43593</v>
      </c>
      <c r="W10680" t="s">
        <v>43592</v>
      </c>
      <c r="X10680" t="s">
        <v>2779</v>
      </c>
      <c r="Y10680" t="s">
        <v>87</v>
      </c>
      <c r="Z10680" t="s">
        <v>77</v>
      </c>
      <c r="AA10680" t="str">
        <f>"11217-1702"</f>
        <v>11217-1702</v>
      </c>
      <c r="AB10680" t="s">
        <v>78</v>
      </c>
      <c r="AC10680" t="s">
        <v>79</v>
      </c>
      <c r="AD10680" t="s">
        <v>75</v>
      </c>
      <c r="AE10680" t="s">
        <v>80</v>
      </c>
      <c r="AG10680" t="s">
        <v>81</v>
      </c>
    </row>
    <row r="10681" spans="1:33" x14ac:dyDescent="0.25">
      <c r="A10681" t="str">
        <f>"1679591564"</f>
        <v>1679591564</v>
      </c>
      <c r="B10681" t="str">
        <f>"02546578"</f>
        <v>02546578</v>
      </c>
      <c r="C10681" t="s">
        <v>43594</v>
      </c>
      <c r="D10681" t="s">
        <v>43595</v>
      </c>
      <c r="E10681" t="s">
        <v>43596</v>
      </c>
      <c r="G10681" t="s">
        <v>43594</v>
      </c>
      <c r="L10681" t="s">
        <v>84</v>
      </c>
      <c r="M10681" t="s">
        <v>75</v>
      </c>
      <c r="R10681" t="s">
        <v>43597</v>
      </c>
      <c r="W10681" t="s">
        <v>43596</v>
      </c>
      <c r="X10681" t="s">
        <v>287</v>
      </c>
      <c r="Y10681" t="s">
        <v>152</v>
      </c>
      <c r="Z10681" t="s">
        <v>77</v>
      </c>
      <c r="AA10681" t="str">
        <f>"11375-6625"</f>
        <v>11375-6625</v>
      </c>
      <c r="AB10681" t="s">
        <v>78</v>
      </c>
      <c r="AC10681" t="s">
        <v>79</v>
      </c>
      <c r="AD10681" t="s">
        <v>75</v>
      </c>
      <c r="AE10681" t="s">
        <v>80</v>
      </c>
      <c r="AG10681" t="s">
        <v>81</v>
      </c>
    </row>
    <row r="10682" spans="1:33" x14ac:dyDescent="0.25">
      <c r="A10682" t="str">
        <f>"1689627721"</f>
        <v>1689627721</v>
      </c>
      <c r="B10682" t="str">
        <f>"00275049"</f>
        <v>00275049</v>
      </c>
      <c r="C10682" t="s">
        <v>43598</v>
      </c>
      <c r="D10682" t="s">
        <v>43599</v>
      </c>
      <c r="E10682" t="s">
        <v>43600</v>
      </c>
      <c r="G10682" t="s">
        <v>43598</v>
      </c>
      <c r="L10682" t="s">
        <v>84</v>
      </c>
      <c r="M10682" t="s">
        <v>85</v>
      </c>
      <c r="R10682" t="s">
        <v>43601</v>
      </c>
      <c r="W10682" t="s">
        <v>43600</v>
      </c>
      <c r="X10682" t="s">
        <v>26618</v>
      </c>
      <c r="Y10682" t="s">
        <v>214</v>
      </c>
      <c r="Z10682" t="s">
        <v>77</v>
      </c>
      <c r="AA10682" t="str">
        <f>"11801-5006"</f>
        <v>11801-5006</v>
      </c>
      <c r="AB10682" t="s">
        <v>78</v>
      </c>
      <c r="AC10682" t="s">
        <v>79</v>
      </c>
      <c r="AD10682" t="s">
        <v>75</v>
      </c>
      <c r="AE10682" t="s">
        <v>80</v>
      </c>
      <c r="AG10682" t="s">
        <v>81</v>
      </c>
    </row>
    <row r="10683" spans="1:33" x14ac:dyDescent="0.25">
      <c r="A10683" t="str">
        <f>"1689740532"</f>
        <v>1689740532</v>
      </c>
      <c r="B10683" t="str">
        <f>"03235696"</f>
        <v>03235696</v>
      </c>
      <c r="C10683" t="s">
        <v>43602</v>
      </c>
      <c r="D10683" t="s">
        <v>43603</v>
      </c>
      <c r="E10683" t="s">
        <v>43604</v>
      </c>
      <c r="G10683" t="s">
        <v>43602</v>
      </c>
      <c r="L10683" t="s">
        <v>83</v>
      </c>
      <c r="M10683" t="s">
        <v>75</v>
      </c>
      <c r="R10683" t="s">
        <v>43605</v>
      </c>
      <c r="W10683" t="s">
        <v>43606</v>
      </c>
      <c r="X10683" t="s">
        <v>204</v>
      </c>
      <c r="Y10683" t="s">
        <v>97</v>
      </c>
      <c r="Z10683" t="s">
        <v>77</v>
      </c>
      <c r="AA10683" t="str">
        <f>"10065-4870"</f>
        <v>10065-4870</v>
      </c>
      <c r="AB10683" t="s">
        <v>78</v>
      </c>
      <c r="AC10683" t="s">
        <v>79</v>
      </c>
      <c r="AD10683" t="s">
        <v>75</v>
      </c>
      <c r="AE10683" t="s">
        <v>80</v>
      </c>
      <c r="AG10683" t="s">
        <v>81</v>
      </c>
    </row>
    <row r="10684" spans="1:33" x14ac:dyDescent="0.25">
      <c r="A10684" t="str">
        <f>"1689765695"</f>
        <v>1689765695</v>
      </c>
      <c r="B10684" t="str">
        <f>"01454035"</f>
        <v>01454035</v>
      </c>
      <c r="C10684" t="s">
        <v>43607</v>
      </c>
      <c r="D10684" t="s">
        <v>43608</v>
      </c>
      <c r="E10684" t="s">
        <v>43609</v>
      </c>
      <c r="G10684" t="s">
        <v>43607</v>
      </c>
      <c r="L10684" t="s">
        <v>83</v>
      </c>
      <c r="M10684" t="s">
        <v>75</v>
      </c>
      <c r="R10684" t="s">
        <v>43610</v>
      </c>
      <c r="W10684" t="s">
        <v>43609</v>
      </c>
      <c r="X10684" t="s">
        <v>43611</v>
      </c>
      <c r="Y10684" t="s">
        <v>155</v>
      </c>
      <c r="Z10684" t="s">
        <v>77</v>
      </c>
      <c r="AA10684" t="str">
        <f>"10309-2310"</f>
        <v>10309-2310</v>
      </c>
      <c r="AB10684" t="s">
        <v>128</v>
      </c>
      <c r="AC10684" t="s">
        <v>79</v>
      </c>
      <c r="AD10684" t="s">
        <v>75</v>
      </c>
      <c r="AE10684" t="s">
        <v>80</v>
      </c>
      <c r="AG10684" t="s">
        <v>81</v>
      </c>
    </row>
    <row r="10685" spans="1:33" x14ac:dyDescent="0.25">
      <c r="A10685" t="str">
        <f>"1689782229"</f>
        <v>1689782229</v>
      </c>
      <c r="B10685" t="str">
        <f>"02174225"</f>
        <v>02174225</v>
      </c>
      <c r="C10685" t="s">
        <v>43612</v>
      </c>
      <c r="D10685" t="s">
        <v>43613</v>
      </c>
      <c r="E10685" t="s">
        <v>43614</v>
      </c>
      <c r="G10685" t="s">
        <v>43612</v>
      </c>
      <c r="L10685" t="s">
        <v>83</v>
      </c>
      <c r="M10685" t="s">
        <v>75</v>
      </c>
      <c r="R10685" t="s">
        <v>43615</v>
      </c>
      <c r="W10685" t="s">
        <v>43614</v>
      </c>
      <c r="X10685" t="s">
        <v>43616</v>
      </c>
      <c r="Y10685" t="s">
        <v>87</v>
      </c>
      <c r="Z10685" t="s">
        <v>77</v>
      </c>
      <c r="AA10685" t="str">
        <f>"11201-5428"</f>
        <v>11201-5428</v>
      </c>
      <c r="AB10685" t="s">
        <v>78</v>
      </c>
      <c r="AC10685" t="s">
        <v>79</v>
      </c>
      <c r="AD10685" t="s">
        <v>75</v>
      </c>
      <c r="AE10685" t="s">
        <v>80</v>
      </c>
      <c r="AG10685" t="s">
        <v>81</v>
      </c>
    </row>
    <row r="10686" spans="1:33" x14ac:dyDescent="0.25">
      <c r="A10686" t="str">
        <f>"1689815961"</f>
        <v>1689815961</v>
      </c>
      <c r="B10686" t="str">
        <f>"03078526"</f>
        <v>03078526</v>
      </c>
      <c r="C10686" t="s">
        <v>43617</v>
      </c>
      <c r="D10686" t="s">
        <v>43618</v>
      </c>
      <c r="E10686" t="s">
        <v>43619</v>
      </c>
      <c r="G10686" t="s">
        <v>43617</v>
      </c>
      <c r="L10686" t="s">
        <v>84</v>
      </c>
      <c r="M10686" t="s">
        <v>75</v>
      </c>
      <c r="R10686" t="s">
        <v>43619</v>
      </c>
      <c r="W10686" t="s">
        <v>43620</v>
      </c>
      <c r="X10686" t="s">
        <v>43621</v>
      </c>
      <c r="Y10686" t="s">
        <v>236</v>
      </c>
      <c r="Z10686" t="s">
        <v>77</v>
      </c>
      <c r="AA10686" t="str">
        <f>"11106-4134"</f>
        <v>11106-4134</v>
      </c>
      <c r="AB10686" t="s">
        <v>78</v>
      </c>
      <c r="AC10686" t="s">
        <v>79</v>
      </c>
      <c r="AD10686" t="s">
        <v>75</v>
      </c>
      <c r="AE10686" t="s">
        <v>80</v>
      </c>
      <c r="AG10686" t="s">
        <v>81</v>
      </c>
    </row>
    <row r="10687" spans="1:33" x14ac:dyDescent="0.25">
      <c r="A10687" t="str">
        <f>"1689951972"</f>
        <v>1689951972</v>
      </c>
      <c r="B10687" t="str">
        <f>"03915322"</f>
        <v>03915322</v>
      </c>
      <c r="C10687" t="s">
        <v>43622</v>
      </c>
      <c r="D10687" t="s">
        <v>43623</v>
      </c>
      <c r="E10687" t="s">
        <v>43624</v>
      </c>
      <c r="G10687" t="s">
        <v>43622</v>
      </c>
      <c r="L10687" t="s">
        <v>74</v>
      </c>
      <c r="M10687" t="s">
        <v>75</v>
      </c>
      <c r="R10687" t="s">
        <v>43625</v>
      </c>
      <c r="W10687" t="s">
        <v>43624</v>
      </c>
      <c r="X10687" t="s">
        <v>14532</v>
      </c>
      <c r="Y10687" t="s">
        <v>87</v>
      </c>
      <c r="Z10687" t="s">
        <v>77</v>
      </c>
      <c r="AA10687" t="str">
        <f>"11205-4924"</f>
        <v>11205-4924</v>
      </c>
      <c r="AB10687" t="s">
        <v>109</v>
      </c>
      <c r="AC10687" t="s">
        <v>79</v>
      </c>
      <c r="AD10687" t="s">
        <v>75</v>
      </c>
      <c r="AE10687" t="s">
        <v>80</v>
      </c>
      <c r="AG10687" t="s">
        <v>81</v>
      </c>
    </row>
    <row r="10688" spans="1:33" x14ac:dyDescent="0.25">
      <c r="A10688" t="str">
        <f>"1699700351"</f>
        <v>1699700351</v>
      </c>
      <c r="B10688" t="str">
        <f>"02818037"</f>
        <v>02818037</v>
      </c>
      <c r="C10688" t="s">
        <v>43626</v>
      </c>
      <c r="D10688" t="s">
        <v>43627</v>
      </c>
      <c r="E10688" t="s">
        <v>43628</v>
      </c>
      <c r="G10688" t="s">
        <v>43626</v>
      </c>
      <c r="L10688" t="s">
        <v>84</v>
      </c>
      <c r="M10688" t="s">
        <v>75</v>
      </c>
      <c r="R10688" t="s">
        <v>43629</v>
      </c>
      <c r="W10688" t="s">
        <v>43628</v>
      </c>
      <c r="X10688" t="s">
        <v>11176</v>
      </c>
      <c r="Y10688" t="s">
        <v>97</v>
      </c>
      <c r="Z10688" t="s">
        <v>77</v>
      </c>
      <c r="AA10688" t="str">
        <f>"10029-6542"</f>
        <v>10029-6542</v>
      </c>
      <c r="AB10688" t="s">
        <v>78</v>
      </c>
      <c r="AC10688" t="s">
        <v>79</v>
      </c>
      <c r="AD10688" t="s">
        <v>75</v>
      </c>
      <c r="AE10688" t="s">
        <v>80</v>
      </c>
      <c r="AG10688" t="s">
        <v>81</v>
      </c>
    </row>
    <row r="10689" spans="1:33" x14ac:dyDescent="0.25">
      <c r="A10689" t="str">
        <f>"1699703843"</f>
        <v>1699703843</v>
      </c>
      <c r="B10689" t="str">
        <f>"01723546"</f>
        <v>01723546</v>
      </c>
      <c r="C10689" t="s">
        <v>43630</v>
      </c>
      <c r="D10689" t="s">
        <v>43631</v>
      </c>
      <c r="E10689" t="s">
        <v>43632</v>
      </c>
      <c r="G10689" t="s">
        <v>43630</v>
      </c>
      <c r="L10689" t="s">
        <v>84</v>
      </c>
      <c r="M10689" t="s">
        <v>85</v>
      </c>
      <c r="R10689" t="s">
        <v>43633</v>
      </c>
      <c r="W10689" t="s">
        <v>43632</v>
      </c>
      <c r="X10689" t="s">
        <v>14240</v>
      </c>
      <c r="Y10689" t="s">
        <v>1935</v>
      </c>
      <c r="Z10689" t="s">
        <v>77</v>
      </c>
      <c r="AA10689" t="str">
        <f>"11779-2324"</f>
        <v>11779-2324</v>
      </c>
      <c r="AB10689" t="s">
        <v>78</v>
      </c>
      <c r="AC10689" t="s">
        <v>79</v>
      </c>
      <c r="AD10689" t="s">
        <v>75</v>
      </c>
      <c r="AE10689" t="s">
        <v>80</v>
      </c>
      <c r="AG10689" t="s">
        <v>81</v>
      </c>
    </row>
    <row r="10690" spans="1:33" x14ac:dyDescent="0.25">
      <c r="A10690" t="str">
        <f>"1699947499"</f>
        <v>1699947499</v>
      </c>
      <c r="B10690" t="str">
        <f>"03481674"</f>
        <v>03481674</v>
      </c>
      <c r="C10690" t="s">
        <v>43634</v>
      </c>
      <c r="D10690" t="s">
        <v>43635</v>
      </c>
      <c r="E10690" t="s">
        <v>43636</v>
      </c>
      <c r="G10690" t="s">
        <v>43634</v>
      </c>
      <c r="L10690" t="s">
        <v>83</v>
      </c>
      <c r="M10690" t="s">
        <v>75</v>
      </c>
      <c r="R10690" t="s">
        <v>43636</v>
      </c>
      <c r="W10690" t="s">
        <v>43636</v>
      </c>
      <c r="X10690" t="s">
        <v>43637</v>
      </c>
      <c r="Y10690" t="s">
        <v>196</v>
      </c>
      <c r="Z10690" t="s">
        <v>77</v>
      </c>
      <c r="AA10690" t="str">
        <f>"11756-1066"</f>
        <v>11756-1066</v>
      </c>
      <c r="AB10690" t="s">
        <v>78</v>
      </c>
      <c r="AC10690" t="s">
        <v>79</v>
      </c>
      <c r="AD10690" t="s">
        <v>75</v>
      </c>
      <c r="AE10690" t="s">
        <v>80</v>
      </c>
      <c r="AG10690" t="s">
        <v>81</v>
      </c>
    </row>
    <row r="10691" spans="1:33" x14ac:dyDescent="0.25">
      <c r="A10691" t="str">
        <f>"1710083639"</f>
        <v>1710083639</v>
      </c>
      <c r="B10691" t="str">
        <f>"01254755"</f>
        <v>01254755</v>
      </c>
      <c r="C10691" t="s">
        <v>43638</v>
      </c>
      <c r="D10691" t="s">
        <v>43639</v>
      </c>
      <c r="E10691" t="s">
        <v>43640</v>
      </c>
      <c r="G10691" t="s">
        <v>43638</v>
      </c>
      <c r="L10691" t="s">
        <v>102</v>
      </c>
      <c r="M10691" t="s">
        <v>75</v>
      </c>
      <c r="R10691" t="s">
        <v>43641</v>
      </c>
      <c r="W10691" t="s">
        <v>43642</v>
      </c>
      <c r="X10691" t="s">
        <v>43643</v>
      </c>
      <c r="Y10691" t="s">
        <v>139</v>
      </c>
      <c r="Z10691" t="s">
        <v>77</v>
      </c>
      <c r="AA10691" t="str">
        <f>"11366-1401"</f>
        <v>11366-1401</v>
      </c>
      <c r="AB10691" t="s">
        <v>128</v>
      </c>
      <c r="AC10691" t="s">
        <v>79</v>
      </c>
      <c r="AD10691" t="s">
        <v>75</v>
      </c>
      <c r="AE10691" t="s">
        <v>80</v>
      </c>
      <c r="AG10691" t="s">
        <v>81</v>
      </c>
    </row>
    <row r="10692" spans="1:33" x14ac:dyDescent="0.25">
      <c r="A10692" t="str">
        <f>"1710099924"</f>
        <v>1710099924</v>
      </c>
      <c r="B10692" t="str">
        <f>"01971457"</f>
        <v>01971457</v>
      </c>
      <c r="C10692" t="s">
        <v>43644</v>
      </c>
      <c r="D10692" t="s">
        <v>43645</v>
      </c>
      <c r="E10692" t="s">
        <v>43646</v>
      </c>
      <c r="G10692" t="s">
        <v>43644</v>
      </c>
      <c r="L10692" t="s">
        <v>83</v>
      </c>
      <c r="M10692" t="s">
        <v>75</v>
      </c>
      <c r="R10692" t="s">
        <v>43647</v>
      </c>
      <c r="W10692" t="s">
        <v>43646</v>
      </c>
      <c r="X10692" t="s">
        <v>202</v>
      </c>
      <c r="Y10692" t="s">
        <v>87</v>
      </c>
      <c r="Z10692" t="s">
        <v>77</v>
      </c>
      <c r="AA10692" t="str">
        <f>"11201-5425"</f>
        <v>11201-5425</v>
      </c>
      <c r="AB10692" t="s">
        <v>78</v>
      </c>
      <c r="AC10692" t="s">
        <v>79</v>
      </c>
      <c r="AD10692" t="s">
        <v>75</v>
      </c>
      <c r="AE10692" t="s">
        <v>80</v>
      </c>
      <c r="AG10692" t="s">
        <v>81</v>
      </c>
    </row>
    <row r="10693" spans="1:33" x14ac:dyDescent="0.25">
      <c r="A10693" t="str">
        <f>"1710102231"</f>
        <v>1710102231</v>
      </c>
      <c r="B10693" t="str">
        <f>"03219087"</f>
        <v>03219087</v>
      </c>
      <c r="C10693" t="s">
        <v>43648</v>
      </c>
      <c r="D10693" t="s">
        <v>43649</v>
      </c>
      <c r="E10693" t="s">
        <v>43650</v>
      </c>
      <c r="G10693" t="s">
        <v>43648</v>
      </c>
      <c r="L10693" t="s">
        <v>83</v>
      </c>
      <c r="M10693" t="s">
        <v>75</v>
      </c>
      <c r="R10693" t="s">
        <v>43651</v>
      </c>
      <c r="W10693" t="s">
        <v>43652</v>
      </c>
      <c r="X10693" t="s">
        <v>8978</v>
      </c>
      <c r="Y10693" t="s">
        <v>155</v>
      </c>
      <c r="Z10693" t="s">
        <v>77</v>
      </c>
      <c r="AA10693" t="str">
        <f>"10301-3627"</f>
        <v>10301-3627</v>
      </c>
      <c r="AB10693" t="s">
        <v>78</v>
      </c>
      <c r="AC10693" t="s">
        <v>79</v>
      </c>
      <c r="AD10693" t="s">
        <v>75</v>
      </c>
      <c r="AE10693" t="s">
        <v>80</v>
      </c>
      <c r="AG10693" t="s">
        <v>81</v>
      </c>
    </row>
    <row r="10694" spans="1:33" x14ac:dyDescent="0.25">
      <c r="A10694" t="str">
        <f>"1710932744"</f>
        <v>1710932744</v>
      </c>
      <c r="B10694" t="str">
        <f>"01839270"</f>
        <v>01839270</v>
      </c>
      <c r="C10694" t="s">
        <v>43653</v>
      </c>
      <c r="D10694" t="s">
        <v>43654</v>
      </c>
      <c r="E10694" t="s">
        <v>43655</v>
      </c>
      <c r="G10694" t="s">
        <v>43653</v>
      </c>
      <c r="L10694" t="s">
        <v>84</v>
      </c>
      <c r="M10694" t="s">
        <v>85</v>
      </c>
      <c r="R10694" t="s">
        <v>43656</v>
      </c>
      <c r="W10694" t="s">
        <v>43655</v>
      </c>
      <c r="X10694" t="s">
        <v>43657</v>
      </c>
      <c r="Y10694" t="s">
        <v>171</v>
      </c>
      <c r="Z10694" t="s">
        <v>77</v>
      </c>
      <c r="AA10694" t="str">
        <f>"11432-4727"</f>
        <v>11432-4727</v>
      </c>
      <c r="AB10694" t="s">
        <v>78</v>
      </c>
      <c r="AC10694" t="s">
        <v>79</v>
      </c>
      <c r="AD10694" t="s">
        <v>75</v>
      </c>
      <c r="AE10694" t="s">
        <v>80</v>
      </c>
      <c r="AG10694" t="s">
        <v>81</v>
      </c>
    </row>
    <row r="10695" spans="1:33" x14ac:dyDescent="0.25">
      <c r="A10695" t="str">
        <f>"1720027790"</f>
        <v>1720027790</v>
      </c>
      <c r="B10695" t="str">
        <f>"01863074"</f>
        <v>01863074</v>
      </c>
      <c r="C10695" t="s">
        <v>43658</v>
      </c>
      <c r="D10695" t="s">
        <v>43659</v>
      </c>
      <c r="E10695" t="s">
        <v>43660</v>
      </c>
      <c r="G10695" t="s">
        <v>43658</v>
      </c>
      <c r="L10695" t="s">
        <v>83</v>
      </c>
      <c r="M10695" t="s">
        <v>75</v>
      </c>
      <c r="R10695" t="s">
        <v>43661</v>
      </c>
      <c r="W10695" t="s">
        <v>43661</v>
      </c>
      <c r="X10695" t="s">
        <v>202</v>
      </c>
      <c r="Y10695" t="s">
        <v>87</v>
      </c>
      <c r="Z10695" t="s">
        <v>77</v>
      </c>
      <c r="AA10695" t="str">
        <f>"11201-5425"</f>
        <v>11201-5425</v>
      </c>
      <c r="AB10695" t="s">
        <v>78</v>
      </c>
      <c r="AC10695" t="s">
        <v>79</v>
      </c>
      <c r="AD10695" t="s">
        <v>75</v>
      </c>
      <c r="AE10695" t="s">
        <v>80</v>
      </c>
      <c r="AG10695" t="s">
        <v>81</v>
      </c>
    </row>
    <row r="10696" spans="1:33" x14ac:dyDescent="0.25">
      <c r="C10696" t="s">
        <v>42845</v>
      </c>
      <c r="G10696" t="s">
        <v>43662</v>
      </c>
      <c r="H10696" t="s">
        <v>43663</v>
      </c>
      <c r="I10696">
        <v>2723</v>
      </c>
      <c r="J10696" t="s">
        <v>43664</v>
      </c>
      <c r="K10696" t="s">
        <v>99</v>
      </c>
      <c r="L10696" t="s">
        <v>100</v>
      </c>
      <c r="M10696" t="s">
        <v>75</v>
      </c>
      <c r="N10696" t="s">
        <v>43665</v>
      </c>
      <c r="O10696" t="s">
        <v>167</v>
      </c>
      <c r="P10696" t="s">
        <v>77</v>
      </c>
      <c r="Q10696" t="str">
        <f>"10027"</f>
        <v>10027</v>
      </c>
      <c r="AC10696" t="s">
        <v>79</v>
      </c>
      <c r="AD10696" t="s">
        <v>75</v>
      </c>
      <c r="AE10696" t="s">
        <v>101</v>
      </c>
      <c r="AG10696" t="s">
        <v>81</v>
      </c>
    </row>
    <row r="10697" spans="1:33" x14ac:dyDescent="0.25">
      <c r="C10697" t="s">
        <v>40973</v>
      </c>
      <c r="G10697" t="s">
        <v>40976</v>
      </c>
      <c r="H10697" t="s">
        <v>9775</v>
      </c>
      <c r="J10697" t="s">
        <v>9776</v>
      </c>
      <c r="K10697" t="s">
        <v>99</v>
      </c>
      <c r="L10697" t="s">
        <v>100</v>
      </c>
      <c r="M10697" t="s">
        <v>75</v>
      </c>
      <c r="N10697" t="s">
        <v>43666</v>
      </c>
      <c r="O10697" t="s">
        <v>43667</v>
      </c>
      <c r="P10697" t="s">
        <v>77</v>
      </c>
      <c r="Q10697" t="str">
        <f>"11362"</f>
        <v>11362</v>
      </c>
      <c r="AC10697" t="s">
        <v>79</v>
      </c>
      <c r="AD10697" t="s">
        <v>75</v>
      </c>
      <c r="AE10697" t="s">
        <v>101</v>
      </c>
      <c r="AG10697" t="s">
        <v>81</v>
      </c>
    </row>
    <row r="10698" spans="1:33" x14ac:dyDescent="0.25">
      <c r="C10698" t="s">
        <v>43668</v>
      </c>
      <c r="H10698" t="s">
        <v>17064</v>
      </c>
      <c r="J10698" t="s">
        <v>17077</v>
      </c>
      <c r="K10698" t="s">
        <v>99</v>
      </c>
      <c r="L10698" t="s">
        <v>100</v>
      </c>
      <c r="M10698" t="s">
        <v>75</v>
      </c>
      <c r="N10698" t="s">
        <v>43669</v>
      </c>
      <c r="O10698" t="s">
        <v>1309</v>
      </c>
      <c r="P10698" t="s">
        <v>77</v>
      </c>
      <c r="Q10698" t="str">
        <f>"11435"</f>
        <v>11435</v>
      </c>
      <c r="AC10698" t="s">
        <v>79</v>
      </c>
      <c r="AD10698" t="s">
        <v>75</v>
      </c>
      <c r="AE10698" t="s">
        <v>101</v>
      </c>
      <c r="AG10698" t="s">
        <v>81</v>
      </c>
    </row>
    <row r="10699" spans="1:33" x14ac:dyDescent="0.25">
      <c r="A10699" t="str">
        <f>"1053420919"</f>
        <v>1053420919</v>
      </c>
      <c r="B10699" t="str">
        <f>"01556147"</f>
        <v>01556147</v>
      </c>
      <c r="C10699" t="s">
        <v>43670</v>
      </c>
      <c r="D10699" t="s">
        <v>43671</v>
      </c>
      <c r="E10699" t="s">
        <v>43672</v>
      </c>
      <c r="G10699" t="s">
        <v>43673</v>
      </c>
      <c r="H10699" t="s">
        <v>43674</v>
      </c>
      <c r="J10699" t="s">
        <v>43675</v>
      </c>
      <c r="L10699" t="s">
        <v>11</v>
      </c>
      <c r="M10699" t="s">
        <v>85</v>
      </c>
      <c r="R10699" t="s">
        <v>43676</v>
      </c>
      <c r="W10699" t="s">
        <v>43672</v>
      </c>
      <c r="X10699" t="s">
        <v>43677</v>
      </c>
      <c r="Y10699" t="s">
        <v>2638</v>
      </c>
      <c r="Z10699" t="s">
        <v>77</v>
      </c>
      <c r="AA10699" t="str">
        <f>"11978-2714"</f>
        <v>11978-2714</v>
      </c>
      <c r="AB10699" t="s">
        <v>96</v>
      </c>
      <c r="AC10699" t="s">
        <v>79</v>
      </c>
      <c r="AD10699" t="s">
        <v>75</v>
      </c>
      <c r="AE10699" t="s">
        <v>80</v>
      </c>
      <c r="AG10699" t="s">
        <v>81</v>
      </c>
    </row>
    <row r="10700" spans="1:33" x14ac:dyDescent="0.25">
      <c r="A10700" t="str">
        <f>"1396783049"</f>
        <v>1396783049</v>
      </c>
      <c r="B10700" t="str">
        <f>"00823212"</f>
        <v>00823212</v>
      </c>
      <c r="C10700" t="s">
        <v>43678</v>
      </c>
      <c r="D10700" t="s">
        <v>43679</v>
      </c>
      <c r="E10700" t="s">
        <v>43680</v>
      </c>
      <c r="G10700" t="s">
        <v>43681</v>
      </c>
      <c r="H10700" t="s">
        <v>43682</v>
      </c>
      <c r="J10700" t="s">
        <v>43683</v>
      </c>
      <c r="L10700" t="s">
        <v>144</v>
      </c>
      <c r="M10700" t="s">
        <v>85</v>
      </c>
      <c r="R10700" t="s">
        <v>43684</v>
      </c>
      <c r="W10700" t="s">
        <v>43680</v>
      </c>
      <c r="X10700" t="s">
        <v>43685</v>
      </c>
      <c r="Y10700" t="s">
        <v>97</v>
      </c>
      <c r="Z10700" t="s">
        <v>77</v>
      </c>
      <c r="AA10700" t="str">
        <f>"10003-7902"</f>
        <v>10003-7902</v>
      </c>
      <c r="AB10700" t="s">
        <v>122</v>
      </c>
      <c r="AC10700" t="s">
        <v>79</v>
      </c>
      <c r="AD10700" t="s">
        <v>75</v>
      </c>
      <c r="AE10700" t="s">
        <v>80</v>
      </c>
      <c r="AG10700" t="s">
        <v>81</v>
      </c>
    </row>
    <row r="10701" spans="1:33" x14ac:dyDescent="0.25">
      <c r="C10701" t="s">
        <v>43686</v>
      </c>
      <c r="G10701" t="s">
        <v>43687</v>
      </c>
      <c r="H10701" t="s">
        <v>8392</v>
      </c>
      <c r="K10701" t="s">
        <v>99</v>
      </c>
      <c r="L10701" t="s">
        <v>100</v>
      </c>
      <c r="M10701" t="s">
        <v>75</v>
      </c>
      <c r="N10701" t="s">
        <v>43688</v>
      </c>
      <c r="O10701" t="s">
        <v>431</v>
      </c>
      <c r="P10701" t="s">
        <v>77</v>
      </c>
      <c r="Q10701" t="str">
        <f>"11207"</f>
        <v>11207</v>
      </c>
      <c r="AC10701" t="s">
        <v>79</v>
      </c>
      <c r="AD10701" t="s">
        <v>75</v>
      </c>
      <c r="AE10701" t="s">
        <v>101</v>
      </c>
      <c r="AG10701" t="s">
        <v>81</v>
      </c>
    </row>
    <row r="10702" spans="1:33" x14ac:dyDescent="0.25">
      <c r="A10702" t="str">
        <f>"1104024926"</f>
        <v>1104024926</v>
      </c>
      <c r="C10702" t="s">
        <v>43689</v>
      </c>
      <c r="G10702" t="s">
        <v>43690</v>
      </c>
      <c r="H10702" t="s">
        <v>43691</v>
      </c>
      <c r="I10702">
        <v>303</v>
      </c>
      <c r="J10702" t="s">
        <v>43692</v>
      </c>
      <c r="K10702" t="s">
        <v>99</v>
      </c>
      <c r="L10702" t="s">
        <v>102</v>
      </c>
      <c r="M10702" t="s">
        <v>75</v>
      </c>
      <c r="R10702" t="s">
        <v>43693</v>
      </c>
      <c r="S10702" t="s">
        <v>43694</v>
      </c>
      <c r="T10702" t="s">
        <v>190</v>
      </c>
      <c r="U10702" t="s">
        <v>77</v>
      </c>
      <c r="V10702" t="str">
        <f>"111044351"</f>
        <v>111044351</v>
      </c>
      <c r="AC10702" t="s">
        <v>79</v>
      </c>
      <c r="AD10702" t="s">
        <v>75</v>
      </c>
      <c r="AE10702" t="s">
        <v>103</v>
      </c>
      <c r="AG10702" t="s">
        <v>81</v>
      </c>
    </row>
    <row r="10703" spans="1:33" x14ac:dyDescent="0.25">
      <c r="A10703" t="str">
        <f>"1649294661"</f>
        <v>1649294661</v>
      </c>
      <c r="B10703" t="str">
        <f>"00529319"</f>
        <v>00529319</v>
      </c>
      <c r="C10703" t="s">
        <v>13436</v>
      </c>
      <c r="D10703" t="s">
        <v>43695</v>
      </c>
      <c r="E10703" t="s">
        <v>43696</v>
      </c>
      <c r="G10703" t="s">
        <v>43697</v>
      </c>
      <c r="L10703" t="s">
        <v>83</v>
      </c>
      <c r="M10703" t="s">
        <v>85</v>
      </c>
      <c r="R10703" t="s">
        <v>43698</v>
      </c>
      <c r="W10703" t="s">
        <v>43696</v>
      </c>
      <c r="X10703" t="s">
        <v>329</v>
      </c>
      <c r="Y10703" t="s">
        <v>97</v>
      </c>
      <c r="Z10703" t="s">
        <v>77</v>
      </c>
      <c r="AA10703" t="str">
        <f>"10029-6504"</f>
        <v>10029-6504</v>
      </c>
      <c r="AB10703" t="s">
        <v>78</v>
      </c>
      <c r="AC10703" t="s">
        <v>79</v>
      </c>
      <c r="AD10703" t="s">
        <v>75</v>
      </c>
      <c r="AE10703" t="s">
        <v>80</v>
      </c>
      <c r="AG10703" t="s">
        <v>81</v>
      </c>
    </row>
    <row r="10704" spans="1:33" x14ac:dyDescent="0.25">
      <c r="A10704" t="str">
        <f>"1649298480"</f>
        <v>1649298480</v>
      </c>
      <c r="B10704" t="str">
        <f>"02729624"</f>
        <v>02729624</v>
      </c>
      <c r="C10704" t="s">
        <v>13436</v>
      </c>
      <c r="D10704" t="s">
        <v>43699</v>
      </c>
      <c r="E10704" t="s">
        <v>43700</v>
      </c>
      <c r="G10704" t="s">
        <v>43701</v>
      </c>
      <c r="L10704" t="s">
        <v>83</v>
      </c>
      <c r="M10704" t="s">
        <v>85</v>
      </c>
      <c r="R10704" t="s">
        <v>43702</v>
      </c>
      <c r="W10704" t="s">
        <v>43700</v>
      </c>
      <c r="X10704" t="s">
        <v>272</v>
      </c>
      <c r="Y10704" t="s">
        <v>97</v>
      </c>
      <c r="Z10704" t="s">
        <v>77</v>
      </c>
      <c r="AA10704" t="str">
        <f>"10029-6501"</f>
        <v>10029-6501</v>
      </c>
      <c r="AB10704" t="s">
        <v>78</v>
      </c>
      <c r="AC10704" t="s">
        <v>79</v>
      </c>
      <c r="AD10704" t="s">
        <v>75</v>
      </c>
      <c r="AE10704" t="s">
        <v>80</v>
      </c>
      <c r="AG10704" t="s">
        <v>81</v>
      </c>
    </row>
    <row r="10705" spans="1:33" x14ac:dyDescent="0.25">
      <c r="A10705" t="str">
        <f>"1649299686"</f>
        <v>1649299686</v>
      </c>
      <c r="B10705" t="str">
        <f>"02758318"</f>
        <v>02758318</v>
      </c>
      <c r="C10705" t="s">
        <v>13436</v>
      </c>
      <c r="D10705" t="s">
        <v>43703</v>
      </c>
      <c r="E10705" t="s">
        <v>43704</v>
      </c>
      <c r="G10705" t="s">
        <v>43705</v>
      </c>
      <c r="L10705" t="s">
        <v>83</v>
      </c>
      <c r="M10705" t="s">
        <v>85</v>
      </c>
      <c r="R10705" t="s">
        <v>43706</v>
      </c>
      <c r="W10705" t="s">
        <v>43704</v>
      </c>
      <c r="X10705" t="s">
        <v>17583</v>
      </c>
      <c r="Y10705" t="s">
        <v>97</v>
      </c>
      <c r="Z10705" t="s">
        <v>77</v>
      </c>
      <c r="AA10705" t="str">
        <f>"10029-6501"</f>
        <v>10029-6501</v>
      </c>
      <c r="AB10705" t="s">
        <v>78</v>
      </c>
      <c r="AC10705" t="s">
        <v>79</v>
      </c>
      <c r="AD10705" t="s">
        <v>75</v>
      </c>
      <c r="AE10705" t="s">
        <v>80</v>
      </c>
      <c r="AG10705" t="s">
        <v>81</v>
      </c>
    </row>
    <row r="10706" spans="1:33" x14ac:dyDescent="0.25">
      <c r="A10706" t="str">
        <f>"1649358342"</f>
        <v>1649358342</v>
      </c>
      <c r="B10706" t="str">
        <f>"02665649"</f>
        <v>02665649</v>
      </c>
      <c r="C10706" t="s">
        <v>13436</v>
      </c>
      <c r="D10706" t="s">
        <v>43707</v>
      </c>
      <c r="E10706" t="s">
        <v>43708</v>
      </c>
      <c r="G10706" t="s">
        <v>43709</v>
      </c>
      <c r="L10706" t="s">
        <v>74</v>
      </c>
      <c r="M10706" t="s">
        <v>75</v>
      </c>
      <c r="R10706" t="s">
        <v>43710</v>
      </c>
      <c r="W10706" t="s">
        <v>43708</v>
      </c>
      <c r="X10706" t="s">
        <v>2926</v>
      </c>
      <c r="Y10706" t="s">
        <v>97</v>
      </c>
      <c r="Z10706" t="s">
        <v>77</v>
      </c>
      <c r="AA10706" t="str">
        <f>"10029-0001"</f>
        <v>10029-0001</v>
      </c>
      <c r="AB10706" t="s">
        <v>78</v>
      </c>
      <c r="AC10706" t="s">
        <v>79</v>
      </c>
      <c r="AD10706" t="s">
        <v>75</v>
      </c>
      <c r="AE10706" t="s">
        <v>80</v>
      </c>
      <c r="AG10706" t="s">
        <v>81</v>
      </c>
    </row>
    <row r="10707" spans="1:33" x14ac:dyDescent="0.25">
      <c r="A10707" t="str">
        <f>"1811122559"</f>
        <v>1811122559</v>
      </c>
      <c r="B10707" t="str">
        <f>"03121184"</f>
        <v>03121184</v>
      </c>
      <c r="C10707" t="s">
        <v>13436</v>
      </c>
      <c r="D10707" t="s">
        <v>43711</v>
      </c>
      <c r="E10707" t="s">
        <v>43712</v>
      </c>
      <c r="G10707" t="s">
        <v>43713</v>
      </c>
      <c r="L10707" t="s">
        <v>74</v>
      </c>
      <c r="M10707" t="s">
        <v>85</v>
      </c>
      <c r="R10707" t="s">
        <v>43714</v>
      </c>
      <c r="W10707" t="s">
        <v>43712</v>
      </c>
      <c r="X10707" t="s">
        <v>835</v>
      </c>
      <c r="Y10707" t="s">
        <v>97</v>
      </c>
      <c r="Z10707" t="s">
        <v>77</v>
      </c>
      <c r="AA10707" t="str">
        <f>"10029-6501"</f>
        <v>10029-6501</v>
      </c>
      <c r="AB10707" t="s">
        <v>78</v>
      </c>
      <c r="AC10707" t="s">
        <v>79</v>
      </c>
      <c r="AD10707" t="s">
        <v>75</v>
      </c>
      <c r="AE10707" t="s">
        <v>80</v>
      </c>
      <c r="AG10707" t="s">
        <v>81</v>
      </c>
    </row>
    <row r="10708" spans="1:33" x14ac:dyDescent="0.25">
      <c r="A10708" t="str">
        <f>"1811126378"</f>
        <v>1811126378</v>
      </c>
      <c r="B10708" t="str">
        <f>"03129137"</f>
        <v>03129137</v>
      </c>
      <c r="C10708" t="s">
        <v>13436</v>
      </c>
      <c r="D10708" t="s">
        <v>43715</v>
      </c>
      <c r="E10708" t="s">
        <v>43716</v>
      </c>
      <c r="L10708" t="s">
        <v>74</v>
      </c>
      <c r="M10708" t="s">
        <v>85</v>
      </c>
      <c r="R10708" t="s">
        <v>43716</v>
      </c>
      <c r="W10708" t="s">
        <v>43716</v>
      </c>
      <c r="X10708" t="s">
        <v>329</v>
      </c>
      <c r="Y10708" t="s">
        <v>97</v>
      </c>
      <c r="Z10708" t="s">
        <v>77</v>
      </c>
      <c r="AA10708" t="str">
        <f>"10029-6500"</f>
        <v>10029-6500</v>
      </c>
      <c r="AB10708" t="s">
        <v>78</v>
      </c>
      <c r="AC10708" t="s">
        <v>79</v>
      </c>
      <c r="AD10708" t="s">
        <v>75</v>
      </c>
      <c r="AE10708" t="s">
        <v>80</v>
      </c>
      <c r="AG10708" t="s">
        <v>81</v>
      </c>
    </row>
    <row r="10709" spans="1:33" x14ac:dyDescent="0.25">
      <c r="A10709" t="str">
        <f>"1811129018"</f>
        <v>1811129018</v>
      </c>
      <c r="B10709" t="str">
        <f>"03474724"</f>
        <v>03474724</v>
      </c>
      <c r="C10709" t="s">
        <v>13436</v>
      </c>
      <c r="D10709" t="s">
        <v>43717</v>
      </c>
      <c r="E10709" t="s">
        <v>2596</v>
      </c>
      <c r="L10709" t="s">
        <v>83</v>
      </c>
      <c r="M10709" t="s">
        <v>85</v>
      </c>
      <c r="R10709" t="s">
        <v>43718</v>
      </c>
      <c r="W10709" t="s">
        <v>2596</v>
      </c>
      <c r="X10709" t="s">
        <v>329</v>
      </c>
      <c r="Y10709" t="s">
        <v>97</v>
      </c>
      <c r="Z10709" t="s">
        <v>77</v>
      </c>
      <c r="AA10709" t="str">
        <f>"10029-6500"</f>
        <v>10029-6500</v>
      </c>
      <c r="AB10709" t="s">
        <v>78</v>
      </c>
      <c r="AC10709" t="s">
        <v>79</v>
      </c>
      <c r="AD10709" t="s">
        <v>75</v>
      </c>
      <c r="AE10709" t="s">
        <v>80</v>
      </c>
      <c r="AG10709" t="s">
        <v>81</v>
      </c>
    </row>
    <row r="10710" spans="1:33" x14ac:dyDescent="0.25">
      <c r="A10710" t="str">
        <f>"1932378148"</f>
        <v>1932378148</v>
      </c>
      <c r="B10710" t="str">
        <f>"03462508"</f>
        <v>03462508</v>
      </c>
      <c r="C10710" t="s">
        <v>13436</v>
      </c>
      <c r="D10710" t="s">
        <v>43719</v>
      </c>
      <c r="E10710" t="s">
        <v>43720</v>
      </c>
      <c r="L10710" t="s">
        <v>83</v>
      </c>
      <c r="M10710" t="s">
        <v>85</v>
      </c>
      <c r="R10710" t="s">
        <v>43720</v>
      </c>
      <c r="W10710" t="s">
        <v>43720</v>
      </c>
      <c r="X10710" t="s">
        <v>329</v>
      </c>
      <c r="Y10710" t="s">
        <v>97</v>
      </c>
      <c r="Z10710" t="s">
        <v>77</v>
      </c>
      <c r="AA10710" t="str">
        <f>"10029-6500"</f>
        <v>10029-6500</v>
      </c>
      <c r="AB10710" t="s">
        <v>78</v>
      </c>
      <c r="AC10710" t="s">
        <v>79</v>
      </c>
      <c r="AD10710" t="s">
        <v>75</v>
      </c>
      <c r="AE10710" t="s">
        <v>80</v>
      </c>
      <c r="AG10710" t="s">
        <v>81</v>
      </c>
    </row>
    <row r="10711" spans="1:33" x14ac:dyDescent="0.25">
      <c r="A10711" t="str">
        <f>"1699091850"</f>
        <v>1699091850</v>
      </c>
      <c r="C10711" t="s">
        <v>13436</v>
      </c>
      <c r="K10711" t="s">
        <v>99</v>
      </c>
      <c r="L10711" t="s">
        <v>102</v>
      </c>
      <c r="M10711" t="s">
        <v>75</v>
      </c>
      <c r="R10711" t="s">
        <v>43721</v>
      </c>
      <c r="S10711" t="s">
        <v>329</v>
      </c>
      <c r="T10711" t="s">
        <v>97</v>
      </c>
      <c r="U10711" t="s">
        <v>77</v>
      </c>
      <c r="V10711" t="str">
        <f>"100296500"</f>
        <v>100296500</v>
      </c>
      <c r="AC10711" t="s">
        <v>79</v>
      </c>
      <c r="AD10711" t="s">
        <v>75</v>
      </c>
      <c r="AE10711" t="s">
        <v>103</v>
      </c>
      <c r="AG10711" t="s">
        <v>81</v>
      </c>
    </row>
    <row r="10712" spans="1:33" x14ac:dyDescent="0.25">
      <c r="A10712" t="str">
        <f>"1699112128"</f>
        <v>1699112128</v>
      </c>
      <c r="C10712" t="s">
        <v>13436</v>
      </c>
      <c r="K10712" t="s">
        <v>99</v>
      </c>
      <c r="L10712" t="s">
        <v>102</v>
      </c>
      <c r="M10712" t="s">
        <v>75</v>
      </c>
      <c r="R10712" t="s">
        <v>43722</v>
      </c>
      <c r="S10712" t="s">
        <v>29444</v>
      </c>
      <c r="T10712" t="s">
        <v>97</v>
      </c>
      <c r="U10712" t="s">
        <v>77</v>
      </c>
      <c r="V10712" t="str">
        <f>"100296500"</f>
        <v>100296500</v>
      </c>
      <c r="AC10712" t="s">
        <v>79</v>
      </c>
      <c r="AD10712" t="s">
        <v>75</v>
      </c>
      <c r="AE10712" t="s">
        <v>103</v>
      </c>
      <c r="AG10712" t="s">
        <v>81</v>
      </c>
    </row>
    <row r="10713" spans="1:33" x14ac:dyDescent="0.25">
      <c r="A10713" t="str">
        <f>"1699118950"</f>
        <v>1699118950</v>
      </c>
      <c r="C10713" t="s">
        <v>13436</v>
      </c>
      <c r="K10713" t="s">
        <v>99</v>
      </c>
      <c r="L10713" t="s">
        <v>102</v>
      </c>
      <c r="M10713" t="s">
        <v>75</v>
      </c>
      <c r="R10713" t="s">
        <v>43723</v>
      </c>
      <c r="S10713" t="s">
        <v>843</v>
      </c>
      <c r="T10713" t="s">
        <v>97</v>
      </c>
      <c r="U10713" t="s">
        <v>77</v>
      </c>
      <c r="V10713" t="str">
        <f>"100166402"</f>
        <v>100166402</v>
      </c>
      <c r="AC10713" t="s">
        <v>79</v>
      </c>
      <c r="AD10713" t="s">
        <v>75</v>
      </c>
      <c r="AE10713" t="s">
        <v>103</v>
      </c>
      <c r="AG10713" t="s">
        <v>81</v>
      </c>
    </row>
    <row r="10714" spans="1:33" x14ac:dyDescent="0.25">
      <c r="A10714" t="str">
        <f>"1750517843"</f>
        <v>1750517843</v>
      </c>
      <c r="C10714" t="s">
        <v>13436</v>
      </c>
      <c r="G10714" t="s">
        <v>43724</v>
      </c>
      <c r="K10714" t="s">
        <v>99</v>
      </c>
      <c r="L10714" t="s">
        <v>74</v>
      </c>
      <c r="M10714" t="s">
        <v>75</v>
      </c>
      <c r="R10714" t="s">
        <v>43725</v>
      </c>
      <c r="S10714" t="s">
        <v>43726</v>
      </c>
      <c r="T10714" t="s">
        <v>26501</v>
      </c>
      <c r="U10714" t="s">
        <v>2595</v>
      </c>
      <c r="V10714" t="str">
        <f>"946115642"</f>
        <v>946115642</v>
      </c>
      <c r="AC10714" t="s">
        <v>79</v>
      </c>
      <c r="AD10714" t="s">
        <v>75</v>
      </c>
      <c r="AE10714" t="s">
        <v>103</v>
      </c>
      <c r="AG10714" t="s">
        <v>81</v>
      </c>
    </row>
    <row r="10715" spans="1:33" x14ac:dyDescent="0.25">
      <c r="A10715" t="str">
        <f>"1821069048"</f>
        <v>1821069048</v>
      </c>
      <c r="B10715" t="str">
        <f>"02783553"</f>
        <v>02783553</v>
      </c>
      <c r="C10715" t="s">
        <v>13436</v>
      </c>
      <c r="D10715" t="s">
        <v>6133</v>
      </c>
      <c r="E10715" t="s">
        <v>6134</v>
      </c>
      <c r="G10715" t="s">
        <v>43727</v>
      </c>
      <c r="L10715" t="s">
        <v>83</v>
      </c>
      <c r="M10715" t="s">
        <v>85</v>
      </c>
      <c r="R10715" t="s">
        <v>6135</v>
      </c>
      <c r="W10715" t="s">
        <v>6134</v>
      </c>
      <c r="X10715" t="s">
        <v>297</v>
      </c>
      <c r="Y10715" t="s">
        <v>139</v>
      </c>
      <c r="Z10715" t="s">
        <v>77</v>
      </c>
      <c r="AA10715" t="str">
        <f>"11355-5044"</f>
        <v>11355-5044</v>
      </c>
      <c r="AB10715" t="s">
        <v>78</v>
      </c>
      <c r="AC10715" t="s">
        <v>79</v>
      </c>
      <c r="AD10715" t="s">
        <v>75</v>
      </c>
      <c r="AE10715" t="s">
        <v>80</v>
      </c>
      <c r="AG10715" t="s">
        <v>81</v>
      </c>
    </row>
    <row r="10716" spans="1:33" x14ac:dyDescent="0.25">
      <c r="A10716" t="str">
        <f>"1700178969"</f>
        <v>1700178969</v>
      </c>
      <c r="B10716" t="str">
        <f>"03392409"</f>
        <v>03392409</v>
      </c>
      <c r="C10716" t="s">
        <v>13436</v>
      </c>
      <c r="D10716" t="s">
        <v>43728</v>
      </c>
      <c r="E10716" t="s">
        <v>43729</v>
      </c>
      <c r="G10716" t="s">
        <v>43730</v>
      </c>
      <c r="L10716" t="s">
        <v>84</v>
      </c>
      <c r="M10716" t="s">
        <v>85</v>
      </c>
      <c r="R10716" t="s">
        <v>43731</v>
      </c>
      <c r="W10716" t="s">
        <v>43729</v>
      </c>
      <c r="X10716" t="s">
        <v>43732</v>
      </c>
      <c r="Y10716" t="s">
        <v>190</v>
      </c>
      <c r="Z10716" t="s">
        <v>77</v>
      </c>
      <c r="AA10716" t="str">
        <f>"11106-0000"</f>
        <v>11106-0000</v>
      </c>
      <c r="AB10716" t="s">
        <v>78</v>
      </c>
      <c r="AC10716" t="s">
        <v>79</v>
      </c>
      <c r="AD10716" t="s">
        <v>75</v>
      </c>
      <c r="AE10716" t="s">
        <v>80</v>
      </c>
      <c r="AG10716" t="s">
        <v>81</v>
      </c>
    </row>
    <row r="10717" spans="1:33" x14ac:dyDescent="0.25">
      <c r="A10717" t="str">
        <f>"1700179413"</f>
        <v>1700179413</v>
      </c>
      <c r="C10717" t="s">
        <v>13436</v>
      </c>
      <c r="K10717" t="s">
        <v>99</v>
      </c>
      <c r="L10717" t="s">
        <v>102</v>
      </c>
      <c r="M10717" t="s">
        <v>75</v>
      </c>
      <c r="R10717" t="s">
        <v>43733</v>
      </c>
      <c r="S10717" t="s">
        <v>43734</v>
      </c>
      <c r="T10717" t="s">
        <v>43735</v>
      </c>
      <c r="U10717" t="s">
        <v>2661</v>
      </c>
      <c r="V10717" t="str">
        <f>"218111155"</f>
        <v>218111155</v>
      </c>
      <c r="AC10717" t="s">
        <v>79</v>
      </c>
      <c r="AD10717" t="s">
        <v>75</v>
      </c>
      <c r="AE10717" t="s">
        <v>103</v>
      </c>
      <c r="AG10717" t="s">
        <v>81</v>
      </c>
    </row>
    <row r="10718" spans="1:33" x14ac:dyDescent="0.25">
      <c r="A10718" t="str">
        <f>"1700183613"</f>
        <v>1700183613</v>
      </c>
      <c r="C10718" t="s">
        <v>13436</v>
      </c>
      <c r="K10718" t="s">
        <v>99</v>
      </c>
      <c r="L10718" t="s">
        <v>102</v>
      </c>
      <c r="M10718" t="s">
        <v>75</v>
      </c>
      <c r="R10718" t="s">
        <v>43736</v>
      </c>
      <c r="S10718" t="s">
        <v>43737</v>
      </c>
      <c r="T10718" t="s">
        <v>4467</v>
      </c>
      <c r="U10718" t="s">
        <v>1842</v>
      </c>
      <c r="V10718" t="str">
        <f>"060300001"</f>
        <v>060300001</v>
      </c>
      <c r="AC10718" t="s">
        <v>79</v>
      </c>
      <c r="AD10718" t="s">
        <v>75</v>
      </c>
      <c r="AE10718" t="s">
        <v>103</v>
      </c>
      <c r="AG10718" t="s">
        <v>81</v>
      </c>
    </row>
    <row r="10719" spans="1:33" x14ac:dyDescent="0.25">
      <c r="A10719" t="str">
        <f>"1700185691"</f>
        <v>1700185691</v>
      </c>
      <c r="C10719" t="s">
        <v>13436</v>
      </c>
      <c r="G10719" t="s">
        <v>43738</v>
      </c>
      <c r="K10719" t="s">
        <v>99</v>
      </c>
      <c r="L10719" t="s">
        <v>74</v>
      </c>
      <c r="M10719" t="s">
        <v>75</v>
      </c>
      <c r="R10719" t="s">
        <v>43739</v>
      </c>
      <c r="S10719" t="s">
        <v>2587</v>
      </c>
      <c r="T10719" t="s">
        <v>97</v>
      </c>
      <c r="U10719" t="s">
        <v>77</v>
      </c>
      <c r="V10719" t="str">
        <f>"100033314"</f>
        <v>100033314</v>
      </c>
      <c r="AC10719" t="s">
        <v>79</v>
      </c>
      <c r="AD10719" t="s">
        <v>75</v>
      </c>
      <c r="AE10719" t="s">
        <v>103</v>
      </c>
      <c r="AG10719" t="s">
        <v>81</v>
      </c>
    </row>
    <row r="10720" spans="1:33" x14ac:dyDescent="0.25">
      <c r="A10720" t="str">
        <f>"1700197605"</f>
        <v>1700197605</v>
      </c>
      <c r="B10720" t="str">
        <f>"03822906"</f>
        <v>03822906</v>
      </c>
      <c r="C10720" t="s">
        <v>13436</v>
      </c>
      <c r="D10720" t="s">
        <v>43740</v>
      </c>
      <c r="E10720" t="s">
        <v>43741</v>
      </c>
      <c r="G10720" t="s">
        <v>43742</v>
      </c>
      <c r="L10720" t="s">
        <v>74</v>
      </c>
      <c r="M10720" t="s">
        <v>75</v>
      </c>
      <c r="R10720" t="s">
        <v>43743</v>
      </c>
      <c r="W10720" t="s">
        <v>43741</v>
      </c>
      <c r="X10720" t="s">
        <v>30144</v>
      </c>
      <c r="Y10720" t="s">
        <v>97</v>
      </c>
      <c r="Z10720" t="s">
        <v>77</v>
      </c>
      <c r="AA10720" t="str">
        <f>"10025-0000"</f>
        <v>10025-0000</v>
      </c>
      <c r="AB10720" t="s">
        <v>78</v>
      </c>
      <c r="AC10720" t="s">
        <v>79</v>
      </c>
      <c r="AD10720" t="s">
        <v>75</v>
      </c>
      <c r="AE10720" t="s">
        <v>80</v>
      </c>
      <c r="AG10720" t="s">
        <v>81</v>
      </c>
    </row>
    <row r="10721" spans="1:33" x14ac:dyDescent="0.25">
      <c r="A10721" t="str">
        <f>"1720185804"</f>
        <v>1720185804</v>
      </c>
      <c r="B10721" t="str">
        <f>"02300356"</f>
        <v>02300356</v>
      </c>
      <c r="C10721" t="s">
        <v>43744</v>
      </c>
      <c r="D10721" t="s">
        <v>43745</v>
      </c>
      <c r="E10721" t="s">
        <v>43746</v>
      </c>
      <c r="G10721" t="s">
        <v>43744</v>
      </c>
      <c r="L10721" t="s">
        <v>83</v>
      </c>
      <c r="M10721" t="s">
        <v>75</v>
      </c>
      <c r="R10721" t="s">
        <v>43747</v>
      </c>
      <c r="W10721" t="s">
        <v>43746</v>
      </c>
      <c r="X10721" t="s">
        <v>2182</v>
      </c>
      <c r="Y10721" t="s">
        <v>2182</v>
      </c>
      <c r="Z10721" t="s">
        <v>77</v>
      </c>
      <c r="AA10721" t="str">
        <f>"10567-1233"</f>
        <v>10567-1233</v>
      </c>
      <c r="AB10721" t="s">
        <v>78</v>
      </c>
      <c r="AC10721" t="s">
        <v>79</v>
      </c>
      <c r="AD10721" t="s">
        <v>75</v>
      </c>
      <c r="AE10721" t="s">
        <v>80</v>
      </c>
      <c r="AG10721" t="s">
        <v>81</v>
      </c>
    </row>
    <row r="10722" spans="1:33" x14ac:dyDescent="0.25">
      <c r="A10722" t="str">
        <f>"1720224132"</f>
        <v>1720224132</v>
      </c>
      <c r="B10722" t="str">
        <f>"03982390"</f>
        <v>03982390</v>
      </c>
      <c r="C10722" t="s">
        <v>43748</v>
      </c>
      <c r="D10722" t="s">
        <v>43749</v>
      </c>
      <c r="E10722" t="s">
        <v>43750</v>
      </c>
      <c r="G10722" t="s">
        <v>43748</v>
      </c>
      <c r="L10722" t="s">
        <v>83</v>
      </c>
      <c r="M10722" t="s">
        <v>75</v>
      </c>
      <c r="R10722" t="s">
        <v>43751</v>
      </c>
      <c r="W10722" t="s">
        <v>43750</v>
      </c>
      <c r="X10722" t="s">
        <v>781</v>
      </c>
      <c r="Y10722" t="s">
        <v>97</v>
      </c>
      <c r="Z10722" t="s">
        <v>77</v>
      </c>
      <c r="AA10722" t="str">
        <f>"10022-1117"</f>
        <v>10022-1117</v>
      </c>
      <c r="AB10722" t="s">
        <v>78</v>
      </c>
      <c r="AC10722" t="s">
        <v>79</v>
      </c>
      <c r="AD10722" t="s">
        <v>75</v>
      </c>
      <c r="AE10722" t="s">
        <v>80</v>
      </c>
      <c r="AG10722" t="s">
        <v>81</v>
      </c>
    </row>
    <row r="10723" spans="1:33" x14ac:dyDescent="0.25">
      <c r="A10723" t="str">
        <f>"1730128570"</f>
        <v>1730128570</v>
      </c>
      <c r="B10723" t="str">
        <f>"01236759"</f>
        <v>01236759</v>
      </c>
      <c r="C10723" t="s">
        <v>43752</v>
      </c>
      <c r="D10723" t="s">
        <v>43753</v>
      </c>
      <c r="E10723" t="s">
        <v>43754</v>
      </c>
      <c r="G10723" t="s">
        <v>43752</v>
      </c>
      <c r="L10723" t="s">
        <v>84</v>
      </c>
      <c r="M10723" t="s">
        <v>85</v>
      </c>
      <c r="R10723" t="s">
        <v>43755</v>
      </c>
      <c r="W10723" t="s">
        <v>43754</v>
      </c>
      <c r="X10723" t="s">
        <v>5754</v>
      </c>
      <c r="Y10723" t="s">
        <v>171</v>
      </c>
      <c r="Z10723" t="s">
        <v>77</v>
      </c>
      <c r="AA10723" t="str">
        <f>"11434-4517"</f>
        <v>11434-4517</v>
      </c>
      <c r="AB10723" t="s">
        <v>78</v>
      </c>
      <c r="AC10723" t="s">
        <v>79</v>
      </c>
      <c r="AD10723" t="s">
        <v>75</v>
      </c>
      <c r="AE10723" t="s">
        <v>80</v>
      </c>
      <c r="AG10723" t="s">
        <v>81</v>
      </c>
    </row>
    <row r="10724" spans="1:33" x14ac:dyDescent="0.25">
      <c r="A10724" t="str">
        <f>"1740228519"</f>
        <v>1740228519</v>
      </c>
      <c r="B10724" t="str">
        <f>"00947879"</f>
        <v>00947879</v>
      </c>
      <c r="C10724" t="s">
        <v>43756</v>
      </c>
      <c r="D10724" t="s">
        <v>43757</v>
      </c>
      <c r="E10724" t="s">
        <v>43758</v>
      </c>
      <c r="G10724" t="s">
        <v>43756</v>
      </c>
      <c r="L10724" t="s">
        <v>84</v>
      </c>
      <c r="M10724" t="s">
        <v>75</v>
      </c>
      <c r="R10724" t="s">
        <v>43758</v>
      </c>
      <c r="W10724" t="s">
        <v>43758</v>
      </c>
      <c r="X10724" t="s">
        <v>43759</v>
      </c>
      <c r="Y10724" t="s">
        <v>236</v>
      </c>
      <c r="Z10724" t="s">
        <v>77</v>
      </c>
      <c r="AA10724" t="str">
        <f>"11103-4046"</f>
        <v>11103-4046</v>
      </c>
      <c r="AB10724" t="s">
        <v>78</v>
      </c>
      <c r="AC10724" t="s">
        <v>79</v>
      </c>
      <c r="AD10724" t="s">
        <v>75</v>
      </c>
      <c r="AE10724" t="s">
        <v>80</v>
      </c>
      <c r="AG10724" t="s">
        <v>81</v>
      </c>
    </row>
    <row r="10725" spans="1:33" x14ac:dyDescent="0.25">
      <c r="A10725" t="str">
        <f>"1750334025"</f>
        <v>1750334025</v>
      </c>
      <c r="B10725" t="str">
        <f>"03410024"</f>
        <v>03410024</v>
      </c>
      <c r="C10725" t="s">
        <v>43760</v>
      </c>
      <c r="D10725" t="s">
        <v>43761</v>
      </c>
      <c r="E10725" t="s">
        <v>43762</v>
      </c>
      <c r="G10725" t="s">
        <v>43760</v>
      </c>
      <c r="L10725" t="s">
        <v>102</v>
      </c>
      <c r="M10725" t="s">
        <v>75</v>
      </c>
      <c r="R10725" t="s">
        <v>43763</v>
      </c>
      <c r="W10725" t="s">
        <v>43762</v>
      </c>
      <c r="X10725" t="s">
        <v>33498</v>
      </c>
      <c r="Y10725" t="s">
        <v>161</v>
      </c>
      <c r="Z10725" t="s">
        <v>77</v>
      </c>
      <c r="AA10725" t="str">
        <f>"11042-2057"</f>
        <v>11042-2057</v>
      </c>
      <c r="AB10725" t="s">
        <v>78</v>
      </c>
      <c r="AC10725" t="s">
        <v>79</v>
      </c>
      <c r="AD10725" t="s">
        <v>75</v>
      </c>
      <c r="AE10725" t="s">
        <v>80</v>
      </c>
      <c r="AG10725" t="s">
        <v>81</v>
      </c>
    </row>
    <row r="10726" spans="1:33" x14ac:dyDescent="0.25">
      <c r="A10726" t="str">
        <f>"1750609111"</f>
        <v>1750609111</v>
      </c>
      <c r="B10726" t="str">
        <f>"03650915"</f>
        <v>03650915</v>
      </c>
      <c r="C10726" t="s">
        <v>43764</v>
      </c>
      <c r="D10726" t="s">
        <v>43765</v>
      </c>
      <c r="E10726" t="s">
        <v>43766</v>
      </c>
      <c r="G10726" t="s">
        <v>43764</v>
      </c>
      <c r="L10726" t="s">
        <v>83</v>
      </c>
      <c r="M10726" t="s">
        <v>75</v>
      </c>
      <c r="R10726" t="s">
        <v>43767</v>
      </c>
      <c r="W10726" t="s">
        <v>43766</v>
      </c>
      <c r="X10726" t="s">
        <v>201</v>
      </c>
      <c r="Y10726" t="s">
        <v>87</v>
      </c>
      <c r="Z10726" t="s">
        <v>77</v>
      </c>
      <c r="AA10726" t="str">
        <f>"11237-4006"</f>
        <v>11237-4006</v>
      </c>
      <c r="AB10726" t="s">
        <v>78</v>
      </c>
      <c r="AC10726" t="s">
        <v>79</v>
      </c>
      <c r="AD10726" t="s">
        <v>75</v>
      </c>
      <c r="AE10726" t="s">
        <v>80</v>
      </c>
      <c r="AG10726" t="s">
        <v>81</v>
      </c>
    </row>
    <row r="10727" spans="1:33" x14ac:dyDescent="0.25">
      <c r="A10727" t="str">
        <f>"1760429294"</f>
        <v>1760429294</v>
      </c>
      <c r="B10727" t="str">
        <f>"01722678"</f>
        <v>01722678</v>
      </c>
      <c r="C10727" t="s">
        <v>43768</v>
      </c>
      <c r="D10727" t="s">
        <v>43769</v>
      </c>
      <c r="E10727" t="s">
        <v>43770</v>
      </c>
      <c r="G10727" t="s">
        <v>43768</v>
      </c>
      <c r="L10727" t="s">
        <v>84</v>
      </c>
      <c r="M10727" t="s">
        <v>75</v>
      </c>
      <c r="R10727" t="s">
        <v>43771</v>
      </c>
      <c r="W10727" t="s">
        <v>43772</v>
      </c>
      <c r="X10727" t="s">
        <v>271</v>
      </c>
      <c r="Y10727" t="s">
        <v>161</v>
      </c>
      <c r="Z10727" t="s">
        <v>77</v>
      </c>
      <c r="AA10727" t="str">
        <f>"11040-1661"</f>
        <v>11040-1661</v>
      </c>
      <c r="AB10727" t="s">
        <v>78</v>
      </c>
      <c r="AC10727" t="s">
        <v>79</v>
      </c>
      <c r="AD10727" t="s">
        <v>75</v>
      </c>
      <c r="AE10727" t="s">
        <v>80</v>
      </c>
      <c r="AG10727" t="s">
        <v>81</v>
      </c>
    </row>
    <row r="10728" spans="1:33" x14ac:dyDescent="0.25">
      <c r="A10728" t="str">
        <f>"1760717748"</f>
        <v>1760717748</v>
      </c>
      <c r="B10728" t="str">
        <f>"03202926"</f>
        <v>03202926</v>
      </c>
      <c r="C10728" t="s">
        <v>43773</v>
      </c>
      <c r="D10728" t="s">
        <v>43774</v>
      </c>
      <c r="E10728" t="s">
        <v>43775</v>
      </c>
      <c r="G10728" t="s">
        <v>43773</v>
      </c>
      <c r="L10728" t="s">
        <v>84</v>
      </c>
      <c r="M10728" t="s">
        <v>75</v>
      </c>
      <c r="R10728" t="s">
        <v>43775</v>
      </c>
      <c r="W10728" t="s">
        <v>43776</v>
      </c>
      <c r="AB10728" t="s">
        <v>78</v>
      </c>
      <c r="AC10728" t="s">
        <v>79</v>
      </c>
      <c r="AD10728" t="s">
        <v>75</v>
      </c>
      <c r="AE10728" t="s">
        <v>80</v>
      </c>
      <c r="AG10728" t="s">
        <v>81</v>
      </c>
    </row>
    <row r="10729" spans="1:33" x14ac:dyDescent="0.25">
      <c r="A10729" t="str">
        <f>"1770524837"</f>
        <v>1770524837</v>
      </c>
      <c r="B10729" t="str">
        <f>"00834175"</f>
        <v>00834175</v>
      </c>
      <c r="C10729" t="s">
        <v>43777</v>
      </c>
      <c r="D10729" t="s">
        <v>43778</v>
      </c>
      <c r="E10729" t="s">
        <v>43779</v>
      </c>
      <c r="G10729" t="s">
        <v>43777</v>
      </c>
      <c r="L10729" t="s">
        <v>84</v>
      </c>
      <c r="M10729" t="s">
        <v>85</v>
      </c>
      <c r="R10729" t="s">
        <v>43780</v>
      </c>
      <c r="W10729" t="s">
        <v>43779</v>
      </c>
      <c r="X10729" t="s">
        <v>4916</v>
      </c>
      <c r="Y10729" t="s">
        <v>171</v>
      </c>
      <c r="Z10729" t="s">
        <v>77</v>
      </c>
      <c r="AA10729" t="str">
        <f>"11432-4727"</f>
        <v>11432-4727</v>
      </c>
      <c r="AB10729" t="s">
        <v>78</v>
      </c>
      <c r="AC10729" t="s">
        <v>79</v>
      </c>
      <c r="AD10729" t="s">
        <v>75</v>
      </c>
      <c r="AE10729" t="s">
        <v>80</v>
      </c>
      <c r="AG10729" t="s">
        <v>81</v>
      </c>
    </row>
    <row r="10730" spans="1:33" x14ac:dyDescent="0.25">
      <c r="A10730" t="str">
        <f>"1770734824"</f>
        <v>1770734824</v>
      </c>
      <c r="B10730" t="str">
        <f>"03099447"</f>
        <v>03099447</v>
      </c>
      <c r="C10730" t="s">
        <v>43781</v>
      </c>
      <c r="D10730" t="s">
        <v>43782</v>
      </c>
      <c r="E10730" t="s">
        <v>43783</v>
      </c>
      <c r="G10730" t="s">
        <v>43781</v>
      </c>
      <c r="L10730" t="s">
        <v>83</v>
      </c>
      <c r="M10730" t="s">
        <v>75</v>
      </c>
      <c r="R10730" t="s">
        <v>43784</v>
      </c>
      <c r="W10730" t="s">
        <v>43783</v>
      </c>
      <c r="X10730" t="s">
        <v>2657</v>
      </c>
      <c r="Y10730" t="s">
        <v>87</v>
      </c>
      <c r="Z10730" t="s">
        <v>77</v>
      </c>
      <c r="AA10730" t="str">
        <f>"11229-3716"</f>
        <v>11229-3716</v>
      </c>
      <c r="AB10730" t="s">
        <v>78</v>
      </c>
      <c r="AC10730" t="s">
        <v>79</v>
      </c>
      <c r="AD10730" t="s">
        <v>75</v>
      </c>
      <c r="AE10730" t="s">
        <v>80</v>
      </c>
      <c r="AG10730" t="s">
        <v>81</v>
      </c>
    </row>
    <row r="10731" spans="1:33" x14ac:dyDescent="0.25">
      <c r="A10731" t="str">
        <f>"1770745275"</f>
        <v>1770745275</v>
      </c>
      <c r="B10731" t="str">
        <f>"04038157"</f>
        <v>04038157</v>
      </c>
      <c r="C10731" t="s">
        <v>43785</v>
      </c>
      <c r="D10731" t="s">
        <v>43786</v>
      </c>
      <c r="E10731" t="s">
        <v>43787</v>
      </c>
      <c r="G10731" t="s">
        <v>43785</v>
      </c>
      <c r="L10731" t="s">
        <v>83</v>
      </c>
      <c r="M10731" t="s">
        <v>75</v>
      </c>
      <c r="R10731" t="s">
        <v>43788</v>
      </c>
      <c r="W10731" t="s">
        <v>43787</v>
      </c>
      <c r="X10731" t="s">
        <v>40972</v>
      </c>
      <c r="Y10731" t="s">
        <v>207</v>
      </c>
      <c r="Z10731" t="s">
        <v>77</v>
      </c>
      <c r="AA10731" t="str">
        <f>"11581-1015"</f>
        <v>11581-1015</v>
      </c>
      <c r="AB10731" t="s">
        <v>78</v>
      </c>
      <c r="AC10731" t="s">
        <v>79</v>
      </c>
      <c r="AD10731" t="s">
        <v>75</v>
      </c>
      <c r="AE10731" t="s">
        <v>80</v>
      </c>
      <c r="AG10731" t="s">
        <v>81</v>
      </c>
    </row>
    <row r="10732" spans="1:33" x14ac:dyDescent="0.25">
      <c r="A10732" t="str">
        <f>"1770782187"</f>
        <v>1770782187</v>
      </c>
      <c r="B10732" t="str">
        <f>"03563480"</f>
        <v>03563480</v>
      </c>
      <c r="C10732" t="s">
        <v>43789</v>
      </c>
      <c r="D10732" t="s">
        <v>43790</v>
      </c>
      <c r="E10732" t="s">
        <v>43791</v>
      </c>
      <c r="G10732" t="s">
        <v>43789</v>
      </c>
      <c r="L10732" t="s">
        <v>83</v>
      </c>
      <c r="M10732" t="s">
        <v>75</v>
      </c>
      <c r="R10732" t="s">
        <v>43792</v>
      </c>
      <c r="W10732" t="s">
        <v>43791</v>
      </c>
      <c r="X10732" t="s">
        <v>43542</v>
      </c>
      <c r="Y10732" t="s">
        <v>139</v>
      </c>
      <c r="Z10732" t="s">
        <v>77</v>
      </c>
      <c r="AA10732" t="str">
        <f>"11355-2686"</f>
        <v>11355-2686</v>
      </c>
      <c r="AB10732" t="s">
        <v>78</v>
      </c>
      <c r="AC10732" t="s">
        <v>79</v>
      </c>
      <c r="AD10732" t="s">
        <v>75</v>
      </c>
      <c r="AE10732" t="s">
        <v>80</v>
      </c>
      <c r="AG10732" t="s">
        <v>81</v>
      </c>
    </row>
    <row r="10733" spans="1:33" x14ac:dyDescent="0.25">
      <c r="A10733" t="str">
        <f>"1578745865"</f>
        <v>1578745865</v>
      </c>
      <c r="B10733" t="str">
        <f>"02949457"</f>
        <v>02949457</v>
      </c>
      <c r="C10733" t="s">
        <v>43793</v>
      </c>
      <c r="D10733" t="s">
        <v>387</v>
      </c>
      <c r="E10733" t="s">
        <v>388</v>
      </c>
      <c r="F10733">
        <v>131624123</v>
      </c>
      <c r="L10733" t="s">
        <v>37</v>
      </c>
      <c r="M10733" t="s">
        <v>75</v>
      </c>
      <c r="R10733" t="s">
        <v>389</v>
      </c>
      <c r="W10733" t="s">
        <v>390</v>
      </c>
      <c r="X10733" t="s">
        <v>391</v>
      </c>
      <c r="Y10733" t="s">
        <v>300</v>
      </c>
      <c r="Z10733" t="s">
        <v>77</v>
      </c>
      <c r="AA10733" t="str">
        <f>"10954-3121"</f>
        <v>10954-3121</v>
      </c>
      <c r="AB10733" t="s">
        <v>107</v>
      </c>
      <c r="AC10733" t="s">
        <v>79</v>
      </c>
      <c r="AD10733" t="s">
        <v>75</v>
      </c>
      <c r="AE10733" t="s">
        <v>80</v>
      </c>
      <c r="AG10733" t="s">
        <v>81</v>
      </c>
    </row>
    <row r="10734" spans="1:33" x14ac:dyDescent="0.25">
      <c r="A10734" t="str">
        <f>"1598802514"</f>
        <v>1598802514</v>
      </c>
      <c r="B10734" t="str">
        <f>"01530143"</f>
        <v>01530143</v>
      </c>
      <c r="C10734" t="s">
        <v>5258</v>
      </c>
      <c r="D10734" t="s">
        <v>117</v>
      </c>
      <c r="E10734" t="s">
        <v>118</v>
      </c>
      <c r="G10734" t="s">
        <v>42802</v>
      </c>
      <c r="H10734" t="s">
        <v>1400</v>
      </c>
      <c r="J10734" t="s">
        <v>42803</v>
      </c>
      <c r="L10734" t="s">
        <v>119</v>
      </c>
      <c r="M10734" t="s">
        <v>85</v>
      </c>
      <c r="R10734" t="s">
        <v>116</v>
      </c>
      <c r="W10734" t="s">
        <v>118</v>
      </c>
      <c r="X10734" t="s">
        <v>120</v>
      </c>
      <c r="Y10734" t="s">
        <v>121</v>
      </c>
      <c r="Z10734" t="s">
        <v>77</v>
      </c>
      <c r="AA10734" t="str">
        <f>"12029"</f>
        <v>12029</v>
      </c>
      <c r="AB10734" t="s">
        <v>122</v>
      </c>
      <c r="AC10734" t="s">
        <v>79</v>
      </c>
      <c r="AD10734" t="s">
        <v>75</v>
      </c>
      <c r="AE10734" t="s">
        <v>80</v>
      </c>
      <c r="AG10734" t="s">
        <v>81</v>
      </c>
    </row>
    <row r="10735" spans="1:33" x14ac:dyDescent="0.25">
      <c r="A10735" t="str">
        <f>"1063745511"</f>
        <v>1063745511</v>
      </c>
      <c r="C10735" t="s">
        <v>43794</v>
      </c>
      <c r="G10735" t="s">
        <v>5033</v>
      </c>
      <c r="H10735" t="s">
        <v>1401</v>
      </c>
      <c r="I10735">
        <v>5601</v>
      </c>
      <c r="J10735" t="s">
        <v>3675</v>
      </c>
      <c r="K10735" t="s">
        <v>99</v>
      </c>
      <c r="L10735" t="s">
        <v>102</v>
      </c>
      <c r="M10735" t="s">
        <v>75</v>
      </c>
      <c r="R10735" t="s">
        <v>1402</v>
      </c>
      <c r="S10735" t="s">
        <v>3677</v>
      </c>
      <c r="T10735" t="s">
        <v>97</v>
      </c>
      <c r="U10735" t="s">
        <v>77</v>
      </c>
      <c r="V10735" t="str">
        <f>"100016008"</f>
        <v>100016008</v>
      </c>
      <c r="AC10735" t="s">
        <v>79</v>
      </c>
      <c r="AD10735" t="s">
        <v>75</v>
      </c>
      <c r="AE10735" t="s">
        <v>103</v>
      </c>
      <c r="AG10735" t="s">
        <v>81</v>
      </c>
    </row>
    <row r="10736" spans="1:33" x14ac:dyDescent="0.25">
      <c r="A10736" t="str">
        <f>"1215195904"</f>
        <v>1215195904</v>
      </c>
      <c r="B10736" t="str">
        <f>"00426884"</f>
        <v>00426884</v>
      </c>
      <c r="C10736" t="s">
        <v>43794</v>
      </c>
      <c r="D10736" t="s">
        <v>3673</v>
      </c>
      <c r="E10736" t="s">
        <v>3674</v>
      </c>
      <c r="F10736">
        <v>135562307</v>
      </c>
      <c r="G10736" t="s">
        <v>5033</v>
      </c>
      <c r="H10736" t="s">
        <v>1401</v>
      </c>
      <c r="I10736">
        <v>5601</v>
      </c>
      <c r="J10736" t="s">
        <v>3675</v>
      </c>
      <c r="L10736" t="s">
        <v>37</v>
      </c>
      <c r="M10736" t="s">
        <v>75</v>
      </c>
      <c r="R10736" t="s">
        <v>1402</v>
      </c>
      <c r="W10736" t="s">
        <v>3674</v>
      </c>
      <c r="X10736" t="s">
        <v>3676</v>
      </c>
      <c r="Y10736" t="s">
        <v>97</v>
      </c>
      <c r="Z10736" t="s">
        <v>77</v>
      </c>
      <c r="AA10736" t="str">
        <f>"10029-6437"</f>
        <v>10029-6437</v>
      </c>
      <c r="AB10736" t="s">
        <v>107</v>
      </c>
      <c r="AC10736" t="s">
        <v>79</v>
      </c>
      <c r="AD10736" t="s">
        <v>75</v>
      </c>
      <c r="AE10736" t="s">
        <v>80</v>
      </c>
      <c r="AG10736" t="s">
        <v>81</v>
      </c>
    </row>
    <row r="10737" spans="1:33" x14ac:dyDescent="0.25">
      <c r="A10737" t="str">
        <f>"1770731200"</f>
        <v>1770731200</v>
      </c>
      <c r="B10737" t="str">
        <f>"00426875"</f>
        <v>00426875</v>
      </c>
      <c r="C10737" t="s">
        <v>43794</v>
      </c>
      <c r="D10737" t="s">
        <v>3678</v>
      </c>
      <c r="E10737" t="s">
        <v>3679</v>
      </c>
      <c r="F10737">
        <v>135562307</v>
      </c>
      <c r="G10737" t="s">
        <v>5033</v>
      </c>
      <c r="H10737" t="s">
        <v>1401</v>
      </c>
      <c r="I10737">
        <v>5601</v>
      </c>
      <c r="J10737" t="s">
        <v>3675</v>
      </c>
      <c r="L10737" t="s">
        <v>37</v>
      </c>
      <c r="M10737" t="s">
        <v>75</v>
      </c>
      <c r="R10737" t="s">
        <v>1402</v>
      </c>
      <c r="W10737" t="s">
        <v>3679</v>
      </c>
      <c r="X10737" t="s">
        <v>3680</v>
      </c>
      <c r="Y10737" t="s">
        <v>97</v>
      </c>
      <c r="Z10737" t="s">
        <v>77</v>
      </c>
      <c r="AA10737" t="str">
        <f>"10029-6434"</f>
        <v>10029-6434</v>
      </c>
      <c r="AB10737" t="s">
        <v>107</v>
      </c>
      <c r="AC10737" t="s">
        <v>79</v>
      </c>
      <c r="AD10737" t="s">
        <v>75</v>
      </c>
      <c r="AE10737" t="s">
        <v>80</v>
      </c>
      <c r="AG10737" t="s">
        <v>81</v>
      </c>
    </row>
    <row r="10738" spans="1:33" x14ac:dyDescent="0.25">
      <c r="A10738" t="str">
        <f>"1942243084"</f>
        <v>1942243084</v>
      </c>
      <c r="B10738" t="str">
        <f>"01557620"</f>
        <v>01557620</v>
      </c>
      <c r="C10738" t="s">
        <v>43795</v>
      </c>
      <c r="D10738" t="s">
        <v>3438</v>
      </c>
      <c r="E10738" t="s">
        <v>3439</v>
      </c>
      <c r="G10738" t="s">
        <v>43796</v>
      </c>
      <c r="H10738" t="s">
        <v>43797</v>
      </c>
      <c r="J10738" t="s">
        <v>43798</v>
      </c>
      <c r="L10738" t="s">
        <v>37</v>
      </c>
      <c r="M10738" t="s">
        <v>75</v>
      </c>
      <c r="R10738" t="s">
        <v>3238</v>
      </c>
      <c r="W10738" t="s">
        <v>3439</v>
      </c>
      <c r="X10738" t="s">
        <v>3440</v>
      </c>
      <c r="Y10738" t="s">
        <v>97</v>
      </c>
      <c r="Z10738" t="s">
        <v>77</v>
      </c>
      <c r="AA10738" t="str">
        <f>"10013-1040"</f>
        <v>10013-1040</v>
      </c>
      <c r="AB10738" t="s">
        <v>122</v>
      </c>
      <c r="AC10738" t="s">
        <v>79</v>
      </c>
      <c r="AD10738" t="s">
        <v>75</v>
      </c>
      <c r="AE10738" t="s">
        <v>80</v>
      </c>
      <c r="AG10738" t="s">
        <v>81</v>
      </c>
    </row>
    <row r="10739" spans="1:33" x14ac:dyDescent="0.25">
      <c r="A10739" t="str">
        <f>"1639197551"</f>
        <v>1639197551</v>
      </c>
      <c r="B10739" t="str">
        <f>"00273056"</f>
        <v>00273056</v>
      </c>
      <c r="C10739" t="s">
        <v>43799</v>
      </c>
      <c r="D10739" t="s">
        <v>275</v>
      </c>
      <c r="E10739" t="s">
        <v>276</v>
      </c>
      <c r="G10739" t="s">
        <v>277</v>
      </c>
      <c r="H10739" t="s">
        <v>278</v>
      </c>
      <c r="I10739">
        <v>3086</v>
      </c>
      <c r="J10739" t="s">
        <v>43800</v>
      </c>
      <c r="L10739" t="s">
        <v>119</v>
      </c>
      <c r="M10739" t="s">
        <v>85</v>
      </c>
      <c r="R10739" t="s">
        <v>279</v>
      </c>
      <c r="W10739" t="s">
        <v>276</v>
      </c>
      <c r="X10739" t="s">
        <v>280</v>
      </c>
      <c r="Y10739" t="s">
        <v>281</v>
      </c>
      <c r="Z10739" t="s">
        <v>77</v>
      </c>
      <c r="AA10739" t="str">
        <f>"11366-1950"</f>
        <v>11366-1950</v>
      </c>
      <c r="AB10739" t="s">
        <v>96</v>
      </c>
      <c r="AC10739" t="s">
        <v>79</v>
      </c>
      <c r="AD10739" t="s">
        <v>75</v>
      </c>
      <c r="AE10739" t="s">
        <v>80</v>
      </c>
      <c r="AG10739" t="s">
        <v>81</v>
      </c>
    </row>
    <row r="10740" spans="1:33" x14ac:dyDescent="0.25">
      <c r="A10740" t="str">
        <f>"1679573083"</f>
        <v>1679573083</v>
      </c>
      <c r="B10740" t="str">
        <f>"00274057"</f>
        <v>00274057</v>
      </c>
      <c r="C10740" t="s">
        <v>4708</v>
      </c>
      <c r="D10740" t="s">
        <v>4709</v>
      </c>
      <c r="E10740" t="s">
        <v>4710</v>
      </c>
      <c r="G10740" t="s">
        <v>43801</v>
      </c>
      <c r="H10740" t="s">
        <v>4711</v>
      </c>
      <c r="J10740" t="s">
        <v>43802</v>
      </c>
      <c r="L10740" t="s">
        <v>147</v>
      </c>
      <c r="M10740" t="s">
        <v>85</v>
      </c>
      <c r="R10740" t="s">
        <v>4712</v>
      </c>
      <c r="W10740" t="s">
        <v>4710</v>
      </c>
      <c r="X10740" t="s">
        <v>4713</v>
      </c>
      <c r="Y10740" t="s">
        <v>146</v>
      </c>
      <c r="Z10740" t="s">
        <v>77</v>
      </c>
      <c r="AA10740" t="str">
        <f>"10595-1637"</f>
        <v>10595-1637</v>
      </c>
      <c r="AB10740" t="s">
        <v>93</v>
      </c>
      <c r="AC10740" t="s">
        <v>79</v>
      </c>
      <c r="AD10740" t="s">
        <v>75</v>
      </c>
      <c r="AE10740" t="s">
        <v>80</v>
      </c>
      <c r="AG10740" t="s">
        <v>81</v>
      </c>
    </row>
    <row r="10741" spans="1:33" x14ac:dyDescent="0.25">
      <c r="A10741" t="str">
        <f>"1467646281"</f>
        <v>1467646281</v>
      </c>
      <c r="C10741" t="s">
        <v>2966</v>
      </c>
      <c r="G10741" t="s">
        <v>43803</v>
      </c>
      <c r="H10741" t="s">
        <v>43804</v>
      </c>
      <c r="J10741" t="s">
        <v>43805</v>
      </c>
      <c r="K10741" t="s">
        <v>99</v>
      </c>
      <c r="L10741" t="s">
        <v>102</v>
      </c>
      <c r="M10741" t="s">
        <v>75</v>
      </c>
      <c r="R10741" t="s">
        <v>711</v>
      </c>
      <c r="S10741" t="s">
        <v>712</v>
      </c>
      <c r="T10741" t="s">
        <v>97</v>
      </c>
      <c r="U10741" t="s">
        <v>77</v>
      </c>
      <c r="V10741" t="str">
        <f>"100131207"</f>
        <v>100131207</v>
      </c>
      <c r="AC10741" t="s">
        <v>79</v>
      </c>
      <c r="AD10741" t="s">
        <v>75</v>
      </c>
      <c r="AE10741" t="s">
        <v>103</v>
      </c>
      <c r="AG10741" t="s">
        <v>81</v>
      </c>
    </row>
    <row r="10742" spans="1:33" x14ac:dyDescent="0.25">
      <c r="A10742" t="str">
        <f>"1194942003"</f>
        <v>1194942003</v>
      </c>
      <c r="B10742" t="str">
        <f>"02664368"</f>
        <v>02664368</v>
      </c>
      <c r="C10742" t="s">
        <v>3718</v>
      </c>
      <c r="D10742" t="s">
        <v>3719</v>
      </c>
      <c r="E10742" t="s">
        <v>3720</v>
      </c>
      <c r="G10742" t="s">
        <v>3721</v>
      </c>
      <c r="H10742" t="s">
        <v>3722</v>
      </c>
      <c r="I10742">
        <v>1702</v>
      </c>
      <c r="J10742" t="s">
        <v>3723</v>
      </c>
      <c r="L10742" t="s">
        <v>119</v>
      </c>
      <c r="M10742" t="s">
        <v>85</v>
      </c>
      <c r="R10742" t="s">
        <v>3724</v>
      </c>
      <c r="W10742" t="s">
        <v>3720</v>
      </c>
      <c r="X10742" t="s">
        <v>3725</v>
      </c>
      <c r="Y10742" t="s">
        <v>97</v>
      </c>
      <c r="Z10742" t="s">
        <v>77</v>
      </c>
      <c r="AA10742" t="str">
        <f>"10035-3627"</f>
        <v>10035-3627</v>
      </c>
      <c r="AB10742" t="s">
        <v>122</v>
      </c>
      <c r="AC10742" t="s">
        <v>79</v>
      </c>
      <c r="AD10742" t="s">
        <v>75</v>
      </c>
      <c r="AE10742" t="s">
        <v>80</v>
      </c>
      <c r="AG10742" t="s">
        <v>81</v>
      </c>
    </row>
    <row r="10743" spans="1:33" x14ac:dyDescent="0.25">
      <c r="A10743" t="str">
        <f>"1649254806"</f>
        <v>1649254806</v>
      </c>
      <c r="C10743" t="s">
        <v>43806</v>
      </c>
      <c r="G10743" t="s">
        <v>3325</v>
      </c>
      <c r="H10743" t="s">
        <v>43807</v>
      </c>
      <c r="J10743" t="s">
        <v>43808</v>
      </c>
      <c r="K10743" t="s">
        <v>99</v>
      </c>
      <c r="L10743" t="s">
        <v>102</v>
      </c>
      <c r="M10743" t="s">
        <v>75</v>
      </c>
      <c r="R10743" t="s">
        <v>3326</v>
      </c>
      <c r="S10743" t="s">
        <v>3327</v>
      </c>
      <c r="T10743" t="s">
        <v>97</v>
      </c>
      <c r="U10743" t="s">
        <v>77</v>
      </c>
      <c r="V10743" t="str">
        <f>"100012727"</f>
        <v>100012727</v>
      </c>
      <c r="AC10743" t="s">
        <v>79</v>
      </c>
      <c r="AD10743" t="s">
        <v>75</v>
      </c>
      <c r="AE10743" t="s">
        <v>103</v>
      </c>
      <c r="AG10743" t="s">
        <v>81</v>
      </c>
    </row>
    <row r="10744" spans="1:33" x14ac:dyDescent="0.25">
      <c r="A10744" t="str">
        <f>"1700203700"</f>
        <v>1700203700</v>
      </c>
      <c r="C10744" t="s">
        <v>13436</v>
      </c>
      <c r="K10744" t="s">
        <v>99</v>
      </c>
      <c r="L10744" t="s">
        <v>102</v>
      </c>
      <c r="M10744" t="s">
        <v>75</v>
      </c>
      <c r="R10744" t="s">
        <v>43809</v>
      </c>
      <c r="S10744" t="s">
        <v>43810</v>
      </c>
      <c r="T10744" t="s">
        <v>207</v>
      </c>
      <c r="U10744" t="s">
        <v>77</v>
      </c>
      <c r="V10744" t="str">
        <f>"115812704"</f>
        <v>115812704</v>
      </c>
      <c r="AC10744" t="s">
        <v>79</v>
      </c>
      <c r="AD10744" t="s">
        <v>75</v>
      </c>
      <c r="AE10744" t="s">
        <v>103</v>
      </c>
      <c r="AG10744" t="s">
        <v>81</v>
      </c>
    </row>
    <row r="10745" spans="1:33" x14ac:dyDescent="0.25">
      <c r="A10745" t="str">
        <f>"1700205788"</f>
        <v>1700205788</v>
      </c>
      <c r="C10745" t="s">
        <v>13436</v>
      </c>
      <c r="K10745" t="s">
        <v>99</v>
      </c>
      <c r="L10745" t="s">
        <v>102</v>
      </c>
      <c r="M10745" t="s">
        <v>75</v>
      </c>
      <c r="R10745" t="s">
        <v>43811</v>
      </c>
      <c r="S10745" t="s">
        <v>329</v>
      </c>
      <c r="T10745" t="s">
        <v>97</v>
      </c>
      <c r="U10745" t="s">
        <v>77</v>
      </c>
      <c r="V10745" t="str">
        <f>"100296504"</f>
        <v>100296504</v>
      </c>
      <c r="AC10745" t="s">
        <v>79</v>
      </c>
      <c r="AD10745" t="s">
        <v>75</v>
      </c>
      <c r="AE10745" t="s">
        <v>103</v>
      </c>
      <c r="AG10745" t="s">
        <v>81</v>
      </c>
    </row>
    <row r="10746" spans="1:33" x14ac:dyDescent="0.25">
      <c r="A10746" t="str">
        <f>"1700206190"</f>
        <v>1700206190</v>
      </c>
      <c r="C10746" t="s">
        <v>13436</v>
      </c>
      <c r="K10746" t="s">
        <v>99</v>
      </c>
      <c r="L10746" t="s">
        <v>102</v>
      </c>
      <c r="M10746" t="s">
        <v>75</v>
      </c>
      <c r="R10746" t="s">
        <v>43812</v>
      </c>
      <c r="S10746" t="s">
        <v>43813</v>
      </c>
      <c r="T10746" t="s">
        <v>131</v>
      </c>
      <c r="U10746" t="s">
        <v>77</v>
      </c>
      <c r="V10746" t="str">
        <f>"104714017"</f>
        <v>104714017</v>
      </c>
      <c r="AC10746" t="s">
        <v>79</v>
      </c>
      <c r="AD10746" t="s">
        <v>75</v>
      </c>
      <c r="AE10746" t="s">
        <v>103</v>
      </c>
      <c r="AG10746" t="s">
        <v>81</v>
      </c>
    </row>
    <row r="10747" spans="1:33" x14ac:dyDescent="0.25">
      <c r="A10747" t="str">
        <f>"1174772479"</f>
        <v>1174772479</v>
      </c>
      <c r="C10747" t="s">
        <v>43387</v>
      </c>
      <c r="K10747" t="s">
        <v>99</v>
      </c>
      <c r="L10747" t="s">
        <v>102</v>
      </c>
      <c r="M10747" t="s">
        <v>75</v>
      </c>
      <c r="R10747" t="s">
        <v>22768</v>
      </c>
      <c r="S10747" t="s">
        <v>43814</v>
      </c>
      <c r="T10747" t="s">
        <v>97</v>
      </c>
      <c r="U10747" t="s">
        <v>77</v>
      </c>
      <c r="V10747" t="str">
        <f>"100384922"</f>
        <v>100384922</v>
      </c>
      <c r="AC10747" t="s">
        <v>79</v>
      </c>
      <c r="AD10747" t="s">
        <v>75</v>
      </c>
      <c r="AE10747" t="s">
        <v>103</v>
      </c>
      <c r="AG10747" t="s">
        <v>81</v>
      </c>
    </row>
    <row r="10748" spans="1:33" x14ac:dyDescent="0.25">
      <c r="A10748" t="str">
        <f>"1184809055"</f>
        <v>1184809055</v>
      </c>
      <c r="C10748" t="s">
        <v>43815</v>
      </c>
      <c r="K10748" t="s">
        <v>99</v>
      </c>
      <c r="L10748" t="s">
        <v>102</v>
      </c>
      <c r="M10748" t="s">
        <v>75</v>
      </c>
      <c r="R10748" t="s">
        <v>22768</v>
      </c>
      <c r="S10748" t="s">
        <v>43816</v>
      </c>
      <c r="T10748" t="s">
        <v>87</v>
      </c>
      <c r="U10748" t="s">
        <v>77</v>
      </c>
      <c r="V10748" t="str">
        <f>"112015509"</f>
        <v>112015509</v>
      </c>
      <c r="AC10748" t="s">
        <v>79</v>
      </c>
      <c r="AD10748" t="s">
        <v>75</v>
      </c>
      <c r="AE10748" t="s">
        <v>103</v>
      </c>
      <c r="AG10748" t="s">
        <v>81</v>
      </c>
    </row>
    <row r="10749" spans="1:33" x14ac:dyDescent="0.25">
      <c r="A10749" t="str">
        <f>"1215172242"</f>
        <v>1215172242</v>
      </c>
      <c r="C10749" t="s">
        <v>43387</v>
      </c>
      <c r="K10749" t="s">
        <v>99</v>
      </c>
      <c r="L10749" t="s">
        <v>102</v>
      </c>
      <c r="M10749" t="s">
        <v>75</v>
      </c>
      <c r="R10749" t="s">
        <v>22768</v>
      </c>
      <c r="S10749" t="s">
        <v>20802</v>
      </c>
      <c r="T10749" t="s">
        <v>97</v>
      </c>
      <c r="U10749" t="s">
        <v>77</v>
      </c>
      <c r="V10749" t="str">
        <f>"100033804"</f>
        <v>100033804</v>
      </c>
      <c r="AC10749" t="s">
        <v>79</v>
      </c>
      <c r="AD10749" t="s">
        <v>75</v>
      </c>
      <c r="AE10749" t="s">
        <v>103</v>
      </c>
      <c r="AG10749" t="s">
        <v>81</v>
      </c>
    </row>
    <row r="10750" spans="1:33" x14ac:dyDescent="0.25">
      <c r="A10750" t="str">
        <f>"1215181458"</f>
        <v>1215181458</v>
      </c>
      <c r="C10750" t="s">
        <v>43817</v>
      </c>
      <c r="K10750" t="s">
        <v>99</v>
      </c>
      <c r="L10750" t="s">
        <v>102</v>
      </c>
      <c r="M10750" t="s">
        <v>75</v>
      </c>
      <c r="R10750" t="s">
        <v>13860</v>
      </c>
      <c r="S10750" t="s">
        <v>43818</v>
      </c>
      <c r="T10750" t="s">
        <v>97</v>
      </c>
      <c r="U10750" t="s">
        <v>77</v>
      </c>
      <c r="V10750" t="str">
        <f>"100296500"</f>
        <v>100296500</v>
      </c>
      <c r="AC10750" t="s">
        <v>79</v>
      </c>
      <c r="AD10750" t="s">
        <v>75</v>
      </c>
      <c r="AE10750" t="s">
        <v>103</v>
      </c>
      <c r="AG10750" t="s">
        <v>81</v>
      </c>
    </row>
    <row r="10751" spans="1:33" x14ac:dyDescent="0.25">
      <c r="A10751" t="str">
        <f>"1215240148"</f>
        <v>1215240148</v>
      </c>
      <c r="C10751" t="s">
        <v>43819</v>
      </c>
      <c r="K10751" t="s">
        <v>99</v>
      </c>
      <c r="L10751" t="s">
        <v>102</v>
      </c>
      <c r="M10751" t="s">
        <v>75</v>
      </c>
      <c r="R10751" t="s">
        <v>43820</v>
      </c>
      <c r="S10751" t="s">
        <v>43821</v>
      </c>
      <c r="T10751" t="s">
        <v>97</v>
      </c>
      <c r="U10751" t="s">
        <v>77</v>
      </c>
      <c r="V10751" t="str">
        <f>"100227936"</f>
        <v>100227936</v>
      </c>
      <c r="AC10751" t="s">
        <v>79</v>
      </c>
      <c r="AD10751" t="s">
        <v>75</v>
      </c>
      <c r="AE10751" t="s">
        <v>103</v>
      </c>
      <c r="AG10751" t="s">
        <v>81</v>
      </c>
    </row>
    <row r="10752" spans="1:33" x14ac:dyDescent="0.25">
      <c r="A10752" t="str">
        <f>"1215278767"</f>
        <v>1215278767</v>
      </c>
      <c r="C10752" t="s">
        <v>43299</v>
      </c>
      <c r="K10752" t="s">
        <v>99</v>
      </c>
      <c r="L10752" t="s">
        <v>102</v>
      </c>
      <c r="M10752" t="s">
        <v>75</v>
      </c>
      <c r="R10752" t="s">
        <v>1290</v>
      </c>
      <c r="S10752" t="s">
        <v>329</v>
      </c>
      <c r="T10752" t="s">
        <v>97</v>
      </c>
      <c r="U10752" t="s">
        <v>77</v>
      </c>
      <c r="V10752" t="str">
        <f>"100296574"</f>
        <v>100296574</v>
      </c>
      <c r="AC10752" t="s">
        <v>79</v>
      </c>
      <c r="AD10752" t="s">
        <v>75</v>
      </c>
      <c r="AE10752" t="s">
        <v>103</v>
      </c>
      <c r="AG10752" t="s">
        <v>81</v>
      </c>
    </row>
    <row r="10753" spans="1:33" x14ac:dyDescent="0.25">
      <c r="A10753" t="str">
        <f>"1225295512"</f>
        <v>1225295512</v>
      </c>
      <c r="C10753" t="s">
        <v>43822</v>
      </c>
      <c r="K10753" t="s">
        <v>99</v>
      </c>
      <c r="L10753" t="s">
        <v>102</v>
      </c>
      <c r="M10753" t="s">
        <v>75</v>
      </c>
      <c r="R10753" t="s">
        <v>43823</v>
      </c>
      <c r="S10753" t="s">
        <v>43824</v>
      </c>
      <c r="T10753" t="s">
        <v>97</v>
      </c>
      <c r="U10753" t="s">
        <v>77</v>
      </c>
      <c r="V10753" t="str">
        <f>"100296500"</f>
        <v>100296500</v>
      </c>
      <c r="AC10753" t="s">
        <v>79</v>
      </c>
      <c r="AD10753" t="s">
        <v>75</v>
      </c>
      <c r="AE10753" t="s">
        <v>103</v>
      </c>
      <c r="AG10753" t="s">
        <v>81</v>
      </c>
    </row>
    <row r="10754" spans="1:33" x14ac:dyDescent="0.25">
      <c r="A10754" t="str">
        <f>"1225441710"</f>
        <v>1225441710</v>
      </c>
      <c r="C10754" t="s">
        <v>43825</v>
      </c>
      <c r="K10754" t="s">
        <v>99</v>
      </c>
      <c r="L10754" t="s">
        <v>102</v>
      </c>
      <c r="M10754" t="s">
        <v>75</v>
      </c>
      <c r="R10754" t="s">
        <v>4489</v>
      </c>
      <c r="S10754" t="s">
        <v>181</v>
      </c>
      <c r="T10754" t="s">
        <v>97</v>
      </c>
      <c r="U10754" t="s">
        <v>77</v>
      </c>
      <c r="V10754" t="str">
        <f>"100251716"</f>
        <v>100251716</v>
      </c>
      <c r="AC10754" t="s">
        <v>79</v>
      </c>
      <c r="AD10754" t="s">
        <v>75</v>
      </c>
      <c r="AE10754" t="s">
        <v>103</v>
      </c>
      <c r="AG10754" t="s">
        <v>81</v>
      </c>
    </row>
    <row r="10755" spans="1:33" x14ac:dyDescent="0.25">
      <c r="A10755" t="str">
        <f>"1265634356"</f>
        <v>1265634356</v>
      </c>
      <c r="B10755" t="str">
        <f>"02976525"</f>
        <v>02976525</v>
      </c>
      <c r="C10755" t="s">
        <v>43387</v>
      </c>
      <c r="D10755" t="s">
        <v>27831</v>
      </c>
      <c r="E10755" t="s">
        <v>27832</v>
      </c>
      <c r="L10755" t="s">
        <v>1305</v>
      </c>
      <c r="M10755" t="s">
        <v>85</v>
      </c>
      <c r="R10755" t="s">
        <v>22768</v>
      </c>
      <c r="W10755" t="s">
        <v>43826</v>
      </c>
      <c r="X10755" t="s">
        <v>3553</v>
      </c>
      <c r="Y10755" t="s">
        <v>97</v>
      </c>
      <c r="Z10755" t="s">
        <v>77</v>
      </c>
      <c r="AA10755" t="str">
        <f>"10003-3851"</f>
        <v>10003-3851</v>
      </c>
      <c r="AB10755" t="s">
        <v>96</v>
      </c>
      <c r="AC10755" t="s">
        <v>79</v>
      </c>
      <c r="AD10755" t="s">
        <v>75</v>
      </c>
      <c r="AE10755" t="s">
        <v>80</v>
      </c>
      <c r="AG10755" t="s">
        <v>81</v>
      </c>
    </row>
    <row r="10756" spans="1:33" x14ac:dyDescent="0.25">
      <c r="A10756" t="str">
        <f>"1265857726"</f>
        <v>1265857726</v>
      </c>
      <c r="C10756" t="s">
        <v>43827</v>
      </c>
      <c r="K10756" t="s">
        <v>99</v>
      </c>
      <c r="L10756" t="s">
        <v>102</v>
      </c>
      <c r="M10756" t="s">
        <v>75</v>
      </c>
      <c r="R10756" t="s">
        <v>13860</v>
      </c>
      <c r="S10756" t="s">
        <v>43828</v>
      </c>
      <c r="T10756" t="s">
        <v>91</v>
      </c>
      <c r="U10756" t="s">
        <v>77</v>
      </c>
      <c r="V10756" t="str">
        <f>"113731329"</f>
        <v>113731329</v>
      </c>
      <c r="AC10756" t="s">
        <v>79</v>
      </c>
      <c r="AD10756" t="s">
        <v>75</v>
      </c>
      <c r="AE10756" t="s">
        <v>103</v>
      </c>
      <c r="AG10756" t="s">
        <v>81</v>
      </c>
    </row>
    <row r="10757" spans="1:33" x14ac:dyDescent="0.25">
      <c r="A10757" t="str">
        <f>"1275622276"</f>
        <v>1275622276</v>
      </c>
      <c r="C10757" t="s">
        <v>43295</v>
      </c>
      <c r="K10757" t="s">
        <v>99</v>
      </c>
      <c r="L10757" t="s">
        <v>102</v>
      </c>
      <c r="M10757" t="s">
        <v>75</v>
      </c>
      <c r="R10757" t="s">
        <v>43296</v>
      </c>
      <c r="S10757" t="s">
        <v>43829</v>
      </c>
      <c r="T10757" t="s">
        <v>97</v>
      </c>
      <c r="U10757" t="s">
        <v>77</v>
      </c>
      <c r="V10757" t="str">
        <f>"100296500"</f>
        <v>100296500</v>
      </c>
      <c r="AC10757" t="s">
        <v>79</v>
      </c>
      <c r="AD10757" t="s">
        <v>75</v>
      </c>
      <c r="AE10757" t="s">
        <v>103</v>
      </c>
      <c r="AG10757" t="s">
        <v>81</v>
      </c>
    </row>
    <row r="10758" spans="1:33" x14ac:dyDescent="0.25">
      <c r="A10758" t="str">
        <f>"1275952384"</f>
        <v>1275952384</v>
      </c>
      <c r="C10758" t="s">
        <v>43830</v>
      </c>
      <c r="K10758" t="s">
        <v>99</v>
      </c>
      <c r="L10758" t="s">
        <v>102</v>
      </c>
      <c r="M10758" t="s">
        <v>75</v>
      </c>
      <c r="R10758" t="s">
        <v>43831</v>
      </c>
      <c r="S10758" t="s">
        <v>43832</v>
      </c>
      <c r="T10758" t="s">
        <v>236</v>
      </c>
      <c r="U10758" t="s">
        <v>77</v>
      </c>
      <c r="V10758" t="str">
        <f>"11102"</f>
        <v>11102</v>
      </c>
      <c r="AC10758" t="s">
        <v>79</v>
      </c>
      <c r="AD10758" t="s">
        <v>75</v>
      </c>
      <c r="AE10758" t="s">
        <v>103</v>
      </c>
      <c r="AG10758" t="s">
        <v>81</v>
      </c>
    </row>
    <row r="10759" spans="1:33" x14ac:dyDescent="0.25">
      <c r="A10759" t="str">
        <f>"1285893057"</f>
        <v>1285893057</v>
      </c>
      <c r="B10759" t="str">
        <f>"03041123"</f>
        <v>03041123</v>
      </c>
      <c r="C10759" t="s">
        <v>43295</v>
      </c>
      <c r="D10759" t="s">
        <v>43833</v>
      </c>
      <c r="E10759" t="s">
        <v>43834</v>
      </c>
      <c r="L10759" t="s">
        <v>94</v>
      </c>
      <c r="M10759" t="s">
        <v>75</v>
      </c>
      <c r="R10759" t="s">
        <v>43296</v>
      </c>
      <c r="W10759" t="s">
        <v>43834</v>
      </c>
      <c r="X10759" t="s">
        <v>330</v>
      </c>
      <c r="Y10759" t="s">
        <v>97</v>
      </c>
      <c r="Z10759" t="s">
        <v>77</v>
      </c>
      <c r="AA10759" t="str">
        <f>"10029-5204"</f>
        <v>10029-5204</v>
      </c>
      <c r="AB10759" t="s">
        <v>78</v>
      </c>
      <c r="AC10759" t="s">
        <v>79</v>
      </c>
      <c r="AD10759" t="s">
        <v>75</v>
      </c>
      <c r="AE10759" t="s">
        <v>80</v>
      </c>
      <c r="AG10759" t="s">
        <v>81</v>
      </c>
    </row>
    <row r="10760" spans="1:33" x14ac:dyDescent="0.25">
      <c r="A10760" t="str">
        <f>"1295029346"</f>
        <v>1295029346</v>
      </c>
      <c r="C10760" t="s">
        <v>43835</v>
      </c>
      <c r="K10760" t="s">
        <v>99</v>
      </c>
      <c r="L10760" t="s">
        <v>102</v>
      </c>
      <c r="M10760" t="s">
        <v>75</v>
      </c>
      <c r="R10760" t="s">
        <v>43836</v>
      </c>
      <c r="S10760" t="s">
        <v>181</v>
      </c>
      <c r="T10760" t="s">
        <v>97</v>
      </c>
      <c r="U10760" t="s">
        <v>77</v>
      </c>
      <c r="V10760" t="str">
        <f>"100251716"</f>
        <v>100251716</v>
      </c>
      <c r="AC10760" t="s">
        <v>79</v>
      </c>
      <c r="AD10760" t="s">
        <v>75</v>
      </c>
      <c r="AE10760" t="s">
        <v>103</v>
      </c>
      <c r="AG10760" t="s">
        <v>81</v>
      </c>
    </row>
    <row r="10761" spans="1:33" x14ac:dyDescent="0.25">
      <c r="A10761" t="str">
        <f>"1316111487"</f>
        <v>1316111487</v>
      </c>
      <c r="C10761" t="s">
        <v>43299</v>
      </c>
      <c r="K10761" t="s">
        <v>99</v>
      </c>
      <c r="L10761" t="s">
        <v>102</v>
      </c>
      <c r="M10761" t="s">
        <v>75</v>
      </c>
      <c r="R10761" t="s">
        <v>1290</v>
      </c>
      <c r="S10761" t="s">
        <v>43837</v>
      </c>
      <c r="T10761" t="s">
        <v>97</v>
      </c>
      <c r="U10761" t="s">
        <v>77</v>
      </c>
      <c r="V10761" t="str">
        <f>"100296501"</f>
        <v>100296501</v>
      </c>
      <c r="AC10761" t="s">
        <v>79</v>
      </c>
      <c r="AD10761" t="s">
        <v>75</v>
      </c>
      <c r="AE10761" t="s">
        <v>103</v>
      </c>
      <c r="AG10761" t="s">
        <v>81</v>
      </c>
    </row>
    <row r="10762" spans="1:33" x14ac:dyDescent="0.25">
      <c r="A10762" t="str">
        <f>"1316265671"</f>
        <v>1316265671</v>
      </c>
      <c r="C10762" t="s">
        <v>43838</v>
      </c>
      <c r="K10762" t="s">
        <v>99</v>
      </c>
      <c r="L10762" t="s">
        <v>102</v>
      </c>
      <c r="M10762" t="s">
        <v>75</v>
      </c>
      <c r="R10762" t="s">
        <v>43839</v>
      </c>
      <c r="S10762" t="s">
        <v>191</v>
      </c>
      <c r="T10762" t="s">
        <v>97</v>
      </c>
      <c r="U10762" t="s">
        <v>77</v>
      </c>
      <c r="V10762" t="str">
        <f>"100191147"</f>
        <v>100191147</v>
      </c>
      <c r="AC10762" t="s">
        <v>79</v>
      </c>
      <c r="AD10762" t="s">
        <v>75</v>
      </c>
      <c r="AE10762" t="s">
        <v>103</v>
      </c>
      <c r="AG10762" t="s">
        <v>81</v>
      </c>
    </row>
    <row r="10763" spans="1:33" x14ac:dyDescent="0.25">
      <c r="A10763" t="str">
        <f>"1316982424"</f>
        <v>1316982424</v>
      </c>
      <c r="C10763" t="s">
        <v>43840</v>
      </c>
      <c r="K10763" t="s">
        <v>99</v>
      </c>
      <c r="L10763" t="s">
        <v>102</v>
      </c>
      <c r="M10763" t="s">
        <v>75</v>
      </c>
      <c r="R10763" t="s">
        <v>43841</v>
      </c>
      <c r="S10763" t="s">
        <v>235</v>
      </c>
      <c r="T10763" t="s">
        <v>190</v>
      </c>
      <c r="U10763" t="s">
        <v>77</v>
      </c>
      <c r="V10763" t="str">
        <f>"111022448"</f>
        <v>111022448</v>
      </c>
      <c r="AC10763" t="s">
        <v>79</v>
      </c>
      <c r="AD10763" t="s">
        <v>75</v>
      </c>
      <c r="AE10763" t="s">
        <v>103</v>
      </c>
      <c r="AG10763" t="s">
        <v>81</v>
      </c>
    </row>
    <row r="10764" spans="1:33" x14ac:dyDescent="0.25">
      <c r="A10764" t="str">
        <f>"1336441559"</f>
        <v>1336441559</v>
      </c>
      <c r="C10764" t="s">
        <v>43299</v>
      </c>
      <c r="K10764" t="s">
        <v>99</v>
      </c>
      <c r="L10764" t="s">
        <v>102</v>
      </c>
      <c r="M10764" t="s">
        <v>75</v>
      </c>
      <c r="R10764" t="s">
        <v>1290</v>
      </c>
      <c r="S10764" t="s">
        <v>329</v>
      </c>
      <c r="T10764" t="s">
        <v>97</v>
      </c>
      <c r="U10764" t="s">
        <v>77</v>
      </c>
      <c r="V10764" t="str">
        <f>"100296500"</f>
        <v>100296500</v>
      </c>
      <c r="AC10764" t="s">
        <v>79</v>
      </c>
      <c r="AD10764" t="s">
        <v>75</v>
      </c>
      <c r="AE10764" t="s">
        <v>103</v>
      </c>
      <c r="AG10764" t="s">
        <v>81</v>
      </c>
    </row>
    <row r="10765" spans="1:33" x14ac:dyDescent="0.25">
      <c r="A10765" t="str">
        <f>"1346512134"</f>
        <v>1346512134</v>
      </c>
      <c r="C10765" t="s">
        <v>43299</v>
      </c>
      <c r="K10765" t="s">
        <v>99</v>
      </c>
      <c r="L10765" t="s">
        <v>102</v>
      </c>
      <c r="M10765" t="s">
        <v>75</v>
      </c>
      <c r="R10765" t="s">
        <v>1290</v>
      </c>
      <c r="S10765" t="s">
        <v>43842</v>
      </c>
      <c r="T10765" t="s">
        <v>97</v>
      </c>
      <c r="U10765" t="s">
        <v>77</v>
      </c>
      <c r="V10765" t="str">
        <f>"100296574"</f>
        <v>100296574</v>
      </c>
      <c r="AC10765" t="s">
        <v>79</v>
      </c>
      <c r="AD10765" t="s">
        <v>75</v>
      </c>
      <c r="AE10765" t="s">
        <v>103</v>
      </c>
      <c r="AG10765" t="s">
        <v>81</v>
      </c>
    </row>
    <row r="10766" spans="1:33" x14ac:dyDescent="0.25">
      <c r="A10766" t="str">
        <f>"1346553880"</f>
        <v>1346553880</v>
      </c>
      <c r="C10766" t="s">
        <v>43843</v>
      </c>
      <c r="K10766" t="s">
        <v>99</v>
      </c>
      <c r="L10766" t="s">
        <v>102</v>
      </c>
      <c r="M10766" t="s">
        <v>75</v>
      </c>
      <c r="R10766" t="s">
        <v>1333</v>
      </c>
      <c r="S10766" t="s">
        <v>30436</v>
      </c>
      <c r="T10766" t="s">
        <v>97</v>
      </c>
      <c r="U10766" t="s">
        <v>77</v>
      </c>
      <c r="V10766" t="str">
        <f>"10023"</f>
        <v>10023</v>
      </c>
      <c r="AC10766" t="s">
        <v>79</v>
      </c>
      <c r="AD10766" t="s">
        <v>75</v>
      </c>
      <c r="AE10766" t="s">
        <v>103</v>
      </c>
      <c r="AG10766" t="s">
        <v>81</v>
      </c>
    </row>
    <row r="10767" spans="1:33" x14ac:dyDescent="0.25">
      <c r="A10767" t="str">
        <f>"1356754824"</f>
        <v>1356754824</v>
      </c>
      <c r="C10767" t="s">
        <v>43825</v>
      </c>
      <c r="K10767" t="s">
        <v>99</v>
      </c>
      <c r="L10767" t="s">
        <v>102</v>
      </c>
      <c r="M10767" t="s">
        <v>75</v>
      </c>
      <c r="R10767" t="s">
        <v>4489</v>
      </c>
      <c r="S10767" t="s">
        <v>181</v>
      </c>
      <c r="T10767" t="s">
        <v>97</v>
      </c>
      <c r="U10767" t="s">
        <v>77</v>
      </c>
      <c r="V10767" t="str">
        <f>"100251716"</f>
        <v>100251716</v>
      </c>
      <c r="AC10767" t="s">
        <v>79</v>
      </c>
      <c r="AD10767" t="s">
        <v>75</v>
      </c>
      <c r="AE10767" t="s">
        <v>103</v>
      </c>
      <c r="AG10767" t="s">
        <v>81</v>
      </c>
    </row>
    <row r="10768" spans="1:33" x14ac:dyDescent="0.25">
      <c r="A10768" t="str">
        <f>"1356754857"</f>
        <v>1356754857</v>
      </c>
      <c r="C10768" t="s">
        <v>43825</v>
      </c>
      <c r="K10768" t="s">
        <v>99</v>
      </c>
      <c r="L10768" t="s">
        <v>102</v>
      </c>
      <c r="M10768" t="s">
        <v>75</v>
      </c>
      <c r="R10768" t="s">
        <v>4489</v>
      </c>
      <c r="S10768" t="s">
        <v>181</v>
      </c>
      <c r="T10768" t="s">
        <v>97</v>
      </c>
      <c r="U10768" t="s">
        <v>77</v>
      </c>
      <c r="V10768" t="str">
        <f>"100251716"</f>
        <v>100251716</v>
      </c>
      <c r="AC10768" t="s">
        <v>79</v>
      </c>
      <c r="AD10768" t="s">
        <v>75</v>
      </c>
      <c r="AE10768" t="s">
        <v>103</v>
      </c>
      <c r="AG10768" t="s">
        <v>81</v>
      </c>
    </row>
    <row r="10769" spans="1:33" x14ac:dyDescent="0.25">
      <c r="A10769" t="str">
        <f>"1366672933"</f>
        <v>1366672933</v>
      </c>
      <c r="C10769" t="s">
        <v>43295</v>
      </c>
      <c r="K10769" t="s">
        <v>99</v>
      </c>
      <c r="L10769" t="s">
        <v>102</v>
      </c>
      <c r="M10769" t="s">
        <v>75</v>
      </c>
      <c r="R10769" t="s">
        <v>43296</v>
      </c>
      <c r="S10769" t="s">
        <v>43844</v>
      </c>
      <c r="T10769" t="s">
        <v>97</v>
      </c>
      <c r="U10769" t="s">
        <v>77</v>
      </c>
      <c r="V10769" t="str">
        <f>"100296501"</f>
        <v>100296501</v>
      </c>
      <c r="AC10769" t="s">
        <v>79</v>
      </c>
      <c r="AD10769" t="s">
        <v>75</v>
      </c>
      <c r="AE10769" t="s">
        <v>103</v>
      </c>
      <c r="AG10769" t="s">
        <v>81</v>
      </c>
    </row>
    <row r="10770" spans="1:33" x14ac:dyDescent="0.25">
      <c r="A10770" t="str">
        <f>"1366721672"</f>
        <v>1366721672</v>
      </c>
      <c r="C10770" t="s">
        <v>43295</v>
      </c>
      <c r="K10770" t="s">
        <v>99</v>
      </c>
      <c r="L10770" t="s">
        <v>102</v>
      </c>
      <c r="M10770" t="s">
        <v>75</v>
      </c>
      <c r="R10770" t="s">
        <v>43296</v>
      </c>
      <c r="S10770" t="s">
        <v>329</v>
      </c>
      <c r="T10770" t="s">
        <v>97</v>
      </c>
      <c r="U10770" t="s">
        <v>77</v>
      </c>
      <c r="V10770" t="str">
        <f>"100296574"</f>
        <v>100296574</v>
      </c>
      <c r="AC10770" t="s">
        <v>79</v>
      </c>
      <c r="AD10770" t="s">
        <v>75</v>
      </c>
      <c r="AE10770" t="s">
        <v>103</v>
      </c>
      <c r="AG10770" t="s">
        <v>81</v>
      </c>
    </row>
    <row r="10771" spans="1:33" x14ac:dyDescent="0.25">
      <c r="A10771" t="str">
        <f>"1386669802"</f>
        <v>1386669802</v>
      </c>
      <c r="C10771" t="s">
        <v>43827</v>
      </c>
      <c r="K10771" t="s">
        <v>99</v>
      </c>
      <c r="L10771" t="s">
        <v>102</v>
      </c>
      <c r="M10771" t="s">
        <v>75</v>
      </c>
      <c r="R10771" t="s">
        <v>13860</v>
      </c>
      <c r="S10771" t="s">
        <v>43845</v>
      </c>
      <c r="T10771" t="s">
        <v>97</v>
      </c>
      <c r="U10771" t="s">
        <v>77</v>
      </c>
      <c r="V10771" t="str">
        <f>"100295611"</f>
        <v>100295611</v>
      </c>
      <c r="AC10771" t="s">
        <v>79</v>
      </c>
      <c r="AD10771" t="s">
        <v>75</v>
      </c>
      <c r="AE10771" t="s">
        <v>103</v>
      </c>
      <c r="AG10771" t="s">
        <v>81</v>
      </c>
    </row>
    <row r="10772" spans="1:33" x14ac:dyDescent="0.25">
      <c r="A10772" t="str">
        <f>"1386972008"</f>
        <v>1386972008</v>
      </c>
      <c r="C10772" t="s">
        <v>43295</v>
      </c>
      <c r="K10772" t="s">
        <v>99</v>
      </c>
      <c r="L10772" t="s">
        <v>102</v>
      </c>
      <c r="M10772" t="s">
        <v>75</v>
      </c>
      <c r="R10772" t="s">
        <v>43296</v>
      </c>
      <c r="S10772" t="s">
        <v>43846</v>
      </c>
      <c r="T10772" t="s">
        <v>97</v>
      </c>
      <c r="U10772" t="s">
        <v>77</v>
      </c>
      <c r="V10772" t="str">
        <f>"10029"</f>
        <v>10029</v>
      </c>
      <c r="AC10772" t="s">
        <v>79</v>
      </c>
      <c r="AD10772" t="s">
        <v>75</v>
      </c>
      <c r="AE10772" t="s">
        <v>103</v>
      </c>
      <c r="AG10772" t="s">
        <v>81</v>
      </c>
    </row>
    <row r="10773" spans="1:33" x14ac:dyDescent="0.25">
      <c r="A10773" t="str">
        <f>"1396165437"</f>
        <v>1396165437</v>
      </c>
      <c r="C10773" t="s">
        <v>43299</v>
      </c>
      <c r="K10773" t="s">
        <v>99</v>
      </c>
      <c r="L10773" t="s">
        <v>102</v>
      </c>
      <c r="M10773" t="s">
        <v>75</v>
      </c>
      <c r="R10773" t="s">
        <v>1290</v>
      </c>
      <c r="S10773" t="s">
        <v>43847</v>
      </c>
      <c r="T10773" t="s">
        <v>97</v>
      </c>
      <c r="U10773" t="s">
        <v>77</v>
      </c>
      <c r="V10773" t="str">
        <f>"100296574"</f>
        <v>100296574</v>
      </c>
      <c r="AC10773" t="s">
        <v>79</v>
      </c>
      <c r="AD10773" t="s">
        <v>75</v>
      </c>
      <c r="AE10773" t="s">
        <v>103</v>
      </c>
      <c r="AG10773" t="s">
        <v>81</v>
      </c>
    </row>
    <row r="10774" spans="1:33" x14ac:dyDescent="0.25">
      <c r="A10774" t="str">
        <f>"1417192311"</f>
        <v>1417192311</v>
      </c>
      <c r="B10774" t="str">
        <f>"03103380"</f>
        <v>03103380</v>
      </c>
      <c r="C10774" t="s">
        <v>43395</v>
      </c>
      <c r="D10774" t="s">
        <v>1303</v>
      </c>
      <c r="E10774" t="s">
        <v>1304</v>
      </c>
      <c r="L10774" t="s">
        <v>1305</v>
      </c>
      <c r="M10774" t="s">
        <v>85</v>
      </c>
      <c r="R10774" t="s">
        <v>1302</v>
      </c>
      <c r="W10774" t="s">
        <v>1306</v>
      </c>
      <c r="X10774" t="s">
        <v>181</v>
      </c>
      <c r="Y10774" t="s">
        <v>97</v>
      </c>
      <c r="Z10774" t="s">
        <v>77</v>
      </c>
      <c r="AA10774" t="str">
        <f>"10025-1716"</f>
        <v>10025-1716</v>
      </c>
      <c r="AB10774" t="s">
        <v>96</v>
      </c>
      <c r="AC10774" t="s">
        <v>79</v>
      </c>
      <c r="AD10774" t="s">
        <v>75</v>
      </c>
      <c r="AE10774" t="s">
        <v>80</v>
      </c>
      <c r="AG10774" t="s">
        <v>81</v>
      </c>
    </row>
    <row r="10775" spans="1:33" x14ac:dyDescent="0.25">
      <c r="A10775" t="str">
        <f>"1437372992"</f>
        <v>1437372992</v>
      </c>
      <c r="C10775" t="s">
        <v>43387</v>
      </c>
      <c r="K10775" t="s">
        <v>99</v>
      </c>
      <c r="L10775" t="s">
        <v>102</v>
      </c>
      <c r="M10775" t="s">
        <v>75</v>
      </c>
      <c r="R10775" t="s">
        <v>22768</v>
      </c>
      <c r="S10775" t="s">
        <v>43848</v>
      </c>
      <c r="T10775" t="s">
        <v>97</v>
      </c>
      <c r="U10775" t="s">
        <v>77</v>
      </c>
      <c r="V10775" t="str">
        <f>"100274439"</f>
        <v>100274439</v>
      </c>
      <c r="AC10775" t="s">
        <v>79</v>
      </c>
      <c r="AD10775" t="s">
        <v>75</v>
      </c>
      <c r="AE10775" t="s">
        <v>103</v>
      </c>
      <c r="AG10775" t="s">
        <v>81</v>
      </c>
    </row>
    <row r="10776" spans="1:33" x14ac:dyDescent="0.25">
      <c r="A10776" t="str">
        <f>"1437391653"</f>
        <v>1437391653</v>
      </c>
      <c r="C10776" t="s">
        <v>43849</v>
      </c>
      <c r="K10776" t="s">
        <v>99</v>
      </c>
      <c r="L10776" t="s">
        <v>102</v>
      </c>
      <c r="M10776" t="s">
        <v>75</v>
      </c>
      <c r="AC10776" t="s">
        <v>79</v>
      </c>
      <c r="AD10776" t="s">
        <v>75</v>
      </c>
      <c r="AE10776" t="s">
        <v>103</v>
      </c>
      <c r="AG10776" t="s">
        <v>81</v>
      </c>
    </row>
    <row r="10777" spans="1:33" x14ac:dyDescent="0.25">
      <c r="A10777" t="str">
        <f>"1447410253"</f>
        <v>1447410253</v>
      </c>
      <c r="C10777" t="s">
        <v>43387</v>
      </c>
      <c r="K10777" t="s">
        <v>99</v>
      </c>
      <c r="L10777" t="s">
        <v>102</v>
      </c>
      <c r="M10777" t="s">
        <v>75</v>
      </c>
      <c r="R10777" t="s">
        <v>22768</v>
      </c>
      <c r="S10777" t="s">
        <v>40840</v>
      </c>
      <c r="T10777" t="s">
        <v>97</v>
      </c>
      <c r="U10777" t="s">
        <v>77</v>
      </c>
      <c r="V10777" t="str">
        <f>"100033314"</f>
        <v>100033314</v>
      </c>
      <c r="AC10777" t="s">
        <v>79</v>
      </c>
      <c r="AD10777" t="s">
        <v>75</v>
      </c>
      <c r="AE10777" t="s">
        <v>103</v>
      </c>
      <c r="AG10777" t="s">
        <v>81</v>
      </c>
    </row>
    <row r="10778" spans="1:33" x14ac:dyDescent="0.25">
      <c r="A10778" t="str">
        <f>"1447663943"</f>
        <v>1447663943</v>
      </c>
      <c r="C10778" t="s">
        <v>43825</v>
      </c>
      <c r="K10778" t="s">
        <v>99</v>
      </c>
      <c r="L10778" t="s">
        <v>102</v>
      </c>
      <c r="M10778" t="s">
        <v>75</v>
      </c>
      <c r="R10778" t="s">
        <v>4489</v>
      </c>
      <c r="S10778" t="s">
        <v>181</v>
      </c>
      <c r="T10778" t="s">
        <v>97</v>
      </c>
      <c r="U10778" t="s">
        <v>77</v>
      </c>
      <c r="V10778" t="str">
        <f>"100251716"</f>
        <v>100251716</v>
      </c>
      <c r="AC10778" t="s">
        <v>79</v>
      </c>
      <c r="AD10778" t="s">
        <v>75</v>
      </c>
      <c r="AE10778" t="s">
        <v>103</v>
      </c>
      <c r="AG10778" t="s">
        <v>81</v>
      </c>
    </row>
    <row r="10779" spans="1:33" x14ac:dyDescent="0.25">
      <c r="A10779" t="str">
        <f>"1629172036"</f>
        <v>1629172036</v>
      </c>
      <c r="B10779" t="str">
        <f>"02843112"</f>
        <v>02843112</v>
      </c>
      <c r="C10779" t="s">
        <v>43850</v>
      </c>
      <c r="D10779" t="s">
        <v>43851</v>
      </c>
      <c r="E10779" t="s">
        <v>43852</v>
      </c>
      <c r="G10779" t="s">
        <v>43853</v>
      </c>
      <c r="H10779" t="s">
        <v>17290</v>
      </c>
      <c r="J10779" t="s">
        <v>17291</v>
      </c>
      <c r="L10779" t="s">
        <v>104</v>
      </c>
      <c r="M10779" t="s">
        <v>85</v>
      </c>
      <c r="R10779" t="s">
        <v>43854</v>
      </c>
      <c r="W10779" t="s">
        <v>43852</v>
      </c>
      <c r="X10779" t="s">
        <v>43855</v>
      </c>
      <c r="Y10779" t="s">
        <v>97</v>
      </c>
      <c r="Z10779" t="s">
        <v>77</v>
      </c>
      <c r="AA10779" t="str">
        <f>"10002-4808"</f>
        <v>10002-4808</v>
      </c>
      <c r="AB10779" t="s">
        <v>93</v>
      </c>
      <c r="AC10779" t="s">
        <v>79</v>
      </c>
      <c r="AD10779" t="s">
        <v>75</v>
      </c>
      <c r="AE10779" t="s">
        <v>80</v>
      </c>
      <c r="AG10779" t="s">
        <v>81</v>
      </c>
    </row>
    <row r="10780" spans="1:33" x14ac:dyDescent="0.25">
      <c r="A10780" t="str">
        <f>"1114950151"</f>
        <v>1114950151</v>
      </c>
      <c r="B10780" t="str">
        <f>"01826104"</f>
        <v>01826104</v>
      </c>
      <c r="C10780" t="s">
        <v>43856</v>
      </c>
      <c r="D10780" t="s">
        <v>43857</v>
      </c>
      <c r="E10780" t="s">
        <v>43858</v>
      </c>
      <c r="G10780" t="s">
        <v>36480</v>
      </c>
      <c r="H10780" t="s">
        <v>36481</v>
      </c>
      <c r="J10780" t="s">
        <v>36482</v>
      </c>
      <c r="L10780" t="s">
        <v>170</v>
      </c>
      <c r="M10780" t="s">
        <v>85</v>
      </c>
      <c r="R10780" t="s">
        <v>43859</v>
      </c>
      <c r="W10780" t="s">
        <v>43860</v>
      </c>
      <c r="X10780" t="s">
        <v>11051</v>
      </c>
      <c r="Y10780" t="s">
        <v>87</v>
      </c>
      <c r="Z10780" t="s">
        <v>77</v>
      </c>
      <c r="AA10780" t="str">
        <f>"11208-2763"</f>
        <v>11208-2763</v>
      </c>
      <c r="AB10780" t="s">
        <v>122</v>
      </c>
      <c r="AC10780" t="s">
        <v>79</v>
      </c>
      <c r="AD10780" t="s">
        <v>75</v>
      </c>
      <c r="AE10780" t="s">
        <v>80</v>
      </c>
      <c r="AG10780" t="s">
        <v>81</v>
      </c>
    </row>
    <row r="10781" spans="1:33" x14ac:dyDescent="0.25">
      <c r="A10781" t="str">
        <f>"1578623179"</f>
        <v>1578623179</v>
      </c>
      <c r="B10781" t="str">
        <f>"00308443"</f>
        <v>00308443</v>
      </c>
      <c r="C10781" t="s">
        <v>43861</v>
      </c>
      <c r="D10781" t="s">
        <v>43862</v>
      </c>
      <c r="E10781" t="s">
        <v>43863</v>
      </c>
      <c r="G10781" t="s">
        <v>43864</v>
      </c>
      <c r="H10781" t="s">
        <v>43865</v>
      </c>
      <c r="I10781">
        <v>2005</v>
      </c>
      <c r="J10781" t="s">
        <v>43866</v>
      </c>
      <c r="L10781" t="s">
        <v>106</v>
      </c>
      <c r="M10781" t="s">
        <v>85</v>
      </c>
      <c r="R10781" t="s">
        <v>43867</v>
      </c>
      <c r="W10781" t="s">
        <v>43868</v>
      </c>
      <c r="X10781" t="s">
        <v>3597</v>
      </c>
      <c r="Y10781" t="s">
        <v>131</v>
      </c>
      <c r="Z10781" t="s">
        <v>77</v>
      </c>
      <c r="AA10781" t="str">
        <f>"10463-3211"</f>
        <v>10463-3211</v>
      </c>
      <c r="AB10781" t="s">
        <v>107</v>
      </c>
      <c r="AC10781" t="s">
        <v>79</v>
      </c>
      <c r="AD10781" t="s">
        <v>75</v>
      </c>
      <c r="AE10781" t="s">
        <v>80</v>
      </c>
      <c r="AG10781" t="s">
        <v>81</v>
      </c>
    </row>
    <row r="10782" spans="1:33" x14ac:dyDescent="0.25">
      <c r="A10782" t="str">
        <f>"1962502229"</f>
        <v>1962502229</v>
      </c>
      <c r="C10782" t="s">
        <v>43869</v>
      </c>
      <c r="G10782" t="s">
        <v>43870</v>
      </c>
      <c r="H10782" t="s">
        <v>43871</v>
      </c>
      <c r="J10782" t="s">
        <v>43872</v>
      </c>
      <c r="K10782" t="s">
        <v>99</v>
      </c>
      <c r="L10782" t="s">
        <v>102</v>
      </c>
      <c r="M10782" t="s">
        <v>75</v>
      </c>
      <c r="R10782" t="s">
        <v>43873</v>
      </c>
      <c r="S10782" t="s">
        <v>43874</v>
      </c>
      <c r="T10782" t="s">
        <v>97</v>
      </c>
      <c r="U10782" t="s">
        <v>77</v>
      </c>
      <c r="V10782" t="str">
        <f>"100053701"</f>
        <v>100053701</v>
      </c>
      <c r="AC10782" t="s">
        <v>79</v>
      </c>
      <c r="AD10782" t="s">
        <v>75</v>
      </c>
      <c r="AE10782" t="s">
        <v>103</v>
      </c>
      <c r="AG10782" t="s">
        <v>81</v>
      </c>
    </row>
    <row r="10783" spans="1:33" x14ac:dyDescent="0.25">
      <c r="A10783" t="str">
        <f>"1003156225"</f>
        <v>1003156225</v>
      </c>
      <c r="B10783" t="str">
        <f>"03932758"</f>
        <v>03932758</v>
      </c>
      <c r="C10783" t="s">
        <v>43875</v>
      </c>
      <c r="D10783" t="s">
        <v>43876</v>
      </c>
      <c r="E10783" t="s">
        <v>43877</v>
      </c>
      <c r="G10783" t="s">
        <v>1376</v>
      </c>
      <c r="H10783" t="s">
        <v>1377</v>
      </c>
      <c r="J10783" t="s">
        <v>1378</v>
      </c>
      <c r="L10783" t="s">
        <v>37</v>
      </c>
      <c r="M10783" t="s">
        <v>85</v>
      </c>
      <c r="R10783" t="s">
        <v>43877</v>
      </c>
      <c r="W10783" t="s">
        <v>43877</v>
      </c>
      <c r="X10783" t="s">
        <v>43878</v>
      </c>
      <c r="Y10783" t="s">
        <v>97</v>
      </c>
      <c r="Z10783" t="s">
        <v>77</v>
      </c>
      <c r="AA10783" t="str">
        <f>"10034-1131"</f>
        <v>10034-1131</v>
      </c>
      <c r="AB10783" t="s">
        <v>98</v>
      </c>
      <c r="AC10783" t="s">
        <v>79</v>
      </c>
      <c r="AD10783" t="s">
        <v>75</v>
      </c>
      <c r="AE10783" t="s">
        <v>80</v>
      </c>
      <c r="AG10783" t="s">
        <v>81</v>
      </c>
    </row>
    <row r="10784" spans="1:33" x14ac:dyDescent="0.25">
      <c r="A10784" t="str">
        <f>"1720249493"</f>
        <v>1720249493</v>
      </c>
      <c r="C10784" t="s">
        <v>43879</v>
      </c>
      <c r="G10784" t="s">
        <v>43880</v>
      </c>
      <c r="H10784" t="s">
        <v>43881</v>
      </c>
      <c r="J10784" t="s">
        <v>43882</v>
      </c>
      <c r="K10784" t="s">
        <v>99</v>
      </c>
      <c r="L10784" t="s">
        <v>102</v>
      </c>
      <c r="M10784" t="s">
        <v>75</v>
      </c>
      <c r="R10784" t="s">
        <v>43883</v>
      </c>
      <c r="S10784" t="s">
        <v>43884</v>
      </c>
      <c r="T10784" t="s">
        <v>216</v>
      </c>
      <c r="U10784" t="s">
        <v>77</v>
      </c>
      <c r="V10784" t="str">
        <f>"116911120"</f>
        <v>116911120</v>
      </c>
      <c r="AC10784" t="s">
        <v>79</v>
      </c>
      <c r="AD10784" t="s">
        <v>75</v>
      </c>
      <c r="AE10784" t="s">
        <v>103</v>
      </c>
      <c r="AG10784" t="s">
        <v>81</v>
      </c>
    </row>
    <row r="10785" spans="1:33" x14ac:dyDescent="0.25">
      <c r="A10785" t="str">
        <f>"1144245978"</f>
        <v>1144245978</v>
      </c>
      <c r="B10785" t="str">
        <f>"01115122"</f>
        <v>01115122</v>
      </c>
      <c r="C10785" t="s">
        <v>43885</v>
      </c>
      <c r="D10785" t="s">
        <v>43886</v>
      </c>
      <c r="E10785" t="s">
        <v>43887</v>
      </c>
      <c r="G10785" t="s">
        <v>1376</v>
      </c>
      <c r="H10785" t="s">
        <v>1377</v>
      </c>
      <c r="J10785" t="s">
        <v>1378</v>
      </c>
      <c r="L10785" t="s">
        <v>37</v>
      </c>
      <c r="M10785" t="s">
        <v>85</v>
      </c>
      <c r="R10785" t="s">
        <v>13120</v>
      </c>
      <c r="W10785" t="s">
        <v>43887</v>
      </c>
      <c r="X10785" t="s">
        <v>43888</v>
      </c>
      <c r="Y10785" t="s">
        <v>97</v>
      </c>
      <c r="Z10785" t="s">
        <v>77</v>
      </c>
      <c r="AA10785" t="str">
        <f>"10040-3403"</f>
        <v>10040-3403</v>
      </c>
      <c r="AB10785" t="s">
        <v>107</v>
      </c>
      <c r="AC10785" t="s">
        <v>79</v>
      </c>
      <c r="AD10785" t="s">
        <v>75</v>
      </c>
      <c r="AE10785" t="s">
        <v>80</v>
      </c>
      <c r="AG10785" t="s">
        <v>81</v>
      </c>
    </row>
    <row r="10786" spans="1:33" x14ac:dyDescent="0.25">
      <c r="A10786" t="str">
        <f>"1780622522"</f>
        <v>1780622522</v>
      </c>
      <c r="B10786" t="str">
        <f>"01839830"</f>
        <v>01839830</v>
      </c>
      <c r="C10786" t="s">
        <v>43889</v>
      </c>
      <c r="D10786" t="s">
        <v>43890</v>
      </c>
      <c r="E10786" t="s">
        <v>43891</v>
      </c>
      <c r="G10786" t="s">
        <v>43889</v>
      </c>
      <c r="L10786" t="s">
        <v>84</v>
      </c>
      <c r="M10786" t="s">
        <v>75</v>
      </c>
      <c r="R10786" t="s">
        <v>43892</v>
      </c>
      <c r="W10786" t="s">
        <v>43891</v>
      </c>
      <c r="X10786" t="s">
        <v>43893</v>
      </c>
      <c r="Y10786" t="s">
        <v>91</v>
      </c>
      <c r="Z10786" t="s">
        <v>77</v>
      </c>
      <c r="AA10786" t="str">
        <f>"11373-4427"</f>
        <v>11373-4427</v>
      </c>
      <c r="AB10786" t="s">
        <v>78</v>
      </c>
      <c r="AC10786" t="s">
        <v>79</v>
      </c>
      <c r="AD10786" t="s">
        <v>75</v>
      </c>
      <c r="AE10786" t="s">
        <v>80</v>
      </c>
      <c r="AG10786" t="s">
        <v>81</v>
      </c>
    </row>
    <row r="10787" spans="1:33" x14ac:dyDescent="0.25">
      <c r="A10787" t="str">
        <f>"1780625426"</f>
        <v>1780625426</v>
      </c>
      <c r="B10787" t="str">
        <f>"01723739"</f>
        <v>01723739</v>
      </c>
      <c r="C10787" t="s">
        <v>43894</v>
      </c>
      <c r="D10787" t="s">
        <v>43895</v>
      </c>
      <c r="E10787" t="s">
        <v>43896</v>
      </c>
      <c r="G10787" t="s">
        <v>43894</v>
      </c>
      <c r="L10787" t="s">
        <v>84</v>
      </c>
      <c r="M10787" t="s">
        <v>75</v>
      </c>
      <c r="R10787" t="s">
        <v>43897</v>
      </c>
      <c r="W10787" t="s">
        <v>43896</v>
      </c>
      <c r="X10787" t="s">
        <v>33498</v>
      </c>
      <c r="Y10787" t="s">
        <v>161</v>
      </c>
      <c r="Z10787" t="s">
        <v>77</v>
      </c>
      <c r="AA10787" t="str">
        <f>"11042-2057"</f>
        <v>11042-2057</v>
      </c>
      <c r="AB10787" t="s">
        <v>78</v>
      </c>
      <c r="AC10787" t="s">
        <v>79</v>
      </c>
      <c r="AD10787" t="s">
        <v>75</v>
      </c>
      <c r="AE10787" t="s">
        <v>80</v>
      </c>
      <c r="AG10787" t="s">
        <v>81</v>
      </c>
    </row>
    <row r="10788" spans="1:33" x14ac:dyDescent="0.25">
      <c r="A10788" t="str">
        <f>"1780807206"</f>
        <v>1780807206</v>
      </c>
      <c r="B10788" t="str">
        <f>"02879349"</f>
        <v>02879349</v>
      </c>
      <c r="C10788" t="s">
        <v>43898</v>
      </c>
      <c r="D10788" t="s">
        <v>43899</v>
      </c>
      <c r="E10788" t="s">
        <v>43900</v>
      </c>
      <c r="G10788" t="s">
        <v>43898</v>
      </c>
      <c r="L10788" t="s">
        <v>83</v>
      </c>
      <c r="M10788" t="s">
        <v>75</v>
      </c>
      <c r="R10788" t="s">
        <v>43901</v>
      </c>
      <c r="W10788" t="s">
        <v>43900</v>
      </c>
      <c r="X10788" t="s">
        <v>43902</v>
      </c>
      <c r="Y10788" t="s">
        <v>97</v>
      </c>
      <c r="Z10788" t="s">
        <v>77</v>
      </c>
      <c r="AA10788" t="str">
        <f>"10027-4426"</f>
        <v>10027-4426</v>
      </c>
      <c r="AB10788" t="s">
        <v>78</v>
      </c>
      <c r="AC10788" t="s">
        <v>79</v>
      </c>
      <c r="AD10788" t="s">
        <v>75</v>
      </c>
      <c r="AE10788" t="s">
        <v>80</v>
      </c>
      <c r="AG10788" t="s">
        <v>81</v>
      </c>
    </row>
    <row r="10789" spans="1:33" x14ac:dyDescent="0.25">
      <c r="A10789" t="str">
        <f>"1780832485"</f>
        <v>1780832485</v>
      </c>
      <c r="B10789" t="str">
        <f>"03876235"</f>
        <v>03876235</v>
      </c>
      <c r="C10789" t="s">
        <v>43903</v>
      </c>
      <c r="D10789" t="s">
        <v>43904</v>
      </c>
      <c r="E10789" t="s">
        <v>43905</v>
      </c>
      <c r="G10789" t="s">
        <v>43903</v>
      </c>
      <c r="L10789" t="s">
        <v>83</v>
      </c>
      <c r="M10789" t="s">
        <v>75</v>
      </c>
      <c r="R10789" t="s">
        <v>43906</v>
      </c>
      <c r="W10789" t="s">
        <v>43905</v>
      </c>
      <c r="X10789" t="s">
        <v>40667</v>
      </c>
      <c r="Y10789" t="s">
        <v>87</v>
      </c>
      <c r="Z10789" t="s">
        <v>77</v>
      </c>
      <c r="AA10789" t="str">
        <f>"11201-3628"</f>
        <v>11201-3628</v>
      </c>
      <c r="AB10789" t="s">
        <v>78</v>
      </c>
      <c r="AC10789" t="s">
        <v>79</v>
      </c>
      <c r="AD10789" t="s">
        <v>75</v>
      </c>
      <c r="AE10789" t="s">
        <v>80</v>
      </c>
      <c r="AG10789" t="s">
        <v>81</v>
      </c>
    </row>
    <row r="10790" spans="1:33" x14ac:dyDescent="0.25">
      <c r="A10790" t="str">
        <f>"1790057958"</f>
        <v>1790057958</v>
      </c>
      <c r="B10790" t="str">
        <f>"03949180"</f>
        <v>03949180</v>
      </c>
      <c r="C10790" t="s">
        <v>43907</v>
      </c>
      <c r="D10790" t="s">
        <v>43908</v>
      </c>
      <c r="E10790" t="s">
        <v>43909</v>
      </c>
      <c r="G10790" t="s">
        <v>43907</v>
      </c>
      <c r="L10790" t="s">
        <v>83</v>
      </c>
      <c r="M10790" t="s">
        <v>75</v>
      </c>
      <c r="R10790" t="s">
        <v>43910</v>
      </c>
      <c r="W10790" t="s">
        <v>43909</v>
      </c>
      <c r="X10790" t="s">
        <v>25744</v>
      </c>
      <c r="Y10790" t="s">
        <v>87</v>
      </c>
      <c r="Z10790" t="s">
        <v>77</v>
      </c>
      <c r="AA10790" t="str">
        <f>"11220-4714"</f>
        <v>11220-4714</v>
      </c>
      <c r="AB10790" t="s">
        <v>128</v>
      </c>
      <c r="AC10790" t="s">
        <v>79</v>
      </c>
      <c r="AD10790" t="s">
        <v>75</v>
      </c>
      <c r="AE10790" t="s">
        <v>80</v>
      </c>
      <c r="AG10790" t="s">
        <v>81</v>
      </c>
    </row>
    <row r="10791" spans="1:33" x14ac:dyDescent="0.25">
      <c r="A10791" t="str">
        <f>"1790731602"</f>
        <v>1790731602</v>
      </c>
      <c r="B10791" t="str">
        <f>"01997002"</f>
        <v>01997002</v>
      </c>
      <c r="C10791" t="s">
        <v>43911</v>
      </c>
      <c r="D10791" t="s">
        <v>43912</v>
      </c>
      <c r="E10791" t="s">
        <v>43913</v>
      </c>
      <c r="G10791" t="s">
        <v>43911</v>
      </c>
      <c r="L10791" t="s">
        <v>84</v>
      </c>
      <c r="M10791" t="s">
        <v>75</v>
      </c>
      <c r="R10791" t="s">
        <v>43914</v>
      </c>
      <c r="W10791" t="s">
        <v>43913</v>
      </c>
      <c r="X10791" t="s">
        <v>43915</v>
      </c>
      <c r="Y10791" t="s">
        <v>91</v>
      </c>
      <c r="Z10791" t="s">
        <v>77</v>
      </c>
      <c r="AA10791" t="str">
        <f>"11373-4941"</f>
        <v>11373-4941</v>
      </c>
      <c r="AB10791" t="s">
        <v>78</v>
      </c>
      <c r="AC10791" t="s">
        <v>79</v>
      </c>
      <c r="AD10791" t="s">
        <v>75</v>
      </c>
      <c r="AE10791" t="s">
        <v>80</v>
      </c>
      <c r="AG10791" t="s">
        <v>81</v>
      </c>
    </row>
    <row r="10792" spans="1:33" x14ac:dyDescent="0.25">
      <c r="A10792" t="str">
        <f>"1790749133"</f>
        <v>1790749133</v>
      </c>
      <c r="B10792" t="str">
        <f>"02682300"</f>
        <v>02682300</v>
      </c>
      <c r="C10792" t="s">
        <v>43916</v>
      </c>
      <c r="D10792" t="s">
        <v>43917</v>
      </c>
      <c r="E10792" t="s">
        <v>43918</v>
      </c>
      <c r="G10792" t="s">
        <v>43916</v>
      </c>
      <c r="L10792" t="s">
        <v>84</v>
      </c>
      <c r="M10792" t="s">
        <v>75</v>
      </c>
      <c r="R10792" t="s">
        <v>4533</v>
      </c>
      <c r="W10792" t="s">
        <v>43918</v>
      </c>
      <c r="X10792" t="s">
        <v>758</v>
      </c>
      <c r="Y10792" t="s">
        <v>254</v>
      </c>
      <c r="Z10792" t="s">
        <v>77</v>
      </c>
      <c r="AA10792" t="str">
        <f>"11374-3319"</f>
        <v>11374-3319</v>
      </c>
      <c r="AB10792" t="s">
        <v>78</v>
      </c>
      <c r="AC10792" t="s">
        <v>79</v>
      </c>
      <c r="AD10792" t="s">
        <v>75</v>
      </c>
      <c r="AE10792" t="s">
        <v>80</v>
      </c>
      <c r="AG10792" t="s">
        <v>81</v>
      </c>
    </row>
    <row r="10793" spans="1:33" x14ac:dyDescent="0.25">
      <c r="A10793" t="str">
        <f>"1790917813"</f>
        <v>1790917813</v>
      </c>
      <c r="B10793" t="str">
        <f>"03490168"</f>
        <v>03490168</v>
      </c>
      <c r="C10793" t="s">
        <v>43919</v>
      </c>
      <c r="D10793" t="s">
        <v>43920</v>
      </c>
      <c r="E10793" t="s">
        <v>43921</v>
      </c>
      <c r="G10793" t="s">
        <v>43919</v>
      </c>
      <c r="L10793" t="s">
        <v>84</v>
      </c>
      <c r="M10793" t="s">
        <v>75</v>
      </c>
      <c r="R10793" t="s">
        <v>43922</v>
      </c>
      <c r="W10793" t="s">
        <v>43921</v>
      </c>
      <c r="X10793" t="s">
        <v>39167</v>
      </c>
      <c r="Y10793" t="s">
        <v>236</v>
      </c>
      <c r="Z10793" t="s">
        <v>77</v>
      </c>
      <c r="AA10793" t="str">
        <f>"11106-4134"</f>
        <v>11106-4134</v>
      </c>
      <c r="AB10793" t="s">
        <v>78</v>
      </c>
      <c r="AC10793" t="s">
        <v>79</v>
      </c>
      <c r="AD10793" t="s">
        <v>75</v>
      </c>
      <c r="AE10793" t="s">
        <v>80</v>
      </c>
      <c r="AG10793" t="s">
        <v>81</v>
      </c>
    </row>
    <row r="10794" spans="1:33" x14ac:dyDescent="0.25">
      <c r="A10794" t="str">
        <f>"1790943223"</f>
        <v>1790943223</v>
      </c>
      <c r="B10794" t="str">
        <f>"03223310"</f>
        <v>03223310</v>
      </c>
      <c r="C10794" t="s">
        <v>43923</v>
      </c>
      <c r="D10794" t="s">
        <v>43924</v>
      </c>
      <c r="E10794" t="s">
        <v>43925</v>
      </c>
      <c r="G10794" t="s">
        <v>43923</v>
      </c>
      <c r="L10794" t="s">
        <v>84</v>
      </c>
      <c r="M10794" t="s">
        <v>75</v>
      </c>
      <c r="R10794" t="s">
        <v>43925</v>
      </c>
      <c r="W10794" t="s">
        <v>43926</v>
      </c>
      <c r="X10794" t="s">
        <v>175</v>
      </c>
      <c r="Y10794" t="s">
        <v>87</v>
      </c>
      <c r="Z10794" t="s">
        <v>77</v>
      </c>
      <c r="AA10794" t="str">
        <f>"11235-7745"</f>
        <v>11235-7745</v>
      </c>
      <c r="AB10794" t="s">
        <v>78</v>
      </c>
      <c r="AC10794" t="s">
        <v>79</v>
      </c>
      <c r="AD10794" t="s">
        <v>75</v>
      </c>
      <c r="AE10794" t="s">
        <v>80</v>
      </c>
      <c r="AG10794" t="s">
        <v>81</v>
      </c>
    </row>
    <row r="10795" spans="1:33" x14ac:dyDescent="0.25">
      <c r="A10795" t="str">
        <f>"1801086806"</f>
        <v>1801086806</v>
      </c>
      <c r="B10795" t="str">
        <f>"04095052"</f>
        <v>04095052</v>
      </c>
      <c r="C10795" t="s">
        <v>43927</v>
      </c>
      <c r="D10795" t="s">
        <v>43928</v>
      </c>
      <c r="E10795" t="s">
        <v>43929</v>
      </c>
      <c r="G10795" t="s">
        <v>43927</v>
      </c>
      <c r="L10795" t="s">
        <v>83</v>
      </c>
      <c r="M10795" t="s">
        <v>75</v>
      </c>
      <c r="R10795" t="s">
        <v>43929</v>
      </c>
      <c r="W10795" t="s">
        <v>43929</v>
      </c>
      <c r="X10795" t="s">
        <v>25744</v>
      </c>
      <c r="Y10795" t="s">
        <v>87</v>
      </c>
      <c r="Z10795" t="s">
        <v>77</v>
      </c>
      <c r="AA10795" t="str">
        <f>"11220-4714"</f>
        <v>11220-4714</v>
      </c>
      <c r="AB10795" t="s">
        <v>78</v>
      </c>
      <c r="AC10795" t="s">
        <v>79</v>
      </c>
      <c r="AD10795" t="s">
        <v>75</v>
      </c>
      <c r="AE10795" t="s">
        <v>80</v>
      </c>
      <c r="AG10795" t="s">
        <v>81</v>
      </c>
    </row>
    <row r="10796" spans="1:33" x14ac:dyDescent="0.25">
      <c r="A10796" t="str">
        <f>"1801087291"</f>
        <v>1801087291</v>
      </c>
      <c r="B10796" t="str">
        <f>"02937240"</f>
        <v>02937240</v>
      </c>
      <c r="C10796" t="s">
        <v>43930</v>
      </c>
      <c r="D10796" t="s">
        <v>43931</v>
      </c>
      <c r="E10796" t="s">
        <v>43932</v>
      </c>
      <c r="G10796" t="s">
        <v>43930</v>
      </c>
      <c r="L10796" t="s">
        <v>84</v>
      </c>
      <c r="M10796" t="s">
        <v>75</v>
      </c>
      <c r="R10796" t="s">
        <v>43932</v>
      </c>
      <c r="W10796" t="s">
        <v>43933</v>
      </c>
      <c r="X10796" t="s">
        <v>43934</v>
      </c>
      <c r="Y10796" t="s">
        <v>97</v>
      </c>
      <c r="Z10796" t="s">
        <v>77</v>
      </c>
      <c r="AA10796" t="str">
        <f>"10018-4305"</f>
        <v>10018-4305</v>
      </c>
      <c r="AB10796" t="s">
        <v>78</v>
      </c>
      <c r="AC10796" t="s">
        <v>79</v>
      </c>
      <c r="AD10796" t="s">
        <v>75</v>
      </c>
      <c r="AE10796" t="s">
        <v>80</v>
      </c>
      <c r="AG10796" t="s">
        <v>81</v>
      </c>
    </row>
    <row r="10797" spans="1:33" x14ac:dyDescent="0.25">
      <c r="A10797" t="str">
        <f>"1801824750"</f>
        <v>1801824750</v>
      </c>
      <c r="B10797" t="str">
        <f>"00479396"</f>
        <v>00479396</v>
      </c>
      <c r="C10797" t="s">
        <v>43935</v>
      </c>
      <c r="D10797" t="s">
        <v>43936</v>
      </c>
      <c r="E10797" t="s">
        <v>43937</v>
      </c>
      <c r="G10797" t="s">
        <v>43935</v>
      </c>
      <c r="L10797" t="s">
        <v>84</v>
      </c>
      <c r="M10797" t="s">
        <v>75</v>
      </c>
      <c r="R10797" t="s">
        <v>43938</v>
      </c>
      <c r="W10797" t="s">
        <v>43937</v>
      </c>
      <c r="X10797" t="s">
        <v>43939</v>
      </c>
      <c r="Y10797" t="s">
        <v>87</v>
      </c>
      <c r="Z10797" t="s">
        <v>77</v>
      </c>
      <c r="AA10797" t="str">
        <f>"11222-5915"</f>
        <v>11222-5915</v>
      </c>
      <c r="AB10797" t="s">
        <v>78</v>
      </c>
      <c r="AC10797" t="s">
        <v>79</v>
      </c>
      <c r="AD10797" t="s">
        <v>75</v>
      </c>
      <c r="AE10797" t="s">
        <v>80</v>
      </c>
      <c r="AG10797" t="s">
        <v>81</v>
      </c>
    </row>
    <row r="10798" spans="1:33" x14ac:dyDescent="0.25">
      <c r="A10798" t="str">
        <f>"1801842026"</f>
        <v>1801842026</v>
      </c>
      <c r="B10798" t="str">
        <f>"01477958"</f>
        <v>01477958</v>
      </c>
      <c r="C10798" t="s">
        <v>43940</v>
      </c>
      <c r="D10798" t="s">
        <v>43941</v>
      </c>
      <c r="E10798" t="s">
        <v>43942</v>
      </c>
      <c r="G10798" t="s">
        <v>43940</v>
      </c>
      <c r="L10798" t="s">
        <v>83</v>
      </c>
      <c r="M10798" t="s">
        <v>75</v>
      </c>
      <c r="R10798" t="s">
        <v>43943</v>
      </c>
      <c r="W10798" t="s">
        <v>43942</v>
      </c>
      <c r="X10798" t="s">
        <v>291</v>
      </c>
      <c r="Y10798" t="s">
        <v>214</v>
      </c>
      <c r="Z10798" t="s">
        <v>77</v>
      </c>
      <c r="AA10798" t="str">
        <f>"11801-5006"</f>
        <v>11801-5006</v>
      </c>
      <c r="AB10798" t="s">
        <v>78</v>
      </c>
      <c r="AC10798" t="s">
        <v>79</v>
      </c>
      <c r="AD10798" t="s">
        <v>75</v>
      </c>
      <c r="AE10798" t="s">
        <v>80</v>
      </c>
      <c r="AG10798" t="s">
        <v>81</v>
      </c>
    </row>
    <row r="10799" spans="1:33" x14ac:dyDescent="0.25">
      <c r="A10799" t="str">
        <f>"1801993936"</f>
        <v>1801993936</v>
      </c>
      <c r="B10799" t="str">
        <f>"01511971"</f>
        <v>01511971</v>
      </c>
      <c r="C10799" t="s">
        <v>43944</v>
      </c>
      <c r="D10799" t="s">
        <v>43945</v>
      </c>
      <c r="E10799" t="s">
        <v>43946</v>
      </c>
      <c r="G10799" t="s">
        <v>43944</v>
      </c>
      <c r="L10799" t="s">
        <v>84</v>
      </c>
      <c r="M10799" t="s">
        <v>85</v>
      </c>
      <c r="R10799" t="s">
        <v>43947</v>
      </c>
      <c r="W10799" t="s">
        <v>43946</v>
      </c>
      <c r="X10799" t="s">
        <v>593</v>
      </c>
      <c r="Y10799" t="s">
        <v>97</v>
      </c>
      <c r="Z10799" t="s">
        <v>77</v>
      </c>
      <c r="AA10799" t="str">
        <f>"10075-1850"</f>
        <v>10075-1850</v>
      </c>
      <c r="AB10799" t="s">
        <v>78</v>
      </c>
      <c r="AC10799" t="s">
        <v>79</v>
      </c>
      <c r="AD10799" t="s">
        <v>75</v>
      </c>
      <c r="AE10799" t="s">
        <v>80</v>
      </c>
      <c r="AG10799" t="s">
        <v>81</v>
      </c>
    </row>
    <row r="10800" spans="1:33" x14ac:dyDescent="0.25">
      <c r="A10800" t="str">
        <f>"1811027998"</f>
        <v>1811027998</v>
      </c>
      <c r="B10800" t="str">
        <f>"02887378"</f>
        <v>02887378</v>
      </c>
      <c r="C10800" t="s">
        <v>43948</v>
      </c>
      <c r="D10800" t="s">
        <v>43949</v>
      </c>
      <c r="E10800" t="s">
        <v>43950</v>
      </c>
      <c r="G10800" t="s">
        <v>43948</v>
      </c>
      <c r="L10800" t="s">
        <v>84</v>
      </c>
      <c r="M10800" t="s">
        <v>75</v>
      </c>
      <c r="R10800" t="s">
        <v>43951</v>
      </c>
      <c r="W10800" t="s">
        <v>43950</v>
      </c>
      <c r="X10800" t="s">
        <v>40952</v>
      </c>
      <c r="Y10800" t="s">
        <v>155</v>
      </c>
      <c r="Z10800" t="s">
        <v>77</v>
      </c>
      <c r="AA10800" t="str">
        <f>"10312-6315"</f>
        <v>10312-6315</v>
      </c>
      <c r="AB10800" t="s">
        <v>78</v>
      </c>
      <c r="AC10800" t="s">
        <v>79</v>
      </c>
      <c r="AD10800" t="s">
        <v>75</v>
      </c>
      <c r="AE10800" t="s">
        <v>80</v>
      </c>
      <c r="AG10800" t="s">
        <v>81</v>
      </c>
    </row>
    <row r="10801" spans="1:33" x14ac:dyDescent="0.25">
      <c r="A10801" t="str">
        <f>"1811183494"</f>
        <v>1811183494</v>
      </c>
      <c r="B10801" t="str">
        <f>"02949466"</f>
        <v>02949466</v>
      </c>
      <c r="C10801" t="s">
        <v>43952</v>
      </c>
      <c r="D10801" t="s">
        <v>43953</v>
      </c>
      <c r="E10801" t="s">
        <v>43954</v>
      </c>
      <c r="G10801" t="s">
        <v>43952</v>
      </c>
      <c r="L10801" t="s">
        <v>83</v>
      </c>
      <c r="M10801" t="s">
        <v>75</v>
      </c>
      <c r="R10801" t="s">
        <v>43955</v>
      </c>
      <c r="W10801" t="s">
        <v>43954</v>
      </c>
      <c r="X10801" t="s">
        <v>8978</v>
      </c>
      <c r="Y10801" t="s">
        <v>155</v>
      </c>
      <c r="Z10801" t="s">
        <v>77</v>
      </c>
      <c r="AA10801" t="str">
        <f>"10301-3627"</f>
        <v>10301-3627</v>
      </c>
      <c r="AB10801" t="s">
        <v>114</v>
      </c>
      <c r="AC10801" t="s">
        <v>79</v>
      </c>
      <c r="AD10801" t="s">
        <v>75</v>
      </c>
      <c r="AE10801" t="s">
        <v>80</v>
      </c>
      <c r="AG10801" t="s">
        <v>81</v>
      </c>
    </row>
    <row r="10802" spans="1:33" x14ac:dyDescent="0.25">
      <c r="A10802" t="str">
        <f>"1821028424"</f>
        <v>1821028424</v>
      </c>
      <c r="B10802" t="str">
        <f>"02358487"</f>
        <v>02358487</v>
      </c>
      <c r="C10802" t="s">
        <v>43956</v>
      </c>
      <c r="D10802" t="s">
        <v>43957</v>
      </c>
      <c r="E10802" t="s">
        <v>43958</v>
      </c>
      <c r="G10802" t="s">
        <v>43956</v>
      </c>
      <c r="L10802" t="s">
        <v>84</v>
      </c>
      <c r="M10802" t="s">
        <v>75</v>
      </c>
      <c r="R10802" t="s">
        <v>43959</v>
      </c>
      <c r="W10802" t="s">
        <v>43958</v>
      </c>
      <c r="X10802" t="s">
        <v>43657</v>
      </c>
      <c r="Y10802" t="s">
        <v>171</v>
      </c>
      <c r="Z10802" t="s">
        <v>77</v>
      </c>
      <c r="AA10802" t="str">
        <f>"11432-0000"</f>
        <v>11432-0000</v>
      </c>
      <c r="AB10802" t="s">
        <v>78</v>
      </c>
      <c r="AC10802" t="s">
        <v>79</v>
      </c>
      <c r="AD10802" t="s">
        <v>75</v>
      </c>
      <c r="AE10802" t="s">
        <v>80</v>
      </c>
      <c r="AG10802" t="s">
        <v>81</v>
      </c>
    </row>
    <row r="10803" spans="1:33" x14ac:dyDescent="0.25">
      <c r="A10803" t="str">
        <f>"1821040171"</f>
        <v>1821040171</v>
      </c>
      <c r="B10803" t="str">
        <f>"01441083"</f>
        <v>01441083</v>
      </c>
      <c r="C10803" t="s">
        <v>43960</v>
      </c>
      <c r="D10803" t="s">
        <v>43961</v>
      </c>
      <c r="E10803" t="s">
        <v>43962</v>
      </c>
      <c r="G10803" t="s">
        <v>43960</v>
      </c>
      <c r="L10803" t="s">
        <v>83</v>
      </c>
      <c r="M10803" t="s">
        <v>75</v>
      </c>
      <c r="R10803" t="s">
        <v>43963</v>
      </c>
      <c r="W10803" t="s">
        <v>43962</v>
      </c>
      <c r="X10803" t="s">
        <v>173</v>
      </c>
      <c r="Y10803" t="s">
        <v>87</v>
      </c>
      <c r="Z10803" t="s">
        <v>77</v>
      </c>
      <c r="AA10803" t="str">
        <f>"11219-2916"</f>
        <v>11219-2916</v>
      </c>
      <c r="AB10803" t="s">
        <v>78</v>
      </c>
      <c r="AC10803" t="s">
        <v>79</v>
      </c>
      <c r="AD10803" t="s">
        <v>75</v>
      </c>
      <c r="AE10803" t="s">
        <v>80</v>
      </c>
      <c r="AG10803" t="s">
        <v>81</v>
      </c>
    </row>
    <row r="10804" spans="1:33" x14ac:dyDescent="0.25">
      <c r="A10804" t="str">
        <f>"1821042565"</f>
        <v>1821042565</v>
      </c>
      <c r="B10804" t="str">
        <f>"01839454"</f>
        <v>01839454</v>
      </c>
      <c r="C10804" t="s">
        <v>43964</v>
      </c>
      <c r="D10804" t="s">
        <v>43965</v>
      </c>
      <c r="E10804" t="s">
        <v>43966</v>
      </c>
      <c r="G10804" t="s">
        <v>43964</v>
      </c>
      <c r="L10804" t="s">
        <v>83</v>
      </c>
      <c r="M10804" t="s">
        <v>75</v>
      </c>
      <c r="R10804" t="s">
        <v>43967</v>
      </c>
      <c r="W10804" t="s">
        <v>43966</v>
      </c>
      <c r="X10804" t="s">
        <v>43968</v>
      </c>
      <c r="Y10804" t="s">
        <v>241</v>
      </c>
      <c r="Z10804" t="s">
        <v>77</v>
      </c>
      <c r="AA10804" t="str">
        <f>"11703-2823"</f>
        <v>11703-2823</v>
      </c>
      <c r="AB10804" t="s">
        <v>78</v>
      </c>
      <c r="AC10804" t="s">
        <v>79</v>
      </c>
      <c r="AD10804" t="s">
        <v>75</v>
      </c>
      <c r="AE10804" t="s">
        <v>80</v>
      </c>
      <c r="AG10804" t="s">
        <v>81</v>
      </c>
    </row>
    <row r="10805" spans="1:33" x14ac:dyDescent="0.25">
      <c r="A10805" t="str">
        <f>"1821136052"</f>
        <v>1821136052</v>
      </c>
      <c r="B10805" t="str">
        <f>"02088264"</f>
        <v>02088264</v>
      </c>
      <c r="C10805" t="s">
        <v>43969</v>
      </c>
      <c r="D10805" t="s">
        <v>43970</v>
      </c>
      <c r="E10805" t="s">
        <v>43971</v>
      </c>
      <c r="G10805" t="s">
        <v>43969</v>
      </c>
      <c r="L10805" t="s">
        <v>83</v>
      </c>
      <c r="M10805" t="s">
        <v>75</v>
      </c>
      <c r="R10805" t="s">
        <v>43972</v>
      </c>
      <c r="W10805" t="s">
        <v>43971</v>
      </c>
      <c r="X10805" t="s">
        <v>323</v>
      </c>
      <c r="Y10805" t="s">
        <v>87</v>
      </c>
      <c r="Z10805" t="s">
        <v>77</v>
      </c>
      <c r="AA10805" t="str">
        <f>"11201-5509"</f>
        <v>11201-5509</v>
      </c>
      <c r="AB10805" t="s">
        <v>78</v>
      </c>
      <c r="AC10805" t="s">
        <v>79</v>
      </c>
      <c r="AD10805" t="s">
        <v>75</v>
      </c>
      <c r="AE10805" t="s">
        <v>80</v>
      </c>
      <c r="AG10805" t="s">
        <v>81</v>
      </c>
    </row>
    <row r="10806" spans="1:33" x14ac:dyDescent="0.25">
      <c r="A10806" t="str">
        <f>"1821155870"</f>
        <v>1821155870</v>
      </c>
      <c r="B10806" t="str">
        <f>"04053018"</f>
        <v>04053018</v>
      </c>
      <c r="C10806" t="s">
        <v>43973</v>
      </c>
      <c r="D10806" t="s">
        <v>43974</v>
      </c>
      <c r="E10806" t="s">
        <v>43975</v>
      </c>
      <c r="G10806" t="s">
        <v>43973</v>
      </c>
      <c r="L10806" t="s">
        <v>83</v>
      </c>
      <c r="M10806" t="s">
        <v>75</v>
      </c>
      <c r="R10806" t="s">
        <v>43976</v>
      </c>
      <c r="W10806" t="s">
        <v>43977</v>
      </c>
      <c r="X10806" t="s">
        <v>14532</v>
      </c>
      <c r="Y10806" t="s">
        <v>87</v>
      </c>
      <c r="Z10806" t="s">
        <v>77</v>
      </c>
      <c r="AA10806" t="str">
        <f>"11205-4924"</f>
        <v>11205-4924</v>
      </c>
      <c r="AB10806" t="s">
        <v>78</v>
      </c>
      <c r="AC10806" t="s">
        <v>79</v>
      </c>
      <c r="AD10806" t="s">
        <v>75</v>
      </c>
      <c r="AE10806" t="s">
        <v>80</v>
      </c>
      <c r="AG10806" t="s">
        <v>81</v>
      </c>
    </row>
    <row r="10807" spans="1:33" x14ac:dyDescent="0.25">
      <c r="A10807" t="str">
        <f>"1821373556"</f>
        <v>1821373556</v>
      </c>
      <c r="B10807" t="str">
        <f>"03393895"</f>
        <v>03393895</v>
      </c>
      <c r="C10807" t="s">
        <v>43978</v>
      </c>
      <c r="D10807" t="s">
        <v>43979</v>
      </c>
      <c r="E10807" t="s">
        <v>43980</v>
      </c>
      <c r="G10807" t="s">
        <v>43978</v>
      </c>
      <c r="L10807" t="s">
        <v>83</v>
      </c>
      <c r="M10807" t="s">
        <v>75</v>
      </c>
      <c r="R10807" t="s">
        <v>43980</v>
      </c>
      <c r="W10807" t="s">
        <v>43980</v>
      </c>
      <c r="X10807" t="s">
        <v>151</v>
      </c>
      <c r="Y10807" t="s">
        <v>152</v>
      </c>
      <c r="Z10807" t="s">
        <v>77</v>
      </c>
      <c r="AA10807" t="str">
        <f>"11375-2029"</f>
        <v>11375-2029</v>
      </c>
      <c r="AB10807" t="s">
        <v>78</v>
      </c>
      <c r="AC10807" t="s">
        <v>79</v>
      </c>
      <c r="AD10807" t="s">
        <v>75</v>
      </c>
      <c r="AE10807" t="s">
        <v>80</v>
      </c>
      <c r="AG10807" t="s">
        <v>81</v>
      </c>
    </row>
    <row r="10808" spans="1:33" x14ac:dyDescent="0.25">
      <c r="A10808" t="str">
        <f>"1821379090"</f>
        <v>1821379090</v>
      </c>
      <c r="B10808" t="str">
        <f>"03420633"</f>
        <v>03420633</v>
      </c>
      <c r="C10808" t="s">
        <v>43981</v>
      </c>
      <c r="D10808" t="s">
        <v>43982</v>
      </c>
      <c r="E10808" t="s">
        <v>43983</v>
      </c>
      <c r="G10808" t="s">
        <v>43981</v>
      </c>
      <c r="L10808" t="s">
        <v>83</v>
      </c>
      <c r="M10808" t="s">
        <v>75</v>
      </c>
      <c r="W10808" t="s">
        <v>43983</v>
      </c>
      <c r="X10808" t="s">
        <v>8978</v>
      </c>
      <c r="Y10808" t="s">
        <v>155</v>
      </c>
      <c r="Z10808" t="s">
        <v>77</v>
      </c>
      <c r="AA10808" t="str">
        <f>"10301-3627"</f>
        <v>10301-3627</v>
      </c>
      <c r="AB10808" t="s">
        <v>78</v>
      </c>
      <c r="AC10808" t="s">
        <v>79</v>
      </c>
      <c r="AD10808" t="s">
        <v>75</v>
      </c>
      <c r="AE10808" t="s">
        <v>80</v>
      </c>
      <c r="AG10808" t="s">
        <v>81</v>
      </c>
    </row>
    <row r="10809" spans="1:33" x14ac:dyDescent="0.25">
      <c r="A10809" t="str">
        <f>"1821437823"</f>
        <v>1821437823</v>
      </c>
      <c r="B10809" t="str">
        <f>"03717177"</f>
        <v>03717177</v>
      </c>
      <c r="C10809" t="s">
        <v>43984</v>
      </c>
      <c r="D10809" t="s">
        <v>43985</v>
      </c>
      <c r="E10809" t="s">
        <v>43986</v>
      </c>
      <c r="G10809" t="s">
        <v>43984</v>
      </c>
      <c r="L10809" t="s">
        <v>84</v>
      </c>
      <c r="M10809" t="s">
        <v>75</v>
      </c>
      <c r="R10809" t="s">
        <v>43987</v>
      </c>
      <c r="W10809" t="s">
        <v>43986</v>
      </c>
      <c r="X10809" t="s">
        <v>40952</v>
      </c>
      <c r="Y10809" t="s">
        <v>155</v>
      </c>
      <c r="Z10809" t="s">
        <v>77</v>
      </c>
      <c r="AA10809" t="str">
        <f>"10312-6315"</f>
        <v>10312-6315</v>
      </c>
      <c r="AB10809" t="s">
        <v>78</v>
      </c>
      <c r="AC10809" t="s">
        <v>79</v>
      </c>
      <c r="AD10809" t="s">
        <v>75</v>
      </c>
      <c r="AE10809" t="s">
        <v>80</v>
      </c>
      <c r="AG10809" t="s">
        <v>81</v>
      </c>
    </row>
    <row r="10810" spans="1:33" x14ac:dyDescent="0.25">
      <c r="A10810" t="str">
        <f>"1831131952"</f>
        <v>1831131952</v>
      </c>
      <c r="B10810" t="str">
        <f>"00719851"</f>
        <v>00719851</v>
      </c>
      <c r="C10810" t="s">
        <v>43988</v>
      </c>
      <c r="D10810" t="s">
        <v>43989</v>
      </c>
      <c r="E10810" t="s">
        <v>43990</v>
      </c>
      <c r="G10810" t="s">
        <v>43988</v>
      </c>
      <c r="L10810" t="s">
        <v>83</v>
      </c>
      <c r="M10810" t="s">
        <v>75</v>
      </c>
      <c r="R10810" t="s">
        <v>21613</v>
      </c>
      <c r="W10810" t="s">
        <v>43990</v>
      </c>
      <c r="X10810" t="s">
        <v>5696</v>
      </c>
      <c r="Y10810" t="s">
        <v>152</v>
      </c>
      <c r="Z10810" t="s">
        <v>77</v>
      </c>
      <c r="AA10810" t="str">
        <f>"11375-4566"</f>
        <v>11375-4566</v>
      </c>
      <c r="AB10810" t="s">
        <v>78</v>
      </c>
      <c r="AC10810" t="s">
        <v>79</v>
      </c>
      <c r="AD10810" t="s">
        <v>75</v>
      </c>
      <c r="AE10810" t="s">
        <v>80</v>
      </c>
      <c r="AG10810" t="s">
        <v>81</v>
      </c>
    </row>
    <row r="10811" spans="1:33" x14ac:dyDescent="0.25">
      <c r="A10811" t="str">
        <f>"1831164813"</f>
        <v>1831164813</v>
      </c>
      <c r="B10811" t="str">
        <f>"03107619"</f>
        <v>03107619</v>
      </c>
      <c r="C10811" t="s">
        <v>43991</v>
      </c>
      <c r="D10811" t="s">
        <v>43992</v>
      </c>
      <c r="E10811" t="s">
        <v>43993</v>
      </c>
      <c r="G10811" t="s">
        <v>43991</v>
      </c>
      <c r="L10811" t="s">
        <v>84</v>
      </c>
      <c r="M10811" t="s">
        <v>75</v>
      </c>
      <c r="R10811" t="s">
        <v>43994</v>
      </c>
      <c r="W10811" t="s">
        <v>43995</v>
      </c>
      <c r="X10811" t="s">
        <v>43996</v>
      </c>
      <c r="Y10811" t="s">
        <v>97</v>
      </c>
      <c r="Z10811" t="s">
        <v>77</v>
      </c>
      <c r="AA10811" t="str">
        <f>"10128-4077"</f>
        <v>10128-4077</v>
      </c>
      <c r="AB10811" t="s">
        <v>78</v>
      </c>
      <c r="AC10811" t="s">
        <v>79</v>
      </c>
      <c r="AD10811" t="s">
        <v>75</v>
      </c>
      <c r="AE10811" t="s">
        <v>80</v>
      </c>
      <c r="AG10811" t="s">
        <v>81</v>
      </c>
    </row>
    <row r="10812" spans="1:33" x14ac:dyDescent="0.25">
      <c r="A10812" t="str">
        <f>"1831352590"</f>
        <v>1831352590</v>
      </c>
      <c r="B10812" t="str">
        <f>"03276304"</f>
        <v>03276304</v>
      </c>
      <c r="C10812" t="s">
        <v>43997</v>
      </c>
      <c r="D10812" t="s">
        <v>43998</v>
      </c>
      <c r="E10812" t="s">
        <v>43999</v>
      </c>
      <c r="G10812" t="s">
        <v>43997</v>
      </c>
      <c r="L10812" t="s">
        <v>84</v>
      </c>
      <c r="M10812" t="s">
        <v>75</v>
      </c>
      <c r="R10812" t="s">
        <v>44000</v>
      </c>
      <c r="W10812" t="s">
        <v>44001</v>
      </c>
      <c r="X10812" t="s">
        <v>14532</v>
      </c>
      <c r="Y10812" t="s">
        <v>87</v>
      </c>
      <c r="Z10812" t="s">
        <v>77</v>
      </c>
      <c r="AA10812" t="str">
        <f>"11205-4924"</f>
        <v>11205-4924</v>
      </c>
      <c r="AB10812" t="s">
        <v>78</v>
      </c>
      <c r="AC10812" t="s">
        <v>79</v>
      </c>
      <c r="AD10812" t="s">
        <v>75</v>
      </c>
      <c r="AE10812" t="s">
        <v>80</v>
      </c>
      <c r="AG10812" t="s">
        <v>81</v>
      </c>
    </row>
    <row r="10813" spans="1:33" x14ac:dyDescent="0.25">
      <c r="A10813" t="str">
        <f>"1831446160"</f>
        <v>1831446160</v>
      </c>
      <c r="B10813" t="str">
        <f>"03488846"</f>
        <v>03488846</v>
      </c>
      <c r="C10813" t="s">
        <v>44002</v>
      </c>
      <c r="D10813" t="s">
        <v>44003</v>
      </c>
      <c r="E10813" t="s">
        <v>44004</v>
      </c>
      <c r="G10813" t="s">
        <v>44002</v>
      </c>
      <c r="L10813" t="s">
        <v>83</v>
      </c>
      <c r="M10813" t="s">
        <v>75</v>
      </c>
      <c r="R10813" t="s">
        <v>44005</v>
      </c>
      <c r="W10813" t="s">
        <v>44004</v>
      </c>
      <c r="X10813" t="s">
        <v>8978</v>
      </c>
      <c r="Y10813" t="s">
        <v>155</v>
      </c>
      <c r="Z10813" t="s">
        <v>77</v>
      </c>
      <c r="AA10813" t="str">
        <f>"10301-3627"</f>
        <v>10301-3627</v>
      </c>
      <c r="AB10813" t="s">
        <v>78</v>
      </c>
      <c r="AC10813" t="s">
        <v>79</v>
      </c>
      <c r="AD10813" t="s">
        <v>75</v>
      </c>
      <c r="AE10813" t="s">
        <v>80</v>
      </c>
      <c r="AG10813" t="s">
        <v>81</v>
      </c>
    </row>
    <row r="10814" spans="1:33" x14ac:dyDescent="0.25">
      <c r="A10814" t="str">
        <f>"1457644882"</f>
        <v>1457644882</v>
      </c>
      <c r="C10814" t="s">
        <v>43849</v>
      </c>
      <c r="K10814" t="s">
        <v>99</v>
      </c>
      <c r="L10814" t="s">
        <v>102</v>
      </c>
      <c r="M10814" t="s">
        <v>75</v>
      </c>
      <c r="R10814" t="s">
        <v>2676</v>
      </c>
      <c r="S10814" t="s">
        <v>43837</v>
      </c>
      <c r="T10814" t="s">
        <v>97</v>
      </c>
      <c r="U10814" t="s">
        <v>77</v>
      </c>
      <c r="V10814" t="str">
        <f>"100296501"</f>
        <v>100296501</v>
      </c>
      <c r="AC10814" t="s">
        <v>79</v>
      </c>
      <c r="AD10814" t="s">
        <v>75</v>
      </c>
      <c r="AE10814" t="s">
        <v>103</v>
      </c>
      <c r="AG10814" t="s">
        <v>81</v>
      </c>
    </row>
    <row r="10815" spans="1:33" x14ac:dyDescent="0.25">
      <c r="A10815" t="str">
        <f>"1467654558"</f>
        <v>1467654558</v>
      </c>
      <c r="B10815" t="str">
        <f>"02976507"</f>
        <v>02976507</v>
      </c>
      <c r="C10815" t="s">
        <v>43387</v>
      </c>
      <c r="D10815" t="s">
        <v>27831</v>
      </c>
      <c r="E10815" t="s">
        <v>27832</v>
      </c>
      <c r="L10815" t="s">
        <v>1305</v>
      </c>
      <c r="M10815" t="s">
        <v>85</v>
      </c>
      <c r="R10815" t="s">
        <v>22768</v>
      </c>
      <c r="W10815" t="s">
        <v>44006</v>
      </c>
      <c r="X10815" t="s">
        <v>3553</v>
      </c>
      <c r="Y10815" t="s">
        <v>97</v>
      </c>
      <c r="Z10815" t="s">
        <v>77</v>
      </c>
      <c r="AA10815" t="str">
        <f>"10003-3851"</f>
        <v>10003-3851</v>
      </c>
      <c r="AB10815" t="s">
        <v>96</v>
      </c>
      <c r="AC10815" t="s">
        <v>79</v>
      </c>
      <c r="AD10815" t="s">
        <v>75</v>
      </c>
      <c r="AE10815" t="s">
        <v>80</v>
      </c>
      <c r="AG10815" t="s">
        <v>81</v>
      </c>
    </row>
    <row r="10816" spans="1:33" x14ac:dyDescent="0.25">
      <c r="A10816" t="str">
        <f>"1487797858"</f>
        <v>1487797858</v>
      </c>
      <c r="B10816" t="str">
        <f>"01647447"</f>
        <v>01647447</v>
      </c>
      <c r="C10816" t="s">
        <v>43295</v>
      </c>
      <c r="D10816" t="s">
        <v>44007</v>
      </c>
      <c r="E10816" t="s">
        <v>44008</v>
      </c>
      <c r="L10816" t="s">
        <v>102</v>
      </c>
      <c r="M10816" t="s">
        <v>75</v>
      </c>
      <c r="R10816" t="s">
        <v>43296</v>
      </c>
      <c r="W10816" t="s">
        <v>44008</v>
      </c>
      <c r="X10816" t="s">
        <v>44009</v>
      </c>
      <c r="Y10816" t="s">
        <v>97</v>
      </c>
      <c r="Z10816" t="s">
        <v>77</v>
      </c>
      <c r="AA10816" t="str">
        <f>"10029-6500"</f>
        <v>10029-6500</v>
      </c>
      <c r="AB10816" t="s">
        <v>78</v>
      </c>
      <c r="AC10816" t="s">
        <v>79</v>
      </c>
      <c r="AD10816" t="s">
        <v>75</v>
      </c>
      <c r="AE10816" t="s">
        <v>80</v>
      </c>
      <c r="AG10816" t="s">
        <v>81</v>
      </c>
    </row>
    <row r="10817" spans="1:33" x14ac:dyDescent="0.25">
      <c r="A10817" t="str">
        <f>"1497780019"</f>
        <v>1497780019</v>
      </c>
      <c r="B10817" t="str">
        <f>"03001810"</f>
        <v>03001810</v>
      </c>
      <c r="C10817" t="s">
        <v>44010</v>
      </c>
      <c r="D10817" t="s">
        <v>1303</v>
      </c>
      <c r="E10817" t="s">
        <v>1304</v>
      </c>
      <c r="L10817" t="s">
        <v>1305</v>
      </c>
      <c r="M10817" t="s">
        <v>85</v>
      </c>
      <c r="R10817" t="s">
        <v>44011</v>
      </c>
      <c r="W10817" t="s">
        <v>1304</v>
      </c>
      <c r="X10817" t="s">
        <v>181</v>
      </c>
      <c r="Y10817" t="s">
        <v>97</v>
      </c>
      <c r="Z10817" t="s">
        <v>77</v>
      </c>
      <c r="AA10817" t="str">
        <f>"10025-1716"</f>
        <v>10025-1716</v>
      </c>
      <c r="AB10817" t="s">
        <v>96</v>
      </c>
      <c r="AC10817" t="s">
        <v>79</v>
      </c>
      <c r="AD10817" t="s">
        <v>75</v>
      </c>
      <c r="AE10817" t="s">
        <v>80</v>
      </c>
      <c r="AG10817" t="s">
        <v>81</v>
      </c>
    </row>
    <row r="10818" spans="1:33" x14ac:dyDescent="0.25">
      <c r="A10818" t="str">
        <f>"1497992218"</f>
        <v>1497992218</v>
      </c>
      <c r="C10818" t="s">
        <v>43299</v>
      </c>
      <c r="K10818" t="s">
        <v>99</v>
      </c>
      <c r="L10818" t="s">
        <v>102</v>
      </c>
      <c r="M10818" t="s">
        <v>75</v>
      </c>
      <c r="R10818" t="s">
        <v>1290</v>
      </c>
      <c r="S10818" t="s">
        <v>38906</v>
      </c>
      <c r="T10818" t="s">
        <v>97</v>
      </c>
      <c r="U10818" t="s">
        <v>77</v>
      </c>
      <c r="V10818" t="str">
        <f>"10029"</f>
        <v>10029</v>
      </c>
      <c r="AC10818" t="s">
        <v>79</v>
      </c>
      <c r="AD10818" t="s">
        <v>75</v>
      </c>
      <c r="AE10818" t="s">
        <v>103</v>
      </c>
      <c r="AG10818" t="s">
        <v>81</v>
      </c>
    </row>
    <row r="10819" spans="1:33" x14ac:dyDescent="0.25">
      <c r="A10819" t="str">
        <f>"1508001405"</f>
        <v>1508001405</v>
      </c>
      <c r="B10819" t="str">
        <f>"03103399"</f>
        <v>03103399</v>
      </c>
      <c r="C10819" t="s">
        <v>44012</v>
      </c>
      <c r="D10819" t="s">
        <v>1303</v>
      </c>
      <c r="E10819" t="s">
        <v>1304</v>
      </c>
      <c r="L10819" t="s">
        <v>1305</v>
      </c>
      <c r="M10819" t="s">
        <v>85</v>
      </c>
      <c r="R10819" t="s">
        <v>44013</v>
      </c>
      <c r="W10819" t="s">
        <v>44014</v>
      </c>
      <c r="X10819" t="s">
        <v>181</v>
      </c>
      <c r="Y10819" t="s">
        <v>97</v>
      </c>
      <c r="Z10819" t="s">
        <v>77</v>
      </c>
      <c r="AA10819" t="str">
        <f>"10025-1716"</f>
        <v>10025-1716</v>
      </c>
      <c r="AB10819" t="s">
        <v>96</v>
      </c>
      <c r="AC10819" t="s">
        <v>79</v>
      </c>
      <c r="AD10819" t="s">
        <v>75</v>
      </c>
      <c r="AE10819" t="s">
        <v>80</v>
      </c>
      <c r="AG10819" t="s">
        <v>81</v>
      </c>
    </row>
    <row r="10820" spans="1:33" x14ac:dyDescent="0.25">
      <c r="A10820" t="str">
        <f>"1508025305"</f>
        <v>1508025305</v>
      </c>
      <c r="C10820" t="s">
        <v>43299</v>
      </c>
      <c r="K10820" t="s">
        <v>99</v>
      </c>
      <c r="L10820" t="s">
        <v>102</v>
      </c>
      <c r="M10820" t="s">
        <v>75</v>
      </c>
      <c r="R10820" t="s">
        <v>1290</v>
      </c>
      <c r="S10820" t="s">
        <v>6164</v>
      </c>
      <c r="T10820" t="s">
        <v>97</v>
      </c>
      <c r="U10820" t="s">
        <v>77</v>
      </c>
      <c r="V10820" t="str">
        <f>"10029"</f>
        <v>10029</v>
      </c>
      <c r="AC10820" t="s">
        <v>79</v>
      </c>
      <c r="AD10820" t="s">
        <v>75</v>
      </c>
      <c r="AE10820" t="s">
        <v>103</v>
      </c>
      <c r="AG10820" t="s">
        <v>81</v>
      </c>
    </row>
    <row r="10821" spans="1:33" x14ac:dyDescent="0.25">
      <c r="A10821" t="str">
        <f>"1508094418"</f>
        <v>1508094418</v>
      </c>
      <c r="C10821" t="s">
        <v>43387</v>
      </c>
      <c r="K10821" t="s">
        <v>99</v>
      </c>
      <c r="L10821" t="s">
        <v>102</v>
      </c>
      <c r="M10821" t="s">
        <v>75</v>
      </c>
      <c r="R10821" t="s">
        <v>22768</v>
      </c>
      <c r="S10821" t="s">
        <v>14121</v>
      </c>
      <c r="T10821" t="s">
        <v>97</v>
      </c>
      <c r="U10821" t="s">
        <v>77</v>
      </c>
      <c r="V10821" t="str">
        <f>"100033314"</f>
        <v>100033314</v>
      </c>
      <c r="AC10821" t="s">
        <v>79</v>
      </c>
      <c r="AD10821" t="s">
        <v>75</v>
      </c>
      <c r="AE10821" t="s">
        <v>103</v>
      </c>
      <c r="AG10821" t="s">
        <v>81</v>
      </c>
    </row>
    <row r="10822" spans="1:33" x14ac:dyDescent="0.25">
      <c r="A10822" t="str">
        <f>"1518126382"</f>
        <v>1518126382</v>
      </c>
      <c r="C10822" t="s">
        <v>44015</v>
      </c>
      <c r="K10822" t="s">
        <v>99</v>
      </c>
      <c r="L10822" t="s">
        <v>102</v>
      </c>
      <c r="M10822" t="s">
        <v>75</v>
      </c>
      <c r="R10822" t="s">
        <v>3599</v>
      </c>
      <c r="S10822" t="s">
        <v>329</v>
      </c>
      <c r="T10822" t="s">
        <v>97</v>
      </c>
      <c r="U10822" t="s">
        <v>77</v>
      </c>
      <c r="V10822" t="str">
        <f>"100296500"</f>
        <v>100296500</v>
      </c>
      <c r="AC10822" t="s">
        <v>79</v>
      </c>
      <c r="AD10822" t="s">
        <v>75</v>
      </c>
      <c r="AE10822" t="s">
        <v>103</v>
      </c>
      <c r="AG10822" t="s">
        <v>81</v>
      </c>
    </row>
    <row r="10823" spans="1:33" x14ac:dyDescent="0.25">
      <c r="A10823" t="str">
        <f>"1528181187"</f>
        <v>1528181187</v>
      </c>
      <c r="B10823" t="str">
        <f>"02354736"</f>
        <v>02354736</v>
      </c>
      <c r="C10823" t="s">
        <v>43387</v>
      </c>
      <c r="D10823" t="s">
        <v>44016</v>
      </c>
      <c r="E10823" t="s">
        <v>44017</v>
      </c>
      <c r="L10823" t="s">
        <v>102</v>
      </c>
      <c r="M10823" t="s">
        <v>75</v>
      </c>
      <c r="R10823" t="s">
        <v>22768</v>
      </c>
      <c r="W10823" t="s">
        <v>44017</v>
      </c>
      <c r="X10823" t="s">
        <v>44018</v>
      </c>
      <c r="Y10823" t="s">
        <v>87</v>
      </c>
      <c r="Z10823" t="s">
        <v>77</v>
      </c>
      <c r="AA10823" t="str">
        <f>"11206-4107"</f>
        <v>11206-4107</v>
      </c>
      <c r="AB10823" t="s">
        <v>78</v>
      </c>
      <c r="AC10823" t="s">
        <v>79</v>
      </c>
      <c r="AD10823" t="s">
        <v>75</v>
      </c>
      <c r="AE10823" t="s">
        <v>80</v>
      </c>
      <c r="AG10823" t="s">
        <v>81</v>
      </c>
    </row>
    <row r="10824" spans="1:33" x14ac:dyDescent="0.25">
      <c r="A10824" t="str">
        <f>"1528486917"</f>
        <v>1528486917</v>
      </c>
      <c r="C10824" t="s">
        <v>43849</v>
      </c>
      <c r="K10824" t="s">
        <v>99</v>
      </c>
      <c r="L10824" t="s">
        <v>102</v>
      </c>
      <c r="M10824" t="s">
        <v>75</v>
      </c>
      <c r="R10824" t="s">
        <v>2676</v>
      </c>
      <c r="S10824" t="s">
        <v>31518</v>
      </c>
      <c r="T10824" t="s">
        <v>97</v>
      </c>
      <c r="U10824" t="s">
        <v>77</v>
      </c>
      <c r="V10824" t="str">
        <f>"100296504"</f>
        <v>100296504</v>
      </c>
      <c r="AC10824" t="s">
        <v>79</v>
      </c>
      <c r="AD10824" t="s">
        <v>75</v>
      </c>
      <c r="AE10824" t="s">
        <v>103</v>
      </c>
      <c r="AG10824" t="s">
        <v>81</v>
      </c>
    </row>
    <row r="10825" spans="1:33" x14ac:dyDescent="0.25">
      <c r="A10825" t="str">
        <f>"1538314711"</f>
        <v>1538314711</v>
      </c>
      <c r="C10825" t="s">
        <v>43387</v>
      </c>
      <c r="K10825" t="s">
        <v>99</v>
      </c>
      <c r="L10825" t="s">
        <v>102</v>
      </c>
      <c r="M10825" t="s">
        <v>75</v>
      </c>
      <c r="R10825" t="s">
        <v>22768</v>
      </c>
      <c r="S10825" t="s">
        <v>44019</v>
      </c>
      <c r="T10825" t="s">
        <v>97</v>
      </c>
      <c r="U10825" t="s">
        <v>77</v>
      </c>
      <c r="V10825" t="str">
        <f>"100033804"</f>
        <v>100033804</v>
      </c>
      <c r="AC10825" t="s">
        <v>79</v>
      </c>
      <c r="AD10825" t="s">
        <v>75</v>
      </c>
      <c r="AE10825" t="s">
        <v>103</v>
      </c>
      <c r="AG10825" t="s">
        <v>81</v>
      </c>
    </row>
    <row r="10826" spans="1:33" x14ac:dyDescent="0.25">
      <c r="A10826" t="str">
        <f>"1154407492"</f>
        <v>1154407492</v>
      </c>
      <c r="C10826" t="s">
        <v>44020</v>
      </c>
      <c r="G10826" t="s">
        <v>43690</v>
      </c>
      <c r="H10826" t="s">
        <v>43691</v>
      </c>
      <c r="I10826">
        <v>303</v>
      </c>
      <c r="J10826" t="s">
        <v>43692</v>
      </c>
      <c r="K10826" t="s">
        <v>99</v>
      </c>
      <c r="L10826" t="s">
        <v>102</v>
      </c>
      <c r="M10826" t="s">
        <v>85</v>
      </c>
      <c r="R10826" t="s">
        <v>44021</v>
      </c>
      <c r="S10826" t="s">
        <v>44022</v>
      </c>
      <c r="T10826" t="s">
        <v>394</v>
      </c>
      <c r="U10826" t="s">
        <v>77</v>
      </c>
      <c r="V10826" t="str">
        <f>"11104"</f>
        <v>11104</v>
      </c>
      <c r="AC10826" t="s">
        <v>79</v>
      </c>
      <c r="AD10826" t="s">
        <v>75</v>
      </c>
      <c r="AE10826" t="s">
        <v>103</v>
      </c>
      <c r="AG10826" t="s">
        <v>81</v>
      </c>
    </row>
    <row r="10827" spans="1:33" x14ac:dyDescent="0.25">
      <c r="A10827" t="str">
        <f>"1437341138"</f>
        <v>1437341138</v>
      </c>
      <c r="C10827" t="s">
        <v>44023</v>
      </c>
      <c r="G10827" t="s">
        <v>43690</v>
      </c>
      <c r="H10827" t="s">
        <v>43691</v>
      </c>
      <c r="I10827">
        <v>303</v>
      </c>
      <c r="J10827" t="s">
        <v>43692</v>
      </c>
      <c r="K10827" t="s">
        <v>99</v>
      </c>
      <c r="L10827" t="s">
        <v>102</v>
      </c>
      <c r="M10827" t="s">
        <v>75</v>
      </c>
      <c r="R10827" t="s">
        <v>44024</v>
      </c>
      <c r="S10827" t="s">
        <v>43694</v>
      </c>
      <c r="T10827" t="s">
        <v>394</v>
      </c>
      <c r="U10827" t="s">
        <v>77</v>
      </c>
      <c r="V10827" t="str">
        <f>"111044351"</f>
        <v>111044351</v>
      </c>
      <c r="AC10827" t="s">
        <v>79</v>
      </c>
      <c r="AD10827" t="s">
        <v>75</v>
      </c>
      <c r="AE10827" t="s">
        <v>103</v>
      </c>
      <c r="AG10827" t="s">
        <v>81</v>
      </c>
    </row>
    <row r="10828" spans="1:33" x14ac:dyDescent="0.25">
      <c r="C10828" t="s">
        <v>44025</v>
      </c>
      <c r="G10828" t="s">
        <v>44026</v>
      </c>
      <c r="H10828" t="s">
        <v>6931</v>
      </c>
      <c r="J10828" t="s">
        <v>6932</v>
      </c>
      <c r="K10828" t="s">
        <v>99</v>
      </c>
      <c r="L10828" t="s">
        <v>100</v>
      </c>
      <c r="M10828" t="s">
        <v>75</v>
      </c>
      <c r="N10828" t="s">
        <v>44027</v>
      </c>
      <c r="O10828" t="s">
        <v>167</v>
      </c>
      <c r="P10828" t="s">
        <v>77</v>
      </c>
      <c r="Q10828" t="str">
        <f>"10036"</f>
        <v>10036</v>
      </c>
      <c r="AC10828" t="s">
        <v>79</v>
      </c>
      <c r="AD10828" t="s">
        <v>75</v>
      </c>
      <c r="AE10828" t="s">
        <v>101</v>
      </c>
      <c r="AG10828" t="s">
        <v>81</v>
      </c>
    </row>
    <row r="10829" spans="1:33" x14ac:dyDescent="0.25">
      <c r="C10829" t="s">
        <v>44028</v>
      </c>
      <c r="K10829" t="s">
        <v>99</v>
      </c>
      <c r="L10829" t="s">
        <v>100</v>
      </c>
      <c r="M10829" t="s">
        <v>75</v>
      </c>
      <c r="N10829" t="s">
        <v>44029</v>
      </c>
      <c r="O10829" t="s">
        <v>1352</v>
      </c>
      <c r="P10829" t="s">
        <v>77</v>
      </c>
      <c r="Q10829" t="str">
        <f>"11101"</f>
        <v>11101</v>
      </c>
      <c r="AC10829" t="s">
        <v>79</v>
      </c>
      <c r="AD10829" t="s">
        <v>75</v>
      </c>
      <c r="AE10829" t="s">
        <v>101</v>
      </c>
      <c r="AG10829" t="s">
        <v>81</v>
      </c>
    </row>
    <row r="10830" spans="1:33" x14ac:dyDescent="0.25">
      <c r="C10830" t="s">
        <v>44030</v>
      </c>
      <c r="K10830" t="s">
        <v>99</v>
      </c>
      <c r="L10830" t="s">
        <v>100</v>
      </c>
      <c r="M10830" t="s">
        <v>75</v>
      </c>
      <c r="N10830" t="s">
        <v>44031</v>
      </c>
      <c r="O10830" t="s">
        <v>5051</v>
      </c>
      <c r="P10830" t="s">
        <v>77</v>
      </c>
      <c r="Q10830" t="str">
        <f>"10532"</f>
        <v>10532</v>
      </c>
      <c r="AC10830" t="s">
        <v>79</v>
      </c>
      <c r="AD10830" t="s">
        <v>75</v>
      </c>
      <c r="AE10830" t="s">
        <v>101</v>
      </c>
      <c r="AG10830" t="s">
        <v>81</v>
      </c>
    </row>
    <row r="10831" spans="1:33" x14ac:dyDescent="0.25">
      <c r="C10831" t="s">
        <v>44032</v>
      </c>
      <c r="G10831" t="s">
        <v>44033</v>
      </c>
      <c r="H10831" t="s">
        <v>6479</v>
      </c>
      <c r="J10831" t="s">
        <v>6480</v>
      </c>
      <c r="K10831" t="s">
        <v>99</v>
      </c>
      <c r="L10831" t="s">
        <v>100</v>
      </c>
      <c r="M10831" t="s">
        <v>75</v>
      </c>
      <c r="N10831" t="s">
        <v>44034</v>
      </c>
      <c r="O10831" t="s">
        <v>167</v>
      </c>
      <c r="P10831" t="s">
        <v>77</v>
      </c>
      <c r="Q10831" t="str">
        <f>"10029"</f>
        <v>10029</v>
      </c>
      <c r="AC10831" t="s">
        <v>79</v>
      </c>
      <c r="AD10831" t="s">
        <v>75</v>
      </c>
      <c r="AE10831" t="s">
        <v>101</v>
      </c>
      <c r="AG10831" t="s">
        <v>81</v>
      </c>
    </row>
    <row r="10832" spans="1:33" x14ac:dyDescent="0.25">
      <c r="A10832" t="str">
        <f>"1154691681"</f>
        <v>1154691681</v>
      </c>
      <c r="B10832" t="str">
        <f>"03585095"</f>
        <v>03585095</v>
      </c>
      <c r="C10832" t="s">
        <v>44035</v>
      </c>
      <c r="D10832" t="s">
        <v>44036</v>
      </c>
      <c r="E10832" t="s">
        <v>44037</v>
      </c>
      <c r="G10832" t="s">
        <v>44038</v>
      </c>
      <c r="H10832" t="s">
        <v>42226</v>
      </c>
      <c r="I10832">
        <v>396</v>
      </c>
      <c r="J10832" t="s">
        <v>44039</v>
      </c>
      <c r="L10832" t="s">
        <v>83</v>
      </c>
      <c r="M10832" t="s">
        <v>75</v>
      </c>
      <c r="R10832" t="s">
        <v>44040</v>
      </c>
      <c r="W10832" t="s">
        <v>44037</v>
      </c>
      <c r="X10832" t="s">
        <v>44041</v>
      </c>
      <c r="Y10832" t="s">
        <v>97</v>
      </c>
      <c r="Z10832" t="s">
        <v>77</v>
      </c>
      <c r="AA10832" t="str">
        <f>"10016-8303"</f>
        <v>10016-8303</v>
      </c>
      <c r="AB10832" t="s">
        <v>109</v>
      </c>
      <c r="AC10832" t="s">
        <v>79</v>
      </c>
      <c r="AD10832" t="s">
        <v>75</v>
      </c>
      <c r="AE10832" t="s">
        <v>80</v>
      </c>
      <c r="AG10832" t="s">
        <v>81</v>
      </c>
    </row>
    <row r="10833" spans="1:33" x14ac:dyDescent="0.25">
      <c r="A10833" t="str">
        <f>"1437223690"</f>
        <v>1437223690</v>
      </c>
      <c r="B10833" t="str">
        <f>"00741180"</f>
        <v>00741180</v>
      </c>
      <c r="C10833" t="s">
        <v>44042</v>
      </c>
      <c r="D10833" t="s">
        <v>44043</v>
      </c>
      <c r="E10833" t="s">
        <v>44044</v>
      </c>
      <c r="G10833" t="s">
        <v>44038</v>
      </c>
      <c r="H10833" t="s">
        <v>42226</v>
      </c>
      <c r="I10833">
        <v>396</v>
      </c>
      <c r="J10833" t="s">
        <v>44039</v>
      </c>
      <c r="L10833" t="s">
        <v>94</v>
      </c>
      <c r="M10833" t="s">
        <v>75</v>
      </c>
      <c r="R10833" t="s">
        <v>44045</v>
      </c>
      <c r="W10833" t="s">
        <v>44044</v>
      </c>
      <c r="X10833" t="s">
        <v>44046</v>
      </c>
      <c r="Y10833" t="s">
        <v>394</v>
      </c>
      <c r="Z10833" t="s">
        <v>77</v>
      </c>
      <c r="AA10833" t="str">
        <f>"11104"</f>
        <v>11104</v>
      </c>
      <c r="AB10833" t="s">
        <v>78</v>
      </c>
      <c r="AC10833" t="s">
        <v>79</v>
      </c>
      <c r="AD10833" t="s">
        <v>75</v>
      </c>
      <c r="AE10833" t="s">
        <v>80</v>
      </c>
      <c r="AG10833" t="s">
        <v>81</v>
      </c>
    </row>
    <row r="10834" spans="1:33" x14ac:dyDescent="0.25">
      <c r="A10834" t="str">
        <f>"1730302019"</f>
        <v>1730302019</v>
      </c>
      <c r="B10834" t="str">
        <f>"00245001"</f>
        <v>00245001</v>
      </c>
      <c r="C10834" t="s">
        <v>44047</v>
      </c>
      <c r="D10834" t="s">
        <v>44048</v>
      </c>
      <c r="E10834" t="s">
        <v>44049</v>
      </c>
      <c r="F10834">
        <v>135654532</v>
      </c>
      <c r="G10834" t="s">
        <v>44038</v>
      </c>
      <c r="H10834" t="s">
        <v>42226</v>
      </c>
      <c r="I10834">
        <v>396</v>
      </c>
      <c r="J10834" t="s">
        <v>44039</v>
      </c>
      <c r="L10834" t="s">
        <v>115</v>
      </c>
      <c r="M10834" t="s">
        <v>85</v>
      </c>
      <c r="R10834" t="s">
        <v>42238</v>
      </c>
      <c r="W10834" t="s">
        <v>44049</v>
      </c>
      <c r="X10834" t="s">
        <v>4617</v>
      </c>
      <c r="Y10834" t="s">
        <v>97</v>
      </c>
      <c r="Z10834" t="s">
        <v>77</v>
      </c>
      <c r="AA10834" t="str">
        <f>"10010-4516"</f>
        <v>10010-4516</v>
      </c>
      <c r="AB10834" t="s">
        <v>122</v>
      </c>
      <c r="AC10834" t="s">
        <v>79</v>
      </c>
      <c r="AD10834" t="s">
        <v>75</v>
      </c>
      <c r="AE10834" t="s">
        <v>80</v>
      </c>
      <c r="AG10834" t="s">
        <v>81</v>
      </c>
    </row>
    <row r="10835" spans="1:33" x14ac:dyDescent="0.25">
      <c r="A10835" t="str">
        <f>"1861736555"</f>
        <v>1861736555</v>
      </c>
      <c r="B10835" t="str">
        <f>"03766483"</f>
        <v>03766483</v>
      </c>
      <c r="C10835" t="s">
        <v>44050</v>
      </c>
      <c r="D10835" t="s">
        <v>44051</v>
      </c>
      <c r="E10835" t="s">
        <v>44052</v>
      </c>
      <c r="G10835" t="s">
        <v>44038</v>
      </c>
      <c r="H10835" t="s">
        <v>42226</v>
      </c>
      <c r="I10835">
        <v>396</v>
      </c>
      <c r="J10835" t="s">
        <v>44039</v>
      </c>
      <c r="L10835" t="s">
        <v>74</v>
      </c>
      <c r="M10835" t="s">
        <v>85</v>
      </c>
      <c r="R10835" t="s">
        <v>44052</v>
      </c>
      <c r="W10835" t="s">
        <v>44052</v>
      </c>
      <c r="X10835" t="s">
        <v>44053</v>
      </c>
      <c r="Y10835" t="s">
        <v>131</v>
      </c>
      <c r="Z10835" t="s">
        <v>77</v>
      </c>
      <c r="AA10835" t="str">
        <f>"10462-6402"</f>
        <v>10462-6402</v>
      </c>
      <c r="AB10835" t="s">
        <v>78</v>
      </c>
      <c r="AC10835" t="s">
        <v>79</v>
      </c>
      <c r="AD10835" t="s">
        <v>75</v>
      </c>
      <c r="AE10835" t="s">
        <v>80</v>
      </c>
      <c r="AG10835" t="s">
        <v>81</v>
      </c>
    </row>
    <row r="10836" spans="1:33" x14ac:dyDescent="0.25">
      <c r="C10836" t="s">
        <v>44054</v>
      </c>
      <c r="G10836" t="s">
        <v>44054</v>
      </c>
      <c r="H10836" t="s">
        <v>3041</v>
      </c>
      <c r="J10836" t="s">
        <v>3042</v>
      </c>
      <c r="K10836" t="s">
        <v>99</v>
      </c>
      <c r="L10836" t="s">
        <v>100</v>
      </c>
      <c r="M10836" t="s">
        <v>75</v>
      </c>
      <c r="N10836" t="s">
        <v>44055</v>
      </c>
      <c r="O10836" t="s">
        <v>431</v>
      </c>
      <c r="P10836" t="s">
        <v>77</v>
      </c>
      <c r="Q10836" t="str">
        <f>"11201"</f>
        <v>11201</v>
      </c>
      <c r="AC10836" t="s">
        <v>79</v>
      </c>
      <c r="AD10836" t="s">
        <v>75</v>
      </c>
      <c r="AE10836" t="s">
        <v>101</v>
      </c>
      <c r="AG10836" t="s">
        <v>81</v>
      </c>
    </row>
    <row r="10837" spans="1:33" x14ac:dyDescent="0.25">
      <c r="A10837" t="str">
        <f>"1669562328"</f>
        <v>1669562328</v>
      </c>
      <c r="B10837" t="str">
        <f>"03378856"</f>
        <v>03378856</v>
      </c>
      <c r="C10837" t="s">
        <v>44056</v>
      </c>
      <c r="D10837" t="s">
        <v>1370</v>
      </c>
      <c r="E10837" t="s">
        <v>1371</v>
      </c>
      <c r="G10837" t="s">
        <v>1372</v>
      </c>
      <c r="H10837" t="s">
        <v>1373</v>
      </c>
      <c r="I10837">
        <v>2033</v>
      </c>
      <c r="J10837" t="s">
        <v>1374</v>
      </c>
      <c r="L10837" t="s">
        <v>37</v>
      </c>
      <c r="M10837" t="s">
        <v>75</v>
      </c>
      <c r="R10837" t="s">
        <v>1369</v>
      </c>
      <c r="W10837" t="s">
        <v>1371</v>
      </c>
      <c r="X10837" t="s">
        <v>1375</v>
      </c>
      <c r="Y10837" t="s">
        <v>97</v>
      </c>
      <c r="Z10837" t="s">
        <v>77</v>
      </c>
      <c r="AA10837" t="str">
        <f>"10001-2536"</f>
        <v>10001-2536</v>
      </c>
      <c r="AB10837" t="s">
        <v>114</v>
      </c>
      <c r="AC10837" t="s">
        <v>79</v>
      </c>
      <c r="AD10837" t="s">
        <v>75</v>
      </c>
      <c r="AE10837" t="s">
        <v>80</v>
      </c>
      <c r="AG10837" t="s">
        <v>81</v>
      </c>
    </row>
    <row r="10838" spans="1:33" x14ac:dyDescent="0.25">
      <c r="A10838" t="str">
        <f>"1023287547"</f>
        <v>1023287547</v>
      </c>
      <c r="B10838" t="str">
        <f>"01538554"</f>
        <v>01538554</v>
      </c>
      <c r="C10838" t="s">
        <v>44057</v>
      </c>
      <c r="D10838" t="s">
        <v>44058</v>
      </c>
      <c r="E10838" t="s">
        <v>44059</v>
      </c>
      <c r="G10838" t="s">
        <v>37120</v>
      </c>
      <c r="H10838" t="s">
        <v>6801</v>
      </c>
      <c r="I10838">
        <v>6136</v>
      </c>
      <c r="J10838" t="s">
        <v>7219</v>
      </c>
      <c r="L10838" t="s">
        <v>37</v>
      </c>
      <c r="M10838" t="s">
        <v>75</v>
      </c>
      <c r="R10838" t="s">
        <v>7274</v>
      </c>
      <c r="W10838" t="s">
        <v>44059</v>
      </c>
      <c r="X10838" t="s">
        <v>44060</v>
      </c>
      <c r="Y10838" t="s">
        <v>97</v>
      </c>
      <c r="Z10838" t="s">
        <v>77</v>
      </c>
      <c r="AA10838" t="str">
        <f>"10016-3760"</f>
        <v>10016-3760</v>
      </c>
      <c r="AB10838" t="s">
        <v>107</v>
      </c>
      <c r="AC10838" t="s">
        <v>79</v>
      </c>
      <c r="AD10838" t="s">
        <v>75</v>
      </c>
      <c r="AE10838" t="s">
        <v>80</v>
      </c>
      <c r="AG10838" t="s">
        <v>81</v>
      </c>
    </row>
    <row r="10839" spans="1:33" x14ac:dyDescent="0.25">
      <c r="A10839" t="str">
        <f>"1033389275"</f>
        <v>1033389275</v>
      </c>
      <c r="B10839" t="str">
        <f>"01538581"</f>
        <v>01538581</v>
      </c>
      <c r="C10839" t="s">
        <v>44061</v>
      </c>
      <c r="D10839" t="s">
        <v>44062</v>
      </c>
      <c r="E10839" t="s">
        <v>44063</v>
      </c>
      <c r="G10839" t="s">
        <v>37120</v>
      </c>
      <c r="H10839" t="s">
        <v>6801</v>
      </c>
      <c r="I10839">
        <v>6136</v>
      </c>
      <c r="J10839" t="s">
        <v>7219</v>
      </c>
      <c r="L10839" t="s">
        <v>37</v>
      </c>
      <c r="M10839" t="s">
        <v>75</v>
      </c>
      <c r="R10839" t="s">
        <v>7274</v>
      </c>
      <c r="W10839" t="s">
        <v>44063</v>
      </c>
      <c r="X10839" t="s">
        <v>44064</v>
      </c>
      <c r="Y10839" t="s">
        <v>97</v>
      </c>
      <c r="Z10839" t="s">
        <v>77</v>
      </c>
      <c r="AA10839" t="str">
        <f>"10016-3760"</f>
        <v>10016-3760</v>
      </c>
      <c r="AB10839" t="s">
        <v>107</v>
      </c>
      <c r="AC10839" t="s">
        <v>79</v>
      </c>
      <c r="AD10839" t="s">
        <v>75</v>
      </c>
      <c r="AE10839" t="s">
        <v>80</v>
      </c>
      <c r="AG10839" t="s">
        <v>81</v>
      </c>
    </row>
    <row r="10840" spans="1:33" x14ac:dyDescent="0.25">
      <c r="A10840" t="str">
        <f>"1114196755"</f>
        <v>1114196755</v>
      </c>
      <c r="B10840" t="str">
        <f>"00424933"</f>
        <v>00424933</v>
      </c>
      <c r="C10840" t="s">
        <v>44065</v>
      </c>
      <c r="D10840" t="s">
        <v>44066</v>
      </c>
      <c r="E10840" t="s">
        <v>44067</v>
      </c>
      <c r="G10840" t="s">
        <v>37120</v>
      </c>
      <c r="H10840" t="s">
        <v>6801</v>
      </c>
      <c r="I10840">
        <v>6136</v>
      </c>
      <c r="J10840" t="s">
        <v>7219</v>
      </c>
      <c r="L10840" t="s">
        <v>102</v>
      </c>
      <c r="M10840" t="s">
        <v>75</v>
      </c>
      <c r="R10840" t="s">
        <v>7274</v>
      </c>
      <c r="W10840" t="s">
        <v>44067</v>
      </c>
      <c r="X10840" t="s">
        <v>44068</v>
      </c>
      <c r="Y10840" t="s">
        <v>97</v>
      </c>
      <c r="Z10840" t="s">
        <v>77</v>
      </c>
      <c r="AA10840" t="str">
        <f>"10016-3760"</f>
        <v>10016-3760</v>
      </c>
      <c r="AB10840" t="s">
        <v>107</v>
      </c>
      <c r="AC10840" t="s">
        <v>79</v>
      </c>
      <c r="AD10840" t="s">
        <v>75</v>
      </c>
      <c r="AE10840" t="s">
        <v>80</v>
      </c>
      <c r="AG10840" t="s">
        <v>81</v>
      </c>
    </row>
    <row r="10841" spans="1:33" x14ac:dyDescent="0.25">
      <c r="A10841" t="str">
        <f>"1164691671"</f>
        <v>1164691671</v>
      </c>
      <c r="B10841" t="str">
        <f>"01147268"</f>
        <v>01147268</v>
      </c>
      <c r="C10841" t="s">
        <v>44069</v>
      </c>
      <c r="D10841" t="s">
        <v>44070</v>
      </c>
      <c r="E10841" t="s">
        <v>44071</v>
      </c>
      <c r="G10841" t="s">
        <v>37120</v>
      </c>
      <c r="H10841" t="s">
        <v>6801</v>
      </c>
      <c r="I10841">
        <v>6136</v>
      </c>
      <c r="J10841" t="s">
        <v>7219</v>
      </c>
      <c r="L10841" t="s">
        <v>37</v>
      </c>
      <c r="M10841" t="s">
        <v>75</v>
      </c>
      <c r="R10841" t="s">
        <v>7274</v>
      </c>
      <c r="W10841" t="s">
        <v>44071</v>
      </c>
      <c r="X10841" t="s">
        <v>44072</v>
      </c>
      <c r="Y10841" t="s">
        <v>196</v>
      </c>
      <c r="Z10841" t="s">
        <v>77</v>
      </c>
      <c r="AA10841" t="str">
        <f>"11756-4240"</f>
        <v>11756-4240</v>
      </c>
      <c r="AB10841" t="s">
        <v>107</v>
      </c>
      <c r="AC10841" t="s">
        <v>79</v>
      </c>
      <c r="AD10841" t="s">
        <v>75</v>
      </c>
      <c r="AE10841" t="s">
        <v>80</v>
      </c>
      <c r="AG10841" t="s">
        <v>81</v>
      </c>
    </row>
    <row r="10842" spans="1:33" x14ac:dyDescent="0.25">
      <c r="A10842" t="str">
        <f>"1194994517"</f>
        <v>1194994517</v>
      </c>
      <c r="B10842" t="str">
        <f>"02106509"</f>
        <v>02106509</v>
      </c>
      <c r="C10842" t="s">
        <v>44073</v>
      </c>
      <c r="D10842" t="s">
        <v>44074</v>
      </c>
      <c r="E10842" t="s">
        <v>44075</v>
      </c>
      <c r="G10842" t="s">
        <v>37120</v>
      </c>
      <c r="H10842" t="s">
        <v>6801</v>
      </c>
      <c r="I10842">
        <v>6136</v>
      </c>
      <c r="J10842" t="s">
        <v>7219</v>
      </c>
      <c r="L10842" t="s">
        <v>102</v>
      </c>
      <c r="M10842" t="s">
        <v>75</v>
      </c>
      <c r="R10842" t="s">
        <v>7274</v>
      </c>
      <c r="W10842" t="s">
        <v>44075</v>
      </c>
      <c r="X10842" t="s">
        <v>44076</v>
      </c>
      <c r="Y10842" t="s">
        <v>44077</v>
      </c>
      <c r="Z10842" t="s">
        <v>77</v>
      </c>
      <c r="AA10842" t="str">
        <f>"11733-2827"</f>
        <v>11733-2827</v>
      </c>
      <c r="AB10842" t="s">
        <v>107</v>
      </c>
      <c r="AC10842" t="s">
        <v>79</v>
      </c>
      <c r="AD10842" t="s">
        <v>75</v>
      </c>
      <c r="AE10842" t="s">
        <v>80</v>
      </c>
      <c r="AG10842" t="s">
        <v>81</v>
      </c>
    </row>
    <row r="10843" spans="1:33" x14ac:dyDescent="0.25">
      <c r="A10843" t="str">
        <f>"1194994723"</f>
        <v>1194994723</v>
      </c>
      <c r="B10843" t="str">
        <f>"00356785"</f>
        <v>00356785</v>
      </c>
      <c r="C10843" t="s">
        <v>44078</v>
      </c>
      <c r="D10843" t="s">
        <v>44079</v>
      </c>
      <c r="E10843" t="s">
        <v>44080</v>
      </c>
      <c r="G10843" t="s">
        <v>37120</v>
      </c>
      <c r="H10843" t="s">
        <v>6801</v>
      </c>
      <c r="I10843">
        <v>6136</v>
      </c>
      <c r="J10843" t="s">
        <v>7219</v>
      </c>
      <c r="L10843" t="s">
        <v>37</v>
      </c>
      <c r="M10843" t="s">
        <v>75</v>
      </c>
      <c r="R10843" t="s">
        <v>7274</v>
      </c>
      <c r="W10843" t="s">
        <v>44080</v>
      </c>
      <c r="X10843" t="s">
        <v>44081</v>
      </c>
      <c r="Y10843" t="s">
        <v>254</v>
      </c>
      <c r="Z10843" t="s">
        <v>77</v>
      </c>
      <c r="AA10843" t="str">
        <f>"11368-3585"</f>
        <v>11368-3585</v>
      </c>
      <c r="AB10843" t="s">
        <v>107</v>
      </c>
      <c r="AC10843" t="s">
        <v>79</v>
      </c>
      <c r="AD10843" t="s">
        <v>75</v>
      </c>
      <c r="AE10843" t="s">
        <v>80</v>
      </c>
      <c r="AG10843" t="s">
        <v>81</v>
      </c>
    </row>
    <row r="10844" spans="1:33" x14ac:dyDescent="0.25">
      <c r="A10844" t="str">
        <f>"1205006442"</f>
        <v>1205006442</v>
      </c>
      <c r="B10844" t="str">
        <f>"01548392"</f>
        <v>01548392</v>
      </c>
      <c r="C10844" t="s">
        <v>44082</v>
      </c>
      <c r="D10844" t="s">
        <v>44083</v>
      </c>
      <c r="E10844" t="s">
        <v>44084</v>
      </c>
      <c r="G10844" t="s">
        <v>37120</v>
      </c>
      <c r="H10844" t="s">
        <v>6801</v>
      </c>
      <c r="I10844">
        <v>6136</v>
      </c>
      <c r="J10844" t="s">
        <v>7219</v>
      </c>
      <c r="L10844" t="s">
        <v>37</v>
      </c>
      <c r="M10844" t="s">
        <v>75</v>
      </c>
      <c r="R10844" t="s">
        <v>7274</v>
      </c>
      <c r="W10844" t="s">
        <v>44084</v>
      </c>
      <c r="X10844" t="s">
        <v>44085</v>
      </c>
      <c r="Y10844" t="s">
        <v>97</v>
      </c>
      <c r="Z10844" t="s">
        <v>77</v>
      </c>
      <c r="AA10844" t="str">
        <f>"10016-3760"</f>
        <v>10016-3760</v>
      </c>
      <c r="AB10844" t="s">
        <v>107</v>
      </c>
      <c r="AC10844" t="s">
        <v>79</v>
      </c>
      <c r="AD10844" t="s">
        <v>75</v>
      </c>
      <c r="AE10844" t="s">
        <v>80</v>
      </c>
      <c r="AG10844" t="s">
        <v>81</v>
      </c>
    </row>
    <row r="10845" spans="1:33" x14ac:dyDescent="0.25">
      <c r="A10845" t="str">
        <f>"1235308644"</f>
        <v>1235308644</v>
      </c>
      <c r="B10845" t="str">
        <f>"01853896"</f>
        <v>01853896</v>
      </c>
      <c r="C10845" t="s">
        <v>44086</v>
      </c>
      <c r="D10845" t="s">
        <v>44087</v>
      </c>
      <c r="E10845" t="s">
        <v>44088</v>
      </c>
      <c r="G10845" t="s">
        <v>37120</v>
      </c>
      <c r="H10845" t="s">
        <v>6801</v>
      </c>
      <c r="I10845">
        <v>6136</v>
      </c>
      <c r="J10845" t="s">
        <v>7219</v>
      </c>
      <c r="L10845" t="s">
        <v>37</v>
      </c>
      <c r="M10845" t="s">
        <v>75</v>
      </c>
      <c r="R10845" t="s">
        <v>7274</v>
      </c>
      <c r="W10845" t="s">
        <v>44088</v>
      </c>
      <c r="X10845" t="s">
        <v>44089</v>
      </c>
      <c r="Y10845" t="s">
        <v>139</v>
      </c>
      <c r="Z10845" t="s">
        <v>77</v>
      </c>
      <c r="AA10845" t="str">
        <f>"11367-3249"</f>
        <v>11367-3249</v>
      </c>
      <c r="AB10845" t="s">
        <v>107</v>
      </c>
      <c r="AC10845" t="s">
        <v>79</v>
      </c>
      <c r="AD10845" t="s">
        <v>75</v>
      </c>
      <c r="AE10845" t="s">
        <v>80</v>
      </c>
      <c r="AG10845" t="s">
        <v>81</v>
      </c>
    </row>
    <row r="10846" spans="1:33" x14ac:dyDescent="0.25">
      <c r="A10846" t="str">
        <f>"1265601801"</f>
        <v>1265601801</v>
      </c>
      <c r="B10846" t="str">
        <f>"00357213"</f>
        <v>00357213</v>
      </c>
      <c r="C10846" t="s">
        <v>44090</v>
      </c>
      <c r="D10846" t="s">
        <v>44091</v>
      </c>
      <c r="E10846" t="s">
        <v>44092</v>
      </c>
      <c r="G10846" t="s">
        <v>37120</v>
      </c>
      <c r="H10846" t="s">
        <v>6801</v>
      </c>
      <c r="I10846">
        <v>6136</v>
      </c>
      <c r="J10846" t="s">
        <v>7219</v>
      </c>
      <c r="L10846" t="s">
        <v>37</v>
      </c>
      <c r="M10846" t="s">
        <v>75</v>
      </c>
      <c r="R10846" t="s">
        <v>7274</v>
      </c>
      <c r="W10846" t="s">
        <v>44092</v>
      </c>
      <c r="X10846" t="s">
        <v>44093</v>
      </c>
      <c r="Y10846" t="s">
        <v>131</v>
      </c>
      <c r="Z10846" t="s">
        <v>77</v>
      </c>
      <c r="AA10846" t="str">
        <f>"10467-4603"</f>
        <v>10467-4603</v>
      </c>
      <c r="AB10846" t="s">
        <v>107</v>
      </c>
      <c r="AC10846" t="s">
        <v>79</v>
      </c>
      <c r="AD10846" t="s">
        <v>75</v>
      </c>
      <c r="AE10846" t="s">
        <v>80</v>
      </c>
      <c r="AG10846" t="s">
        <v>81</v>
      </c>
    </row>
    <row r="10847" spans="1:33" x14ac:dyDescent="0.25">
      <c r="A10847" t="str">
        <f>"1447429931"</f>
        <v>1447429931</v>
      </c>
      <c r="B10847" t="str">
        <f>"00577702"</f>
        <v>00577702</v>
      </c>
      <c r="C10847" t="s">
        <v>44094</v>
      </c>
      <c r="D10847" t="s">
        <v>44095</v>
      </c>
      <c r="E10847" t="s">
        <v>44096</v>
      </c>
      <c r="G10847" t="s">
        <v>37120</v>
      </c>
      <c r="H10847" t="s">
        <v>6801</v>
      </c>
      <c r="I10847">
        <v>6136</v>
      </c>
      <c r="J10847" t="s">
        <v>7219</v>
      </c>
      <c r="L10847" t="s">
        <v>37</v>
      </c>
      <c r="M10847" t="s">
        <v>75</v>
      </c>
      <c r="R10847" t="s">
        <v>7274</v>
      </c>
      <c r="W10847" t="s">
        <v>44096</v>
      </c>
      <c r="X10847" t="s">
        <v>44097</v>
      </c>
      <c r="Y10847" t="s">
        <v>864</v>
      </c>
      <c r="Z10847" t="s">
        <v>77</v>
      </c>
      <c r="AA10847" t="str">
        <f>"10543-2831"</f>
        <v>10543-2831</v>
      </c>
      <c r="AB10847" t="s">
        <v>107</v>
      </c>
      <c r="AC10847" t="s">
        <v>79</v>
      </c>
      <c r="AD10847" t="s">
        <v>75</v>
      </c>
      <c r="AE10847" t="s">
        <v>80</v>
      </c>
      <c r="AG10847" t="s">
        <v>81</v>
      </c>
    </row>
    <row r="10848" spans="1:33" x14ac:dyDescent="0.25">
      <c r="A10848" t="str">
        <f>"1467621912"</f>
        <v>1467621912</v>
      </c>
      <c r="B10848" t="str">
        <f>"00518772"</f>
        <v>00518772</v>
      </c>
      <c r="C10848" t="s">
        <v>44098</v>
      </c>
      <c r="D10848" t="s">
        <v>44099</v>
      </c>
      <c r="E10848" t="s">
        <v>44100</v>
      </c>
      <c r="G10848" t="s">
        <v>37120</v>
      </c>
      <c r="H10848" t="s">
        <v>6801</v>
      </c>
      <c r="I10848">
        <v>6136</v>
      </c>
      <c r="J10848" t="s">
        <v>7219</v>
      </c>
      <c r="L10848" t="s">
        <v>37</v>
      </c>
      <c r="M10848" t="s">
        <v>75</v>
      </c>
      <c r="R10848" t="s">
        <v>7274</v>
      </c>
      <c r="W10848" t="s">
        <v>44100</v>
      </c>
      <c r="X10848" t="s">
        <v>44101</v>
      </c>
      <c r="Y10848" t="s">
        <v>180</v>
      </c>
      <c r="Z10848" t="s">
        <v>77</v>
      </c>
      <c r="AA10848" t="str">
        <f>"10705-1426"</f>
        <v>10705-1426</v>
      </c>
      <c r="AB10848" t="s">
        <v>107</v>
      </c>
      <c r="AC10848" t="s">
        <v>79</v>
      </c>
      <c r="AD10848" t="s">
        <v>75</v>
      </c>
      <c r="AE10848" t="s">
        <v>80</v>
      </c>
      <c r="AG10848" t="s">
        <v>81</v>
      </c>
    </row>
    <row r="10849" spans="1:33" x14ac:dyDescent="0.25">
      <c r="C10849" t="s">
        <v>44102</v>
      </c>
      <c r="G10849" t="s">
        <v>44103</v>
      </c>
      <c r="H10849" t="s">
        <v>6801</v>
      </c>
      <c r="I10849">
        <v>6136</v>
      </c>
      <c r="J10849" t="s">
        <v>7219</v>
      </c>
      <c r="K10849" t="s">
        <v>99</v>
      </c>
      <c r="L10849" t="s">
        <v>100</v>
      </c>
      <c r="M10849" t="s">
        <v>75</v>
      </c>
      <c r="N10849" t="s">
        <v>44104</v>
      </c>
      <c r="O10849" t="s">
        <v>13249</v>
      </c>
      <c r="P10849" t="s">
        <v>77</v>
      </c>
      <c r="Q10849" t="str">
        <f>"11361"</f>
        <v>11361</v>
      </c>
      <c r="AC10849" t="s">
        <v>79</v>
      </c>
      <c r="AD10849" t="s">
        <v>75</v>
      </c>
      <c r="AE10849" t="s">
        <v>101</v>
      </c>
      <c r="AG10849" t="s">
        <v>81</v>
      </c>
    </row>
    <row r="10850" spans="1:33" x14ac:dyDescent="0.25">
      <c r="A10850" t="str">
        <f>"1649449141"</f>
        <v>1649449141</v>
      </c>
      <c r="B10850" t="str">
        <f>"00825338"</f>
        <v>00825338</v>
      </c>
      <c r="C10850" t="s">
        <v>44105</v>
      </c>
      <c r="D10850" t="s">
        <v>44106</v>
      </c>
      <c r="E10850" t="s">
        <v>44107</v>
      </c>
      <c r="G10850" t="s">
        <v>37120</v>
      </c>
      <c r="H10850" t="s">
        <v>6801</v>
      </c>
      <c r="I10850">
        <v>6136</v>
      </c>
      <c r="J10850" t="s">
        <v>7219</v>
      </c>
      <c r="L10850" t="s">
        <v>37</v>
      </c>
      <c r="M10850" t="s">
        <v>75</v>
      </c>
      <c r="R10850" t="s">
        <v>7274</v>
      </c>
      <c r="W10850" t="s">
        <v>44107</v>
      </c>
      <c r="X10850" t="s">
        <v>44108</v>
      </c>
      <c r="Y10850" t="s">
        <v>180</v>
      </c>
      <c r="Z10850" t="s">
        <v>77</v>
      </c>
      <c r="AA10850" t="str">
        <f>"10710-1303"</f>
        <v>10710-1303</v>
      </c>
      <c r="AB10850" t="s">
        <v>107</v>
      </c>
      <c r="AC10850" t="s">
        <v>79</v>
      </c>
      <c r="AD10850" t="s">
        <v>75</v>
      </c>
      <c r="AE10850" t="s">
        <v>80</v>
      </c>
      <c r="AG10850" t="s">
        <v>81</v>
      </c>
    </row>
    <row r="10851" spans="1:33" x14ac:dyDescent="0.25">
      <c r="A10851" t="str">
        <f>"1811166457"</f>
        <v>1811166457</v>
      </c>
      <c r="B10851" t="str">
        <f>"00356890"</f>
        <v>00356890</v>
      </c>
      <c r="C10851" t="s">
        <v>44109</v>
      </c>
      <c r="D10851" t="s">
        <v>44110</v>
      </c>
      <c r="E10851" t="s">
        <v>44111</v>
      </c>
      <c r="G10851" t="s">
        <v>37120</v>
      </c>
      <c r="H10851" t="s">
        <v>6801</v>
      </c>
      <c r="I10851">
        <v>6136</v>
      </c>
      <c r="J10851" t="s">
        <v>7219</v>
      </c>
      <c r="L10851" t="s">
        <v>37</v>
      </c>
      <c r="M10851" t="s">
        <v>75</v>
      </c>
      <c r="R10851" t="s">
        <v>7274</v>
      </c>
      <c r="W10851" t="s">
        <v>44111</v>
      </c>
      <c r="X10851" t="s">
        <v>44112</v>
      </c>
      <c r="Y10851" t="s">
        <v>87</v>
      </c>
      <c r="Z10851" t="s">
        <v>77</v>
      </c>
      <c r="AA10851" t="str">
        <f>"11223-2148"</f>
        <v>11223-2148</v>
      </c>
      <c r="AB10851" t="s">
        <v>107</v>
      </c>
      <c r="AC10851" t="s">
        <v>79</v>
      </c>
      <c r="AD10851" t="s">
        <v>75</v>
      </c>
      <c r="AE10851" t="s">
        <v>80</v>
      </c>
      <c r="AG10851" t="s">
        <v>81</v>
      </c>
    </row>
    <row r="10852" spans="1:33" x14ac:dyDescent="0.25">
      <c r="C10852" t="s">
        <v>42465</v>
      </c>
      <c r="G10852" t="s">
        <v>37120</v>
      </c>
      <c r="H10852" t="s">
        <v>6801</v>
      </c>
      <c r="I10852">
        <v>6136</v>
      </c>
      <c r="J10852" t="s">
        <v>7219</v>
      </c>
      <c r="K10852" t="s">
        <v>99</v>
      </c>
      <c r="L10852" t="s">
        <v>100</v>
      </c>
      <c r="M10852" t="s">
        <v>75</v>
      </c>
      <c r="AC10852" t="s">
        <v>79</v>
      </c>
      <c r="AD10852" t="s">
        <v>75</v>
      </c>
      <c r="AE10852" t="s">
        <v>101</v>
      </c>
      <c r="AG10852" t="s">
        <v>81</v>
      </c>
    </row>
    <row r="10853" spans="1:33" x14ac:dyDescent="0.25">
      <c r="C10853" t="s">
        <v>42468</v>
      </c>
      <c r="G10853" t="s">
        <v>37120</v>
      </c>
      <c r="H10853" t="s">
        <v>6801</v>
      </c>
      <c r="I10853">
        <v>6136</v>
      </c>
      <c r="J10853" t="s">
        <v>7219</v>
      </c>
      <c r="K10853" t="s">
        <v>99</v>
      </c>
      <c r="L10853" t="s">
        <v>100</v>
      </c>
      <c r="M10853" t="s">
        <v>75</v>
      </c>
      <c r="AC10853" t="s">
        <v>79</v>
      </c>
      <c r="AD10853" t="s">
        <v>75</v>
      </c>
      <c r="AE10853" t="s">
        <v>101</v>
      </c>
      <c r="AG10853" t="s">
        <v>81</v>
      </c>
    </row>
    <row r="10854" spans="1:33" x14ac:dyDescent="0.25">
      <c r="C10854" t="s">
        <v>44113</v>
      </c>
      <c r="G10854" t="s">
        <v>44113</v>
      </c>
      <c r="H10854" t="s">
        <v>41746</v>
      </c>
      <c r="J10854" t="s">
        <v>41747</v>
      </c>
      <c r="K10854" t="s">
        <v>99</v>
      </c>
      <c r="L10854" t="s">
        <v>100</v>
      </c>
      <c r="M10854" t="s">
        <v>75</v>
      </c>
      <c r="N10854" t="s">
        <v>44114</v>
      </c>
      <c r="O10854" t="s">
        <v>431</v>
      </c>
      <c r="P10854" t="s">
        <v>167</v>
      </c>
      <c r="Q10854" t="str">
        <f>"11201"</f>
        <v>11201</v>
      </c>
      <c r="AC10854" t="s">
        <v>79</v>
      </c>
      <c r="AD10854" t="s">
        <v>75</v>
      </c>
      <c r="AE10854" t="s">
        <v>101</v>
      </c>
      <c r="AG10854" t="s">
        <v>81</v>
      </c>
    </row>
    <row r="10855" spans="1:33" x14ac:dyDescent="0.25">
      <c r="A10855" t="str">
        <f>"1841201282"</f>
        <v>1841201282</v>
      </c>
      <c r="B10855" t="str">
        <f>"02879927"</f>
        <v>02879927</v>
      </c>
      <c r="C10855" t="s">
        <v>44115</v>
      </c>
      <c r="D10855" t="s">
        <v>44116</v>
      </c>
      <c r="E10855" t="s">
        <v>44117</v>
      </c>
      <c r="G10855" t="s">
        <v>44115</v>
      </c>
      <c r="L10855" t="s">
        <v>84</v>
      </c>
      <c r="M10855" t="s">
        <v>75</v>
      </c>
      <c r="R10855" t="s">
        <v>44118</v>
      </c>
      <c r="W10855" t="s">
        <v>44119</v>
      </c>
      <c r="X10855" t="s">
        <v>14240</v>
      </c>
      <c r="Y10855" t="s">
        <v>231</v>
      </c>
      <c r="Z10855" t="s">
        <v>77</v>
      </c>
      <c r="AA10855" t="str">
        <f>"11779-2324"</f>
        <v>11779-2324</v>
      </c>
      <c r="AB10855" t="s">
        <v>78</v>
      </c>
      <c r="AC10855" t="s">
        <v>79</v>
      </c>
      <c r="AD10855" t="s">
        <v>75</v>
      </c>
      <c r="AE10855" t="s">
        <v>80</v>
      </c>
      <c r="AG10855" t="s">
        <v>81</v>
      </c>
    </row>
    <row r="10856" spans="1:33" x14ac:dyDescent="0.25">
      <c r="A10856" t="str">
        <f>"1841225273"</f>
        <v>1841225273</v>
      </c>
      <c r="B10856" t="str">
        <f>"01863010"</f>
        <v>01863010</v>
      </c>
      <c r="C10856" t="s">
        <v>44120</v>
      </c>
      <c r="D10856" t="s">
        <v>44121</v>
      </c>
      <c r="E10856" t="s">
        <v>44122</v>
      </c>
      <c r="G10856" t="s">
        <v>44120</v>
      </c>
      <c r="L10856" t="s">
        <v>83</v>
      </c>
      <c r="M10856" t="s">
        <v>75</v>
      </c>
      <c r="R10856" t="s">
        <v>44123</v>
      </c>
      <c r="W10856" t="s">
        <v>44122</v>
      </c>
      <c r="X10856" t="s">
        <v>86</v>
      </c>
      <c r="Y10856" t="s">
        <v>87</v>
      </c>
      <c r="Z10856" t="s">
        <v>77</v>
      </c>
      <c r="AA10856" t="str">
        <f>"11220-2559"</f>
        <v>11220-2559</v>
      </c>
      <c r="AB10856" t="s">
        <v>78</v>
      </c>
      <c r="AC10856" t="s">
        <v>79</v>
      </c>
      <c r="AD10856" t="s">
        <v>75</v>
      </c>
      <c r="AE10856" t="s">
        <v>80</v>
      </c>
      <c r="AG10856" t="s">
        <v>81</v>
      </c>
    </row>
    <row r="10857" spans="1:33" x14ac:dyDescent="0.25">
      <c r="A10857" t="str">
        <f>"1841228095"</f>
        <v>1841228095</v>
      </c>
      <c r="B10857" t="str">
        <f>"02333228"</f>
        <v>02333228</v>
      </c>
      <c r="C10857" t="s">
        <v>44124</v>
      </c>
      <c r="D10857" t="s">
        <v>44125</v>
      </c>
      <c r="E10857" t="s">
        <v>44126</v>
      </c>
      <c r="G10857" t="s">
        <v>44124</v>
      </c>
      <c r="L10857" t="s">
        <v>84</v>
      </c>
      <c r="M10857" t="s">
        <v>75</v>
      </c>
      <c r="R10857" t="s">
        <v>44127</v>
      </c>
      <c r="W10857" t="s">
        <v>44126</v>
      </c>
      <c r="X10857" t="s">
        <v>2464</v>
      </c>
      <c r="Y10857" t="s">
        <v>2465</v>
      </c>
      <c r="Z10857" t="s">
        <v>77</v>
      </c>
      <c r="AA10857" t="str">
        <f>"11797-1200"</f>
        <v>11797-1200</v>
      </c>
      <c r="AB10857" t="s">
        <v>78</v>
      </c>
      <c r="AC10857" t="s">
        <v>79</v>
      </c>
      <c r="AD10857" t="s">
        <v>75</v>
      </c>
      <c r="AE10857" t="s">
        <v>80</v>
      </c>
      <c r="AG10857" t="s">
        <v>81</v>
      </c>
    </row>
    <row r="10858" spans="1:33" x14ac:dyDescent="0.25">
      <c r="A10858" t="str">
        <f>"1841592391"</f>
        <v>1841592391</v>
      </c>
      <c r="B10858" t="str">
        <f>"03393102"</f>
        <v>03393102</v>
      </c>
      <c r="C10858" t="s">
        <v>44128</v>
      </c>
      <c r="D10858" t="s">
        <v>44129</v>
      </c>
      <c r="E10858" t="s">
        <v>44130</v>
      </c>
      <c r="G10858" t="s">
        <v>44128</v>
      </c>
      <c r="L10858" t="s">
        <v>83</v>
      </c>
      <c r="M10858" t="s">
        <v>75</v>
      </c>
      <c r="R10858" t="s">
        <v>44130</v>
      </c>
      <c r="W10858" t="s">
        <v>44131</v>
      </c>
      <c r="X10858" t="s">
        <v>2779</v>
      </c>
      <c r="Y10858" t="s">
        <v>87</v>
      </c>
      <c r="Z10858" t="s">
        <v>77</v>
      </c>
      <c r="AA10858" t="str">
        <f>"11217-1702"</f>
        <v>11217-1702</v>
      </c>
      <c r="AB10858" t="s">
        <v>78</v>
      </c>
      <c r="AC10858" t="s">
        <v>79</v>
      </c>
      <c r="AD10858" t="s">
        <v>75</v>
      </c>
      <c r="AE10858" t="s">
        <v>80</v>
      </c>
      <c r="AG10858" t="s">
        <v>81</v>
      </c>
    </row>
    <row r="10859" spans="1:33" x14ac:dyDescent="0.25">
      <c r="A10859" t="str">
        <f>"1861434995"</f>
        <v>1861434995</v>
      </c>
      <c r="B10859" t="str">
        <f>"01920350"</f>
        <v>01920350</v>
      </c>
      <c r="C10859" t="s">
        <v>44132</v>
      </c>
      <c r="D10859" t="s">
        <v>44133</v>
      </c>
      <c r="E10859" t="s">
        <v>44134</v>
      </c>
      <c r="G10859" t="s">
        <v>44132</v>
      </c>
      <c r="L10859" t="s">
        <v>84</v>
      </c>
      <c r="M10859" t="s">
        <v>75</v>
      </c>
      <c r="R10859" t="s">
        <v>44135</v>
      </c>
      <c r="W10859" t="s">
        <v>44134</v>
      </c>
      <c r="X10859" t="s">
        <v>29116</v>
      </c>
      <c r="Y10859" t="s">
        <v>87</v>
      </c>
      <c r="Z10859" t="s">
        <v>77</v>
      </c>
      <c r="AA10859" t="str">
        <f>"11208-5132"</f>
        <v>11208-5132</v>
      </c>
      <c r="AB10859" t="s">
        <v>78</v>
      </c>
      <c r="AC10859" t="s">
        <v>79</v>
      </c>
      <c r="AD10859" t="s">
        <v>75</v>
      </c>
      <c r="AE10859" t="s">
        <v>80</v>
      </c>
      <c r="AG10859" t="s">
        <v>81</v>
      </c>
    </row>
    <row r="10860" spans="1:33" x14ac:dyDescent="0.25">
      <c r="A10860" t="str">
        <f>"1861606170"</f>
        <v>1861606170</v>
      </c>
      <c r="B10860" t="str">
        <f>"03855887"</f>
        <v>03855887</v>
      </c>
      <c r="C10860" t="s">
        <v>44136</v>
      </c>
      <c r="D10860" t="s">
        <v>44137</v>
      </c>
      <c r="E10860" t="s">
        <v>44138</v>
      </c>
      <c r="G10860" t="s">
        <v>44136</v>
      </c>
      <c r="L10860" t="s">
        <v>94</v>
      </c>
      <c r="M10860" t="s">
        <v>75</v>
      </c>
      <c r="R10860" t="s">
        <v>44139</v>
      </c>
      <c r="W10860" t="s">
        <v>44138</v>
      </c>
      <c r="X10860" t="s">
        <v>22254</v>
      </c>
      <c r="Y10860" t="s">
        <v>97</v>
      </c>
      <c r="Z10860" t="s">
        <v>77</v>
      </c>
      <c r="AA10860" t="str">
        <f>"10033-2411"</f>
        <v>10033-2411</v>
      </c>
      <c r="AB10860" t="s">
        <v>78</v>
      </c>
      <c r="AC10860" t="s">
        <v>79</v>
      </c>
      <c r="AD10860" t="s">
        <v>75</v>
      </c>
      <c r="AE10860" t="s">
        <v>80</v>
      </c>
      <c r="AG10860" t="s">
        <v>81</v>
      </c>
    </row>
    <row r="10861" spans="1:33" x14ac:dyDescent="0.25">
      <c r="A10861" t="str">
        <f>"1871501312"</f>
        <v>1871501312</v>
      </c>
      <c r="B10861" t="str">
        <f>"01723046"</f>
        <v>01723046</v>
      </c>
      <c r="C10861" t="s">
        <v>44140</v>
      </c>
      <c r="D10861" t="s">
        <v>44141</v>
      </c>
      <c r="E10861" t="s">
        <v>44142</v>
      </c>
      <c r="G10861" t="s">
        <v>44140</v>
      </c>
      <c r="L10861" t="s">
        <v>84</v>
      </c>
      <c r="M10861" t="s">
        <v>75</v>
      </c>
      <c r="R10861" t="s">
        <v>44143</v>
      </c>
      <c r="W10861" t="s">
        <v>44142</v>
      </c>
      <c r="X10861" t="s">
        <v>15526</v>
      </c>
      <c r="Y10861" t="s">
        <v>87</v>
      </c>
      <c r="Z10861" t="s">
        <v>77</v>
      </c>
      <c r="AA10861" t="str">
        <f>"11218-2710"</f>
        <v>11218-2710</v>
      </c>
      <c r="AB10861" t="s">
        <v>78</v>
      </c>
      <c r="AC10861" t="s">
        <v>79</v>
      </c>
      <c r="AD10861" t="s">
        <v>75</v>
      </c>
      <c r="AE10861" t="s">
        <v>80</v>
      </c>
      <c r="AG10861" t="s">
        <v>81</v>
      </c>
    </row>
    <row r="10862" spans="1:33" x14ac:dyDescent="0.25">
      <c r="A10862" t="str">
        <f>"1871503003"</f>
        <v>1871503003</v>
      </c>
      <c r="B10862" t="str">
        <f>"02278302"</f>
        <v>02278302</v>
      </c>
      <c r="C10862" t="s">
        <v>44144</v>
      </c>
      <c r="D10862" t="s">
        <v>44145</v>
      </c>
      <c r="E10862" t="s">
        <v>44146</v>
      </c>
      <c r="G10862" t="s">
        <v>44144</v>
      </c>
      <c r="L10862" t="s">
        <v>83</v>
      </c>
      <c r="M10862" t="s">
        <v>85</v>
      </c>
      <c r="R10862" t="s">
        <v>44147</v>
      </c>
      <c r="W10862" t="s">
        <v>44146</v>
      </c>
      <c r="X10862" t="s">
        <v>173</v>
      </c>
      <c r="Y10862" t="s">
        <v>87</v>
      </c>
      <c r="Z10862" t="s">
        <v>77</v>
      </c>
      <c r="AA10862" t="str">
        <f>"11219-2916"</f>
        <v>11219-2916</v>
      </c>
      <c r="AB10862" t="s">
        <v>78</v>
      </c>
      <c r="AC10862" t="s">
        <v>79</v>
      </c>
      <c r="AD10862" t="s">
        <v>75</v>
      </c>
      <c r="AE10862" t="s">
        <v>80</v>
      </c>
      <c r="AG10862" t="s">
        <v>81</v>
      </c>
    </row>
    <row r="10863" spans="1:33" x14ac:dyDescent="0.25">
      <c r="A10863" t="str">
        <f>"1871509695"</f>
        <v>1871509695</v>
      </c>
      <c r="B10863" t="str">
        <f>"02781799"</f>
        <v>02781799</v>
      </c>
      <c r="C10863" t="s">
        <v>44148</v>
      </c>
      <c r="D10863" t="s">
        <v>44149</v>
      </c>
      <c r="E10863" t="s">
        <v>44150</v>
      </c>
      <c r="G10863" t="s">
        <v>44148</v>
      </c>
      <c r="L10863" t="s">
        <v>84</v>
      </c>
      <c r="M10863" t="s">
        <v>75</v>
      </c>
      <c r="R10863" t="s">
        <v>44151</v>
      </c>
      <c r="W10863" t="s">
        <v>44150</v>
      </c>
      <c r="X10863" t="s">
        <v>175</v>
      </c>
      <c r="Y10863" t="s">
        <v>87</v>
      </c>
      <c r="Z10863" t="s">
        <v>77</v>
      </c>
      <c r="AA10863" t="str">
        <f>"11235-7745"</f>
        <v>11235-7745</v>
      </c>
      <c r="AB10863" t="s">
        <v>78</v>
      </c>
      <c r="AC10863" t="s">
        <v>79</v>
      </c>
      <c r="AD10863" t="s">
        <v>75</v>
      </c>
      <c r="AE10863" t="s">
        <v>80</v>
      </c>
      <c r="AG10863" t="s">
        <v>81</v>
      </c>
    </row>
    <row r="10864" spans="1:33" x14ac:dyDescent="0.25">
      <c r="A10864" t="str">
        <f>"1871546812"</f>
        <v>1871546812</v>
      </c>
      <c r="B10864" t="str">
        <f>"01352854"</f>
        <v>01352854</v>
      </c>
      <c r="C10864" t="s">
        <v>44152</v>
      </c>
      <c r="D10864" t="s">
        <v>44153</v>
      </c>
      <c r="E10864" t="s">
        <v>44154</v>
      </c>
      <c r="G10864" t="s">
        <v>44152</v>
      </c>
      <c r="L10864" t="s">
        <v>84</v>
      </c>
      <c r="M10864" t="s">
        <v>85</v>
      </c>
      <c r="R10864" t="s">
        <v>44155</v>
      </c>
      <c r="W10864" t="s">
        <v>44154</v>
      </c>
      <c r="X10864" t="s">
        <v>14240</v>
      </c>
      <c r="Y10864" t="s">
        <v>231</v>
      </c>
      <c r="Z10864" t="s">
        <v>77</v>
      </c>
      <c r="AA10864" t="str">
        <f>"11779-2324"</f>
        <v>11779-2324</v>
      </c>
      <c r="AB10864" t="s">
        <v>78</v>
      </c>
      <c r="AC10864" t="s">
        <v>79</v>
      </c>
      <c r="AD10864" t="s">
        <v>75</v>
      </c>
      <c r="AE10864" t="s">
        <v>80</v>
      </c>
      <c r="AG10864" t="s">
        <v>81</v>
      </c>
    </row>
    <row r="10865" spans="1:33" x14ac:dyDescent="0.25">
      <c r="A10865" t="str">
        <f>"1871606442"</f>
        <v>1871606442</v>
      </c>
      <c r="B10865" t="str">
        <f>"02366750"</f>
        <v>02366750</v>
      </c>
      <c r="C10865" t="s">
        <v>44156</v>
      </c>
      <c r="D10865" t="s">
        <v>44157</v>
      </c>
      <c r="E10865" t="s">
        <v>44158</v>
      </c>
      <c r="G10865" t="s">
        <v>44156</v>
      </c>
      <c r="L10865" t="s">
        <v>84</v>
      </c>
      <c r="M10865" t="s">
        <v>75</v>
      </c>
      <c r="R10865" t="s">
        <v>44159</v>
      </c>
      <c r="W10865" t="s">
        <v>44158</v>
      </c>
      <c r="X10865" t="s">
        <v>44160</v>
      </c>
      <c r="Y10865" t="s">
        <v>434</v>
      </c>
      <c r="Z10865" t="s">
        <v>77</v>
      </c>
      <c r="AA10865" t="str">
        <f>"11422-2409"</f>
        <v>11422-2409</v>
      </c>
      <c r="AB10865" t="s">
        <v>78</v>
      </c>
      <c r="AC10865" t="s">
        <v>79</v>
      </c>
      <c r="AD10865" t="s">
        <v>75</v>
      </c>
      <c r="AE10865" t="s">
        <v>80</v>
      </c>
      <c r="AG10865" t="s">
        <v>81</v>
      </c>
    </row>
    <row r="10866" spans="1:33" x14ac:dyDescent="0.25">
      <c r="A10866" t="str">
        <f>"1871743971"</f>
        <v>1871743971</v>
      </c>
      <c r="B10866" t="str">
        <f>"03130687"</f>
        <v>03130687</v>
      </c>
      <c r="C10866" t="s">
        <v>44161</v>
      </c>
      <c r="D10866" t="s">
        <v>44162</v>
      </c>
      <c r="E10866" t="s">
        <v>44163</v>
      </c>
      <c r="G10866" t="s">
        <v>44161</v>
      </c>
      <c r="L10866" t="s">
        <v>74</v>
      </c>
      <c r="M10866" t="s">
        <v>75</v>
      </c>
      <c r="R10866" t="s">
        <v>44164</v>
      </c>
      <c r="W10866" t="s">
        <v>44165</v>
      </c>
      <c r="X10866" t="s">
        <v>8978</v>
      </c>
      <c r="Y10866" t="s">
        <v>155</v>
      </c>
      <c r="Z10866" t="s">
        <v>77</v>
      </c>
      <c r="AA10866" t="str">
        <f>"10301-3627"</f>
        <v>10301-3627</v>
      </c>
      <c r="AB10866" t="s">
        <v>78</v>
      </c>
      <c r="AC10866" t="s">
        <v>79</v>
      </c>
      <c r="AD10866" t="s">
        <v>75</v>
      </c>
      <c r="AE10866" t="s">
        <v>80</v>
      </c>
      <c r="AG10866" t="s">
        <v>81</v>
      </c>
    </row>
    <row r="10867" spans="1:33" x14ac:dyDescent="0.25">
      <c r="A10867" t="str">
        <f>"1871770057"</f>
        <v>1871770057</v>
      </c>
      <c r="B10867" t="str">
        <f>"03096513"</f>
        <v>03096513</v>
      </c>
      <c r="C10867" t="s">
        <v>44166</v>
      </c>
      <c r="D10867" t="s">
        <v>44167</v>
      </c>
      <c r="E10867" t="s">
        <v>44168</v>
      </c>
      <c r="G10867" t="s">
        <v>44166</v>
      </c>
      <c r="L10867" t="s">
        <v>83</v>
      </c>
      <c r="M10867" t="s">
        <v>75</v>
      </c>
      <c r="R10867" t="s">
        <v>44169</v>
      </c>
      <c r="W10867" t="s">
        <v>44170</v>
      </c>
      <c r="X10867" t="s">
        <v>173</v>
      </c>
      <c r="Y10867" t="s">
        <v>87</v>
      </c>
      <c r="Z10867" t="s">
        <v>77</v>
      </c>
      <c r="AA10867" t="str">
        <f>"11219-2916"</f>
        <v>11219-2916</v>
      </c>
      <c r="AB10867" t="s">
        <v>78</v>
      </c>
      <c r="AC10867" t="s">
        <v>79</v>
      </c>
      <c r="AD10867" t="s">
        <v>75</v>
      </c>
      <c r="AE10867" t="s">
        <v>80</v>
      </c>
      <c r="AG10867" t="s">
        <v>81</v>
      </c>
    </row>
    <row r="10868" spans="1:33" x14ac:dyDescent="0.25">
      <c r="A10868" t="str">
        <f>"1881992246"</f>
        <v>1881992246</v>
      </c>
      <c r="B10868" t="str">
        <f>"03343822"</f>
        <v>03343822</v>
      </c>
      <c r="C10868" t="s">
        <v>44171</v>
      </c>
      <c r="D10868" t="s">
        <v>44172</v>
      </c>
      <c r="E10868" t="s">
        <v>44173</v>
      </c>
      <c r="G10868" t="s">
        <v>44171</v>
      </c>
      <c r="L10868" t="s">
        <v>83</v>
      </c>
      <c r="M10868" t="s">
        <v>75</v>
      </c>
      <c r="R10868" t="s">
        <v>44174</v>
      </c>
      <c r="W10868" t="s">
        <v>44175</v>
      </c>
      <c r="X10868" t="s">
        <v>204</v>
      </c>
      <c r="Y10868" t="s">
        <v>97</v>
      </c>
      <c r="Z10868" t="s">
        <v>77</v>
      </c>
      <c r="AA10868" t="str">
        <f>"10065-4885"</f>
        <v>10065-4885</v>
      </c>
      <c r="AB10868" t="s">
        <v>78</v>
      </c>
      <c r="AC10868" t="s">
        <v>79</v>
      </c>
      <c r="AD10868" t="s">
        <v>75</v>
      </c>
      <c r="AE10868" t="s">
        <v>80</v>
      </c>
      <c r="AG10868" t="s">
        <v>81</v>
      </c>
    </row>
    <row r="10869" spans="1:33" x14ac:dyDescent="0.25">
      <c r="A10869" t="str">
        <f>"1881992832"</f>
        <v>1881992832</v>
      </c>
      <c r="B10869" t="str">
        <f>"03338007"</f>
        <v>03338007</v>
      </c>
      <c r="C10869" t="s">
        <v>44176</v>
      </c>
      <c r="D10869" t="s">
        <v>44177</v>
      </c>
      <c r="E10869" t="s">
        <v>44178</v>
      </c>
      <c r="G10869" t="s">
        <v>44176</v>
      </c>
      <c r="L10869" t="s">
        <v>84</v>
      </c>
      <c r="M10869" t="s">
        <v>75</v>
      </c>
      <c r="R10869" t="s">
        <v>44179</v>
      </c>
      <c r="W10869" t="s">
        <v>44178</v>
      </c>
      <c r="X10869" t="s">
        <v>40667</v>
      </c>
      <c r="Y10869" t="s">
        <v>87</v>
      </c>
      <c r="Z10869" t="s">
        <v>77</v>
      </c>
      <c r="AA10869" t="str">
        <f>"11201-3628"</f>
        <v>11201-3628</v>
      </c>
      <c r="AB10869" t="s">
        <v>78</v>
      </c>
      <c r="AC10869" t="s">
        <v>79</v>
      </c>
      <c r="AD10869" t="s">
        <v>75</v>
      </c>
      <c r="AE10869" t="s">
        <v>80</v>
      </c>
      <c r="AG10869" t="s">
        <v>81</v>
      </c>
    </row>
    <row r="10870" spans="1:33" x14ac:dyDescent="0.25">
      <c r="A10870" t="str">
        <f>"1891880365"</f>
        <v>1891880365</v>
      </c>
      <c r="B10870" t="str">
        <f>"02052968"</f>
        <v>02052968</v>
      </c>
      <c r="C10870" t="s">
        <v>44180</v>
      </c>
      <c r="D10870" t="s">
        <v>44181</v>
      </c>
      <c r="E10870" t="s">
        <v>44182</v>
      </c>
      <c r="G10870" t="s">
        <v>44180</v>
      </c>
      <c r="L10870" t="s">
        <v>84</v>
      </c>
      <c r="M10870" t="s">
        <v>75</v>
      </c>
      <c r="R10870" t="s">
        <v>44183</v>
      </c>
      <c r="W10870" t="s">
        <v>44182</v>
      </c>
      <c r="X10870" t="s">
        <v>44184</v>
      </c>
      <c r="Y10870" t="s">
        <v>139</v>
      </c>
      <c r="Z10870" t="s">
        <v>77</v>
      </c>
      <c r="AA10870" t="str">
        <f>"11367-2018"</f>
        <v>11367-2018</v>
      </c>
      <c r="AB10870" t="s">
        <v>78</v>
      </c>
      <c r="AC10870" t="s">
        <v>79</v>
      </c>
      <c r="AD10870" t="s">
        <v>75</v>
      </c>
      <c r="AE10870" t="s">
        <v>80</v>
      </c>
      <c r="AG10870" t="s">
        <v>81</v>
      </c>
    </row>
    <row r="10871" spans="1:33" x14ac:dyDescent="0.25">
      <c r="A10871" t="str">
        <f>"1891892915"</f>
        <v>1891892915</v>
      </c>
      <c r="B10871" t="str">
        <f>"01723317"</f>
        <v>01723317</v>
      </c>
      <c r="C10871" t="s">
        <v>44185</v>
      </c>
      <c r="D10871" t="s">
        <v>44186</v>
      </c>
      <c r="E10871" t="s">
        <v>44187</v>
      </c>
      <c r="G10871" t="s">
        <v>44185</v>
      </c>
      <c r="L10871" t="s">
        <v>84</v>
      </c>
      <c r="M10871" t="s">
        <v>75</v>
      </c>
      <c r="R10871" t="s">
        <v>44188</v>
      </c>
      <c r="W10871" t="s">
        <v>44187</v>
      </c>
      <c r="X10871" t="s">
        <v>31400</v>
      </c>
      <c r="Y10871" t="s">
        <v>97</v>
      </c>
      <c r="Z10871" t="s">
        <v>77</v>
      </c>
      <c r="AA10871" t="str">
        <f>"10128-4077"</f>
        <v>10128-4077</v>
      </c>
      <c r="AB10871" t="s">
        <v>78</v>
      </c>
      <c r="AC10871" t="s">
        <v>79</v>
      </c>
      <c r="AD10871" t="s">
        <v>75</v>
      </c>
      <c r="AE10871" t="s">
        <v>80</v>
      </c>
      <c r="AG10871" t="s">
        <v>81</v>
      </c>
    </row>
    <row r="10872" spans="1:33" x14ac:dyDescent="0.25">
      <c r="A10872" t="str">
        <f>"1730248246"</f>
        <v>1730248246</v>
      </c>
      <c r="B10872" t="str">
        <f>"02276204"</f>
        <v>02276204</v>
      </c>
      <c r="C10872" t="s">
        <v>44189</v>
      </c>
      <c r="D10872" t="s">
        <v>922</v>
      </c>
      <c r="E10872" t="s">
        <v>923</v>
      </c>
      <c r="G10872" t="s">
        <v>44190</v>
      </c>
      <c r="H10872" t="s">
        <v>924</v>
      </c>
      <c r="I10872">
        <v>6128</v>
      </c>
      <c r="J10872" t="s">
        <v>44191</v>
      </c>
      <c r="L10872" t="s">
        <v>106</v>
      </c>
      <c r="M10872" t="s">
        <v>85</v>
      </c>
      <c r="R10872" t="s">
        <v>921</v>
      </c>
      <c r="W10872" t="s">
        <v>925</v>
      </c>
      <c r="X10872" t="s">
        <v>926</v>
      </c>
      <c r="Y10872" t="s">
        <v>236</v>
      </c>
      <c r="Z10872" t="s">
        <v>77</v>
      </c>
      <c r="AA10872" t="str">
        <f>"11102-3544"</f>
        <v>11102-3544</v>
      </c>
      <c r="AB10872" t="s">
        <v>107</v>
      </c>
      <c r="AC10872" t="s">
        <v>79</v>
      </c>
      <c r="AD10872" t="s">
        <v>75</v>
      </c>
      <c r="AE10872" t="s">
        <v>80</v>
      </c>
      <c r="AG10872" t="s">
        <v>81</v>
      </c>
    </row>
    <row r="10873" spans="1:33" x14ac:dyDescent="0.25">
      <c r="A10873" t="str">
        <f>"1265617898"</f>
        <v>1265617898</v>
      </c>
      <c r="B10873" t="str">
        <f>"01303539"</f>
        <v>01303539</v>
      </c>
      <c r="C10873" t="s">
        <v>41867</v>
      </c>
      <c r="D10873" t="s">
        <v>4420</v>
      </c>
      <c r="E10873" t="s">
        <v>4421</v>
      </c>
      <c r="G10873" t="s">
        <v>41868</v>
      </c>
      <c r="H10873" t="s">
        <v>491</v>
      </c>
      <c r="J10873" t="s">
        <v>41869</v>
      </c>
      <c r="L10873" t="s">
        <v>10</v>
      </c>
      <c r="M10873" t="s">
        <v>75</v>
      </c>
      <c r="R10873" t="s">
        <v>4422</v>
      </c>
      <c r="W10873" t="s">
        <v>4421</v>
      </c>
      <c r="X10873" t="s">
        <v>4423</v>
      </c>
      <c r="Y10873" t="s">
        <v>131</v>
      </c>
      <c r="Z10873" t="s">
        <v>77</v>
      </c>
      <c r="AA10873" t="str">
        <f>"10461-3525"</f>
        <v>10461-3525</v>
      </c>
      <c r="AB10873" t="s">
        <v>98</v>
      </c>
      <c r="AC10873" t="s">
        <v>79</v>
      </c>
      <c r="AD10873" t="s">
        <v>75</v>
      </c>
      <c r="AE10873" t="s">
        <v>80</v>
      </c>
      <c r="AG10873" t="s">
        <v>81</v>
      </c>
    </row>
    <row r="10874" spans="1:33" x14ac:dyDescent="0.25">
      <c r="A10874" t="str">
        <f>"1285819813"</f>
        <v>1285819813</v>
      </c>
      <c r="B10874" t="str">
        <f>"01159833"</f>
        <v>01159833</v>
      </c>
      <c r="C10874" t="s">
        <v>41867</v>
      </c>
      <c r="D10874" t="s">
        <v>44192</v>
      </c>
      <c r="E10874" t="s">
        <v>44193</v>
      </c>
      <c r="F10874">
        <v>135564937</v>
      </c>
      <c r="G10874" t="s">
        <v>41868</v>
      </c>
      <c r="H10874" t="s">
        <v>491</v>
      </c>
      <c r="J10874" t="s">
        <v>41869</v>
      </c>
      <c r="L10874" t="s">
        <v>37</v>
      </c>
      <c r="M10874" t="s">
        <v>75</v>
      </c>
      <c r="R10874" t="s">
        <v>488</v>
      </c>
      <c r="W10874" t="s">
        <v>44193</v>
      </c>
      <c r="X10874" t="s">
        <v>44194</v>
      </c>
      <c r="Y10874" t="s">
        <v>87</v>
      </c>
      <c r="Z10874" t="s">
        <v>77</v>
      </c>
      <c r="AA10874" t="str">
        <f>"11219-4403"</f>
        <v>11219-4403</v>
      </c>
      <c r="AB10874" t="s">
        <v>107</v>
      </c>
      <c r="AC10874" t="s">
        <v>79</v>
      </c>
      <c r="AD10874" t="s">
        <v>75</v>
      </c>
      <c r="AE10874" t="s">
        <v>80</v>
      </c>
      <c r="AG10874" t="s">
        <v>81</v>
      </c>
    </row>
    <row r="10875" spans="1:33" x14ac:dyDescent="0.25">
      <c r="A10875" t="str">
        <f>"1821273459"</f>
        <v>1821273459</v>
      </c>
      <c r="B10875" t="str">
        <f>"00782398"</f>
        <v>00782398</v>
      </c>
      <c r="C10875" t="s">
        <v>41867</v>
      </c>
      <c r="D10875" t="s">
        <v>4416</v>
      </c>
      <c r="E10875" t="s">
        <v>4417</v>
      </c>
      <c r="G10875" t="s">
        <v>41868</v>
      </c>
      <c r="H10875" t="s">
        <v>491</v>
      </c>
      <c r="J10875" t="s">
        <v>41869</v>
      </c>
      <c r="L10875" t="s">
        <v>104</v>
      </c>
      <c r="M10875" t="s">
        <v>85</v>
      </c>
      <c r="R10875" t="s">
        <v>4418</v>
      </c>
      <c r="W10875" t="s">
        <v>4417</v>
      </c>
      <c r="X10875" t="s">
        <v>4419</v>
      </c>
      <c r="Y10875" t="s">
        <v>1077</v>
      </c>
      <c r="Z10875" t="s">
        <v>77</v>
      </c>
      <c r="AA10875" t="str">
        <f>"10532-2018"</f>
        <v>10532-2018</v>
      </c>
      <c r="AB10875" t="s">
        <v>93</v>
      </c>
      <c r="AC10875" t="s">
        <v>79</v>
      </c>
      <c r="AD10875" t="s">
        <v>75</v>
      </c>
      <c r="AE10875" t="s">
        <v>80</v>
      </c>
      <c r="AG10875" t="s">
        <v>81</v>
      </c>
    </row>
    <row r="10876" spans="1:33" x14ac:dyDescent="0.25">
      <c r="A10876" t="str">
        <f>"1740520949"</f>
        <v>1740520949</v>
      </c>
      <c r="C10876" t="s">
        <v>2979</v>
      </c>
      <c r="G10876" t="s">
        <v>2980</v>
      </c>
      <c r="H10876" t="s">
        <v>2981</v>
      </c>
      <c r="J10876" t="s">
        <v>2982</v>
      </c>
      <c r="K10876" t="s">
        <v>99</v>
      </c>
      <c r="L10876" t="s">
        <v>102</v>
      </c>
      <c r="M10876" t="s">
        <v>75</v>
      </c>
      <c r="R10876" t="s">
        <v>2983</v>
      </c>
      <c r="S10876" t="s">
        <v>266</v>
      </c>
      <c r="T10876" t="s">
        <v>161</v>
      </c>
      <c r="U10876" t="s">
        <v>77</v>
      </c>
      <c r="V10876" t="str">
        <f>"110401436"</f>
        <v>110401436</v>
      </c>
      <c r="AC10876" t="s">
        <v>79</v>
      </c>
      <c r="AD10876" t="s">
        <v>75</v>
      </c>
      <c r="AE10876" t="s">
        <v>103</v>
      </c>
      <c r="AG10876" t="s">
        <v>81</v>
      </c>
    </row>
    <row r="10877" spans="1:33" x14ac:dyDescent="0.25">
      <c r="A10877" t="str">
        <f>"1427123546"</f>
        <v>1427123546</v>
      </c>
      <c r="B10877" t="str">
        <f>"01171824"</f>
        <v>01171824</v>
      </c>
      <c r="C10877" t="s">
        <v>44195</v>
      </c>
      <c r="D10877" t="s">
        <v>44196</v>
      </c>
      <c r="E10877" t="s">
        <v>44197</v>
      </c>
      <c r="G10877" t="s">
        <v>44198</v>
      </c>
      <c r="H10877" t="s">
        <v>44199</v>
      </c>
      <c r="J10877" t="s">
        <v>44200</v>
      </c>
      <c r="L10877" t="s">
        <v>37</v>
      </c>
      <c r="M10877" t="s">
        <v>85</v>
      </c>
      <c r="R10877" t="s">
        <v>44201</v>
      </c>
      <c r="W10877" t="s">
        <v>44202</v>
      </c>
      <c r="X10877" t="s">
        <v>5016</v>
      </c>
      <c r="Y10877" t="s">
        <v>97</v>
      </c>
      <c r="Z10877" t="s">
        <v>77</v>
      </c>
      <c r="AA10877" t="str">
        <f>"10025-3712"</f>
        <v>10025-3712</v>
      </c>
      <c r="AB10877" t="s">
        <v>107</v>
      </c>
      <c r="AC10877" t="s">
        <v>79</v>
      </c>
      <c r="AD10877" t="s">
        <v>75</v>
      </c>
      <c r="AE10877" t="s">
        <v>80</v>
      </c>
      <c r="AG10877" t="s">
        <v>81</v>
      </c>
    </row>
    <row r="10878" spans="1:33" x14ac:dyDescent="0.25">
      <c r="A10878" t="str">
        <f>"1467526160"</f>
        <v>1467526160</v>
      </c>
      <c r="B10878" t="str">
        <f>"00313942"</f>
        <v>00313942</v>
      </c>
      <c r="C10878" t="s">
        <v>44203</v>
      </c>
      <c r="D10878" t="s">
        <v>44204</v>
      </c>
      <c r="E10878" t="s">
        <v>5098</v>
      </c>
      <c r="G10878" t="s">
        <v>44198</v>
      </c>
      <c r="H10878" t="s">
        <v>44199</v>
      </c>
      <c r="J10878" t="s">
        <v>44200</v>
      </c>
      <c r="L10878" t="s">
        <v>37</v>
      </c>
      <c r="M10878" t="s">
        <v>85</v>
      </c>
      <c r="R10878" t="s">
        <v>44201</v>
      </c>
      <c r="W10878" t="s">
        <v>44205</v>
      </c>
      <c r="X10878" t="s">
        <v>5100</v>
      </c>
      <c r="Y10878" t="s">
        <v>131</v>
      </c>
      <c r="Z10878" t="s">
        <v>77</v>
      </c>
      <c r="AA10878" t="str">
        <f>"10468-3903"</f>
        <v>10468-3903</v>
      </c>
      <c r="AB10878" t="s">
        <v>107</v>
      </c>
      <c r="AC10878" t="s">
        <v>79</v>
      </c>
      <c r="AD10878" t="s">
        <v>75</v>
      </c>
      <c r="AE10878" t="s">
        <v>80</v>
      </c>
      <c r="AG10878" t="s">
        <v>81</v>
      </c>
    </row>
    <row r="10879" spans="1:33" x14ac:dyDescent="0.25">
      <c r="A10879" t="str">
        <f>"1780936948"</f>
        <v>1780936948</v>
      </c>
      <c r="B10879" t="str">
        <f>"03870564"</f>
        <v>03870564</v>
      </c>
      <c r="C10879" t="s">
        <v>5103</v>
      </c>
      <c r="D10879" t="s">
        <v>5104</v>
      </c>
      <c r="E10879" t="s">
        <v>5105</v>
      </c>
      <c r="G10879" t="s">
        <v>44206</v>
      </c>
      <c r="H10879" t="s">
        <v>44207</v>
      </c>
      <c r="J10879" t="s">
        <v>44208</v>
      </c>
      <c r="L10879" t="s">
        <v>37</v>
      </c>
      <c r="M10879" t="s">
        <v>85</v>
      </c>
      <c r="R10879" t="s">
        <v>5106</v>
      </c>
      <c r="W10879" t="s">
        <v>5107</v>
      </c>
      <c r="X10879" t="s">
        <v>5108</v>
      </c>
      <c r="Y10879" t="s">
        <v>97</v>
      </c>
      <c r="Z10879" t="s">
        <v>77</v>
      </c>
      <c r="AA10879" t="str">
        <f>"10001-5310"</f>
        <v>10001-5310</v>
      </c>
      <c r="AB10879" t="s">
        <v>98</v>
      </c>
      <c r="AC10879" t="s">
        <v>79</v>
      </c>
      <c r="AD10879" t="s">
        <v>75</v>
      </c>
      <c r="AE10879" t="s">
        <v>80</v>
      </c>
      <c r="AG10879" t="s">
        <v>81</v>
      </c>
    </row>
    <row r="10880" spans="1:33" x14ac:dyDescent="0.25">
      <c r="A10880" t="str">
        <f>"1780853234"</f>
        <v>1780853234</v>
      </c>
      <c r="B10880" t="str">
        <f>"00518781"</f>
        <v>00518781</v>
      </c>
      <c r="C10880" t="s">
        <v>44209</v>
      </c>
      <c r="D10880" t="s">
        <v>44210</v>
      </c>
      <c r="E10880" t="s">
        <v>44211</v>
      </c>
      <c r="G10880" t="s">
        <v>37120</v>
      </c>
      <c r="H10880" t="s">
        <v>6801</v>
      </c>
      <c r="I10880">
        <v>6136</v>
      </c>
      <c r="J10880" t="s">
        <v>7219</v>
      </c>
      <c r="L10880" t="s">
        <v>37</v>
      </c>
      <c r="M10880" t="s">
        <v>75</v>
      </c>
      <c r="R10880" t="s">
        <v>7274</v>
      </c>
      <c r="W10880" t="s">
        <v>44211</v>
      </c>
      <c r="X10880" t="s">
        <v>44212</v>
      </c>
      <c r="Y10880" t="s">
        <v>316</v>
      </c>
      <c r="Z10880" t="s">
        <v>77</v>
      </c>
      <c r="AA10880" t="str">
        <f>"10804-1416"</f>
        <v>10804-1416</v>
      </c>
      <c r="AB10880" t="s">
        <v>107</v>
      </c>
      <c r="AC10880" t="s">
        <v>79</v>
      </c>
      <c r="AD10880" t="s">
        <v>75</v>
      </c>
      <c r="AE10880" t="s">
        <v>80</v>
      </c>
      <c r="AG10880" t="s">
        <v>81</v>
      </c>
    </row>
    <row r="10881" spans="1:33" x14ac:dyDescent="0.25">
      <c r="A10881" t="str">
        <f>"1811062920"</f>
        <v>1811062920</v>
      </c>
      <c r="B10881" t="str">
        <f>"00316761"</f>
        <v>00316761</v>
      </c>
      <c r="C10881" t="s">
        <v>44213</v>
      </c>
      <c r="D10881" t="s">
        <v>5109</v>
      </c>
      <c r="E10881" t="s">
        <v>5110</v>
      </c>
      <c r="G10881" t="s">
        <v>44214</v>
      </c>
      <c r="H10881" t="s">
        <v>44215</v>
      </c>
      <c r="J10881" t="s">
        <v>44216</v>
      </c>
      <c r="L10881" t="s">
        <v>106</v>
      </c>
      <c r="M10881" t="s">
        <v>85</v>
      </c>
      <c r="R10881" t="s">
        <v>5111</v>
      </c>
      <c r="W10881" t="s">
        <v>5110</v>
      </c>
      <c r="X10881" t="s">
        <v>5016</v>
      </c>
      <c r="Y10881" t="s">
        <v>97</v>
      </c>
      <c r="Z10881" t="s">
        <v>77</v>
      </c>
      <c r="AA10881" t="str">
        <f>"10025-3923"</f>
        <v>10025-3923</v>
      </c>
      <c r="AB10881" t="s">
        <v>107</v>
      </c>
      <c r="AC10881" t="s">
        <v>79</v>
      </c>
      <c r="AD10881" t="s">
        <v>75</v>
      </c>
      <c r="AE10881" t="s">
        <v>80</v>
      </c>
      <c r="AG10881" t="s">
        <v>81</v>
      </c>
    </row>
    <row r="10882" spans="1:33" x14ac:dyDescent="0.25">
      <c r="A10882" t="str">
        <f>"1790119287"</f>
        <v>1790119287</v>
      </c>
      <c r="C10882" t="s">
        <v>4290</v>
      </c>
      <c r="G10882" t="s">
        <v>4291</v>
      </c>
      <c r="H10882" t="s">
        <v>4292</v>
      </c>
      <c r="J10882" t="s">
        <v>4293</v>
      </c>
      <c r="K10882" t="s">
        <v>99</v>
      </c>
      <c r="L10882" t="s">
        <v>102</v>
      </c>
      <c r="M10882" t="s">
        <v>75</v>
      </c>
      <c r="R10882" t="s">
        <v>4294</v>
      </c>
      <c r="S10882" t="s">
        <v>4295</v>
      </c>
      <c r="T10882" t="s">
        <v>227</v>
      </c>
      <c r="U10882" t="s">
        <v>77</v>
      </c>
      <c r="V10882" t="str">
        <f>"106011807"</f>
        <v>106011807</v>
      </c>
      <c r="AC10882" t="s">
        <v>79</v>
      </c>
      <c r="AD10882" t="s">
        <v>75</v>
      </c>
      <c r="AE10882" t="s">
        <v>103</v>
      </c>
      <c r="AG10882" t="s">
        <v>81</v>
      </c>
    </row>
    <row r="10883" spans="1:33" x14ac:dyDescent="0.25">
      <c r="A10883" t="str">
        <f>"1801080478"</f>
        <v>1801080478</v>
      </c>
      <c r="B10883" t="str">
        <f>"02997340"</f>
        <v>02997340</v>
      </c>
      <c r="C10883" t="s">
        <v>687</v>
      </c>
      <c r="D10883" t="s">
        <v>688</v>
      </c>
      <c r="E10883" t="s">
        <v>689</v>
      </c>
      <c r="G10883" t="s">
        <v>690</v>
      </c>
      <c r="H10883" t="s">
        <v>691</v>
      </c>
      <c r="J10883" t="s">
        <v>692</v>
      </c>
      <c r="L10883" t="s">
        <v>10</v>
      </c>
      <c r="M10883" t="s">
        <v>85</v>
      </c>
      <c r="R10883" t="s">
        <v>693</v>
      </c>
      <c r="W10883" t="s">
        <v>694</v>
      </c>
      <c r="X10883" t="s">
        <v>695</v>
      </c>
      <c r="Y10883" t="s">
        <v>131</v>
      </c>
      <c r="Z10883" t="s">
        <v>77</v>
      </c>
      <c r="AA10883" t="str">
        <f>"10455-3908"</f>
        <v>10455-3908</v>
      </c>
      <c r="AB10883" t="s">
        <v>93</v>
      </c>
      <c r="AC10883" t="s">
        <v>79</v>
      </c>
      <c r="AD10883" t="s">
        <v>75</v>
      </c>
      <c r="AE10883" t="s">
        <v>80</v>
      </c>
      <c r="AG10883" t="s">
        <v>81</v>
      </c>
    </row>
    <row r="10884" spans="1:33" x14ac:dyDescent="0.25">
      <c r="A10884" t="str">
        <f>"1790870913"</f>
        <v>1790870913</v>
      </c>
      <c r="B10884" t="str">
        <f>"01340541"</f>
        <v>01340541</v>
      </c>
      <c r="C10884" t="s">
        <v>44217</v>
      </c>
      <c r="D10884" t="s">
        <v>44218</v>
      </c>
      <c r="E10884" t="s">
        <v>44219</v>
      </c>
      <c r="G10884" t="s">
        <v>44220</v>
      </c>
      <c r="H10884" t="s">
        <v>44221</v>
      </c>
      <c r="J10884" t="s">
        <v>44222</v>
      </c>
      <c r="L10884" t="s">
        <v>119</v>
      </c>
      <c r="M10884" t="s">
        <v>85</v>
      </c>
      <c r="R10884" t="s">
        <v>44223</v>
      </c>
      <c r="W10884" t="s">
        <v>44219</v>
      </c>
      <c r="X10884" t="s">
        <v>44224</v>
      </c>
      <c r="Y10884" t="s">
        <v>87</v>
      </c>
      <c r="Z10884" t="s">
        <v>77</v>
      </c>
      <c r="AA10884" t="str">
        <f>"11221-2944"</f>
        <v>11221-2944</v>
      </c>
      <c r="AB10884" t="s">
        <v>96</v>
      </c>
      <c r="AC10884" t="s">
        <v>79</v>
      </c>
      <c r="AD10884" t="s">
        <v>75</v>
      </c>
      <c r="AE10884" t="s">
        <v>80</v>
      </c>
      <c r="AG10884" t="s">
        <v>81</v>
      </c>
    </row>
    <row r="10885" spans="1:33" x14ac:dyDescent="0.25">
      <c r="A10885" t="str">
        <f>"1154660264"</f>
        <v>1154660264</v>
      </c>
      <c r="B10885" t="str">
        <f>"03838442"</f>
        <v>03838442</v>
      </c>
      <c r="C10885" t="s">
        <v>44225</v>
      </c>
      <c r="D10885" t="s">
        <v>44226</v>
      </c>
      <c r="E10885" t="s">
        <v>44227</v>
      </c>
      <c r="G10885" t="s">
        <v>44228</v>
      </c>
      <c r="H10885" t="s">
        <v>44229</v>
      </c>
      <c r="I10885">
        <v>102</v>
      </c>
      <c r="J10885" t="s">
        <v>44230</v>
      </c>
      <c r="L10885" t="s">
        <v>37</v>
      </c>
      <c r="M10885" t="s">
        <v>85</v>
      </c>
      <c r="R10885" t="s">
        <v>44231</v>
      </c>
      <c r="W10885" t="s">
        <v>44227</v>
      </c>
      <c r="X10885" t="s">
        <v>44232</v>
      </c>
      <c r="Y10885" t="s">
        <v>97</v>
      </c>
      <c r="Z10885" t="s">
        <v>77</v>
      </c>
      <c r="AA10885" t="str">
        <f>"10029-3822"</f>
        <v>10029-3822</v>
      </c>
      <c r="AB10885" t="s">
        <v>98</v>
      </c>
      <c r="AC10885" t="s">
        <v>79</v>
      </c>
      <c r="AD10885" t="s">
        <v>75</v>
      </c>
      <c r="AE10885" t="s">
        <v>80</v>
      </c>
      <c r="AG10885" t="s">
        <v>81</v>
      </c>
    </row>
    <row r="10886" spans="1:33" x14ac:dyDescent="0.25">
      <c r="A10886" t="str">
        <f>"1629250378"</f>
        <v>1629250378</v>
      </c>
      <c r="C10886" t="s">
        <v>44233</v>
      </c>
      <c r="G10886" t="s">
        <v>44234</v>
      </c>
      <c r="H10886" t="s">
        <v>44229</v>
      </c>
      <c r="I10886">
        <v>102</v>
      </c>
      <c r="J10886" t="s">
        <v>44230</v>
      </c>
      <c r="K10886" t="s">
        <v>99</v>
      </c>
      <c r="L10886" t="s">
        <v>102</v>
      </c>
      <c r="M10886" t="s">
        <v>75</v>
      </c>
      <c r="R10886" t="s">
        <v>44235</v>
      </c>
      <c r="S10886" t="s">
        <v>44236</v>
      </c>
      <c r="T10886" t="s">
        <v>97</v>
      </c>
      <c r="U10886" t="s">
        <v>77</v>
      </c>
      <c r="V10886" t="str">
        <f>"100293822"</f>
        <v>100293822</v>
      </c>
      <c r="AC10886" t="s">
        <v>79</v>
      </c>
      <c r="AD10886" t="s">
        <v>75</v>
      </c>
      <c r="AE10886" t="s">
        <v>103</v>
      </c>
      <c r="AG10886" t="s">
        <v>81</v>
      </c>
    </row>
    <row r="10887" spans="1:33" x14ac:dyDescent="0.25">
      <c r="A10887" t="str">
        <f>"1811063290"</f>
        <v>1811063290</v>
      </c>
      <c r="B10887" t="str">
        <f>"00698408"</f>
        <v>00698408</v>
      </c>
      <c r="C10887" t="s">
        <v>44237</v>
      </c>
      <c r="D10887" t="s">
        <v>44238</v>
      </c>
      <c r="E10887" t="s">
        <v>44239</v>
      </c>
      <c r="G10887" t="s">
        <v>42214</v>
      </c>
      <c r="H10887" t="s">
        <v>42215</v>
      </c>
      <c r="J10887" t="s">
        <v>42216</v>
      </c>
      <c r="L10887" t="s">
        <v>37</v>
      </c>
      <c r="M10887" t="s">
        <v>75</v>
      </c>
      <c r="R10887" t="s">
        <v>43363</v>
      </c>
      <c r="W10887" t="s">
        <v>44239</v>
      </c>
      <c r="X10887" t="s">
        <v>44240</v>
      </c>
      <c r="Y10887" t="s">
        <v>161</v>
      </c>
      <c r="Z10887" t="s">
        <v>77</v>
      </c>
      <c r="AA10887" t="str">
        <f>"11042"</f>
        <v>11042</v>
      </c>
      <c r="AB10887" t="s">
        <v>107</v>
      </c>
      <c r="AC10887" t="s">
        <v>79</v>
      </c>
      <c r="AD10887" t="s">
        <v>75</v>
      </c>
      <c r="AE10887" t="s">
        <v>80</v>
      </c>
      <c r="AG10887" t="s">
        <v>81</v>
      </c>
    </row>
    <row r="10888" spans="1:33" x14ac:dyDescent="0.25">
      <c r="A10888" t="str">
        <f>"1134297153"</f>
        <v>1134297153</v>
      </c>
      <c r="B10888" t="str">
        <f>"02994250"</f>
        <v>02994250</v>
      </c>
      <c r="C10888" t="s">
        <v>3085</v>
      </c>
      <c r="D10888" t="s">
        <v>2647</v>
      </c>
      <c r="E10888" t="s">
        <v>2648</v>
      </c>
      <c r="G10888" t="s">
        <v>44241</v>
      </c>
      <c r="H10888" t="s">
        <v>44242</v>
      </c>
      <c r="J10888" t="s">
        <v>44243</v>
      </c>
      <c r="L10888" t="s">
        <v>119</v>
      </c>
      <c r="M10888" t="s">
        <v>85</v>
      </c>
      <c r="R10888" t="s">
        <v>2649</v>
      </c>
      <c r="W10888" t="s">
        <v>2650</v>
      </c>
      <c r="X10888" t="s">
        <v>2651</v>
      </c>
      <c r="Y10888" t="s">
        <v>2652</v>
      </c>
      <c r="Z10888" t="s">
        <v>77</v>
      </c>
      <c r="AA10888" t="str">
        <f>"10588-0458"</f>
        <v>10588-0458</v>
      </c>
      <c r="AB10888" t="s">
        <v>93</v>
      </c>
      <c r="AC10888" t="s">
        <v>79</v>
      </c>
      <c r="AD10888" t="s">
        <v>75</v>
      </c>
      <c r="AE10888" t="s">
        <v>80</v>
      </c>
      <c r="AG10888" t="s">
        <v>81</v>
      </c>
    </row>
    <row r="10889" spans="1:33" x14ac:dyDescent="0.25">
      <c r="A10889" t="str">
        <f>"1639247653"</f>
        <v>1639247653</v>
      </c>
      <c r="B10889" t="str">
        <f>"00371673"</f>
        <v>00371673</v>
      </c>
      <c r="C10889" t="s">
        <v>44244</v>
      </c>
      <c r="D10889" t="s">
        <v>44245</v>
      </c>
      <c r="E10889" t="s">
        <v>44246</v>
      </c>
      <c r="G10889" t="s">
        <v>44241</v>
      </c>
      <c r="H10889" t="s">
        <v>44242</v>
      </c>
      <c r="J10889" t="s">
        <v>44243</v>
      </c>
      <c r="L10889" t="s">
        <v>170</v>
      </c>
      <c r="M10889" t="s">
        <v>85</v>
      </c>
      <c r="R10889" t="s">
        <v>44247</v>
      </c>
      <c r="W10889" t="s">
        <v>44246</v>
      </c>
      <c r="X10889" t="s">
        <v>44248</v>
      </c>
      <c r="Y10889" t="s">
        <v>131</v>
      </c>
      <c r="Z10889" t="s">
        <v>77</v>
      </c>
      <c r="AA10889" t="str">
        <f>"10453-5162"</f>
        <v>10453-5162</v>
      </c>
      <c r="AB10889" t="s">
        <v>122</v>
      </c>
      <c r="AC10889" t="s">
        <v>79</v>
      </c>
      <c r="AD10889" t="s">
        <v>75</v>
      </c>
      <c r="AE10889" t="s">
        <v>80</v>
      </c>
      <c r="AG10889" t="s">
        <v>81</v>
      </c>
    </row>
    <row r="10890" spans="1:33" x14ac:dyDescent="0.25">
      <c r="A10890" t="str">
        <f>"1891825188"</f>
        <v>1891825188</v>
      </c>
      <c r="B10890" t="str">
        <f>"02799168"</f>
        <v>02799168</v>
      </c>
      <c r="C10890" t="s">
        <v>44249</v>
      </c>
      <c r="D10890" t="s">
        <v>44250</v>
      </c>
      <c r="E10890" t="s">
        <v>44251</v>
      </c>
      <c r="G10890" t="s">
        <v>44252</v>
      </c>
      <c r="H10890" t="s">
        <v>44253</v>
      </c>
      <c r="I10890">
        <v>321</v>
      </c>
      <c r="J10890" t="s">
        <v>44254</v>
      </c>
      <c r="L10890" t="s">
        <v>119</v>
      </c>
      <c r="M10890" t="s">
        <v>85</v>
      </c>
      <c r="R10890" t="s">
        <v>44255</v>
      </c>
      <c r="W10890" t="s">
        <v>44251</v>
      </c>
      <c r="X10890" t="s">
        <v>3101</v>
      </c>
      <c r="Y10890" t="s">
        <v>236</v>
      </c>
      <c r="Z10890" t="s">
        <v>77</v>
      </c>
      <c r="AA10890" t="str">
        <f>"11102-1530"</f>
        <v>11102-1530</v>
      </c>
      <c r="AB10890" t="s">
        <v>122</v>
      </c>
      <c r="AC10890" t="s">
        <v>79</v>
      </c>
      <c r="AD10890" t="s">
        <v>75</v>
      </c>
      <c r="AE10890" t="s">
        <v>80</v>
      </c>
      <c r="AG10890" t="s">
        <v>81</v>
      </c>
    </row>
    <row r="10891" spans="1:33" x14ac:dyDescent="0.25">
      <c r="A10891" t="str">
        <f>"1962728071"</f>
        <v>1962728071</v>
      </c>
      <c r="B10891" t="str">
        <f>"03335971"</f>
        <v>03335971</v>
      </c>
      <c r="C10891" t="s">
        <v>44256</v>
      </c>
      <c r="D10891" t="s">
        <v>4692</v>
      </c>
      <c r="E10891" t="s">
        <v>4693</v>
      </c>
      <c r="G10891" t="s">
        <v>44257</v>
      </c>
      <c r="H10891" t="s">
        <v>44258</v>
      </c>
      <c r="J10891" t="s">
        <v>44259</v>
      </c>
      <c r="L10891" t="s">
        <v>37</v>
      </c>
      <c r="M10891" t="s">
        <v>85</v>
      </c>
      <c r="R10891" t="s">
        <v>4693</v>
      </c>
      <c r="W10891" t="s">
        <v>4693</v>
      </c>
      <c r="X10891" t="s">
        <v>406</v>
      </c>
      <c r="Y10891" t="s">
        <v>161</v>
      </c>
      <c r="Z10891" t="s">
        <v>77</v>
      </c>
      <c r="AA10891" t="str">
        <f>"11042-1109"</f>
        <v>11042-1109</v>
      </c>
      <c r="AB10891" t="s">
        <v>98</v>
      </c>
      <c r="AC10891" t="s">
        <v>79</v>
      </c>
      <c r="AD10891" t="s">
        <v>75</v>
      </c>
      <c r="AE10891" t="s">
        <v>80</v>
      </c>
      <c r="AG10891" t="s">
        <v>81</v>
      </c>
    </row>
    <row r="10892" spans="1:33" x14ac:dyDescent="0.25">
      <c r="A10892" t="str">
        <f>"1063635142"</f>
        <v>1063635142</v>
      </c>
      <c r="B10892" t="str">
        <f>"01783504"</f>
        <v>01783504</v>
      </c>
      <c r="C10892" t="s">
        <v>44260</v>
      </c>
      <c r="D10892" t="s">
        <v>407</v>
      </c>
      <c r="E10892" t="s">
        <v>408</v>
      </c>
      <c r="G10892" t="s">
        <v>44257</v>
      </c>
      <c r="H10892" t="s">
        <v>44258</v>
      </c>
      <c r="J10892" t="s">
        <v>44259</v>
      </c>
      <c r="L10892" t="s">
        <v>37</v>
      </c>
      <c r="M10892" t="s">
        <v>75</v>
      </c>
      <c r="R10892" t="s">
        <v>409</v>
      </c>
      <c r="W10892" t="s">
        <v>410</v>
      </c>
      <c r="X10892" t="s">
        <v>406</v>
      </c>
      <c r="Y10892" t="s">
        <v>161</v>
      </c>
      <c r="Z10892" t="s">
        <v>77</v>
      </c>
      <c r="AA10892" t="str">
        <f>"11042-1109"</f>
        <v>11042-1109</v>
      </c>
      <c r="AB10892" t="s">
        <v>114</v>
      </c>
      <c r="AC10892" t="s">
        <v>79</v>
      </c>
      <c r="AD10892" t="s">
        <v>75</v>
      </c>
      <c r="AE10892" t="s">
        <v>80</v>
      </c>
      <c r="AG10892" t="s">
        <v>81</v>
      </c>
    </row>
    <row r="10893" spans="1:33" x14ac:dyDescent="0.25">
      <c r="A10893" t="str">
        <f>"1477756898"</f>
        <v>1477756898</v>
      </c>
      <c r="B10893" t="str">
        <f>"03187717"</f>
        <v>03187717</v>
      </c>
      <c r="C10893" t="s">
        <v>44261</v>
      </c>
      <c r="D10893" t="s">
        <v>44262</v>
      </c>
      <c r="E10893" t="s">
        <v>44263</v>
      </c>
      <c r="G10893" t="s">
        <v>27833</v>
      </c>
      <c r="H10893" t="s">
        <v>27834</v>
      </c>
      <c r="J10893" t="s">
        <v>27835</v>
      </c>
      <c r="L10893" t="s">
        <v>37</v>
      </c>
      <c r="M10893" t="s">
        <v>75</v>
      </c>
      <c r="R10893" t="s">
        <v>44263</v>
      </c>
      <c r="W10893" t="s">
        <v>44263</v>
      </c>
      <c r="X10893" t="s">
        <v>44264</v>
      </c>
      <c r="Y10893" t="s">
        <v>97</v>
      </c>
      <c r="Z10893" t="s">
        <v>77</v>
      </c>
      <c r="AA10893" t="str">
        <f>"10003-3851"</f>
        <v>10003-3851</v>
      </c>
      <c r="AB10893" t="s">
        <v>137</v>
      </c>
      <c r="AC10893" t="s">
        <v>79</v>
      </c>
      <c r="AD10893" t="s">
        <v>75</v>
      </c>
      <c r="AE10893" t="s">
        <v>80</v>
      </c>
      <c r="AG10893" t="s">
        <v>81</v>
      </c>
    </row>
    <row r="10894" spans="1:33" x14ac:dyDescent="0.25">
      <c r="A10894" t="str">
        <f>"1790988996"</f>
        <v>1790988996</v>
      </c>
      <c r="B10894" t="str">
        <f>"03191999"</f>
        <v>03191999</v>
      </c>
      <c r="C10894" t="s">
        <v>44261</v>
      </c>
      <c r="D10894" t="s">
        <v>44265</v>
      </c>
      <c r="E10894" t="s">
        <v>44263</v>
      </c>
      <c r="G10894" t="s">
        <v>27833</v>
      </c>
      <c r="H10894" t="s">
        <v>27834</v>
      </c>
      <c r="J10894" t="s">
        <v>27835</v>
      </c>
      <c r="L10894" t="s">
        <v>37</v>
      </c>
      <c r="M10894" t="s">
        <v>75</v>
      </c>
      <c r="R10894" t="s">
        <v>44263</v>
      </c>
      <c r="W10894" t="s">
        <v>44263</v>
      </c>
      <c r="X10894" t="s">
        <v>3553</v>
      </c>
      <c r="Y10894" t="s">
        <v>97</v>
      </c>
      <c r="Z10894" t="s">
        <v>77</v>
      </c>
      <c r="AA10894" t="str">
        <f>"10003-3851"</f>
        <v>10003-3851</v>
      </c>
      <c r="AB10894" t="s">
        <v>127</v>
      </c>
      <c r="AC10894" t="s">
        <v>79</v>
      </c>
      <c r="AD10894" t="s">
        <v>75</v>
      </c>
      <c r="AE10894" t="s">
        <v>80</v>
      </c>
      <c r="AG10894" t="s">
        <v>81</v>
      </c>
    </row>
    <row r="10895" spans="1:33" x14ac:dyDescent="0.25">
      <c r="A10895" t="str">
        <f>"1144422593"</f>
        <v>1144422593</v>
      </c>
      <c r="B10895" t="str">
        <f>"03193313"</f>
        <v>03193313</v>
      </c>
      <c r="C10895" t="s">
        <v>44261</v>
      </c>
      <c r="D10895" t="s">
        <v>44266</v>
      </c>
      <c r="E10895" t="s">
        <v>44263</v>
      </c>
      <c r="G10895" t="s">
        <v>27833</v>
      </c>
      <c r="H10895" t="s">
        <v>27834</v>
      </c>
      <c r="J10895" t="s">
        <v>27835</v>
      </c>
      <c r="L10895" t="s">
        <v>37</v>
      </c>
      <c r="M10895" t="s">
        <v>75</v>
      </c>
      <c r="R10895" t="s">
        <v>44263</v>
      </c>
      <c r="W10895" t="s">
        <v>44263</v>
      </c>
      <c r="X10895" t="s">
        <v>28615</v>
      </c>
      <c r="Y10895" t="s">
        <v>97</v>
      </c>
      <c r="Z10895" t="s">
        <v>77</v>
      </c>
      <c r="AA10895" t="str">
        <f>"10011-0000"</f>
        <v>10011-0000</v>
      </c>
      <c r="AB10895" t="s">
        <v>137</v>
      </c>
      <c r="AC10895" t="s">
        <v>79</v>
      </c>
      <c r="AD10895" t="s">
        <v>75</v>
      </c>
      <c r="AE10895" t="s">
        <v>80</v>
      </c>
      <c r="AG10895" t="s">
        <v>81</v>
      </c>
    </row>
    <row r="10896" spans="1:33" x14ac:dyDescent="0.25">
      <c r="A10896" t="str">
        <f>"1831269315"</f>
        <v>1831269315</v>
      </c>
      <c r="B10896" t="str">
        <f>"02997620"</f>
        <v>02997620</v>
      </c>
      <c r="C10896" t="s">
        <v>3108</v>
      </c>
      <c r="D10896" t="s">
        <v>3109</v>
      </c>
      <c r="E10896" t="s">
        <v>3110</v>
      </c>
      <c r="G10896" t="s">
        <v>43274</v>
      </c>
      <c r="H10896" t="s">
        <v>6463</v>
      </c>
      <c r="J10896" t="s">
        <v>43275</v>
      </c>
      <c r="L10896" t="s">
        <v>211</v>
      </c>
      <c r="M10896" t="s">
        <v>85</v>
      </c>
      <c r="R10896" t="s">
        <v>3111</v>
      </c>
      <c r="W10896" t="s">
        <v>3112</v>
      </c>
      <c r="X10896" t="s">
        <v>3113</v>
      </c>
      <c r="Y10896" t="s">
        <v>171</v>
      </c>
      <c r="Z10896" t="s">
        <v>77</v>
      </c>
      <c r="AA10896" t="str">
        <f>"11432-1924"</f>
        <v>11432-1924</v>
      </c>
      <c r="AB10896" t="s">
        <v>93</v>
      </c>
      <c r="AC10896" t="s">
        <v>79</v>
      </c>
      <c r="AD10896" t="s">
        <v>75</v>
      </c>
      <c r="AE10896" t="s">
        <v>80</v>
      </c>
      <c r="AG10896" t="s">
        <v>81</v>
      </c>
    </row>
    <row r="10897" spans="1:33" x14ac:dyDescent="0.25">
      <c r="A10897" t="str">
        <f>"1972788594"</f>
        <v>1972788594</v>
      </c>
      <c r="B10897" t="str">
        <f>"01436328"</f>
        <v>01436328</v>
      </c>
      <c r="C10897" t="s">
        <v>41867</v>
      </c>
      <c r="D10897" t="s">
        <v>4431</v>
      </c>
      <c r="E10897" t="s">
        <v>4432</v>
      </c>
      <c r="G10897" t="s">
        <v>41868</v>
      </c>
      <c r="H10897" t="s">
        <v>491</v>
      </c>
      <c r="J10897" t="s">
        <v>41869</v>
      </c>
      <c r="L10897" t="s">
        <v>35</v>
      </c>
      <c r="M10897" t="s">
        <v>85</v>
      </c>
      <c r="R10897" t="s">
        <v>4433</v>
      </c>
      <c r="W10897" t="s">
        <v>4432</v>
      </c>
      <c r="X10897" t="s">
        <v>492</v>
      </c>
      <c r="Y10897" t="s">
        <v>155</v>
      </c>
      <c r="Z10897" t="s">
        <v>77</v>
      </c>
      <c r="AA10897" t="str">
        <f>"10314-5857"</f>
        <v>10314-5857</v>
      </c>
      <c r="AB10897" t="s">
        <v>98</v>
      </c>
      <c r="AC10897" t="s">
        <v>79</v>
      </c>
      <c r="AD10897" t="s">
        <v>75</v>
      </c>
      <c r="AE10897" t="s">
        <v>80</v>
      </c>
      <c r="AG10897" t="s">
        <v>81</v>
      </c>
    </row>
    <row r="10898" spans="1:33" x14ac:dyDescent="0.25">
      <c r="A10898" t="str">
        <f>"1245248939"</f>
        <v>1245248939</v>
      </c>
      <c r="B10898" t="str">
        <f>"02998570"</f>
        <v>02998570</v>
      </c>
      <c r="C10898" t="s">
        <v>44267</v>
      </c>
      <c r="D10898" t="s">
        <v>1291</v>
      </c>
      <c r="E10898" t="s">
        <v>1290</v>
      </c>
      <c r="G10898" t="s">
        <v>27833</v>
      </c>
      <c r="H10898" t="s">
        <v>27834</v>
      </c>
      <c r="J10898" t="s">
        <v>27835</v>
      </c>
      <c r="L10898" t="s">
        <v>148</v>
      </c>
      <c r="M10898" t="s">
        <v>85</v>
      </c>
      <c r="R10898" t="s">
        <v>1290</v>
      </c>
      <c r="W10898" t="s">
        <v>1290</v>
      </c>
      <c r="X10898" t="s">
        <v>3398</v>
      </c>
      <c r="Y10898" t="s">
        <v>97</v>
      </c>
      <c r="Z10898" t="s">
        <v>77</v>
      </c>
      <c r="AA10898" t="str">
        <f>"10029-6500"</f>
        <v>10029-6500</v>
      </c>
      <c r="AB10898" t="s">
        <v>96</v>
      </c>
      <c r="AC10898" t="s">
        <v>79</v>
      </c>
      <c r="AD10898" t="s">
        <v>75</v>
      </c>
      <c r="AE10898" t="s">
        <v>80</v>
      </c>
      <c r="AG10898" t="s">
        <v>81</v>
      </c>
    </row>
    <row r="10899" spans="1:33" x14ac:dyDescent="0.25">
      <c r="A10899" t="str">
        <f>"1417925181"</f>
        <v>1417925181</v>
      </c>
      <c r="B10899" t="str">
        <f>"02998589"</f>
        <v>02998589</v>
      </c>
      <c r="C10899" t="s">
        <v>44268</v>
      </c>
      <c r="D10899" t="s">
        <v>1291</v>
      </c>
      <c r="E10899" t="s">
        <v>1290</v>
      </c>
      <c r="G10899" t="s">
        <v>27833</v>
      </c>
      <c r="H10899" t="s">
        <v>27834</v>
      </c>
      <c r="J10899" t="s">
        <v>27835</v>
      </c>
      <c r="L10899" t="s">
        <v>148</v>
      </c>
      <c r="M10899" t="s">
        <v>85</v>
      </c>
      <c r="R10899" t="s">
        <v>1290</v>
      </c>
      <c r="W10899" t="s">
        <v>1290</v>
      </c>
      <c r="X10899" t="s">
        <v>329</v>
      </c>
      <c r="Y10899" t="s">
        <v>97</v>
      </c>
      <c r="Z10899" t="s">
        <v>77</v>
      </c>
      <c r="AA10899" t="str">
        <f>"10029-6500"</f>
        <v>10029-6500</v>
      </c>
      <c r="AB10899" t="s">
        <v>96</v>
      </c>
      <c r="AC10899" t="s">
        <v>79</v>
      </c>
      <c r="AD10899" t="s">
        <v>75</v>
      </c>
      <c r="AE10899" t="s">
        <v>80</v>
      </c>
      <c r="AG10899" t="s">
        <v>81</v>
      </c>
    </row>
    <row r="10900" spans="1:33" x14ac:dyDescent="0.25">
      <c r="A10900" t="str">
        <f>"1295085744"</f>
        <v>1295085744</v>
      </c>
      <c r="C10900" t="s">
        <v>13436</v>
      </c>
      <c r="K10900" t="s">
        <v>99</v>
      </c>
      <c r="L10900" t="s">
        <v>102</v>
      </c>
      <c r="M10900" t="s">
        <v>75</v>
      </c>
      <c r="R10900" t="s">
        <v>44269</v>
      </c>
      <c r="S10900" t="s">
        <v>16212</v>
      </c>
      <c r="T10900" t="s">
        <v>97</v>
      </c>
      <c r="U10900" t="s">
        <v>77</v>
      </c>
      <c r="V10900" t="str">
        <f>"100168728"</f>
        <v>100168728</v>
      </c>
      <c r="AC10900" t="s">
        <v>79</v>
      </c>
      <c r="AD10900" t="s">
        <v>75</v>
      </c>
      <c r="AE10900" t="s">
        <v>103</v>
      </c>
      <c r="AG10900" t="s">
        <v>81</v>
      </c>
    </row>
    <row r="10901" spans="1:33" x14ac:dyDescent="0.25">
      <c r="A10901" t="str">
        <f>"1306059571"</f>
        <v>1306059571</v>
      </c>
      <c r="B10901" t="str">
        <f>"02421332"</f>
        <v>02421332</v>
      </c>
      <c r="C10901" t="s">
        <v>13436</v>
      </c>
      <c r="D10901" t="s">
        <v>44270</v>
      </c>
      <c r="E10901" t="s">
        <v>44271</v>
      </c>
      <c r="L10901" t="s">
        <v>74</v>
      </c>
      <c r="M10901" t="s">
        <v>75</v>
      </c>
      <c r="R10901" t="s">
        <v>44272</v>
      </c>
      <c r="W10901" t="s">
        <v>44271</v>
      </c>
      <c r="X10901" t="s">
        <v>2587</v>
      </c>
      <c r="Y10901" t="s">
        <v>97</v>
      </c>
      <c r="Z10901" t="s">
        <v>77</v>
      </c>
      <c r="AA10901" t="str">
        <f>"10003-3314"</f>
        <v>10003-3314</v>
      </c>
      <c r="AB10901" t="s">
        <v>109</v>
      </c>
      <c r="AC10901" t="s">
        <v>79</v>
      </c>
      <c r="AD10901" t="s">
        <v>75</v>
      </c>
      <c r="AE10901" t="s">
        <v>80</v>
      </c>
      <c r="AG10901" t="s">
        <v>81</v>
      </c>
    </row>
    <row r="10902" spans="1:33" x14ac:dyDescent="0.25">
      <c r="A10902" t="str">
        <f>"1306165931"</f>
        <v>1306165931</v>
      </c>
      <c r="B10902" t="str">
        <f>"04443087"</f>
        <v>04443087</v>
      </c>
      <c r="C10902" t="s">
        <v>13436</v>
      </c>
      <c r="D10902" t="s">
        <v>44273</v>
      </c>
      <c r="E10902" t="s">
        <v>44274</v>
      </c>
      <c r="L10902" t="s">
        <v>74</v>
      </c>
      <c r="M10902" t="s">
        <v>75</v>
      </c>
      <c r="R10902" t="s">
        <v>44275</v>
      </c>
      <c r="W10902" t="s">
        <v>44274</v>
      </c>
      <c r="AB10902" t="s">
        <v>78</v>
      </c>
      <c r="AC10902" t="s">
        <v>79</v>
      </c>
      <c r="AD10902" t="s">
        <v>75</v>
      </c>
      <c r="AE10902" t="s">
        <v>80</v>
      </c>
      <c r="AG10902" t="s">
        <v>81</v>
      </c>
    </row>
    <row r="10903" spans="1:33" x14ac:dyDescent="0.25">
      <c r="A10903" t="str">
        <f>"1316000219"</f>
        <v>1316000219</v>
      </c>
      <c r="B10903" t="str">
        <f>"02900741"</f>
        <v>02900741</v>
      </c>
      <c r="C10903" t="s">
        <v>13436</v>
      </c>
      <c r="D10903" t="s">
        <v>44276</v>
      </c>
      <c r="E10903" t="s">
        <v>44277</v>
      </c>
      <c r="L10903" t="s">
        <v>74</v>
      </c>
      <c r="M10903" t="s">
        <v>75</v>
      </c>
      <c r="R10903" t="s">
        <v>44278</v>
      </c>
      <c r="W10903" t="s">
        <v>44277</v>
      </c>
      <c r="X10903" t="s">
        <v>3600</v>
      </c>
      <c r="Y10903" t="s">
        <v>190</v>
      </c>
      <c r="Z10903" t="s">
        <v>77</v>
      </c>
      <c r="AA10903" t="str">
        <f>"11106-4520"</f>
        <v>11106-4520</v>
      </c>
      <c r="AB10903" t="s">
        <v>78</v>
      </c>
      <c r="AC10903" t="s">
        <v>79</v>
      </c>
      <c r="AD10903" t="s">
        <v>75</v>
      </c>
      <c r="AE10903" t="s">
        <v>80</v>
      </c>
      <c r="AG10903" t="s">
        <v>81</v>
      </c>
    </row>
    <row r="10904" spans="1:33" x14ac:dyDescent="0.25">
      <c r="A10904" t="str">
        <f>"1821184839"</f>
        <v>1821184839</v>
      </c>
      <c r="B10904" t="str">
        <f>"00321971"</f>
        <v>00321971</v>
      </c>
      <c r="C10904" t="s">
        <v>3308</v>
      </c>
      <c r="D10904" t="s">
        <v>3309</v>
      </c>
      <c r="E10904" t="s">
        <v>3310</v>
      </c>
      <c r="G10904" t="s">
        <v>5011</v>
      </c>
      <c r="H10904" t="s">
        <v>5012</v>
      </c>
      <c r="I10904">
        <v>1101</v>
      </c>
      <c r="J10904" t="s">
        <v>3305</v>
      </c>
      <c r="L10904" t="s">
        <v>149</v>
      </c>
      <c r="M10904" t="s">
        <v>85</v>
      </c>
      <c r="R10904" t="s">
        <v>3306</v>
      </c>
      <c r="W10904" t="s">
        <v>3310</v>
      </c>
      <c r="X10904" t="s">
        <v>3311</v>
      </c>
      <c r="Y10904" t="s">
        <v>3307</v>
      </c>
      <c r="Z10904" t="s">
        <v>77</v>
      </c>
      <c r="AA10904" t="str">
        <f>"10562-2327"</f>
        <v>10562-2327</v>
      </c>
      <c r="AB10904" t="s">
        <v>98</v>
      </c>
      <c r="AC10904" t="s">
        <v>79</v>
      </c>
      <c r="AD10904" t="s">
        <v>75</v>
      </c>
      <c r="AE10904" t="s">
        <v>80</v>
      </c>
      <c r="AG10904" t="s">
        <v>81</v>
      </c>
    </row>
    <row r="10905" spans="1:33" x14ac:dyDescent="0.25">
      <c r="A10905" t="str">
        <f>"1013230374"</f>
        <v>1013230374</v>
      </c>
      <c r="B10905" t="str">
        <f>"03421029"</f>
        <v>03421029</v>
      </c>
      <c r="C10905" t="s">
        <v>44279</v>
      </c>
      <c r="D10905" t="s">
        <v>3879</v>
      </c>
      <c r="E10905" t="s">
        <v>3880</v>
      </c>
      <c r="G10905" t="s">
        <v>3881</v>
      </c>
      <c r="H10905" t="s">
        <v>44280</v>
      </c>
      <c r="I10905">
        <v>796</v>
      </c>
      <c r="J10905" t="s">
        <v>44281</v>
      </c>
      <c r="L10905" t="s">
        <v>104</v>
      </c>
      <c r="M10905" t="s">
        <v>85</v>
      </c>
      <c r="R10905" t="s">
        <v>3882</v>
      </c>
      <c r="W10905" t="s">
        <v>3880</v>
      </c>
      <c r="X10905" t="s">
        <v>3883</v>
      </c>
      <c r="Y10905" t="s">
        <v>97</v>
      </c>
      <c r="Z10905" t="s">
        <v>77</v>
      </c>
      <c r="AA10905" t="str">
        <f>"10035-1933"</f>
        <v>10035-1933</v>
      </c>
      <c r="AB10905" t="s">
        <v>93</v>
      </c>
      <c r="AC10905" t="s">
        <v>79</v>
      </c>
      <c r="AD10905" t="s">
        <v>75</v>
      </c>
      <c r="AE10905" t="s">
        <v>80</v>
      </c>
      <c r="AG10905" t="s">
        <v>81</v>
      </c>
    </row>
    <row r="10906" spans="1:33" x14ac:dyDescent="0.25">
      <c r="A10906" t="str">
        <f>"1255576914"</f>
        <v>1255576914</v>
      </c>
      <c r="C10906" t="s">
        <v>44282</v>
      </c>
      <c r="G10906" t="s">
        <v>44283</v>
      </c>
      <c r="H10906" t="s">
        <v>3073</v>
      </c>
      <c r="I10906">
        <v>102</v>
      </c>
      <c r="J10906" t="s">
        <v>44284</v>
      </c>
      <c r="K10906" t="s">
        <v>99</v>
      </c>
      <c r="L10906" t="s">
        <v>102</v>
      </c>
      <c r="M10906" t="s">
        <v>75</v>
      </c>
      <c r="R10906" t="s">
        <v>3074</v>
      </c>
      <c r="S10906" t="s">
        <v>3075</v>
      </c>
      <c r="T10906" t="s">
        <v>87</v>
      </c>
      <c r="U10906" t="s">
        <v>77</v>
      </c>
      <c r="V10906" t="str">
        <f>"112292870"</f>
        <v>112292870</v>
      </c>
      <c r="AC10906" t="s">
        <v>79</v>
      </c>
      <c r="AD10906" t="s">
        <v>75</v>
      </c>
      <c r="AE10906" t="s">
        <v>103</v>
      </c>
      <c r="AG10906" t="s">
        <v>81</v>
      </c>
    </row>
    <row r="10907" spans="1:33" x14ac:dyDescent="0.25">
      <c r="A10907" t="str">
        <f>"1780816991"</f>
        <v>1780816991</v>
      </c>
      <c r="C10907" t="s">
        <v>42362</v>
      </c>
      <c r="G10907" t="s">
        <v>1364</v>
      </c>
      <c r="H10907" t="s">
        <v>1365</v>
      </c>
      <c r="I10907">
        <v>616</v>
      </c>
      <c r="J10907" t="s">
        <v>1366</v>
      </c>
      <c r="K10907" t="s">
        <v>99</v>
      </c>
      <c r="L10907" t="s">
        <v>102</v>
      </c>
      <c r="M10907" t="s">
        <v>85</v>
      </c>
      <c r="R10907" t="s">
        <v>1363</v>
      </c>
      <c r="S10907" t="s">
        <v>1367</v>
      </c>
      <c r="T10907" t="s">
        <v>87</v>
      </c>
      <c r="U10907" t="s">
        <v>77</v>
      </c>
      <c r="V10907" t="str">
        <f>"112185612"</f>
        <v>112185612</v>
      </c>
      <c r="AC10907" t="s">
        <v>79</v>
      </c>
      <c r="AD10907" t="s">
        <v>75</v>
      </c>
      <c r="AE10907" t="s">
        <v>103</v>
      </c>
      <c r="AG10907" t="s">
        <v>81</v>
      </c>
    </row>
    <row r="10908" spans="1:33" x14ac:dyDescent="0.25">
      <c r="A10908" t="str">
        <f>"1891999686"</f>
        <v>1891999686</v>
      </c>
      <c r="B10908" t="str">
        <f>"03269165"</f>
        <v>03269165</v>
      </c>
      <c r="C10908" t="s">
        <v>44285</v>
      </c>
      <c r="D10908" t="s">
        <v>44286</v>
      </c>
      <c r="E10908" t="s">
        <v>44287</v>
      </c>
      <c r="G10908" t="s">
        <v>44285</v>
      </c>
      <c r="L10908" t="s">
        <v>83</v>
      </c>
      <c r="M10908" t="s">
        <v>75</v>
      </c>
      <c r="R10908" t="s">
        <v>44288</v>
      </c>
      <c r="W10908" t="s">
        <v>44287</v>
      </c>
      <c r="X10908" t="s">
        <v>590</v>
      </c>
      <c r="Y10908" t="s">
        <v>97</v>
      </c>
      <c r="Z10908" t="s">
        <v>77</v>
      </c>
      <c r="AA10908" t="str">
        <f>"10128-4077"</f>
        <v>10128-4077</v>
      </c>
      <c r="AB10908" t="s">
        <v>78</v>
      </c>
      <c r="AC10908" t="s">
        <v>79</v>
      </c>
      <c r="AD10908" t="s">
        <v>75</v>
      </c>
      <c r="AE10908" t="s">
        <v>80</v>
      </c>
      <c r="AG10908" t="s">
        <v>81</v>
      </c>
    </row>
    <row r="10909" spans="1:33" x14ac:dyDescent="0.25">
      <c r="A10909" t="str">
        <f>"1902061146"</f>
        <v>1902061146</v>
      </c>
      <c r="B10909" t="str">
        <f>"03040388"</f>
        <v>03040388</v>
      </c>
      <c r="C10909" t="s">
        <v>44289</v>
      </c>
      <c r="D10909" t="s">
        <v>44290</v>
      </c>
      <c r="E10909" t="s">
        <v>44291</v>
      </c>
      <c r="G10909" t="s">
        <v>44289</v>
      </c>
      <c r="L10909" t="s">
        <v>84</v>
      </c>
      <c r="M10909" t="s">
        <v>75</v>
      </c>
      <c r="R10909" t="s">
        <v>44292</v>
      </c>
      <c r="W10909" t="s">
        <v>44293</v>
      </c>
      <c r="X10909" t="s">
        <v>271</v>
      </c>
      <c r="Y10909" t="s">
        <v>161</v>
      </c>
      <c r="Z10909" t="s">
        <v>77</v>
      </c>
      <c r="AA10909" t="str">
        <f>"11040-1661"</f>
        <v>11040-1661</v>
      </c>
      <c r="AB10909" t="s">
        <v>78</v>
      </c>
      <c r="AC10909" t="s">
        <v>79</v>
      </c>
      <c r="AD10909" t="s">
        <v>75</v>
      </c>
      <c r="AE10909" t="s">
        <v>80</v>
      </c>
      <c r="AG10909" t="s">
        <v>81</v>
      </c>
    </row>
    <row r="10910" spans="1:33" x14ac:dyDescent="0.25">
      <c r="A10910" t="str">
        <f>"1902110778"</f>
        <v>1902110778</v>
      </c>
      <c r="B10910" t="str">
        <f>"03271616"</f>
        <v>03271616</v>
      </c>
      <c r="C10910" t="s">
        <v>44294</v>
      </c>
      <c r="D10910" t="s">
        <v>44295</v>
      </c>
      <c r="E10910" t="s">
        <v>44296</v>
      </c>
      <c r="G10910" t="s">
        <v>44294</v>
      </c>
      <c r="L10910" t="s">
        <v>84</v>
      </c>
      <c r="M10910" t="s">
        <v>75</v>
      </c>
      <c r="R10910" t="s">
        <v>44297</v>
      </c>
      <c r="W10910" t="s">
        <v>44298</v>
      </c>
      <c r="X10910" t="s">
        <v>4539</v>
      </c>
      <c r="Y10910" t="s">
        <v>3818</v>
      </c>
      <c r="Z10910" t="s">
        <v>77</v>
      </c>
      <c r="AA10910" t="str">
        <f>"11714-5713"</f>
        <v>11714-5713</v>
      </c>
      <c r="AB10910" t="s">
        <v>78</v>
      </c>
      <c r="AC10910" t="s">
        <v>79</v>
      </c>
      <c r="AD10910" t="s">
        <v>75</v>
      </c>
      <c r="AE10910" t="s">
        <v>80</v>
      </c>
      <c r="AG10910" t="s">
        <v>81</v>
      </c>
    </row>
    <row r="10911" spans="1:33" x14ac:dyDescent="0.25">
      <c r="A10911" t="str">
        <f>"1902858434"</f>
        <v>1902858434</v>
      </c>
      <c r="B10911" t="str">
        <f>"01191726"</f>
        <v>01191726</v>
      </c>
      <c r="C10911" t="s">
        <v>44299</v>
      </c>
      <c r="D10911" t="s">
        <v>44300</v>
      </c>
      <c r="E10911" t="s">
        <v>44301</v>
      </c>
      <c r="G10911" t="s">
        <v>44299</v>
      </c>
      <c r="L10911" t="s">
        <v>83</v>
      </c>
      <c r="M10911" t="s">
        <v>75</v>
      </c>
      <c r="R10911" t="s">
        <v>44302</v>
      </c>
      <c r="W10911" t="s">
        <v>44303</v>
      </c>
      <c r="X10911" t="s">
        <v>162</v>
      </c>
      <c r="Y10911" t="s">
        <v>87</v>
      </c>
      <c r="Z10911" t="s">
        <v>77</v>
      </c>
      <c r="AA10911" t="str">
        <f>"11215-3609"</f>
        <v>11215-3609</v>
      </c>
      <c r="AB10911" t="s">
        <v>78</v>
      </c>
      <c r="AC10911" t="s">
        <v>79</v>
      </c>
      <c r="AD10911" t="s">
        <v>75</v>
      </c>
      <c r="AE10911" t="s">
        <v>80</v>
      </c>
      <c r="AG10911" t="s">
        <v>81</v>
      </c>
    </row>
    <row r="10912" spans="1:33" x14ac:dyDescent="0.25">
      <c r="A10912" t="str">
        <f>"1902903065"</f>
        <v>1902903065</v>
      </c>
      <c r="B10912" t="str">
        <f>"00757740"</f>
        <v>00757740</v>
      </c>
      <c r="C10912" t="s">
        <v>44304</v>
      </c>
      <c r="D10912" t="s">
        <v>44305</v>
      </c>
      <c r="E10912" t="s">
        <v>44306</v>
      </c>
      <c r="G10912" t="s">
        <v>44304</v>
      </c>
      <c r="L10912" t="s">
        <v>84</v>
      </c>
      <c r="M10912" t="s">
        <v>75</v>
      </c>
      <c r="R10912" t="s">
        <v>44307</v>
      </c>
      <c r="W10912" t="s">
        <v>44306</v>
      </c>
      <c r="X10912" t="s">
        <v>1799</v>
      </c>
      <c r="Y10912" t="s">
        <v>97</v>
      </c>
      <c r="Z10912" t="s">
        <v>77</v>
      </c>
      <c r="AA10912" t="str">
        <f>"10019"</f>
        <v>10019</v>
      </c>
      <c r="AB10912" t="s">
        <v>78</v>
      </c>
      <c r="AC10912" t="s">
        <v>79</v>
      </c>
      <c r="AD10912" t="s">
        <v>75</v>
      </c>
      <c r="AE10912" t="s">
        <v>80</v>
      </c>
      <c r="AG10912" t="s">
        <v>81</v>
      </c>
    </row>
    <row r="10913" spans="1:33" x14ac:dyDescent="0.25">
      <c r="A10913" t="str">
        <f>"1902917487"</f>
        <v>1902917487</v>
      </c>
      <c r="B10913" t="str">
        <f>"02839325"</f>
        <v>02839325</v>
      </c>
      <c r="C10913" t="s">
        <v>44308</v>
      </c>
      <c r="D10913" t="s">
        <v>44309</v>
      </c>
      <c r="E10913" t="s">
        <v>44310</v>
      </c>
      <c r="G10913" t="s">
        <v>44308</v>
      </c>
      <c r="L10913" t="s">
        <v>83</v>
      </c>
      <c r="M10913" t="s">
        <v>75</v>
      </c>
      <c r="R10913" t="s">
        <v>44311</v>
      </c>
      <c r="W10913" t="s">
        <v>44310</v>
      </c>
      <c r="X10913" t="s">
        <v>202</v>
      </c>
      <c r="Y10913" t="s">
        <v>87</v>
      </c>
      <c r="Z10913" t="s">
        <v>77</v>
      </c>
      <c r="AA10913" t="str">
        <f>"11201-5425"</f>
        <v>11201-5425</v>
      </c>
      <c r="AB10913" t="s">
        <v>78</v>
      </c>
      <c r="AC10913" t="s">
        <v>79</v>
      </c>
      <c r="AD10913" t="s">
        <v>75</v>
      </c>
      <c r="AE10913" t="s">
        <v>80</v>
      </c>
      <c r="AG10913" t="s">
        <v>81</v>
      </c>
    </row>
    <row r="10914" spans="1:33" x14ac:dyDescent="0.25">
      <c r="A10914" t="str">
        <f>"1912090598"</f>
        <v>1912090598</v>
      </c>
      <c r="B10914" t="str">
        <f>"03983855"</f>
        <v>03983855</v>
      </c>
      <c r="C10914" t="s">
        <v>44312</v>
      </c>
      <c r="D10914" t="s">
        <v>44313</v>
      </c>
      <c r="E10914" t="s">
        <v>44314</v>
      </c>
      <c r="G10914" t="s">
        <v>44312</v>
      </c>
      <c r="L10914" t="s">
        <v>83</v>
      </c>
      <c r="M10914" t="s">
        <v>75</v>
      </c>
      <c r="R10914" t="s">
        <v>44315</v>
      </c>
      <c r="W10914" t="s">
        <v>44316</v>
      </c>
      <c r="X10914" t="s">
        <v>590</v>
      </c>
      <c r="Y10914" t="s">
        <v>97</v>
      </c>
      <c r="Z10914" t="s">
        <v>77</v>
      </c>
      <c r="AA10914" t="str">
        <f>"10128-4077"</f>
        <v>10128-4077</v>
      </c>
      <c r="AB10914" t="s">
        <v>78</v>
      </c>
      <c r="AC10914" t="s">
        <v>79</v>
      </c>
      <c r="AD10914" t="s">
        <v>75</v>
      </c>
      <c r="AE10914" t="s">
        <v>80</v>
      </c>
      <c r="AG10914" t="s">
        <v>81</v>
      </c>
    </row>
    <row r="10915" spans="1:33" x14ac:dyDescent="0.25">
      <c r="A10915" t="str">
        <f>"1912915869"</f>
        <v>1912915869</v>
      </c>
      <c r="C10915" t="s">
        <v>44317</v>
      </c>
      <c r="G10915" t="s">
        <v>44317</v>
      </c>
      <c r="K10915" t="s">
        <v>99</v>
      </c>
      <c r="L10915" t="s">
        <v>102</v>
      </c>
      <c r="M10915" t="s">
        <v>75</v>
      </c>
      <c r="R10915" t="s">
        <v>44318</v>
      </c>
      <c r="S10915" t="s">
        <v>44319</v>
      </c>
      <c r="T10915" t="s">
        <v>87</v>
      </c>
      <c r="U10915" t="s">
        <v>77</v>
      </c>
      <c r="V10915" t="str">
        <f>"11218"</f>
        <v>11218</v>
      </c>
      <c r="AC10915" t="s">
        <v>79</v>
      </c>
      <c r="AD10915" t="s">
        <v>75</v>
      </c>
      <c r="AE10915" t="s">
        <v>103</v>
      </c>
      <c r="AG10915" t="s">
        <v>81</v>
      </c>
    </row>
    <row r="10916" spans="1:33" x14ac:dyDescent="0.25">
      <c r="A10916" t="str">
        <f>"1912946229"</f>
        <v>1912946229</v>
      </c>
      <c r="B10916" t="str">
        <f>"00631416"</f>
        <v>00631416</v>
      </c>
      <c r="C10916" t="s">
        <v>44320</v>
      </c>
      <c r="D10916" t="s">
        <v>44321</v>
      </c>
      <c r="E10916" t="s">
        <v>44322</v>
      </c>
      <c r="G10916" t="s">
        <v>44320</v>
      </c>
      <c r="L10916" t="s">
        <v>83</v>
      </c>
      <c r="M10916" t="s">
        <v>75</v>
      </c>
      <c r="R10916" t="s">
        <v>44323</v>
      </c>
      <c r="W10916" t="s">
        <v>44322</v>
      </c>
      <c r="X10916" t="s">
        <v>40622</v>
      </c>
      <c r="Y10916" t="s">
        <v>179</v>
      </c>
      <c r="Z10916" t="s">
        <v>77</v>
      </c>
      <c r="AA10916" t="str">
        <f>"11550-2614"</f>
        <v>11550-2614</v>
      </c>
      <c r="AB10916" t="s">
        <v>78</v>
      </c>
      <c r="AC10916" t="s">
        <v>79</v>
      </c>
      <c r="AD10916" t="s">
        <v>75</v>
      </c>
      <c r="AE10916" t="s">
        <v>80</v>
      </c>
      <c r="AG10916" t="s">
        <v>81</v>
      </c>
    </row>
    <row r="10917" spans="1:33" x14ac:dyDescent="0.25">
      <c r="A10917" t="str">
        <f>"1922048032"</f>
        <v>1922048032</v>
      </c>
      <c r="B10917" t="str">
        <f>"01888926"</f>
        <v>01888926</v>
      </c>
      <c r="C10917" t="s">
        <v>44324</v>
      </c>
      <c r="D10917" t="s">
        <v>44325</v>
      </c>
      <c r="E10917" t="s">
        <v>44326</v>
      </c>
      <c r="G10917" t="s">
        <v>44324</v>
      </c>
      <c r="L10917" t="s">
        <v>84</v>
      </c>
      <c r="M10917" t="s">
        <v>75</v>
      </c>
      <c r="R10917" t="s">
        <v>44327</v>
      </c>
      <c r="W10917" t="s">
        <v>44326</v>
      </c>
      <c r="X10917" t="s">
        <v>271</v>
      </c>
      <c r="Y10917" t="s">
        <v>161</v>
      </c>
      <c r="Z10917" t="s">
        <v>77</v>
      </c>
      <c r="AA10917" t="str">
        <f>"11040-1661"</f>
        <v>11040-1661</v>
      </c>
      <c r="AB10917" t="s">
        <v>78</v>
      </c>
      <c r="AC10917" t="s">
        <v>79</v>
      </c>
      <c r="AD10917" t="s">
        <v>75</v>
      </c>
      <c r="AE10917" t="s">
        <v>80</v>
      </c>
      <c r="AG10917" t="s">
        <v>81</v>
      </c>
    </row>
    <row r="10918" spans="1:33" x14ac:dyDescent="0.25">
      <c r="A10918" t="str">
        <f>"1922069467"</f>
        <v>1922069467</v>
      </c>
      <c r="B10918" t="str">
        <f>"01889069"</f>
        <v>01889069</v>
      </c>
      <c r="C10918" t="s">
        <v>44328</v>
      </c>
      <c r="D10918" t="s">
        <v>44329</v>
      </c>
      <c r="E10918" t="s">
        <v>44330</v>
      </c>
      <c r="G10918" t="s">
        <v>44328</v>
      </c>
      <c r="L10918" t="s">
        <v>83</v>
      </c>
      <c r="M10918" t="s">
        <v>75</v>
      </c>
      <c r="R10918" t="s">
        <v>44331</v>
      </c>
      <c r="W10918" t="s">
        <v>44330</v>
      </c>
      <c r="X10918" t="s">
        <v>40952</v>
      </c>
      <c r="Y10918" t="s">
        <v>155</v>
      </c>
      <c r="Z10918" t="s">
        <v>77</v>
      </c>
      <c r="AA10918" t="str">
        <f>"10312-6315"</f>
        <v>10312-6315</v>
      </c>
      <c r="AB10918" t="s">
        <v>78</v>
      </c>
      <c r="AC10918" t="s">
        <v>79</v>
      </c>
      <c r="AD10918" t="s">
        <v>75</v>
      </c>
      <c r="AE10918" t="s">
        <v>80</v>
      </c>
      <c r="AG10918" t="s">
        <v>81</v>
      </c>
    </row>
    <row r="10919" spans="1:33" x14ac:dyDescent="0.25">
      <c r="A10919" t="str">
        <f>"1922122894"</f>
        <v>1922122894</v>
      </c>
      <c r="B10919" t="str">
        <f>"02912334"</f>
        <v>02912334</v>
      </c>
      <c r="C10919" t="s">
        <v>44332</v>
      </c>
      <c r="D10919" t="s">
        <v>44333</v>
      </c>
      <c r="E10919" t="s">
        <v>44334</v>
      </c>
      <c r="G10919" t="s">
        <v>44332</v>
      </c>
      <c r="L10919" t="s">
        <v>83</v>
      </c>
      <c r="M10919" t="s">
        <v>75</v>
      </c>
      <c r="R10919" t="s">
        <v>44335</v>
      </c>
      <c r="W10919" t="s">
        <v>44336</v>
      </c>
      <c r="X10919" t="s">
        <v>4498</v>
      </c>
      <c r="Y10919" t="s">
        <v>2034</v>
      </c>
      <c r="Z10919" t="s">
        <v>77</v>
      </c>
      <c r="AA10919" t="str">
        <f>"10598-4143"</f>
        <v>10598-4143</v>
      </c>
      <c r="AB10919" t="s">
        <v>78</v>
      </c>
      <c r="AC10919" t="s">
        <v>79</v>
      </c>
      <c r="AD10919" t="s">
        <v>75</v>
      </c>
      <c r="AE10919" t="s">
        <v>80</v>
      </c>
      <c r="AG10919" t="s">
        <v>81</v>
      </c>
    </row>
    <row r="10920" spans="1:33" x14ac:dyDescent="0.25">
      <c r="A10920" t="str">
        <f>"1922274869"</f>
        <v>1922274869</v>
      </c>
      <c r="B10920" t="str">
        <f>"03405025"</f>
        <v>03405025</v>
      </c>
      <c r="C10920" t="s">
        <v>44337</v>
      </c>
      <c r="D10920" t="s">
        <v>44338</v>
      </c>
      <c r="E10920" t="s">
        <v>44339</v>
      </c>
      <c r="G10920" t="s">
        <v>44337</v>
      </c>
      <c r="L10920" t="s">
        <v>83</v>
      </c>
      <c r="M10920" t="s">
        <v>75</v>
      </c>
      <c r="R10920" t="s">
        <v>44340</v>
      </c>
      <c r="W10920" t="s">
        <v>44339</v>
      </c>
      <c r="X10920" t="s">
        <v>44341</v>
      </c>
      <c r="Y10920" t="s">
        <v>1818</v>
      </c>
      <c r="Z10920" t="s">
        <v>77</v>
      </c>
      <c r="AA10920" t="str">
        <f>"11787-2925"</f>
        <v>11787-2925</v>
      </c>
      <c r="AB10920" t="s">
        <v>78</v>
      </c>
      <c r="AC10920" t="s">
        <v>79</v>
      </c>
      <c r="AD10920" t="s">
        <v>75</v>
      </c>
      <c r="AE10920" t="s">
        <v>80</v>
      </c>
      <c r="AG10920" t="s">
        <v>81</v>
      </c>
    </row>
    <row r="10921" spans="1:33" x14ac:dyDescent="0.25">
      <c r="A10921" t="str">
        <f>"1932165412"</f>
        <v>1932165412</v>
      </c>
      <c r="B10921" t="str">
        <f>"01283494"</f>
        <v>01283494</v>
      </c>
      <c r="C10921" t="s">
        <v>44342</v>
      </c>
      <c r="D10921" t="s">
        <v>44343</v>
      </c>
      <c r="E10921" t="s">
        <v>44344</v>
      </c>
      <c r="G10921" t="s">
        <v>44342</v>
      </c>
      <c r="L10921" t="s">
        <v>84</v>
      </c>
      <c r="M10921" t="s">
        <v>75</v>
      </c>
      <c r="R10921" t="s">
        <v>44345</v>
      </c>
      <c r="W10921" t="s">
        <v>44344</v>
      </c>
      <c r="Y10921" t="s">
        <v>87</v>
      </c>
      <c r="Z10921" t="s">
        <v>77</v>
      </c>
      <c r="AA10921" t="str">
        <f>"11213-2421"</f>
        <v>11213-2421</v>
      </c>
      <c r="AB10921" t="s">
        <v>78</v>
      </c>
      <c r="AC10921" t="s">
        <v>79</v>
      </c>
      <c r="AD10921" t="s">
        <v>75</v>
      </c>
      <c r="AE10921" t="s">
        <v>80</v>
      </c>
      <c r="AG10921" t="s">
        <v>81</v>
      </c>
    </row>
    <row r="10922" spans="1:33" x14ac:dyDescent="0.25">
      <c r="A10922" t="str">
        <f>"1932180684"</f>
        <v>1932180684</v>
      </c>
      <c r="B10922" t="str">
        <f>"01678582"</f>
        <v>01678582</v>
      </c>
      <c r="C10922" t="s">
        <v>44346</v>
      </c>
      <c r="D10922" t="s">
        <v>44347</v>
      </c>
      <c r="E10922" t="s">
        <v>44348</v>
      </c>
      <c r="G10922" t="s">
        <v>44346</v>
      </c>
      <c r="L10922" t="s">
        <v>83</v>
      </c>
      <c r="M10922" t="s">
        <v>75</v>
      </c>
      <c r="R10922" t="s">
        <v>44349</v>
      </c>
      <c r="W10922" t="s">
        <v>44348</v>
      </c>
      <c r="X10922" t="s">
        <v>44350</v>
      </c>
      <c r="Y10922" t="s">
        <v>87</v>
      </c>
      <c r="Z10922" t="s">
        <v>77</v>
      </c>
      <c r="AA10922" t="str">
        <f>"11203-2056"</f>
        <v>11203-2056</v>
      </c>
      <c r="AB10922" t="s">
        <v>78</v>
      </c>
      <c r="AC10922" t="s">
        <v>79</v>
      </c>
      <c r="AD10922" t="s">
        <v>75</v>
      </c>
      <c r="AE10922" t="s">
        <v>80</v>
      </c>
      <c r="AG10922" t="s">
        <v>81</v>
      </c>
    </row>
    <row r="10923" spans="1:33" x14ac:dyDescent="0.25">
      <c r="A10923" t="str">
        <f>"1932183258"</f>
        <v>1932183258</v>
      </c>
      <c r="B10923" t="str">
        <f>"01909351"</f>
        <v>01909351</v>
      </c>
      <c r="C10923" t="s">
        <v>44351</v>
      </c>
      <c r="D10923" t="s">
        <v>44352</v>
      </c>
      <c r="E10923" t="s">
        <v>44353</v>
      </c>
      <c r="G10923" t="s">
        <v>44351</v>
      </c>
      <c r="L10923" t="s">
        <v>74</v>
      </c>
      <c r="M10923" t="s">
        <v>75</v>
      </c>
      <c r="R10923" t="s">
        <v>44354</v>
      </c>
      <c r="W10923" t="s">
        <v>44353</v>
      </c>
      <c r="X10923" t="s">
        <v>44355</v>
      </c>
      <c r="Y10923" t="s">
        <v>87</v>
      </c>
      <c r="Z10923" t="s">
        <v>77</v>
      </c>
      <c r="AA10923" t="str">
        <f>"11210-1352"</f>
        <v>11210-1352</v>
      </c>
      <c r="AB10923" t="s">
        <v>78</v>
      </c>
      <c r="AC10923" t="s">
        <v>79</v>
      </c>
      <c r="AD10923" t="s">
        <v>75</v>
      </c>
      <c r="AE10923" t="s">
        <v>80</v>
      </c>
      <c r="AG10923" t="s">
        <v>81</v>
      </c>
    </row>
    <row r="10924" spans="1:33" x14ac:dyDescent="0.25">
      <c r="A10924" t="str">
        <f>"1932184785"</f>
        <v>1932184785</v>
      </c>
      <c r="B10924" t="str">
        <f>"01982690"</f>
        <v>01982690</v>
      </c>
      <c r="C10924" t="s">
        <v>44356</v>
      </c>
      <c r="D10924" t="s">
        <v>44357</v>
      </c>
      <c r="E10924" t="s">
        <v>44358</v>
      </c>
      <c r="G10924" t="s">
        <v>44356</v>
      </c>
      <c r="L10924" t="s">
        <v>83</v>
      </c>
      <c r="M10924" t="s">
        <v>75</v>
      </c>
      <c r="R10924" t="s">
        <v>44359</v>
      </c>
      <c r="W10924" t="s">
        <v>44358</v>
      </c>
      <c r="X10924" t="s">
        <v>44360</v>
      </c>
      <c r="Y10924" t="s">
        <v>155</v>
      </c>
      <c r="Z10924" t="s">
        <v>77</v>
      </c>
      <c r="AA10924" t="str">
        <f>"10305-3436"</f>
        <v>10305-3436</v>
      </c>
      <c r="AB10924" t="s">
        <v>78</v>
      </c>
      <c r="AC10924" t="s">
        <v>79</v>
      </c>
      <c r="AD10924" t="s">
        <v>75</v>
      </c>
      <c r="AE10924" t="s">
        <v>80</v>
      </c>
      <c r="AG10924" t="s">
        <v>81</v>
      </c>
    </row>
    <row r="10925" spans="1:33" x14ac:dyDescent="0.25">
      <c r="A10925" t="str">
        <f>"1932192333"</f>
        <v>1932192333</v>
      </c>
      <c r="B10925" t="str">
        <f>"00198898"</f>
        <v>00198898</v>
      </c>
      <c r="C10925" t="s">
        <v>44361</v>
      </c>
      <c r="D10925" t="s">
        <v>44362</v>
      </c>
      <c r="E10925" t="s">
        <v>44363</v>
      </c>
      <c r="G10925" t="s">
        <v>44361</v>
      </c>
      <c r="L10925" t="s">
        <v>83</v>
      </c>
      <c r="M10925" t="s">
        <v>75</v>
      </c>
      <c r="R10925" t="s">
        <v>44364</v>
      </c>
      <c r="W10925" t="s">
        <v>44365</v>
      </c>
      <c r="X10925" t="s">
        <v>86</v>
      </c>
      <c r="Y10925" t="s">
        <v>87</v>
      </c>
      <c r="Z10925" t="s">
        <v>77</v>
      </c>
      <c r="AA10925" t="str">
        <f>"11220-2508"</f>
        <v>11220-2508</v>
      </c>
      <c r="AB10925" t="s">
        <v>78</v>
      </c>
      <c r="AC10925" t="s">
        <v>79</v>
      </c>
      <c r="AD10925" t="s">
        <v>75</v>
      </c>
      <c r="AE10925" t="s">
        <v>80</v>
      </c>
      <c r="AG10925" t="s">
        <v>81</v>
      </c>
    </row>
    <row r="10926" spans="1:33" x14ac:dyDescent="0.25">
      <c r="A10926" t="str">
        <f>"1932212701"</f>
        <v>1932212701</v>
      </c>
      <c r="B10926" t="str">
        <f>"01363217"</f>
        <v>01363217</v>
      </c>
      <c r="C10926" t="s">
        <v>44366</v>
      </c>
      <c r="D10926" t="s">
        <v>44367</v>
      </c>
      <c r="E10926" t="s">
        <v>44368</v>
      </c>
      <c r="G10926" t="s">
        <v>44366</v>
      </c>
      <c r="L10926" t="s">
        <v>83</v>
      </c>
      <c r="M10926" t="s">
        <v>75</v>
      </c>
      <c r="R10926" t="s">
        <v>44369</v>
      </c>
      <c r="W10926" t="s">
        <v>44368</v>
      </c>
      <c r="X10926" t="s">
        <v>44370</v>
      </c>
      <c r="Y10926" t="s">
        <v>165</v>
      </c>
      <c r="Z10926" t="s">
        <v>77</v>
      </c>
      <c r="AA10926" t="str">
        <f>"11004-1042"</f>
        <v>11004-1042</v>
      </c>
      <c r="AB10926" t="s">
        <v>128</v>
      </c>
      <c r="AC10926" t="s">
        <v>79</v>
      </c>
      <c r="AD10926" t="s">
        <v>75</v>
      </c>
      <c r="AE10926" t="s">
        <v>80</v>
      </c>
      <c r="AG10926" t="s">
        <v>81</v>
      </c>
    </row>
    <row r="10927" spans="1:33" x14ac:dyDescent="0.25">
      <c r="A10927" t="str">
        <f>"1932301116"</f>
        <v>1932301116</v>
      </c>
      <c r="B10927" t="str">
        <f>"03809469"</f>
        <v>03809469</v>
      </c>
      <c r="C10927" t="s">
        <v>44371</v>
      </c>
      <c r="D10927" t="s">
        <v>44372</v>
      </c>
      <c r="E10927" t="s">
        <v>44373</v>
      </c>
      <c r="G10927" t="s">
        <v>44371</v>
      </c>
      <c r="L10927" t="s">
        <v>83</v>
      </c>
      <c r="M10927" t="s">
        <v>75</v>
      </c>
      <c r="R10927" t="s">
        <v>44374</v>
      </c>
      <c r="W10927" t="s">
        <v>44373</v>
      </c>
      <c r="X10927" t="s">
        <v>29116</v>
      </c>
      <c r="Y10927" t="s">
        <v>87</v>
      </c>
      <c r="Z10927" t="s">
        <v>77</v>
      </c>
      <c r="AA10927" t="str">
        <f>"11208-5132"</f>
        <v>11208-5132</v>
      </c>
      <c r="AB10927" t="s">
        <v>78</v>
      </c>
      <c r="AC10927" t="s">
        <v>79</v>
      </c>
      <c r="AD10927" t="s">
        <v>75</v>
      </c>
      <c r="AE10927" t="s">
        <v>80</v>
      </c>
      <c r="AG10927" t="s">
        <v>81</v>
      </c>
    </row>
    <row r="10928" spans="1:33" x14ac:dyDescent="0.25">
      <c r="A10928" t="str">
        <f>"1942210547"</f>
        <v>1942210547</v>
      </c>
      <c r="B10928" t="str">
        <f>"01291914"</f>
        <v>01291914</v>
      </c>
      <c r="C10928" t="s">
        <v>44375</v>
      </c>
      <c r="D10928" t="s">
        <v>44376</v>
      </c>
      <c r="E10928" t="s">
        <v>44377</v>
      </c>
      <c r="G10928" t="s">
        <v>44375</v>
      </c>
      <c r="L10928" t="s">
        <v>84</v>
      </c>
      <c r="M10928" t="s">
        <v>75</v>
      </c>
      <c r="R10928" t="s">
        <v>44378</v>
      </c>
      <c r="W10928" t="s">
        <v>44377</v>
      </c>
      <c r="X10928" t="s">
        <v>43893</v>
      </c>
      <c r="Y10928" t="s">
        <v>91</v>
      </c>
      <c r="Z10928" t="s">
        <v>77</v>
      </c>
      <c r="AA10928" t="str">
        <f>"11373-4427"</f>
        <v>11373-4427</v>
      </c>
      <c r="AB10928" t="s">
        <v>78</v>
      </c>
      <c r="AC10928" t="s">
        <v>79</v>
      </c>
      <c r="AD10928" t="s">
        <v>75</v>
      </c>
      <c r="AE10928" t="s">
        <v>80</v>
      </c>
      <c r="AG10928" t="s">
        <v>81</v>
      </c>
    </row>
    <row r="10929" spans="1:33" x14ac:dyDescent="0.25">
      <c r="A10929" t="str">
        <f>"1942579396"</f>
        <v>1942579396</v>
      </c>
      <c r="B10929" t="str">
        <f>"03715524"</f>
        <v>03715524</v>
      </c>
      <c r="C10929" t="s">
        <v>44379</v>
      </c>
      <c r="D10929" t="s">
        <v>44380</v>
      </c>
      <c r="E10929" t="s">
        <v>44381</v>
      </c>
      <c r="G10929" t="s">
        <v>44379</v>
      </c>
      <c r="L10929" t="s">
        <v>74</v>
      </c>
      <c r="M10929" t="s">
        <v>75</v>
      </c>
      <c r="R10929" t="s">
        <v>44381</v>
      </c>
      <c r="W10929" t="s">
        <v>44381</v>
      </c>
      <c r="X10929" t="s">
        <v>8978</v>
      </c>
      <c r="Y10929" t="s">
        <v>155</v>
      </c>
      <c r="Z10929" t="s">
        <v>77</v>
      </c>
      <c r="AA10929" t="str">
        <f>"10301-3627"</f>
        <v>10301-3627</v>
      </c>
      <c r="AB10929" t="s">
        <v>109</v>
      </c>
      <c r="AC10929" t="s">
        <v>79</v>
      </c>
      <c r="AD10929" t="s">
        <v>75</v>
      </c>
      <c r="AE10929" t="s">
        <v>80</v>
      </c>
      <c r="AG10929" t="s">
        <v>81</v>
      </c>
    </row>
    <row r="10930" spans="1:33" x14ac:dyDescent="0.25">
      <c r="A10930" t="str">
        <f>"1952356107"</f>
        <v>1952356107</v>
      </c>
      <c r="B10930" t="str">
        <f>"00841130"</f>
        <v>00841130</v>
      </c>
      <c r="C10930" t="s">
        <v>44382</v>
      </c>
      <c r="D10930" t="s">
        <v>44383</v>
      </c>
      <c r="E10930" t="s">
        <v>44384</v>
      </c>
      <c r="G10930" t="s">
        <v>44382</v>
      </c>
      <c r="L10930" t="s">
        <v>84</v>
      </c>
      <c r="M10930" t="s">
        <v>75</v>
      </c>
      <c r="R10930" t="s">
        <v>44385</v>
      </c>
      <c r="W10930" t="s">
        <v>44384</v>
      </c>
      <c r="X10930" t="s">
        <v>4916</v>
      </c>
      <c r="Y10930" t="s">
        <v>171</v>
      </c>
      <c r="Z10930" t="s">
        <v>77</v>
      </c>
      <c r="AA10930" t="str">
        <f>"11432-4727"</f>
        <v>11432-4727</v>
      </c>
      <c r="AB10930" t="s">
        <v>78</v>
      </c>
      <c r="AC10930" t="s">
        <v>79</v>
      </c>
      <c r="AD10930" t="s">
        <v>75</v>
      </c>
      <c r="AE10930" t="s">
        <v>80</v>
      </c>
      <c r="AG10930" t="s">
        <v>81</v>
      </c>
    </row>
    <row r="10931" spans="1:33" x14ac:dyDescent="0.25">
      <c r="A10931" t="str">
        <f>"1952358095"</f>
        <v>1952358095</v>
      </c>
      <c r="B10931" t="str">
        <f>"01722807"</f>
        <v>01722807</v>
      </c>
      <c r="C10931" t="s">
        <v>44386</v>
      </c>
      <c r="D10931" t="s">
        <v>44387</v>
      </c>
      <c r="E10931" t="s">
        <v>44388</v>
      </c>
      <c r="G10931" t="s">
        <v>44386</v>
      </c>
      <c r="L10931" t="s">
        <v>84</v>
      </c>
      <c r="M10931" t="s">
        <v>75</v>
      </c>
      <c r="R10931" t="s">
        <v>44389</v>
      </c>
      <c r="W10931" t="s">
        <v>44388</v>
      </c>
      <c r="X10931" t="s">
        <v>44390</v>
      </c>
      <c r="Y10931" t="s">
        <v>309</v>
      </c>
      <c r="Z10931" t="s">
        <v>77</v>
      </c>
      <c r="AA10931" t="str">
        <f>"11419-1412"</f>
        <v>11419-1412</v>
      </c>
      <c r="AB10931" t="s">
        <v>78</v>
      </c>
      <c r="AC10931" t="s">
        <v>79</v>
      </c>
      <c r="AD10931" t="s">
        <v>75</v>
      </c>
      <c r="AE10931" t="s">
        <v>80</v>
      </c>
      <c r="AG10931" t="s">
        <v>81</v>
      </c>
    </row>
    <row r="10932" spans="1:33" x14ac:dyDescent="0.25">
      <c r="A10932" t="str">
        <f>"1952437162"</f>
        <v>1952437162</v>
      </c>
      <c r="B10932" t="str">
        <f>"03547055"</f>
        <v>03547055</v>
      </c>
      <c r="C10932" t="s">
        <v>44391</v>
      </c>
      <c r="D10932" t="s">
        <v>44392</v>
      </c>
      <c r="E10932" t="s">
        <v>44393</v>
      </c>
      <c r="G10932" t="s">
        <v>44391</v>
      </c>
      <c r="L10932" t="s">
        <v>84</v>
      </c>
      <c r="M10932" t="s">
        <v>75</v>
      </c>
      <c r="R10932" t="s">
        <v>44393</v>
      </c>
      <c r="W10932" t="s">
        <v>44393</v>
      </c>
      <c r="X10932" t="s">
        <v>4507</v>
      </c>
      <c r="Y10932" t="s">
        <v>4508</v>
      </c>
      <c r="Z10932" t="s">
        <v>77</v>
      </c>
      <c r="AA10932" t="str">
        <f>"10708-3403"</f>
        <v>10708-3403</v>
      </c>
      <c r="AB10932" t="s">
        <v>78</v>
      </c>
      <c r="AC10932" t="s">
        <v>79</v>
      </c>
      <c r="AD10932" t="s">
        <v>75</v>
      </c>
      <c r="AE10932" t="s">
        <v>80</v>
      </c>
      <c r="AG10932" t="s">
        <v>81</v>
      </c>
    </row>
    <row r="10933" spans="1:33" x14ac:dyDescent="0.25">
      <c r="A10933" t="str">
        <f>"1952668402"</f>
        <v>1952668402</v>
      </c>
      <c r="B10933" t="str">
        <f>"03570770"</f>
        <v>03570770</v>
      </c>
      <c r="C10933" t="s">
        <v>44394</v>
      </c>
      <c r="D10933" t="s">
        <v>44395</v>
      </c>
      <c r="E10933" t="s">
        <v>44396</v>
      </c>
      <c r="G10933" t="s">
        <v>44394</v>
      </c>
      <c r="L10933" t="s">
        <v>83</v>
      </c>
      <c r="M10933" t="s">
        <v>75</v>
      </c>
      <c r="R10933" t="s">
        <v>44397</v>
      </c>
      <c r="W10933" t="s">
        <v>44398</v>
      </c>
      <c r="X10933" t="s">
        <v>590</v>
      </c>
      <c r="Y10933" t="s">
        <v>97</v>
      </c>
      <c r="Z10933" t="s">
        <v>77</v>
      </c>
      <c r="AA10933" t="str">
        <f>"10128-4077"</f>
        <v>10128-4077</v>
      </c>
      <c r="AB10933" t="s">
        <v>78</v>
      </c>
      <c r="AC10933" t="s">
        <v>79</v>
      </c>
      <c r="AD10933" t="s">
        <v>75</v>
      </c>
      <c r="AE10933" t="s">
        <v>80</v>
      </c>
      <c r="AG10933" t="s">
        <v>81</v>
      </c>
    </row>
    <row r="10934" spans="1:33" x14ac:dyDescent="0.25">
      <c r="A10934" t="str">
        <f>"1952748600"</f>
        <v>1952748600</v>
      </c>
      <c r="C10934" t="s">
        <v>44399</v>
      </c>
      <c r="G10934" t="s">
        <v>44399</v>
      </c>
      <c r="K10934" t="s">
        <v>99</v>
      </c>
      <c r="L10934" t="s">
        <v>102</v>
      </c>
      <c r="M10934" t="s">
        <v>75</v>
      </c>
      <c r="R10934" t="s">
        <v>44400</v>
      </c>
      <c r="S10934" t="s">
        <v>44401</v>
      </c>
      <c r="T10934" t="s">
        <v>139</v>
      </c>
      <c r="U10934" t="s">
        <v>77</v>
      </c>
      <c r="V10934" t="str">
        <f>"113541503"</f>
        <v>113541503</v>
      </c>
      <c r="AC10934" t="s">
        <v>79</v>
      </c>
      <c r="AD10934" t="s">
        <v>75</v>
      </c>
      <c r="AE10934" t="s">
        <v>103</v>
      </c>
      <c r="AG10934" t="s">
        <v>81</v>
      </c>
    </row>
    <row r="10935" spans="1:33" x14ac:dyDescent="0.25">
      <c r="A10935" t="str">
        <f>"1962402727"</f>
        <v>1962402727</v>
      </c>
      <c r="B10935" t="str">
        <f>"01272935"</f>
        <v>01272935</v>
      </c>
      <c r="C10935" t="s">
        <v>44402</v>
      </c>
      <c r="D10935" t="s">
        <v>44403</v>
      </c>
      <c r="E10935" t="s">
        <v>44404</v>
      </c>
      <c r="G10935" t="s">
        <v>44402</v>
      </c>
      <c r="L10935" t="s">
        <v>83</v>
      </c>
      <c r="M10935" t="s">
        <v>75</v>
      </c>
      <c r="R10935" t="s">
        <v>44405</v>
      </c>
      <c r="W10935" t="s">
        <v>44404</v>
      </c>
      <c r="X10935" t="s">
        <v>539</v>
      </c>
      <c r="Y10935" t="s">
        <v>97</v>
      </c>
      <c r="Z10935" t="s">
        <v>77</v>
      </c>
      <c r="AA10935" t="str">
        <f>"10003-3804"</f>
        <v>10003-3804</v>
      </c>
      <c r="AB10935" t="s">
        <v>78</v>
      </c>
      <c r="AC10935" t="s">
        <v>79</v>
      </c>
      <c r="AD10935" t="s">
        <v>75</v>
      </c>
      <c r="AE10935" t="s">
        <v>80</v>
      </c>
      <c r="AG10935" t="s">
        <v>81</v>
      </c>
    </row>
    <row r="10936" spans="1:33" x14ac:dyDescent="0.25">
      <c r="A10936" t="str">
        <f>"1962441154"</f>
        <v>1962441154</v>
      </c>
      <c r="B10936" t="str">
        <f>"01723115"</f>
        <v>01723115</v>
      </c>
      <c r="C10936" t="s">
        <v>44406</v>
      </c>
      <c r="D10936" t="s">
        <v>44407</v>
      </c>
      <c r="E10936" t="s">
        <v>44408</v>
      </c>
      <c r="G10936" t="s">
        <v>44406</v>
      </c>
      <c r="L10936" t="s">
        <v>84</v>
      </c>
      <c r="M10936" t="s">
        <v>75</v>
      </c>
      <c r="R10936" t="s">
        <v>44409</v>
      </c>
      <c r="W10936" t="s">
        <v>44408</v>
      </c>
      <c r="X10936" t="s">
        <v>40622</v>
      </c>
      <c r="Y10936" t="s">
        <v>179</v>
      </c>
      <c r="Z10936" t="s">
        <v>77</v>
      </c>
      <c r="AA10936" t="str">
        <f>"11550-2614"</f>
        <v>11550-2614</v>
      </c>
      <c r="AB10936" t="s">
        <v>78</v>
      </c>
      <c r="AC10936" t="s">
        <v>79</v>
      </c>
      <c r="AD10936" t="s">
        <v>75</v>
      </c>
      <c r="AE10936" t="s">
        <v>80</v>
      </c>
      <c r="AG10936" t="s">
        <v>81</v>
      </c>
    </row>
    <row r="10937" spans="1:33" x14ac:dyDescent="0.25">
      <c r="A10937" t="str">
        <f>"1568601342"</f>
        <v>1568601342</v>
      </c>
      <c r="C10937" t="s">
        <v>44410</v>
      </c>
      <c r="K10937" t="s">
        <v>99</v>
      </c>
      <c r="L10937" t="s">
        <v>102</v>
      </c>
      <c r="M10937" t="s">
        <v>75</v>
      </c>
      <c r="R10937" t="s">
        <v>44411</v>
      </c>
      <c r="S10937" t="s">
        <v>3601</v>
      </c>
      <c r="T10937" t="s">
        <v>97</v>
      </c>
      <c r="U10937" t="s">
        <v>77</v>
      </c>
      <c r="V10937" t="str">
        <f>"100296500"</f>
        <v>100296500</v>
      </c>
      <c r="AC10937" t="s">
        <v>79</v>
      </c>
      <c r="AD10937" t="s">
        <v>75</v>
      </c>
      <c r="AE10937" t="s">
        <v>103</v>
      </c>
      <c r="AG10937" t="s">
        <v>81</v>
      </c>
    </row>
    <row r="10938" spans="1:33" x14ac:dyDescent="0.25">
      <c r="A10938" t="str">
        <f>"1588067813"</f>
        <v>1588067813</v>
      </c>
      <c r="C10938" t="s">
        <v>44412</v>
      </c>
      <c r="K10938" t="s">
        <v>99</v>
      </c>
      <c r="L10938" t="s">
        <v>102</v>
      </c>
      <c r="M10938" t="s">
        <v>75</v>
      </c>
      <c r="R10938" t="s">
        <v>44413</v>
      </c>
      <c r="S10938" t="s">
        <v>44414</v>
      </c>
      <c r="T10938" t="s">
        <v>97</v>
      </c>
      <c r="U10938" t="s">
        <v>77</v>
      </c>
      <c r="V10938" t="str">
        <f>"100033804"</f>
        <v>100033804</v>
      </c>
      <c r="AC10938" t="s">
        <v>79</v>
      </c>
      <c r="AD10938" t="s">
        <v>75</v>
      </c>
      <c r="AE10938" t="s">
        <v>103</v>
      </c>
      <c r="AG10938" t="s">
        <v>81</v>
      </c>
    </row>
    <row r="10939" spans="1:33" x14ac:dyDescent="0.25">
      <c r="A10939" t="str">
        <f>"1588725774"</f>
        <v>1588725774</v>
      </c>
      <c r="C10939" t="s">
        <v>44415</v>
      </c>
      <c r="K10939" t="s">
        <v>99</v>
      </c>
      <c r="L10939" t="s">
        <v>102</v>
      </c>
      <c r="M10939" t="s">
        <v>75</v>
      </c>
      <c r="R10939" t="s">
        <v>44416</v>
      </c>
      <c r="S10939" t="s">
        <v>44417</v>
      </c>
      <c r="T10939" t="s">
        <v>97</v>
      </c>
      <c r="U10939" t="s">
        <v>77</v>
      </c>
      <c r="V10939" t="str">
        <f>"10025"</f>
        <v>10025</v>
      </c>
      <c r="AC10939" t="s">
        <v>79</v>
      </c>
      <c r="AD10939" t="s">
        <v>75</v>
      </c>
      <c r="AE10939" t="s">
        <v>103</v>
      </c>
      <c r="AG10939" t="s">
        <v>81</v>
      </c>
    </row>
    <row r="10940" spans="1:33" x14ac:dyDescent="0.25">
      <c r="A10940" t="str">
        <f>"1588813646"</f>
        <v>1588813646</v>
      </c>
      <c r="C10940" t="s">
        <v>43387</v>
      </c>
      <c r="K10940" t="s">
        <v>99</v>
      </c>
      <c r="L10940" t="s">
        <v>102</v>
      </c>
      <c r="M10940" t="s">
        <v>75</v>
      </c>
      <c r="R10940" t="s">
        <v>22768</v>
      </c>
      <c r="S10940" t="s">
        <v>14915</v>
      </c>
      <c r="T10940" t="s">
        <v>97</v>
      </c>
      <c r="U10940" t="s">
        <v>77</v>
      </c>
      <c r="V10940" t="str">
        <f>"100032925"</f>
        <v>100032925</v>
      </c>
      <c r="AC10940" t="s">
        <v>79</v>
      </c>
      <c r="AD10940" t="s">
        <v>75</v>
      </c>
      <c r="AE10940" t="s">
        <v>103</v>
      </c>
      <c r="AG10940" t="s">
        <v>81</v>
      </c>
    </row>
    <row r="10941" spans="1:33" x14ac:dyDescent="0.25">
      <c r="A10941" t="str">
        <f>"1588906309"</f>
        <v>1588906309</v>
      </c>
      <c r="C10941" t="s">
        <v>43387</v>
      </c>
      <c r="K10941" t="s">
        <v>99</v>
      </c>
      <c r="L10941" t="s">
        <v>102</v>
      </c>
      <c r="M10941" t="s">
        <v>75</v>
      </c>
      <c r="R10941" t="s">
        <v>22768</v>
      </c>
      <c r="S10941" t="s">
        <v>12415</v>
      </c>
      <c r="T10941" t="s">
        <v>97</v>
      </c>
      <c r="U10941" t="s">
        <v>77</v>
      </c>
      <c r="V10941" t="str">
        <f>"10003"</f>
        <v>10003</v>
      </c>
      <c r="AC10941" t="s">
        <v>79</v>
      </c>
      <c r="AD10941" t="s">
        <v>75</v>
      </c>
      <c r="AE10941" t="s">
        <v>103</v>
      </c>
      <c r="AG10941" t="s">
        <v>81</v>
      </c>
    </row>
    <row r="10942" spans="1:33" x14ac:dyDescent="0.25">
      <c r="A10942" t="str">
        <f>"1598819765"</f>
        <v>1598819765</v>
      </c>
      <c r="B10942" t="str">
        <f>"02872544"</f>
        <v>02872544</v>
      </c>
      <c r="C10942" t="s">
        <v>44418</v>
      </c>
      <c r="D10942" t="s">
        <v>44419</v>
      </c>
      <c r="E10942" t="s">
        <v>44420</v>
      </c>
      <c r="L10942" t="s">
        <v>102</v>
      </c>
      <c r="M10942" t="s">
        <v>75</v>
      </c>
      <c r="R10942" t="s">
        <v>44421</v>
      </c>
      <c r="W10942" t="s">
        <v>44420</v>
      </c>
      <c r="X10942" t="s">
        <v>16182</v>
      </c>
      <c r="Y10942" t="s">
        <v>97</v>
      </c>
      <c r="Z10942" t="s">
        <v>77</v>
      </c>
      <c r="AA10942" t="str">
        <f>"10019-1147"</f>
        <v>10019-1147</v>
      </c>
      <c r="AB10942" t="s">
        <v>78</v>
      </c>
      <c r="AC10942" t="s">
        <v>79</v>
      </c>
      <c r="AD10942" t="s">
        <v>75</v>
      </c>
      <c r="AE10942" t="s">
        <v>80</v>
      </c>
      <c r="AG10942" t="s">
        <v>81</v>
      </c>
    </row>
    <row r="10943" spans="1:33" x14ac:dyDescent="0.25">
      <c r="A10943" t="str">
        <f>"1609193309"</f>
        <v>1609193309</v>
      </c>
      <c r="C10943" t="s">
        <v>43387</v>
      </c>
      <c r="K10943" t="s">
        <v>99</v>
      </c>
      <c r="L10943" t="s">
        <v>102</v>
      </c>
      <c r="M10943" t="s">
        <v>75</v>
      </c>
      <c r="R10943" t="s">
        <v>22768</v>
      </c>
      <c r="S10943" t="s">
        <v>44422</v>
      </c>
      <c r="T10943" t="s">
        <v>97</v>
      </c>
      <c r="U10943" t="s">
        <v>77</v>
      </c>
      <c r="V10943" t="str">
        <f>"10003"</f>
        <v>10003</v>
      </c>
      <c r="AC10943" t="s">
        <v>79</v>
      </c>
      <c r="AD10943" t="s">
        <v>75</v>
      </c>
      <c r="AE10943" t="s">
        <v>103</v>
      </c>
      <c r="AG10943" t="s">
        <v>81</v>
      </c>
    </row>
    <row r="10944" spans="1:33" x14ac:dyDescent="0.25">
      <c r="A10944" t="str">
        <f>"1619218872"</f>
        <v>1619218872</v>
      </c>
      <c r="C10944" t="s">
        <v>43387</v>
      </c>
      <c r="K10944" t="s">
        <v>99</v>
      </c>
      <c r="L10944" t="s">
        <v>102</v>
      </c>
      <c r="M10944" t="s">
        <v>75</v>
      </c>
      <c r="R10944" t="s">
        <v>22768</v>
      </c>
      <c r="S10944" t="s">
        <v>44423</v>
      </c>
      <c r="T10944" t="s">
        <v>97</v>
      </c>
      <c r="U10944" t="s">
        <v>77</v>
      </c>
      <c r="V10944" t="str">
        <f>"100033804"</f>
        <v>100033804</v>
      </c>
      <c r="AC10944" t="s">
        <v>79</v>
      </c>
      <c r="AD10944" t="s">
        <v>75</v>
      </c>
      <c r="AE10944" t="s">
        <v>103</v>
      </c>
      <c r="AG10944" t="s">
        <v>81</v>
      </c>
    </row>
    <row r="10945" spans="1:33" x14ac:dyDescent="0.25">
      <c r="A10945" t="str">
        <f>"1619944683"</f>
        <v>1619944683</v>
      </c>
      <c r="B10945" t="str">
        <f>"02998598"</f>
        <v>02998598</v>
      </c>
      <c r="C10945" t="s">
        <v>43849</v>
      </c>
      <c r="D10945" t="s">
        <v>1291</v>
      </c>
      <c r="E10945" t="s">
        <v>1290</v>
      </c>
      <c r="L10945" t="s">
        <v>148</v>
      </c>
      <c r="M10945" t="s">
        <v>85</v>
      </c>
      <c r="R10945" t="s">
        <v>1290</v>
      </c>
      <c r="W10945" t="s">
        <v>1290</v>
      </c>
      <c r="X10945" t="s">
        <v>329</v>
      </c>
      <c r="Y10945" t="s">
        <v>97</v>
      </c>
      <c r="Z10945" t="s">
        <v>77</v>
      </c>
      <c r="AA10945" t="str">
        <f>"10029-6500"</f>
        <v>10029-6500</v>
      </c>
      <c r="AB10945" t="s">
        <v>96</v>
      </c>
      <c r="AC10945" t="s">
        <v>79</v>
      </c>
      <c r="AD10945" t="s">
        <v>75</v>
      </c>
      <c r="AE10945" t="s">
        <v>80</v>
      </c>
      <c r="AG10945" t="s">
        <v>81</v>
      </c>
    </row>
    <row r="10946" spans="1:33" x14ac:dyDescent="0.25">
      <c r="A10946" t="str">
        <f>"1629410592"</f>
        <v>1629410592</v>
      </c>
      <c r="C10946" t="s">
        <v>43849</v>
      </c>
      <c r="K10946" t="s">
        <v>99</v>
      </c>
      <c r="L10946" t="s">
        <v>102</v>
      </c>
      <c r="M10946" t="s">
        <v>75</v>
      </c>
      <c r="R10946" t="s">
        <v>2676</v>
      </c>
      <c r="S10946" t="s">
        <v>44424</v>
      </c>
      <c r="T10946" t="s">
        <v>97</v>
      </c>
      <c r="U10946" t="s">
        <v>77</v>
      </c>
      <c r="V10946" t="str">
        <f>"100296508"</f>
        <v>100296508</v>
      </c>
      <c r="AC10946" t="s">
        <v>79</v>
      </c>
      <c r="AD10946" t="s">
        <v>75</v>
      </c>
      <c r="AE10946" t="s">
        <v>103</v>
      </c>
      <c r="AG10946" t="s">
        <v>81</v>
      </c>
    </row>
    <row r="10947" spans="1:33" x14ac:dyDescent="0.25">
      <c r="A10947" t="str">
        <f>"1639338635"</f>
        <v>1639338635</v>
      </c>
      <c r="C10947" t="s">
        <v>43827</v>
      </c>
      <c r="K10947" t="s">
        <v>99</v>
      </c>
      <c r="L10947" t="s">
        <v>102</v>
      </c>
      <c r="M10947" t="s">
        <v>75</v>
      </c>
      <c r="R10947" t="s">
        <v>13860</v>
      </c>
      <c r="S10947" t="s">
        <v>44425</v>
      </c>
      <c r="T10947" t="s">
        <v>87</v>
      </c>
      <c r="U10947" t="s">
        <v>77</v>
      </c>
      <c r="V10947" t="str">
        <f>"112301352"</f>
        <v>112301352</v>
      </c>
      <c r="AC10947" t="s">
        <v>79</v>
      </c>
      <c r="AD10947" t="s">
        <v>75</v>
      </c>
      <c r="AE10947" t="s">
        <v>103</v>
      </c>
      <c r="AG10947" t="s">
        <v>81</v>
      </c>
    </row>
    <row r="10948" spans="1:33" x14ac:dyDescent="0.25">
      <c r="A10948" t="str">
        <f>"1649415571"</f>
        <v>1649415571</v>
      </c>
      <c r="B10948" t="str">
        <f>"03103422"</f>
        <v>03103422</v>
      </c>
      <c r="C10948" t="s">
        <v>43387</v>
      </c>
      <c r="D10948" t="s">
        <v>27831</v>
      </c>
      <c r="E10948" t="s">
        <v>27832</v>
      </c>
      <c r="L10948" t="s">
        <v>1305</v>
      </c>
      <c r="M10948" t="s">
        <v>85</v>
      </c>
      <c r="R10948" t="s">
        <v>22768</v>
      </c>
      <c r="W10948" t="s">
        <v>44426</v>
      </c>
      <c r="X10948" t="s">
        <v>12648</v>
      </c>
      <c r="Y10948" t="s">
        <v>97</v>
      </c>
      <c r="Z10948" t="s">
        <v>77</v>
      </c>
      <c r="AA10948" t="str">
        <f>"10003-3105"</f>
        <v>10003-3105</v>
      </c>
      <c r="AB10948" t="s">
        <v>96</v>
      </c>
      <c r="AC10948" t="s">
        <v>79</v>
      </c>
      <c r="AD10948" t="s">
        <v>75</v>
      </c>
      <c r="AE10948" t="s">
        <v>80</v>
      </c>
      <c r="AG10948" t="s">
        <v>81</v>
      </c>
    </row>
    <row r="10949" spans="1:33" x14ac:dyDescent="0.25">
      <c r="A10949" t="str">
        <f>"1649684127"</f>
        <v>1649684127</v>
      </c>
      <c r="C10949" t="s">
        <v>43849</v>
      </c>
      <c r="K10949" t="s">
        <v>99</v>
      </c>
      <c r="L10949" t="s">
        <v>102</v>
      </c>
      <c r="M10949" t="s">
        <v>75</v>
      </c>
      <c r="R10949" t="s">
        <v>2676</v>
      </c>
      <c r="S10949" t="s">
        <v>44427</v>
      </c>
      <c r="T10949" t="s">
        <v>97</v>
      </c>
      <c r="U10949" t="s">
        <v>77</v>
      </c>
      <c r="V10949" t="str">
        <f>"100115325"</f>
        <v>100115325</v>
      </c>
      <c r="AC10949" t="s">
        <v>79</v>
      </c>
      <c r="AD10949" t="s">
        <v>75</v>
      </c>
      <c r="AE10949" t="s">
        <v>103</v>
      </c>
      <c r="AG10949" t="s">
        <v>81</v>
      </c>
    </row>
    <row r="10950" spans="1:33" x14ac:dyDescent="0.25">
      <c r="A10950" t="str">
        <f>"1659539039"</f>
        <v>1659539039</v>
      </c>
      <c r="C10950" t="s">
        <v>44428</v>
      </c>
      <c r="K10950" t="s">
        <v>99</v>
      </c>
      <c r="L10950" t="s">
        <v>102</v>
      </c>
      <c r="M10950" t="s">
        <v>75</v>
      </c>
      <c r="R10950" t="s">
        <v>13860</v>
      </c>
      <c r="S10950" t="s">
        <v>44429</v>
      </c>
      <c r="T10950" t="s">
        <v>91</v>
      </c>
      <c r="U10950" t="s">
        <v>77</v>
      </c>
      <c r="V10950" t="str">
        <f>"11373"</f>
        <v>11373</v>
      </c>
      <c r="AC10950" t="s">
        <v>79</v>
      </c>
      <c r="AD10950" t="s">
        <v>75</v>
      </c>
      <c r="AE10950" t="s">
        <v>103</v>
      </c>
      <c r="AG10950" t="s">
        <v>81</v>
      </c>
    </row>
    <row r="10951" spans="1:33" x14ac:dyDescent="0.25">
      <c r="A10951" t="str">
        <f>"1669440327"</f>
        <v>1669440327</v>
      </c>
      <c r="B10951" t="str">
        <f>"02998603"</f>
        <v>02998603</v>
      </c>
      <c r="C10951" t="s">
        <v>43299</v>
      </c>
      <c r="D10951" t="s">
        <v>1291</v>
      </c>
      <c r="E10951" t="s">
        <v>1290</v>
      </c>
      <c r="L10951" t="s">
        <v>148</v>
      </c>
      <c r="M10951" t="s">
        <v>85</v>
      </c>
      <c r="R10951" t="s">
        <v>1290</v>
      </c>
      <c r="W10951" t="s">
        <v>1290</v>
      </c>
      <c r="X10951" t="s">
        <v>329</v>
      </c>
      <c r="Y10951" t="s">
        <v>97</v>
      </c>
      <c r="Z10951" t="s">
        <v>77</v>
      </c>
      <c r="AA10951" t="str">
        <f>"10029-6500"</f>
        <v>10029-6500</v>
      </c>
      <c r="AB10951" t="s">
        <v>96</v>
      </c>
      <c r="AC10951" t="s">
        <v>79</v>
      </c>
      <c r="AD10951" t="s">
        <v>75</v>
      </c>
      <c r="AE10951" t="s">
        <v>80</v>
      </c>
      <c r="AG10951" t="s">
        <v>81</v>
      </c>
    </row>
    <row r="10952" spans="1:33" x14ac:dyDescent="0.25">
      <c r="A10952" t="str">
        <f>"1669476156"</f>
        <v>1669476156</v>
      </c>
      <c r="B10952" t="str">
        <f>"02550594"</f>
        <v>02550594</v>
      </c>
      <c r="C10952" t="s">
        <v>44430</v>
      </c>
      <c r="D10952" t="s">
        <v>44431</v>
      </c>
      <c r="E10952" t="s">
        <v>44432</v>
      </c>
      <c r="G10952" t="s">
        <v>27833</v>
      </c>
      <c r="H10952" t="s">
        <v>27834</v>
      </c>
      <c r="J10952" t="s">
        <v>27835</v>
      </c>
      <c r="L10952" t="s">
        <v>115</v>
      </c>
      <c r="M10952" t="s">
        <v>85</v>
      </c>
      <c r="R10952" t="s">
        <v>44433</v>
      </c>
      <c r="W10952" t="s">
        <v>44432</v>
      </c>
      <c r="X10952" t="s">
        <v>44434</v>
      </c>
      <c r="Y10952" t="s">
        <v>97</v>
      </c>
      <c r="Z10952" t="s">
        <v>77</v>
      </c>
      <c r="AA10952" t="str">
        <f>"10029-5204"</f>
        <v>10029-5204</v>
      </c>
      <c r="AB10952" t="s">
        <v>122</v>
      </c>
      <c r="AC10952" t="s">
        <v>79</v>
      </c>
      <c r="AD10952" t="s">
        <v>75</v>
      </c>
      <c r="AE10952" t="s">
        <v>80</v>
      </c>
      <c r="AG10952" t="s">
        <v>81</v>
      </c>
    </row>
    <row r="10953" spans="1:33" x14ac:dyDescent="0.25">
      <c r="A10953" t="str">
        <f>"1679711626"</f>
        <v>1679711626</v>
      </c>
      <c r="C10953" t="s">
        <v>43295</v>
      </c>
      <c r="K10953" t="s">
        <v>99</v>
      </c>
      <c r="L10953" t="s">
        <v>102</v>
      </c>
      <c r="M10953" t="s">
        <v>75</v>
      </c>
      <c r="R10953" t="s">
        <v>43296</v>
      </c>
      <c r="S10953" t="s">
        <v>329</v>
      </c>
      <c r="T10953" t="s">
        <v>97</v>
      </c>
      <c r="U10953" t="s">
        <v>77</v>
      </c>
      <c r="V10953" t="str">
        <f>"100296500"</f>
        <v>100296500</v>
      </c>
      <c r="AC10953" t="s">
        <v>79</v>
      </c>
      <c r="AD10953" t="s">
        <v>75</v>
      </c>
      <c r="AE10953" t="s">
        <v>103</v>
      </c>
      <c r="AG10953" t="s">
        <v>81</v>
      </c>
    </row>
    <row r="10954" spans="1:33" x14ac:dyDescent="0.25">
      <c r="A10954" t="str">
        <f>"1679722300"</f>
        <v>1679722300</v>
      </c>
      <c r="C10954" t="s">
        <v>43392</v>
      </c>
      <c r="K10954" t="s">
        <v>99</v>
      </c>
      <c r="L10954" t="s">
        <v>102</v>
      </c>
      <c r="M10954" t="s">
        <v>75</v>
      </c>
      <c r="R10954" t="s">
        <v>43393</v>
      </c>
      <c r="S10954" t="s">
        <v>11657</v>
      </c>
      <c r="T10954" t="s">
        <v>77</v>
      </c>
      <c r="U10954" t="s">
        <v>77</v>
      </c>
      <c r="V10954" t="str">
        <f>"10029"</f>
        <v>10029</v>
      </c>
      <c r="AC10954" t="s">
        <v>79</v>
      </c>
      <c r="AD10954" t="s">
        <v>75</v>
      </c>
      <c r="AE10954" t="s">
        <v>103</v>
      </c>
      <c r="AG10954" t="s">
        <v>81</v>
      </c>
    </row>
    <row r="10955" spans="1:33" x14ac:dyDescent="0.25">
      <c r="A10955" t="str">
        <f>"1699798934"</f>
        <v>1699798934</v>
      </c>
      <c r="B10955" t="str">
        <f>"02985073"</f>
        <v>02985073</v>
      </c>
      <c r="C10955" t="s">
        <v>43387</v>
      </c>
      <c r="D10955" t="s">
        <v>27831</v>
      </c>
      <c r="E10955" t="s">
        <v>27832</v>
      </c>
      <c r="L10955" t="s">
        <v>1305</v>
      </c>
      <c r="M10955" t="s">
        <v>85</v>
      </c>
      <c r="R10955" t="s">
        <v>22768</v>
      </c>
      <c r="W10955" t="s">
        <v>44435</v>
      </c>
      <c r="X10955" t="s">
        <v>3553</v>
      </c>
      <c r="Y10955" t="s">
        <v>97</v>
      </c>
      <c r="Z10955" t="s">
        <v>77</v>
      </c>
      <c r="AA10955" t="str">
        <f>"10003-3851"</f>
        <v>10003-3851</v>
      </c>
      <c r="AB10955" t="s">
        <v>96</v>
      </c>
      <c r="AC10955" t="s">
        <v>79</v>
      </c>
      <c r="AD10955" t="s">
        <v>75</v>
      </c>
      <c r="AE10955" t="s">
        <v>80</v>
      </c>
      <c r="AG10955" t="s">
        <v>81</v>
      </c>
    </row>
    <row r="10956" spans="1:33" x14ac:dyDescent="0.25">
      <c r="A10956" t="str">
        <f>"1699919902"</f>
        <v>1699919902</v>
      </c>
      <c r="C10956" t="s">
        <v>43301</v>
      </c>
      <c r="K10956" t="s">
        <v>99</v>
      </c>
      <c r="L10956" t="s">
        <v>102</v>
      </c>
      <c r="M10956" t="s">
        <v>75</v>
      </c>
      <c r="R10956" t="s">
        <v>43302</v>
      </c>
      <c r="S10956" t="s">
        <v>44436</v>
      </c>
      <c r="T10956" t="s">
        <v>97</v>
      </c>
      <c r="U10956" t="s">
        <v>77</v>
      </c>
      <c r="V10956" t="str">
        <f>"100297219"</f>
        <v>100297219</v>
      </c>
      <c r="AC10956" t="s">
        <v>79</v>
      </c>
      <c r="AD10956" t="s">
        <v>75</v>
      </c>
      <c r="AE10956" t="s">
        <v>103</v>
      </c>
      <c r="AG10956" t="s">
        <v>81</v>
      </c>
    </row>
    <row r="10957" spans="1:33" x14ac:dyDescent="0.25">
      <c r="A10957" t="str">
        <f>"1699953091"</f>
        <v>1699953091</v>
      </c>
      <c r="C10957" t="s">
        <v>43295</v>
      </c>
      <c r="K10957" t="s">
        <v>99</v>
      </c>
      <c r="L10957" t="s">
        <v>102</v>
      </c>
      <c r="M10957" t="s">
        <v>75</v>
      </c>
      <c r="R10957" t="s">
        <v>43296</v>
      </c>
      <c r="S10957" t="s">
        <v>44437</v>
      </c>
      <c r="T10957" t="s">
        <v>97</v>
      </c>
      <c r="U10957" t="s">
        <v>77</v>
      </c>
      <c r="V10957" t="str">
        <f>"100296500"</f>
        <v>100296500</v>
      </c>
      <c r="AC10957" t="s">
        <v>79</v>
      </c>
      <c r="AD10957" t="s">
        <v>75</v>
      </c>
      <c r="AE10957" t="s">
        <v>103</v>
      </c>
      <c r="AG10957" t="s">
        <v>81</v>
      </c>
    </row>
    <row r="10958" spans="1:33" x14ac:dyDescent="0.25">
      <c r="A10958" t="str">
        <f>"1710912423"</f>
        <v>1710912423</v>
      </c>
      <c r="C10958" t="s">
        <v>44438</v>
      </c>
      <c r="K10958" t="s">
        <v>99</v>
      </c>
      <c r="L10958" t="s">
        <v>102</v>
      </c>
      <c r="M10958" t="s">
        <v>75</v>
      </c>
      <c r="R10958" t="s">
        <v>1290</v>
      </c>
      <c r="S10958" t="s">
        <v>12595</v>
      </c>
      <c r="T10958" t="s">
        <v>190</v>
      </c>
      <c r="U10958" t="s">
        <v>77</v>
      </c>
      <c r="V10958" t="str">
        <f>"111022445"</f>
        <v>111022445</v>
      </c>
      <c r="AC10958" t="s">
        <v>79</v>
      </c>
      <c r="AD10958" t="s">
        <v>75</v>
      </c>
      <c r="AE10958" t="s">
        <v>103</v>
      </c>
      <c r="AG10958" t="s">
        <v>81</v>
      </c>
    </row>
    <row r="10959" spans="1:33" x14ac:dyDescent="0.25">
      <c r="A10959" t="str">
        <f>"1720295215"</f>
        <v>1720295215</v>
      </c>
      <c r="B10959" t="str">
        <f>"03124063"</f>
        <v>03124063</v>
      </c>
      <c r="C10959" t="s">
        <v>44439</v>
      </c>
      <c r="D10959" t="s">
        <v>44440</v>
      </c>
      <c r="E10959" t="s">
        <v>44441</v>
      </c>
      <c r="L10959" t="s">
        <v>37</v>
      </c>
      <c r="M10959" t="s">
        <v>75</v>
      </c>
      <c r="R10959" t="s">
        <v>13860</v>
      </c>
      <c r="W10959" t="s">
        <v>44441</v>
      </c>
      <c r="X10959" t="s">
        <v>44442</v>
      </c>
      <c r="Y10959" t="s">
        <v>97</v>
      </c>
      <c r="Z10959" t="s">
        <v>77</v>
      </c>
      <c r="AA10959" t="str">
        <f>"10029-6508"</f>
        <v>10029-6508</v>
      </c>
      <c r="AB10959" t="s">
        <v>931</v>
      </c>
      <c r="AC10959" t="s">
        <v>79</v>
      </c>
      <c r="AD10959" t="s">
        <v>75</v>
      </c>
      <c r="AE10959" t="s">
        <v>80</v>
      </c>
      <c r="AG10959" t="s">
        <v>81</v>
      </c>
    </row>
    <row r="10960" spans="1:33" x14ac:dyDescent="0.25">
      <c r="A10960" t="str">
        <f>"1740382159"</f>
        <v>1740382159</v>
      </c>
      <c r="C10960" t="s">
        <v>43301</v>
      </c>
      <c r="K10960" t="s">
        <v>99</v>
      </c>
      <c r="L10960" t="s">
        <v>102</v>
      </c>
      <c r="M10960" t="s">
        <v>75</v>
      </c>
      <c r="R10960" t="s">
        <v>43302</v>
      </c>
      <c r="S10960" t="s">
        <v>43303</v>
      </c>
      <c r="T10960" t="s">
        <v>97</v>
      </c>
      <c r="U10960" t="s">
        <v>77</v>
      </c>
      <c r="V10960" t="str">
        <f>"100296500"</f>
        <v>100296500</v>
      </c>
      <c r="AC10960" t="s">
        <v>79</v>
      </c>
      <c r="AD10960" t="s">
        <v>75</v>
      </c>
      <c r="AE10960" t="s">
        <v>103</v>
      </c>
      <c r="AG10960" t="s">
        <v>81</v>
      </c>
    </row>
    <row r="10961" spans="1:33" x14ac:dyDescent="0.25">
      <c r="A10961" t="str">
        <f>"1750653911"</f>
        <v>1750653911</v>
      </c>
      <c r="C10961" t="s">
        <v>43295</v>
      </c>
      <c r="K10961" t="s">
        <v>99</v>
      </c>
      <c r="L10961" t="s">
        <v>102</v>
      </c>
      <c r="M10961" t="s">
        <v>75</v>
      </c>
      <c r="R10961" t="s">
        <v>43296</v>
      </c>
      <c r="S10961" t="s">
        <v>44443</v>
      </c>
      <c r="T10961" t="s">
        <v>178</v>
      </c>
      <c r="U10961" t="s">
        <v>77</v>
      </c>
      <c r="V10961" t="str">
        <f>"11024"</f>
        <v>11024</v>
      </c>
      <c r="AC10961" t="s">
        <v>79</v>
      </c>
      <c r="AD10961" t="s">
        <v>75</v>
      </c>
      <c r="AE10961" t="s">
        <v>103</v>
      </c>
      <c r="AG10961" t="s">
        <v>81</v>
      </c>
    </row>
    <row r="10962" spans="1:33" x14ac:dyDescent="0.25">
      <c r="A10962" t="str">
        <f>"1750663639"</f>
        <v>1750663639</v>
      </c>
      <c r="C10962" t="s">
        <v>43295</v>
      </c>
      <c r="K10962" t="s">
        <v>99</v>
      </c>
      <c r="L10962" t="s">
        <v>102</v>
      </c>
      <c r="M10962" t="s">
        <v>75</v>
      </c>
      <c r="R10962" t="s">
        <v>43296</v>
      </c>
      <c r="S10962" t="s">
        <v>329</v>
      </c>
      <c r="T10962" t="s">
        <v>97</v>
      </c>
      <c r="U10962" t="s">
        <v>77</v>
      </c>
      <c r="V10962" t="str">
        <f>"100296500"</f>
        <v>100296500</v>
      </c>
      <c r="AC10962" t="s">
        <v>79</v>
      </c>
      <c r="AD10962" t="s">
        <v>75</v>
      </c>
      <c r="AE10962" t="s">
        <v>103</v>
      </c>
      <c r="AG10962" t="s">
        <v>81</v>
      </c>
    </row>
    <row r="10963" spans="1:33" x14ac:dyDescent="0.25">
      <c r="A10963" t="str">
        <f>"1770890410"</f>
        <v>1770890410</v>
      </c>
      <c r="B10963" t="str">
        <f>"03273943"</f>
        <v>03273943</v>
      </c>
      <c r="C10963" t="s">
        <v>44444</v>
      </c>
      <c r="D10963" t="s">
        <v>44445</v>
      </c>
      <c r="E10963" t="s">
        <v>44446</v>
      </c>
      <c r="L10963" t="s">
        <v>115</v>
      </c>
      <c r="M10963" t="s">
        <v>75</v>
      </c>
      <c r="R10963" t="s">
        <v>44447</v>
      </c>
      <c r="W10963" t="s">
        <v>44446</v>
      </c>
      <c r="X10963" t="s">
        <v>1284</v>
      </c>
      <c r="Y10963" t="s">
        <v>190</v>
      </c>
      <c r="Z10963" t="s">
        <v>77</v>
      </c>
      <c r="AA10963" t="str">
        <f>"11101-4130"</f>
        <v>11101-4130</v>
      </c>
      <c r="AB10963" t="s">
        <v>93</v>
      </c>
      <c r="AC10963" t="s">
        <v>79</v>
      </c>
      <c r="AD10963" t="s">
        <v>75</v>
      </c>
      <c r="AE10963" t="s">
        <v>80</v>
      </c>
      <c r="AG10963" t="s">
        <v>81</v>
      </c>
    </row>
    <row r="10964" spans="1:33" x14ac:dyDescent="0.25">
      <c r="A10964" t="str">
        <f>"1790947091"</f>
        <v>1790947091</v>
      </c>
      <c r="C10964" t="s">
        <v>43387</v>
      </c>
      <c r="K10964" t="s">
        <v>99</v>
      </c>
      <c r="L10964" t="s">
        <v>102</v>
      </c>
      <c r="M10964" t="s">
        <v>75</v>
      </c>
      <c r="R10964" t="s">
        <v>22768</v>
      </c>
      <c r="S10964" t="s">
        <v>2838</v>
      </c>
      <c r="T10964" t="s">
        <v>97</v>
      </c>
      <c r="U10964" t="s">
        <v>77</v>
      </c>
      <c r="V10964" t="str">
        <f>"100033105"</f>
        <v>100033105</v>
      </c>
      <c r="AC10964" t="s">
        <v>79</v>
      </c>
      <c r="AD10964" t="s">
        <v>75</v>
      </c>
      <c r="AE10964" t="s">
        <v>103</v>
      </c>
      <c r="AG10964" t="s">
        <v>81</v>
      </c>
    </row>
    <row r="10965" spans="1:33" x14ac:dyDescent="0.25">
      <c r="A10965" t="str">
        <f>"1831227925"</f>
        <v>1831227925</v>
      </c>
      <c r="C10965" t="s">
        <v>43295</v>
      </c>
      <c r="K10965" t="s">
        <v>99</v>
      </c>
      <c r="L10965" t="s">
        <v>74</v>
      </c>
      <c r="M10965" t="s">
        <v>75</v>
      </c>
      <c r="R10965" t="s">
        <v>43296</v>
      </c>
      <c r="S10965" t="s">
        <v>329</v>
      </c>
      <c r="T10965" t="s">
        <v>97</v>
      </c>
      <c r="U10965" t="s">
        <v>77</v>
      </c>
      <c r="V10965" t="str">
        <f>"100296500"</f>
        <v>100296500</v>
      </c>
      <c r="AC10965" t="s">
        <v>79</v>
      </c>
      <c r="AD10965" t="s">
        <v>75</v>
      </c>
      <c r="AE10965" t="s">
        <v>103</v>
      </c>
      <c r="AG10965" t="s">
        <v>81</v>
      </c>
    </row>
    <row r="10966" spans="1:33" x14ac:dyDescent="0.25">
      <c r="A10966" t="str">
        <f>"1831297373"</f>
        <v>1831297373</v>
      </c>
      <c r="C10966" t="s">
        <v>43301</v>
      </c>
      <c r="K10966" t="s">
        <v>99</v>
      </c>
      <c r="L10966" t="s">
        <v>102</v>
      </c>
      <c r="M10966" t="s">
        <v>75</v>
      </c>
      <c r="R10966" t="s">
        <v>43302</v>
      </c>
      <c r="S10966" t="s">
        <v>11844</v>
      </c>
      <c r="T10966" t="s">
        <v>97</v>
      </c>
      <c r="U10966" t="s">
        <v>77</v>
      </c>
      <c r="V10966" t="str">
        <f>"100296501"</f>
        <v>100296501</v>
      </c>
      <c r="AC10966" t="s">
        <v>79</v>
      </c>
      <c r="AD10966" t="s">
        <v>75</v>
      </c>
      <c r="AE10966" t="s">
        <v>103</v>
      </c>
      <c r="AG10966" t="s">
        <v>81</v>
      </c>
    </row>
    <row r="10967" spans="1:33" x14ac:dyDescent="0.25">
      <c r="A10967" t="str">
        <f>"1831391911"</f>
        <v>1831391911</v>
      </c>
      <c r="B10967" t="str">
        <f>"02976516"</f>
        <v>02976516</v>
      </c>
      <c r="C10967" t="s">
        <v>43387</v>
      </c>
      <c r="D10967" t="s">
        <v>27831</v>
      </c>
      <c r="E10967" t="s">
        <v>27832</v>
      </c>
      <c r="L10967" t="s">
        <v>1305</v>
      </c>
      <c r="M10967" t="s">
        <v>85</v>
      </c>
      <c r="R10967" t="s">
        <v>22768</v>
      </c>
      <c r="W10967" t="s">
        <v>44448</v>
      </c>
      <c r="X10967" t="s">
        <v>3553</v>
      </c>
      <c r="Y10967" t="s">
        <v>97</v>
      </c>
      <c r="Z10967" t="s">
        <v>77</v>
      </c>
      <c r="AA10967" t="str">
        <f>"10003-3851"</f>
        <v>10003-3851</v>
      </c>
      <c r="AB10967" t="s">
        <v>96</v>
      </c>
      <c r="AC10967" t="s">
        <v>79</v>
      </c>
      <c r="AD10967" t="s">
        <v>75</v>
      </c>
      <c r="AE10967" t="s">
        <v>80</v>
      </c>
      <c r="AG10967" t="s">
        <v>81</v>
      </c>
    </row>
    <row r="10968" spans="1:33" x14ac:dyDescent="0.25">
      <c r="A10968" t="str">
        <f>"1851493266"</f>
        <v>1851493266</v>
      </c>
      <c r="C10968" t="s">
        <v>43301</v>
      </c>
      <c r="K10968" t="s">
        <v>99</v>
      </c>
      <c r="L10968" t="s">
        <v>102</v>
      </c>
      <c r="M10968" t="s">
        <v>75</v>
      </c>
      <c r="R10968" t="s">
        <v>43302</v>
      </c>
      <c r="S10968" t="s">
        <v>11379</v>
      </c>
      <c r="T10968" t="s">
        <v>97</v>
      </c>
      <c r="U10968" t="s">
        <v>77</v>
      </c>
      <c r="V10968" t="str">
        <f>"100296500"</f>
        <v>100296500</v>
      </c>
      <c r="AC10968" t="s">
        <v>79</v>
      </c>
      <c r="AD10968" t="s">
        <v>75</v>
      </c>
      <c r="AE10968" t="s">
        <v>103</v>
      </c>
      <c r="AG10968" t="s">
        <v>81</v>
      </c>
    </row>
    <row r="10969" spans="1:33" x14ac:dyDescent="0.25">
      <c r="A10969" t="str">
        <f>"1851609796"</f>
        <v>1851609796</v>
      </c>
      <c r="C10969" t="s">
        <v>43299</v>
      </c>
      <c r="K10969" t="s">
        <v>99</v>
      </c>
      <c r="L10969" t="s">
        <v>74</v>
      </c>
      <c r="M10969" t="s">
        <v>75</v>
      </c>
      <c r="R10969" t="s">
        <v>1290</v>
      </c>
      <c r="S10969" t="s">
        <v>29615</v>
      </c>
      <c r="T10969" t="s">
        <v>97</v>
      </c>
      <c r="U10969" t="s">
        <v>77</v>
      </c>
      <c r="V10969" t="str">
        <f>"101285604"</f>
        <v>101285604</v>
      </c>
      <c r="AC10969" t="s">
        <v>79</v>
      </c>
      <c r="AD10969" t="s">
        <v>75</v>
      </c>
      <c r="AE10969" t="s">
        <v>103</v>
      </c>
      <c r="AG10969" t="s">
        <v>81</v>
      </c>
    </row>
    <row r="10970" spans="1:33" x14ac:dyDescent="0.25">
      <c r="A10970" t="str">
        <f>"1851666408"</f>
        <v>1851666408</v>
      </c>
      <c r="C10970" t="s">
        <v>43387</v>
      </c>
      <c r="K10970" t="s">
        <v>99</v>
      </c>
      <c r="L10970" t="s">
        <v>102</v>
      </c>
      <c r="M10970" t="s">
        <v>75</v>
      </c>
      <c r="R10970" t="s">
        <v>22768</v>
      </c>
      <c r="S10970" t="s">
        <v>14915</v>
      </c>
      <c r="T10970" t="s">
        <v>97</v>
      </c>
      <c r="U10970" t="s">
        <v>77</v>
      </c>
      <c r="V10970" t="str">
        <f>"100032925"</f>
        <v>100032925</v>
      </c>
      <c r="AC10970" t="s">
        <v>79</v>
      </c>
      <c r="AD10970" t="s">
        <v>75</v>
      </c>
      <c r="AE10970" t="s">
        <v>103</v>
      </c>
      <c r="AG10970" t="s">
        <v>81</v>
      </c>
    </row>
    <row r="10971" spans="1:33" x14ac:dyDescent="0.25">
      <c r="A10971" t="str">
        <f>"1871792101"</f>
        <v>1871792101</v>
      </c>
      <c r="C10971" t="s">
        <v>44449</v>
      </c>
      <c r="K10971" t="s">
        <v>99</v>
      </c>
      <c r="L10971" t="s">
        <v>102</v>
      </c>
      <c r="M10971" t="s">
        <v>75</v>
      </c>
      <c r="R10971" t="s">
        <v>44450</v>
      </c>
      <c r="S10971" t="s">
        <v>191</v>
      </c>
      <c r="T10971" t="s">
        <v>97</v>
      </c>
      <c r="U10971" t="s">
        <v>77</v>
      </c>
      <c r="V10971" t="str">
        <f>"100191147"</f>
        <v>100191147</v>
      </c>
      <c r="AC10971" t="s">
        <v>79</v>
      </c>
      <c r="AD10971" t="s">
        <v>75</v>
      </c>
      <c r="AE10971" t="s">
        <v>103</v>
      </c>
      <c r="AG10971" t="s">
        <v>81</v>
      </c>
    </row>
    <row r="10972" spans="1:33" x14ac:dyDescent="0.25">
      <c r="A10972" t="str">
        <f>"1881815934"</f>
        <v>1881815934</v>
      </c>
      <c r="C10972" t="s">
        <v>44451</v>
      </c>
      <c r="K10972" t="s">
        <v>99</v>
      </c>
      <c r="L10972" t="s">
        <v>102</v>
      </c>
      <c r="M10972" t="s">
        <v>75</v>
      </c>
      <c r="R10972" t="s">
        <v>6794</v>
      </c>
      <c r="S10972" t="s">
        <v>44452</v>
      </c>
      <c r="T10972" t="s">
        <v>97</v>
      </c>
      <c r="U10972" t="s">
        <v>77</v>
      </c>
      <c r="V10972" t="str">
        <f>"10003"</f>
        <v>10003</v>
      </c>
      <c r="AC10972" t="s">
        <v>79</v>
      </c>
      <c r="AD10972" t="s">
        <v>75</v>
      </c>
      <c r="AE10972" t="s">
        <v>103</v>
      </c>
      <c r="AG10972" t="s">
        <v>81</v>
      </c>
    </row>
    <row r="10973" spans="1:33" x14ac:dyDescent="0.25">
      <c r="A10973" t="str">
        <f>"1881817583"</f>
        <v>1881817583</v>
      </c>
      <c r="C10973" t="s">
        <v>43387</v>
      </c>
      <c r="K10973" t="s">
        <v>99</v>
      </c>
      <c r="L10973" t="s">
        <v>102</v>
      </c>
      <c r="M10973" t="s">
        <v>75</v>
      </c>
      <c r="R10973" t="s">
        <v>22768</v>
      </c>
      <c r="S10973" t="s">
        <v>43814</v>
      </c>
      <c r="T10973" t="s">
        <v>97</v>
      </c>
      <c r="U10973" t="s">
        <v>77</v>
      </c>
      <c r="V10973" t="str">
        <f>"100384922"</f>
        <v>100384922</v>
      </c>
      <c r="AC10973" t="s">
        <v>79</v>
      </c>
      <c r="AD10973" t="s">
        <v>75</v>
      </c>
      <c r="AE10973" t="s">
        <v>103</v>
      </c>
      <c r="AG10973" t="s">
        <v>81</v>
      </c>
    </row>
    <row r="10974" spans="1:33" x14ac:dyDescent="0.25">
      <c r="A10974" t="str">
        <f>"1972731198"</f>
        <v>1972731198</v>
      </c>
      <c r="B10974" t="str">
        <f>"03724825"</f>
        <v>03724825</v>
      </c>
      <c r="C10974" t="s">
        <v>44453</v>
      </c>
      <c r="D10974" t="s">
        <v>44454</v>
      </c>
      <c r="E10974" t="s">
        <v>44455</v>
      </c>
      <c r="G10974" t="s">
        <v>44453</v>
      </c>
      <c r="L10974" t="s">
        <v>83</v>
      </c>
      <c r="M10974" t="s">
        <v>75</v>
      </c>
      <c r="R10974" t="s">
        <v>44456</v>
      </c>
      <c r="W10974" t="s">
        <v>44455</v>
      </c>
      <c r="X10974" t="s">
        <v>4766</v>
      </c>
      <c r="Y10974" t="s">
        <v>97</v>
      </c>
      <c r="Z10974" t="s">
        <v>77</v>
      </c>
      <c r="AA10974" t="str">
        <f>"10021-4823"</f>
        <v>10021-4823</v>
      </c>
      <c r="AB10974" t="s">
        <v>78</v>
      </c>
      <c r="AC10974" t="s">
        <v>79</v>
      </c>
      <c r="AD10974" t="s">
        <v>75</v>
      </c>
      <c r="AE10974" t="s">
        <v>80</v>
      </c>
      <c r="AG10974" t="s">
        <v>81</v>
      </c>
    </row>
    <row r="10975" spans="1:33" x14ac:dyDescent="0.25">
      <c r="A10975" t="str">
        <f>"1972836401"</f>
        <v>1972836401</v>
      </c>
      <c r="B10975" t="str">
        <f>"03370225"</f>
        <v>03370225</v>
      </c>
      <c r="C10975" t="s">
        <v>44457</v>
      </c>
      <c r="D10975" t="s">
        <v>44458</v>
      </c>
      <c r="E10975" t="s">
        <v>44459</v>
      </c>
      <c r="G10975" t="s">
        <v>44457</v>
      </c>
      <c r="L10975" t="s">
        <v>83</v>
      </c>
      <c r="M10975" t="s">
        <v>75</v>
      </c>
      <c r="R10975" t="s">
        <v>44460</v>
      </c>
      <c r="W10975" t="s">
        <v>44459</v>
      </c>
      <c r="X10975" t="s">
        <v>44461</v>
      </c>
      <c r="Y10975" t="s">
        <v>97</v>
      </c>
      <c r="Z10975" t="s">
        <v>77</v>
      </c>
      <c r="AA10975" t="str">
        <f>"10032-3727"</f>
        <v>10032-3727</v>
      </c>
      <c r="AB10975" t="s">
        <v>78</v>
      </c>
      <c r="AC10975" t="s">
        <v>79</v>
      </c>
      <c r="AD10975" t="s">
        <v>75</v>
      </c>
      <c r="AE10975" t="s">
        <v>80</v>
      </c>
      <c r="AG10975" t="s">
        <v>81</v>
      </c>
    </row>
    <row r="10976" spans="1:33" x14ac:dyDescent="0.25">
      <c r="A10976" t="str">
        <f>"1982641536"</f>
        <v>1982641536</v>
      </c>
      <c r="C10976" t="s">
        <v>44462</v>
      </c>
      <c r="G10976" t="s">
        <v>44462</v>
      </c>
      <c r="K10976" t="s">
        <v>99</v>
      </c>
      <c r="L10976" t="s">
        <v>102</v>
      </c>
      <c r="M10976" t="s">
        <v>75</v>
      </c>
      <c r="R10976" t="s">
        <v>44463</v>
      </c>
      <c r="S10976" t="s">
        <v>353</v>
      </c>
      <c r="T10976" t="s">
        <v>240</v>
      </c>
      <c r="U10976" t="s">
        <v>77</v>
      </c>
      <c r="V10976" t="str">
        <f>"115302133"</f>
        <v>115302133</v>
      </c>
      <c r="AC10976" t="s">
        <v>79</v>
      </c>
      <c r="AD10976" t="s">
        <v>75</v>
      </c>
      <c r="AE10976" t="s">
        <v>103</v>
      </c>
      <c r="AG10976" t="s">
        <v>81</v>
      </c>
    </row>
    <row r="10977" spans="1:33" x14ac:dyDescent="0.25">
      <c r="A10977" t="str">
        <f>"1982648572"</f>
        <v>1982648572</v>
      </c>
      <c r="B10977" t="str">
        <f>"01723468"</f>
        <v>01723468</v>
      </c>
      <c r="C10977" t="s">
        <v>44464</v>
      </c>
      <c r="D10977" t="s">
        <v>44465</v>
      </c>
      <c r="E10977" t="s">
        <v>44466</v>
      </c>
      <c r="G10977" t="s">
        <v>44464</v>
      </c>
      <c r="L10977" t="s">
        <v>84</v>
      </c>
      <c r="M10977" t="s">
        <v>75</v>
      </c>
      <c r="R10977" t="s">
        <v>44467</v>
      </c>
      <c r="W10977" t="s">
        <v>44466</v>
      </c>
      <c r="X10977" t="s">
        <v>42773</v>
      </c>
      <c r="Y10977" t="s">
        <v>216</v>
      </c>
      <c r="Z10977" t="s">
        <v>77</v>
      </c>
      <c r="AA10977" t="str">
        <f>"11691-1941"</f>
        <v>11691-1941</v>
      </c>
      <c r="AB10977" t="s">
        <v>78</v>
      </c>
      <c r="AC10977" t="s">
        <v>79</v>
      </c>
      <c r="AD10977" t="s">
        <v>75</v>
      </c>
      <c r="AE10977" t="s">
        <v>80</v>
      </c>
      <c r="AG10977" t="s">
        <v>81</v>
      </c>
    </row>
    <row r="10978" spans="1:33" x14ac:dyDescent="0.25">
      <c r="A10978" t="str">
        <f>"1982744793"</f>
        <v>1982744793</v>
      </c>
      <c r="B10978" t="str">
        <f>"01914887"</f>
        <v>01914887</v>
      </c>
      <c r="C10978" t="s">
        <v>44468</v>
      </c>
      <c r="D10978" t="s">
        <v>44469</v>
      </c>
      <c r="E10978" t="s">
        <v>44470</v>
      </c>
      <c r="G10978" t="s">
        <v>44468</v>
      </c>
      <c r="L10978" t="s">
        <v>84</v>
      </c>
      <c r="M10978" t="s">
        <v>75</v>
      </c>
      <c r="R10978" t="s">
        <v>44471</v>
      </c>
      <c r="W10978" t="s">
        <v>44470</v>
      </c>
      <c r="X10978" t="s">
        <v>984</v>
      </c>
      <c r="Y10978" t="s">
        <v>97</v>
      </c>
      <c r="Z10978" t="s">
        <v>77</v>
      </c>
      <c r="AA10978" t="str">
        <f>"10029-7491"</f>
        <v>10029-7491</v>
      </c>
      <c r="AB10978" t="s">
        <v>78</v>
      </c>
      <c r="AC10978" t="s">
        <v>79</v>
      </c>
      <c r="AD10978" t="s">
        <v>75</v>
      </c>
      <c r="AE10978" t="s">
        <v>80</v>
      </c>
      <c r="AG10978" t="s">
        <v>81</v>
      </c>
    </row>
    <row r="10979" spans="1:33" x14ac:dyDescent="0.25">
      <c r="A10979" t="str">
        <f>"1982768990"</f>
        <v>1982768990</v>
      </c>
      <c r="B10979" t="str">
        <f>"01723995"</f>
        <v>01723995</v>
      </c>
      <c r="C10979" t="s">
        <v>44472</v>
      </c>
      <c r="D10979" t="s">
        <v>44473</v>
      </c>
      <c r="E10979" t="s">
        <v>44474</v>
      </c>
      <c r="G10979" t="s">
        <v>44472</v>
      </c>
      <c r="L10979" t="s">
        <v>84</v>
      </c>
      <c r="M10979" t="s">
        <v>85</v>
      </c>
      <c r="R10979" t="s">
        <v>44475</v>
      </c>
      <c r="W10979" t="s">
        <v>44474</v>
      </c>
      <c r="X10979" t="s">
        <v>40925</v>
      </c>
      <c r="Y10979" t="s">
        <v>91</v>
      </c>
      <c r="Z10979" t="s">
        <v>77</v>
      </c>
      <c r="AA10979" t="str">
        <f>"11373-4437"</f>
        <v>11373-4437</v>
      </c>
      <c r="AB10979" t="s">
        <v>78</v>
      </c>
      <c r="AC10979" t="s">
        <v>79</v>
      </c>
      <c r="AD10979" t="s">
        <v>75</v>
      </c>
      <c r="AE10979" t="s">
        <v>80</v>
      </c>
      <c r="AG10979" t="s">
        <v>81</v>
      </c>
    </row>
    <row r="10980" spans="1:33" x14ac:dyDescent="0.25">
      <c r="A10980" t="str">
        <f>"1982976684"</f>
        <v>1982976684</v>
      </c>
      <c r="B10980" t="str">
        <f>"03885467"</f>
        <v>03885467</v>
      </c>
      <c r="C10980" t="s">
        <v>44476</v>
      </c>
      <c r="D10980" t="s">
        <v>44477</v>
      </c>
      <c r="E10980" t="s">
        <v>44478</v>
      </c>
      <c r="G10980" t="s">
        <v>44476</v>
      </c>
      <c r="L10980" t="s">
        <v>74</v>
      </c>
      <c r="M10980" t="s">
        <v>75</v>
      </c>
      <c r="R10980" t="s">
        <v>44479</v>
      </c>
      <c r="W10980" t="s">
        <v>44478</v>
      </c>
      <c r="X10980" t="s">
        <v>590</v>
      </c>
      <c r="Y10980" t="s">
        <v>97</v>
      </c>
      <c r="Z10980" t="s">
        <v>77</v>
      </c>
      <c r="AA10980" t="str">
        <f>"10128-4077"</f>
        <v>10128-4077</v>
      </c>
      <c r="AB10980" t="s">
        <v>440</v>
      </c>
      <c r="AC10980" t="s">
        <v>79</v>
      </c>
      <c r="AD10980" t="s">
        <v>75</v>
      </c>
      <c r="AE10980" t="s">
        <v>80</v>
      </c>
      <c r="AG10980" t="s">
        <v>81</v>
      </c>
    </row>
    <row r="10981" spans="1:33" x14ac:dyDescent="0.25">
      <c r="A10981" t="str">
        <f>"1992903264"</f>
        <v>1992903264</v>
      </c>
      <c r="B10981" t="str">
        <f>"03040755"</f>
        <v>03040755</v>
      </c>
      <c r="C10981" t="s">
        <v>44480</v>
      </c>
      <c r="D10981" t="s">
        <v>44481</v>
      </c>
      <c r="E10981" t="s">
        <v>44482</v>
      </c>
      <c r="G10981" t="s">
        <v>44480</v>
      </c>
      <c r="L10981" t="s">
        <v>84</v>
      </c>
      <c r="M10981" t="s">
        <v>75</v>
      </c>
      <c r="R10981" t="s">
        <v>44483</v>
      </c>
      <c r="W10981" t="s">
        <v>44484</v>
      </c>
      <c r="X10981" t="s">
        <v>43968</v>
      </c>
      <c r="Y10981" t="s">
        <v>241</v>
      </c>
      <c r="Z10981" t="s">
        <v>77</v>
      </c>
      <c r="AA10981" t="str">
        <f>"11703-2823"</f>
        <v>11703-2823</v>
      </c>
      <c r="AB10981" t="s">
        <v>78</v>
      </c>
      <c r="AC10981" t="s">
        <v>79</v>
      </c>
      <c r="AD10981" t="s">
        <v>75</v>
      </c>
      <c r="AE10981" t="s">
        <v>80</v>
      </c>
      <c r="AG10981" t="s">
        <v>81</v>
      </c>
    </row>
    <row r="10982" spans="1:33" x14ac:dyDescent="0.25">
      <c r="C10982" t="s">
        <v>44485</v>
      </c>
      <c r="G10982" t="s">
        <v>44486</v>
      </c>
      <c r="J10982" t="s">
        <v>24004</v>
      </c>
      <c r="K10982" t="s">
        <v>99</v>
      </c>
      <c r="L10982" t="s">
        <v>100</v>
      </c>
      <c r="M10982" t="s">
        <v>75</v>
      </c>
      <c r="N10982" t="s">
        <v>44487</v>
      </c>
      <c r="O10982" t="s">
        <v>431</v>
      </c>
      <c r="P10982" t="s">
        <v>77</v>
      </c>
      <c r="Q10982" t="str">
        <f>"11203"</f>
        <v>11203</v>
      </c>
      <c r="AC10982" t="s">
        <v>79</v>
      </c>
      <c r="AD10982" t="s">
        <v>75</v>
      </c>
      <c r="AE10982" t="s">
        <v>101</v>
      </c>
      <c r="AG10982" t="s">
        <v>81</v>
      </c>
    </row>
    <row r="10983" spans="1:33" x14ac:dyDescent="0.25">
      <c r="C10983" t="s">
        <v>44488</v>
      </c>
      <c r="G10983" t="s">
        <v>44486</v>
      </c>
      <c r="J10983" t="s">
        <v>24004</v>
      </c>
      <c r="K10983" t="s">
        <v>99</v>
      </c>
      <c r="L10983" t="s">
        <v>100</v>
      </c>
      <c r="M10983" t="s">
        <v>75</v>
      </c>
      <c r="N10983" t="s">
        <v>44487</v>
      </c>
      <c r="O10983" t="s">
        <v>431</v>
      </c>
      <c r="P10983" t="s">
        <v>77</v>
      </c>
      <c r="Q10983" t="str">
        <f>"11203"</f>
        <v>11203</v>
      </c>
      <c r="AC10983" t="s">
        <v>79</v>
      </c>
      <c r="AD10983" t="s">
        <v>75</v>
      </c>
      <c r="AE10983" t="s">
        <v>101</v>
      </c>
      <c r="AG10983" t="s">
        <v>81</v>
      </c>
    </row>
    <row r="10984" spans="1:33" x14ac:dyDescent="0.25">
      <c r="C10984" t="s">
        <v>44489</v>
      </c>
      <c r="G10984" t="s">
        <v>44486</v>
      </c>
      <c r="J10984" t="s">
        <v>24004</v>
      </c>
      <c r="K10984" t="s">
        <v>99</v>
      </c>
      <c r="L10984" t="s">
        <v>100</v>
      </c>
      <c r="M10984" t="s">
        <v>75</v>
      </c>
      <c r="N10984" t="s">
        <v>44487</v>
      </c>
      <c r="O10984" t="s">
        <v>431</v>
      </c>
      <c r="P10984" t="s">
        <v>77</v>
      </c>
      <c r="Q10984" t="str">
        <f>"11203"</f>
        <v>11203</v>
      </c>
      <c r="AC10984" t="s">
        <v>79</v>
      </c>
      <c r="AD10984" t="s">
        <v>75</v>
      </c>
      <c r="AE10984" t="s">
        <v>101</v>
      </c>
      <c r="AG10984" t="s">
        <v>81</v>
      </c>
    </row>
    <row r="10985" spans="1:33" x14ac:dyDescent="0.25">
      <c r="A10985" t="str">
        <f>"1588804405"</f>
        <v>1588804405</v>
      </c>
      <c r="C10985" t="s">
        <v>1030</v>
      </c>
      <c r="G10985" t="s">
        <v>44490</v>
      </c>
      <c r="H10985" t="s">
        <v>1029</v>
      </c>
      <c r="I10985">
        <v>40</v>
      </c>
      <c r="J10985" t="s">
        <v>44491</v>
      </c>
      <c r="K10985" t="s">
        <v>99</v>
      </c>
      <c r="L10985" t="s">
        <v>102</v>
      </c>
      <c r="M10985" t="s">
        <v>75</v>
      </c>
      <c r="R10985" t="s">
        <v>1030</v>
      </c>
      <c r="S10985" t="s">
        <v>1031</v>
      </c>
      <c r="T10985" t="s">
        <v>87</v>
      </c>
      <c r="U10985" t="s">
        <v>77</v>
      </c>
      <c r="V10985" t="str">
        <f>"11219"</f>
        <v>11219</v>
      </c>
      <c r="AC10985" t="s">
        <v>79</v>
      </c>
      <c r="AD10985" t="s">
        <v>75</v>
      </c>
      <c r="AE10985" t="s">
        <v>103</v>
      </c>
      <c r="AG10985" t="s">
        <v>81</v>
      </c>
    </row>
    <row r="10986" spans="1:33" x14ac:dyDescent="0.25">
      <c r="A10986" t="str">
        <f>"1831368240"</f>
        <v>1831368240</v>
      </c>
      <c r="B10986" t="str">
        <f>"01962312"</f>
        <v>01962312</v>
      </c>
      <c r="C10986" t="s">
        <v>44492</v>
      </c>
      <c r="D10986" t="s">
        <v>44493</v>
      </c>
      <c r="E10986" t="s">
        <v>44494</v>
      </c>
      <c r="G10986" t="s">
        <v>37120</v>
      </c>
      <c r="H10986" t="s">
        <v>6801</v>
      </c>
      <c r="I10986">
        <v>6136</v>
      </c>
      <c r="J10986" t="s">
        <v>7219</v>
      </c>
      <c r="L10986" t="s">
        <v>37</v>
      </c>
      <c r="M10986" t="s">
        <v>75</v>
      </c>
      <c r="R10986" t="s">
        <v>7274</v>
      </c>
      <c r="W10986" t="s">
        <v>44494</v>
      </c>
      <c r="X10986" t="s">
        <v>44495</v>
      </c>
      <c r="Y10986" t="s">
        <v>450</v>
      </c>
      <c r="Z10986" t="s">
        <v>77</v>
      </c>
      <c r="AA10986" t="str">
        <f>"11423-1250"</f>
        <v>11423-1250</v>
      </c>
      <c r="AB10986" t="s">
        <v>107</v>
      </c>
      <c r="AC10986" t="s">
        <v>79</v>
      </c>
      <c r="AD10986" t="s">
        <v>75</v>
      </c>
      <c r="AE10986" t="s">
        <v>80</v>
      </c>
      <c r="AG10986" t="s">
        <v>81</v>
      </c>
    </row>
    <row r="10987" spans="1:33" x14ac:dyDescent="0.25">
      <c r="A10987" t="str">
        <f>"1851467369"</f>
        <v>1851467369</v>
      </c>
      <c r="B10987" t="str">
        <f>"00313511"</f>
        <v>00313511</v>
      </c>
      <c r="C10987" t="s">
        <v>43360</v>
      </c>
      <c r="D10987" t="s">
        <v>292</v>
      </c>
      <c r="E10987" t="s">
        <v>293</v>
      </c>
      <c r="G10987" t="s">
        <v>44496</v>
      </c>
      <c r="H10987" t="s">
        <v>44497</v>
      </c>
      <c r="J10987" t="s">
        <v>44498</v>
      </c>
      <c r="L10987" t="s">
        <v>106</v>
      </c>
      <c r="M10987" t="s">
        <v>85</v>
      </c>
      <c r="R10987" t="s">
        <v>294</v>
      </c>
      <c r="W10987" t="s">
        <v>293</v>
      </c>
      <c r="X10987" t="s">
        <v>266</v>
      </c>
      <c r="Y10987" t="s">
        <v>161</v>
      </c>
      <c r="Z10987" t="s">
        <v>77</v>
      </c>
      <c r="AA10987" t="str">
        <f>"11040-1436"</f>
        <v>11040-1436</v>
      </c>
      <c r="AB10987" t="s">
        <v>107</v>
      </c>
      <c r="AC10987" t="s">
        <v>79</v>
      </c>
      <c r="AD10987" t="s">
        <v>75</v>
      </c>
      <c r="AE10987" t="s">
        <v>80</v>
      </c>
      <c r="AG10987" t="s">
        <v>81</v>
      </c>
    </row>
    <row r="10988" spans="1:33" x14ac:dyDescent="0.25">
      <c r="A10988" t="str">
        <f>"1851541015"</f>
        <v>1851541015</v>
      </c>
      <c r="B10988" t="str">
        <f>"03114789"</f>
        <v>03114789</v>
      </c>
      <c r="C10988" t="s">
        <v>44499</v>
      </c>
      <c r="D10988" t="s">
        <v>44500</v>
      </c>
      <c r="E10988" t="s">
        <v>44501</v>
      </c>
      <c r="G10988" t="s">
        <v>44502</v>
      </c>
      <c r="H10988" t="s">
        <v>16075</v>
      </c>
      <c r="I10988">
        <v>351</v>
      </c>
      <c r="J10988" t="s">
        <v>16076</v>
      </c>
      <c r="L10988" t="s">
        <v>11</v>
      </c>
      <c r="M10988" t="s">
        <v>75</v>
      </c>
      <c r="R10988" t="s">
        <v>44503</v>
      </c>
      <c r="W10988" t="s">
        <v>44501</v>
      </c>
      <c r="X10988" t="s">
        <v>44504</v>
      </c>
      <c r="Y10988" t="s">
        <v>236</v>
      </c>
      <c r="Z10988" t="s">
        <v>77</v>
      </c>
      <c r="AA10988" t="str">
        <f>"11102-4028"</f>
        <v>11102-4028</v>
      </c>
      <c r="AB10988" t="s">
        <v>122</v>
      </c>
      <c r="AC10988" t="s">
        <v>79</v>
      </c>
      <c r="AD10988" t="s">
        <v>75</v>
      </c>
      <c r="AE10988" t="s">
        <v>80</v>
      </c>
      <c r="AG10988" t="s">
        <v>81</v>
      </c>
    </row>
    <row r="10989" spans="1:33" x14ac:dyDescent="0.25">
      <c r="A10989" t="str">
        <f>"1720186703"</f>
        <v>1720186703</v>
      </c>
      <c r="B10989" t="str">
        <f>"02901540"</f>
        <v>02901540</v>
      </c>
      <c r="C10989" t="s">
        <v>44505</v>
      </c>
      <c r="D10989" t="s">
        <v>44506</v>
      </c>
      <c r="E10989" t="s">
        <v>44507</v>
      </c>
      <c r="G10989" t="s">
        <v>44508</v>
      </c>
      <c r="H10989" t="s">
        <v>44509</v>
      </c>
      <c r="J10989" t="s">
        <v>44510</v>
      </c>
      <c r="L10989" t="s">
        <v>37</v>
      </c>
      <c r="M10989" t="s">
        <v>85</v>
      </c>
      <c r="R10989" t="s">
        <v>1052</v>
      </c>
      <c r="W10989" t="s">
        <v>44511</v>
      </c>
      <c r="X10989" t="s">
        <v>1056</v>
      </c>
      <c r="Y10989" t="s">
        <v>87</v>
      </c>
      <c r="Z10989" t="s">
        <v>77</v>
      </c>
      <c r="AA10989" t="str">
        <f>"11226-3302"</f>
        <v>11226-3302</v>
      </c>
      <c r="AB10989" t="s">
        <v>93</v>
      </c>
      <c r="AC10989" t="s">
        <v>79</v>
      </c>
      <c r="AD10989" t="s">
        <v>75</v>
      </c>
      <c r="AE10989" t="s">
        <v>80</v>
      </c>
      <c r="AG10989" t="s">
        <v>81</v>
      </c>
    </row>
    <row r="10990" spans="1:33" x14ac:dyDescent="0.25">
      <c r="A10990" t="str">
        <f>"1881833317"</f>
        <v>1881833317</v>
      </c>
      <c r="B10990" t="str">
        <f>"03092266"</f>
        <v>03092266</v>
      </c>
      <c r="C10990" t="s">
        <v>4434</v>
      </c>
      <c r="D10990" t="s">
        <v>4435</v>
      </c>
      <c r="E10990" t="s">
        <v>4436</v>
      </c>
      <c r="G10990" t="s">
        <v>27118</v>
      </c>
      <c r="H10990" t="s">
        <v>27119</v>
      </c>
      <c r="I10990">
        <v>310</v>
      </c>
      <c r="J10990" t="s">
        <v>27120</v>
      </c>
      <c r="L10990" t="s">
        <v>10</v>
      </c>
      <c r="M10990" t="s">
        <v>85</v>
      </c>
      <c r="R10990" t="s">
        <v>44512</v>
      </c>
      <c r="W10990" t="s">
        <v>44513</v>
      </c>
      <c r="X10990" t="s">
        <v>44514</v>
      </c>
      <c r="Y10990" t="s">
        <v>171</v>
      </c>
      <c r="Z10990" t="s">
        <v>77</v>
      </c>
      <c r="AA10990" t="str">
        <f>"11435-2832"</f>
        <v>11435-2832</v>
      </c>
      <c r="AB10990" t="s">
        <v>133</v>
      </c>
      <c r="AC10990" t="s">
        <v>79</v>
      </c>
      <c r="AD10990" t="s">
        <v>75</v>
      </c>
      <c r="AE10990" t="s">
        <v>80</v>
      </c>
      <c r="AG10990" t="s">
        <v>81</v>
      </c>
    </row>
    <row r="10991" spans="1:33" x14ac:dyDescent="0.25">
      <c r="A10991" t="str">
        <f>"1740278910"</f>
        <v>1740278910</v>
      </c>
      <c r="B10991" t="str">
        <f>"00309417"</f>
        <v>00309417</v>
      </c>
      <c r="C10991" t="s">
        <v>44515</v>
      </c>
      <c r="D10991" t="s">
        <v>1053</v>
      </c>
      <c r="E10991" t="s">
        <v>1054</v>
      </c>
      <c r="G10991" t="s">
        <v>44508</v>
      </c>
      <c r="H10991" t="s">
        <v>44509</v>
      </c>
      <c r="J10991" t="s">
        <v>44510</v>
      </c>
      <c r="L10991" t="s">
        <v>106</v>
      </c>
      <c r="M10991" t="s">
        <v>85</v>
      </c>
      <c r="R10991" t="s">
        <v>1052</v>
      </c>
      <c r="W10991" t="s">
        <v>1055</v>
      </c>
      <c r="X10991" t="s">
        <v>1056</v>
      </c>
      <c r="Y10991" t="s">
        <v>87</v>
      </c>
      <c r="Z10991" t="s">
        <v>77</v>
      </c>
      <c r="AA10991" t="str">
        <f>"11226-3302"</f>
        <v>11226-3302</v>
      </c>
      <c r="AB10991" t="s">
        <v>107</v>
      </c>
      <c r="AC10991" t="s">
        <v>79</v>
      </c>
      <c r="AD10991" t="s">
        <v>75</v>
      </c>
      <c r="AE10991" t="s">
        <v>80</v>
      </c>
      <c r="AG10991" t="s">
        <v>81</v>
      </c>
    </row>
    <row r="10992" spans="1:33" x14ac:dyDescent="0.25">
      <c r="A10992" t="str">
        <f>"1912146580"</f>
        <v>1912146580</v>
      </c>
      <c r="B10992" t="str">
        <f>"03140205"</f>
        <v>03140205</v>
      </c>
      <c r="C10992" t="s">
        <v>4434</v>
      </c>
      <c r="D10992" t="s">
        <v>4435</v>
      </c>
      <c r="E10992" t="s">
        <v>4436</v>
      </c>
      <c r="G10992" t="s">
        <v>27118</v>
      </c>
      <c r="H10992" t="s">
        <v>27119</v>
      </c>
      <c r="I10992">
        <v>310</v>
      </c>
      <c r="J10992" t="s">
        <v>27120</v>
      </c>
      <c r="L10992" t="s">
        <v>10</v>
      </c>
      <c r="M10992" t="s">
        <v>85</v>
      </c>
      <c r="R10992" t="s">
        <v>4438</v>
      </c>
      <c r="W10992" t="s">
        <v>44516</v>
      </c>
      <c r="X10992" t="s">
        <v>44517</v>
      </c>
      <c r="Y10992" t="s">
        <v>6206</v>
      </c>
      <c r="Z10992" t="s">
        <v>77</v>
      </c>
      <c r="AA10992" t="str">
        <f>"11746-9020"</f>
        <v>11746-9020</v>
      </c>
      <c r="AB10992" t="s">
        <v>133</v>
      </c>
      <c r="AC10992" t="s">
        <v>79</v>
      </c>
      <c r="AD10992" t="s">
        <v>75</v>
      </c>
      <c r="AE10992" t="s">
        <v>80</v>
      </c>
      <c r="AG10992" t="s">
        <v>81</v>
      </c>
    </row>
    <row r="10993" spans="1:33" x14ac:dyDescent="0.25">
      <c r="A10993" t="str">
        <f>"1912176470"</f>
        <v>1912176470</v>
      </c>
      <c r="B10993" t="str">
        <f>"00518790"</f>
        <v>00518790</v>
      </c>
      <c r="C10993" t="s">
        <v>44518</v>
      </c>
      <c r="D10993" t="s">
        <v>44519</v>
      </c>
      <c r="E10993" t="s">
        <v>44520</v>
      </c>
      <c r="G10993" t="s">
        <v>37120</v>
      </c>
      <c r="H10993" t="s">
        <v>6801</v>
      </c>
      <c r="I10993">
        <v>6136</v>
      </c>
      <c r="J10993" t="s">
        <v>7219</v>
      </c>
      <c r="L10993" t="s">
        <v>37</v>
      </c>
      <c r="M10993" t="s">
        <v>75</v>
      </c>
      <c r="R10993" t="s">
        <v>7274</v>
      </c>
      <c r="W10993" t="s">
        <v>44520</v>
      </c>
      <c r="X10993" t="s">
        <v>44521</v>
      </c>
      <c r="Y10993" t="s">
        <v>4786</v>
      </c>
      <c r="Z10993" t="s">
        <v>77</v>
      </c>
      <c r="AA10993" t="str">
        <f>"10706-1711"</f>
        <v>10706-1711</v>
      </c>
      <c r="AB10993" t="s">
        <v>107</v>
      </c>
      <c r="AC10993" t="s">
        <v>79</v>
      </c>
      <c r="AD10993" t="s">
        <v>75</v>
      </c>
      <c r="AE10993" t="s">
        <v>80</v>
      </c>
      <c r="AG10993" t="s">
        <v>81</v>
      </c>
    </row>
    <row r="10994" spans="1:33" x14ac:dyDescent="0.25">
      <c r="A10994" t="str">
        <f>"1932215209"</f>
        <v>1932215209</v>
      </c>
      <c r="B10994" t="str">
        <f>"00309839"</f>
        <v>00309839</v>
      </c>
      <c r="C10994" t="s">
        <v>44522</v>
      </c>
      <c r="D10994" t="s">
        <v>501</v>
      </c>
      <c r="E10994" t="s">
        <v>502</v>
      </c>
      <c r="G10994" t="s">
        <v>44523</v>
      </c>
      <c r="H10994" t="s">
        <v>44524</v>
      </c>
      <c r="J10994" t="s">
        <v>44525</v>
      </c>
      <c r="L10994" t="s">
        <v>106</v>
      </c>
      <c r="M10994" t="s">
        <v>85</v>
      </c>
      <c r="R10994" t="s">
        <v>506</v>
      </c>
      <c r="W10994" t="s">
        <v>502</v>
      </c>
      <c r="X10994" t="s">
        <v>507</v>
      </c>
      <c r="Y10994" t="s">
        <v>508</v>
      </c>
      <c r="Z10994" t="s">
        <v>77</v>
      </c>
      <c r="AA10994" t="str">
        <f>"11357-3820"</f>
        <v>11357-3820</v>
      </c>
      <c r="AB10994" t="s">
        <v>107</v>
      </c>
      <c r="AC10994" t="s">
        <v>79</v>
      </c>
      <c r="AD10994" t="s">
        <v>75</v>
      </c>
      <c r="AE10994" t="s">
        <v>80</v>
      </c>
      <c r="AG10994" t="s">
        <v>81</v>
      </c>
    </row>
    <row r="10995" spans="1:33" x14ac:dyDescent="0.25">
      <c r="A10995" t="str">
        <f>"1932275427"</f>
        <v>1932275427</v>
      </c>
      <c r="B10995" t="str">
        <f>"01148961"</f>
        <v>01148961</v>
      </c>
      <c r="C10995" t="s">
        <v>43360</v>
      </c>
      <c r="D10995" t="s">
        <v>44526</v>
      </c>
      <c r="E10995" t="s">
        <v>44527</v>
      </c>
      <c r="G10995" t="s">
        <v>44496</v>
      </c>
      <c r="H10995" t="s">
        <v>44497</v>
      </c>
      <c r="J10995" t="s">
        <v>44498</v>
      </c>
      <c r="L10995" t="s">
        <v>37</v>
      </c>
      <c r="M10995" t="s">
        <v>75</v>
      </c>
      <c r="R10995" t="s">
        <v>44528</v>
      </c>
      <c r="W10995" t="s">
        <v>44527</v>
      </c>
      <c r="X10995" t="s">
        <v>43365</v>
      </c>
      <c r="Y10995" t="s">
        <v>161</v>
      </c>
      <c r="Z10995" t="s">
        <v>77</v>
      </c>
      <c r="AA10995" t="str">
        <f>"11042-1116"</f>
        <v>11042-1116</v>
      </c>
      <c r="AB10995" t="s">
        <v>122</v>
      </c>
      <c r="AC10995" t="s">
        <v>79</v>
      </c>
      <c r="AD10995" t="s">
        <v>75</v>
      </c>
      <c r="AE10995" t="s">
        <v>80</v>
      </c>
      <c r="AG10995" t="s">
        <v>81</v>
      </c>
    </row>
    <row r="10996" spans="1:33" x14ac:dyDescent="0.25">
      <c r="A10996" t="str">
        <f>"1942479456"</f>
        <v>1942479456</v>
      </c>
      <c r="B10996" t="str">
        <f>"01288664"</f>
        <v>01288664</v>
      </c>
      <c r="C10996" t="s">
        <v>44529</v>
      </c>
      <c r="D10996" t="s">
        <v>44530</v>
      </c>
      <c r="E10996" t="s">
        <v>44531</v>
      </c>
      <c r="G10996" t="s">
        <v>37120</v>
      </c>
      <c r="H10996" t="s">
        <v>6801</v>
      </c>
      <c r="I10996">
        <v>6136</v>
      </c>
      <c r="J10996" t="s">
        <v>7219</v>
      </c>
      <c r="L10996" t="s">
        <v>37</v>
      </c>
      <c r="M10996" t="s">
        <v>75</v>
      </c>
      <c r="R10996" t="s">
        <v>7274</v>
      </c>
      <c r="W10996" t="s">
        <v>44531</v>
      </c>
      <c r="X10996" t="s">
        <v>44532</v>
      </c>
      <c r="Y10996" t="s">
        <v>196</v>
      </c>
      <c r="Z10996" t="s">
        <v>77</v>
      </c>
      <c r="AA10996" t="str">
        <f>"11756-3845"</f>
        <v>11756-3845</v>
      </c>
      <c r="AB10996" t="s">
        <v>107</v>
      </c>
      <c r="AC10996" t="s">
        <v>79</v>
      </c>
      <c r="AD10996" t="s">
        <v>75</v>
      </c>
      <c r="AE10996" t="s">
        <v>80</v>
      </c>
      <c r="AG10996" t="s">
        <v>81</v>
      </c>
    </row>
    <row r="10997" spans="1:33" x14ac:dyDescent="0.25">
      <c r="A10997" t="str">
        <f>"1609879915"</f>
        <v>1609879915</v>
      </c>
      <c r="B10997" t="str">
        <f>"01628880"</f>
        <v>01628880</v>
      </c>
      <c r="C10997" t="s">
        <v>44533</v>
      </c>
      <c r="D10997" t="s">
        <v>44534</v>
      </c>
      <c r="E10997" t="s">
        <v>44535</v>
      </c>
      <c r="G10997" t="s">
        <v>44536</v>
      </c>
      <c r="H10997" t="s">
        <v>44537</v>
      </c>
      <c r="I10997">
        <v>106</v>
      </c>
      <c r="J10997" t="s">
        <v>44538</v>
      </c>
      <c r="L10997" t="s">
        <v>106</v>
      </c>
      <c r="M10997" t="s">
        <v>85</v>
      </c>
      <c r="R10997" t="s">
        <v>44539</v>
      </c>
      <c r="W10997" t="s">
        <v>44535</v>
      </c>
      <c r="X10997" t="s">
        <v>1991</v>
      </c>
      <c r="Y10997" t="s">
        <v>97</v>
      </c>
      <c r="Z10997" t="s">
        <v>77</v>
      </c>
      <c r="AA10997" t="str">
        <f>"10035-1612"</f>
        <v>10035-1612</v>
      </c>
      <c r="AB10997" t="s">
        <v>107</v>
      </c>
      <c r="AC10997" t="s">
        <v>79</v>
      </c>
      <c r="AD10997" t="s">
        <v>75</v>
      </c>
      <c r="AE10997" t="s">
        <v>80</v>
      </c>
      <c r="AG10997" t="s">
        <v>81</v>
      </c>
    </row>
    <row r="10998" spans="1:33" x14ac:dyDescent="0.25">
      <c r="A10998" t="str">
        <f>"1891936159"</f>
        <v>1891936159</v>
      </c>
      <c r="C10998" t="s">
        <v>43387</v>
      </c>
      <c r="K10998" t="s">
        <v>99</v>
      </c>
      <c r="L10998" t="s">
        <v>102</v>
      </c>
      <c r="M10998" t="s">
        <v>75</v>
      </c>
      <c r="R10998" t="s">
        <v>22768</v>
      </c>
      <c r="S10998" t="s">
        <v>5249</v>
      </c>
      <c r="T10998" t="s">
        <v>97</v>
      </c>
      <c r="U10998" t="s">
        <v>77</v>
      </c>
      <c r="V10998" t="str">
        <f>"10003"</f>
        <v>10003</v>
      </c>
      <c r="AC10998" t="s">
        <v>79</v>
      </c>
      <c r="AD10998" t="s">
        <v>75</v>
      </c>
      <c r="AE10998" t="s">
        <v>103</v>
      </c>
      <c r="AG10998" t="s">
        <v>81</v>
      </c>
    </row>
    <row r="10999" spans="1:33" x14ac:dyDescent="0.25">
      <c r="A10999" t="str">
        <f>"1891977344"</f>
        <v>1891977344</v>
      </c>
      <c r="C10999" t="s">
        <v>44540</v>
      </c>
      <c r="K10999" t="s">
        <v>99</v>
      </c>
      <c r="L10999" t="s">
        <v>102</v>
      </c>
      <c r="M10999" t="s">
        <v>75</v>
      </c>
      <c r="R10999" t="s">
        <v>44541</v>
      </c>
      <c r="S10999" t="s">
        <v>44542</v>
      </c>
      <c r="T10999" t="s">
        <v>97</v>
      </c>
      <c r="U10999" t="s">
        <v>77</v>
      </c>
      <c r="V10999" t="str">
        <f>"10019"</f>
        <v>10019</v>
      </c>
      <c r="AC10999" t="s">
        <v>79</v>
      </c>
      <c r="AD10999" t="s">
        <v>75</v>
      </c>
      <c r="AE10999" t="s">
        <v>103</v>
      </c>
      <c r="AG10999" t="s">
        <v>81</v>
      </c>
    </row>
    <row r="11000" spans="1:33" x14ac:dyDescent="0.25">
      <c r="A11000" t="str">
        <f>"1902180011"</f>
        <v>1902180011</v>
      </c>
      <c r="C11000" t="s">
        <v>43819</v>
      </c>
      <c r="K11000" t="s">
        <v>99</v>
      </c>
      <c r="L11000" t="s">
        <v>102</v>
      </c>
      <c r="M11000" t="s">
        <v>75</v>
      </c>
      <c r="R11000" t="s">
        <v>43820</v>
      </c>
      <c r="S11000" t="s">
        <v>44543</v>
      </c>
      <c r="T11000" t="s">
        <v>97</v>
      </c>
      <c r="U11000" t="s">
        <v>77</v>
      </c>
      <c r="V11000" t="str">
        <f>"100191147"</f>
        <v>100191147</v>
      </c>
      <c r="AC11000" t="s">
        <v>79</v>
      </c>
      <c r="AD11000" t="s">
        <v>75</v>
      </c>
      <c r="AE11000" t="s">
        <v>103</v>
      </c>
      <c r="AG11000" t="s">
        <v>81</v>
      </c>
    </row>
    <row r="11001" spans="1:33" x14ac:dyDescent="0.25">
      <c r="A11001" t="str">
        <f>"1922319771"</f>
        <v>1922319771</v>
      </c>
      <c r="C11001" t="s">
        <v>43295</v>
      </c>
      <c r="K11001" t="s">
        <v>99</v>
      </c>
      <c r="L11001" t="s">
        <v>102</v>
      </c>
      <c r="M11001" t="s">
        <v>75</v>
      </c>
      <c r="R11001" t="s">
        <v>43296</v>
      </c>
      <c r="S11001" t="s">
        <v>44544</v>
      </c>
      <c r="T11001" t="s">
        <v>155</v>
      </c>
      <c r="U11001" t="s">
        <v>77</v>
      </c>
      <c r="V11001" t="str">
        <f>"103053402"</f>
        <v>103053402</v>
      </c>
      <c r="AC11001" t="s">
        <v>79</v>
      </c>
      <c r="AD11001" t="s">
        <v>75</v>
      </c>
      <c r="AE11001" t="s">
        <v>103</v>
      </c>
      <c r="AG11001" t="s">
        <v>81</v>
      </c>
    </row>
    <row r="11002" spans="1:33" x14ac:dyDescent="0.25">
      <c r="A11002" t="str">
        <f>"1932103413"</f>
        <v>1932103413</v>
      </c>
      <c r="B11002" t="str">
        <f>"02998612"</f>
        <v>02998612</v>
      </c>
      <c r="C11002" t="s">
        <v>43299</v>
      </c>
      <c r="D11002" t="s">
        <v>1291</v>
      </c>
      <c r="E11002" t="s">
        <v>1290</v>
      </c>
      <c r="L11002" t="s">
        <v>148</v>
      </c>
      <c r="M11002" t="s">
        <v>85</v>
      </c>
      <c r="R11002" t="s">
        <v>1290</v>
      </c>
      <c r="W11002" t="s">
        <v>1290</v>
      </c>
      <c r="X11002" t="s">
        <v>329</v>
      </c>
      <c r="Y11002" t="s">
        <v>97</v>
      </c>
      <c r="Z11002" t="s">
        <v>77</v>
      </c>
      <c r="AA11002" t="str">
        <f>"10029-6500"</f>
        <v>10029-6500</v>
      </c>
      <c r="AB11002" t="s">
        <v>96</v>
      </c>
      <c r="AC11002" t="s">
        <v>157</v>
      </c>
      <c r="AD11002" t="s">
        <v>75</v>
      </c>
      <c r="AE11002" t="s">
        <v>80</v>
      </c>
      <c r="AG11002" t="s">
        <v>81</v>
      </c>
    </row>
    <row r="11003" spans="1:33" x14ac:dyDescent="0.25">
      <c r="A11003" t="str">
        <f>"1932243037"</f>
        <v>1932243037</v>
      </c>
      <c r="C11003" t="s">
        <v>43299</v>
      </c>
      <c r="K11003" t="s">
        <v>99</v>
      </c>
      <c r="L11003" t="s">
        <v>102</v>
      </c>
      <c r="M11003" t="s">
        <v>75</v>
      </c>
      <c r="R11003" t="s">
        <v>1290</v>
      </c>
      <c r="S11003" t="s">
        <v>44545</v>
      </c>
      <c r="T11003" t="s">
        <v>97</v>
      </c>
      <c r="U11003" t="s">
        <v>77</v>
      </c>
      <c r="V11003" t="str">
        <f>"10029"</f>
        <v>10029</v>
      </c>
      <c r="AC11003" t="s">
        <v>79</v>
      </c>
      <c r="AD11003" t="s">
        <v>75</v>
      </c>
      <c r="AE11003" t="s">
        <v>103</v>
      </c>
      <c r="AG11003" t="s">
        <v>81</v>
      </c>
    </row>
    <row r="11004" spans="1:33" x14ac:dyDescent="0.25">
      <c r="A11004" t="str">
        <f>"1942363098"</f>
        <v>1942363098</v>
      </c>
      <c r="B11004" t="str">
        <f>"01660526"</f>
        <v>01660526</v>
      </c>
      <c r="C11004" t="s">
        <v>44546</v>
      </c>
      <c r="D11004" t="s">
        <v>44547</v>
      </c>
      <c r="E11004" t="s">
        <v>44548</v>
      </c>
      <c r="L11004" t="s">
        <v>37</v>
      </c>
      <c r="M11004" t="s">
        <v>75</v>
      </c>
      <c r="R11004" t="s">
        <v>44549</v>
      </c>
      <c r="W11004" t="s">
        <v>44548</v>
      </c>
      <c r="AB11004" t="s">
        <v>122</v>
      </c>
      <c r="AC11004" t="s">
        <v>79</v>
      </c>
      <c r="AD11004" t="s">
        <v>75</v>
      </c>
      <c r="AE11004" t="s">
        <v>80</v>
      </c>
      <c r="AG11004" t="s">
        <v>81</v>
      </c>
    </row>
    <row r="11005" spans="1:33" x14ac:dyDescent="0.25">
      <c r="A11005" t="str">
        <f>"1942468855"</f>
        <v>1942468855</v>
      </c>
      <c r="C11005" t="s">
        <v>43387</v>
      </c>
      <c r="K11005" t="s">
        <v>99</v>
      </c>
      <c r="L11005" t="s">
        <v>102</v>
      </c>
      <c r="M11005" t="s">
        <v>75</v>
      </c>
      <c r="R11005" t="s">
        <v>22768</v>
      </c>
      <c r="S11005" t="s">
        <v>44550</v>
      </c>
      <c r="T11005" t="s">
        <v>97</v>
      </c>
      <c r="U11005" t="s">
        <v>77</v>
      </c>
      <c r="V11005" t="str">
        <f>"100033314"</f>
        <v>100033314</v>
      </c>
      <c r="AC11005" t="s">
        <v>79</v>
      </c>
      <c r="AD11005" t="s">
        <v>75</v>
      </c>
      <c r="AE11005" t="s">
        <v>103</v>
      </c>
      <c r="AG11005" t="s">
        <v>81</v>
      </c>
    </row>
    <row r="11006" spans="1:33" x14ac:dyDescent="0.25">
      <c r="A11006" t="str">
        <f>"1952561441"</f>
        <v>1952561441</v>
      </c>
      <c r="C11006" t="s">
        <v>43387</v>
      </c>
      <c r="K11006" t="s">
        <v>99</v>
      </c>
      <c r="L11006" t="s">
        <v>102</v>
      </c>
      <c r="M11006" t="s">
        <v>75</v>
      </c>
      <c r="R11006" t="s">
        <v>22768</v>
      </c>
      <c r="S11006" t="s">
        <v>44551</v>
      </c>
      <c r="T11006" t="s">
        <v>97</v>
      </c>
      <c r="U11006" t="s">
        <v>77</v>
      </c>
      <c r="V11006" t="str">
        <f>"100039401"</f>
        <v>100039401</v>
      </c>
      <c r="AC11006" t="s">
        <v>79</v>
      </c>
      <c r="AD11006" t="s">
        <v>75</v>
      </c>
      <c r="AE11006" t="s">
        <v>103</v>
      </c>
      <c r="AG11006" t="s">
        <v>81</v>
      </c>
    </row>
    <row r="11007" spans="1:33" x14ac:dyDescent="0.25">
      <c r="A11007" t="str">
        <f>"1275802811"</f>
        <v>1275802811</v>
      </c>
      <c r="B11007" t="str">
        <f>"03441825"</f>
        <v>03441825</v>
      </c>
      <c r="C11007" t="s">
        <v>44552</v>
      </c>
      <c r="D11007" t="s">
        <v>44553</v>
      </c>
      <c r="E11007" t="s">
        <v>37677</v>
      </c>
      <c r="G11007" t="s">
        <v>27833</v>
      </c>
      <c r="H11007" t="s">
        <v>27834</v>
      </c>
      <c r="J11007" t="s">
        <v>27835</v>
      </c>
      <c r="L11007" t="s">
        <v>37</v>
      </c>
      <c r="M11007" t="s">
        <v>75</v>
      </c>
      <c r="R11007" t="s">
        <v>12702</v>
      </c>
      <c r="W11007" t="s">
        <v>12703</v>
      </c>
      <c r="X11007" t="s">
        <v>329</v>
      </c>
      <c r="Y11007" t="s">
        <v>97</v>
      </c>
      <c r="Z11007" t="s">
        <v>77</v>
      </c>
      <c r="AA11007" t="str">
        <f>"10029-6500"</f>
        <v>10029-6500</v>
      </c>
      <c r="AB11007" t="s">
        <v>127</v>
      </c>
      <c r="AC11007" t="s">
        <v>79</v>
      </c>
      <c r="AD11007" t="s">
        <v>75</v>
      </c>
      <c r="AE11007" t="s">
        <v>80</v>
      </c>
      <c r="AG11007" t="s">
        <v>81</v>
      </c>
    </row>
    <row r="11008" spans="1:33" x14ac:dyDescent="0.25">
      <c r="A11008" t="str">
        <f>"1770856254"</f>
        <v>1770856254</v>
      </c>
      <c r="B11008" t="str">
        <f>"03479449"</f>
        <v>03479449</v>
      </c>
      <c r="C11008" t="s">
        <v>44552</v>
      </c>
      <c r="D11008" t="s">
        <v>44554</v>
      </c>
      <c r="E11008" t="s">
        <v>37677</v>
      </c>
      <c r="G11008" t="s">
        <v>27833</v>
      </c>
      <c r="H11008" t="s">
        <v>27834</v>
      </c>
      <c r="J11008" t="s">
        <v>27835</v>
      </c>
      <c r="L11008" t="s">
        <v>37</v>
      </c>
      <c r="M11008" t="s">
        <v>75</v>
      </c>
      <c r="R11008" t="s">
        <v>12702</v>
      </c>
      <c r="W11008" t="s">
        <v>12703</v>
      </c>
      <c r="X11008" t="s">
        <v>14992</v>
      </c>
      <c r="Y11008" t="s">
        <v>97</v>
      </c>
      <c r="Z11008" t="s">
        <v>77</v>
      </c>
      <c r="AA11008" t="str">
        <f>"10029-6503"</f>
        <v>10029-6503</v>
      </c>
      <c r="AB11008" t="s">
        <v>127</v>
      </c>
      <c r="AC11008" t="s">
        <v>79</v>
      </c>
      <c r="AD11008" t="s">
        <v>75</v>
      </c>
      <c r="AE11008" t="s">
        <v>80</v>
      </c>
      <c r="AG11008" t="s">
        <v>81</v>
      </c>
    </row>
    <row r="11009" spans="1:33" x14ac:dyDescent="0.25">
      <c r="A11009" t="str">
        <f>"1588937064"</f>
        <v>1588937064</v>
      </c>
      <c r="B11009" t="str">
        <f>"03586610"</f>
        <v>03586610</v>
      </c>
      <c r="C11009" t="s">
        <v>44552</v>
      </c>
      <c r="D11009" t="s">
        <v>44555</v>
      </c>
      <c r="E11009" t="s">
        <v>37677</v>
      </c>
      <c r="G11009" t="s">
        <v>27833</v>
      </c>
      <c r="H11009" t="s">
        <v>27834</v>
      </c>
      <c r="J11009" t="s">
        <v>27835</v>
      </c>
      <c r="L11009" t="s">
        <v>37</v>
      </c>
      <c r="M11009" t="s">
        <v>75</v>
      </c>
      <c r="R11009" t="s">
        <v>12702</v>
      </c>
      <c r="W11009" t="s">
        <v>12703</v>
      </c>
      <c r="X11009" t="s">
        <v>272</v>
      </c>
      <c r="Y11009" t="s">
        <v>97</v>
      </c>
      <c r="Z11009" t="s">
        <v>77</v>
      </c>
      <c r="AA11009" t="str">
        <f>"10029-6501"</f>
        <v>10029-6501</v>
      </c>
      <c r="AB11009" t="s">
        <v>127</v>
      </c>
      <c r="AC11009" t="s">
        <v>79</v>
      </c>
      <c r="AD11009" t="s">
        <v>75</v>
      </c>
      <c r="AE11009" t="s">
        <v>80</v>
      </c>
      <c r="AG11009" t="s">
        <v>81</v>
      </c>
    </row>
    <row r="11010" spans="1:33" x14ac:dyDescent="0.25">
      <c r="A11010" t="str">
        <f>"1437421252"</f>
        <v>1437421252</v>
      </c>
      <c r="B11010" t="str">
        <f>"03586638"</f>
        <v>03586638</v>
      </c>
      <c r="C11010" t="s">
        <v>44552</v>
      </c>
      <c r="D11010" t="s">
        <v>44556</v>
      </c>
      <c r="E11010" t="s">
        <v>37677</v>
      </c>
      <c r="G11010" t="s">
        <v>27833</v>
      </c>
      <c r="H11010" t="s">
        <v>27834</v>
      </c>
      <c r="J11010" t="s">
        <v>27835</v>
      </c>
      <c r="L11010" t="s">
        <v>37</v>
      </c>
      <c r="M11010" t="s">
        <v>75</v>
      </c>
      <c r="R11010" t="s">
        <v>12702</v>
      </c>
      <c r="W11010" t="s">
        <v>12703</v>
      </c>
      <c r="X11010" t="s">
        <v>330</v>
      </c>
      <c r="Y11010" t="s">
        <v>97</v>
      </c>
      <c r="Z11010" t="s">
        <v>77</v>
      </c>
      <c r="AA11010" t="str">
        <f>"10029-5204"</f>
        <v>10029-5204</v>
      </c>
      <c r="AB11010" t="s">
        <v>127</v>
      </c>
      <c r="AC11010" t="s">
        <v>79</v>
      </c>
      <c r="AD11010" t="s">
        <v>75</v>
      </c>
      <c r="AE11010" t="s">
        <v>80</v>
      </c>
      <c r="AG11010" t="s">
        <v>81</v>
      </c>
    </row>
    <row r="11011" spans="1:33" x14ac:dyDescent="0.25">
      <c r="A11011" t="str">
        <f>"1518228550"</f>
        <v>1518228550</v>
      </c>
      <c r="B11011" t="str">
        <f>"03586647"</f>
        <v>03586647</v>
      </c>
      <c r="C11011" t="s">
        <v>44552</v>
      </c>
      <c r="D11011" t="s">
        <v>44557</v>
      </c>
      <c r="E11011" t="s">
        <v>37677</v>
      </c>
      <c r="G11011" t="s">
        <v>27833</v>
      </c>
      <c r="H11011" t="s">
        <v>27834</v>
      </c>
      <c r="J11011" t="s">
        <v>27835</v>
      </c>
      <c r="L11011" t="s">
        <v>37</v>
      </c>
      <c r="M11011" t="s">
        <v>75</v>
      </c>
      <c r="R11011" t="s">
        <v>12702</v>
      </c>
      <c r="W11011" t="s">
        <v>12703</v>
      </c>
      <c r="X11011" t="s">
        <v>272</v>
      </c>
      <c r="Y11011" t="s">
        <v>97</v>
      </c>
      <c r="Z11011" t="s">
        <v>77</v>
      </c>
      <c r="AA11011" t="str">
        <f>"10029-6501"</f>
        <v>10029-6501</v>
      </c>
      <c r="AB11011" t="s">
        <v>127</v>
      </c>
      <c r="AC11011" t="s">
        <v>79</v>
      </c>
      <c r="AD11011" t="s">
        <v>75</v>
      </c>
      <c r="AE11011" t="s">
        <v>80</v>
      </c>
      <c r="AG11011" t="s">
        <v>81</v>
      </c>
    </row>
    <row r="11012" spans="1:33" x14ac:dyDescent="0.25">
      <c r="A11012" t="str">
        <f>"1235490277"</f>
        <v>1235490277</v>
      </c>
      <c r="B11012" t="str">
        <f>"03587235"</f>
        <v>03587235</v>
      </c>
      <c r="C11012" t="s">
        <v>44552</v>
      </c>
      <c r="D11012" t="s">
        <v>44558</v>
      </c>
      <c r="E11012" t="s">
        <v>12701</v>
      </c>
      <c r="G11012" t="s">
        <v>27833</v>
      </c>
      <c r="H11012" t="s">
        <v>27834</v>
      </c>
      <c r="J11012" t="s">
        <v>27835</v>
      </c>
      <c r="L11012" t="s">
        <v>37</v>
      </c>
      <c r="M11012" t="s">
        <v>75</v>
      </c>
      <c r="R11012" t="s">
        <v>12702</v>
      </c>
      <c r="W11012" t="s">
        <v>12703</v>
      </c>
      <c r="X11012" t="s">
        <v>272</v>
      </c>
      <c r="Y11012" t="s">
        <v>97</v>
      </c>
      <c r="Z11012" t="s">
        <v>77</v>
      </c>
      <c r="AA11012" t="str">
        <f>"10029-6501"</f>
        <v>10029-6501</v>
      </c>
      <c r="AB11012" t="s">
        <v>127</v>
      </c>
      <c r="AC11012" t="s">
        <v>79</v>
      </c>
      <c r="AD11012" t="s">
        <v>75</v>
      </c>
      <c r="AE11012" t="s">
        <v>80</v>
      </c>
      <c r="AG11012" t="s">
        <v>81</v>
      </c>
    </row>
    <row r="11013" spans="1:33" x14ac:dyDescent="0.25">
      <c r="A11013" t="str">
        <f>"1124392212"</f>
        <v>1124392212</v>
      </c>
      <c r="B11013" t="str">
        <f>"03598441"</f>
        <v>03598441</v>
      </c>
      <c r="C11013" t="s">
        <v>44552</v>
      </c>
      <c r="D11013" t="s">
        <v>44559</v>
      </c>
      <c r="E11013" t="s">
        <v>37677</v>
      </c>
      <c r="G11013" t="s">
        <v>27833</v>
      </c>
      <c r="H11013" t="s">
        <v>27834</v>
      </c>
      <c r="J11013" t="s">
        <v>27835</v>
      </c>
      <c r="L11013" t="s">
        <v>37</v>
      </c>
      <c r="M11013" t="s">
        <v>75</v>
      </c>
      <c r="R11013" t="s">
        <v>12702</v>
      </c>
      <c r="W11013" t="s">
        <v>12703</v>
      </c>
      <c r="X11013" t="s">
        <v>2926</v>
      </c>
      <c r="Y11013" t="s">
        <v>97</v>
      </c>
      <c r="Z11013" t="s">
        <v>77</v>
      </c>
      <c r="AA11013" t="str">
        <f>"10029-6503"</f>
        <v>10029-6503</v>
      </c>
      <c r="AB11013" t="s">
        <v>127</v>
      </c>
      <c r="AC11013" t="s">
        <v>79</v>
      </c>
      <c r="AD11013" t="s">
        <v>75</v>
      </c>
      <c r="AE11013" t="s">
        <v>80</v>
      </c>
      <c r="AG11013" t="s">
        <v>81</v>
      </c>
    </row>
    <row r="11014" spans="1:33" x14ac:dyDescent="0.25">
      <c r="A11014" t="str">
        <f>"1750647152"</f>
        <v>1750647152</v>
      </c>
      <c r="B11014" t="str">
        <f>"03617907"</f>
        <v>03617907</v>
      </c>
      <c r="C11014" t="s">
        <v>44552</v>
      </c>
      <c r="D11014" t="s">
        <v>44560</v>
      </c>
      <c r="E11014" t="s">
        <v>37677</v>
      </c>
      <c r="G11014" t="s">
        <v>27833</v>
      </c>
      <c r="H11014" t="s">
        <v>27834</v>
      </c>
      <c r="J11014" t="s">
        <v>27835</v>
      </c>
      <c r="L11014" t="s">
        <v>37</v>
      </c>
      <c r="M11014" t="s">
        <v>75</v>
      </c>
      <c r="R11014" t="s">
        <v>12702</v>
      </c>
      <c r="W11014" t="s">
        <v>12703</v>
      </c>
      <c r="X11014" t="s">
        <v>329</v>
      </c>
      <c r="Y11014" t="s">
        <v>97</v>
      </c>
      <c r="Z11014" t="s">
        <v>77</v>
      </c>
      <c r="AA11014" t="str">
        <f>"10029-6504"</f>
        <v>10029-6504</v>
      </c>
      <c r="AB11014" t="s">
        <v>127</v>
      </c>
      <c r="AC11014" t="s">
        <v>79</v>
      </c>
      <c r="AD11014" t="s">
        <v>75</v>
      </c>
      <c r="AE11014" t="s">
        <v>80</v>
      </c>
      <c r="AG11014" t="s">
        <v>81</v>
      </c>
    </row>
    <row r="11015" spans="1:33" x14ac:dyDescent="0.25">
      <c r="A11015" t="str">
        <f>"1750626560"</f>
        <v>1750626560</v>
      </c>
      <c r="B11015" t="str">
        <f>"03674691"</f>
        <v>03674691</v>
      </c>
      <c r="C11015" t="s">
        <v>44552</v>
      </c>
      <c r="D11015" t="s">
        <v>44561</v>
      </c>
      <c r="E11015" t="s">
        <v>37677</v>
      </c>
      <c r="G11015" t="s">
        <v>27833</v>
      </c>
      <c r="H11015" t="s">
        <v>27834</v>
      </c>
      <c r="J11015" t="s">
        <v>27835</v>
      </c>
      <c r="L11015" t="s">
        <v>37</v>
      </c>
      <c r="M11015" t="s">
        <v>75</v>
      </c>
      <c r="R11015" t="s">
        <v>12702</v>
      </c>
      <c r="W11015" t="s">
        <v>12703</v>
      </c>
      <c r="X11015" t="s">
        <v>4029</v>
      </c>
      <c r="Y11015" t="s">
        <v>97</v>
      </c>
      <c r="Z11015" t="s">
        <v>77</v>
      </c>
      <c r="AA11015" t="str">
        <f>"10029-6503"</f>
        <v>10029-6503</v>
      </c>
      <c r="AB11015" t="s">
        <v>127</v>
      </c>
      <c r="AC11015" t="s">
        <v>79</v>
      </c>
      <c r="AD11015" t="s">
        <v>75</v>
      </c>
      <c r="AE11015" t="s">
        <v>80</v>
      </c>
      <c r="AG11015" t="s">
        <v>81</v>
      </c>
    </row>
    <row r="11016" spans="1:33" x14ac:dyDescent="0.25">
      <c r="A11016" t="str">
        <f>"1770823551"</f>
        <v>1770823551</v>
      </c>
      <c r="B11016" t="str">
        <f>"03742409"</f>
        <v>03742409</v>
      </c>
      <c r="C11016" t="s">
        <v>44552</v>
      </c>
      <c r="D11016" t="s">
        <v>44562</v>
      </c>
      <c r="E11016" t="s">
        <v>37677</v>
      </c>
      <c r="G11016" t="s">
        <v>27833</v>
      </c>
      <c r="H11016" t="s">
        <v>27834</v>
      </c>
      <c r="J11016" t="s">
        <v>27835</v>
      </c>
      <c r="L11016" t="s">
        <v>37</v>
      </c>
      <c r="M11016" t="s">
        <v>75</v>
      </c>
      <c r="R11016" t="s">
        <v>12702</v>
      </c>
      <c r="W11016" t="s">
        <v>12703</v>
      </c>
      <c r="X11016" t="s">
        <v>329</v>
      </c>
      <c r="Y11016" t="s">
        <v>97</v>
      </c>
      <c r="Z11016" t="s">
        <v>77</v>
      </c>
      <c r="AA11016" t="str">
        <f>"10029-6504"</f>
        <v>10029-6504</v>
      </c>
      <c r="AB11016" t="s">
        <v>127</v>
      </c>
      <c r="AC11016" t="s">
        <v>79</v>
      </c>
      <c r="AD11016" t="s">
        <v>75</v>
      </c>
      <c r="AE11016" t="s">
        <v>80</v>
      </c>
      <c r="AG11016" t="s">
        <v>81</v>
      </c>
    </row>
    <row r="11017" spans="1:33" x14ac:dyDescent="0.25">
      <c r="A11017" t="str">
        <f>"1497029581"</f>
        <v>1497029581</v>
      </c>
      <c r="B11017" t="str">
        <f>"03436922"</f>
        <v>03436922</v>
      </c>
      <c r="C11017" t="s">
        <v>44563</v>
      </c>
      <c r="D11017" t="s">
        <v>44564</v>
      </c>
      <c r="E11017" t="s">
        <v>12701</v>
      </c>
      <c r="G11017" t="s">
        <v>27833</v>
      </c>
      <c r="H11017" t="s">
        <v>27834</v>
      </c>
      <c r="J11017" t="s">
        <v>27835</v>
      </c>
      <c r="L11017" t="s">
        <v>37</v>
      </c>
      <c r="M11017" t="s">
        <v>75</v>
      </c>
      <c r="R11017" t="s">
        <v>12702</v>
      </c>
      <c r="W11017" t="s">
        <v>12703</v>
      </c>
      <c r="X11017" t="s">
        <v>329</v>
      </c>
      <c r="Y11017" t="s">
        <v>97</v>
      </c>
      <c r="Z11017" t="s">
        <v>77</v>
      </c>
      <c r="AA11017" t="str">
        <f>"10029-6500"</f>
        <v>10029-6500</v>
      </c>
      <c r="AB11017" t="s">
        <v>127</v>
      </c>
      <c r="AC11017" t="s">
        <v>79</v>
      </c>
      <c r="AD11017" t="s">
        <v>75</v>
      </c>
      <c r="AE11017" t="s">
        <v>80</v>
      </c>
      <c r="AG11017" t="s">
        <v>81</v>
      </c>
    </row>
    <row r="11018" spans="1:33" x14ac:dyDescent="0.25">
      <c r="A11018" t="str">
        <f>"1750649612"</f>
        <v>1750649612</v>
      </c>
      <c r="B11018" t="str">
        <f>"03487689"</f>
        <v>03487689</v>
      </c>
      <c r="C11018" t="s">
        <v>44563</v>
      </c>
      <c r="D11018" t="s">
        <v>44565</v>
      </c>
      <c r="E11018" t="s">
        <v>12701</v>
      </c>
      <c r="G11018" t="s">
        <v>27833</v>
      </c>
      <c r="H11018" t="s">
        <v>27834</v>
      </c>
      <c r="J11018" t="s">
        <v>27835</v>
      </c>
      <c r="L11018" t="s">
        <v>37</v>
      </c>
      <c r="M11018" t="s">
        <v>75</v>
      </c>
      <c r="R11018" t="s">
        <v>12702</v>
      </c>
      <c r="W11018" t="s">
        <v>12703</v>
      </c>
      <c r="X11018" t="s">
        <v>44566</v>
      </c>
      <c r="Y11018" t="s">
        <v>97</v>
      </c>
      <c r="Z11018" t="s">
        <v>77</v>
      </c>
      <c r="AA11018" t="str">
        <f>"10029-6500"</f>
        <v>10029-6500</v>
      </c>
      <c r="AB11018" t="s">
        <v>127</v>
      </c>
      <c r="AC11018" t="s">
        <v>79</v>
      </c>
      <c r="AD11018" t="s">
        <v>75</v>
      </c>
      <c r="AE11018" t="s">
        <v>80</v>
      </c>
      <c r="AG11018" t="s">
        <v>81</v>
      </c>
    </row>
    <row r="11019" spans="1:33" x14ac:dyDescent="0.25">
      <c r="A11019" t="str">
        <f>"1033471305"</f>
        <v>1033471305</v>
      </c>
      <c r="B11019" t="str">
        <f>"03532092"</f>
        <v>03532092</v>
      </c>
      <c r="C11019" t="s">
        <v>44563</v>
      </c>
      <c r="D11019" t="s">
        <v>44567</v>
      </c>
      <c r="E11019" t="s">
        <v>12701</v>
      </c>
      <c r="G11019" t="s">
        <v>27833</v>
      </c>
      <c r="H11019" t="s">
        <v>27834</v>
      </c>
      <c r="J11019" t="s">
        <v>27835</v>
      </c>
      <c r="L11019" t="s">
        <v>37</v>
      </c>
      <c r="M11019" t="s">
        <v>75</v>
      </c>
      <c r="R11019" t="s">
        <v>12702</v>
      </c>
      <c r="W11019" t="s">
        <v>12703</v>
      </c>
      <c r="X11019" t="s">
        <v>272</v>
      </c>
      <c r="Y11019" t="s">
        <v>97</v>
      </c>
      <c r="Z11019" t="s">
        <v>77</v>
      </c>
      <c r="AA11019" t="str">
        <f>"10029-6501"</f>
        <v>10029-6501</v>
      </c>
      <c r="AB11019" t="s">
        <v>127</v>
      </c>
      <c r="AC11019" t="s">
        <v>79</v>
      </c>
      <c r="AD11019" t="s">
        <v>75</v>
      </c>
      <c r="AE11019" t="s">
        <v>80</v>
      </c>
      <c r="AG11019" t="s">
        <v>81</v>
      </c>
    </row>
    <row r="11020" spans="1:33" x14ac:dyDescent="0.25">
      <c r="A11020" t="str">
        <f>"1730440777"</f>
        <v>1730440777</v>
      </c>
      <c r="B11020" t="str">
        <f>"03533786"</f>
        <v>03533786</v>
      </c>
      <c r="C11020" t="s">
        <v>44563</v>
      </c>
      <c r="D11020" t="s">
        <v>44568</v>
      </c>
      <c r="E11020" t="s">
        <v>12701</v>
      </c>
      <c r="G11020" t="s">
        <v>27833</v>
      </c>
      <c r="H11020" t="s">
        <v>27834</v>
      </c>
      <c r="J11020" t="s">
        <v>27835</v>
      </c>
      <c r="L11020" t="s">
        <v>37</v>
      </c>
      <c r="M11020" t="s">
        <v>75</v>
      </c>
      <c r="R11020" t="s">
        <v>12702</v>
      </c>
      <c r="W11020" t="s">
        <v>12703</v>
      </c>
      <c r="X11020" t="s">
        <v>42337</v>
      </c>
      <c r="Y11020" t="s">
        <v>180</v>
      </c>
      <c r="Z11020" t="s">
        <v>77</v>
      </c>
      <c r="AA11020" t="str">
        <f>"10710-1125"</f>
        <v>10710-1125</v>
      </c>
      <c r="AB11020" t="s">
        <v>127</v>
      </c>
      <c r="AC11020" t="s">
        <v>79</v>
      </c>
      <c r="AD11020" t="s">
        <v>75</v>
      </c>
      <c r="AE11020" t="s">
        <v>80</v>
      </c>
      <c r="AG11020" t="s">
        <v>81</v>
      </c>
    </row>
    <row r="11021" spans="1:33" x14ac:dyDescent="0.25">
      <c r="A11021" t="str">
        <f>"1124392238"</f>
        <v>1124392238</v>
      </c>
      <c r="B11021" t="str">
        <f>"03837574"</f>
        <v>03837574</v>
      </c>
      <c r="C11021" t="s">
        <v>44569</v>
      </c>
      <c r="D11021" t="s">
        <v>44570</v>
      </c>
      <c r="E11021" t="s">
        <v>44571</v>
      </c>
      <c r="G11021" t="s">
        <v>27833</v>
      </c>
      <c r="H11021" t="s">
        <v>27834</v>
      </c>
      <c r="J11021" t="s">
        <v>27835</v>
      </c>
      <c r="L11021" t="s">
        <v>37</v>
      </c>
      <c r="M11021" t="s">
        <v>75</v>
      </c>
      <c r="R11021" t="s">
        <v>12702</v>
      </c>
      <c r="W11021" t="s">
        <v>44572</v>
      </c>
      <c r="X11021" t="s">
        <v>5895</v>
      </c>
      <c r="Y11021" t="s">
        <v>97</v>
      </c>
      <c r="Z11021" t="s">
        <v>77</v>
      </c>
      <c r="AA11021" t="str">
        <f>"10029-1147"</f>
        <v>10029-1147</v>
      </c>
      <c r="AB11021" t="s">
        <v>127</v>
      </c>
      <c r="AC11021" t="s">
        <v>79</v>
      </c>
      <c r="AD11021" t="s">
        <v>75</v>
      </c>
      <c r="AE11021" t="s">
        <v>80</v>
      </c>
      <c r="AG11021" t="s">
        <v>81</v>
      </c>
    </row>
    <row r="11022" spans="1:33" x14ac:dyDescent="0.25">
      <c r="A11022" t="str">
        <f>"1588723456"</f>
        <v>1588723456</v>
      </c>
      <c r="B11022" t="str">
        <f>"01366572"</f>
        <v>01366572</v>
      </c>
      <c r="C11022" t="s">
        <v>44573</v>
      </c>
      <c r="D11022" t="s">
        <v>44574</v>
      </c>
      <c r="E11022" t="s">
        <v>44575</v>
      </c>
      <c r="G11022" t="s">
        <v>27833</v>
      </c>
      <c r="H11022" t="s">
        <v>27834</v>
      </c>
      <c r="J11022" t="s">
        <v>27835</v>
      </c>
      <c r="L11022" t="s">
        <v>37</v>
      </c>
      <c r="M11022" t="s">
        <v>75</v>
      </c>
      <c r="R11022" t="s">
        <v>13860</v>
      </c>
      <c r="W11022" t="s">
        <v>44575</v>
      </c>
      <c r="X11022" t="s">
        <v>44576</v>
      </c>
      <c r="Y11022" t="s">
        <v>97</v>
      </c>
      <c r="Z11022" t="s">
        <v>77</v>
      </c>
      <c r="AA11022" t="str">
        <f>"10029-6500"</f>
        <v>10029-6500</v>
      </c>
      <c r="AB11022" t="s">
        <v>127</v>
      </c>
      <c r="AC11022" t="s">
        <v>79</v>
      </c>
      <c r="AD11022" t="s">
        <v>75</v>
      </c>
      <c r="AE11022" t="s">
        <v>80</v>
      </c>
      <c r="AG11022" t="s">
        <v>81</v>
      </c>
    </row>
    <row r="11023" spans="1:33" x14ac:dyDescent="0.25">
      <c r="A11023" t="str">
        <f>"1043230444"</f>
        <v>1043230444</v>
      </c>
      <c r="B11023" t="str">
        <f>"00684886"</f>
        <v>00684886</v>
      </c>
      <c r="C11023" t="s">
        <v>44577</v>
      </c>
      <c r="D11023" t="s">
        <v>44578</v>
      </c>
      <c r="E11023" t="s">
        <v>44579</v>
      </c>
      <c r="G11023" t="s">
        <v>27833</v>
      </c>
      <c r="H11023" t="s">
        <v>27834</v>
      </c>
      <c r="J11023" t="s">
        <v>27835</v>
      </c>
      <c r="L11023" t="s">
        <v>37</v>
      </c>
      <c r="M11023" t="s">
        <v>75</v>
      </c>
      <c r="R11023" t="s">
        <v>13860</v>
      </c>
      <c r="W11023" t="s">
        <v>44579</v>
      </c>
      <c r="X11023" t="s">
        <v>329</v>
      </c>
      <c r="Y11023" t="s">
        <v>97</v>
      </c>
      <c r="Z11023" t="s">
        <v>77</v>
      </c>
      <c r="AA11023" t="str">
        <f>"10029-6500"</f>
        <v>10029-6500</v>
      </c>
      <c r="AB11023" t="s">
        <v>127</v>
      </c>
      <c r="AC11023" t="s">
        <v>79</v>
      </c>
      <c r="AD11023" t="s">
        <v>75</v>
      </c>
      <c r="AE11023" t="s">
        <v>80</v>
      </c>
      <c r="AG11023" t="s">
        <v>81</v>
      </c>
    </row>
    <row r="11024" spans="1:33" x14ac:dyDescent="0.25">
      <c r="A11024" t="str">
        <f>"1518987957"</f>
        <v>1518987957</v>
      </c>
      <c r="B11024" t="str">
        <f>"02991986"</f>
        <v>02991986</v>
      </c>
      <c r="C11024" t="s">
        <v>44580</v>
      </c>
      <c r="D11024" t="s">
        <v>44581</v>
      </c>
      <c r="E11024" t="s">
        <v>13860</v>
      </c>
      <c r="G11024" t="s">
        <v>27833</v>
      </c>
      <c r="H11024" t="s">
        <v>27834</v>
      </c>
      <c r="J11024" t="s">
        <v>27835</v>
      </c>
      <c r="L11024" t="s">
        <v>37</v>
      </c>
      <c r="M11024" t="s">
        <v>75</v>
      </c>
      <c r="R11024" t="s">
        <v>13860</v>
      </c>
      <c r="W11024" t="s">
        <v>13860</v>
      </c>
      <c r="X11024" t="s">
        <v>272</v>
      </c>
      <c r="Y11024" t="s">
        <v>97</v>
      </c>
      <c r="Z11024" t="s">
        <v>77</v>
      </c>
      <c r="AA11024" t="str">
        <f>"10029-6501"</f>
        <v>10029-6501</v>
      </c>
      <c r="AB11024" t="s">
        <v>127</v>
      </c>
      <c r="AC11024" t="s">
        <v>79</v>
      </c>
      <c r="AD11024" t="s">
        <v>75</v>
      </c>
      <c r="AE11024" t="s">
        <v>80</v>
      </c>
      <c r="AG11024" t="s">
        <v>81</v>
      </c>
    </row>
    <row r="11025" spans="1:33" x14ac:dyDescent="0.25">
      <c r="A11025" t="str">
        <f>"1447274865"</f>
        <v>1447274865</v>
      </c>
      <c r="B11025" t="str">
        <f>"03209092"</f>
        <v>03209092</v>
      </c>
      <c r="C11025" t="s">
        <v>44580</v>
      </c>
      <c r="D11025" t="s">
        <v>44582</v>
      </c>
      <c r="E11025" t="s">
        <v>13860</v>
      </c>
      <c r="G11025" t="s">
        <v>27833</v>
      </c>
      <c r="H11025" t="s">
        <v>27834</v>
      </c>
      <c r="J11025" t="s">
        <v>27835</v>
      </c>
      <c r="L11025" t="s">
        <v>37</v>
      </c>
      <c r="M11025" t="s">
        <v>75</v>
      </c>
      <c r="R11025" t="s">
        <v>13860</v>
      </c>
      <c r="W11025" t="s">
        <v>13860</v>
      </c>
      <c r="X11025" t="s">
        <v>14992</v>
      </c>
      <c r="Y11025" t="s">
        <v>97</v>
      </c>
      <c r="Z11025" t="s">
        <v>77</v>
      </c>
      <c r="AA11025" t="str">
        <f>"10029-6503"</f>
        <v>10029-6503</v>
      </c>
      <c r="AB11025" t="s">
        <v>127</v>
      </c>
      <c r="AC11025" t="s">
        <v>79</v>
      </c>
      <c r="AD11025" t="s">
        <v>75</v>
      </c>
      <c r="AE11025" t="s">
        <v>80</v>
      </c>
      <c r="AG11025" t="s">
        <v>81</v>
      </c>
    </row>
    <row r="11026" spans="1:33" x14ac:dyDescent="0.25">
      <c r="A11026" t="str">
        <f>"1780787796"</f>
        <v>1780787796</v>
      </c>
      <c r="B11026" t="str">
        <f>"03226024"</f>
        <v>03226024</v>
      </c>
      <c r="C11026" t="s">
        <v>44580</v>
      </c>
      <c r="D11026" t="s">
        <v>44583</v>
      </c>
      <c r="E11026" t="s">
        <v>13860</v>
      </c>
      <c r="G11026" t="s">
        <v>27833</v>
      </c>
      <c r="H11026" t="s">
        <v>27834</v>
      </c>
      <c r="J11026" t="s">
        <v>27835</v>
      </c>
      <c r="L11026" t="s">
        <v>37</v>
      </c>
      <c r="M11026" t="s">
        <v>75</v>
      </c>
      <c r="R11026" t="s">
        <v>13860</v>
      </c>
      <c r="W11026" t="s">
        <v>13860</v>
      </c>
      <c r="X11026" t="s">
        <v>31306</v>
      </c>
      <c r="Y11026" t="s">
        <v>97</v>
      </c>
      <c r="Z11026" t="s">
        <v>77</v>
      </c>
      <c r="AA11026" t="str">
        <f>"10029-6503"</f>
        <v>10029-6503</v>
      </c>
      <c r="AB11026" t="s">
        <v>127</v>
      </c>
      <c r="AC11026" t="s">
        <v>79</v>
      </c>
      <c r="AD11026" t="s">
        <v>75</v>
      </c>
      <c r="AE11026" t="s">
        <v>80</v>
      </c>
      <c r="AG11026" t="s">
        <v>81</v>
      </c>
    </row>
    <row r="11027" spans="1:33" x14ac:dyDescent="0.25">
      <c r="A11027" t="str">
        <f>"1275557688"</f>
        <v>1275557688</v>
      </c>
      <c r="B11027" t="str">
        <f>"03228677"</f>
        <v>03228677</v>
      </c>
      <c r="C11027" t="s">
        <v>44580</v>
      </c>
      <c r="D11027" t="s">
        <v>44584</v>
      </c>
      <c r="E11027" t="s">
        <v>13860</v>
      </c>
      <c r="G11027" t="s">
        <v>27833</v>
      </c>
      <c r="H11027" t="s">
        <v>27834</v>
      </c>
      <c r="J11027" t="s">
        <v>27835</v>
      </c>
      <c r="L11027" t="s">
        <v>37</v>
      </c>
      <c r="M11027" t="s">
        <v>75</v>
      </c>
      <c r="R11027" t="s">
        <v>13860</v>
      </c>
      <c r="W11027" t="s">
        <v>13860</v>
      </c>
      <c r="X11027" t="s">
        <v>329</v>
      </c>
      <c r="Y11027" t="s">
        <v>97</v>
      </c>
      <c r="Z11027" t="s">
        <v>77</v>
      </c>
      <c r="AA11027" t="str">
        <f>"10029-6500"</f>
        <v>10029-6500</v>
      </c>
      <c r="AB11027" t="s">
        <v>127</v>
      </c>
      <c r="AC11027" t="s">
        <v>79</v>
      </c>
      <c r="AD11027" t="s">
        <v>75</v>
      </c>
      <c r="AE11027" t="s">
        <v>80</v>
      </c>
      <c r="AG11027" t="s">
        <v>81</v>
      </c>
    </row>
    <row r="11028" spans="1:33" x14ac:dyDescent="0.25">
      <c r="A11028" t="str">
        <f>"1508127531"</f>
        <v>1508127531</v>
      </c>
      <c r="B11028" t="str">
        <f>"03838520"</f>
        <v>03838520</v>
      </c>
      <c r="C11028" t="s">
        <v>44585</v>
      </c>
      <c r="D11028" t="s">
        <v>44586</v>
      </c>
      <c r="E11028" t="s">
        <v>44587</v>
      </c>
      <c r="G11028" t="s">
        <v>27833</v>
      </c>
      <c r="H11028" t="s">
        <v>27834</v>
      </c>
      <c r="J11028" t="s">
        <v>27835</v>
      </c>
      <c r="L11028" t="s">
        <v>37</v>
      </c>
      <c r="M11028" t="s">
        <v>75</v>
      </c>
      <c r="R11028" t="s">
        <v>13860</v>
      </c>
      <c r="W11028" t="s">
        <v>44587</v>
      </c>
      <c r="X11028" t="s">
        <v>44588</v>
      </c>
      <c r="Y11028" t="s">
        <v>97</v>
      </c>
      <c r="Z11028" t="s">
        <v>77</v>
      </c>
      <c r="AA11028" t="str">
        <f>"10028-0954"</f>
        <v>10028-0954</v>
      </c>
      <c r="AB11028" t="s">
        <v>127</v>
      </c>
      <c r="AC11028" t="s">
        <v>79</v>
      </c>
      <c r="AD11028" t="s">
        <v>75</v>
      </c>
      <c r="AE11028" t="s">
        <v>80</v>
      </c>
      <c r="AG11028" t="s">
        <v>81</v>
      </c>
    </row>
    <row r="11029" spans="1:33" x14ac:dyDescent="0.25">
      <c r="A11029" t="str">
        <f>"1972513646"</f>
        <v>1972513646</v>
      </c>
      <c r="B11029" t="str">
        <f>"00731755"</f>
        <v>00731755</v>
      </c>
      <c r="C11029" t="s">
        <v>44589</v>
      </c>
      <c r="D11029" t="s">
        <v>44590</v>
      </c>
      <c r="E11029" t="s">
        <v>44591</v>
      </c>
      <c r="G11029" t="s">
        <v>27833</v>
      </c>
      <c r="H11029" t="s">
        <v>27834</v>
      </c>
      <c r="J11029" t="s">
        <v>27835</v>
      </c>
      <c r="L11029" t="s">
        <v>37</v>
      </c>
      <c r="M11029" t="s">
        <v>75</v>
      </c>
      <c r="R11029" t="s">
        <v>44592</v>
      </c>
      <c r="W11029" t="s">
        <v>44591</v>
      </c>
      <c r="X11029" t="s">
        <v>329</v>
      </c>
      <c r="Y11029" t="s">
        <v>97</v>
      </c>
      <c r="Z11029" t="s">
        <v>77</v>
      </c>
      <c r="AA11029" t="str">
        <f>"10029-6500"</f>
        <v>10029-6500</v>
      </c>
      <c r="AB11029" t="s">
        <v>127</v>
      </c>
      <c r="AC11029" t="s">
        <v>79</v>
      </c>
      <c r="AD11029" t="s">
        <v>75</v>
      </c>
      <c r="AE11029" t="s">
        <v>80</v>
      </c>
      <c r="AG11029" t="s">
        <v>81</v>
      </c>
    </row>
    <row r="11030" spans="1:33" x14ac:dyDescent="0.25">
      <c r="A11030" t="str">
        <f>"1891757340"</f>
        <v>1891757340</v>
      </c>
      <c r="B11030" t="str">
        <f>"01638279"</f>
        <v>01638279</v>
      </c>
      <c r="C11030" t="s">
        <v>44593</v>
      </c>
      <c r="D11030" t="s">
        <v>44594</v>
      </c>
      <c r="E11030" t="s">
        <v>44595</v>
      </c>
      <c r="G11030" t="s">
        <v>27833</v>
      </c>
      <c r="H11030" t="s">
        <v>27834</v>
      </c>
      <c r="J11030" t="s">
        <v>27835</v>
      </c>
      <c r="L11030" t="s">
        <v>37</v>
      </c>
      <c r="M11030" t="s">
        <v>75</v>
      </c>
      <c r="R11030" t="s">
        <v>13860</v>
      </c>
      <c r="W11030" t="s">
        <v>44595</v>
      </c>
      <c r="X11030" t="s">
        <v>329</v>
      </c>
      <c r="Y11030" t="s">
        <v>97</v>
      </c>
      <c r="Z11030" t="s">
        <v>77</v>
      </c>
      <c r="AA11030" t="str">
        <f>"10029-6500"</f>
        <v>10029-6500</v>
      </c>
      <c r="AB11030" t="s">
        <v>127</v>
      </c>
      <c r="AC11030" t="s">
        <v>79</v>
      </c>
      <c r="AD11030" t="s">
        <v>75</v>
      </c>
      <c r="AE11030" t="s">
        <v>80</v>
      </c>
      <c r="AG11030" t="s">
        <v>81</v>
      </c>
    </row>
    <row r="11031" spans="1:33" x14ac:dyDescent="0.25">
      <c r="A11031" t="str">
        <f>"1306994173"</f>
        <v>1306994173</v>
      </c>
      <c r="B11031" t="str">
        <f>"03006448"</f>
        <v>03006448</v>
      </c>
      <c r="C11031" t="s">
        <v>44596</v>
      </c>
      <c r="D11031" t="s">
        <v>44597</v>
      </c>
      <c r="E11031" t="s">
        <v>44598</v>
      </c>
      <c r="G11031" t="s">
        <v>27833</v>
      </c>
      <c r="H11031" t="s">
        <v>27834</v>
      </c>
      <c r="J11031" t="s">
        <v>27835</v>
      </c>
      <c r="L11031" t="s">
        <v>37</v>
      </c>
      <c r="M11031" t="s">
        <v>75</v>
      </c>
      <c r="R11031" t="s">
        <v>44599</v>
      </c>
      <c r="W11031" t="s">
        <v>44598</v>
      </c>
      <c r="X11031" t="s">
        <v>44600</v>
      </c>
      <c r="Y11031" t="s">
        <v>97</v>
      </c>
      <c r="Z11031" t="s">
        <v>77</v>
      </c>
      <c r="AA11031" t="str">
        <f>"10025"</f>
        <v>10025</v>
      </c>
      <c r="AB11031" t="s">
        <v>127</v>
      </c>
      <c r="AC11031" t="s">
        <v>79</v>
      </c>
      <c r="AD11031" t="s">
        <v>75</v>
      </c>
      <c r="AE11031" t="s">
        <v>80</v>
      </c>
      <c r="AG11031" t="s">
        <v>81</v>
      </c>
    </row>
    <row r="11032" spans="1:33" x14ac:dyDescent="0.25">
      <c r="A11032" t="str">
        <f>"1457405896"</f>
        <v>1457405896</v>
      </c>
      <c r="B11032" t="str">
        <f>"02602317"</f>
        <v>02602317</v>
      </c>
      <c r="C11032" t="s">
        <v>44601</v>
      </c>
      <c r="D11032" t="s">
        <v>44602</v>
      </c>
      <c r="E11032" t="s">
        <v>44603</v>
      </c>
      <c r="G11032" t="s">
        <v>27833</v>
      </c>
      <c r="H11032" t="s">
        <v>27834</v>
      </c>
      <c r="J11032" t="s">
        <v>27835</v>
      </c>
      <c r="L11032" t="s">
        <v>37</v>
      </c>
      <c r="M11032" t="s">
        <v>75</v>
      </c>
      <c r="R11032" t="s">
        <v>44604</v>
      </c>
      <c r="W11032" t="s">
        <v>44603</v>
      </c>
      <c r="X11032" t="s">
        <v>181</v>
      </c>
      <c r="Y11032" t="s">
        <v>97</v>
      </c>
      <c r="Z11032" t="s">
        <v>77</v>
      </c>
      <c r="AA11032" t="str">
        <f>"10025-1716"</f>
        <v>10025-1716</v>
      </c>
      <c r="AB11032" t="s">
        <v>127</v>
      </c>
      <c r="AC11032" t="s">
        <v>79</v>
      </c>
      <c r="AD11032" t="s">
        <v>75</v>
      </c>
      <c r="AE11032" t="s">
        <v>80</v>
      </c>
      <c r="AG11032" t="s">
        <v>81</v>
      </c>
    </row>
    <row r="11033" spans="1:33" x14ac:dyDescent="0.25">
      <c r="A11033" t="str">
        <f>"1942433891"</f>
        <v>1942433891</v>
      </c>
      <c r="B11033" t="str">
        <f>"03191146"</f>
        <v>03191146</v>
      </c>
      <c r="C11033" t="s">
        <v>44605</v>
      </c>
      <c r="D11033" t="s">
        <v>44606</v>
      </c>
      <c r="E11033" t="s">
        <v>44607</v>
      </c>
      <c r="G11033" t="s">
        <v>27833</v>
      </c>
      <c r="H11033" t="s">
        <v>27834</v>
      </c>
      <c r="J11033" t="s">
        <v>27835</v>
      </c>
      <c r="L11033" t="s">
        <v>37</v>
      </c>
      <c r="M11033" t="s">
        <v>75</v>
      </c>
      <c r="R11033" t="s">
        <v>44607</v>
      </c>
      <c r="W11033" t="s">
        <v>44607</v>
      </c>
      <c r="X11033" t="s">
        <v>181</v>
      </c>
      <c r="Y11033" t="s">
        <v>97</v>
      </c>
      <c r="Z11033" t="s">
        <v>77</v>
      </c>
      <c r="AA11033" t="str">
        <f>"10025-1716"</f>
        <v>10025-1716</v>
      </c>
      <c r="AB11033" t="s">
        <v>137</v>
      </c>
      <c r="AC11033" t="s">
        <v>79</v>
      </c>
      <c r="AD11033" t="s">
        <v>75</v>
      </c>
      <c r="AE11033" t="s">
        <v>80</v>
      </c>
      <c r="AG11033" t="s">
        <v>81</v>
      </c>
    </row>
    <row r="11034" spans="1:33" x14ac:dyDescent="0.25">
      <c r="A11034" t="str">
        <f>"1568664928"</f>
        <v>1568664928</v>
      </c>
      <c r="B11034" t="str">
        <f>"03191155"</f>
        <v>03191155</v>
      </c>
      <c r="C11034" t="s">
        <v>44605</v>
      </c>
      <c r="D11034" t="s">
        <v>44608</v>
      </c>
      <c r="E11034" t="s">
        <v>44607</v>
      </c>
      <c r="G11034" t="s">
        <v>27833</v>
      </c>
      <c r="H11034" t="s">
        <v>27834</v>
      </c>
      <c r="J11034" t="s">
        <v>27835</v>
      </c>
      <c r="L11034" t="s">
        <v>37</v>
      </c>
      <c r="M11034" t="s">
        <v>75</v>
      </c>
      <c r="R11034" t="s">
        <v>44607</v>
      </c>
      <c r="W11034" t="s">
        <v>44607</v>
      </c>
      <c r="X11034" t="s">
        <v>181</v>
      </c>
      <c r="Y11034" t="s">
        <v>97</v>
      </c>
      <c r="Z11034" t="s">
        <v>77</v>
      </c>
      <c r="AA11034" t="str">
        <f>"10025-1716"</f>
        <v>10025-1716</v>
      </c>
      <c r="AB11034" t="s">
        <v>137</v>
      </c>
      <c r="AC11034" t="s">
        <v>79</v>
      </c>
      <c r="AD11034" t="s">
        <v>75</v>
      </c>
      <c r="AE11034" t="s">
        <v>80</v>
      </c>
      <c r="AG11034" t="s">
        <v>81</v>
      </c>
    </row>
    <row r="11035" spans="1:33" x14ac:dyDescent="0.25">
      <c r="B11035" t="str">
        <f>"00710430"</f>
        <v>00710430</v>
      </c>
      <c r="C11035" t="s">
        <v>44609</v>
      </c>
      <c r="D11035" t="s">
        <v>27831</v>
      </c>
      <c r="E11035" t="s">
        <v>27832</v>
      </c>
      <c r="G11035" t="s">
        <v>27833</v>
      </c>
      <c r="H11035" t="s">
        <v>27834</v>
      </c>
      <c r="J11035" t="s">
        <v>27835</v>
      </c>
      <c r="L11035" t="s">
        <v>1305</v>
      </c>
      <c r="M11035" t="s">
        <v>85</v>
      </c>
      <c r="W11035" t="s">
        <v>14871</v>
      </c>
      <c r="X11035" t="s">
        <v>44610</v>
      </c>
      <c r="Y11035" t="s">
        <v>97</v>
      </c>
      <c r="Z11035" t="s">
        <v>77</v>
      </c>
      <c r="AA11035" t="str">
        <f>"10003"</f>
        <v>10003</v>
      </c>
      <c r="AB11035" t="s">
        <v>96</v>
      </c>
      <c r="AC11035" t="s">
        <v>79</v>
      </c>
      <c r="AD11035" t="s">
        <v>75</v>
      </c>
      <c r="AE11035" t="s">
        <v>80</v>
      </c>
      <c r="AG11035" t="s">
        <v>81</v>
      </c>
    </row>
    <row r="11036" spans="1:33" x14ac:dyDescent="0.25">
      <c r="B11036" t="str">
        <f>"01650173"</f>
        <v>01650173</v>
      </c>
      <c r="C11036" t="s">
        <v>44611</v>
      </c>
      <c r="D11036" t="s">
        <v>44612</v>
      </c>
      <c r="E11036" t="s">
        <v>44613</v>
      </c>
      <c r="G11036" t="s">
        <v>27833</v>
      </c>
      <c r="H11036" t="s">
        <v>27834</v>
      </c>
      <c r="J11036" t="s">
        <v>27835</v>
      </c>
      <c r="L11036" t="s">
        <v>10</v>
      </c>
      <c r="M11036" t="s">
        <v>75</v>
      </c>
      <c r="W11036" t="s">
        <v>44613</v>
      </c>
      <c r="X11036" t="s">
        <v>44614</v>
      </c>
      <c r="Y11036" t="s">
        <v>97</v>
      </c>
      <c r="Z11036" t="s">
        <v>77</v>
      </c>
      <c r="AA11036" t="str">
        <f>"10029-2314"</f>
        <v>10029-2314</v>
      </c>
      <c r="AB11036" t="s">
        <v>98</v>
      </c>
      <c r="AC11036" t="s">
        <v>79</v>
      </c>
      <c r="AD11036" t="s">
        <v>75</v>
      </c>
      <c r="AE11036" t="s">
        <v>80</v>
      </c>
      <c r="AG11036" t="s">
        <v>81</v>
      </c>
    </row>
    <row r="11037" spans="1:33" x14ac:dyDescent="0.25">
      <c r="A11037" t="str">
        <f>"1750450003"</f>
        <v>1750450003</v>
      </c>
      <c r="B11037" t="str">
        <f>"03007614"</f>
        <v>03007614</v>
      </c>
      <c r="C11037" t="s">
        <v>44615</v>
      </c>
      <c r="D11037" t="s">
        <v>3487</v>
      </c>
      <c r="E11037" t="s">
        <v>3488</v>
      </c>
      <c r="H11037" t="s">
        <v>3489</v>
      </c>
      <c r="L11037" t="s">
        <v>119</v>
      </c>
      <c r="M11037" t="s">
        <v>85</v>
      </c>
      <c r="R11037" t="s">
        <v>3488</v>
      </c>
      <c r="W11037" t="s">
        <v>3488</v>
      </c>
      <c r="X11037" t="s">
        <v>3491</v>
      </c>
      <c r="Y11037" t="s">
        <v>97</v>
      </c>
      <c r="Z11037" t="s">
        <v>77</v>
      </c>
      <c r="AA11037" t="str">
        <f>"10027-4801"</f>
        <v>10027-4801</v>
      </c>
      <c r="AB11037" t="s">
        <v>122</v>
      </c>
      <c r="AC11037" t="s">
        <v>79</v>
      </c>
      <c r="AD11037" t="s">
        <v>75</v>
      </c>
      <c r="AE11037" t="s">
        <v>80</v>
      </c>
      <c r="AG11037" t="s">
        <v>81</v>
      </c>
    </row>
    <row r="11038" spans="1:33" x14ac:dyDescent="0.25">
      <c r="A11038" t="str">
        <f>"1992801062"</f>
        <v>1992801062</v>
      </c>
      <c r="B11038" t="str">
        <f>"02998341"</f>
        <v>02998341</v>
      </c>
      <c r="C11038" t="s">
        <v>4434</v>
      </c>
      <c r="D11038" t="s">
        <v>4435</v>
      </c>
      <c r="E11038" t="s">
        <v>4436</v>
      </c>
      <c r="G11038" t="s">
        <v>27118</v>
      </c>
      <c r="H11038" t="s">
        <v>27119</v>
      </c>
      <c r="I11038">
        <v>310</v>
      </c>
      <c r="J11038" t="s">
        <v>27120</v>
      </c>
      <c r="L11038" t="s">
        <v>10</v>
      </c>
      <c r="M11038" t="s">
        <v>85</v>
      </c>
      <c r="R11038" t="s">
        <v>4438</v>
      </c>
      <c r="W11038" t="s">
        <v>4439</v>
      </c>
      <c r="X11038" t="s">
        <v>4440</v>
      </c>
      <c r="Y11038" t="s">
        <v>198</v>
      </c>
      <c r="Z11038" t="s">
        <v>77</v>
      </c>
      <c r="AA11038" t="str">
        <f>"11542-4169"</f>
        <v>11542-4169</v>
      </c>
      <c r="AB11038" t="s">
        <v>93</v>
      </c>
      <c r="AC11038" t="s">
        <v>79</v>
      </c>
      <c r="AD11038" t="s">
        <v>75</v>
      </c>
      <c r="AE11038" t="s">
        <v>80</v>
      </c>
      <c r="AG11038" t="s">
        <v>81</v>
      </c>
    </row>
    <row r="11039" spans="1:33" x14ac:dyDescent="0.25">
      <c r="A11039" t="str">
        <f>"1649363342"</f>
        <v>1649363342</v>
      </c>
      <c r="C11039" t="s">
        <v>44616</v>
      </c>
      <c r="G11039" t="s">
        <v>44617</v>
      </c>
      <c r="H11039" t="s">
        <v>44618</v>
      </c>
      <c r="I11039">
        <v>3114</v>
      </c>
      <c r="J11039" t="s">
        <v>44619</v>
      </c>
      <c r="K11039" t="s">
        <v>99</v>
      </c>
      <c r="L11039" t="s">
        <v>102</v>
      </c>
      <c r="M11039" t="s">
        <v>85</v>
      </c>
      <c r="R11039" t="s">
        <v>44620</v>
      </c>
      <c r="S11039" t="s">
        <v>44621</v>
      </c>
      <c r="T11039" t="s">
        <v>87</v>
      </c>
      <c r="U11039" t="s">
        <v>77</v>
      </c>
      <c r="V11039" t="str">
        <f>"112345126"</f>
        <v>112345126</v>
      </c>
      <c r="AC11039" t="s">
        <v>79</v>
      </c>
      <c r="AD11039" t="s">
        <v>75</v>
      </c>
      <c r="AE11039" t="s">
        <v>103</v>
      </c>
      <c r="AG11039" t="s">
        <v>81</v>
      </c>
    </row>
    <row r="11040" spans="1:33" x14ac:dyDescent="0.25">
      <c r="C11040" t="s">
        <v>44622</v>
      </c>
      <c r="K11040" t="s">
        <v>99</v>
      </c>
      <c r="L11040" t="s">
        <v>100</v>
      </c>
      <c r="M11040" t="s">
        <v>75</v>
      </c>
      <c r="N11040" t="s">
        <v>44623</v>
      </c>
      <c r="O11040" t="s">
        <v>167</v>
      </c>
      <c r="P11040" t="s">
        <v>3703</v>
      </c>
      <c r="Q11040" t="str">
        <f>"10025"</f>
        <v>10025</v>
      </c>
      <c r="AC11040" t="s">
        <v>79</v>
      </c>
      <c r="AD11040" t="s">
        <v>75</v>
      </c>
      <c r="AE11040" t="s">
        <v>101</v>
      </c>
      <c r="AG11040" t="s">
        <v>81</v>
      </c>
    </row>
    <row r="11041" spans="1:33" x14ac:dyDescent="0.25">
      <c r="C11041" t="s">
        <v>44624</v>
      </c>
      <c r="K11041" t="s">
        <v>99</v>
      </c>
      <c r="L11041" t="s">
        <v>100</v>
      </c>
      <c r="M11041" t="s">
        <v>75</v>
      </c>
      <c r="N11041" t="s">
        <v>44625</v>
      </c>
      <c r="O11041" t="s">
        <v>167</v>
      </c>
      <c r="P11041" t="s">
        <v>77</v>
      </c>
      <c r="Q11041" t="str">
        <f>"10029"</f>
        <v>10029</v>
      </c>
      <c r="AC11041" t="s">
        <v>79</v>
      </c>
      <c r="AD11041" t="s">
        <v>75</v>
      </c>
      <c r="AE11041" t="s">
        <v>101</v>
      </c>
      <c r="AG11041" t="s">
        <v>81</v>
      </c>
    </row>
    <row r="11042" spans="1:33" x14ac:dyDescent="0.25">
      <c r="C11042" t="s">
        <v>44626</v>
      </c>
      <c r="K11042" t="s">
        <v>99</v>
      </c>
      <c r="L11042" t="s">
        <v>100</v>
      </c>
      <c r="M11042" t="s">
        <v>75</v>
      </c>
      <c r="N11042" t="s">
        <v>44625</v>
      </c>
      <c r="O11042" t="s">
        <v>167</v>
      </c>
      <c r="P11042" t="s">
        <v>77</v>
      </c>
      <c r="Q11042" t="str">
        <f>"10029"</f>
        <v>10029</v>
      </c>
      <c r="AC11042" t="s">
        <v>79</v>
      </c>
      <c r="AD11042" t="s">
        <v>75</v>
      </c>
      <c r="AE11042" t="s">
        <v>101</v>
      </c>
      <c r="AG11042" t="s">
        <v>81</v>
      </c>
    </row>
    <row r="11043" spans="1:33" x14ac:dyDescent="0.25">
      <c r="C11043" t="s">
        <v>44627</v>
      </c>
      <c r="G11043" t="s">
        <v>44628</v>
      </c>
      <c r="H11043" t="s">
        <v>32934</v>
      </c>
      <c r="J11043" t="s">
        <v>32935</v>
      </c>
      <c r="K11043" t="s">
        <v>99</v>
      </c>
      <c r="L11043" t="s">
        <v>100</v>
      </c>
      <c r="M11043" t="s">
        <v>75</v>
      </c>
      <c r="N11043" t="s">
        <v>44629</v>
      </c>
      <c r="O11043" t="s">
        <v>44630</v>
      </c>
      <c r="P11043" t="s">
        <v>1353</v>
      </c>
      <c r="Q11043" t="str">
        <f>"11249"</f>
        <v>11249</v>
      </c>
      <c r="AC11043" t="s">
        <v>79</v>
      </c>
      <c r="AD11043" t="s">
        <v>75</v>
      </c>
      <c r="AE11043" t="s">
        <v>101</v>
      </c>
      <c r="AG11043" t="s">
        <v>81</v>
      </c>
    </row>
    <row r="11044" spans="1:33" x14ac:dyDescent="0.25">
      <c r="A11044" t="str">
        <f>"1730244294"</f>
        <v>1730244294</v>
      </c>
      <c r="B11044" t="str">
        <f>"00722321"</f>
        <v>00722321</v>
      </c>
      <c r="C11044" t="s">
        <v>4942</v>
      </c>
      <c r="D11044" t="s">
        <v>4943</v>
      </c>
      <c r="E11044" t="s">
        <v>4944</v>
      </c>
      <c r="G11044" t="s">
        <v>44631</v>
      </c>
      <c r="H11044" t="s">
        <v>360</v>
      </c>
      <c r="I11044">
        <v>108</v>
      </c>
      <c r="J11044" t="s">
        <v>361</v>
      </c>
      <c r="L11044" t="s">
        <v>37</v>
      </c>
      <c r="M11044" t="s">
        <v>75</v>
      </c>
      <c r="R11044" t="s">
        <v>4945</v>
      </c>
      <c r="W11044" t="s">
        <v>4944</v>
      </c>
      <c r="X11044" t="s">
        <v>4946</v>
      </c>
      <c r="Y11044" t="s">
        <v>196</v>
      </c>
      <c r="Z11044" t="s">
        <v>77</v>
      </c>
      <c r="AA11044" t="str">
        <f>"11756-1381"</f>
        <v>11756-1381</v>
      </c>
      <c r="AB11044" t="s">
        <v>114</v>
      </c>
      <c r="AC11044" t="s">
        <v>79</v>
      </c>
      <c r="AD11044" t="s">
        <v>75</v>
      </c>
      <c r="AE11044" t="s">
        <v>80</v>
      </c>
      <c r="AG11044" t="s">
        <v>81</v>
      </c>
    </row>
    <row r="11045" spans="1:33" x14ac:dyDescent="0.25">
      <c r="C11045" t="s">
        <v>4942</v>
      </c>
      <c r="G11045" t="s">
        <v>44631</v>
      </c>
      <c r="H11045" t="s">
        <v>360</v>
      </c>
      <c r="I11045">
        <v>108</v>
      </c>
      <c r="J11045" t="s">
        <v>361</v>
      </c>
      <c r="K11045" t="s">
        <v>99</v>
      </c>
      <c r="L11045" t="s">
        <v>100</v>
      </c>
      <c r="M11045" t="s">
        <v>75</v>
      </c>
      <c r="N11045" t="s">
        <v>44632</v>
      </c>
      <c r="O11045" t="s">
        <v>42549</v>
      </c>
      <c r="P11045" t="s">
        <v>167</v>
      </c>
      <c r="Q11045" t="str">
        <f>"10301"</f>
        <v>10301</v>
      </c>
      <c r="AC11045" t="s">
        <v>79</v>
      </c>
      <c r="AD11045" t="s">
        <v>75</v>
      </c>
      <c r="AE11045" t="s">
        <v>101</v>
      </c>
      <c r="AG11045" t="s">
        <v>81</v>
      </c>
    </row>
    <row r="11046" spans="1:33" x14ac:dyDescent="0.25">
      <c r="C11046" t="s">
        <v>44633</v>
      </c>
      <c r="K11046" t="s">
        <v>99</v>
      </c>
      <c r="L11046" t="s">
        <v>100</v>
      </c>
      <c r="M11046" t="s">
        <v>75</v>
      </c>
      <c r="N11046" t="s">
        <v>44634</v>
      </c>
      <c r="O11046" t="s">
        <v>19305</v>
      </c>
      <c r="P11046" t="s">
        <v>167</v>
      </c>
      <c r="Q11046" t="str">
        <f>"11557"</f>
        <v>11557</v>
      </c>
      <c r="AC11046" t="s">
        <v>79</v>
      </c>
      <c r="AD11046" t="s">
        <v>75</v>
      </c>
      <c r="AE11046" t="s">
        <v>101</v>
      </c>
      <c r="AG11046" t="s">
        <v>81</v>
      </c>
    </row>
    <row r="11047" spans="1:33" x14ac:dyDescent="0.25">
      <c r="C11047" t="s">
        <v>44635</v>
      </c>
      <c r="G11047" t="s">
        <v>3647</v>
      </c>
      <c r="H11047" t="s">
        <v>183</v>
      </c>
      <c r="J11047" t="s">
        <v>184</v>
      </c>
      <c r="K11047" t="s">
        <v>99</v>
      </c>
      <c r="L11047" t="s">
        <v>100</v>
      </c>
      <c r="M11047" t="s">
        <v>75</v>
      </c>
      <c r="AC11047" t="s">
        <v>79</v>
      </c>
      <c r="AD11047" t="s">
        <v>75</v>
      </c>
      <c r="AE11047" t="s">
        <v>101</v>
      </c>
      <c r="AG11047" t="s">
        <v>81</v>
      </c>
    </row>
    <row r="11048" spans="1:33" x14ac:dyDescent="0.25">
      <c r="C11048" t="s">
        <v>42160</v>
      </c>
      <c r="G11048" t="s">
        <v>42163</v>
      </c>
      <c r="H11048" t="s">
        <v>23942</v>
      </c>
      <c r="J11048" t="s">
        <v>23943</v>
      </c>
      <c r="K11048" t="s">
        <v>99</v>
      </c>
      <c r="L11048" t="s">
        <v>100</v>
      </c>
      <c r="M11048" t="s">
        <v>75</v>
      </c>
      <c r="N11048" t="s">
        <v>44636</v>
      </c>
      <c r="O11048" t="s">
        <v>44630</v>
      </c>
      <c r="P11048" t="s">
        <v>3703</v>
      </c>
      <c r="Q11048" t="str">
        <f>"11217"</f>
        <v>11217</v>
      </c>
      <c r="AC11048" t="s">
        <v>79</v>
      </c>
      <c r="AD11048" t="s">
        <v>75</v>
      </c>
      <c r="AE11048" t="s">
        <v>101</v>
      </c>
      <c r="AG11048" t="s">
        <v>81</v>
      </c>
    </row>
    <row r="11049" spans="1:33" x14ac:dyDescent="0.25">
      <c r="C11049" t="s">
        <v>44637</v>
      </c>
      <c r="K11049" t="s">
        <v>99</v>
      </c>
      <c r="L11049" t="s">
        <v>100</v>
      </c>
      <c r="M11049" t="s">
        <v>75</v>
      </c>
      <c r="N11049" t="s">
        <v>44638</v>
      </c>
      <c r="O11049" t="s">
        <v>167</v>
      </c>
      <c r="P11049" t="s">
        <v>77</v>
      </c>
      <c r="Q11049" t="str">
        <f>"10011"</f>
        <v>10011</v>
      </c>
      <c r="AC11049" t="s">
        <v>79</v>
      </c>
      <c r="AD11049" t="s">
        <v>75</v>
      </c>
      <c r="AE11049" t="s">
        <v>101</v>
      </c>
      <c r="AG11049" t="s">
        <v>81</v>
      </c>
    </row>
    <row r="11050" spans="1:33" x14ac:dyDescent="0.25">
      <c r="A11050" t="str">
        <f>"1932523438"</f>
        <v>1932523438</v>
      </c>
      <c r="B11050" t="str">
        <f>"03963031"</f>
        <v>03963031</v>
      </c>
      <c r="C11050" t="s">
        <v>40448</v>
      </c>
      <c r="D11050" t="s">
        <v>3563</v>
      </c>
      <c r="E11050" t="s">
        <v>3564</v>
      </c>
      <c r="G11050" t="s">
        <v>44639</v>
      </c>
      <c r="H11050" t="s">
        <v>44640</v>
      </c>
      <c r="J11050" t="s">
        <v>44641</v>
      </c>
      <c r="L11050" t="s">
        <v>10</v>
      </c>
      <c r="M11050" t="s">
        <v>75</v>
      </c>
      <c r="R11050" t="s">
        <v>3560</v>
      </c>
      <c r="W11050" t="s">
        <v>3564</v>
      </c>
      <c r="X11050" t="s">
        <v>3565</v>
      </c>
      <c r="Y11050" t="s">
        <v>97</v>
      </c>
      <c r="Z11050" t="s">
        <v>77</v>
      </c>
      <c r="AA11050" t="str">
        <f>"10027-4990"</f>
        <v>10027-4990</v>
      </c>
      <c r="AB11050" t="s">
        <v>122</v>
      </c>
      <c r="AC11050" t="s">
        <v>79</v>
      </c>
      <c r="AD11050" t="s">
        <v>75</v>
      </c>
      <c r="AE11050" t="s">
        <v>80</v>
      </c>
      <c r="AG11050" t="s">
        <v>81</v>
      </c>
    </row>
    <row r="11051" spans="1:33" x14ac:dyDescent="0.25">
      <c r="C11051" t="s">
        <v>44642</v>
      </c>
      <c r="K11051" t="s">
        <v>99</v>
      </c>
      <c r="L11051" t="s">
        <v>100</v>
      </c>
      <c r="M11051" t="s">
        <v>75</v>
      </c>
      <c r="N11051" t="s">
        <v>44643</v>
      </c>
      <c r="O11051" t="s">
        <v>44644</v>
      </c>
      <c r="P11051" t="s">
        <v>77</v>
      </c>
      <c r="Q11051" t="str">
        <f>"11040"</f>
        <v>11040</v>
      </c>
      <c r="AC11051" t="s">
        <v>79</v>
      </c>
      <c r="AD11051" t="s">
        <v>75</v>
      </c>
      <c r="AE11051" t="s">
        <v>101</v>
      </c>
      <c r="AG11051" t="s">
        <v>81</v>
      </c>
    </row>
    <row r="11052" spans="1:33" x14ac:dyDescent="0.25">
      <c r="C11052" t="s">
        <v>44645</v>
      </c>
      <c r="K11052" t="s">
        <v>99</v>
      </c>
      <c r="L11052" t="s">
        <v>100</v>
      </c>
      <c r="M11052" t="s">
        <v>75</v>
      </c>
      <c r="N11052" t="s">
        <v>44646</v>
      </c>
      <c r="O11052" t="s">
        <v>5173</v>
      </c>
      <c r="P11052" t="s">
        <v>77</v>
      </c>
      <c r="Q11052" t="str">
        <f>"10550"</f>
        <v>10550</v>
      </c>
      <c r="AC11052" t="s">
        <v>79</v>
      </c>
      <c r="AD11052" t="s">
        <v>75</v>
      </c>
      <c r="AE11052" t="s">
        <v>101</v>
      </c>
      <c r="AG11052" t="s">
        <v>81</v>
      </c>
    </row>
    <row r="11053" spans="1:33" x14ac:dyDescent="0.25">
      <c r="C11053" t="s">
        <v>44647</v>
      </c>
      <c r="G11053" t="s">
        <v>44648</v>
      </c>
      <c r="H11053" t="s">
        <v>31778</v>
      </c>
      <c r="J11053" t="s">
        <v>31779</v>
      </c>
      <c r="K11053" t="s">
        <v>99</v>
      </c>
      <c r="L11053" t="s">
        <v>100</v>
      </c>
      <c r="M11053" t="s">
        <v>75</v>
      </c>
      <c r="AC11053" t="s">
        <v>79</v>
      </c>
      <c r="AD11053" t="s">
        <v>75</v>
      </c>
      <c r="AE11053" t="s">
        <v>101</v>
      </c>
      <c r="AG11053" t="s">
        <v>81</v>
      </c>
    </row>
    <row r="11054" spans="1:33" x14ac:dyDescent="0.25">
      <c r="C11054" t="s">
        <v>44649</v>
      </c>
      <c r="G11054" t="s">
        <v>44648</v>
      </c>
      <c r="H11054" t="s">
        <v>31778</v>
      </c>
      <c r="J11054" t="s">
        <v>31779</v>
      </c>
      <c r="K11054" t="s">
        <v>99</v>
      </c>
      <c r="L11054" t="s">
        <v>100</v>
      </c>
      <c r="M11054" t="s">
        <v>75</v>
      </c>
      <c r="AC11054" t="s">
        <v>79</v>
      </c>
      <c r="AD11054" t="s">
        <v>75</v>
      </c>
      <c r="AE11054" t="s">
        <v>101</v>
      </c>
      <c r="AG11054" t="s">
        <v>81</v>
      </c>
    </row>
    <row r="11055" spans="1:33" x14ac:dyDescent="0.25">
      <c r="C11055" t="s">
        <v>44650</v>
      </c>
      <c r="G11055" t="s">
        <v>44648</v>
      </c>
      <c r="H11055" t="s">
        <v>31778</v>
      </c>
      <c r="J11055" t="s">
        <v>31779</v>
      </c>
      <c r="K11055" t="s">
        <v>99</v>
      </c>
      <c r="L11055" t="s">
        <v>100</v>
      </c>
      <c r="M11055" t="s">
        <v>75</v>
      </c>
      <c r="AC11055" t="s">
        <v>79</v>
      </c>
      <c r="AD11055" t="s">
        <v>75</v>
      </c>
      <c r="AE11055" t="s">
        <v>101</v>
      </c>
      <c r="AG11055" t="s">
        <v>81</v>
      </c>
    </row>
    <row r="11056" spans="1:33" x14ac:dyDescent="0.25">
      <c r="C11056" t="s">
        <v>44651</v>
      </c>
      <c r="G11056" t="s">
        <v>44648</v>
      </c>
      <c r="H11056" t="s">
        <v>31778</v>
      </c>
      <c r="J11056" t="s">
        <v>31779</v>
      </c>
      <c r="K11056" t="s">
        <v>99</v>
      </c>
      <c r="L11056" t="s">
        <v>100</v>
      </c>
      <c r="M11056" t="s">
        <v>75</v>
      </c>
      <c r="AC11056" t="s">
        <v>79</v>
      </c>
      <c r="AD11056" t="s">
        <v>75</v>
      </c>
      <c r="AE11056" t="s">
        <v>101</v>
      </c>
      <c r="AG11056" t="s">
        <v>81</v>
      </c>
    </row>
    <row r="11057" spans="1:33" x14ac:dyDescent="0.25">
      <c r="C11057" t="s">
        <v>44652</v>
      </c>
      <c r="G11057" t="s">
        <v>44648</v>
      </c>
      <c r="H11057" t="s">
        <v>31778</v>
      </c>
      <c r="J11057" t="s">
        <v>31779</v>
      </c>
      <c r="K11057" t="s">
        <v>99</v>
      </c>
      <c r="L11057" t="s">
        <v>100</v>
      </c>
      <c r="M11057" t="s">
        <v>75</v>
      </c>
      <c r="AC11057" t="s">
        <v>79</v>
      </c>
      <c r="AD11057" t="s">
        <v>75</v>
      </c>
      <c r="AE11057" t="s">
        <v>101</v>
      </c>
      <c r="AG11057" t="s">
        <v>81</v>
      </c>
    </row>
    <row r="11058" spans="1:33" x14ac:dyDescent="0.25">
      <c r="C11058" t="s">
        <v>44653</v>
      </c>
      <c r="G11058" t="s">
        <v>44648</v>
      </c>
      <c r="H11058" t="s">
        <v>31778</v>
      </c>
      <c r="J11058" t="s">
        <v>31779</v>
      </c>
      <c r="K11058" t="s">
        <v>99</v>
      </c>
      <c r="L11058" t="s">
        <v>100</v>
      </c>
      <c r="M11058" t="s">
        <v>75</v>
      </c>
      <c r="AC11058" t="s">
        <v>79</v>
      </c>
      <c r="AD11058" t="s">
        <v>75</v>
      </c>
      <c r="AE11058" t="s">
        <v>101</v>
      </c>
      <c r="AG11058" t="s">
        <v>81</v>
      </c>
    </row>
    <row r="11059" spans="1:33" x14ac:dyDescent="0.25">
      <c r="A11059" t="str">
        <f>"1639185853"</f>
        <v>1639185853</v>
      </c>
      <c r="C11059" t="s">
        <v>44654</v>
      </c>
      <c r="G11059" t="s">
        <v>44655</v>
      </c>
      <c r="H11059" t="s">
        <v>44656</v>
      </c>
      <c r="J11059" t="s">
        <v>44657</v>
      </c>
      <c r="K11059" t="s">
        <v>99</v>
      </c>
      <c r="L11059" t="s">
        <v>102</v>
      </c>
      <c r="M11059" t="s">
        <v>75</v>
      </c>
      <c r="R11059" t="s">
        <v>44658</v>
      </c>
      <c r="S11059" t="s">
        <v>44659</v>
      </c>
      <c r="T11059" t="s">
        <v>77</v>
      </c>
      <c r="U11059" t="s">
        <v>77</v>
      </c>
      <c r="V11059" t="str">
        <f>"10002"</f>
        <v>10002</v>
      </c>
      <c r="AC11059" t="s">
        <v>79</v>
      </c>
      <c r="AD11059" t="s">
        <v>75</v>
      </c>
      <c r="AE11059" t="s">
        <v>103</v>
      </c>
      <c r="AG11059" t="s">
        <v>81</v>
      </c>
    </row>
    <row r="11060" spans="1:33" x14ac:dyDescent="0.25">
      <c r="C11060" t="s">
        <v>44660</v>
      </c>
      <c r="K11060" t="s">
        <v>99</v>
      </c>
      <c r="L11060" t="s">
        <v>100</v>
      </c>
      <c r="M11060" t="s">
        <v>75</v>
      </c>
      <c r="N11060" t="s">
        <v>44661</v>
      </c>
      <c r="O11060" t="s">
        <v>296</v>
      </c>
      <c r="P11060" t="s">
        <v>77</v>
      </c>
      <c r="Q11060" t="str">
        <f>"10459"</f>
        <v>10459</v>
      </c>
      <c r="AC11060" t="s">
        <v>79</v>
      </c>
      <c r="AD11060" t="s">
        <v>75</v>
      </c>
      <c r="AE11060" t="s">
        <v>101</v>
      </c>
      <c r="AG11060" t="s">
        <v>81</v>
      </c>
    </row>
    <row r="11061" spans="1:33" x14ac:dyDescent="0.25">
      <c r="C11061" t="s">
        <v>44662</v>
      </c>
      <c r="K11061" t="s">
        <v>99</v>
      </c>
      <c r="L11061" t="s">
        <v>100</v>
      </c>
      <c r="M11061" t="s">
        <v>75</v>
      </c>
      <c r="N11061" t="s">
        <v>44663</v>
      </c>
      <c r="O11061" t="s">
        <v>167</v>
      </c>
      <c r="P11061" t="s">
        <v>77</v>
      </c>
      <c r="Q11061" t="str">
        <f>"10032"</f>
        <v>10032</v>
      </c>
      <c r="AC11061" t="s">
        <v>79</v>
      </c>
      <c r="AD11061" t="s">
        <v>75</v>
      </c>
      <c r="AE11061" t="s">
        <v>101</v>
      </c>
      <c r="AG11061" t="s">
        <v>81</v>
      </c>
    </row>
    <row r="11062" spans="1:33" x14ac:dyDescent="0.25">
      <c r="C11062" t="s">
        <v>44664</v>
      </c>
      <c r="K11062" t="s">
        <v>99</v>
      </c>
      <c r="L11062" t="s">
        <v>100</v>
      </c>
      <c r="M11062" t="s">
        <v>75</v>
      </c>
      <c r="N11062" t="s">
        <v>44665</v>
      </c>
      <c r="O11062" t="s">
        <v>1352</v>
      </c>
      <c r="P11062" t="s">
        <v>77</v>
      </c>
      <c r="Q11062" t="str">
        <f>"11106"</f>
        <v>11106</v>
      </c>
      <c r="AC11062" t="s">
        <v>79</v>
      </c>
      <c r="AD11062" t="s">
        <v>75</v>
      </c>
      <c r="AE11062" t="s">
        <v>101</v>
      </c>
      <c r="AG11062" t="s">
        <v>81</v>
      </c>
    </row>
    <row r="11063" spans="1:33" x14ac:dyDescent="0.25">
      <c r="C11063" t="s">
        <v>44666</v>
      </c>
      <c r="K11063" t="s">
        <v>99</v>
      </c>
      <c r="L11063" t="s">
        <v>100</v>
      </c>
      <c r="M11063" t="s">
        <v>75</v>
      </c>
      <c r="N11063" t="s">
        <v>44665</v>
      </c>
      <c r="O11063" t="s">
        <v>1352</v>
      </c>
      <c r="P11063" t="s">
        <v>77</v>
      </c>
      <c r="Q11063" t="str">
        <f>"11106"</f>
        <v>11106</v>
      </c>
      <c r="AC11063" t="s">
        <v>79</v>
      </c>
      <c r="AD11063" t="s">
        <v>75</v>
      </c>
      <c r="AE11063" t="s">
        <v>101</v>
      </c>
      <c r="AG11063" t="s">
        <v>81</v>
      </c>
    </row>
    <row r="11064" spans="1:33" x14ac:dyDescent="0.25">
      <c r="A11064" t="str">
        <f>"1528082013"</f>
        <v>1528082013</v>
      </c>
      <c r="B11064" t="str">
        <f>"01526329"</f>
        <v>01526329</v>
      </c>
      <c r="C11064" t="s">
        <v>2719</v>
      </c>
      <c r="D11064" t="s">
        <v>967</v>
      </c>
      <c r="E11064" t="s">
        <v>968</v>
      </c>
      <c r="G11064" t="s">
        <v>44667</v>
      </c>
      <c r="H11064" t="s">
        <v>44668</v>
      </c>
      <c r="I11064">
        <v>7155</v>
      </c>
      <c r="J11064" t="s">
        <v>969</v>
      </c>
      <c r="L11064" t="s">
        <v>104</v>
      </c>
      <c r="M11064" t="s">
        <v>85</v>
      </c>
      <c r="R11064" t="s">
        <v>970</v>
      </c>
      <c r="W11064" t="s">
        <v>968</v>
      </c>
      <c r="X11064" t="s">
        <v>971</v>
      </c>
      <c r="Y11064" t="s">
        <v>131</v>
      </c>
      <c r="Z11064" t="s">
        <v>77</v>
      </c>
      <c r="AA11064" t="str">
        <f>"10453-8400"</f>
        <v>10453-8400</v>
      </c>
      <c r="AB11064" t="s">
        <v>122</v>
      </c>
      <c r="AC11064" t="s">
        <v>79</v>
      </c>
      <c r="AD11064" t="s">
        <v>75</v>
      </c>
      <c r="AE11064" t="s">
        <v>80</v>
      </c>
      <c r="AG11064" t="s">
        <v>81</v>
      </c>
    </row>
    <row r="11065" spans="1:33" x14ac:dyDescent="0.25">
      <c r="B11065" t="str">
        <f>"02256531"</f>
        <v>02256531</v>
      </c>
      <c r="C11065" t="s">
        <v>44669</v>
      </c>
      <c r="D11065" t="s">
        <v>44670</v>
      </c>
      <c r="E11065" t="s">
        <v>44671</v>
      </c>
      <c r="F11065">
        <v>133306195</v>
      </c>
      <c r="H11065" t="s">
        <v>3712</v>
      </c>
      <c r="L11065" t="s">
        <v>37</v>
      </c>
      <c r="M11065" t="s">
        <v>75</v>
      </c>
      <c r="W11065" t="s">
        <v>44671</v>
      </c>
      <c r="X11065" t="s">
        <v>110</v>
      </c>
      <c r="Y11065" t="s">
        <v>97</v>
      </c>
      <c r="Z11065" t="s">
        <v>77</v>
      </c>
      <c r="AA11065" t="str">
        <f>"10006-1705"</f>
        <v>10006-1705</v>
      </c>
      <c r="AB11065" t="s">
        <v>98</v>
      </c>
      <c r="AC11065" t="s">
        <v>79</v>
      </c>
      <c r="AD11065" t="s">
        <v>75</v>
      </c>
      <c r="AE11065" t="s">
        <v>80</v>
      </c>
      <c r="AG11065" t="s">
        <v>81</v>
      </c>
    </row>
    <row r="11066" spans="1:33" x14ac:dyDescent="0.25">
      <c r="B11066" t="str">
        <f>"03075936"</f>
        <v>03075936</v>
      </c>
      <c r="C11066" t="s">
        <v>44672</v>
      </c>
      <c r="D11066" t="s">
        <v>44673</v>
      </c>
      <c r="E11066" t="s">
        <v>44674</v>
      </c>
      <c r="F11066">
        <v>133306195</v>
      </c>
      <c r="H11066" t="s">
        <v>3712</v>
      </c>
      <c r="L11066" t="s">
        <v>37</v>
      </c>
      <c r="M11066" t="s">
        <v>75</v>
      </c>
      <c r="W11066" t="s">
        <v>44674</v>
      </c>
      <c r="X11066" t="s">
        <v>44675</v>
      </c>
      <c r="Y11066" t="s">
        <v>97</v>
      </c>
      <c r="Z11066" t="s">
        <v>77</v>
      </c>
      <c r="AA11066" t="str">
        <f>"10006-1705"</f>
        <v>10006-1705</v>
      </c>
      <c r="AB11066" t="s">
        <v>98</v>
      </c>
      <c r="AC11066" t="s">
        <v>79</v>
      </c>
      <c r="AD11066" t="s">
        <v>75</v>
      </c>
      <c r="AE11066" t="s">
        <v>80</v>
      </c>
      <c r="AG11066" t="s">
        <v>81</v>
      </c>
    </row>
    <row r="11067" spans="1:33" x14ac:dyDescent="0.25">
      <c r="B11067" t="str">
        <f>"02000824"</f>
        <v>02000824</v>
      </c>
      <c r="C11067" t="s">
        <v>44676</v>
      </c>
      <c r="D11067" t="s">
        <v>44677</v>
      </c>
      <c r="E11067" t="s">
        <v>44678</v>
      </c>
      <c r="F11067">
        <v>133306195</v>
      </c>
      <c r="H11067" t="s">
        <v>3712</v>
      </c>
      <c r="L11067" t="s">
        <v>35</v>
      </c>
      <c r="M11067" t="s">
        <v>75</v>
      </c>
      <c r="W11067" t="s">
        <v>44678</v>
      </c>
      <c r="X11067" t="s">
        <v>44679</v>
      </c>
      <c r="Y11067" t="s">
        <v>97</v>
      </c>
      <c r="Z11067" t="s">
        <v>77</v>
      </c>
      <c r="AA11067" t="str">
        <f>"10004-2400"</f>
        <v>10004-2400</v>
      </c>
      <c r="AB11067" t="s">
        <v>98</v>
      </c>
      <c r="AC11067" t="s">
        <v>79</v>
      </c>
      <c r="AD11067" t="s">
        <v>75</v>
      </c>
      <c r="AE11067" t="s">
        <v>80</v>
      </c>
      <c r="AG11067" t="s">
        <v>81</v>
      </c>
    </row>
    <row r="11068" spans="1:33" x14ac:dyDescent="0.25">
      <c r="B11068" t="str">
        <f>"02005392"</f>
        <v>02005392</v>
      </c>
      <c r="C11068" t="s">
        <v>44680</v>
      </c>
      <c r="D11068" t="s">
        <v>44681</v>
      </c>
      <c r="E11068" t="s">
        <v>44682</v>
      </c>
      <c r="F11068">
        <v>133250383</v>
      </c>
      <c r="H11068" t="s">
        <v>44683</v>
      </c>
      <c r="L11068" t="s">
        <v>35</v>
      </c>
      <c r="M11068" t="s">
        <v>75</v>
      </c>
      <c r="W11068" t="s">
        <v>44684</v>
      </c>
      <c r="X11068" t="s">
        <v>44685</v>
      </c>
      <c r="Y11068" t="s">
        <v>97</v>
      </c>
      <c r="Z11068" t="s">
        <v>77</v>
      </c>
      <c r="AA11068" t="str">
        <f>"10001-6146"</f>
        <v>10001-6146</v>
      </c>
      <c r="AB11068" t="s">
        <v>98</v>
      </c>
      <c r="AC11068" t="s">
        <v>79</v>
      </c>
      <c r="AD11068" t="s">
        <v>75</v>
      </c>
      <c r="AE11068" t="s">
        <v>80</v>
      </c>
      <c r="AG11068" t="s">
        <v>81</v>
      </c>
    </row>
    <row r="11069" spans="1:33" x14ac:dyDescent="0.25">
      <c r="B11069" t="str">
        <f>"02005338"</f>
        <v>02005338</v>
      </c>
      <c r="C11069" t="s">
        <v>44686</v>
      </c>
      <c r="D11069" t="s">
        <v>44687</v>
      </c>
      <c r="E11069" t="s">
        <v>44688</v>
      </c>
      <c r="F11069">
        <v>135654532</v>
      </c>
      <c r="H11069" t="s">
        <v>42226</v>
      </c>
      <c r="L11069" t="s">
        <v>35</v>
      </c>
      <c r="M11069" t="s">
        <v>75</v>
      </c>
      <c r="W11069" t="s">
        <v>44689</v>
      </c>
      <c r="X11069" t="s">
        <v>44690</v>
      </c>
      <c r="Y11069" t="s">
        <v>97</v>
      </c>
      <c r="Z11069" t="s">
        <v>77</v>
      </c>
      <c r="AA11069" t="str">
        <f>"10038-4811"</f>
        <v>10038-4811</v>
      </c>
      <c r="AB11069" t="s">
        <v>98</v>
      </c>
      <c r="AC11069" t="s">
        <v>79</v>
      </c>
      <c r="AD11069" t="s">
        <v>75</v>
      </c>
      <c r="AE11069" t="s">
        <v>80</v>
      </c>
      <c r="AG11069" t="s">
        <v>81</v>
      </c>
    </row>
    <row r="11070" spans="1:33" x14ac:dyDescent="0.25">
      <c r="B11070" t="str">
        <f>"02751646"</f>
        <v>02751646</v>
      </c>
      <c r="C11070" t="s">
        <v>44691</v>
      </c>
      <c r="D11070" t="s">
        <v>44692</v>
      </c>
      <c r="E11070" t="s">
        <v>44693</v>
      </c>
      <c r="F11070">
        <v>133250383</v>
      </c>
      <c r="H11070" t="s">
        <v>44683</v>
      </c>
      <c r="L11070" t="s">
        <v>37</v>
      </c>
      <c r="M11070" t="s">
        <v>75</v>
      </c>
      <c r="W11070" t="s">
        <v>44694</v>
      </c>
      <c r="X11070" t="s">
        <v>44695</v>
      </c>
      <c r="Y11070" t="s">
        <v>87</v>
      </c>
      <c r="Z11070" t="s">
        <v>77</v>
      </c>
      <c r="AA11070" t="str">
        <f>"11216-2831"</f>
        <v>11216-2831</v>
      </c>
      <c r="AB11070" t="s">
        <v>98</v>
      </c>
      <c r="AC11070" t="s">
        <v>79</v>
      </c>
      <c r="AD11070" t="s">
        <v>75</v>
      </c>
      <c r="AE11070" t="s">
        <v>80</v>
      </c>
      <c r="AG11070" t="s">
        <v>81</v>
      </c>
    </row>
    <row r="11071" spans="1:33" x14ac:dyDescent="0.25">
      <c r="B11071" t="str">
        <f>"02680679"</f>
        <v>02680679</v>
      </c>
      <c r="C11071" t="s">
        <v>44696</v>
      </c>
      <c r="D11071" t="s">
        <v>44697</v>
      </c>
      <c r="E11071" t="s">
        <v>44698</v>
      </c>
      <c r="H11071" t="s">
        <v>44683</v>
      </c>
      <c r="L11071" t="s">
        <v>37</v>
      </c>
      <c r="M11071" t="s">
        <v>75</v>
      </c>
      <c r="W11071" t="s">
        <v>44698</v>
      </c>
      <c r="X11071" t="s">
        <v>44699</v>
      </c>
      <c r="Y11071" t="s">
        <v>171</v>
      </c>
      <c r="Z11071" t="s">
        <v>77</v>
      </c>
      <c r="AA11071" t="str">
        <f>"11432-4140"</f>
        <v>11432-4140</v>
      </c>
      <c r="AB11071" t="s">
        <v>98</v>
      </c>
      <c r="AC11071" t="s">
        <v>79</v>
      </c>
      <c r="AD11071" t="s">
        <v>75</v>
      </c>
      <c r="AE11071" t="s">
        <v>80</v>
      </c>
      <c r="AG11071" t="s">
        <v>81</v>
      </c>
    </row>
    <row r="11072" spans="1:33" x14ac:dyDescent="0.25">
      <c r="A11072" t="str">
        <f>"1528231156"</f>
        <v>1528231156</v>
      </c>
      <c r="B11072" t="str">
        <f>"01013083"</f>
        <v>01013083</v>
      </c>
      <c r="C11072" t="s">
        <v>44700</v>
      </c>
      <c r="D11072" t="s">
        <v>44701</v>
      </c>
      <c r="E11072" t="s">
        <v>44702</v>
      </c>
      <c r="F11072">
        <v>133250383</v>
      </c>
      <c r="H11072" t="s">
        <v>44703</v>
      </c>
      <c r="L11072" t="s">
        <v>37</v>
      </c>
      <c r="M11072" t="s">
        <v>75</v>
      </c>
      <c r="R11072" t="s">
        <v>44704</v>
      </c>
      <c r="W11072" t="s">
        <v>44702</v>
      </c>
      <c r="X11072" t="s">
        <v>44705</v>
      </c>
      <c r="Y11072" t="s">
        <v>87</v>
      </c>
      <c r="Z11072" t="s">
        <v>77</v>
      </c>
      <c r="AA11072" t="str">
        <f>"11206-6507"</f>
        <v>11206-6507</v>
      </c>
      <c r="AB11072" t="s">
        <v>107</v>
      </c>
      <c r="AC11072" t="s">
        <v>79</v>
      </c>
      <c r="AD11072" t="s">
        <v>75</v>
      </c>
      <c r="AE11072" t="s">
        <v>80</v>
      </c>
      <c r="AG11072" t="s">
        <v>81</v>
      </c>
    </row>
    <row r="11073" spans="1:33" x14ac:dyDescent="0.25">
      <c r="B11073" t="str">
        <f>"02249796"</f>
        <v>02249796</v>
      </c>
      <c r="C11073" t="s">
        <v>44706</v>
      </c>
      <c r="D11073" t="s">
        <v>44707</v>
      </c>
      <c r="E11073" t="s">
        <v>44708</v>
      </c>
      <c r="F11073">
        <v>133250383</v>
      </c>
      <c r="H11073" t="s">
        <v>44683</v>
      </c>
      <c r="L11073" t="s">
        <v>37</v>
      </c>
      <c r="M11073" t="s">
        <v>75</v>
      </c>
      <c r="W11073" t="s">
        <v>44708</v>
      </c>
      <c r="X11073" t="s">
        <v>110</v>
      </c>
      <c r="Y11073" t="s">
        <v>97</v>
      </c>
      <c r="Z11073" t="s">
        <v>77</v>
      </c>
      <c r="AA11073" t="str">
        <f>"10001-6008"</f>
        <v>10001-6008</v>
      </c>
      <c r="AB11073" t="s">
        <v>98</v>
      </c>
      <c r="AC11073" t="s">
        <v>79</v>
      </c>
      <c r="AD11073" t="s">
        <v>75</v>
      </c>
      <c r="AE11073" t="s">
        <v>80</v>
      </c>
      <c r="AG11073" t="s">
        <v>81</v>
      </c>
    </row>
    <row r="11074" spans="1:33" x14ac:dyDescent="0.25">
      <c r="B11074" t="str">
        <f>"02704516"</f>
        <v>02704516</v>
      </c>
      <c r="C11074" t="s">
        <v>44709</v>
      </c>
      <c r="D11074" t="s">
        <v>44710</v>
      </c>
      <c r="E11074" t="s">
        <v>44711</v>
      </c>
      <c r="F11074">
        <v>133250383</v>
      </c>
      <c r="H11074" t="s">
        <v>44683</v>
      </c>
      <c r="L11074" t="s">
        <v>37</v>
      </c>
      <c r="M11074" t="s">
        <v>75</v>
      </c>
      <c r="W11074" t="s">
        <v>44712</v>
      </c>
      <c r="X11074" t="s">
        <v>112</v>
      </c>
      <c r="Y11074" t="s">
        <v>97</v>
      </c>
      <c r="Z11074" t="s">
        <v>77</v>
      </c>
      <c r="AA11074" t="str">
        <f>"10001-6146"</f>
        <v>10001-6146</v>
      </c>
      <c r="AB11074" t="s">
        <v>98</v>
      </c>
      <c r="AC11074" t="s">
        <v>79</v>
      </c>
      <c r="AD11074" t="s">
        <v>75</v>
      </c>
      <c r="AE11074" t="s">
        <v>80</v>
      </c>
      <c r="AG11074" t="s">
        <v>81</v>
      </c>
    </row>
    <row r="11075" spans="1:33" x14ac:dyDescent="0.25">
      <c r="A11075" t="str">
        <f>"1861606048"</f>
        <v>1861606048</v>
      </c>
      <c r="B11075" t="str">
        <f>"01063785"</f>
        <v>01063785</v>
      </c>
      <c r="C11075" t="s">
        <v>44713</v>
      </c>
      <c r="D11075" t="s">
        <v>44714</v>
      </c>
      <c r="E11075" t="s">
        <v>44715</v>
      </c>
      <c r="F11075">
        <v>135654532</v>
      </c>
      <c r="H11075" t="s">
        <v>42226</v>
      </c>
      <c r="L11075" t="s">
        <v>37</v>
      </c>
      <c r="M11075" t="s">
        <v>75</v>
      </c>
      <c r="R11075" t="s">
        <v>42238</v>
      </c>
      <c r="W11075" t="s">
        <v>44715</v>
      </c>
      <c r="X11075" t="s">
        <v>44716</v>
      </c>
      <c r="Y11075" t="s">
        <v>155</v>
      </c>
      <c r="Z11075" t="s">
        <v>77</v>
      </c>
      <c r="AA11075" t="str">
        <f>"10301-1655"</f>
        <v>10301-1655</v>
      </c>
      <c r="AB11075" t="s">
        <v>107</v>
      </c>
      <c r="AC11075" t="s">
        <v>79</v>
      </c>
      <c r="AD11075" t="s">
        <v>75</v>
      </c>
      <c r="AE11075" t="s">
        <v>80</v>
      </c>
      <c r="AG11075" t="s">
        <v>81</v>
      </c>
    </row>
    <row r="11076" spans="1:33" x14ac:dyDescent="0.25">
      <c r="A11076" t="str">
        <f>"1861543100"</f>
        <v>1861543100</v>
      </c>
      <c r="B11076" t="str">
        <f>"02840577"</f>
        <v>02840577</v>
      </c>
      <c r="C11076" t="s">
        <v>13436</v>
      </c>
      <c r="D11076" t="s">
        <v>44717</v>
      </c>
      <c r="E11076" t="s">
        <v>44718</v>
      </c>
      <c r="G11076" t="s">
        <v>44719</v>
      </c>
      <c r="L11076" t="s">
        <v>84</v>
      </c>
      <c r="M11076" t="s">
        <v>85</v>
      </c>
      <c r="R11076" t="s">
        <v>44720</v>
      </c>
      <c r="W11076" t="s">
        <v>44718</v>
      </c>
      <c r="X11076" t="s">
        <v>162</v>
      </c>
      <c r="Y11076" t="s">
        <v>87</v>
      </c>
      <c r="Z11076" t="s">
        <v>77</v>
      </c>
      <c r="AA11076" t="str">
        <f>"11215-3609"</f>
        <v>11215-3609</v>
      </c>
      <c r="AB11076" t="s">
        <v>78</v>
      </c>
      <c r="AC11076" t="s">
        <v>79</v>
      </c>
      <c r="AD11076" t="s">
        <v>75</v>
      </c>
      <c r="AE11076" t="s">
        <v>80</v>
      </c>
      <c r="AG11076" t="s">
        <v>81</v>
      </c>
    </row>
    <row r="11077" spans="1:33" x14ac:dyDescent="0.25">
      <c r="A11077" t="str">
        <f>"1154738540"</f>
        <v>1154738540</v>
      </c>
      <c r="C11077" t="s">
        <v>13436</v>
      </c>
      <c r="G11077" t="s">
        <v>44721</v>
      </c>
      <c r="K11077" t="s">
        <v>99</v>
      </c>
      <c r="L11077" t="s">
        <v>102</v>
      </c>
      <c r="M11077" t="s">
        <v>75</v>
      </c>
      <c r="R11077" t="s">
        <v>44722</v>
      </c>
      <c r="S11077" t="s">
        <v>31435</v>
      </c>
      <c r="T11077" t="s">
        <v>97</v>
      </c>
      <c r="U11077" t="s">
        <v>77</v>
      </c>
      <c r="V11077" t="str">
        <f>"100296503"</f>
        <v>100296503</v>
      </c>
      <c r="AC11077" t="s">
        <v>79</v>
      </c>
      <c r="AD11077" t="s">
        <v>75</v>
      </c>
      <c r="AE11077" t="s">
        <v>103</v>
      </c>
      <c r="AG11077" t="s">
        <v>81</v>
      </c>
    </row>
    <row r="11078" spans="1:33" x14ac:dyDescent="0.25">
      <c r="A11078" t="str">
        <f>"1134186109"</f>
        <v>1134186109</v>
      </c>
      <c r="B11078" t="str">
        <f>"01097103"</f>
        <v>01097103</v>
      </c>
      <c r="C11078" t="s">
        <v>13436</v>
      </c>
      <c r="D11078" t="s">
        <v>44723</v>
      </c>
      <c r="E11078" t="s">
        <v>44724</v>
      </c>
      <c r="G11078" t="s">
        <v>44725</v>
      </c>
      <c r="L11078" t="s">
        <v>74</v>
      </c>
      <c r="M11078" t="s">
        <v>75</v>
      </c>
      <c r="R11078" t="s">
        <v>44726</v>
      </c>
      <c r="W11078" t="s">
        <v>44724</v>
      </c>
      <c r="X11078" t="s">
        <v>228</v>
      </c>
      <c r="Y11078" t="s">
        <v>91</v>
      </c>
      <c r="Z11078" t="s">
        <v>77</v>
      </c>
      <c r="AA11078" t="str">
        <f>"11373-1329"</f>
        <v>11373-1329</v>
      </c>
      <c r="AB11078" t="s">
        <v>78</v>
      </c>
      <c r="AC11078" t="s">
        <v>79</v>
      </c>
      <c r="AD11078" t="s">
        <v>75</v>
      </c>
      <c r="AE11078" t="s">
        <v>80</v>
      </c>
      <c r="AG11078" t="s">
        <v>81</v>
      </c>
    </row>
    <row r="11079" spans="1:33" x14ac:dyDescent="0.25">
      <c r="A11079" t="str">
        <f>"1841693694"</f>
        <v>1841693694</v>
      </c>
      <c r="C11079" t="s">
        <v>13436</v>
      </c>
      <c r="G11079" t="s">
        <v>44727</v>
      </c>
      <c r="K11079" t="s">
        <v>99</v>
      </c>
      <c r="L11079" t="s">
        <v>74</v>
      </c>
      <c r="M11079" t="s">
        <v>75</v>
      </c>
      <c r="R11079" t="s">
        <v>44728</v>
      </c>
      <c r="S11079" t="s">
        <v>44729</v>
      </c>
      <c r="T11079" t="s">
        <v>139</v>
      </c>
      <c r="U11079" t="s">
        <v>77</v>
      </c>
      <c r="V11079" t="str">
        <f>"113671038"</f>
        <v>113671038</v>
      </c>
      <c r="AC11079" t="s">
        <v>79</v>
      </c>
      <c r="AD11079" t="s">
        <v>75</v>
      </c>
      <c r="AE11079" t="s">
        <v>103</v>
      </c>
      <c r="AG11079" t="s">
        <v>81</v>
      </c>
    </row>
    <row r="11080" spans="1:33" x14ac:dyDescent="0.25">
      <c r="A11080" t="str">
        <f>"1679732028"</f>
        <v>1679732028</v>
      </c>
      <c r="C11080" t="s">
        <v>13436</v>
      </c>
      <c r="K11080" t="s">
        <v>99</v>
      </c>
      <c r="L11080" t="s">
        <v>102</v>
      </c>
      <c r="M11080" t="s">
        <v>75</v>
      </c>
      <c r="R11080" t="s">
        <v>44730</v>
      </c>
      <c r="S11080" t="s">
        <v>44731</v>
      </c>
      <c r="T11080" t="s">
        <v>97</v>
      </c>
      <c r="U11080" t="s">
        <v>77</v>
      </c>
      <c r="V11080" t="str">
        <f>"101281735"</f>
        <v>101281735</v>
      </c>
      <c r="AC11080" t="s">
        <v>79</v>
      </c>
      <c r="AD11080" t="s">
        <v>75</v>
      </c>
      <c r="AE11080" t="s">
        <v>103</v>
      </c>
      <c r="AG11080" t="s">
        <v>81</v>
      </c>
    </row>
    <row r="11081" spans="1:33" x14ac:dyDescent="0.25">
      <c r="A11081" t="str">
        <f>"1861424061"</f>
        <v>1861424061</v>
      </c>
      <c r="B11081" t="str">
        <f>"00142434"</f>
        <v>00142434</v>
      </c>
      <c r="C11081" t="s">
        <v>13436</v>
      </c>
      <c r="D11081" t="s">
        <v>44732</v>
      </c>
      <c r="E11081" t="s">
        <v>44733</v>
      </c>
      <c r="L11081" t="s">
        <v>83</v>
      </c>
      <c r="M11081" t="s">
        <v>85</v>
      </c>
      <c r="R11081" t="s">
        <v>44734</v>
      </c>
      <c r="W11081" t="s">
        <v>44733</v>
      </c>
      <c r="X11081" t="s">
        <v>44735</v>
      </c>
      <c r="Y11081" t="s">
        <v>97</v>
      </c>
      <c r="Z11081" t="s">
        <v>77</v>
      </c>
      <c r="AA11081" t="str">
        <f>"10029"</f>
        <v>10029</v>
      </c>
      <c r="AB11081" t="s">
        <v>78</v>
      </c>
      <c r="AC11081" t="s">
        <v>79</v>
      </c>
      <c r="AD11081" t="s">
        <v>75</v>
      </c>
      <c r="AE11081" t="s">
        <v>80</v>
      </c>
      <c r="AG11081" t="s">
        <v>81</v>
      </c>
    </row>
    <row r="11082" spans="1:33" x14ac:dyDescent="0.25">
      <c r="A11082" t="str">
        <f>"1699192815"</f>
        <v>1699192815</v>
      </c>
      <c r="C11082" t="s">
        <v>13436</v>
      </c>
      <c r="K11082" t="s">
        <v>99</v>
      </c>
      <c r="L11082" t="s">
        <v>102</v>
      </c>
      <c r="M11082" t="s">
        <v>75</v>
      </c>
      <c r="R11082" t="s">
        <v>44736</v>
      </c>
      <c r="S11082" t="s">
        <v>44737</v>
      </c>
      <c r="T11082" t="s">
        <v>5263</v>
      </c>
      <c r="U11082" t="s">
        <v>77</v>
      </c>
      <c r="V11082" t="str">
        <f>"115452120"</f>
        <v>115452120</v>
      </c>
      <c r="AC11082" t="s">
        <v>79</v>
      </c>
      <c r="AD11082" t="s">
        <v>75</v>
      </c>
      <c r="AE11082" t="s">
        <v>103</v>
      </c>
      <c r="AG11082" t="s">
        <v>81</v>
      </c>
    </row>
    <row r="11083" spans="1:33" x14ac:dyDescent="0.25">
      <c r="A11083" t="str">
        <f>"1699193649"</f>
        <v>1699193649</v>
      </c>
      <c r="C11083" t="s">
        <v>13436</v>
      </c>
      <c r="K11083" t="s">
        <v>99</v>
      </c>
      <c r="L11083" t="s">
        <v>102</v>
      </c>
      <c r="M11083" t="s">
        <v>75</v>
      </c>
      <c r="R11083" t="s">
        <v>44738</v>
      </c>
      <c r="S11083" t="s">
        <v>12670</v>
      </c>
      <c r="T11083" t="s">
        <v>97</v>
      </c>
      <c r="U11083" t="s">
        <v>77</v>
      </c>
      <c r="V11083" t="str">
        <f>"100033821"</f>
        <v>100033821</v>
      </c>
      <c r="AC11083" t="s">
        <v>79</v>
      </c>
      <c r="AD11083" t="s">
        <v>75</v>
      </c>
      <c r="AE11083" t="s">
        <v>103</v>
      </c>
      <c r="AG11083" t="s">
        <v>81</v>
      </c>
    </row>
    <row r="11084" spans="1:33" x14ac:dyDescent="0.25">
      <c r="A11084" t="str">
        <f>"1699193821"</f>
        <v>1699193821</v>
      </c>
      <c r="C11084" t="s">
        <v>13436</v>
      </c>
      <c r="K11084" t="s">
        <v>99</v>
      </c>
      <c r="L11084" t="s">
        <v>102</v>
      </c>
      <c r="M11084" t="s">
        <v>75</v>
      </c>
      <c r="R11084" t="s">
        <v>44739</v>
      </c>
      <c r="S11084" t="s">
        <v>14477</v>
      </c>
      <c r="T11084" t="s">
        <v>97</v>
      </c>
      <c r="U11084" t="s">
        <v>77</v>
      </c>
      <c r="V11084" t="str">
        <f>"100033804"</f>
        <v>100033804</v>
      </c>
      <c r="AC11084" t="s">
        <v>79</v>
      </c>
      <c r="AD11084" t="s">
        <v>75</v>
      </c>
      <c r="AE11084" t="s">
        <v>103</v>
      </c>
      <c r="AG11084" t="s">
        <v>81</v>
      </c>
    </row>
    <row r="11085" spans="1:33" x14ac:dyDescent="0.25">
      <c r="A11085" t="str">
        <f>"1699193995"</f>
        <v>1699193995</v>
      </c>
      <c r="C11085" t="s">
        <v>13436</v>
      </c>
      <c r="K11085" t="s">
        <v>99</v>
      </c>
      <c r="L11085" t="s">
        <v>102</v>
      </c>
      <c r="M11085" t="s">
        <v>75</v>
      </c>
      <c r="R11085" t="s">
        <v>44740</v>
      </c>
      <c r="S11085" t="s">
        <v>44741</v>
      </c>
      <c r="T11085" t="s">
        <v>97</v>
      </c>
      <c r="U11085" t="s">
        <v>77</v>
      </c>
      <c r="V11085" t="str">
        <f>"100296526"</f>
        <v>100296526</v>
      </c>
      <c r="AC11085" t="s">
        <v>79</v>
      </c>
      <c r="AD11085" t="s">
        <v>75</v>
      </c>
      <c r="AE11085" t="s">
        <v>103</v>
      </c>
      <c r="AG11085" t="s">
        <v>81</v>
      </c>
    </row>
    <row r="11086" spans="1:33" x14ac:dyDescent="0.25">
      <c r="A11086" t="str">
        <f>"1699194365"</f>
        <v>1699194365</v>
      </c>
      <c r="C11086" t="s">
        <v>13436</v>
      </c>
      <c r="K11086" t="s">
        <v>99</v>
      </c>
      <c r="L11086" t="s">
        <v>102</v>
      </c>
      <c r="M11086" t="s">
        <v>75</v>
      </c>
      <c r="R11086" t="s">
        <v>44742</v>
      </c>
      <c r="S11086" t="s">
        <v>44743</v>
      </c>
      <c r="T11086" t="s">
        <v>97</v>
      </c>
      <c r="U11086" t="s">
        <v>77</v>
      </c>
      <c r="V11086" t="str">
        <f>"10025"</f>
        <v>10025</v>
      </c>
      <c r="AC11086" t="s">
        <v>79</v>
      </c>
      <c r="AD11086" t="s">
        <v>75</v>
      </c>
      <c r="AE11086" t="s">
        <v>103</v>
      </c>
      <c r="AG11086" t="s">
        <v>81</v>
      </c>
    </row>
    <row r="11087" spans="1:33" x14ac:dyDescent="0.25">
      <c r="A11087" t="str">
        <f>"1699700419"</f>
        <v>1699700419</v>
      </c>
      <c r="B11087" t="str">
        <f>"01669401"</f>
        <v>01669401</v>
      </c>
      <c r="C11087" t="s">
        <v>13436</v>
      </c>
      <c r="D11087" t="s">
        <v>44744</v>
      </c>
      <c r="E11087" t="s">
        <v>44745</v>
      </c>
      <c r="G11087" t="s">
        <v>44746</v>
      </c>
      <c r="L11087" t="s">
        <v>74</v>
      </c>
      <c r="M11087" t="s">
        <v>75</v>
      </c>
      <c r="R11087" t="s">
        <v>44747</v>
      </c>
      <c r="W11087" t="s">
        <v>44745</v>
      </c>
      <c r="X11087" t="s">
        <v>262</v>
      </c>
      <c r="Y11087" t="s">
        <v>91</v>
      </c>
      <c r="Z11087" t="s">
        <v>77</v>
      </c>
      <c r="AA11087" t="str">
        <f>"11373-1329"</f>
        <v>11373-1329</v>
      </c>
      <c r="AB11087" t="s">
        <v>78</v>
      </c>
      <c r="AC11087" t="s">
        <v>79</v>
      </c>
      <c r="AD11087" t="s">
        <v>75</v>
      </c>
      <c r="AE11087" t="s">
        <v>80</v>
      </c>
      <c r="AG11087" t="s">
        <v>81</v>
      </c>
    </row>
    <row r="11088" spans="1:33" x14ac:dyDescent="0.25">
      <c r="A11088" t="str">
        <f>"1699745075"</f>
        <v>1699745075</v>
      </c>
      <c r="B11088" t="str">
        <f>"01998681"</f>
        <v>01998681</v>
      </c>
      <c r="C11088" t="s">
        <v>13436</v>
      </c>
      <c r="D11088" t="s">
        <v>44748</v>
      </c>
      <c r="E11088" t="s">
        <v>44749</v>
      </c>
      <c r="G11088" t="s">
        <v>44750</v>
      </c>
      <c r="L11088" t="s">
        <v>83</v>
      </c>
      <c r="M11088" t="s">
        <v>85</v>
      </c>
      <c r="R11088" t="s">
        <v>44751</v>
      </c>
      <c r="W11088" t="s">
        <v>44749</v>
      </c>
      <c r="X11088" t="s">
        <v>138</v>
      </c>
      <c r="Y11088" t="s">
        <v>139</v>
      </c>
      <c r="Z11088" t="s">
        <v>77</v>
      </c>
      <c r="AA11088" t="str">
        <f>"11355-5045"</f>
        <v>11355-5045</v>
      </c>
      <c r="AB11088" t="s">
        <v>78</v>
      </c>
      <c r="AC11088" t="s">
        <v>79</v>
      </c>
      <c r="AD11088" t="s">
        <v>75</v>
      </c>
      <c r="AE11088" t="s">
        <v>80</v>
      </c>
      <c r="AG11088" t="s">
        <v>81</v>
      </c>
    </row>
    <row r="11089" spans="1:33" x14ac:dyDescent="0.25">
      <c r="C11089" t="s">
        <v>44752</v>
      </c>
      <c r="G11089" t="s">
        <v>44753</v>
      </c>
      <c r="H11089" t="s">
        <v>44754</v>
      </c>
      <c r="I11089">
        <v>1114</v>
      </c>
      <c r="J11089" t="s">
        <v>44755</v>
      </c>
      <c r="K11089" t="s">
        <v>99</v>
      </c>
      <c r="L11089" t="s">
        <v>100</v>
      </c>
      <c r="M11089" t="s">
        <v>75</v>
      </c>
      <c r="N11089" t="s">
        <v>44756</v>
      </c>
      <c r="O11089" t="s">
        <v>167</v>
      </c>
      <c r="P11089" t="s">
        <v>77</v>
      </c>
      <c r="Q11089" t="str">
        <f>"10019"</f>
        <v>10019</v>
      </c>
      <c r="AC11089" t="s">
        <v>79</v>
      </c>
      <c r="AD11089" t="s">
        <v>75</v>
      </c>
      <c r="AE11089" t="s">
        <v>101</v>
      </c>
      <c r="AG11089" t="s">
        <v>81</v>
      </c>
    </row>
    <row r="11090" spans="1:33" x14ac:dyDescent="0.25">
      <c r="C11090" t="s">
        <v>42413</v>
      </c>
      <c r="G11090" t="s">
        <v>44757</v>
      </c>
      <c r="H11090" t="s">
        <v>44758</v>
      </c>
      <c r="J11090" t="s">
        <v>44759</v>
      </c>
      <c r="K11090" t="s">
        <v>99</v>
      </c>
      <c r="L11090" t="s">
        <v>100</v>
      </c>
      <c r="M11090" t="s">
        <v>75</v>
      </c>
      <c r="N11090" t="s">
        <v>44760</v>
      </c>
      <c r="O11090" t="s">
        <v>167</v>
      </c>
      <c r="P11090" t="s">
        <v>77</v>
      </c>
      <c r="Q11090" t="str">
        <f>"10004"</f>
        <v>10004</v>
      </c>
      <c r="AC11090" t="s">
        <v>79</v>
      </c>
      <c r="AD11090" t="s">
        <v>75</v>
      </c>
      <c r="AE11090" t="s">
        <v>101</v>
      </c>
      <c r="AG11090" t="s">
        <v>81</v>
      </c>
    </row>
    <row r="11091" spans="1:33" x14ac:dyDescent="0.25">
      <c r="C11091" t="s">
        <v>44761</v>
      </c>
      <c r="G11091" t="s">
        <v>44762</v>
      </c>
      <c r="H11091" t="s">
        <v>4625</v>
      </c>
      <c r="J11091" t="s">
        <v>6381</v>
      </c>
      <c r="K11091" t="s">
        <v>99</v>
      </c>
      <c r="L11091" t="s">
        <v>100</v>
      </c>
      <c r="M11091" t="s">
        <v>75</v>
      </c>
      <c r="N11091" t="s">
        <v>44763</v>
      </c>
      <c r="O11091" t="s">
        <v>4664</v>
      </c>
      <c r="P11091" t="s">
        <v>77</v>
      </c>
      <c r="Q11091" t="str">
        <f>"12550"</f>
        <v>12550</v>
      </c>
      <c r="AC11091" t="s">
        <v>79</v>
      </c>
      <c r="AD11091" t="s">
        <v>75</v>
      </c>
      <c r="AE11091" t="s">
        <v>101</v>
      </c>
      <c r="AG11091" t="s">
        <v>81</v>
      </c>
    </row>
    <row r="11092" spans="1:33" x14ac:dyDescent="0.25">
      <c r="C11092" t="s">
        <v>42417</v>
      </c>
      <c r="G11092" t="s">
        <v>44764</v>
      </c>
      <c r="H11092" t="s">
        <v>4625</v>
      </c>
      <c r="J11092" t="s">
        <v>6368</v>
      </c>
      <c r="K11092" t="s">
        <v>99</v>
      </c>
      <c r="L11092" t="s">
        <v>100</v>
      </c>
      <c r="M11092" t="s">
        <v>75</v>
      </c>
      <c r="N11092" t="s">
        <v>44765</v>
      </c>
      <c r="O11092" t="s">
        <v>5084</v>
      </c>
      <c r="P11092" t="s">
        <v>77</v>
      </c>
      <c r="Q11092" t="str">
        <f>"10989"</f>
        <v>10989</v>
      </c>
      <c r="AC11092" t="s">
        <v>79</v>
      </c>
      <c r="AD11092" t="s">
        <v>75</v>
      </c>
      <c r="AE11092" t="s">
        <v>101</v>
      </c>
      <c r="AG11092" t="s">
        <v>81</v>
      </c>
    </row>
    <row r="11093" spans="1:33" x14ac:dyDescent="0.25">
      <c r="A11093" t="str">
        <f>"1104915123"</f>
        <v>1104915123</v>
      </c>
      <c r="B11093" t="str">
        <f>"03009107"</f>
        <v>03009107</v>
      </c>
      <c r="C11093" t="s">
        <v>44766</v>
      </c>
      <c r="D11093" t="s">
        <v>3114</v>
      </c>
      <c r="E11093" t="s">
        <v>3115</v>
      </c>
      <c r="G11093" t="s">
        <v>44767</v>
      </c>
      <c r="H11093" t="s">
        <v>3116</v>
      </c>
      <c r="I11093">
        <v>4155</v>
      </c>
      <c r="J11093" t="s">
        <v>44768</v>
      </c>
      <c r="L11093" t="s">
        <v>115</v>
      </c>
      <c r="M11093" t="s">
        <v>85</v>
      </c>
      <c r="R11093" t="s">
        <v>3117</v>
      </c>
      <c r="W11093" t="s">
        <v>3115</v>
      </c>
      <c r="X11093" t="s">
        <v>3118</v>
      </c>
      <c r="Y11093" t="s">
        <v>171</v>
      </c>
      <c r="Z11093" t="s">
        <v>77</v>
      </c>
      <c r="AA11093" t="str">
        <f>"11435-3610"</f>
        <v>11435-3610</v>
      </c>
      <c r="AB11093" t="s">
        <v>122</v>
      </c>
      <c r="AC11093" t="s">
        <v>79</v>
      </c>
      <c r="AD11093" t="s">
        <v>75</v>
      </c>
      <c r="AE11093" t="s">
        <v>80</v>
      </c>
      <c r="AG11093" t="s">
        <v>81</v>
      </c>
    </row>
    <row r="11094" spans="1:33" x14ac:dyDescent="0.25">
      <c r="A11094" t="str">
        <f>"1124091442"</f>
        <v>1124091442</v>
      </c>
      <c r="B11094" t="str">
        <f>"01991937"</f>
        <v>01991937</v>
      </c>
      <c r="C11094" t="s">
        <v>5336</v>
      </c>
      <c r="D11094" t="s">
        <v>5337</v>
      </c>
      <c r="E11094" t="s">
        <v>5338</v>
      </c>
      <c r="G11094" t="s">
        <v>42318</v>
      </c>
      <c r="H11094" t="s">
        <v>6273</v>
      </c>
      <c r="I11094">
        <v>419</v>
      </c>
      <c r="J11094" t="s">
        <v>6274</v>
      </c>
      <c r="L11094" t="s">
        <v>84</v>
      </c>
      <c r="M11094" t="s">
        <v>85</v>
      </c>
      <c r="R11094" t="s">
        <v>5339</v>
      </c>
      <c r="W11094" t="s">
        <v>5338</v>
      </c>
      <c r="X11094" t="s">
        <v>4750</v>
      </c>
      <c r="Y11094" t="s">
        <v>4665</v>
      </c>
      <c r="Z11094" t="s">
        <v>77</v>
      </c>
      <c r="AA11094" t="str">
        <f>"10952-3333"</f>
        <v>10952-3333</v>
      </c>
      <c r="AB11094" t="s">
        <v>78</v>
      </c>
      <c r="AC11094" t="s">
        <v>79</v>
      </c>
      <c r="AD11094" t="s">
        <v>75</v>
      </c>
      <c r="AE11094" t="s">
        <v>80</v>
      </c>
      <c r="AG11094" t="s">
        <v>81</v>
      </c>
    </row>
    <row r="11095" spans="1:33" x14ac:dyDescent="0.25">
      <c r="A11095" t="str">
        <f>"1124128020"</f>
        <v>1124128020</v>
      </c>
      <c r="B11095" t="str">
        <f>"00220737"</f>
        <v>00220737</v>
      </c>
      <c r="C11095" t="s">
        <v>5022</v>
      </c>
      <c r="D11095" t="s">
        <v>5023</v>
      </c>
      <c r="E11095" t="s">
        <v>5024</v>
      </c>
      <c r="G11095" t="s">
        <v>42318</v>
      </c>
      <c r="H11095" t="s">
        <v>6273</v>
      </c>
      <c r="I11095">
        <v>419</v>
      </c>
      <c r="J11095" t="s">
        <v>6274</v>
      </c>
      <c r="L11095" t="s">
        <v>83</v>
      </c>
      <c r="M11095" t="s">
        <v>85</v>
      </c>
      <c r="R11095" t="s">
        <v>5025</v>
      </c>
      <c r="W11095" t="s">
        <v>5024</v>
      </c>
      <c r="X11095" t="s">
        <v>5026</v>
      </c>
      <c r="Y11095" t="s">
        <v>2360</v>
      </c>
      <c r="Z11095" t="s">
        <v>77</v>
      </c>
      <c r="AA11095" t="str">
        <f>"10583-6925"</f>
        <v>10583-6925</v>
      </c>
      <c r="AB11095" t="s">
        <v>78</v>
      </c>
      <c r="AC11095" t="s">
        <v>79</v>
      </c>
      <c r="AD11095" t="s">
        <v>75</v>
      </c>
      <c r="AE11095" t="s">
        <v>80</v>
      </c>
      <c r="AG11095" t="s">
        <v>81</v>
      </c>
    </row>
    <row r="11096" spans="1:33" x14ac:dyDescent="0.25">
      <c r="A11096" t="str">
        <f>"1144520743"</f>
        <v>1144520743</v>
      </c>
      <c r="B11096" t="str">
        <f>"03782616"</f>
        <v>03782616</v>
      </c>
      <c r="C11096" t="s">
        <v>44769</v>
      </c>
      <c r="D11096" t="s">
        <v>44770</v>
      </c>
      <c r="E11096" t="s">
        <v>44771</v>
      </c>
      <c r="G11096" t="s">
        <v>42318</v>
      </c>
      <c r="H11096" t="s">
        <v>6273</v>
      </c>
      <c r="I11096">
        <v>419</v>
      </c>
      <c r="J11096" t="s">
        <v>6274</v>
      </c>
      <c r="L11096" t="s">
        <v>84</v>
      </c>
      <c r="M11096" t="s">
        <v>75</v>
      </c>
      <c r="R11096" t="s">
        <v>44772</v>
      </c>
      <c r="W11096" t="s">
        <v>44771</v>
      </c>
      <c r="X11096" t="s">
        <v>5146</v>
      </c>
      <c r="Y11096" t="s">
        <v>131</v>
      </c>
      <c r="Z11096" t="s">
        <v>77</v>
      </c>
      <c r="AA11096" t="str">
        <f>"10461-4509"</f>
        <v>10461-4509</v>
      </c>
      <c r="AB11096" t="s">
        <v>78</v>
      </c>
      <c r="AC11096" t="s">
        <v>79</v>
      </c>
      <c r="AD11096" t="s">
        <v>75</v>
      </c>
      <c r="AE11096" t="s">
        <v>80</v>
      </c>
      <c r="AG11096" t="s">
        <v>81</v>
      </c>
    </row>
    <row r="11097" spans="1:33" x14ac:dyDescent="0.25">
      <c r="A11097" t="str">
        <f>"1154394526"</f>
        <v>1154394526</v>
      </c>
      <c r="B11097" t="str">
        <f>"00422537"</f>
        <v>00422537</v>
      </c>
      <c r="C11097" t="s">
        <v>5166</v>
      </c>
      <c r="D11097" t="s">
        <v>5167</v>
      </c>
      <c r="E11097" t="s">
        <v>5168</v>
      </c>
      <c r="G11097" t="s">
        <v>42318</v>
      </c>
      <c r="H11097" t="s">
        <v>6273</v>
      </c>
      <c r="I11097">
        <v>419</v>
      </c>
      <c r="J11097" t="s">
        <v>6274</v>
      </c>
      <c r="L11097" t="s">
        <v>84</v>
      </c>
      <c r="M11097" t="s">
        <v>75</v>
      </c>
      <c r="R11097" t="s">
        <v>5169</v>
      </c>
      <c r="W11097" t="s">
        <v>5168</v>
      </c>
      <c r="X11097" t="s">
        <v>5170</v>
      </c>
      <c r="Y11097" t="s">
        <v>4529</v>
      </c>
      <c r="Z11097" t="s">
        <v>77</v>
      </c>
      <c r="AA11097" t="str">
        <f>"10530-2319"</f>
        <v>10530-2319</v>
      </c>
      <c r="AB11097" t="s">
        <v>78</v>
      </c>
      <c r="AC11097" t="s">
        <v>79</v>
      </c>
      <c r="AD11097" t="s">
        <v>75</v>
      </c>
      <c r="AE11097" t="s">
        <v>80</v>
      </c>
      <c r="AG11097" t="s">
        <v>81</v>
      </c>
    </row>
    <row r="11098" spans="1:33" x14ac:dyDescent="0.25">
      <c r="A11098" t="str">
        <f>"1174567333"</f>
        <v>1174567333</v>
      </c>
      <c r="B11098" t="str">
        <f>"00554150"</f>
        <v>00554150</v>
      </c>
      <c r="C11098" t="s">
        <v>44773</v>
      </c>
      <c r="D11098" t="s">
        <v>44774</v>
      </c>
      <c r="E11098" t="s">
        <v>44775</v>
      </c>
      <c r="G11098" t="s">
        <v>42318</v>
      </c>
      <c r="H11098" t="s">
        <v>6273</v>
      </c>
      <c r="I11098">
        <v>419</v>
      </c>
      <c r="J11098" t="s">
        <v>6274</v>
      </c>
      <c r="L11098" t="s">
        <v>83</v>
      </c>
      <c r="M11098" t="s">
        <v>75</v>
      </c>
      <c r="R11098" t="s">
        <v>44776</v>
      </c>
      <c r="W11098" t="s">
        <v>44775</v>
      </c>
      <c r="X11098" t="s">
        <v>1782</v>
      </c>
      <c r="Y11098" t="s">
        <v>180</v>
      </c>
      <c r="Z11098" t="s">
        <v>77</v>
      </c>
      <c r="AA11098" t="str">
        <f>"10704-3062"</f>
        <v>10704-3062</v>
      </c>
      <c r="AB11098" t="s">
        <v>78</v>
      </c>
      <c r="AC11098" t="s">
        <v>79</v>
      </c>
      <c r="AD11098" t="s">
        <v>75</v>
      </c>
      <c r="AE11098" t="s">
        <v>80</v>
      </c>
      <c r="AG11098" t="s">
        <v>81</v>
      </c>
    </row>
    <row r="11099" spans="1:33" x14ac:dyDescent="0.25">
      <c r="A11099" t="str">
        <f>"1174749733"</f>
        <v>1174749733</v>
      </c>
      <c r="B11099" t="str">
        <f>"02903166"</f>
        <v>02903166</v>
      </c>
      <c r="C11099" t="s">
        <v>44777</v>
      </c>
      <c r="D11099" t="s">
        <v>6029</v>
      </c>
      <c r="E11099" t="s">
        <v>6030</v>
      </c>
      <c r="G11099" t="s">
        <v>42318</v>
      </c>
      <c r="H11099" t="s">
        <v>6273</v>
      </c>
      <c r="I11099">
        <v>419</v>
      </c>
      <c r="J11099" t="s">
        <v>6274</v>
      </c>
      <c r="L11099" t="s">
        <v>83</v>
      </c>
      <c r="M11099" t="s">
        <v>75</v>
      </c>
      <c r="R11099" t="s">
        <v>6031</v>
      </c>
      <c r="W11099" t="s">
        <v>6032</v>
      </c>
      <c r="X11099" t="s">
        <v>6033</v>
      </c>
      <c r="Y11099" t="s">
        <v>430</v>
      </c>
      <c r="Z11099" t="s">
        <v>77</v>
      </c>
      <c r="AA11099" t="str">
        <f>"10502-1050"</f>
        <v>10502-1050</v>
      </c>
      <c r="AB11099" t="s">
        <v>78</v>
      </c>
      <c r="AC11099" t="s">
        <v>79</v>
      </c>
      <c r="AD11099" t="s">
        <v>75</v>
      </c>
      <c r="AE11099" t="s">
        <v>80</v>
      </c>
      <c r="AG11099" t="s">
        <v>81</v>
      </c>
    </row>
    <row r="11100" spans="1:33" x14ac:dyDescent="0.25">
      <c r="A11100" t="str">
        <f>"1184868259"</f>
        <v>1184868259</v>
      </c>
      <c r="C11100" t="s">
        <v>44778</v>
      </c>
      <c r="G11100" t="s">
        <v>42318</v>
      </c>
      <c r="H11100" t="s">
        <v>6273</v>
      </c>
      <c r="I11100">
        <v>419</v>
      </c>
      <c r="J11100" t="s">
        <v>6274</v>
      </c>
      <c r="K11100" t="s">
        <v>99</v>
      </c>
      <c r="L11100" t="s">
        <v>74</v>
      </c>
      <c r="M11100" t="s">
        <v>75</v>
      </c>
      <c r="R11100" t="s">
        <v>44779</v>
      </c>
      <c r="S11100" t="s">
        <v>42337</v>
      </c>
      <c r="T11100" t="s">
        <v>180</v>
      </c>
      <c r="U11100" t="s">
        <v>77</v>
      </c>
      <c r="V11100" t="str">
        <f>"107101125"</f>
        <v>107101125</v>
      </c>
      <c r="AC11100" t="s">
        <v>79</v>
      </c>
      <c r="AD11100" t="s">
        <v>75</v>
      </c>
      <c r="AE11100" t="s">
        <v>103</v>
      </c>
      <c r="AG11100" t="s">
        <v>81</v>
      </c>
    </row>
    <row r="11101" spans="1:33" x14ac:dyDescent="0.25">
      <c r="A11101" t="str">
        <f>"1396817003"</f>
        <v>1396817003</v>
      </c>
      <c r="B11101" t="str">
        <f>"00243985"</f>
        <v>00243985</v>
      </c>
      <c r="C11101" t="s">
        <v>44780</v>
      </c>
      <c r="D11101" t="s">
        <v>44781</v>
      </c>
      <c r="E11101" t="s">
        <v>44782</v>
      </c>
      <c r="G11101" t="s">
        <v>43282</v>
      </c>
      <c r="H11101" t="s">
        <v>8058</v>
      </c>
      <c r="J11101" t="s">
        <v>8059</v>
      </c>
      <c r="L11101" t="s">
        <v>104</v>
      </c>
      <c r="M11101" t="s">
        <v>85</v>
      </c>
      <c r="R11101" t="s">
        <v>44783</v>
      </c>
      <c r="W11101" t="s">
        <v>44782</v>
      </c>
      <c r="X11101" t="s">
        <v>44784</v>
      </c>
      <c r="Y11101" t="s">
        <v>97</v>
      </c>
      <c r="Z11101" t="s">
        <v>77</v>
      </c>
      <c r="AA11101" t="str">
        <f>"10029-3197"</f>
        <v>10029-3197</v>
      </c>
      <c r="AB11101" t="s">
        <v>122</v>
      </c>
      <c r="AC11101" t="s">
        <v>79</v>
      </c>
      <c r="AD11101" t="s">
        <v>75</v>
      </c>
      <c r="AE11101" t="s">
        <v>80</v>
      </c>
      <c r="AG11101" t="s">
        <v>81</v>
      </c>
    </row>
    <row r="11102" spans="1:33" x14ac:dyDescent="0.25">
      <c r="B11102" t="str">
        <f>"02750594"</f>
        <v>02750594</v>
      </c>
      <c r="C11102" t="s">
        <v>44785</v>
      </c>
      <c r="D11102" t="s">
        <v>44786</v>
      </c>
      <c r="E11102" t="s">
        <v>44787</v>
      </c>
      <c r="F11102">
        <v>116078704</v>
      </c>
      <c r="G11102" t="s">
        <v>43285</v>
      </c>
      <c r="H11102" t="s">
        <v>43286</v>
      </c>
      <c r="J11102" t="s">
        <v>43287</v>
      </c>
      <c r="L11102" t="s">
        <v>37</v>
      </c>
      <c r="M11102" t="s">
        <v>75</v>
      </c>
      <c r="W11102" t="s">
        <v>44787</v>
      </c>
      <c r="X11102" t="s">
        <v>110</v>
      </c>
      <c r="Y11102" t="s">
        <v>87</v>
      </c>
      <c r="Z11102" t="s">
        <v>77</v>
      </c>
      <c r="AA11102" t="str">
        <f>"11204-1101"</f>
        <v>11204-1101</v>
      </c>
      <c r="AB11102" t="s">
        <v>98</v>
      </c>
      <c r="AC11102" t="s">
        <v>79</v>
      </c>
      <c r="AD11102" t="s">
        <v>75</v>
      </c>
      <c r="AE11102" t="s">
        <v>80</v>
      </c>
      <c r="AG11102" t="s">
        <v>81</v>
      </c>
    </row>
    <row r="11103" spans="1:33" x14ac:dyDescent="0.25">
      <c r="A11103" t="str">
        <f>"1407847395"</f>
        <v>1407847395</v>
      </c>
      <c r="B11103" t="str">
        <f>"00309811"</f>
        <v>00309811</v>
      </c>
      <c r="C11103" t="s">
        <v>44788</v>
      </c>
      <c r="D11103" t="s">
        <v>44789</v>
      </c>
      <c r="E11103" t="s">
        <v>44790</v>
      </c>
      <c r="G11103" t="s">
        <v>44791</v>
      </c>
      <c r="H11103" t="s">
        <v>44792</v>
      </c>
      <c r="I11103">
        <v>113</v>
      </c>
      <c r="J11103" t="s">
        <v>44793</v>
      </c>
      <c r="L11103" t="s">
        <v>15</v>
      </c>
      <c r="M11103" t="s">
        <v>85</v>
      </c>
      <c r="R11103" t="s">
        <v>44794</v>
      </c>
      <c r="W11103" t="s">
        <v>44795</v>
      </c>
      <c r="X11103" t="s">
        <v>44796</v>
      </c>
      <c r="Y11103" t="s">
        <v>87</v>
      </c>
      <c r="Z11103" t="s">
        <v>77</v>
      </c>
      <c r="AA11103" t="str">
        <f>"11217-1604"</f>
        <v>11217-1604</v>
      </c>
      <c r="AB11103" t="s">
        <v>107</v>
      </c>
      <c r="AC11103" t="s">
        <v>79</v>
      </c>
      <c r="AD11103" t="s">
        <v>75</v>
      </c>
      <c r="AE11103" t="s">
        <v>80</v>
      </c>
      <c r="AG11103" t="s">
        <v>81</v>
      </c>
    </row>
    <row r="11104" spans="1:33" x14ac:dyDescent="0.25">
      <c r="A11104" t="str">
        <f>"1316377534"</f>
        <v>1316377534</v>
      </c>
      <c r="C11104" t="s">
        <v>44797</v>
      </c>
      <c r="G11104" t="s">
        <v>44798</v>
      </c>
      <c r="H11104" t="s">
        <v>3489</v>
      </c>
      <c r="I11104">
        <v>1510</v>
      </c>
      <c r="J11104" t="s">
        <v>44799</v>
      </c>
      <c r="K11104" t="s">
        <v>99</v>
      </c>
      <c r="L11104" t="s">
        <v>102</v>
      </c>
      <c r="M11104" t="s">
        <v>75</v>
      </c>
      <c r="R11104" t="s">
        <v>44800</v>
      </c>
      <c r="S11104" t="s">
        <v>44801</v>
      </c>
      <c r="T11104" t="s">
        <v>97</v>
      </c>
      <c r="U11104" t="s">
        <v>77</v>
      </c>
      <c r="V11104" t="str">
        <f>"100352208"</f>
        <v>100352208</v>
      </c>
      <c r="AC11104" t="s">
        <v>79</v>
      </c>
      <c r="AD11104" t="s">
        <v>75</v>
      </c>
      <c r="AE11104" t="s">
        <v>103</v>
      </c>
      <c r="AG11104" t="s">
        <v>81</v>
      </c>
    </row>
    <row r="11105" spans="1:33" x14ac:dyDescent="0.25">
      <c r="C11105" t="s">
        <v>44802</v>
      </c>
      <c r="G11105" t="s">
        <v>44803</v>
      </c>
      <c r="H11105" t="s">
        <v>30603</v>
      </c>
      <c r="J11105" t="s">
        <v>30604</v>
      </c>
      <c r="K11105" t="s">
        <v>99</v>
      </c>
      <c r="L11105" t="s">
        <v>100</v>
      </c>
      <c r="M11105" t="s">
        <v>75</v>
      </c>
      <c r="N11105" t="s">
        <v>44804</v>
      </c>
      <c r="O11105" t="s">
        <v>431</v>
      </c>
      <c r="P11105" t="s">
        <v>77</v>
      </c>
      <c r="Q11105" t="str">
        <f>"11215"</f>
        <v>11215</v>
      </c>
      <c r="AC11105" t="s">
        <v>79</v>
      </c>
      <c r="AD11105" t="s">
        <v>75</v>
      </c>
      <c r="AE11105" t="s">
        <v>101</v>
      </c>
      <c r="AG11105" t="s">
        <v>81</v>
      </c>
    </row>
    <row r="11106" spans="1:33" x14ac:dyDescent="0.25">
      <c r="C11106" t="s">
        <v>44805</v>
      </c>
      <c r="G11106" t="s">
        <v>44803</v>
      </c>
      <c r="H11106" t="s">
        <v>30603</v>
      </c>
      <c r="J11106" t="s">
        <v>30604</v>
      </c>
      <c r="K11106" t="s">
        <v>99</v>
      </c>
      <c r="L11106" t="s">
        <v>100</v>
      </c>
      <c r="M11106" t="s">
        <v>75</v>
      </c>
      <c r="N11106" t="s">
        <v>44806</v>
      </c>
      <c r="O11106" t="s">
        <v>431</v>
      </c>
      <c r="P11106" t="s">
        <v>77</v>
      </c>
      <c r="Q11106" t="str">
        <f>"11215"</f>
        <v>11215</v>
      </c>
      <c r="AC11106" t="s">
        <v>79</v>
      </c>
      <c r="AD11106" t="s">
        <v>75</v>
      </c>
      <c r="AE11106" t="s">
        <v>101</v>
      </c>
      <c r="AG11106" t="s">
        <v>81</v>
      </c>
    </row>
    <row r="11107" spans="1:33" x14ac:dyDescent="0.25">
      <c r="A11107" t="str">
        <f>"1124155825"</f>
        <v>1124155825</v>
      </c>
      <c r="B11107" t="str">
        <f>"01753020"</f>
        <v>01753020</v>
      </c>
      <c r="C11107" t="s">
        <v>5865</v>
      </c>
      <c r="D11107" t="s">
        <v>1258</v>
      </c>
      <c r="E11107" t="s">
        <v>1259</v>
      </c>
      <c r="G11107" t="s">
        <v>1260</v>
      </c>
      <c r="H11107" t="s">
        <v>1261</v>
      </c>
      <c r="I11107">
        <v>28</v>
      </c>
      <c r="J11107" t="s">
        <v>1262</v>
      </c>
      <c r="L11107" t="s">
        <v>37</v>
      </c>
      <c r="M11107" t="s">
        <v>75</v>
      </c>
      <c r="R11107" t="s">
        <v>1257</v>
      </c>
      <c r="W11107" t="s">
        <v>1259</v>
      </c>
      <c r="X11107" t="s">
        <v>1263</v>
      </c>
      <c r="Y11107" t="s">
        <v>131</v>
      </c>
      <c r="Z11107" t="s">
        <v>77</v>
      </c>
      <c r="AA11107" t="str">
        <f>"10470-1303"</f>
        <v>10470-1303</v>
      </c>
      <c r="AB11107" t="s">
        <v>114</v>
      </c>
      <c r="AC11107" t="s">
        <v>79</v>
      </c>
      <c r="AD11107" t="s">
        <v>75</v>
      </c>
      <c r="AE11107" t="s">
        <v>80</v>
      </c>
      <c r="AG11107" t="s">
        <v>81</v>
      </c>
    </row>
    <row r="11108" spans="1:33" x14ac:dyDescent="0.25">
      <c r="A11108" t="str">
        <f>"1417959701"</f>
        <v>1417959701</v>
      </c>
      <c r="B11108" t="str">
        <f>"00244642"</f>
        <v>00244642</v>
      </c>
      <c r="C11108" t="s">
        <v>44807</v>
      </c>
      <c r="D11108" t="s">
        <v>44808</v>
      </c>
      <c r="E11108" t="s">
        <v>44809</v>
      </c>
      <c r="G11108" t="s">
        <v>44810</v>
      </c>
      <c r="H11108" t="s">
        <v>44811</v>
      </c>
      <c r="J11108" t="s">
        <v>44812</v>
      </c>
      <c r="L11108" t="s">
        <v>115</v>
      </c>
      <c r="M11108" t="s">
        <v>85</v>
      </c>
      <c r="R11108" t="s">
        <v>44813</v>
      </c>
      <c r="W11108" t="s">
        <v>44809</v>
      </c>
      <c r="X11108" t="s">
        <v>2582</v>
      </c>
      <c r="Y11108" t="s">
        <v>97</v>
      </c>
      <c r="Z11108" t="s">
        <v>77</v>
      </c>
      <c r="AA11108" t="str">
        <f>"10012-2413"</f>
        <v>10012-2413</v>
      </c>
      <c r="AB11108" t="s">
        <v>122</v>
      </c>
      <c r="AC11108" t="s">
        <v>79</v>
      </c>
      <c r="AD11108" t="s">
        <v>75</v>
      </c>
      <c r="AE11108" t="s">
        <v>80</v>
      </c>
      <c r="AG11108" t="s">
        <v>81</v>
      </c>
    </row>
    <row r="11109" spans="1:33" x14ac:dyDescent="0.25">
      <c r="A11109" t="str">
        <f>"1629127725"</f>
        <v>1629127725</v>
      </c>
      <c r="B11109" t="str">
        <f>"00244257"</f>
        <v>00244257</v>
      </c>
      <c r="C11109" t="s">
        <v>3210</v>
      </c>
      <c r="D11109" t="s">
        <v>3211</v>
      </c>
      <c r="E11109" t="s">
        <v>3212</v>
      </c>
      <c r="G11109" t="s">
        <v>44814</v>
      </c>
      <c r="H11109" t="s">
        <v>3213</v>
      </c>
      <c r="I11109">
        <v>202</v>
      </c>
      <c r="J11109" t="s">
        <v>3214</v>
      </c>
      <c r="L11109" t="s">
        <v>104</v>
      </c>
      <c r="M11109" t="s">
        <v>75</v>
      </c>
      <c r="R11109" t="s">
        <v>3215</v>
      </c>
      <c r="W11109" t="s">
        <v>3216</v>
      </c>
      <c r="X11109" t="s">
        <v>3217</v>
      </c>
      <c r="Y11109" t="s">
        <v>131</v>
      </c>
      <c r="Z11109" t="s">
        <v>77</v>
      </c>
      <c r="AA11109" t="str">
        <f>"10453-8202"</f>
        <v>10453-8202</v>
      </c>
      <c r="AB11109" t="s">
        <v>93</v>
      </c>
      <c r="AC11109" t="s">
        <v>79</v>
      </c>
      <c r="AD11109" t="s">
        <v>75</v>
      </c>
      <c r="AE11109" t="s">
        <v>80</v>
      </c>
      <c r="AG11109" t="s">
        <v>81</v>
      </c>
    </row>
    <row r="11110" spans="1:33" x14ac:dyDescent="0.25">
      <c r="A11110" t="str">
        <f>"1801945365"</f>
        <v>1801945365</v>
      </c>
      <c r="B11110" t="str">
        <f>"02997377"</f>
        <v>02997377</v>
      </c>
      <c r="C11110" t="s">
        <v>3210</v>
      </c>
      <c r="D11110" t="s">
        <v>3218</v>
      </c>
      <c r="E11110" t="s">
        <v>3219</v>
      </c>
      <c r="G11110" t="s">
        <v>44815</v>
      </c>
      <c r="H11110" t="s">
        <v>3213</v>
      </c>
      <c r="I11110">
        <v>214</v>
      </c>
      <c r="J11110" t="s">
        <v>44816</v>
      </c>
      <c r="L11110" t="s">
        <v>10</v>
      </c>
      <c r="M11110" t="s">
        <v>85</v>
      </c>
      <c r="R11110" t="s">
        <v>3215</v>
      </c>
      <c r="W11110" t="s">
        <v>3219</v>
      </c>
      <c r="X11110" t="s">
        <v>3220</v>
      </c>
      <c r="Y11110" t="s">
        <v>97</v>
      </c>
      <c r="Z11110" t="s">
        <v>77</v>
      </c>
      <c r="AA11110" t="str">
        <f>"10027-4600"</f>
        <v>10027-4600</v>
      </c>
      <c r="AB11110" t="s">
        <v>93</v>
      </c>
      <c r="AC11110" t="s">
        <v>79</v>
      </c>
      <c r="AD11110" t="s">
        <v>75</v>
      </c>
      <c r="AE11110" t="s">
        <v>80</v>
      </c>
      <c r="AG11110" t="s">
        <v>81</v>
      </c>
    </row>
    <row r="11111" spans="1:33" x14ac:dyDescent="0.25">
      <c r="A11111" t="str">
        <f>"1720151046"</f>
        <v>1720151046</v>
      </c>
      <c r="B11111" t="str">
        <f>"01213758"</f>
        <v>01213758</v>
      </c>
      <c r="C11111" t="s">
        <v>4285</v>
      </c>
      <c r="D11111" t="s">
        <v>4296</v>
      </c>
      <c r="E11111" t="s">
        <v>4297</v>
      </c>
      <c r="G11111" t="s">
        <v>44817</v>
      </c>
      <c r="H11111" t="s">
        <v>44818</v>
      </c>
      <c r="J11111" t="s">
        <v>44819</v>
      </c>
      <c r="L11111" t="s">
        <v>37</v>
      </c>
      <c r="M11111" t="s">
        <v>75</v>
      </c>
      <c r="R11111" t="s">
        <v>4298</v>
      </c>
      <c r="W11111" t="s">
        <v>4299</v>
      </c>
      <c r="X11111" t="s">
        <v>4300</v>
      </c>
      <c r="Y11111" t="s">
        <v>1935</v>
      </c>
      <c r="Z11111" t="s">
        <v>77</v>
      </c>
      <c r="AA11111" t="str">
        <f>"11779-7667"</f>
        <v>11779-7667</v>
      </c>
      <c r="AB11111" t="s">
        <v>114</v>
      </c>
      <c r="AC11111" t="s">
        <v>79</v>
      </c>
      <c r="AD11111" t="s">
        <v>75</v>
      </c>
      <c r="AE11111" t="s">
        <v>80</v>
      </c>
      <c r="AG11111" t="s">
        <v>81</v>
      </c>
    </row>
    <row r="11112" spans="1:33" x14ac:dyDescent="0.25">
      <c r="B11112" t="str">
        <f>"02257270"</f>
        <v>02257270</v>
      </c>
      <c r="C11112" t="s">
        <v>44820</v>
      </c>
      <c r="D11112" t="s">
        <v>44821</v>
      </c>
      <c r="E11112" t="s">
        <v>44822</v>
      </c>
      <c r="F11112">
        <v>112715916</v>
      </c>
      <c r="G11112" t="s">
        <v>41510</v>
      </c>
      <c r="H11112" t="s">
        <v>41511</v>
      </c>
      <c r="J11112" t="s">
        <v>41512</v>
      </c>
      <c r="L11112" t="s">
        <v>37</v>
      </c>
      <c r="M11112" t="s">
        <v>85</v>
      </c>
      <c r="W11112" t="s">
        <v>44822</v>
      </c>
      <c r="X11112" t="s">
        <v>110</v>
      </c>
      <c r="Y11112" t="s">
        <v>87</v>
      </c>
      <c r="Z11112" t="s">
        <v>77</v>
      </c>
      <c r="AA11112" t="str">
        <f>"11228-1810"</f>
        <v>11228-1810</v>
      </c>
      <c r="AB11112" t="s">
        <v>98</v>
      </c>
      <c r="AC11112" t="s">
        <v>79</v>
      </c>
      <c r="AD11112" t="s">
        <v>75</v>
      </c>
      <c r="AE11112" t="s">
        <v>80</v>
      </c>
      <c r="AG11112" t="s">
        <v>81</v>
      </c>
    </row>
    <row r="11113" spans="1:33" x14ac:dyDescent="0.25">
      <c r="A11113" t="str">
        <f>"1215292305"</f>
        <v>1215292305</v>
      </c>
      <c r="B11113" t="str">
        <f>"03785206"</f>
        <v>03785206</v>
      </c>
      <c r="C11113" t="s">
        <v>44823</v>
      </c>
      <c r="D11113" t="s">
        <v>866</v>
      </c>
      <c r="E11113" t="s">
        <v>867</v>
      </c>
      <c r="L11113" t="s">
        <v>35</v>
      </c>
      <c r="M11113" t="s">
        <v>85</v>
      </c>
      <c r="R11113" t="s">
        <v>865</v>
      </c>
      <c r="W11113" t="s">
        <v>867</v>
      </c>
      <c r="X11113" t="s">
        <v>869</v>
      </c>
      <c r="Y11113" t="s">
        <v>97</v>
      </c>
      <c r="Z11113" t="s">
        <v>77</v>
      </c>
      <c r="AA11113" t="str">
        <f>"10010-1600"</f>
        <v>10010-1600</v>
      </c>
      <c r="AB11113" t="s">
        <v>98</v>
      </c>
      <c r="AC11113" t="s">
        <v>79</v>
      </c>
      <c r="AD11113" t="s">
        <v>75</v>
      </c>
      <c r="AE11113" t="s">
        <v>80</v>
      </c>
      <c r="AG11113" t="s">
        <v>81</v>
      </c>
    </row>
    <row r="11114" spans="1:33" x14ac:dyDescent="0.25">
      <c r="A11114" t="str">
        <f>"1699827345"</f>
        <v>1699827345</v>
      </c>
      <c r="B11114" t="str">
        <f>"01111302"</f>
        <v>01111302</v>
      </c>
      <c r="C11114" t="s">
        <v>44824</v>
      </c>
      <c r="D11114" t="s">
        <v>1343</v>
      </c>
      <c r="E11114" t="s">
        <v>1344</v>
      </c>
      <c r="G11114" t="s">
        <v>1345</v>
      </c>
      <c r="H11114" t="s">
        <v>1346</v>
      </c>
      <c r="J11114" t="s">
        <v>1347</v>
      </c>
      <c r="L11114" t="s">
        <v>119</v>
      </c>
      <c r="M11114" t="s">
        <v>85</v>
      </c>
      <c r="R11114" t="s">
        <v>1348</v>
      </c>
      <c r="W11114" t="s">
        <v>1344</v>
      </c>
      <c r="X11114" t="s">
        <v>1349</v>
      </c>
      <c r="Y11114" t="s">
        <v>97</v>
      </c>
      <c r="Z11114" t="s">
        <v>77</v>
      </c>
      <c r="AA11114" t="str">
        <f>"10003-3304"</f>
        <v>10003-3304</v>
      </c>
      <c r="AB11114" t="s">
        <v>122</v>
      </c>
      <c r="AC11114" t="s">
        <v>79</v>
      </c>
      <c r="AD11114" t="s">
        <v>75</v>
      </c>
      <c r="AE11114" t="s">
        <v>80</v>
      </c>
      <c r="AG11114" t="s">
        <v>81</v>
      </c>
    </row>
    <row r="11115" spans="1:33" x14ac:dyDescent="0.25">
      <c r="A11115" t="str">
        <f>"1194093468"</f>
        <v>1194093468</v>
      </c>
      <c r="B11115" t="str">
        <f>"03443996"</f>
        <v>03443996</v>
      </c>
      <c r="C11115" t="s">
        <v>44825</v>
      </c>
      <c r="D11115" t="s">
        <v>320</v>
      </c>
      <c r="E11115" t="s">
        <v>321</v>
      </c>
      <c r="G11115" t="s">
        <v>2557</v>
      </c>
      <c r="H11115" t="s">
        <v>252</v>
      </c>
      <c r="J11115" t="s">
        <v>2222</v>
      </c>
      <c r="L11115" t="s">
        <v>102</v>
      </c>
      <c r="M11115" t="s">
        <v>75</v>
      </c>
      <c r="R11115" t="s">
        <v>321</v>
      </c>
      <c r="W11115" t="s">
        <v>321</v>
      </c>
      <c r="X11115" t="s">
        <v>322</v>
      </c>
      <c r="Y11115" t="s">
        <v>139</v>
      </c>
      <c r="Z11115" t="s">
        <v>77</v>
      </c>
      <c r="AA11115" t="str">
        <f>"11354-1022"</f>
        <v>11354-1022</v>
      </c>
      <c r="AB11115" t="s">
        <v>127</v>
      </c>
      <c r="AC11115" t="s">
        <v>79</v>
      </c>
      <c r="AD11115" t="s">
        <v>75</v>
      </c>
      <c r="AE11115" t="s">
        <v>80</v>
      </c>
      <c r="AG11115" t="s">
        <v>81</v>
      </c>
    </row>
    <row r="11116" spans="1:33" x14ac:dyDescent="0.25">
      <c r="A11116" t="str">
        <f>"1134114176"</f>
        <v>1134114176</v>
      </c>
      <c r="C11116" t="s">
        <v>44826</v>
      </c>
      <c r="G11116" t="s">
        <v>44827</v>
      </c>
      <c r="H11116" t="s">
        <v>44828</v>
      </c>
      <c r="I11116">
        <v>334</v>
      </c>
      <c r="J11116" t="s">
        <v>44829</v>
      </c>
      <c r="K11116" t="s">
        <v>99</v>
      </c>
      <c r="L11116" t="s">
        <v>102</v>
      </c>
      <c r="M11116" t="s">
        <v>75</v>
      </c>
      <c r="R11116" t="s">
        <v>44830</v>
      </c>
      <c r="S11116" t="s">
        <v>44831</v>
      </c>
      <c r="T11116" t="s">
        <v>87</v>
      </c>
      <c r="U11116" t="s">
        <v>77</v>
      </c>
      <c r="V11116" t="str">
        <f>"112036703"</f>
        <v>112036703</v>
      </c>
      <c r="AC11116" t="s">
        <v>79</v>
      </c>
      <c r="AD11116" t="s">
        <v>75</v>
      </c>
      <c r="AE11116" t="s">
        <v>103</v>
      </c>
      <c r="AG11116" t="s">
        <v>81</v>
      </c>
    </row>
    <row r="11117" spans="1:33" x14ac:dyDescent="0.25">
      <c r="A11117" t="str">
        <f>"1508861675"</f>
        <v>1508861675</v>
      </c>
      <c r="B11117" t="str">
        <f>"02144049"</f>
        <v>02144049</v>
      </c>
      <c r="C11117" t="s">
        <v>44832</v>
      </c>
      <c r="D11117" t="s">
        <v>1311</v>
      </c>
      <c r="E11117" t="s">
        <v>1312</v>
      </c>
      <c r="G11117" t="s">
        <v>44833</v>
      </c>
      <c r="H11117" t="s">
        <v>44834</v>
      </c>
      <c r="J11117" t="s">
        <v>1313</v>
      </c>
      <c r="L11117" t="s">
        <v>106</v>
      </c>
      <c r="M11117" t="s">
        <v>85</v>
      </c>
      <c r="R11117" t="s">
        <v>1314</v>
      </c>
      <c r="W11117" t="s">
        <v>1315</v>
      </c>
      <c r="X11117" t="s">
        <v>1316</v>
      </c>
      <c r="Y11117" t="s">
        <v>87</v>
      </c>
      <c r="Z11117" t="s">
        <v>77</v>
      </c>
      <c r="AA11117" t="str">
        <f>"11221-3253"</f>
        <v>11221-3253</v>
      </c>
      <c r="AB11117" t="s">
        <v>107</v>
      </c>
      <c r="AC11117" t="s">
        <v>79</v>
      </c>
      <c r="AD11117" t="s">
        <v>75</v>
      </c>
      <c r="AE11117" t="s">
        <v>80</v>
      </c>
      <c r="AG11117" t="s">
        <v>81</v>
      </c>
    </row>
    <row r="11118" spans="1:33" x14ac:dyDescent="0.25">
      <c r="A11118" t="str">
        <f>"1558701193"</f>
        <v>1558701193</v>
      </c>
      <c r="C11118" t="s">
        <v>44835</v>
      </c>
      <c r="G11118" t="s">
        <v>44836</v>
      </c>
      <c r="H11118" t="s">
        <v>44837</v>
      </c>
      <c r="J11118" t="s">
        <v>44838</v>
      </c>
      <c r="K11118" t="s">
        <v>99</v>
      </c>
      <c r="L11118" t="s">
        <v>102</v>
      </c>
      <c r="M11118" t="s">
        <v>75</v>
      </c>
      <c r="R11118" t="s">
        <v>44839</v>
      </c>
      <c r="S11118" t="s">
        <v>44840</v>
      </c>
      <c r="T11118" t="s">
        <v>87</v>
      </c>
      <c r="U11118" t="s">
        <v>77</v>
      </c>
      <c r="V11118" t="str">
        <f>"112193011"</f>
        <v>112193011</v>
      </c>
      <c r="AC11118" t="s">
        <v>79</v>
      </c>
      <c r="AD11118" t="s">
        <v>75</v>
      </c>
      <c r="AE11118" t="s">
        <v>103</v>
      </c>
      <c r="AG11118" t="s">
        <v>81</v>
      </c>
    </row>
    <row r="11119" spans="1:33" x14ac:dyDescent="0.25">
      <c r="A11119" t="str">
        <f>"1205194073"</f>
        <v>1205194073</v>
      </c>
      <c r="C11119" t="s">
        <v>44841</v>
      </c>
      <c r="G11119" t="s">
        <v>32379</v>
      </c>
      <c r="H11119" t="s">
        <v>183</v>
      </c>
      <c r="J11119" t="s">
        <v>184</v>
      </c>
      <c r="K11119" t="s">
        <v>2011</v>
      </c>
      <c r="L11119" t="s">
        <v>102</v>
      </c>
      <c r="M11119" t="s">
        <v>75</v>
      </c>
      <c r="R11119" t="s">
        <v>3648</v>
      </c>
      <c r="S11119" t="s">
        <v>3649</v>
      </c>
      <c r="T11119" t="s">
        <v>87</v>
      </c>
      <c r="U11119" t="s">
        <v>77</v>
      </c>
      <c r="V11119" t="str">
        <f>"112014333"</f>
        <v>112014333</v>
      </c>
      <c r="AC11119" t="s">
        <v>79</v>
      </c>
      <c r="AD11119" t="s">
        <v>75</v>
      </c>
      <c r="AE11119" t="s">
        <v>103</v>
      </c>
      <c r="AG11119" t="s">
        <v>81</v>
      </c>
    </row>
    <row r="11120" spans="1:33" x14ac:dyDescent="0.25">
      <c r="A11120" t="str">
        <f>"1346483831"</f>
        <v>1346483831</v>
      </c>
      <c r="C11120" t="s">
        <v>44842</v>
      </c>
      <c r="G11120" t="s">
        <v>32379</v>
      </c>
      <c r="H11120" t="s">
        <v>183</v>
      </c>
      <c r="J11120" t="s">
        <v>184</v>
      </c>
      <c r="K11120" t="s">
        <v>2011</v>
      </c>
      <c r="L11120" t="s">
        <v>74</v>
      </c>
      <c r="M11120" t="s">
        <v>75</v>
      </c>
      <c r="R11120" t="s">
        <v>3755</v>
      </c>
      <c r="S11120" t="s">
        <v>3756</v>
      </c>
      <c r="T11120" t="s">
        <v>3757</v>
      </c>
      <c r="U11120" t="s">
        <v>2595</v>
      </c>
      <c r="V11120" t="str">
        <f>"913561411"</f>
        <v>913561411</v>
      </c>
      <c r="AC11120" t="s">
        <v>79</v>
      </c>
      <c r="AD11120" t="s">
        <v>75</v>
      </c>
      <c r="AE11120" t="s">
        <v>103</v>
      </c>
      <c r="AG11120" t="s">
        <v>81</v>
      </c>
    </row>
    <row r="11121" spans="1:33" x14ac:dyDescent="0.25">
      <c r="A11121" t="str">
        <f>"1619314135"</f>
        <v>1619314135</v>
      </c>
      <c r="B11121" t="str">
        <f>"03751599"</f>
        <v>03751599</v>
      </c>
      <c r="C11121" t="s">
        <v>44843</v>
      </c>
      <c r="D11121" t="s">
        <v>3758</v>
      </c>
      <c r="E11121" t="s">
        <v>3759</v>
      </c>
      <c r="G11121" t="s">
        <v>32379</v>
      </c>
      <c r="H11121" t="s">
        <v>183</v>
      </c>
      <c r="J11121" t="s">
        <v>184</v>
      </c>
      <c r="L11121" t="s">
        <v>74</v>
      </c>
      <c r="M11121" t="s">
        <v>75</v>
      </c>
      <c r="R11121" t="s">
        <v>3759</v>
      </c>
      <c r="W11121" t="s">
        <v>3759</v>
      </c>
      <c r="X11121" t="s">
        <v>3649</v>
      </c>
      <c r="Y11121" t="s">
        <v>87</v>
      </c>
      <c r="Z11121" t="s">
        <v>77</v>
      </c>
      <c r="AA11121" t="str">
        <f>"11201-4333"</f>
        <v>11201-4333</v>
      </c>
      <c r="AB11121" t="s">
        <v>114</v>
      </c>
      <c r="AC11121" t="s">
        <v>79</v>
      </c>
      <c r="AD11121" t="s">
        <v>75</v>
      </c>
      <c r="AE11121" t="s">
        <v>80</v>
      </c>
      <c r="AG11121" t="s">
        <v>81</v>
      </c>
    </row>
    <row r="11122" spans="1:33" x14ac:dyDescent="0.25">
      <c r="A11122" t="str">
        <f>"1952621633"</f>
        <v>1952621633</v>
      </c>
      <c r="C11122" t="s">
        <v>43387</v>
      </c>
      <c r="K11122" t="s">
        <v>99</v>
      </c>
      <c r="L11122" t="s">
        <v>102</v>
      </c>
      <c r="M11122" t="s">
        <v>75</v>
      </c>
      <c r="R11122" t="s">
        <v>22768</v>
      </c>
      <c r="S11122" t="s">
        <v>14094</v>
      </c>
      <c r="T11122" t="s">
        <v>97</v>
      </c>
      <c r="U11122" t="s">
        <v>77</v>
      </c>
      <c r="V11122" t="str">
        <f>"100102640"</f>
        <v>100102640</v>
      </c>
      <c r="AC11122" t="s">
        <v>79</v>
      </c>
      <c r="AD11122" t="s">
        <v>75</v>
      </c>
      <c r="AE11122" t="s">
        <v>103</v>
      </c>
      <c r="AG11122" t="s">
        <v>81</v>
      </c>
    </row>
    <row r="11123" spans="1:33" x14ac:dyDescent="0.25">
      <c r="A11123" t="str">
        <f>"1972806727"</f>
        <v>1972806727</v>
      </c>
      <c r="C11123" t="s">
        <v>44844</v>
      </c>
      <c r="K11123" t="s">
        <v>99</v>
      </c>
      <c r="L11123" t="s">
        <v>102</v>
      </c>
      <c r="M11123" t="s">
        <v>75</v>
      </c>
      <c r="R11123" t="s">
        <v>44845</v>
      </c>
      <c r="S11123" t="s">
        <v>31518</v>
      </c>
      <c r="T11123" t="s">
        <v>97</v>
      </c>
      <c r="U11123" t="s">
        <v>77</v>
      </c>
      <c r="V11123" t="str">
        <f>"100296500"</f>
        <v>100296500</v>
      </c>
      <c r="AC11123" t="s">
        <v>79</v>
      </c>
      <c r="AD11123" t="s">
        <v>75</v>
      </c>
      <c r="AE11123" t="s">
        <v>103</v>
      </c>
      <c r="AG11123" t="s">
        <v>81</v>
      </c>
    </row>
    <row r="11124" spans="1:33" x14ac:dyDescent="0.25">
      <c r="A11124" t="str">
        <f>"1992916878"</f>
        <v>1992916878</v>
      </c>
      <c r="C11124" t="s">
        <v>43387</v>
      </c>
      <c r="K11124" t="s">
        <v>99</v>
      </c>
      <c r="L11124" t="s">
        <v>102</v>
      </c>
      <c r="M11124" t="s">
        <v>75</v>
      </c>
      <c r="R11124" t="s">
        <v>22768</v>
      </c>
      <c r="S11124" t="s">
        <v>44846</v>
      </c>
      <c r="T11124" t="s">
        <v>97</v>
      </c>
      <c r="U11124" t="s">
        <v>77</v>
      </c>
      <c r="V11124" t="str">
        <f>"10003"</f>
        <v>10003</v>
      </c>
      <c r="AC11124" t="s">
        <v>79</v>
      </c>
      <c r="AD11124" t="s">
        <v>75</v>
      </c>
      <c r="AE11124" t="s">
        <v>103</v>
      </c>
      <c r="AG11124" t="s">
        <v>81</v>
      </c>
    </row>
    <row r="11125" spans="1:33" x14ac:dyDescent="0.25">
      <c r="A11125" t="str">
        <f>"1992979389"</f>
        <v>1992979389</v>
      </c>
      <c r="C11125" t="s">
        <v>43297</v>
      </c>
      <c r="K11125" t="s">
        <v>99</v>
      </c>
      <c r="L11125" t="s">
        <v>102</v>
      </c>
      <c r="M11125" t="s">
        <v>75</v>
      </c>
      <c r="R11125" t="s">
        <v>36958</v>
      </c>
      <c r="S11125" t="s">
        <v>2926</v>
      </c>
      <c r="T11125" t="s">
        <v>97</v>
      </c>
      <c r="U11125" t="s">
        <v>77</v>
      </c>
      <c r="V11125" t="str">
        <f>"100296503"</f>
        <v>100296503</v>
      </c>
      <c r="AC11125" t="s">
        <v>79</v>
      </c>
      <c r="AD11125" t="s">
        <v>75</v>
      </c>
      <c r="AE11125" t="s">
        <v>103</v>
      </c>
      <c r="AG11125" t="s">
        <v>81</v>
      </c>
    </row>
    <row r="11126" spans="1:33" x14ac:dyDescent="0.25">
      <c r="A11126" t="str">
        <f>"1538301528"</f>
        <v>1538301528</v>
      </c>
      <c r="C11126" t="s">
        <v>44847</v>
      </c>
      <c r="K11126" t="s">
        <v>99</v>
      </c>
      <c r="L11126" t="s">
        <v>102</v>
      </c>
      <c r="M11126" t="s">
        <v>75</v>
      </c>
      <c r="R11126" t="s">
        <v>44848</v>
      </c>
      <c r="S11126" t="s">
        <v>44849</v>
      </c>
      <c r="T11126" t="s">
        <v>97</v>
      </c>
      <c r="U11126" t="s">
        <v>77</v>
      </c>
      <c r="V11126" t="str">
        <f>"10021"</f>
        <v>10021</v>
      </c>
      <c r="AC11126" t="s">
        <v>79</v>
      </c>
      <c r="AD11126" t="s">
        <v>75</v>
      </c>
      <c r="AE11126" t="s">
        <v>103</v>
      </c>
      <c r="AG11126" t="s">
        <v>81</v>
      </c>
    </row>
    <row r="11127" spans="1:33" x14ac:dyDescent="0.25">
      <c r="A11127" t="str">
        <f>"1467722017"</f>
        <v>1467722017</v>
      </c>
      <c r="C11127" t="s">
        <v>713</v>
      </c>
      <c r="G11127" t="s">
        <v>630</v>
      </c>
      <c r="H11127" t="s">
        <v>631</v>
      </c>
      <c r="J11127" t="s">
        <v>632</v>
      </c>
      <c r="K11127" t="s">
        <v>99</v>
      </c>
      <c r="L11127" t="s">
        <v>102</v>
      </c>
      <c r="M11127" t="s">
        <v>75</v>
      </c>
      <c r="R11127" t="s">
        <v>714</v>
      </c>
      <c r="S11127" t="s">
        <v>715</v>
      </c>
      <c r="T11127" t="s">
        <v>131</v>
      </c>
      <c r="U11127" t="s">
        <v>77</v>
      </c>
      <c r="V11127" t="str">
        <f>"104696331"</f>
        <v>104696331</v>
      </c>
      <c r="AC11127" t="s">
        <v>79</v>
      </c>
      <c r="AD11127" t="s">
        <v>75</v>
      </c>
      <c r="AE11127" t="s">
        <v>103</v>
      </c>
      <c r="AG11127" t="s">
        <v>81</v>
      </c>
    </row>
    <row r="11128" spans="1:33" x14ac:dyDescent="0.25">
      <c r="A11128" t="str">
        <f>"1538352182"</f>
        <v>1538352182</v>
      </c>
      <c r="B11128" t="str">
        <f>"02996096"</f>
        <v>02996096</v>
      </c>
      <c r="C11128" t="s">
        <v>44850</v>
      </c>
      <c r="D11128" t="s">
        <v>44851</v>
      </c>
      <c r="E11128" t="s">
        <v>44852</v>
      </c>
      <c r="G11128" t="s">
        <v>44853</v>
      </c>
      <c r="H11128" t="s">
        <v>44854</v>
      </c>
      <c r="J11128" t="s">
        <v>44855</v>
      </c>
      <c r="L11128" t="s">
        <v>106</v>
      </c>
      <c r="M11128" t="s">
        <v>85</v>
      </c>
      <c r="R11128" t="s">
        <v>44856</v>
      </c>
      <c r="W11128" t="s">
        <v>44857</v>
      </c>
      <c r="X11128" t="s">
        <v>44858</v>
      </c>
      <c r="Y11128" t="s">
        <v>131</v>
      </c>
      <c r="Z11128" t="s">
        <v>77</v>
      </c>
      <c r="AA11128" t="str">
        <f>"10475-1603"</f>
        <v>10475-1603</v>
      </c>
      <c r="AB11128" t="s">
        <v>107</v>
      </c>
      <c r="AC11128" t="s">
        <v>79</v>
      </c>
      <c r="AD11128" t="s">
        <v>75</v>
      </c>
      <c r="AE11128" t="s">
        <v>80</v>
      </c>
      <c r="AG11128" t="s">
        <v>81</v>
      </c>
    </row>
    <row r="11129" spans="1:33" x14ac:dyDescent="0.25">
      <c r="A11129" t="str">
        <f>"1801819875"</f>
        <v>1801819875</v>
      </c>
      <c r="B11129" t="str">
        <f>"00313988"</f>
        <v>00313988</v>
      </c>
      <c r="C11129" t="s">
        <v>44859</v>
      </c>
      <c r="D11129" t="s">
        <v>2263</v>
      </c>
      <c r="E11129" t="s">
        <v>2264</v>
      </c>
      <c r="G11129" t="s">
        <v>44860</v>
      </c>
      <c r="H11129" t="s">
        <v>44861</v>
      </c>
      <c r="J11129" t="s">
        <v>44862</v>
      </c>
      <c r="L11129" t="s">
        <v>106</v>
      </c>
      <c r="M11129" t="s">
        <v>85</v>
      </c>
      <c r="R11129" t="s">
        <v>2265</v>
      </c>
      <c r="W11129" t="s">
        <v>2264</v>
      </c>
      <c r="X11129" t="s">
        <v>2266</v>
      </c>
      <c r="Y11129" t="s">
        <v>245</v>
      </c>
      <c r="Z11129" t="s">
        <v>77</v>
      </c>
      <c r="AA11129" t="str">
        <f>"11561-2350"</f>
        <v>11561-2350</v>
      </c>
      <c r="AB11129" t="s">
        <v>96</v>
      </c>
      <c r="AC11129" t="s">
        <v>79</v>
      </c>
      <c r="AD11129" t="s">
        <v>75</v>
      </c>
      <c r="AE11129" t="s">
        <v>80</v>
      </c>
      <c r="AG11129" t="s">
        <v>81</v>
      </c>
    </row>
    <row r="11130" spans="1:33" x14ac:dyDescent="0.25">
      <c r="A11130" t="str">
        <f>"1376813238"</f>
        <v>1376813238</v>
      </c>
      <c r="B11130" t="str">
        <f>"01453263"</f>
        <v>01453263</v>
      </c>
      <c r="C11130" t="s">
        <v>44863</v>
      </c>
      <c r="D11130" t="s">
        <v>44864</v>
      </c>
      <c r="E11130" t="s">
        <v>44865</v>
      </c>
      <c r="G11130" t="s">
        <v>503</v>
      </c>
      <c r="H11130" t="s">
        <v>504</v>
      </c>
      <c r="J11130" t="s">
        <v>505</v>
      </c>
      <c r="L11130" t="s">
        <v>106</v>
      </c>
      <c r="M11130" t="s">
        <v>85</v>
      </c>
      <c r="R11130" t="s">
        <v>44866</v>
      </c>
      <c r="W11130" t="s">
        <v>44865</v>
      </c>
      <c r="X11130" t="s">
        <v>44867</v>
      </c>
      <c r="Y11130" t="s">
        <v>155</v>
      </c>
      <c r="Z11130" t="s">
        <v>77</v>
      </c>
      <c r="AA11130" t="str">
        <f>"10304-2601"</f>
        <v>10304-2601</v>
      </c>
      <c r="AB11130" t="s">
        <v>107</v>
      </c>
      <c r="AC11130" t="s">
        <v>79</v>
      </c>
      <c r="AD11130" t="s">
        <v>75</v>
      </c>
      <c r="AE11130" t="s">
        <v>80</v>
      </c>
      <c r="AG11130" t="s">
        <v>81</v>
      </c>
    </row>
    <row r="11131" spans="1:33" x14ac:dyDescent="0.25">
      <c r="A11131" t="str">
        <f>"1720421019"</f>
        <v>1720421019</v>
      </c>
      <c r="B11131" t="str">
        <f>"00310325"</f>
        <v>00310325</v>
      </c>
      <c r="C11131" t="s">
        <v>5251</v>
      </c>
      <c r="D11131" t="s">
        <v>1179</v>
      </c>
      <c r="E11131" t="s">
        <v>1178</v>
      </c>
      <c r="G11131" t="s">
        <v>503</v>
      </c>
      <c r="H11131" t="s">
        <v>504</v>
      </c>
      <c r="J11131" t="s">
        <v>505</v>
      </c>
      <c r="L11131" t="s">
        <v>15</v>
      </c>
      <c r="M11131" t="s">
        <v>85</v>
      </c>
      <c r="R11131" t="s">
        <v>1180</v>
      </c>
      <c r="W11131" t="s">
        <v>1178</v>
      </c>
      <c r="X11131" t="s">
        <v>1181</v>
      </c>
      <c r="Y11131" t="s">
        <v>131</v>
      </c>
      <c r="Z11131" t="s">
        <v>77</v>
      </c>
      <c r="AA11131" t="str">
        <f>"10456-4145"</f>
        <v>10456-4145</v>
      </c>
      <c r="AB11131" t="s">
        <v>107</v>
      </c>
      <c r="AC11131" t="s">
        <v>79</v>
      </c>
      <c r="AD11131" t="s">
        <v>75</v>
      </c>
      <c r="AE11131" t="s">
        <v>80</v>
      </c>
      <c r="AG11131" t="s">
        <v>81</v>
      </c>
    </row>
    <row r="11132" spans="1:33" x14ac:dyDescent="0.25">
      <c r="A11132" t="str">
        <f>"1912931833"</f>
        <v>1912931833</v>
      </c>
      <c r="B11132" t="str">
        <f>"00312478"</f>
        <v>00312478</v>
      </c>
      <c r="C11132" t="s">
        <v>1195</v>
      </c>
      <c r="D11132" t="s">
        <v>1196</v>
      </c>
      <c r="E11132" t="s">
        <v>1197</v>
      </c>
      <c r="G11132" t="s">
        <v>503</v>
      </c>
      <c r="H11132" t="s">
        <v>504</v>
      </c>
      <c r="J11132" t="s">
        <v>505</v>
      </c>
      <c r="L11132" t="s">
        <v>106</v>
      </c>
      <c r="M11132" t="s">
        <v>85</v>
      </c>
      <c r="R11132" t="s">
        <v>1198</v>
      </c>
      <c r="W11132" t="s">
        <v>1199</v>
      </c>
      <c r="X11132" t="s">
        <v>1200</v>
      </c>
      <c r="Y11132" t="s">
        <v>131</v>
      </c>
      <c r="Z11132" t="s">
        <v>77</v>
      </c>
      <c r="AA11132" t="str">
        <f>"10461-1527"</f>
        <v>10461-1527</v>
      </c>
      <c r="AB11132" t="s">
        <v>107</v>
      </c>
      <c r="AC11132" t="s">
        <v>79</v>
      </c>
      <c r="AD11132" t="s">
        <v>75</v>
      </c>
      <c r="AE11132" t="s">
        <v>80</v>
      </c>
      <c r="AG11132" t="s">
        <v>81</v>
      </c>
    </row>
    <row r="11133" spans="1:33" x14ac:dyDescent="0.25">
      <c r="A11133" t="str">
        <f>"1033409073"</f>
        <v>1033409073</v>
      </c>
      <c r="B11133" t="str">
        <f>"03576336"</f>
        <v>03576336</v>
      </c>
      <c r="C11133" t="s">
        <v>5347</v>
      </c>
      <c r="D11133" t="s">
        <v>5348</v>
      </c>
      <c r="E11133" t="s">
        <v>5349</v>
      </c>
      <c r="G11133" t="s">
        <v>36484</v>
      </c>
      <c r="H11133" t="s">
        <v>1403</v>
      </c>
      <c r="I11133">
        <v>1445</v>
      </c>
      <c r="J11133" t="s">
        <v>4893</v>
      </c>
      <c r="L11133" t="s">
        <v>105</v>
      </c>
      <c r="M11133" t="s">
        <v>75</v>
      </c>
      <c r="R11133" t="s">
        <v>5350</v>
      </c>
      <c r="W11133" t="s">
        <v>5349</v>
      </c>
      <c r="X11133" t="s">
        <v>5351</v>
      </c>
      <c r="Y11133" t="s">
        <v>419</v>
      </c>
      <c r="Z11133" t="s">
        <v>77</v>
      </c>
      <c r="AA11133" t="str">
        <f>"10522-3600"</f>
        <v>10522-3600</v>
      </c>
      <c r="AB11133" t="s">
        <v>78</v>
      </c>
      <c r="AC11133" t="s">
        <v>79</v>
      </c>
      <c r="AD11133" t="s">
        <v>75</v>
      </c>
      <c r="AE11133" t="s">
        <v>80</v>
      </c>
      <c r="AG11133" t="s">
        <v>81</v>
      </c>
    </row>
    <row r="11134" spans="1:33" x14ac:dyDescent="0.25">
      <c r="A11134" t="str">
        <f>"1144394776"</f>
        <v>1144394776</v>
      </c>
      <c r="B11134" t="str">
        <f>"02227163"</f>
        <v>02227163</v>
      </c>
      <c r="C11134" t="s">
        <v>5352</v>
      </c>
      <c r="D11134" t="s">
        <v>5353</v>
      </c>
      <c r="E11134" t="s">
        <v>5354</v>
      </c>
      <c r="G11134" t="s">
        <v>36484</v>
      </c>
      <c r="H11134" t="s">
        <v>1403</v>
      </c>
      <c r="I11134">
        <v>1445</v>
      </c>
      <c r="J11134" t="s">
        <v>4893</v>
      </c>
      <c r="L11134" t="s">
        <v>84</v>
      </c>
      <c r="M11134" t="s">
        <v>85</v>
      </c>
      <c r="R11134" t="s">
        <v>5355</v>
      </c>
      <c r="W11134" t="s">
        <v>5354</v>
      </c>
      <c r="X11134" t="s">
        <v>5356</v>
      </c>
      <c r="Y11134" t="s">
        <v>5357</v>
      </c>
      <c r="Z11134" t="s">
        <v>77</v>
      </c>
      <c r="AA11134" t="str">
        <f>"10594-1143"</f>
        <v>10594-1143</v>
      </c>
      <c r="AB11134" t="s">
        <v>78</v>
      </c>
      <c r="AC11134" t="s">
        <v>79</v>
      </c>
      <c r="AD11134" t="s">
        <v>75</v>
      </c>
      <c r="AE11134" t="s">
        <v>80</v>
      </c>
      <c r="AG11134" t="s">
        <v>81</v>
      </c>
    </row>
    <row r="11135" spans="1:33" x14ac:dyDescent="0.25">
      <c r="A11135" t="str">
        <f>"1417097262"</f>
        <v>1417097262</v>
      </c>
      <c r="B11135" t="str">
        <f>"02836657"</f>
        <v>02836657</v>
      </c>
      <c r="C11135" t="s">
        <v>5391</v>
      </c>
      <c r="D11135" t="s">
        <v>5392</v>
      </c>
      <c r="E11135" t="s">
        <v>5393</v>
      </c>
      <c r="G11135" t="s">
        <v>36484</v>
      </c>
      <c r="H11135" t="s">
        <v>1403</v>
      </c>
      <c r="I11135">
        <v>1445</v>
      </c>
      <c r="J11135" t="s">
        <v>4893</v>
      </c>
      <c r="L11135" t="s">
        <v>105</v>
      </c>
      <c r="M11135" t="s">
        <v>85</v>
      </c>
      <c r="R11135" t="s">
        <v>5394</v>
      </c>
      <c r="W11135" t="s">
        <v>5395</v>
      </c>
      <c r="X11135" t="s">
        <v>5396</v>
      </c>
      <c r="Y11135" t="s">
        <v>635</v>
      </c>
      <c r="Z11135" t="s">
        <v>77</v>
      </c>
      <c r="AA11135" t="str">
        <f>"10591-3436"</f>
        <v>10591-3436</v>
      </c>
      <c r="AB11135" t="s">
        <v>78</v>
      </c>
      <c r="AC11135" t="s">
        <v>79</v>
      </c>
      <c r="AD11135" t="s">
        <v>75</v>
      </c>
      <c r="AE11135" t="s">
        <v>80</v>
      </c>
      <c r="AG11135" t="s">
        <v>81</v>
      </c>
    </row>
    <row r="11136" spans="1:33" x14ac:dyDescent="0.25">
      <c r="A11136" t="str">
        <f>"1417977240"</f>
        <v>1417977240</v>
      </c>
      <c r="B11136" t="str">
        <f>"02844044"</f>
        <v>02844044</v>
      </c>
      <c r="C11136" t="s">
        <v>5397</v>
      </c>
      <c r="D11136" t="s">
        <v>5398</v>
      </c>
      <c r="E11136" t="s">
        <v>5399</v>
      </c>
      <c r="G11136" t="s">
        <v>36484</v>
      </c>
      <c r="H11136" t="s">
        <v>1403</v>
      </c>
      <c r="I11136">
        <v>1445</v>
      </c>
      <c r="J11136" t="s">
        <v>4893</v>
      </c>
      <c r="L11136" t="s">
        <v>102</v>
      </c>
      <c r="M11136" t="s">
        <v>85</v>
      </c>
      <c r="R11136" t="s">
        <v>5400</v>
      </c>
      <c r="W11136" t="s">
        <v>5399</v>
      </c>
      <c r="X11136" t="s">
        <v>329</v>
      </c>
      <c r="Y11136" t="s">
        <v>97</v>
      </c>
      <c r="Z11136" t="s">
        <v>77</v>
      </c>
      <c r="AA11136" t="str">
        <f>"10029-6500"</f>
        <v>10029-6500</v>
      </c>
      <c r="AB11136" t="s">
        <v>78</v>
      </c>
      <c r="AC11136" t="s">
        <v>79</v>
      </c>
      <c r="AD11136" t="s">
        <v>75</v>
      </c>
      <c r="AE11136" t="s">
        <v>80</v>
      </c>
      <c r="AG11136" t="s">
        <v>81</v>
      </c>
    </row>
    <row r="11137" spans="1:33" x14ac:dyDescent="0.25">
      <c r="A11137" t="str">
        <f>"1427254697"</f>
        <v>1427254697</v>
      </c>
      <c r="B11137" t="str">
        <f>"03571386"</f>
        <v>03571386</v>
      </c>
      <c r="C11137" t="s">
        <v>5401</v>
      </c>
      <c r="D11137" t="s">
        <v>5402</v>
      </c>
      <c r="E11137" t="s">
        <v>5403</v>
      </c>
      <c r="G11137" t="s">
        <v>36484</v>
      </c>
      <c r="H11137" t="s">
        <v>1403</v>
      </c>
      <c r="I11137">
        <v>1445</v>
      </c>
      <c r="J11137" t="s">
        <v>4893</v>
      </c>
      <c r="L11137" t="s">
        <v>74</v>
      </c>
      <c r="M11137" t="s">
        <v>75</v>
      </c>
      <c r="R11137" t="s">
        <v>5404</v>
      </c>
      <c r="W11137" t="s">
        <v>5405</v>
      </c>
      <c r="X11137" t="s">
        <v>5351</v>
      </c>
      <c r="Y11137" t="s">
        <v>419</v>
      </c>
      <c r="Z11137" t="s">
        <v>77</v>
      </c>
      <c r="AA11137" t="str">
        <f>"10522-3600"</f>
        <v>10522-3600</v>
      </c>
      <c r="AB11137" t="s">
        <v>78</v>
      </c>
      <c r="AC11137" t="s">
        <v>79</v>
      </c>
      <c r="AD11137" t="s">
        <v>75</v>
      </c>
      <c r="AE11137" t="s">
        <v>80</v>
      </c>
      <c r="AG11137" t="s">
        <v>81</v>
      </c>
    </row>
    <row r="11138" spans="1:33" x14ac:dyDescent="0.25">
      <c r="A11138" t="str">
        <f>"1508823642"</f>
        <v>1508823642</v>
      </c>
      <c r="B11138" t="str">
        <f>"02192294"</f>
        <v>02192294</v>
      </c>
      <c r="C11138" t="s">
        <v>5406</v>
      </c>
      <c r="D11138" t="s">
        <v>5407</v>
      </c>
      <c r="E11138" t="s">
        <v>5408</v>
      </c>
      <c r="G11138" t="s">
        <v>36484</v>
      </c>
      <c r="H11138" t="s">
        <v>1403</v>
      </c>
      <c r="I11138">
        <v>1445</v>
      </c>
      <c r="J11138" t="s">
        <v>4893</v>
      </c>
      <c r="L11138" t="s">
        <v>102</v>
      </c>
      <c r="M11138" t="s">
        <v>75</v>
      </c>
      <c r="R11138" t="s">
        <v>5409</v>
      </c>
      <c r="W11138" t="s">
        <v>5408</v>
      </c>
      <c r="X11138" t="s">
        <v>5410</v>
      </c>
      <c r="Y11138" t="s">
        <v>146</v>
      </c>
      <c r="Z11138" t="s">
        <v>77</v>
      </c>
      <c r="AA11138" t="str">
        <f>"10595"</f>
        <v>10595</v>
      </c>
      <c r="AB11138" t="s">
        <v>78</v>
      </c>
      <c r="AC11138" t="s">
        <v>79</v>
      </c>
      <c r="AD11138" t="s">
        <v>75</v>
      </c>
      <c r="AE11138" t="s">
        <v>80</v>
      </c>
      <c r="AG11138" t="s">
        <v>81</v>
      </c>
    </row>
    <row r="11139" spans="1:33" x14ac:dyDescent="0.25">
      <c r="A11139" t="str">
        <f>"1952376410"</f>
        <v>1952376410</v>
      </c>
      <c r="B11139" t="str">
        <f>"02409709"</f>
        <v>02409709</v>
      </c>
      <c r="C11139" t="s">
        <v>44868</v>
      </c>
      <c r="D11139" t="s">
        <v>44869</v>
      </c>
      <c r="E11139" t="s">
        <v>44870</v>
      </c>
      <c r="G11139" t="s">
        <v>44871</v>
      </c>
      <c r="H11139" t="s">
        <v>44872</v>
      </c>
      <c r="J11139" t="s">
        <v>44873</v>
      </c>
      <c r="L11139" t="s">
        <v>37</v>
      </c>
      <c r="M11139" t="s">
        <v>75</v>
      </c>
      <c r="R11139" t="s">
        <v>44870</v>
      </c>
      <c r="W11139" t="s">
        <v>44870</v>
      </c>
      <c r="X11139" t="s">
        <v>1822</v>
      </c>
      <c r="Y11139" t="s">
        <v>1823</v>
      </c>
      <c r="Z11139" t="s">
        <v>77</v>
      </c>
      <c r="AA11139" t="str">
        <f>"10941-4028"</f>
        <v>10941-4028</v>
      </c>
      <c r="AB11139" t="s">
        <v>137</v>
      </c>
      <c r="AC11139" t="s">
        <v>79</v>
      </c>
      <c r="AD11139" t="s">
        <v>75</v>
      </c>
      <c r="AE11139" t="s">
        <v>80</v>
      </c>
      <c r="AG11139" t="s">
        <v>81</v>
      </c>
    </row>
    <row r="11140" spans="1:33" x14ac:dyDescent="0.25">
      <c r="A11140" t="str">
        <f>"1346302346"</f>
        <v>1346302346</v>
      </c>
      <c r="B11140" t="str">
        <f>"02772503"</f>
        <v>02772503</v>
      </c>
      <c r="C11140" t="s">
        <v>44874</v>
      </c>
      <c r="D11140" t="s">
        <v>3204</v>
      </c>
      <c r="E11140" t="s">
        <v>3205</v>
      </c>
      <c r="G11140" t="s">
        <v>44875</v>
      </c>
      <c r="H11140" t="s">
        <v>44876</v>
      </c>
      <c r="J11140" t="s">
        <v>44877</v>
      </c>
      <c r="L11140" t="s">
        <v>119</v>
      </c>
      <c r="M11140" t="s">
        <v>85</v>
      </c>
      <c r="R11140" t="s">
        <v>3205</v>
      </c>
      <c r="W11140" t="s">
        <v>3205</v>
      </c>
      <c r="X11140" t="s">
        <v>120</v>
      </c>
      <c r="Y11140" t="s">
        <v>179</v>
      </c>
      <c r="Z11140" t="s">
        <v>77</v>
      </c>
      <c r="AA11140" t="str">
        <f>"11550-3718"</f>
        <v>11550-3718</v>
      </c>
      <c r="AB11140" t="s">
        <v>122</v>
      </c>
      <c r="AC11140" t="s">
        <v>79</v>
      </c>
      <c r="AD11140" t="s">
        <v>75</v>
      </c>
      <c r="AE11140" t="s">
        <v>80</v>
      </c>
      <c r="AG11140" t="s">
        <v>81</v>
      </c>
    </row>
    <row r="11141" spans="1:33" x14ac:dyDescent="0.25">
      <c r="A11141" t="str">
        <f>"1902974058"</f>
        <v>1902974058</v>
      </c>
      <c r="B11141" t="str">
        <f>"00310545"</f>
        <v>00310545</v>
      </c>
      <c r="C11141" t="s">
        <v>44878</v>
      </c>
      <c r="D11141" t="s">
        <v>44879</v>
      </c>
      <c r="E11141" t="s">
        <v>44880</v>
      </c>
      <c r="G11141" t="s">
        <v>44881</v>
      </c>
      <c r="H11141" t="s">
        <v>44882</v>
      </c>
      <c r="I11141">
        <v>130</v>
      </c>
      <c r="J11141" t="s">
        <v>44883</v>
      </c>
      <c r="L11141" t="s">
        <v>106</v>
      </c>
      <c r="M11141" t="s">
        <v>85</v>
      </c>
      <c r="R11141" t="s">
        <v>44884</v>
      </c>
      <c r="W11141" t="s">
        <v>44880</v>
      </c>
      <c r="X11141" t="s">
        <v>44885</v>
      </c>
      <c r="Y11141" t="s">
        <v>131</v>
      </c>
      <c r="Z11141" t="s">
        <v>77</v>
      </c>
      <c r="AA11141" t="str">
        <f>"10469-5923"</f>
        <v>10469-5923</v>
      </c>
      <c r="AB11141" t="s">
        <v>107</v>
      </c>
      <c r="AC11141" t="s">
        <v>79</v>
      </c>
      <c r="AD11141" t="s">
        <v>75</v>
      </c>
      <c r="AE11141" t="s">
        <v>80</v>
      </c>
      <c r="AG11141" t="s">
        <v>81</v>
      </c>
    </row>
    <row r="11142" spans="1:33" x14ac:dyDescent="0.25">
      <c r="A11142" t="str">
        <f>"1255334082"</f>
        <v>1255334082</v>
      </c>
      <c r="B11142" t="str">
        <f>"00309119"</f>
        <v>00309119</v>
      </c>
      <c r="C11142" t="s">
        <v>44886</v>
      </c>
      <c r="D11142" t="s">
        <v>44887</v>
      </c>
      <c r="E11142" t="s">
        <v>44888</v>
      </c>
      <c r="G11142" t="s">
        <v>44889</v>
      </c>
      <c r="H11142" t="s">
        <v>44890</v>
      </c>
      <c r="I11142">
        <v>235</v>
      </c>
      <c r="J11142" t="s">
        <v>44891</v>
      </c>
      <c r="L11142" t="s">
        <v>106</v>
      </c>
      <c r="M11142" t="s">
        <v>85</v>
      </c>
      <c r="R11142" t="s">
        <v>44892</v>
      </c>
      <c r="W11142" t="s">
        <v>44893</v>
      </c>
      <c r="X11142" t="s">
        <v>44894</v>
      </c>
      <c r="Y11142" t="s">
        <v>178</v>
      </c>
      <c r="Z11142" t="s">
        <v>77</v>
      </c>
      <c r="AA11142" t="str">
        <f>"11021-2636"</f>
        <v>11021-2636</v>
      </c>
      <c r="AB11142" t="s">
        <v>107</v>
      </c>
      <c r="AC11142" t="s">
        <v>79</v>
      </c>
      <c r="AD11142" t="s">
        <v>75</v>
      </c>
      <c r="AE11142" t="s">
        <v>80</v>
      </c>
      <c r="AG11142" t="s">
        <v>81</v>
      </c>
    </row>
    <row r="11143" spans="1:33" x14ac:dyDescent="0.25">
      <c r="A11143" t="str">
        <f>"1861570517"</f>
        <v>1861570517</v>
      </c>
      <c r="B11143" t="str">
        <f>"00848164"</f>
        <v>00848164</v>
      </c>
      <c r="C11143" t="s">
        <v>44895</v>
      </c>
      <c r="D11143" t="s">
        <v>3022</v>
      </c>
      <c r="E11143" t="s">
        <v>3023</v>
      </c>
      <c r="G11143" t="s">
        <v>44896</v>
      </c>
      <c r="H11143" t="s">
        <v>44897</v>
      </c>
      <c r="I11143">
        <v>2000</v>
      </c>
      <c r="J11143" t="s">
        <v>44898</v>
      </c>
      <c r="L11143" t="s">
        <v>104</v>
      </c>
      <c r="M11143" t="s">
        <v>85</v>
      </c>
      <c r="R11143" t="s">
        <v>3024</v>
      </c>
      <c r="W11143" t="s">
        <v>3023</v>
      </c>
      <c r="X11143" t="s">
        <v>3025</v>
      </c>
      <c r="Y11143" t="s">
        <v>131</v>
      </c>
      <c r="Z11143" t="s">
        <v>77</v>
      </c>
      <c r="AA11143" t="str">
        <f>"10458-5871"</f>
        <v>10458-5871</v>
      </c>
      <c r="AB11143" t="s">
        <v>122</v>
      </c>
      <c r="AC11143" t="s">
        <v>79</v>
      </c>
      <c r="AD11143" t="s">
        <v>75</v>
      </c>
      <c r="AE11143" t="s">
        <v>80</v>
      </c>
      <c r="AG11143" t="s">
        <v>81</v>
      </c>
    </row>
    <row r="11144" spans="1:33" x14ac:dyDescent="0.25">
      <c r="A11144" t="str">
        <f>"1285777243"</f>
        <v>1285777243</v>
      </c>
      <c r="C11144" t="s">
        <v>44899</v>
      </c>
      <c r="G11144" t="s">
        <v>44900</v>
      </c>
      <c r="H11144" t="s">
        <v>44901</v>
      </c>
      <c r="J11144" t="s">
        <v>44902</v>
      </c>
      <c r="K11144" t="s">
        <v>99</v>
      </c>
      <c r="L11144" t="s">
        <v>102</v>
      </c>
      <c r="M11144" t="s">
        <v>75</v>
      </c>
      <c r="R11144" t="s">
        <v>5101</v>
      </c>
      <c r="S11144" t="s">
        <v>5102</v>
      </c>
      <c r="T11144" t="s">
        <v>131</v>
      </c>
      <c r="U11144" t="s">
        <v>77</v>
      </c>
      <c r="V11144" t="str">
        <f>"104684066"</f>
        <v>104684066</v>
      </c>
      <c r="AC11144" t="s">
        <v>79</v>
      </c>
      <c r="AD11144" t="s">
        <v>75</v>
      </c>
      <c r="AE11144" t="s">
        <v>103</v>
      </c>
      <c r="AG11144" t="s">
        <v>81</v>
      </c>
    </row>
    <row r="11145" spans="1:33" x14ac:dyDescent="0.25">
      <c r="A11145" t="str">
        <f>"1912072208"</f>
        <v>1912072208</v>
      </c>
      <c r="B11145" t="str">
        <f>"00313520"</f>
        <v>00313520</v>
      </c>
      <c r="C11145" t="s">
        <v>44903</v>
      </c>
      <c r="D11145" t="s">
        <v>5097</v>
      </c>
      <c r="E11145" t="s">
        <v>5098</v>
      </c>
      <c r="G11145" t="s">
        <v>44904</v>
      </c>
      <c r="H11145" t="s">
        <v>44905</v>
      </c>
      <c r="J11145" t="s">
        <v>44906</v>
      </c>
      <c r="L11145" t="s">
        <v>106</v>
      </c>
      <c r="M11145" t="s">
        <v>85</v>
      </c>
      <c r="R11145" t="s">
        <v>5099</v>
      </c>
      <c r="W11145" t="s">
        <v>5098</v>
      </c>
      <c r="X11145" t="s">
        <v>5100</v>
      </c>
      <c r="Y11145" t="s">
        <v>131</v>
      </c>
      <c r="Z11145" t="s">
        <v>77</v>
      </c>
      <c r="AA11145" t="str">
        <f>"10468-3961"</f>
        <v>10468-3961</v>
      </c>
      <c r="AB11145" t="s">
        <v>107</v>
      </c>
      <c r="AC11145" t="s">
        <v>79</v>
      </c>
      <c r="AD11145" t="s">
        <v>75</v>
      </c>
      <c r="AE11145" t="s">
        <v>80</v>
      </c>
      <c r="AG11145" t="s">
        <v>81</v>
      </c>
    </row>
    <row r="11146" spans="1:33" x14ac:dyDescent="0.25">
      <c r="A11146" t="str">
        <f>"1295878577"</f>
        <v>1295878577</v>
      </c>
      <c r="B11146" t="str">
        <f>"00244019"</f>
        <v>00244019</v>
      </c>
      <c r="C11146" t="s">
        <v>44907</v>
      </c>
      <c r="D11146" t="s">
        <v>955</v>
      </c>
      <c r="E11146" t="s">
        <v>956</v>
      </c>
      <c r="G11146" t="s">
        <v>957</v>
      </c>
      <c r="H11146" t="s">
        <v>958</v>
      </c>
      <c r="J11146" t="s">
        <v>959</v>
      </c>
      <c r="L11146" t="s">
        <v>144</v>
      </c>
      <c r="M11146" t="s">
        <v>85</v>
      </c>
      <c r="R11146" t="s">
        <v>960</v>
      </c>
      <c r="W11146" t="s">
        <v>956</v>
      </c>
      <c r="X11146" t="s">
        <v>961</v>
      </c>
      <c r="Y11146" t="s">
        <v>254</v>
      </c>
      <c r="Z11146" t="s">
        <v>77</v>
      </c>
      <c r="AA11146" t="str">
        <f>"11374-2240"</f>
        <v>11374-2240</v>
      </c>
      <c r="AB11146" t="s">
        <v>122</v>
      </c>
      <c r="AC11146" t="s">
        <v>79</v>
      </c>
      <c r="AD11146" t="s">
        <v>75</v>
      </c>
      <c r="AE11146" t="s">
        <v>80</v>
      </c>
      <c r="AG11146" t="s">
        <v>81</v>
      </c>
    </row>
    <row r="11147" spans="1:33" x14ac:dyDescent="0.25">
      <c r="A11147" t="str">
        <f>"1548346265"</f>
        <v>1548346265</v>
      </c>
      <c r="B11147" t="str">
        <f>"01860599"</f>
        <v>01860599</v>
      </c>
      <c r="C11147" t="s">
        <v>44908</v>
      </c>
      <c r="D11147" t="s">
        <v>44909</v>
      </c>
      <c r="E11147" t="s">
        <v>44910</v>
      </c>
      <c r="G11147" t="s">
        <v>44911</v>
      </c>
      <c r="H11147" t="s">
        <v>44912</v>
      </c>
      <c r="I11147">
        <v>202</v>
      </c>
      <c r="J11147" t="s">
        <v>44913</v>
      </c>
      <c r="L11147" t="s">
        <v>106</v>
      </c>
      <c r="M11147" t="s">
        <v>75</v>
      </c>
      <c r="R11147" t="s">
        <v>44914</v>
      </c>
      <c r="W11147" t="s">
        <v>44910</v>
      </c>
      <c r="X11147" t="s">
        <v>3566</v>
      </c>
      <c r="Y11147" t="s">
        <v>179</v>
      </c>
      <c r="Z11147" t="s">
        <v>77</v>
      </c>
      <c r="AA11147" t="str">
        <f>"11550-4600"</f>
        <v>11550-4600</v>
      </c>
      <c r="AB11147" t="s">
        <v>96</v>
      </c>
      <c r="AC11147" t="s">
        <v>79</v>
      </c>
      <c r="AD11147" t="s">
        <v>75</v>
      </c>
      <c r="AE11147" t="s">
        <v>80</v>
      </c>
      <c r="AG11147" t="s">
        <v>81</v>
      </c>
    </row>
    <row r="11148" spans="1:33" x14ac:dyDescent="0.25">
      <c r="A11148" t="str">
        <f>"1417203886"</f>
        <v>1417203886</v>
      </c>
      <c r="C11148" t="s">
        <v>44915</v>
      </c>
      <c r="G11148" t="s">
        <v>44916</v>
      </c>
      <c r="H11148" t="s">
        <v>44917</v>
      </c>
      <c r="I11148">
        <v>214</v>
      </c>
      <c r="J11148" t="s">
        <v>44918</v>
      </c>
      <c r="K11148" t="s">
        <v>99</v>
      </c>
      <c r="L11148" t="s">
        <v>102</v>
      </c>
      <c r="M11148" t="s">
        <v>75</v>
      </c>
      <c r="R11148" t="s">
        <v>44919</v>
      </c>
      <c r="S11148" t="s">
        <v>44920</v>
      </c>
      <c r="T11148" t="s">
        <v>131</v>
      </c>
      <c r="U11148" t="s">
        <v>77</v>
      </c>
      <c r="V11148" t="str">
        <f>"104679004"</f>
        <v>104679004</v>
      </c>
      <c r="AC11148" t="s">
        <v>79</v>
      </c>
      <c r="AD11148" t="s">
        <v>75</v>
      </c>
      <c r="AE11148" t="s">
        <v>103</v>
      </c>
      <c r="AG11148" t="s">
        <v>81</v>
      </c>
    </row>
    <row r="11149" spans="1:33" x14ac:dyDescent="0.25">
      <c r="B11149" t="str">
        <f>"02065245"</f>
        <v>02065245</v>
      </c>
      <c r="C11149" t="s">
        <v>44921</v>
      </c>
      <c r="D11149" t="s">
        <v>44922</v>
      </c>
      <c r="E11149" t="s">
        <v>44921</v>
      </c>
      <c r="G11149" t="s">
        <v>44923</v>
      </c>
      <c r="H11149" t="s">
        <v>44924</v>
      </c>
      <c r="I11149">
        <v>208</v>
      </c>
      <c r="J11149" t="s">
        <v>44925</v>
      </c>
      <c r="L11149" t="s">
        <v>37</v>
      </c>
      <c r="M11149" t="s">
        <v>75</v>
      </c>
      <c r="W11149" t="s">
        <v>44921</v>
      </c>
      <c r="X11149" t="s">
        <v>44926</v>
      </c>
      <c r="Y11149" t="s">
        <v>135</v>
      </c>
      <c r="Z11149" t="s">
        <v>77</v>
      </c>
      <c r="AA11149" t="str">
        <f>"14220-1745"</f>
        <v>14220-1745</v>
      </c>
      <c r="AB11149" t="s">
        <v>98</v>
      </c>
      <c r="AC11149" t="s">
        <v>79</v>
      </c>
      <c r="AD11149" t="s">
        <v>75</v>
      </c>
      <c r="AE11149" t="s">
        <v>80</v>
      </c>
      <c r="AG11149" t="s">
        <v>81</v>
      </c>
    </row>
    <row r="11150" spans="1:33" x14ac:dyDescent="0.25">
      <c r="A11150" t="str">
        <f>"1508025370"</f>
        <v>1508025370</v>
      </c>
      <c r="C11150" t="s">
        <v>2932</v>
      </c>
      <c r="G11150" t="s">
        <v>2930</v>
      </c>
      <c r="H11150" t="s">
        <v>1061</v>
      </c>
      <c r="J11150" t="s">
        <v>2931</v>
      </c>
      <c r="K11150" t="s">
        <v>307</v>
      </c>
      <c r="L11150" t="s">
        <v>102</v>
      </c>
      <c r="M11150" t="s">
        <v>85</v>
      </c>
      <c r="R11150" t="s">
        <v>2932</v>
      </c>
      <c r="S11150" t="s">
        <v>2933</v>
      </c>
      <c r="T11150" t="s">
        <v>131</v>
      </c>
      <c r="U11150" t="s">
        <v>77</v>
      </c>
      <c r="V11150" t="str">
        <f>"104623364"</f>
        <v>104623364</v>
      </c>
      <c r="AC11150" t="s">
        <v>79</v>
      </c>
      <c r="AD11150" t="s">
        <v>75</v>
      </c>
      <c r="AE11150" t="s">
        <v>103</v>
      </c>
      <c r="AG11150" t="s">
        <v>81</v>
      </c>
    </row>
    <row r="11151" spans="1:33" x14ac:dyDescent="0.25">
      <c r="C11151" t="s">
        <v>44927</v>
      </c>
      <c r="G11151" t="s">
        <v>6224</v>
      </c>
      <c r="H11151" t="s">
        <v>6225</v>
      </c>
      <c r="J11151" t="s">
        <v>6226</v>
      </c>
      <c r="K11151" t="s">
        <v>111</v>
      </c>
      <c r="L11151" t="s">
        <v>100</v>
      </c>
      <c r="M11151" t="s">
        <v>75</v>
      </c>
      <c r="N11151" t="s">
        <v>44928</v>
      </c>
      <c r="O11151" t="s">
        <v>167</v>
      </c>
      <c r="P11151" t="s">
        <v>77</v>
      </c>
      <c r="Q11151" t="str">
        <f>"10019"</f>
        <v>10019</v>
      </c>
      <c r="AC11151" t="s">
        <v>79</v>
      </c>
      <c r="AD11151" t="s">
        <v>75</v>
      </c>
      <c r="AE11151" t="s">
        <v>101</v>
      </c>
      <c r="AG11151" t="s">
        <v>81</v>
      </c>
    </row>
    <row r="11152" spans="1:33" x14ac:dyDescent="0.25">
      <c r="A11152" t="str">
        <f>"1376914507"</f>
        <v>1376914507</v>
      </c>
      <c r="C11152" t="s">
        <v>44929</v>
      </c>
      <c r="G11152" t="s">
        <v>44930</v>
      </c>
      <c r="H11152" t="s">
        <v>44931</v>
      </c>
      <c r="J11152" t="s">
        <v>44932</v>
      </c>
      <c r="K11152" t="s">
        <v>2149</v>
      </c>
      <c r="L11152" t="s">
        <v>102</v>
      </c>
      <c r="M11152" t="s">
        <v>75</v>
      </c>
      <c r="R11152" t="s">
        <v>44929</v>
      </c>
      <c r="S11152" t="s">
        <v>44933</v>
      </c>
      <c r="T11152" t="s">
        <v>139</v>
      </c>
      <c r="U11152" t="s">
        <v>77</v>
      </c>
      <c r="V11152" t="str">
        <f>"113554317"</f>
        <v>113554317</v>
      </c>
      <c r="AC11152" t="s">
        <v>79</v>
      </c>
      <c r="AD11152" t="s">
        <v>75</v>
      </c>
      <c r="AE11152" t="s">
        <v>103</v>
      </c>
      <c r="AG11152" t="s">
        <v>81</v>
      </c>
    </row>
    <row r="11153" spans="1:33" x14ac:dyDescent="0.25">
      <c r="A11153" t="str">
        <f>"1831262856"</f>
        <v>1831262856</v>
      </c>
      <c r="B11153" t="str">
        <f>"00310967"</f>
        <v>00310967</v>
      </c>
      <c r="C11153" t="s">
        <v>44934</v>
      </c>
      <c r="D11153" t="s">
        <v>44935</v>
      </c>
      <c r="E11153" t="s">
        <v>44934</v>
      </c>
      <c r="G11153" t="s">
        <v>44936</v>
      </c>
      <c r="H11153" t="s">
        <v>44937</v>
      </c>
      <c r="J11153" t="s">
        <v>44938</v>
      </c>
      <c r="L11153" t="s">
        <v>106</v>
      </c>
      <c r="M11153" t="s">
        <v>85</v>
      </c>
      <c r="R11153" t="s">
        <v>44939</v>
      </c>
      <c r="W11153" t="s">
        <v>44934</v>
      </c>
      <c r="X11153" t="s">
        <v>44940</v>
      </c>
      <c r="Y11153" t="s">
        <v>87</v>
      </c>
      <c r="Z11153" t="s">
        <v>77</v>
      </c>
      <c r="AA11153" t="str">
        <f>"11233-3031"</f>
        <v>11233-3031</v>
      </c>
      <c r="AB11153" t="s">
        <v>107</v>
      </c>
      <c r="AC11153" t="s">
        <v>79</v>
      </c>
      <c r="AD11153" t="s">
        <v>75</v>
      </c>
      <c r="AE11153" t="s">
        <v>80</v>
      </c>
      <c r="AG11153" t="s">
        <v>81</v>
      </c>
    </row>
    <row r="11154" spans="1:33" x14ac:dyDescent="0.25">
      <c r="A11154" t="str">
        <f>"1306898432"</f>
        <v>1306898432</v>
      </c>
      <c r="B11154" t="str">
        <f>"01854282"</f>
        <v>01854282</v>
      </c>
      <c r="C11154" t="s">
        <v>3839</v>
      </c>
      <c r="D11154" t="s">
        <v>3838</v>
      </c>
      <c r="E11154" t="s">
        <v>3839</v>
      </c>
      <c r="G11154" t="s">
        <v>44941</v>
      </c>
      <c r="H11154" t="s">
        <v>44942</v>
      </c>
      <c r="J11154" t="s">
        <v>44943</v>
      </c>
      <c r="L11154" t="s">
        <v>358</v>
      </c>
      <c r="M11154" t="s">
        <v>85</v>
      </c>
      <c r="R11154" t="s">
        <v>3840</v>
      </c>
      <c r="W11154" t="s">
        <v>3839</v>
      </c>
      <c r="X11154" t="s">
        <v>3743</v>
      </c>
      <c r="Y11154" t="s">
        <v>97</v>
      </c>
      <c r="Z11154" t="s">
        <v>77</v>
      </c>
      <c r="AA11154" t="str">
        <f>"10011-4401"</f>
        <v>10011-4401</v>
      </c>
      <c r="AB11154" t="s">
        <v>122</v>
      </c>
      <c r="AC11154" t="s">
        <v>79</v>
      </c>
      <c r="AD11154" t="s">
        <v>75</v>
      </c>
      <c r="AE11154" t="s">
        <v>80</v>
      </c>
      <c r="AG11154" t="s">
        <v>81</v>
      </c>
    </row>
    <row r="11155" spans="1:33" x14ac:dyDescent="0.25">
      <c r="C11155" t="s">
        <v>44944</v>
      </c>
      <c r="G11155" t="s">
        <v>44945</v>
      </c>
      <c r="H11155" t="s">
        <v>44946</v>
      </c>
      <c r="J11155" t="s">
        <v>44947</v>
      </c>
      <c r="K11155" t="s">
        <v>111</v>
      </c>
      <c r="L11155" t="s">
        <v>100</v>
      </c>
      <c r="M11155" t="s">
        <v>75</v>
      </c>
      <c r="N11155" t="s">
        <v>44948</v>
      </c>
      <c r="O11155" t="s">
        <v>167</v>
      </c>
      <c r="P11155" t="s">
        <v>77</v>
      </c>
      <c r="Q11155" t="str">
        <f>"10026"</f>
        <v>10026</v>
      </c>
      <c r="AC11155" t="s">
        <v>79</v>
      </c>
      <c r="AD11155" t="s">
        <v>75</v>
      </c>
      <c r="AE11155" t="s">
        <v>101</v>
      </c>
      <c r="AG11155" t="s">
        <v>81</v>
      </c>
    </row>
    <row r="11156" spans="1:33" x14ac:dyDescent="0.25">
      <c r="A11156" t="str">
        <f>"1326268681"</f>
        <v>1326268681</v>
      </c>
      <c r="B11156" t="str">
        <f>"02995215"</f>
        <v>02995215</v>
      </c>
      <c r="C11156" t="s">
        <v>416</v>
      </c>
      <c r="D11156" t="s">
        <v>414</v>
      </c>
      <c r="E11156" t="s">
        <v>415</v>
      </c>
      <c r="G11156" t="s">
        <v>44949</v>
      </c>
      <c r="H11156" t="s">
        <v>1403</v>
      </c>
      <c r="J11156" t="s">
        <v>44950</v>
      </c>
      <c r="L11156" t="s">
        <v>10</v>
      </c>
      <c r="M11156" t="s">
        <v>85</v>
      </c>
      <c r="R11156" t="s">
        <v>416</v>
      </c>
      <c r="W11156" t="s">
        <v>417</v>
      </c>
      <c r="X11156" t="s">
        <v>418</v>
      </c>
      <c r="Y11156" t="s">
        <v>419</v>
      </c>
      <c r="Z11156" t="s">
        <v>77</v>
      </c>
      <c r="AA11156" t="str">
        <f>"10522-3600"</f>
        <v>10522-3600</v>
      </c>
      <c r="AB11156" t="s">
        <v>133</v>
      </c>
      <c r="AC11156" t="s">
        <v>79</v>
      </c>
      <c r="AD11156" t="s">
        <v>75</v>
      </c>
      <c r="AE11156" t="s">
        <v>80</v>
      </c>
      <c r="AG11156" t="s">
        <v>81</v>
      </c>
    </row>
    <row r="11157" spans="1:33" x14ac:dyDescent="0.25">
      <c r="A11157" t="str">
        <f>"1952518078"</f>
        <v>1952518078</v>
      </c>
      <c r="B11157" t="str">
        <f>"01102441"</f>
        <v>01102441</v>
      </c>
      <c r="C11157" t="s">
        <v>4326</v>
      </c>
      <c r="D11157" t="s">
        <v>4325</v>
      </c>
      <c r="E11157" t="s">
        <v>4326</v>
      </c>
      <c r="G11157" t="s">
        <v>44951</v>
      </c>
      <c r="H11157" t="s">
        <v>44952</v>
      </c>
      <c r="J11157" t="s">
        <v>44953</v>
      </c>
      <c r="L11157" t="s">
        <v>35</v>
      </c>
      <c r="M11157" t="s">
        <v>85</v>
      </c>
      <c r="R11157" t="s">
        <v>2833</v>
      </c>
      <c r="W11157" t="s">
        <v>4326</v>
      </c>
      <c r="X11157" t="s">
        <v>2855</v>
      </c>
      <c r="Y11157" t="s">
        <v>131</v>
      </c>
      <c r="Z11157" t="s">
        <v>77</v>
      </c>
      <c r="AA11157" t="str">
        <f>"10459-3204"</f>
        <v>10459-3204</v>
      </c>
      <c r="AB11157" t="s">
        <v>98</v>
      </c>
      <c r="AC11157" t="s">
        <v>79</v>
      </c>
      <c r="AD11157" t="s">
        <v>75</v>
      </c>
      <c r="AE11157" t="s">
        <v>80</v>
      </c>
      <c r="AG11157" t="s">
        <v>81</v>
      </c>
    </row>
    <row r="11158" spans="1:33" x14ac:dyDescent="0.25">
      <c r="A11158" t="str">
        <f>"1477764496"</f>
        <v>1477764496</v>
      </c>
      <c r="B11158" t="str">
        <f>"00695941"</f>
        <v>00695941</v>
      </c>
      <c r="C11158" t="s">
        <v>3604</v>
      </c>
      <c r="D11158" t="s">
        <v>3603</v>
      </c>
      <c r="E11158" t="s">
        <v>3604</v>
      </c>
      <c r="G11158" t="s">
        <v>44954</v>
      </c>
      <c r="H11158" t="s">
        <v>44955</v>
      </c>
      <c r="J11158" t="s">
        <v>44956</v>
      </c>
      <c r="L11158" t="s">
        <v>358</v>
      </c>
      <c r="M11158" t="s">
        <v>85</v>
      </c>
      <c r="R11158" t="s">
        <v>2833</v>
      </c>
      <c r="W11158" t="s">
        <v>3604</v>
      </c>
      <c r="X11158" t="s">
        <v>3605</v>
      </c>
      <c r="Y11158" t="s">
        <v>190</v>
      </c>
      <c r="Z11158" t="s">
        <v>77</v>
      </c>
      <c r="AA11158" t="str">
        <f>"11101-4213"</f>
        <v>11101-4213</v>
      </c>
      <c r="AB11158" t="s">
        <v>93</v>
      </c>
      <c r="AC11158" t="s">
        <v>79</v>
      </c>
      <c r="AD11158" t="s">
        <v>75</v>
      </c>
      <c r="AE11158" t="s">
        <v>80</v>
      </c>
      <c r="AG11158" t="s">
        <v>81</v>
      </c>
    </row>
    <row r="11159" spans="1:33" x14ac:dyDescent="0.25">
      <c r="A11159" t="str">
        <f>"1609897834"</f>
        <v>1609897834</v>
      </c>
      <c r="B11159" t="str">
        <f>"00985259"</f>
        <v>00985259</v>
      </c>
      <c r="C11159" t="s">
        <v>44957</v>
      </c>
      <c r="D11159" t="s">
        <v>44958</v>
      </c>
      <c r="E11159" t="s">
        <v>44959</v>
      </c>
      <c r="G11159" t="s">
        <v>44960</v>
      </c>
      <c r="H11159" t="s">
        <v>44961</v>
      </c>
      <c r="J11159" t="s">
        <v>44962</v>
      </c>
      <c r="L11159" t="s">
        <v>37</v>
      </c>
      <c r="M11159" t="s">
        <v>75</v>
      </c>
      <c r="R11159" t="s">
        <v>44957</v>
      </c>
      <c r="W11159" t="s">
        <v>44959</v>
      </c>
      <c r="X11159" t="s">
        <v>44963</v>
      </c>
      <c r="Y11159" t="s">
        <v>171</v>
      </c>
      <c r="Z11159" t="s">
        <v>77</v>
      </c>
      <c r="AA11159" t="str">
        <f>"11435-4042"</f>
        <v>11435-4042</v>
      </c>
      <c r="AB11159" t="s">
        <v>127</v>
      </c>
      <c r="AC11159" t="s">
        <v>79</v>
      </c>
      <c r="AD11159" t="s">
        <v>75</v>
      </c>
      <c r="AE11159" t="s">
        <v>80</v>
      </c>
      <c r="AG11159" t="s">
        <v>81</v>
      </c>
    </row>
    <row r="11160" spans="1:33" x14ac:dyDescent="0.25">
      <c r="A11160" t="str">
        <f>"1083837157"</f>
        <v>1083837157</v>
      </c>
      <c r="B11160" t="str">
        <f>"00310985"</f>
        <v>00310985</v>
      </c>
      <c r="C11160" t="s">
        <v>412</v>
      </c>
      <c r="D11160" t="s">
        <v>411</v>
      </c>
      <c r="E11160" t="s">
        <v>412</v>
      </c>
      <c r="G11160" t="s">
        <v>44964</v>
      </c>
      <c r="H11160" t="s">
        <v>44965</v>
      </c>
      <c r="J11160" t="s">
        <v>44966</v>
      </c>
      <c r="L11160" t="s">
        <v>106</v>
      </c>
      <c r="M11160" t="s">
        <v>85</v>
      </c>
      <c r="R11160" t="s">
        <v>413</v>
      </c>
      <c r="W11160" t="s">
        <v>412</v>
      </c>
      <c r="X11160" t="s">
        <v>325</v>
      </c>
      <c r="Y11160" t="s">
        <v>145</v>
      </c>
      <c r="Z11160" t="s">
        <v>77</v>
      </c>
      <c r="AA11160" t="str">
        <f>"11360-2810"</f>
        <v>11360-2810</v>
      </c>
      <c r="AB11160" t="s">
        <v>107</v>
      </c>
      <c r="AC11160" t="s">
        <v>79</v>
      </c>
      <c r="AD11160" t="s">
        <v>75</v>
      </c>
      <c r="AE11160" t="s">
        <v>80</v>
      </c>
      <c r="AG11160" t="s">
        <v>81</v>
      </c>
    </row>
    <row r="11161" spans="1:33" x14ac:dyDescent="0.25">
      <c r="A11161" t="str">
        <f>"1508859687"</f>
        <v>1508859687</v>
      </c>
      <c r="B11161" t="str">
        <f>"00309559"</f>
        <v>00309559</v>
      </c>
      <c r="C11161" t="s">
        <v>878</v>
      </c>
      <c r="D11161" t="s">
        <v>877</v>
      </c>
      <c r="E11161" t="s">
        <v>878</v>
      </c>
      <c r="G11161" t="s">
        <v>44967</v>
      </c>
      <c r="H11161" t="s">
        <v>879</v>
      </c>
      <c r="I11161">
        <v>200</v>
      </c>
      <c r="J11161" t="s">
        <v>44968</v>
      </c>
      <c r="L11161" t="s">
        <v>106</v>
      </c>
      <c r="M11161" t="s">
        <v>85</v>
      </c>
      <c r="R11161" t="s">
        <v>880</v>
      </c>
      <c r="W11161" t="s">
        <v>878</v>
      </c>
      <c r="Y11161" t="s">
        <v>87</v>
      </c>
      <c r="Z11161" t="s">
        <v>77</v>
      </c>
      <c r="AA11161" t="str">
        <f>"11229-5194"</f>
        <v>11229-5194</v>
      </c>
      <c r="AB11161" t="s">
        <v>107</v>
      </c>
      <c r="AC11161" t="s">
        <v>79</v>
      </c>
      <c r="AD11161" t="s">
        <v>75</v>
      </c>
      <c r="AE11161" t="s">
        <v>80</v>
      </c>
      <c r="AG11161" t="s">
        <v>81</v>
      </c>
    </row>
    <row r="11162" spans="1:33" x14ac:dyDescent="0.25">
      <c r="A11162" t="str">
        <f>"1003253030"</f>
        <v>1003253030</v>
      </c>
      <c r="B11162" t="str">
        <f>"03600768"</f>
        <v>03600768</v>
      </c>
      <c r="C11162" t="s">
        <v>4382</v>
      </c>
      <c r="D11162" t="s">
        <v>4381</v>
      </c>
      <c r="E11162" t="s">
        <v>4382</v>
      </c>
      <c r="G11162" t="s">
        <v>44969</v>
      </c>
      <c r="H11162" t="s">
        <v>4383</v>
      </c>
      <c r="J11162" t="s">
        <v>4384</v>
      </c>
      <c r="L11162" t="s">
        <v>37</v>
      </c>
      <c r="M11162" t="s">
        <v>75</v>
      </c>
      <c r="R11162" t="s">
        <v>4385</v>
      </c>
      <c r="W11162" t="s">
        <v>4382</v>
      </c>
      <c r="X11162" t="s">
        <v>4386</v>
      </c>
      <c r="Y11162" t="s">
        <v>2128</v>
      </c>
      <c r="Z11162" t="s">
        <v>77</v>
      </c>
      <c r="AA11162" t="str">
        <f>"11743-2924"</f>
        <v>11743-2924</v>
      </c>
      <c r="AB11162" t="s">
        <v>127</v>
      </c>
      <c r="AC11162" t="s">
        <v>79</v>
      </c>
      <c r="AD11162" t="s">
        <v>75</v>
      </c>
      <c r="AE11162" t="s">
        <v>80</v>
      </c>
      <c r="AG11162" t="s">
        <v>81</v>
      </c>
    </row>
    <row r="11163" spans="1:33" x14ac:dyDescent="0.25">
      <c r="A11163" t="str">
        <f>"1215030440"</f>
        <v>1215030440</v>
      </c>
      <c r="C11163" t="s">
        <v>44970</v>
      </c>
      <c r="G11163" t="s">
        <v>4852</v>
      </c>
      <c r="H11163" t="s">
        <v>44971</v>
      </c>
      <c r="J11163" t="s">
        <v>44972</v>
      </c>
      <c r="K11163" t="s">
        <v>9</v>
      </c>
      <c r="L11163" t="s">
        <v>102</v>
      </c>
      <c r="M11163" t="s">
        <v>75</v>
      </c>
      <c r="R11163" t="s">
        <v>44970</v>
      </c>
      <c r="S11163" t="s">
        <v>5146</v>
      </c>
      <c r="T11163" t="s">
        <v>131</v>
      </c>
      <c r="U11163" t="s">
        <v>77</v>
      </c>
      <c r="V11163" t="str">
        <f>"104614509"</f>
        <v>104614509</v>
      </c>
      <c r="AC11163" t="s">
        <v>79</v>
      </c>
      <c r="AD11163" t="s">
        <v>75</v>
      </c>
      <c r="AE11163" t="s">
        <v>103</v>
      </c>
      <c r="AG11163" t="s">
        <v>81</v>
      </c>
    </row>
    <row r="11164" spans="1:33" x14ac:dyDescent="0.25">
      <c r="B11164" t="str">
        <f>"02256031"</f>
        <v>02256031</v>
      </c>
      <c r="C11164" t="s">
        <v>808</v>
      </c>
      <c r="D11164" t="s">
        <v>809</v>
      </c>
      <c r="E11164" t="s">
        <v>810</v>
      </c>
      <c r="G11164" t="s">
        <v>44973</v>
      </c>
      <c r="H11164" t="s">
        <v>44974</v>
      </c>
      <c r="J11164" t="s">
        <v>44975</v>
      </c>
      <c r="L11164" t="s">
        <v>37</v>
      </c>
      <c r="M11164" t="s">
        <v>85</v>
      </c>
      <c r="W11164" t="s">
        <v>808</v>
      </c>
      <c r="X11164" t="s">
        <v>44976</v>
      </c>
      <c r="Y11164" t="s">
        <v>97</v>
      </c>
      <c r="Z11164" t="s">
        <v>77</v>
      </c>
      <c r="AA11164" t="str">
        <f>"10003-2332"</f>
        <v>10003-2332</v>
      </c>
      <c r="AB11164" t="s">
        <v>98</v>
      </c>
      <c r="AC11164" t="s">
        <v>79</v>
      </c>
      <c r="AD11164" t="s">
        <v>75</v>
      </c>
      <c r="AE11164" t="s">
        <v>80</v>
      </c>
      <c r="AG11164" t="s">
        <v>81</v>
      </c>
    </row>
    <row r="11165" spans="1:33" x14ac:dyDescent="0.25">
      <c r="A11165" t="str">
        <f>"1366782534"</f>
        <v>1366782534</v>
      </c>
      <c r="B11165" t="str">
        <f>"00308769"</f>
        <v>00308769</v>
      </c>
      <c r="C11165" t="s">
        <v>775</v>
      </c>
      <c r="D11165" t="s">
        <v>773</v>
      </c>
      <c r="E11165" t="s">
        <v>774</v>
      </c>
      <c r="G11165" t="s">
        <v>44977</v>
      </c>
      <c r="H11165" t="s">
        <v>44978</v>
      </c>
      <c r="J11165" t="s">
        <v>44979</v>
      </c>
      <c r="L11165" t="s">
        <v>106</v>
      </c>
      <c r="M11165" t="s">
        <v>85</v>
      </c>
      <c r="R11165" t="s">
        <v>775</v>
      </c>
      <c r="W11165" t="s">
        <v>775</v>
      </c>
      <c r="X11165" t="s">
        <v>776</v>
      </c>
      <c r="Y11165" t="s">
        <v>450</v>
      </c>
      <c r="Z11165" t="s">
        <v>77</v>
      </c>
      <c r="AA11165" t="str">
        <f>"11423-2982"</f>
        <v>11423-2982</v>
      </c>
      <c r="AB11165" t="s">
        <v>107</v>
      </c>
      <c r="AC11165" t="s">
        <v>79</v>
      </c>
      <c r="AD11165" t="s">
        <v>75</v>
      </c>
      <c r="AE11165" t="s">
        <v>80</v>
      </c>
      <c r="AG11165" t="s">
        <v>81</v>
      </c>
    </row>
    <row r="11166" spans="1:33" x14ac:dyDescent="0.25">
      <c r="A11166" t="str">
        <f>"1801887898"</f>
        <v>1801887898</v>
      </c>
      <c r="B11166" t="str">
        <f>"00312487"</f>
        <v>00312487</v>
      </c>
      <c r="C11166" t="s">
        <v>44980</v>
      </c>
      <c r="D11166" t="s">
        <v>44981</v>
      </c>
      <c r="E11166" t="s">
        <v>44980</v>
      </c>
      <c r="G11166" t="s">
        <v>44982</v>
      </c>
      <c r="H11166" t="s">
        <v>44983</v>
      </c>
      <c r="I11166">
        <v>117</v>
      </c>
      <c r="J11166" t="s">
        <v>44984</v>
      </c>
      <c r="L11166" t="s">
        <v>106</v>
      </c>
      <c r="M11166" t="s">
        <v>85</v>
      </c>
      <c r="R11166" t="s">
        <v>44985</v>
      </c>
      <c r="W11166" t="s">
        <v>44980</v>
      </c>
      <c r="X11166" t="s">
        <v>44986</v>
      </c>
      <c r="Y11166" t="s">
        <v>876</v>
      </c>
      <c r="Z11166" t="s">
        <v>77</v>
      </c>
      <c r="AA11166" t="str">
        <f>"11694-2408"</f>
        <v>11694-2408</v>
      </c>
      <c r="AB11166" t="s">
        <v>107</v>
      </c>
      <c r="AC11166" t="s">
        <v>79</v>
      </c>
      <c r="AD11166" t="s">
        <v>75</v>
      </c>
      <c r="AE11166" t="s">
        <v>80</v>
      </c>
      <c r="AG11166" t="s">
        <v>81</v>
      </c>
    </row>
    <row r="11167" spans="1:33" x14ac:dyDescent="0.25">
      <c r="A11167" t="str">
        <f>"1164401857"</f>
        <v>1164401857</v>
      </c>
      <c r="B11167" t="str">
        <f>"01107648"</f>
        <v>01107648</v>
      </c>
      <c r="C11167" t="s">
        <v>44987</v>
      </c>
      <c r="D11167" t="s">
        <v>44988</v>
      </c>
      <c r="E11167" t="s">
        <v>44987</v>
      </c>
      <c r="G11167" t="s">
        <v>44989</v>
      </c>
      <c r="H11167" t="s">
        <v>44990</v>
      </c>
      <c r="I11167">
        <v>1225</v>
      </c>
      <c r="J11167" t="s">
        <v>44991</v>
      </c>
      <c r="L11167" t="s">
        <v>37</v>
      </c>
      <c r="M11167" t="s">
        <v>85</v>
      </c>
      <c r="R11167" t="s">
        <v>44992</v>
      </c>
      <c r="W11167" t="s">
        <v>44987</v>
      </c>
      <c r="X11167" t="s">
        <v>44993</v>
      </c>
      <c r="Y11167" t="s">
        <v>87</v>
      </c>
      <c r="Z11167" t="s">
        <v>77</v>
      </c>
      <c r="AA11167" t="str">
        <f>"11229-5308"</f>
        <v>11229-5308</v>
      </c>
      <c r="AB11167" t="s">
        <v>98</v>
      </c>
      <c r="AC11167" t="s">
        <v>79</v>
      </c>
      <c r="AD11167" t="s">
        <v>75</v>
      </c>
      <c r="AE11167" t="s">
        <v>80</v>
      </c>
      <c r="AG11167" t="s">
        <v>81</v>
      </c>
    </row>
    <row r="11168" spans="1:33" x14ac:dyDescent="0.25">
      <c r="A11168" t="str">
        <f>"1730278409"</f>
        <v>1730278409</v>
      </c>
      <c r="C11168" t="s">
        <v>3039</v>
      </c>
      <c r="G11168" t="s">
        <v>44994</v>
      </c>
      <c r="H11168" t="s">
        <v>44995</v>
      </c>
      <c r="J11168" t="s">
        <v>44996</v>
      </c>
      <c r="K11168" t="s">
        <v>307</v>
      </c>
      <c r="L11168" t="s">
        <v>102</v>
      </c>
      <c r="M11168" t="s">
        <v>75</v>
      </c>
      <c r="R11168" t="s">
        <v>3039</v>
      </c>
      <c r="S11168" t="s">
        <v>3040</v>
      </c>
      <c r="T11168" t="s">
        <v>87</v>
      </c>
      <c r="U11168" t="s">
        <v>77</v>
      </c>
      <c r="V11168" t="str">
        <f>"112355660"</f>
        <v>112355660</v>
      </c>
      <c r="AC11168" t="s">
        <v>79</v>
      </c>
      <c r="AD11168" t="s">
        <v>75</v>
      </c>
      <c r="AE11168" t="s">
        <v>103</v>
      </c>
      <c r="AG11168" t="s">
        <v>81</v>
      </c>
    </row>
    <row r="11169" spans="1:33" x14ac:dyDescent="0.25">
      <c r="A11169" t="str">
        <f>"1265542765"</f>
        <v>1265542765</v>
      </c>
      <c r="B11169" t="str">
        <f>"02661778"</f>
        <v>02661778</v>
      </c>
      <c r="C11169" t="s">
        <v>2894</v>
      </c>
      <c r="D11169" t="s">
        <v>2893</v>
      </c>
      <c r="E11169" t="s">
        <v>2894</v>
      </c>
      <c r="G11169" t="s">
        <v>5151</v>
      </c>
      <c r="H11169" t="s">
        <v>44997</v>
      </c>
      <c r="I11169">
        <v>202</v>
      </c>
      <c r="J11169" t="s">
        <v>5152</v>
      </c>
      <c r="L11169" t="s">
        <v>37</v>
      </c>
      <c r="M11169" t="s">
        <v>75</v>
      </c>
      <c r="R11169" t="s">
        <v>2895</v>
      </c>
      <c r="W11169" t="s">
        <v>2894</v>
      </c>
      <c r="X11169" t="s">
        <v>2896</v>
      </c>
      <c r="Y11169" t="s">
        <v>131</v>
      </c>
      <c r="Z11169" t="s">
        <v>77</v>
      </c>
      <c r="AA11169" t="str">
        <f>"10473-1102"</f>
        <v>10473-1102</v>
      </c>
      <c r="AB11169" t="s">
        <v>154</v>
      </c>
      <c r="AC11169" t="s">
        <v>79</v>
      </c>
      <c r="AD11169" t="s">
        <v>75</v>
      </c>
      <c r="AE11169" t="s">
        <v>80</v>
      </c>
      <c r="AG11169" t="s">
        <v>81</v>
      </c>
    </row>
    <row r="11170" spans="1:33" x14ac:dyDescent="0.25">
      <c r="A11170" t="str">
        <f>"1841607298"</f>
        <v>1841607298</v>
      </c>
      <c r="B11170" t="str">
        <f>"04003843"</f>
        <v>04003843</v>
      </c>
      <c r="C11170" t="s">
        <v>44998</v>
      </c>
      <c r="D11170" t="s">
        <v>44999</v>
      </c>
      <c r="E11170" t="s">
        <v>45000</v>
      </c>
      <c r="G11170" t="s">
        <v>447</v>
      </c>
      <c r="H11170" t="s">
        <v>448</v>
      </c>
      <c r="J11170" t="s">
        <v>636</v>
      </c>
      <c r="L11170" t="s">
        <v>37</v>
      </c>
      <c r="M11170" t="s">
        <v>75</v>
      </c>
      <c r="R11170" t="s">
        <v>45001</v>
      </c>
      <c r="W11170" t="s">
        <v>44998</v>
      </c>
      <c r="X11170" t="s">
        <v>3432</v>
      </c>
      <c r="Y11170" t="s">
        <v>131</v>
      </c>
      <c r="Z11170" t="s">
        <v>77</v>
      </c>
      <c r="AA11170" t="str">
        <f>"10452-1503"</f>
        <v>10452-1503</v>
      </c>
      <c r="AB11170" t="s">
        <v>127</v>
      </c>
      <c r="AC11170" t="s">
        <v>79</v>
      </c>
      <c r="AD11170" t="s">
        <v>75</v>
      </c>
      <c r="AE11170" t="s">
        <v>80</v>
      </c>
      <c r="AG11170" t="s">
        <v>81</v>
      </c>
    </row>
    <row r="11171" spans="1:33" x14ac:dyDescent="0.25">
      <c r="B11171" t="str">
        <f>"02118569"</f>
        <v>02118569</v>
      </c>
      <c r="C11171" t="s">
        <v>45002</v>
      </c>
      <c r="D11171" t="s">
        <v>45003</v>
      </c>
      <c r="E11171" t="s">
        <v>45004</v>
      </c>
      <c r="G11171" t="s">
        <v>45005</v>
      </c>
      <c r="H11171" t="s">
        <v>45006</v>
      </c>
      <c r="I11171">
        <v>206</v>
      </c>
      <c r="J11171" t="s">
        <v>45007</v>
      </c>
      <c r="L11171" t="s">
        <v>37</v>
      </c>
      <c r="M11171" t="s">
        <v>75</v>
      </c>
      <c r="W11171" t="s">
        <v>45002</v>
      </c>
      <c r="X11171" t="s">
        <v>45008</v>
      </c>
      <c r="Y11171" t="s">
        <v>283</v>
      </c>
      <c r="Z11171" t="s">
        <v>77</v>
      </c>
      <c r="AA11171" t="str">
        <f>"11418-1748"</f>
        <v>11418-1748</v>
      </c>
      <c r="AB11171" t="s">
        <v>98</v>
      </c>
      <c r="AC11171" t="s">
        <v>79</v>
      </c>
      <c r="AD11171" t="s">
        <v>75</v>
      </c>
      <c r="AE11171" t="s">
        <v>80</v>
      </c>
      <c r="AG11171" t="s">
        <v>81</v>
      </c>
    </row>
    <row r="11172" spans="1:33" x14ac:dyDescent="0.25">
      <c r="A11172" t="str">
        <f>"1528059805"</f>
        <v>1528059805</v>
      </c>
      <c r="B11172" t="str">
        <f>"02996041"</f>
        <v>02996041</v>
      </c>
      <c r="C11172" t="s">
        <v>1274</v>
      </c>
      <c r="D11172" t="s">
        <v>1270</v>
      </c>
      <c r="E11172" t="s">
        <v>1271</v>
      </c>
      <c r="G11172" t="s">
        <v>45009</v>
      </c>
      <c r="H11172" t="s">
        <v>45010</v>
      </c>
      <c r="J11172" t="s">
        <v>45011</v>
      </c>
      <c r="L11172" t="s">
        <v>1272</v>
      </c>
      <c r="M11172" t="s">
        <v>85</v>
      </c>
      <c r="R11172" t="s">
        <v>1273</v>
      </c>
      <c r="W11172" t="s">
        <v>1274</v>
      </c>
      <c r="X11172" t="s">
        <v>1275</v>
      </c>
      <c r="Y11172" t="s">
        <v>131</v>
      </c>
      <c r="Z11172" t="s">
        <v>77</v>
      </c>
      <c r="AA11172" t="str">
        <f>"10455-1307"</f>
        <v>10455-1307</v>
      </c>
      <c r="AB11172" t="s">
        <v>93</v>
      </c>
      <c r="AC11172" t="s">
        <v>79</v>
      </c>
      <c r="AD11172" t="s">
        <v>75</v>
      </c>
      <c r="AE11172" t="s">
        <v>80</v>
      </c>
      <c r="AG11172" t="s">
        <v>81</v>
      </c>
    </row>
    <row r="11173" spans="1:33" x14ac:dyDescent="0.25">
      <c r="C11173" t="s">
        <v>45012</v>
      </c>
      <c r="G11173" t="s">
        <v>5866</v>
      </c>
      <c r="H11173" t="s">
        <v>5867</v>
      </c>
      <c r="J11173" t="s">
        <v>5868</v>
      </c>
      <c r="K11173" t="s">
        <v>111</v>
      </c>
      <c r="L11173" t="s">
        <v>100</v>
      </c>
      <c r="M11173" t="s">
        <v>75</v>
      </c>
      <c r="N11173" t="s">
        <v>45013</v>
      </c>
      <c r="O11173" t="s">
        <v>167</v>
      </c>
      <c r="P11173" t="s">
        <v>77</v>
      </c>
      <c r="Q11173" t="str">
        <f>"10004"</f>
        <v>10004</v>
      </c>
      <c r="AC11173" t="s">
        <v>79</v>
      </c>
      <c r="AD11173" t="s">
        <v>75</v>
      </c>
      <c r="AE11173" t="s">
        <v>101</v>
      </c>
      <c r="AG11173" t="s">
        <v>81</v>
      </c>
    </row>
    <row r="11174" spans="1:33" x14ac:dyDescent="0.25">
      <c r="C11174" t="s">
        <v>45014</v>
      </c>
      <c r="G11174" t="s">
        <v>45015</v>
      </c>
      <c r="H11174" t="s">
        <v>45016</v>
      </c>
      <c r="J11174" t="s">
        <v>45017</v>
      </c>
      <c r="K11174" t="s">
        <v>2631</v>
      </c>
      <c r="L11174" t="s">
        <v>100</v>
      </c>
      <c r="M11174" t="s">
        <v>75</v>
      </c>
      <c r="N11174" t="s">
        <v>45018</v>
      </c>
      <c r="O11174" t="s">
        <v>4716</v>
      </c>
      <c r="P11174" t="s">
        <v>77</v>
      </c>
      <c r="Q11174" t="str">
        <f>"10552"</f>
        <v>10552</v>
      </c>
      <c r="AC11174" t="s">
        <v>79</v>
      </c>
      <c r="AD11174" t="s">
        <v>75</v>
      </c>
      <c r="AE11174" t="s">
        <v>101</v>
      </c>
      <c r="AG11174" t="s">
        <v>81</v>
      </c>
    </row>
    <row r="11175" spans="1:33" x14ac:dyDescent="0.25">
      <c r="C11175" t="s">
        <v>4434</v>
      </c>
      <c r="G11175" t="s">
        <v>45019</v>
      </c>
      <c r="H11175" t="s">
        <v>4437</v>
      </c>
      <c r="J11175" t="s">
        <v>45020</v>
      </c>
      <c r="K11175" t="s">
        <v>111</v>
      </c>
      <c r="L11175" t="s">
        <v>100</v>
      </c>
      <c r="M11175" t="s">
        <v>75</v>
      </c>
      <c r="N11175" t="s">
        <v>45021</v>
      </c>
      <c r="O11175" t="s">
        <v>45022</v>
      </c>
      <c r="P11175" t="s">
        <v>77</v>
      </c>
      <c r="Q11175" t="str">
        <f>"11542"</f>
        <v>11542</v>
      </c>
      <c r="AC11175" t="s">
        <v>79</v>
      </c>
      <c r="AD11175" t="s">
        <v>75</v>
      </c>
      <c r="AE11175" t="s">
        <v>101</v>
      </c>
      <c r="AG11175" t="s">
        <v>81</v>
      </c>
    </row>
    <row r="11176" spans="1:33" x14ac:dyDescent="0.25">
      <c r="C11176" t="s">
        <v>45023</v>
      </c>
      <c r="G11176" t="s">
        <v>45024</v>
      </c>
      <c r="H11176" t="s">
        <v>45025</v>
      </c>
      <c r="J11176" t="s">
        <v>45026</v>
      </c>
      <c r="K11176" t="s">
        <v>4648</v>
      </c>
      <c r="L11176" t="s">
        <v>100</v>
      </c>
      <c r="M11176" t="s">
        <v>75</v>
      </c>
      <c r="N11176" t="s">
        <v>45027</v>
      </c>
      <c r="O11176" t="s">
        <v>167</v>
      </c>
      <c r="P11176" t="s">
        <v>77</v>
      </c>
      <c r="Q11176" t="str">
        <f>"10035"</f>
        <v>10035</v>
      </c>
      <c r="AC11176" t="s">
        <v>79</v>
      </c>
      <c r="AD11176" t="s">
        <v>75</v>
      </c>
      <c r="AE11176" t="s">
        <v>101</v>
      </c>
      <c r="AG11176" t="s">
        <v>81</v>
      </c>
    </row>
    <row r="11177" spans="1:33" x14ac:dyDescent="0.25">
      <c r="C11177" t="s">
        <v>45028</v>
      </c>
      <c r="G11177" t="s">
        <v>44973</v>
      </c>
      <c r="H11177" t="s">
        <v>44974</v>
      </c>
      <c r="J11177" t="s">
        <v>44975</v>
      </c>
      <c r="K11177" t="s">
        <v>111</v>
      </c>
      <c r="L11177" t="s">
        <v>100</v>
      </c>
      <c r="M11177" t="s">
        <v>75</v>
      </c>
      <c r="N11177" t="s">
        <v>45029</v>
      </c>
      <c r="O11177" t="s">
        <v>167</v>
      </c>
      <c r="P11177" t="s">
        <v>77</v>
      </c>
      <c r="Q11177" t="str">
        <f>"10016"</f>
        <v>10016</v>
      </c>
      <c r="AC11177" t="s">
        <v>79</v>
      </c>
      <c r="AD11177" t="s">
        <v>75</v>
      </c>
      <c r="AE11177" t="s">
        <v>101</v>
      </c>
      <c r="AG11177" t="s">
        <v>81</v>
      </c>
    </row>
    <row r="11178" spans="1:33" x14ac:dyDescent="0.25">
      <c r="A11178" t="str">
        <f>"1528232758"</f>
        <v>1528232758</v>
      </c>
      <c r="B11178" t="str">
        <f>"02190352"</f>
        <v>02190352</v>
      </c>
      <c r="C11178" t="s">
        <v>4719</v>
      </c>
      <c r="D11178" t="s">
        <v>4717</v>
      </c>
      <c r="E11178" t="s">
        <v>4718</v>
      </c>
      <c r="G11178" t="s">
        <v>4714</v>
      </c>
      <c r="H11178" t="s">
        <v>4715</v>
      </c>
      <c r="J11178" t="s">
        <v>5280</v>
      </c>
      <c r="L11178" t="s">
        <v>37</v>
      </c>
      <c r="M11178" t="s">
        <v>75</v>
      </c>
      <c r="R11178" t="s">
        <v>4719</v>
      </c>
      <c r="W11178" t="s">
        <v>4718</v>
      </c>
      <c r="X11178" t="s">
        <v>4720</v>
      </c>
      <c r="Y11178" t="s">
        <v>419</v>
      </c>
      <c r="Z11178" t="s">
        <v>77</v>
      </c>
      <c r="AA11178" t="str">
        <f>"10522-2835"</f>
        <v>10522-2835</v>
      </c>
      <c r="AB11178" t="s">
        <v>107</v>
      </c>
      <c r="AC11178" t="s">
        <v>79</v>
      </c>
      <c r="AD11178" t="s">
        <v>75</v>
      </c>
      <c r="AE11178" t="s">
        <v>80</v>
      </c>
      <c r="AG11178" t="s">
        <v>81</v>
      </c>
    </row>
    <row r="11179" spans="1:33" x14ac:dyDescent="0.25">
      <c r="A11179" t="str">
        <f>"1427198209"</f>
        <v>1427198209</v>
      </c>
      <c r="B11179" t="str">
        <f>"01303584"</f>
        <v>01303584</v>
      </c>
      <c r="C11179" t="s">
        <v>3182</v>
      </c>
      <c r="D11179" t="s">
        <v>3179</v>
      </c>
      <c r="E11179" t="s">
        <v>3180</v>
      </c>
      <c r="G11179" t="s">
        <v>45030</v>
      </c>
      <c r="H11179" t="s">
        <v>1307</v>
      </c>
      <c r="J11179" t="s">
        <v>1308</v>
      </c>
      <c r="L11179" t="s">
        <v>10</v>
      </c>
      <c r="M11179" t="s">
        <v>85</v>
      </c>
      <c r="R11179" t="s">
        <v>3181</v>
      </c>
      <c r="W11179" t="s">
        <v>3182</v>
      </c>
      <c r="X11179" t="s">
        <v>3183</v>
      </c>
      <c r="Y11179" t="s">
        <v>2677</v>
      </c>
      <c r="Z11179" t="s">
        <v>77</v>
      </c>
      <c r="AA11179" t="str">
        <f>"11763-2555"</f>
        <v>11763-2555</v>
      </c>
      <c r="AB11179" t="s">
        <v>98</v>
      </c>
      <c r="AC11179" t="s">
        <v>79</v>
      </c>
      <c r="AD11179" t="s">
        <v>75</v>
      </c>
      <c r="AE11179" t="s">
        <v>80</v>
      </c>
      <c r="AG11179" t="s">
        <v>81</v>
      </c>
    </row>
    <row r="11180" spans="1:33" x14ac:dyDescent="0.25">
      <c r="A11180" t="str">
        <f>"1043340474"</f>
        <v>1043340474</v>
      </c>
      <c r="B11180" t="str">
        <f>"01449994"</f>
        <v>01449994</v>
      </c>
      <c r="C11180" t="s">
        <v>3065</v>
      </c>
      <c r="D11180" t="s">
        <v>45031</v>
      </c>
      <c r="E11180" t="s">
        <v>45032</v>
      </c>
      <c r="G11180" t="s">
        <v>45033</v>
      </c>
      <c r="H11180" t="s">
        <v>45034</v>
      </c>
      <c r="J11180" t="s">
        <v>45035</v>
      </c>
      <c r="L11180" t="s">
        <v>35</v>
      </c>
      <c r="M11180" t="s">
        <v>85</v>
      </c>
      <c r="R11180" t="s">
        <v>3065</v>
      </c>
      <c r="W11180" t="s">
        <v>45032</v>
      </c>
      <c r="X11180" t="s">
        <v>45036</v>
      </c>
      <c r="Y11180" t="s">
        <v>97</v>
      </c>
      <c r="Z11180" t="s">
        <v>77</v>
      </c>
      <c r="AA11180" t="str">
        <f>"10016-0113"</f>
        <v>10016-0113</v>
      </c>
      <c r="AB11180" t="s">
        <v>98</v>
      </c>
      <c r="AC11180" t="s">
        <v>79</v>
      </c>
      <c r="AD11180" t="s">
        <v>75</v>
      </c>
      <c r="AE11180" t="s">
        <v>80</v>
      </c>
      <c r="AG11180" t="s">
        <v>81</v>
      </c>
    </row>
    <row r="11181" spans="1:33" x14ac:dyDescent="0.25">
      <c r="C11181" t="s">
        <v>45037</v>
      </c>
      <c r="G11181" t="s">
        <v>45038</v>
      </c>
      <c r="H11181" t="s">
        <v>45039</v>
      </c>
      <c r="J11181" t="s">
        <v>45040</v>
      </c>
      <c r="K11181" t="s">
        <v>99</v>
      </c>
      <c r="L11181" t="s">
        <v>100</v>
      </c>
      <c r="M11181" t="s">
        <v>75</v>
      </c>
      <c r="AC11181" t="s">
        <v>79</v>
      </c>
      <c r="AD11181" t="s">
        <v>75</v>
      </c>
      <c r="AE11181" t="s">
        <v>101</v>
      </c>
      <c r="AG11181" t="s">
        <v>81</v>
      </c>
    </row>
    <row r="11182" spans="1:33" x14ac:dyDescent="0.25">
      <c r="C11182" t="s">
        <v>45041</v>
      </c>
      <c r="G11182" t="s">
        <v>45042</v>
      </c>
      <c r="H11182" t="s">
        <v>45043</v>
      </c>
      <c r="J11182" t="s">
        <v>45044</v>
      </c>
      <c r="K11182" t="s">
        <v>99</v>
      </c>
      <c r="L11182" t="s">
        <v>100</v>
      </c>
      <c r="M11182" t="s">
        <v>75</v>
      </c>
      <c r="AC11182" t="s">
        <v>79</v>
      </c>
      <c r="AD11182" t="s">
        <v>75</v>
      </c>
      <c r="AE11182" t="s">
        <v>101</v>
      </c>
      <c r="AG11182" t="s">
        <v>81</v>
      </c>
    </row>
    <row r="11183" spans="1:33" x14ac:dyDescent="0.25">
      <c r="A11183" t="str">
        <f>"1275963720"</f>
        <v>1275963720</v>
      </c>
      <c r="B11183" t="str">
        <f>"04045525"</f>
        <v>04045525</v>
      </c>
      <c r="C11183" t="s">
        <v>45045</v>
      </c>
      <c r="D11183" t="s">
        <v>45046</v>
      </c>
      <c r="E11183" t="s">
        <v>45047</v>
      </c>
      <c r="G11183" t="s">
        <v>45048</v>
      </c>
      <c r="H11183" t="s">
        <v>45049</v>
      </c>
      <c r="I11183">
        <v>124</v>
      </c>
      <c r="J11183" t="s">
        <v>45050</v>
      </c>
      <c r="L11183" t="s">
        <v>10</v>
      </c>
      <c r="M11183" t="s">
        <v>75</v>
      </c>
      <c r="R11183" t="s">
        <v>45051</v>
      </c>
      <c r="W11183" t="s">
        <v>45047</v>
      </c>
      <c r="X11183" t="s">
        <v>45052</v>
      </c>
      <c r="Y11183" t="s">
        <v>87</v>
      </c>
      <c r="Z11183" t="s">
        <v>77</v>
      </c>
      <c r="AA11183" t="str">
        <f>"11216-2014"</f>
        <v>11216-2014</v>
      </c>
      <c r="AB11183" t="s">
        <v>122</v>
      </c>
      <c r="AC11183" t="s">
        <v>79</v>
      </c>
      <c r="AD11183" t="s">
        <v>75</v>
      </c>
      <c r="AE11183" t="s">
        <v>80</v>
      </c>
      <c r="AG11183" t="s">
        <v>81</v>
      </c>
    </row>
    <row r="11184" spans="1:33" x14ac:dyDescent="0.25">
      <c r="A11184" t="str">
        <f>"1366559551"</f>
        <v>1366559551</v>
      </c>
      <c r="B11184" t="str">
        <f>"02144498"</f>
        <v>02144498</v>
      </c>
      <c r="C11184" t="s">
        <v>45053</v>
      </c>
      <c r="D11184" t="s">
        <v>45054</v>
      </c>
      <c r="E11184" t="s">
        <v>45055</v>
      </c>
      <c r="G11184" t="s">
        <v>45056</v>
      </c>
      <c r="H11184" t="s">
        <v>45057</v>
      </c>
      <c r="J11184" t="s">
        <v>45058</v>
      </c>
      <c r="L11184" t="s">
        <v>16</v>
      </c>
      <c r="M11184" t="s">
        <v>85</v>
      </c>
      <c r="R11184" t="s">
        <v>45059</v>
      </c>
      <c r="W11184" t="s">
        <v>45055</v>
      </c>
      <c r="X11184" t="s">
        <v>45060</v>
      </c>
      <c r="Y11184" t="s">
        <v>97</v>
      </c>
      <c r="Z11184" t="s">
        <v>77</v>
      </c>
      <c r="AA11184" t="str">
        <f>"10032"</f>
        <v>10032</v>
      </c>
      <c r="AB11184" t="s">
        <v>132</v>
      </c>
      <c r="AC11184" t="s">
        <v>79</v>
      </c>
      <c r="AD11184" t="s">
        <v>75</v>
      </c>
      <c r="AE11184" t="s">
        <v>80</v>
      </c>
      <c r="AG11184" t="s">
        <v>81</v>
      </c>
    </row>
    <row r="11185" spans="1:33" x14ac:dyDescent="0.25">
      <c r="A11185" t="str">
        <f>"1275516213"</f>
        <v>1275516213</v>
      </c>
      <c r="B11185" t="str">
        <f>"00244651"</f>
        <v>00244651</v>
      </c>
      <c r="C11185" t="s">
        <v>45061</v>
      </c>
      <c r="D11185" t="s">
        <v>45062</v>
      </c>
      <c r="E11185" t="s">
        <v>45063</v>
      </c>
      <c r="G11185" t="s">
        <v>45064</v>
      </c>
      <c r="H11185" t="s">
        <v>45065</v>
      </c>
      <c r="J11185" t="s">
        <v>45066</v>
      </c>
      <c r="L11185" t="s">
        <v>144</v>
      </c>
      <c r="M11185" t="s">
        <v>85</v>
      </c>
      <c r="R11185" t="s">
        <v>45067</v>
      </c>
      <c r="W11185" t="s">
        <v>45063</v>
      </c>
      <c r="X11185" t="s">
        <v>45068</v>
      </c>
      <c r="Y11185" t="s">
        <v>87</v>
      </c>
      <c r="Z11185" t="s">
        <v>77</v>
      </c>
      <c r="AA11185" t="str">
        <f>"11217-2812"</f>
        <v>11217-2812</v>
      </c>
      <c r="AB11185" t="s">
        <v>122</v>
      </c>
      <c r="AC11185" t="s">
        <v>79</v>
      </c>
      <c r="AD11185" t="s">
        <v>75</v>
      </c>
      <c r="AE11185" t="s">
        <v>80</v>
      </c>
      <c r="AG11185" t="s">
        <v>81</v>
      </c>
    </row>
    <row r="11186" spans="1:33" x14ac:dyDescent="0.25">
      <c r="A11186" t="str">
        <f>"1508069360"</f>
        <v>1508069360</v>
      </c>
      <c r="B11186" t="str">
        <f>"00310090"</f>
        <v>00310090</v>
      </c>
      <c r="C11186" t="s">
        <v>45069</v>
      </c>
      <c r="D11186" t="s">
        <v>1462</v>
      </c>
      <c r="E11186" t="s">
        <v>1463</v>
      </c>
      <c r="G11186" t="s">
        <v>45070</v>
      </c>
      <c r="H11186" t="s">
        <v>1464</v>
      </c>
      <c r="I11186">
        <v>102</v>
      </c>
      <c r="J11186" t="s">
        <v>45071</v>
      </c>
      <c r="L11186" t="s">
        <v>106</v>
      </c>
      <c r="M11186" t="s">
        <v>85</v>
      </c>
      <c r="R11186" t="s">
        <v>1461</v>
      </c>
      <c r="W11186" t="s">
        <v>1465</v>
      </c>
      <c r="X11186" t="s">
        <v>322</v>
      </c>
      <c r="Y11186" t="s">
        <v>139</v>
      </c>
      <c r="Z11186" t="s">
        <v>77</v>
      </c>
      <c r="AA11186" t="str">
        <f>"11354-1022"</f>
        <v>11354-1022</v>
      </c>
      <c r="AB11186" t="s">
        <v>107</v>
      </c>
      <c r="AC11186" t="s">
        <v>79</v>
      </c>
      <c r="AD11186" t="s">
        <v>75</v>
      </c>
      <c r="AE11186" t="s">
        <v>80</v>
      </c>
      <c r="AG11186" t="s">
        <v>81</v>
      </c>
    </row>
    <row r="11187" spans="1:33" x14ac:dyDescent="0.25">
      <c r="A11187" t="str">
        <f>"1447671649"</f>
        <v>1447671649</v>
      </c>
      <c r="C11187" t="s">
        <v>45072</v>
      </c>
      <c r="G11187" t="s">
        <v>45073</v>
      </c>
      <c r="H11187" t="s">
        <v>45074</v>
      </c>
      <c r="J11187" t="s">
        <v>45075</v>
      </c>
      <c r="K11187" t="s">
        <v>99</v>
      </c>
      <c r="L11187" t="s">
        <v>102</v>
      </c>
      <c r="M11187" t="s">
        <v>75</v>
      </c>
      <c r="R11187" t="s">
        <v>45076</v>
      </c>
      <c r="S11187" t="s">
        <v>45077</v>
      </c>
      <c r="T11187" t="s">
        <v>155</v>
      </c>
      <c r="U11187" t="s">
        <v>77</v>
      </c>
      <c r="V11187" t="str">
        <f>"103021903"</f>
        <v>103021903</v>
      </c>
      <c r="AC11187" t="s">
        <v>79</v>
      </c>
      <c r="AD11187" t="s">
        <v>75</v>
      </c>
      <c r="AE11187" t="s">
        <v>103</v>
      </c>
      <c r="AG11187" t="s">
        <v>81</v>
      </c>
    </row>
    <row r="11188" spans="1:33" x14ac:dyDescent="0.25">
      <c r="A11188" t="str">
        <f>"1457614265"</f>
        <v>1457614265</v>
      </c>
      <c r="B11188" t="str">
        <f>"03543313"</f>
        <v>03543313</v>
      </c>
      <c r="C11188" t="s">
        <v>45078</v>
      </c>
      <c r="D11188" t="s">
        <v>45079</v>
      </c>
      <c r="E11188" t="s">
        <v>45080</v>
      </c>
      <c r="G11188" t="s">
        <v>45081</v>
      </c>
      <c r="H11188" t="s">
        <v>45082</v>
      </c>
      <c r="J11188" t="s">
        <v>45083</v>
      </c>
      <c r="L11188" t="s">
        <v>37</v>
      </c>
      <c r="M11188" t="s">
        <v>75</v>
      </c>
      <c r="R11188" t="s">
        <v>45080</v>
      </c>
      <c r="W11188" t="s">
        <v>45080</v>
      </c>
      <c r="X11188" t="s">
        <v>45084</v>
      </c>
      <c r="Y11188" t="s">
        <v>97</v>
      </c>
      <c r="Z11188" t="s">
        <v>77</v>
      </c>
      <c r="AA11188" t="str">
        <f>"10011-7360"</f>
        <v>10011-7360</v>
      </c>
      <c r="AB11188" t="s">
        <v>127</v>
      </c>
      <c r="AC11188" t="s">
        <v>79</v>
      </c>
      <c r="AD11188" t="s">
        <v>75</v>
      </c>
      <c r="AE11188" t="s">
        <v>80</v>
      </c>
      <c r="AG11188" t="s">
        <v>81</v>
      </c>
    </row>
    <row r="11189" spans="1:33" x14ac:dyDescent="0.25">
      <c r="A11189" t="str">
        <f>"1124410733"</f>
        <v>1124410733</v>
      </c>
      <c r="B11189" t="str">
        <f>"04210720"</f>
        <v>04210720</v>
      </c>
      <c r="C11189" t="s">
        <v>45085</v>
      </c>
      <c r="D11189" t="s">
        <v>3614</v>
      </c>
      <c r="E11189" t="s">
        <v>3615</v>
      </c>
      <c r="G11189" t="s">
        <v>45086</v>
      </c>
      <c r="H11189" t="s">
        <v>45087</v>
      </c>
      <c r="J11189" t="s">
        <v>45088</v>
      </c>
      <c r="L11189" t="s">
        <v>15</v>
      </c>
      <c r="M11189" t="s">
        <v>75</v>
      </c>
      <c r="R11189" t="s">
        <v>3615</v>
      </c>
      <c r="W11189" t="s">
        <v>3615</v>
      </c>
      <c r="X11189" t="s">
        <v>3616</v>
      </c>
      <c r="Y11189" t="s">
        <v>131</v>
      </c>
      <c r="Z11189" t="s">
        <v>77</v>
      </c>
      <c r="AA11189" t="str">
        <f>"10452-4050"</f>
        <v>10452-4050</v>
      </c>
      <c r="AB11189" t="s">
        <v>107</v>
      </c>
      <c r="AC11189" t="s">
        <v>79</v>
      </c>
      <c r="AD11189" t="s">
        <v>75</v>
      </c>
      <c r="AE11189" t="s">
        <v>80</v>
      </c>
      <c r="AG11189" t="s">
        <v>81</v>
      </c>
    </row>
    <row r="11190" spans="1:33" x14ac:dyDescent="0.25">
      <c r="A11190" t="str">
        <f>"1528149341"</f>
        <v>1528149341</v>
      </c>
      <c r="B11190" t="str">
        <f>"02267045"</f>
        <v>02267045</v>
      </c>
      <c r="C11190" t="s">
        <v>45089</v>
      </c>
      <c r="D11190" t="s">
        <v>45090</v>
      </c>
      <c r="E11190" t="s">
        <v>45091</v>
      </c>
      <c r="G11190" t="s">
        <v>45092</v>
      </c>
      <c r="H11190" t="s">
        <v>45093</v>
      </c>
      <c r="J11190" t="s">
        <v>45094</v>
      </c>
      <c r="L11190" t="s">
        <v>119</v>
      </c>
      <c r="M11190" t="s">
        <v>85</v>
      </c>
      <c r="R11190" t="s">
        <v>45095</v>
      </c>
      <c r="W11190" t="s">
        <v>45096</v>
      </c>
      <c r="X11190" t="s">
        <v>45097</v>
      </c>
      <c r="Y11190" t="s">
        <v>87</v>
      </c>
      <c r="Z11190" t="s">
        <v>77</v>
      </c>
      <c r="AA11190" t="str">
        <f>"11217-2407"</f>
        <v>11217-2407</v>
      </c>
      <c r="AB11190" t="s">
        <v>122</v>
      </c>
      <c r="AC11190" t="s">
        <v>79</v>
      </c>
      <c r="AD11190" t="s">
        <v>75</v>
      </c>
      <c r="AE11190" t="s">
        <v>80</v>
      </c>
      <c r="AG11190" t="s">
        <v>81</v>
      </c>
    </row>
    <row r="11191" spans="1:33" x14ac:dyDescent="0.25">
      <c r="A11191" t="str">
        <f>"1255719928"</f>
        <v>1255719928</v>
      </c>
      <c r="C11191" t="s">
        <v>45098</v>
      </c>
      <c r="G11191" t="s">
        <v>45099</v>
      </c>
      <c r="H11191" t="s">
        <v>486</v>
      </c>
      <c r="J11191" t="s">
        <v>45100</v>
      </c>
      <c r="K11191" t="s">
        <v>99</v>
      </c>
      <c r="L11191" t="s">
        <v>102</v>
      </c>
      <c r="M11191" t="s">
        <v>75</v>
      </c>
      <c r="R11191" t="s">
        <v>485</v>
      </c>
      <c r="S11191" t="s">
        <v>45101</v>
      </c>
      <c r="T11191" t="s">
        <v>171</v>
      </c>
      <c r="U11191" t="s">
        <v>77</v>
      </c>
      <c r="V11191" t="str">
        <f>"114323320"</f>
        <v>114323320</v>
      </c>
      <c r="AC11191" t="s">
        <v>79</v>
      </c>
      <c r="AD11191" t="s">
        <v>75</v>
      </c>
      <c r="AE11191" t="s">
        <v>103</v>
      </c>
      <c r="AG11191" t="s">
        <v>81</v>
      </c>
    </row>
    <row r="11192" spans="1:33" x14ac:dyDescent="0.25">
      <c r="A11192" t="str">
        <f>"1932227790"</f>
        <v>1932227790</v>
      </c>
      <c r="C11192" t="s">
        <v>45102</v>
      </c>
      <c r="G11192" t="s">
        <v>4429</v>
      </c>
      <c r="H11192" t="s">
        <v>4430</v>
      </c>
      <c r="J11192" t="s">
        <v>45103</v>
      </c>
      <c r="K11192" t="s">
        <v>99</v>
      </c>
      <c r="L11192" t="s">
        <v>102</v>
      </c>
      <c r="M11192" t="s">
        <v>75</v>
      </c>
      <c r="R11192" t="s">
        <v>728</v>
      </c>
      <c r="S11192" t="s">
        <v>729</v>
      </c>
      <c r="T11192" t="s">
        <v>131</v>
      </c>
      <c r="U11192" t="s">
        <v>77</v>
      </c>
      <c r="V11192" t="str">
        <f>"104612720"</f>
        <v>104612720</v>
      </c>
      <c r="AC11192" t="s">
        <v>79</v>
      </c>
      <c r="AD11192" t="s">
        <v>75</v>
      </c>
      <c r="AE11192" t="s">
        <v>103</v>
      </c>
      <c r="AG11192" t="s">
        <v>81</v>
      </c>
    </row>
    <row r="11193" spans="1:33" x14ac:dyDescent="0.25">
      <c r="A11193" t="str">
        <f>"1730182254"</f>
        <v>1730182254</v>
      </c>
      <c r="B11193" t="str">
        <f>"00309682"</f>
        <v>00309682</v>
      </c>
      <c r="C11193" t="s">
        <v>45104</v>
      </c>
      <c r="D11193" t="s">
        <v>547</v>
      </c>
      <c r="E11193" t="s">
        <v>548</v>
      </c>
      <c r="G11193" t="s">
        <v>4429</v>
      </c>
      <c r="H11193" t="s">
        <v>4430</v>
      </c>
      <c r="J11193" t="s">
        <v>45103</v>
      </c>
      <c r="L11193" t="s">
        <v>106</v>
      </c>
      <c r="M11193" t="s">
        <v>85</v>
      </c>
      <c r="R11193" t="s">
        <v>549</v>
      </c>
      <c r="W11193" t="s">
        <v>550</v>
      </c>
      <c r="X11193" t="s">
        <v>551</v>
      </c>
      <c r="Y11193" t="s">
        <v>171</v>
      </c>
      <c r="Z11193" t="s">
        <v>77</v>
      </c>
      <c r="AA11193" t="str">
        <f>"11432-1816"</f>
        <v>11432-1816</v>
      </c>
      <c r="AB11193" t="s">
        <v>107</v>
      </c>
      <c r="AC11193" t="s">
        <v>79</v>
      </c>
      <c r="AD11193" t="s">
        <v>75</v>
      </c>
      <c r="AE11193" t="s">
        <v>80</v>
      </c>
      <c r="AG11193" t="s">
        <v>81</v>
      </c>
    </row>
    <row r="11194" spans="1:33" x14ac:dyDescent="0.25">
      <c r="A11194" t="str">
        <f>"1952334518"</f>
        <v>1952334518</v>
      </c>
      <c r="B11194" t="str">
        <f>"00312987"</f>
        <v>00312987</v>
      </c>
      <c r="C11194" t="s">
        <v>1152</v>
      </c>
      <c r="D11194" t="s">
        <v>1153</v>
      </c>
      <c r="E11194" t="s">
        <v>1154</v>
      </c>
      <c r="G11194" t="s">
        <v>4429</v>
      </c>
      <c r="H11194" t="s">
        <v>4430</v>
      </c>
      <c r="J11194" t="s">
        <v>45103</v>
      </c>
      <c r="L11194" t="s">
        <v>106</v>
      </c>
      <c r="M11194" t="s">
        <v>85</v>
      </c>
      <c r="R11194" t="s">
        <v>1155</v>
      </c>
      <c r="W11194" t="s">
        <v>1154</v>
      </c>
      <c r="X11194" t="s">
        <v>1156</v>
      </c>
      <c r="Y11194" t="s">
        <v>87</v>
      </c>
      <c r="Z11194" t="s">
        <v>77</v>
      </c>
      <c r="AA11194" t="str">
        <f>"11238-4205"</f>
        <v>11238-4205</v>
      </c>
      <c r="AB11194" t="s">
        <v>107</v>
      </c>
      <c r="AC11194" t="s">
        <v>79</v>
      </c>
      <c r="AD11194" t="s">
        <v>75</v>
      </c>
      <c r="AE11194" t="s">
        <v>80</v>
      </c>
      <c r="AG11194" t="s">
        <v>81</v>
      </c>
    </row>
    <row r="11195" spans="1:33" x14ac:dyDescent="0.25">
      <c r="A11195" t="str">
        <f>"1144616632"</f>
        <v>1144616632</v>
      </c>
      <c r="C11195" t="s">
        <v>45105</v>
      </c>
      <c r="G11195" t="s">
        <v>45086</v>
      </c>
      <c r="H11195" t="s">
        <v>45087</v>
      </c>
      <c r="J11195" t="s">
        <v>45088</v>
      </c>
      <c r="K11195" t="s">
        <v>99</v>
      </c>
      <c r="L11195" t="s">
        <v>102</v>
      </c>
      <c r="M11195" t="s">
        <v>75</v>
      </c>
      <c r="R11195" t="s">
        <v>45106</v>
      </c>
      <c r="S11195" t="s">
        <v>1181</v>
      </c>
      <c r="T11195" t="s">
        <v>131</v>
      </c>
      <c r="U11195" t="s">
        <v>77</v>
      </c>
      <c r="V11195" t="str">
        <f>"104564145"</f>
        <v>104564145</v>
      </c>
      <c r="AC11195" t="s">
        <v>79</v>
      </c>
      <c r="AD11195" t="s">
        <v>75</v>
      </c>
      <c r="AE11195" t="s">
        <v>103</v>
      </c>
      <c r="AG11195" t="s">
        <v>81</v>
      </c>
    </row>
    <row r="11196" spans="1:33" x14ac:dyDescent="0.25">
      <c r="A11196" t="str">
        <f>"1700120888"</f>
        <v>1700120888</v>
      </c>
      <c r="C11196" t="s">
        <v>45107</v>
      </c>
      <c r="G11196" t="s">
        <v>45108</v>
      </c>
      <c r="H11196" t="s">
        <v>45109</v>
      </c>
      <c r="J11196" t="s">
        <v>45110</v>
      </c>
      <c r="K11196" t="s">
        <v>99</v>
      </c>
      <c r="L11196" t="s">
        <v>102</v>
      </c>
      <c r="M11196" t="s">
        <v>75</v>
      </c>
      <c r="R11196" t="s">
        <v>45111</v>
      </c>
      <c r="S11196" t="s">
        <v>45112</v>
      </c>
      <c r="T11196" t="s">
        <v>87</v>
      </c>
      <c r="U11196" t="s">
        <v>77</v>
      </c>
      <c r="V11196" t="str">
        <f>"112498620"</f>
        <v>112498620</v>
      </c>
      <c r="AC11196" t="s">
        <v>79</v>
      </c>
      <c r="AD11196" t="s">
        <v>75</v>
      </c>
      <c r="AE11196" t="s">
        <v>103</v>
      </c>
      <c r="AG11196" t="s">
        <v>81</v>
      </c>
    </row>
    <row r="11197" spans="1:33" x14ac:dyDescent="0.25">
      <c r="A11197" t="str">
        <f>"1922173962"</f>
        <v>1922173962</v>
      </c>
      <c r="B11197" t="str">
        <f>"03010455"</f>
        <v>03010455</v>
      </c>
      <c r="C11197" t="s">
        <v>45113</v>
      </c>
      <c r="D11197" t="s">
        <v>45114</v>
      </c>
      <c r="E11197" t="s">
        <v>45115</v>
      </c>
      <c r="G11197" t="s">
        <v>45116</v>
      </c>
      <c r="H11197" t="s">
        <v>11986</v>
      </c>
      <c r="I11197">
        <v>1144</v>
      </c>
      <c r="J11197" t="s">
        <v>11987</v>
      </c>
      <c r="L11197" t="s">
        <v>35</v>
      </c>
      <c r="M11197" t="s">
        <v>85</v>
      </c>
      <c r="R11197" t="s">
        <v>45117</v>
      </c>
      <c r="W11197" t="s">
        <v>45115</v>
      </c>
      <c r="X11197" t="s">
        <v>45118</v>
      </c>
      <c r="Y11197" t="s">
        <v>286</v>
      </c>
      <c r="Z11197" t="s">
        <v>77</v>
      </c>
      <c r="AA11197" t="str">
        <f>"11416-2704"</f>
        <v>11416-2704</v>
      </c>
      <c r="AB11197" t="s">
        <v>98</v>
      </c>
      <c r="AC11197" t="s">
        <v>79</v>
      </c>
      <c r="AD11197" t="s">
        <v>75</v>
      </c>
      <c r="AE11197" t="s">
        <v>80</v>
      </c>
      <c r="AG11197" t="s">
        <v>81</v>
      </c>
    </row>
    <row r="11198" spans="1:33" x14ac:dyDescent="0.25">
      <c r="A11198" t="str">
        <f>"1376598466"</f>
        <v>1376598466</v>
      </c>
      <c r="B11198" t="str">
        <f>"00986310"</f>
        <v>00986310</v>
      </c>
      <c r="C11198" t="s">
        <v>45119</v>
      </c>
      <c r="D11198" t="s">
        <v>45120</v>
      </c>
      <c r="E11198" t="s">
        <v>45121</v>
      </c>
      <c r="G11198" t="s">
        <v>45122</v>
      </c>
      <c r="H11198" t="s">
        <v>45123</v>
      </c>
      <c r="J11198" t="s">
        <v>45124</v>
      </c>
      <c r="L11198" t="s">
        <v>104</v>
      </c>
      <c r="M11198" t="s">
        <v>85</v>
      </c>
      <c r="R11198" t="s">
        <v>45119</v>
      </c>
      <c r="W11198" t="s">
        <v>45125</v>
      </c>
      <c r="X11198" t="s">
        <v>45126</v>
      </c>
      <c r="Y11198" t="s">
        <v>87</v>
      </c>
      <c r="Z11198" t="s">
        <v>77</v>
      </c>
      <c r="AA11198" t="str">
        <f>"11206-5415"</f>
        <v>11206-5415</v>
      </c>
      <c r="AB11198" t="s">
        <v>122</v>
      </c>
      <c r="AC11198" t="s">
        <v>79</v>
      </c>
      <c r="AD11198" t="s">
        <v>75</v>
      </c>
      <c r="AE11198" t="s">
        <v>80</v>
      </c>
      <c r="AG11198" t="s">
        <v>81</v>
      </c>
    </row>
    <row r="11199" spans="1:33" x14ac:dyDescent="0.25">
      <c r="A11199" t="str">
        <f>"1336486745"</f>
        <v>1336486745</v>
      </c>
      <c r="C11199" t="s">
        <v>45127</v>
      </c>
      <c r="G11199" t="s">
        <v>44911</v>
      </c>
      <c r="H11199" t="s">
        <v>45128</v>
      </c>
      <c r="J11199" t="s">
        <v>44913</v>
      </c>
      <c r="K11199" t="s">
        <v>99</v>
      </c>
      <c r="L11199" t="s">
        <v>102</v>
      </c>
      <c r="M11199" t="s">
        <v>75</v>
      </c>
      <c r="R11199" t="s">
        <v>45129</v>
      </c>
      <c r="S11199" t="s">
        <v>45130</v>
      </c>
      <c r="T11199" t="s">
        <v>87</v>
      </c>
      <c r="U11199" t="s">
        <v>77</v>
      </c>
      <c r="V11199" t="str">
        <f>"112261002"</f>
        <v>112261002</v>
      </c>
      <c r="AC11199" t="s">
        <v>79</v>
      </c>
      <c r="AD11199" t="s">
        <v>75</v>
      </c>
      <c r="AE11199" t="s">
        <v>103</v>
      </c>
      <c r="AG11199" t="s">
        <v>81</v>
      </c>
    </row>
    <row r="11200" spans="1:33" x14ac:dyDescent="0.25">
      <c r="A11200" t="str">
        <f>"1417349622"</f>
        <v>1417349622</v>
      </c>
      <c r="B11200" t="str">
        <f>"04280397"</f>
        <v>04280397</v>
      </c>
      <c r="C11200" t="s">
        <v>45131</v>
      </c>
      <c r="D11200" t="s">
        <v>45132</v>
      </c>
      <c r="E11200" t="s">
        <v>45133</v>
      </c>
      <c r="G11200" t="s">
        <v>45134</v>
      </c>
      <c r="H11200" t="s">
        <v>45135</v>
      </c>
      <c r="J11200" t="s">
        <v>45136</v>
      </c>
      <c r="L11200" t="s">
        <v>102</v>
      </c>
      <c r="M11200" t="s">
        <v>75</v>
      </c>
      <c r="R11200" t="s">
        <v>45137</v>
      </c>
      <c r="W11200" t="s">
        <v>45133</v>
      </c>
      <c r="X11200" t="s">
        <v>45138</v>
      </c>
      <c r="Y11200" t="s">
        <v>97</v>
      </c>
      <c r="Z11200" t="s">
        <v>77</v>
      </c>
      <c r="AA11200" t="str">
        <f>"10001-6280"</f>
        <v>10001-6280</v>
      </c>
      <c r="AB11200" t="s">
        <v>98</v>
      </c>
      <c r="AC11200" t="s">
        <v>79</v>
      </c>
      <c r="AD11200" t="s">
        <v>75</v>
      </c>
      <c r="AE11200" t="s">
        <v>80</v>
      </c>
      <c r="AG11200" t="s">
        <v>81</v>
      </c>
    </row>
    <row r="11201" spans="1:33" x14ac:dyDescent="0.25">
      <c r="A11201" t="str">
        <f>"1629383484"</f>
        <v>1629383484</v>
      </c>
      <c r="C11201" t="s">
        <v>45139</v>
      </c>
      <c r="G11201" t="s">
        <v>45140</v>
      </c>
      <c r="H11201" t="s">
        <v>45141</v>
      </c>
      <c r="J11201" t="s">
        <v>45142</v>
      </c>
      <c r="K11201" t="s">
        <v>99</v>
      </c>
      <c r="L11201" t="s">
        <v>102</v>
      </c>
      <c r="M11201" t="s">
        <v>75</v>
      </c>
      <c r="R11201" t="s">
        <v>45143</v>
      </c>
      <c r="S11201" t="s">
        <v>3822</v>
      </c>
      <c r="T11201" t="s">
        <v>179</v>
      </c>
      <c r="U11201" t="s">
        <v>77</v>
      </c>
      <c r="V11201" t="str">
        <f>"115503718"</f>
        <v>115503718</v>
      </c>
      <c r="AC11201" t="s">
        <v>79</v>
      </c>
      <c r="AD11201" t="s">
        <v>75</v>
      </c>
      <c r="AE11201" t="s">
        <v>103</v>
      </c>
      <c r="AG11201" t="s">
        <v>81</v>
      </c>
    </row>
    <row r="11202" spans="1:33" x14ac:dyDescent="0.25">
      <c r="A11202" t="str">
        <f>"1629001102"</f>
        <v>1629001102</v>
      </c>
      <c r="B11202" t="str">
        <f>"02093052"</f>
        <v>02093052</v>
      </c>
      <c r="C11202" t="s">
        <v>45144</v>
      </c>
      <c r="D11202" t="s">
        <v>45145</v>
      </c>
      <c r="E11202" t="s">
        <v>45146</v>
      </c>
      <c r="G11202" t="s">
        <v>45147</v>
      </c>
      <c r="H11202" t="s">
        <v>45148</v>
      </c>
      <c r="J11202" t="s">
        <v>45149</v>
      </c>
      <c r="L11202" t="s">
        <v>115</v>
      </c>
      <c r="M11202" t="s">
        <v>85</v>
      </c>
      <c r="R11202" t="s">
        <v>45150</v>
      </c>
      <c r="W11202" t="s">
        <v>45146</v>
      </c>
      <c r="X11202" t="s">
        <v>3293</v>
      </c>
      <c r="Y11202" t="s">
        <v>152</v>
      </c>
      <c r="Z11202" t="s">
        <v>77</v>
      </c>
      <c r="AA11202" t="str">
        <f>"11375-5553"</f>
        <v>11375-5553</v>
      </c>
      <c r="AB11202" t="s">
        <v>122</v>
      </c>
      <c r="AC11202" t="s">
        <v>79</v>
      </c>
      <c r="AD11202" t="s">
        <v>75</v>
      </c>
      <c r="AE11202" t="s">
        <v>80</v>
      </c>
      <c r="AG11202" t="s">
        <v>81</v>
      </c>
    </row>
    <row r="11203" spans="1:33" x14ac:dyDescent="0.25">
      <c r="A11203" t="str">
        <f>"1457756371"</f>
        <v>1457756371</v>
      </c>
      <c r="B11203" t="str">
        <f>"00337242"</f>
        <v>00337242</v>
      </c>
      <c r="C11203" t="s">
        <v>45151</v>
      </c>
      <c r="D11203" t="s">
        <v>45152</v>
      </c>
      <c r="E11203" t="s">
        <v>45153</v>
      </c>
      <c r="G11203" t="s">
        <v>45154</v>
      </c>
      <c r="H11203" t="s">
        <v>45155</v>
      </c>
      <c r="J11203" t="s">
        <v>45156</v>
      </c>
      <c r="L11203" t="s">
        <v>106</v>
      </c>
      <c r="M11203" t="s">
        <v>85</v>
      </c>
      <c r="R11203" t="s">
        <v>45157</v>
      </c>
      <c r="W11203" t="s">
        <v>45153</v>
      </c>
      <c r="X11203" t="s">
        <v>45158</v>
      </c>
      <c r="Y11203" t="s">
        <v>216</v>
      </c>
      <c r="Z11203" t="s">
        <v>77</v>
      </c>
      <c r="AA11203" t="str">
        <f>"11691-4406"</f>
        <v>11691-4406</v>
      </c>
      <c r="AB11203" t="s">
        <v>96</v>
      </c>
      <c r="AC11203" t="s">
        <v>79</v>
      </c>
      <c r="AD11203" t="s">
        <v>75</v>
      </c>
      <c r="AE11203" t="s">
        <v>80</v>
      </c>
      <c r="AG11203" t="s">
        <v>81</v>
      </c>
    </row>
    <row r="11204" spans="1:33" x14ac:dyDescent="0.25">
      <c r="A11204" t="str">
        <f>"1023226412"</f>
        <v>1023226412</v>
      </c>
      <c r="C11204" t="s">
        <v>45159</v>
      </c>
      <c r="G11204" t="s">
        <v>45160</v>
      </c>
      <c r="H11204" t="s">
        <v>3841</v>
      </c>
      <c r="I11204">
        <v>114</v>
      </c>
      <c r="J11204" t="s">
        <v>45161</v>
      </c>
      <c r="K11204" t="s">
        <v>99</v>
      </c>
      <c r="L11204" t="s">
        <v>102</v>
      </c>
      <c r="M11204" t="s">
        <v>75</v>
      </c>
      <c r="R11204" t="s">
        <v>3842</v>
      </c>
      <c r="S11204" t="s">
        <v>3843</v>
      </c>
      <c r="T11204" t="s">
        <v>97</v>
      </c>
      <c r="U11204" t="s">
        <v>77</v>
      </c>
      <c r="V11204" t="str">
        <f>"10002"</f>
        <v>10002</v>
      </c>
      <c r="AC11204" t="s">
        <v>79</v>
      </c>
      <c r="AD11204" t="s">
        <v>75</v>
      </c>
      <c r="AE11204" t="s">
        <v>103</v>
      </c>
      <c r="AG11204" t="s">
        <v>81</v>
      </c>
    </row>
    <row r="11205" spans="1:33" x14ac:dyDescent="0.25">
      <c r="A11205" t="str">
        <f>"1194832949"</f>
        <v>1194832949</v>
      </c>
      <c r="B11205" t="str">
        <f>"00258948"</f>
        <v>00258948</v>
      </c>
      <c r="C11205" t="s">
        <v>45162</v>
      </c>
      <c r="D11205" t="s">
        <v>45163</v>
      </c>
      <c r="E11205" t="s">
        <v>45164</v>
      </c>
      <c r="G11205" t="s">
        <v>45165</v>
      </c>
      <c r="H11205" t="s">
        <v>45166</v>
      </c>
      <c r="J11205" t="s">
        <v>45167</v>
      </c>
      <c r="L11205" t="s">
        <v>115</v>
      </c>
      <c r="M11205" t="s">
        <v>85</v>
      </c>
      <c r="R11205" t="s">
        <v>45168</v>
      </c>
      <c r="W11205" t="s">
        <v>45164</v>
      </c>
      <c r="X11205" t="s">
        <v>45169</v>
      </c>
      <c r="Y11205" t="s">
        <v>171</v>
      </c>
      <c r="Z11205" t="s">
        <v>77</v>
      </c>
      <c r="AA11205" t="str">
        <f>"11435-4042"</f>
        <v>11435-4042</v>
      </c>
      <c r="AB11205" t="s">
        <v>122</v>
      </c>
      <c r="AC11205" t="s">
        <v>79</v>
      </c>
      <c r="AD11205" t="s">
        <v>75</v>
      </c>
      <c r="AE11205" t="s">
        <v>80</v>
      </c>
      <c r="AG11205" t="s">
        <v>81</v>
      </c>
    </row>
    <row r="11206" spans="1:33" x14ac:dyDescent="0.25">
      <c r="A11206" t="str">
        <f>"1578642054"</f>
        <v>1578642054</v>
      </c>
      <c r="B11206" t="str">
        <f>"01303502"</f>
        <v>01303502</v>
      </c>
      <c r="C11206" t="s">
        <v>45170</v>
      </c>
      <c r="D11206" t="s">
        <v>45171</v>
      </c>
      <c r="E11206" t="s">
        <v>45172</v>
      </c>
      <c r="G11206" t="s">
        <v>45173</v>
      </c>
      <c r="H11206" t="s">
        <v>45174</v>
      </c>
      <c r="I11206">
        <v>307</v>
      </c>
      <c r="J11206" t="s">
        <v>45175</v>
      </c>
      <c r="L11206" t="s">
        <v>10</v>
      </c>
      <c r="M11206" t="s">
        <v>85</v>
      </c>
      <c r="R11206" t="s">
        <v>45176</v>
      </c>
      <c r="W11206" t="s">
        <v>45172</v>
      </c>
      <c r="X11206" t="s">
        <v>45177</v>
      </c>
      <c r="Y11206" t="s">
        <v>97</v>
      </c>
      <c r="Z11206" t="s">
        <v>77</v>
      </c>
      <c r="AA11206" t="str">
        <f>"10036-2304"</f>
        <v>10036-2304</v>
      </c>
      <c r="AB11206" t="s">
        <v>98</v>
      </c>
      <c r="AC11206" t="s">
        <v>79</v>
      </c>
      <c r="AD11206" t="s">
        <v>75</v>
      </c>
      <c r="AE11206" t="s">
        <v>80</v>
      </c>
      <c r="AG11206" t="s">
        <v>81</v>
      </c>
    </row>
    <row r="11207" spans="1:33" x14ac:dyDescent="0.25">
      <c r="A11207" t="str">
        <f>"1467486449"</f>
        <v>1467486449</v>
      </c>
      <c r="B11207" t="str">
        <f>"00245390"</f>
        <v>00245390</v>
      </c>
      <c r="C11207" t="s">
        <v>45178</v>
      </c>
      <c r="D11207" t="s">
        <v>45179</v>
      </c>
      <c r="E11207" t="s">
        <v>45180</v>
      </c>
      <c r="G11207" t="s">
        <v>45181</v>
      </c>
      <c r="H11207" t="s">
        <v>45182</v>
      </c>
      <c r="J11207" t="s">
        <v>45183</v>
      </c>
      <c r="L11207" t="s">
        <v>115</v>
      </c>
      <c r="M11207" t="s">
        <v>85</v>
      </c>
      <c r="R11207" t="s">
        <v>45184</v>
      </c>
      <c r="W11207" t="s">
        <v>45180</v>
      </c>
      <c r="X11207" t="s">
        <v>45185</v>
      </c>
      <c r="Y11207" t="s">
        <v>97</v>
      </c>
      <c r="Z11207" t="s">
        <v>77</v>
      </c>
      <c r="AA11207" t="str">
        <f>"10035-2206"</f>
        <v>10035-2206</v>
      </c>
      <c r="AB11207" t="s">
        <v>122</v>
      </c>
      <c r="AC11207" t="s">
        <v>79</v>
      </c>
      <c r="AD11207" t="s">
        <v>75</v>
      </c>
      <c r="AE11207" t="s">
        <v>80</v>
      </c>
      <c r="AG11207" t="s">
        <v>81</v>
      </c>
    </row>
    <row r="11208" spans="1:33" x14ac:dyDescent="0.25">
      <c r="A11208" t="str">
        <f>"1013910413"</f>
        <v>1013910413</v>
      </c>
      <c r="B11208" t="str">
        <f>"02551206"</f>
        <v>02551206</v>
      </c>
      <c r="C11208" t="s">
        <v>45186</v>
      </c>
      <c r="D11208" t="s">
        <v>45187</v>
      </c>
      <c r="E11208" t="s">
        <v>45188</v>
      </c>
      <c r="G11208" t="s">
        <v>45189</v>
      </c>
      <c r="H11208" t="s">
        <v>45190</v>
      </c>
      <c r="J11208" t="s">
        <v>45191</v>
      </c>
      <c r="L11208" t="s">
        <v>17</v>
      </c>
      <c r="M11208" t="s">
        <v>75</v>
      </c>
      <c r="R11208" t="s">
        <v>45192</v>
      </c>
      <c r="W11208" t="s">
        <v>45188</v>
      </c>
      <c r="X11208" t="s">
        <v>45193</v>
      </c>
      <c r="Y11208" t="s">
        <v>131</v>
      </c>
      <c r="Z11208" t="s">
        <v>77</v>
      </c>
      <c r="AA11208" t="str">
        <f>"10471-1150"</f>
        <v>10471-1150</v>
      </c>
      <c r="AB11208" t="s">
        <v>122</v>
      </c>
      <c r="AC11208" t="s">
        <v>79</v>
      </c>
      <c r="AD11208" t="s">
        <v>75</v>
      </c>
      <c r="AE11208" t="s">
        <v>80</v>
      </c>
      <c r="AG11208" t="s">
        <v>81</v>
      </c>
    </row>
    <row r="11209" spans="1:33" x14ac:dyDescent="0.25">
      <c r="C11209" t="s">
        <v>4587</v>
      </c>
      <c r="G11209" t="s">
        <v>503</v>
      </c>
      <c r="H11209" t="s">
        <v>45194</v>
      </c>
      <c r="I11209">
        <v>225</v>
      </c>
      <c r="J11209" t="s">
        <v>1792</v>
      </c>
      <c r="K11209" t="s">
        <v>99</v>
      </c>
      <c r="L11209" t="s">
        <v>100</v>
      </c>
      <c r="M11209" t="s">
        <v>75</v>
      </c>
      <c r="AC11209" t="s">
        <v>79</v>
      </c>
      <c r="AD11209" t="s">
        <v>75</v>
      </c>
      <c r="AE11209" t="s">
        <v>101</v>
      </c>
      <c r="AG11209" t="s">
        <v>81</v>
      </c>
    </row>
    <row r="11210" spans="1:33" x14ac:dyDescent="0.25">
      <c r="C11210" t="s">
        <v>45195</v>
      </c>
      <c r="G11210" t="s">
        <v>45196</v>
      </c>
      <c r="H11210" t="s">
        <v>45197</v>
      </c>
      <c r="I11210">
        <v>175</v>
      </c>
      <c r="J11210" t="s">
        <v>45198</v>
      </c>
      <c r="K11210" t="s">
        <v>99</v>
      </c>
      <c r="L11210" t="s">
        <v>100</v>
      </c>
      <c r="M11210" t="s">
        <v>75</v>
      </c>
      <c r="AC11210" t="s">
        <v>79</v>
      </c>
      <c r="AD11210" t="s">
        <v>75</v>
      </c>
      <c r="AE11210" t="s">
        <v>101</v>
      </c>
      <c r="AG11210" t="s">
        <v>81</v>
      </c>
    </row>
    <row r="11211" spans="1:33" x14ac:dyDescent="0.25">
      <c r="A11211" t="str">
        <f>"1841207933"</f>
        <v>1841207933</v>
      </c>
      <c r="B11211" t="str">
        <f>"02709593"</f>
        <v>02709593</v>
      </c>
      <c r="C11211" t="s">
        <v>45199</v>
      </c>
      <c r="D11211" t="s">
        <v>45200</v>
      </c>
      <c r="E11211" t="s">
        <v>45201</v>
      </c>
      <c r="G11211" t="s">
        <v>45056</v>
      </c>
      <c r="H11211" t="s">
        <v>45202</v>
      </c>
      <c r="J11211" t="s">
        <v>45058</v>
      </c>
      <c r="L11211" t="s">
        <v>16</v>
      </c>
      <c r="M11211" t="s">
        <v>85</v>
      </c>
      <c r="R11211" t="s">
        <v>45203</v>
      </c>
      <c r="W11211" t="s">
        <v>45201</v>
      </c>
      <c r="X11211" t="s">
        <v>45204</v>
      </c>
      <c r="Y11211" t="s">
        <v>190</v>
      </c>
      <c r="Z11211" t="s">
        <v>77</v>
      </c>
      <c r="AA11211" t="str">
        <f>"11106-4422"</f>
        <v>11106-4422</v>
      </c>
      <c r="AB11211" t="s">
        <v>132</v>
      </c>
      <c r="AC11211" t="s">
        <v>79</v>
      </c>
      <c r="AD11211" t="s">
        <v>75</v>
      </c>
      <c r="AE11211" t="s">
        <v>80</v>
      </c>
      <c r="AG11211" t="s">
        <v>81</v>
      </c>
    </row>
    <row r="11212" spans="1:33" x14ac:dyDescent="0.25">
      <c r="A11212" t="str">
        <f>"1033323522"</f>
        <v>1033323522</v>
      </c>
      <c r="B11212" t="str">
        <f>"02889114"</f>
        <v>02889114</v>
      </c>
      <c r="C11212" t="s">
        <v>45205</v>
      </c>
      <c r="D11212" t="s">
        <v>4377</v>
      </c>
      <c r="E11212" t="s">
        <v>4378</v>
      </c>
      <c r="G11212" t="s">
        <v>45206</v>
      </c>
      <c r="H11212" t="s">
        <v>45207</v>
      </c>
      <c r="J11212" t="s">
        <v>45208</v>
      </c>
      <c r="L11212" t="s">
        <v>16</v>
      </c>
      <c r="M11212" t="s">
        <v>85</v>
      </c>
      <c r="R11212" t="s">
        <v>4379</v>
      </c>
      <c r="W11212" t="s">
        <v>4378</v>
      </c>
      <c r="X11212" t="s">
        <v>4380</v>
      </c>
      <c r="Y11212" t="s">
        <v>97</v>
      </c>
      <c r="Z11212" t="s">
        <v>77</v>
      </c>
      <c r="AA11212" t="str">
        <f>"10035-4733"</f>
        <v>10035-4733</v>
      </c>
      <c r="AB11212" t="s">
        <v>132</v>
      </c>
      <c r="AC11212" t="s">
        <v>79</v>
      </c>
      <c r="AD11212" t="s">
        <v>75</v>
      </c>
      <c r="AE11212" t="s">
        <v>80</v>
      </c>
      <c r="AG11212" t="s">
        <v>81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761023E0D97148B72DFF368FF3AB9D" ma:contentTypeVersion="2" ma:contentTypeDescription="Create a new document." ma:contentTypeScope="" ma:versionID="279ab00e7c788072ab8921db84cc0ad7">
  <xsd:schema xmlns:xsd="http://www.w3.org/2001/XMLSchema" xmlns:xs="http://www.w3.org/2001/XMLSchema" xmlns:p="http://schemas.microsoft.com/office/2006/metadata/properties" xmlns:ns2="362caa75-196a-4e38-861a-5b8d77e98c80" targetNamespace="http://schemas.microsoft.com/office/2006/metadata/properties" ma:root="true" ma:fieldsID="17a901d25fbeb3610fbdc217430872d0" ns2:_="">
    <xsd:import namespace="362caa75-196a-4e38-861a-5b8d77e98c8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2caa75-196a-4e38-861a-5b8d77e98c8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A94B99F-E54F-430E-BF7C-CEF44BFD86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56BDA99-17AC-4EC8-9675-7C2D3CBAF403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www.w3.org/XML/1998/namespace"/>
    <ds:schemaRef ds:uri="http://schemas.openxmlformats.org/package/2006/metadata/core-properties"/>
    <ds:schemaRef ds:uri="362caa75-196a-4e38-861a-5b8d77e98c80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C1D35581-F5D7-4560-91A1-1BB9F116DA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2caa75-196a-4e38-861a-5b8d77e98c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Funds Flow Summary</vt:lpstr>
      <vt:lpstr>Funds Flow - Partner Detail</vt:lpstr>
      <vt:lpstr>2nd Tier Funds Flow</vt:lpstr>
      <vt:lpstr>Partner Engagement</vt:lpstr>
      <vt:lpstr>Sinai Perf Network 032017</vt:lpstr>
      <vt:lpstr>'2nd Tier Funds Flow'!Print_Area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Weber III, Joseph</dc:creator>
  <cp:lastModifiedBy>Kim Fraim</cp:lastModifiedBy>
  <cp:lastPrinted>2017-03-24T16:10:41Z</cp:lastPrinted>
  <dcterms:created xsi:type="dcterms:W3CDTF">2017-03-24T14:24:06Z</dcterms:created>
  <dcterms:modified xsi:type="dcterms:W3CDTF">2017-10-30T17:48:13Z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0x0101003C761023E0D97148B72DFF368FF3AB9D</vt:lpwstr>
  </property>
</Properties>
</file>